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trlProps/ctrlProp6.xml" ContentType="application/vnd.ms-excel.controlpropertie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showObjects="placeholders"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44AA2956-AA13-4C26-8777-14A5808281A1}" xr6:coauthVersionLast="47" xr6:coauthVersionMax="47" xr10:uidLastSave="{00000000-0000-0000-0000-000000000000}"/>
  <bookViews>
    <workbookView xWindow="-120" yWindow="-120" windowWidth="38640" windowHeight="15720" tabRatio="748" activeTab="4"/>
  </bookViews>
  <sheets>
    <sheet name="TOC" sheetId="1" r:id="rId1"/>
    <sheet name="Assm" sheetId="2" r:id="rId2"/>
    <sheet name="RAROC" sheetId="67" r:id="rId3"/>
    <sheet name="Tariff" sheetId="5" r:id="rId4"/>
    <sheet name="Rev_Exp" sheetId="27" r:id="rId5"/>
    <sheet name="CF" sheetId="6" r:id="rId6"/>
    <sheet name="Project &amp; Investor Returns" sheetId="8" r:id="rId7"/>
    <sheet name="Enron Returns" sheetId="63" r:id="rId8"/>
    <sheet name="Shell &amp; Trans Returns" sheetId="52" r:id="rId9"/>
    <sheet name="100% Partner Cash Flow" sheetId="64" r:id="rId10"/>
    <sheet name="EINC" sheetId="9" r:id="rId11"/>
    <sheet name="PLRisk" sheetId="41" r:id="rId12"/>
    <sheet name="Trapped" sheetId="10" r:id="rId13"/>
    <sheet name="Turnkey" sheetId="44" r:id="rId14"/>
    <sheet name="Drawdown" sheetId="30" r:id="rId15"/>
    <sheet name="IDC" sheetId="14" r:id="rId16"/>
    <sheet name="Debt Amort" sheetId="15" r:id="rId17"/>
    <sheet name="Sudam" sheetId="40" r:id="rId18"/>
    <sheet name="Taxes" sheetId="17" r:id="rId19"/>
    <sheet name="Depr" sheetId="18" r:id="rId20"/>
    <sheet name="CommonSized" sheetId="66" r:id="rId21"/>
    <sheet name="BS_IS" sheetId="19" r:id="rId22"/>
    <sheet name="Ref1" sheetId="20" r:id="rId23"/>
    <sheet name="Ref2" sheetId="22" r:id="rId24"/>
    <sheet name="Ref3" sheetId="21" r:id="rId25"/>
    <sheet name="Ref4" sheetId="23" r:id="rId26"/>
    <sheet name="Ref5" sheetId="62" r:id="rId27"/>
    <sheet name="RAC_LDs" sheetId="65" r:id="rId28"/>
    <sheet name="Plant Operations" sheetId="39" r:id="rId29"/>
    <sheet name="Avail Penalty" sheetId="59" r:id="rId30"/>
    <sheet name="Annex 12-Plant" sheetId="34" r:id="rId31"/>
    <sheet name="Annex 12-Gas" sheetId="35" r:id="rId32"/>
    <sheet name="Annex 10-Plant" sheetId="46" r:id="rId33"/>
    <sheet name="Annex 10-Gas" sheetId="47" r:id="rId34"/>
    <sheet name="Fuel Expense" sheetId="37" r:id="rId35"/>
    <sheet name="Escalation" sheetId="48" r:id="rId36"/>
    <sheet name="US$ Table" sheetId="57" r:id="rId37"/>
    <sheet name="R$ Table" sheetId="58" r:id="rId38"/>
    <sheet name="NPV Of Tariff" sheetId="55" r:id="rId39"/>
  </sheets>
  <externalReferences>
    <externalReference r:id="rId40"/>
    <externalReference r:id="rId41"/>
    <externalReference r:id="rId42"/>
    <externalReference r:id="rId43"/>
    <externalReference r:id="rId44"/>
    <externalReference r:id="rId45"/>
    <externalReference r:id="rId46"/>
  </externalReferences>
  <definedNames>
    <definedName name="AddTax">Assm!$J$9</definedName>
    <definedName name="Annex10_Gas_Table">'Annex 10-Gas'!$A$12:$AD$267</definedName>
    <definedName name="Annex10_Plant_Table">'Annex 10-Plant'!$A$12:$S$267</definedName>
    <definedName name="Annex12_Gas_Table">'Annex 12-Gas'!$A$12:$AK$267</definedName>
    <definedName name="Annex12_Plant_Table">'Annex 12-Plant'!$A$12:$AF$267</definedName>
    <definedName name="Avail_LDs_Switch">RAC_LDs!$C$2</definedName>
    <definedName name="Bid_Tariff_Table">Tariff!$B$41:$F$61</definedName>
    <definedName name="BL">Assm!$AB$86</definedName>
    <definedName name="BS_Table">BS_IS!$G$7:$AC$36</definedName>
    <definedName name="Capacity_I">Assm!$C$7</definedName>
    <definedName name="Capacity_II">Assm!$D$7</definedName>
    <definedName name="Capacity_III">Assm!$E$7</definedName>
    <definedName name="Capacity_Table">Tariff!$Q$11:$U$16</definedName>
    <definedName name="CF">Rev_Exp!$A$1:$AA$93</definedName>
    <definedName name="CF_Table">CF!$D$7:$Y$80</definedName>
    <definedName name="CM_Tariff_Table">'Fuel Expense'!$A$12:$J$267</definedName>
    <definedName name="Cofins">Assm!$J$17</definedName>
    <definedName name="Com_Inputs">IDC!$E$106:$AZ$106</definedName>
    <definedName name="Com_Values">IDC!$E$20:$AZ$20</definedName>
    <definedName name="Commit_Factor">IDC!$BD$102</definedName>
    <definedName name="Convert_Table">Tariff!$W$46:$Y$53</definedName>
    <definedName name="Cost_I">Assm!$S$48</definedName>
    <definedName name="Cost_II">Assm!$T$48</definedName>
    <definedName name="Cost_III">Assm!$U$48</definedName>
    <definedName name="CPI">Turnkey!#REF!</definedName>
    <definedName name="Curves_Table">Escalation!$A$19:$AW$288</definedName>
    <definedName name="Debt_Serv">Assm!$F$26</definedName>
    <definedName name="Debtperc">Assm!$AA$68</definedName>
    <definedName name="Dec_Change">Escalation!$F$13:$I$288</definedName>
    <definedName name="Dev_Fee1">Assm!#REF!</definedName>
    <definedName name="Dev_Fee2">Assm!#REF!</definedName>
    <definedName name="Dev_Fee3">Assm!#REF!</definedName>
    <definedName name="Diesel_Table">Tariff!$W$31:$Y$40</definedName>
    <definedName name="DieselOps_2">Assm!$F$18</definedName>
    <definedName name="Disc">Assm!$T$70</definedName>
    <definedName name="Draw_Table">Drawdown!$E$49:$AN$55</definedName>
    <definedName name="Duties">Assm!$J$31</definedName>
    <definedName name="Duties_Maint">Assm!$J$32</definedName>
    <definedName name="Ecf">Assm!$AB$88</definedName>
    <definedName name="EE_Date">Assm!$L$73</definedName>
    <definedName name="Endyr">Assm!$F$20</definedName>
    <definedName name="Equityperc">Assm!$AA$71</definedName>
    <definedName name="Est_Commit1">Assm!$AE$12</definedName>
    <definedName name="Est_Cost1">Assm!$AE$8</definedName>
    <definedName name="Est_Idc1">Assm!$AE$9</definedName>
    <definedName name="Est_Wh1">Assm!$AE$10</definedName>
    <definedName name="Exch">Assm!$L$72</definedName>
    <definedName name="Exit_Table">#REF!</definedName>
    <definedName name="Fin_Close">Assm!$F$24</definedName>
    <definedName name="Fin_Sum_Table">'Debt Amort'!$D$7:$Y$21</definedName>
    <definedName name="Fin_Table">'Debt Amort'!$B$35:$AH$75</definedName>
    <definedName name="Fuel_Cost_Table">'Fuel Expense'!$A$12:$R$267</definedName>
    <definedName name="Guar_Fee_Table">RAROC!$A$107:$D$113</definedName>
    <definedName name="Guarantee_Fee">[3]RAC_ASSUMP!$C$16</definedName>
    <definedName name="Guarantee_Fee_Table">'Debt Amort'!$B$35:$AI$74</definedName>
    <definedName name="Hr_I">Assm!$C$9</definedName>
    <definedName name="Hr_II">Assm!$D$9</definedName>
    <definedName name="Hr_III">Assm!$E$9</definedName>
    <definedName name="Icms_Elec">Assm!$J$21</definedName>
    <definedName name="Icms_Fuel">Assm!$J$23</definedName>
    <definedName name="Icms_Merch">Assm!$J$30</definedName>
    <definedName name="Icms_Trans">Assm!$J$22</definedName>
    <definedName name="Idc_Summary">IDC!$A$7:$BA$84</definedName>
    <definedName name="Idc_Table">IDC!$E$7:$BA$92</definedName>
    <definedName name="Inputs">Assm!$AF$7:$AF$13</definedName>
    <definedName name="Int_BL">Assm!$AB$87</definedName>
    <definedName name="Irr">Assm!$U$70</definedName>
    <definedName name="Iss">Assm!$J$24</definedName>
    <definedName name="Land1">Assm!$S$17</definedName>
    <definedName name="Land2">Assm!$T$17</definedName>
    <definedName name="Land3">Assm!$U$17</definedName>
    <definedName name="LGM_Cost">Assm!$L$104</definedName>
    <definedName name="Loopfactor">Assm!$AD$17</definedName>
    <definedName name="MOSYR2">Assm!#REF!</definedName>
    <definedName name="New_Investor_Equity">Assm!$L$108</definedName>
    <definedName name="New_Tariff_Table">'US$ Table'!$B$55:$G$74</definedName>
    <definedName name="Nol">Assm!$J$11</definedName>
    <definedName name="Npv">Assm!$V$70</definedName>
    <definedName name="OA_Table">Tariff!$W$10:$Y$25</definedName>
    <definedName name="OM_Table">Assm!$C$59:$E$77</definedName>
    <definedName name="OM_Table_R">'R$ Table'!$C$55:$K$75</definedName>
    <definedName name="OM_Table_US">'US$ Table'!$AC$55:$AJ$75</definedName>
    <definedName name="Opic">Assm!$J$114</definedName>
    <definedName name="Penalty_Table">'Avail Penalty'!$A$12:$M$267</definedName>
    <definedName name="Perf">Assm!$F$91</definedName>
    <definedName name="Pis">Assm!$J$16</definedName>
    <definedName name="Plant_Table">'Plant Operations'!$A$12:$U$267</definedName>
    <definedName name="PPA_COD_PhII">RAC_LDs!$C$7</definedName>
    <definedName name="_xlnm.Print_Area" localSheetId="9">'100% Partner Cash Flow'!$A:$AC</definedName>
    <definedName name="_xlnm.Print_Area" localSheetId="33">'Annex 10-Gas'!$A:$AD</definedName>
    <definedName name="_xlnm.Print_Area" localSheetId="32">'Annex 10-Plant'!$A:$S</definedName>
    <definedName name="_xlnm.Print_Area" localSheetId="31">'Annex 12-Gas'!$A:$AK</definedName>
    <definedName name="_xlnm.Print_Area" localSheetId="30">'Annex 12-Plant'!$A:$AF</definedName>
    <definedName name="_xlnm.Print_Area" localSheetId="1">Assm!$A:$AB</definedName>
    <definedName name="_xlnm.Print_Area" localSheetId="29">'Avail Penalty'!$A:$M</definedName>
    <definedName name="_xlnm.Print_Area" localSheetId="21">BS_IS!$A:$AD</definedName>
    <definedName name="_xlnm.Print_Area" localSheetId="5">CF!$A:$Z</definedName>
    <definedName name="_xlnm.Print_Area" localSheetId="16">'Debt Amort'!$A:$AD</definedName>
    <definedName name="_xlnm.Print_Area" localSheetId="19">Depr!$A:$AC</definedName>
    <definedName name="_xlnm.Print_Area" localSheetId="10">EINC!$A$1:$AB$93</definedName>
    <definedName name="_xlnm.Print_Area" localSheetId="7">'Enron Returns'!$A$1:$I$47</definedName>
    <definedName name="_xlnm.Print_Area" localSheetId="35">Escalation!$A$12:$AP$289</definedName>
    <definedName name="_xlnm.Print_Area" localSheetId="34">'Fuel Expense'!$A:$R</definedName>
    <definedName name="_xlnm.Print_Area" localSheetId="38">'NPV Of Tariff'!$A:$S</definedName>
    <definedName name="_xlnm.Print_Area" localSheetId="28">'Plant Operations'!$A:$U</definedName>
    <definedName name="_xlnm.Print_Area" localSheetId="11">PLRisk!$A:$AB</definedName>
    <definedName name="_xlnm.Print_Area" localSheetId="6">'Project &amp; Investor Returns'!$A:$AC</definedName>
    <definedName name="_xlnm.Print_Area" localSheetId="37">'R$ Table'!$A:$AB</definedName>
    <definedName name="_xlnm.Print_Area" localSheetId="22">'Ref1'!$A:$J</definedName>
    <definedName name="_xlnm.Print_Area" localSheetId="24">'Ref3'!$A:$J</definedName>
    <definedName name="_xlnm.Print_Area" localSheetId="25">'Ref4'!$A:$J</definedName>
    <definedName name="_xlnm.Print_Area" localSheetId="26">'Ref5'!$A:$J</definedName>
    <definedName name="_xlnm.Print_Area" localSheetId="4">Rev_Exp!$A:$Z</definedName>
    <definedName name="_xlnm.Print_Area" localSheetId="8">'Shell &amp; Trans Returns'!$A:$AC</definedName>
    <definedName name="_xlnm.Print_Area" localSheetId="17">Sudam!$A:$Z</definedName>
    <definedName name="_xlnm.Print_Area" localSheetId="3">Tariff!$A:$Y</definedName>
    <definedName name="_xlnm.Print_Area" localSheetId="18">Taxes!$A:$Z</definedName>
    <definedName name="_xlnm.Print_Area" localSheetId="0">TOC!$A:$D</definedName>
    <definedName name="_xlnm.Print_Area" localSheetId="12">Trapped!$A$1:$AB$100</definedName>
    <definedName name="_xlnm.Print_Area" localSheetId="13">Turnkey!$A:$Z</definedName>
    <definedName name="_xlnm.Print_Titles" localSheetId="33">'Annex 10-Gas'!$1:$11</definedName>
    <definedName name="_xlnm.Print_Titles" localSheetId="32">'Annex 10-Plant'!$1:$11</definedName>
    <definedName name="_xlnm.Print_Titles" localSheetId="31">'Annex 12-Gas'!$1:$11</definedName>
    <definedName name="_xlnm.Print_Titles" localSheetId="30">'Annex 12-Plant'!$1:$11</definedName>
    <definedName name="_xlnm.Print_Titles" localSheetId="29">'Avail Penalty'!$1:$11</definedName>
    <definedName name="_xlnm.Print_Titles" localSheetId="35">Escalation!$12:$18</definedName>
    <definedName name="_xlnm.Print_Titles" localSheetId="34">'Fuel Expense'!$1:$11</definedName>
    <definedName name="_xlnm.Print_Titles" localSheetId="28">'Plant Operations'!$1:$11</definedName>
    <definedName name="Promote_Fee_New">Assm!#REF!</definedName>
    <definedName name="Promote_Fee_Orig">Assm!#REF!</definedName>
    <definedName name="Promote_Rate_New">Assm!#REF!</definedName>
    <definedName name="Promote_Rate_Orig">Assm!#REF!</definedName>
    <definedName name="Promote_Return_New">Assm!$L$108</definedName>
    <definedName name="Promote_Return_Orig">Assm!#REF!</definedName>
    <definedName name="Prop">Assm!$J$28</definedName>
    <definedName name="PT_Tariff_Table">'Annex 12-Plant'!$A$12:$AF$267</definedName>
    <definedName name="RAC_AvailFactor_Table">RAC_LDs!$B$15:$G$255</definedName>
    <definedName name="Real">Assm!$J$27</definedName>
    <definedName name="Reserve_Table">Trapped!$F$7:$AB$100</definedName>
    <definedName name="Ret_Table" localSheetId="9">'100% Partner Cash Flow'!$E$6:$AB$8</definedName>
    <definedName name="Ret_Table" localSheetId="7">'Enron Returns'!$E$6:$AB$82</definedName>
    <definedName name="Ret_Table" localSheetId="8">'Shell &amp; Trans Returns'!$E$6:$AB$8</definedName>
    <definedName name="Ret_Table">'Project &amp; Investor Returns'!$E$6:$AB$25</definedName>
    <definedName name="Rev_Exp_Table">Rev_Exp!$D$7:$Y$93</definedName>
    <definedName name="Social">Assm!$J$10</definedName>
    <definedName name="Spares_WTF">Assm!$V$40</definedName>
    <definedName name="Spares1">Assm!$S$39</definedName>
    <definedName name="Spares2">Assm!$T$39</definedName>
    <definedName name="Spares3">Assm!$U$39</definedName>
    <definedName name="Sr_Debt_Table">'US$ Table'!$N$55:$T$75</definedName>
    <definedName name="Startconst">Assm!$C$14</definedName>
    <definedName name="Startops1">Assm!$C$16</definedName>
    <definedName name="Startops2">Assm!$D$16</definedName>
    <definedName name="Startops3">Assm!$E$16</definedName>
    <definedName name="Startops4">Assm!$F$16</definedName>
    <definedName name="Sub_Debt_Table">'US$ Table'!$W$55:$AA$75</definedName>
    <definedName name="Sub_Inputs">'Debt Amort'!$BA$35:$BA$74</definedName>
    <definedName name="Sub_Values">'Debt Amort'!$BB$35:$BB$74</definedName>
    <definedName name="Subdebtperc">Assm!$AA$69</definedName>
    <definedName name="Subloop">'Debt Amort'!$BC$78</definedName>
    <definedName name="Sudam_Table">Assm!$I$41:$L$42</definedName>
    <definedName name="SudamPerc">Assm!$AA$70</definedName>
    <definedName name="Target">Assm!$U$71</definedName>
    <definedName name="Tariff">Assm!$C$31</definedName>
    <definedName name="Tariff_Inputs1">'US$ Table'!$G$55:$G$74</definedName>
    <definedName name="Tariff_Inputs2">'US$ Table'!$H$55:$I$74</definedName>
    <definedName name="Tariff_Table">Tariff!$C$11:$O$32</definedName>
    <definedName name="Tariff_Table_R">'R$ Table'!$B$9:$AB$47</definedName>
    <definedName name="Tariff_Table_US">'US$ Table'!$B$9:$AG$47</definedName>
    <definedName name="Tariff_Table_US2">'US$ Table'!$BR$9:$CW$47</definedName>
    <definedName name="Tariff_Values1">Tariff!$G$41:$G$61</definedName>
    <definedName name="Tariff_Values2">Tariff!$H$41:$I$61</definedName>
    <definedName name="Tax">Assm!$J$8</definedName>
    <definedName name="Term">Assm!$F$19</definedName>
    <definedName name="Term_C1">Assm!$C$15</definedName>
    <definedName name="Term_C2">Assm!$D$15</definedName>
    <definedName name="Term_C3">Assm!$E$15</definedName>
    <definedName name="Term_Fc">Assm!$F$25</definedName>
    <definedName name="TG_Tariff_Table">'Annex 12-Gas'!$A$12:$Y$267</definedName>
    <definedName name="Tjlp">Assm!$J$26</definedName>
    <definedName name="Tot_Cost">Assm!$V$48</definedName>
    <definedName name="Tot_Debt">Assm!$Z$68</definedName>
    <definedName name="Tot_Equity">Assm!$Z$71</definedName>
    <definedName name="Tot_Subdebt">Assm!$Z$69</definedName>
    <definedName name="Total_BL">Assm!$Y$87</definedName>
    <definedName name="Trapped_Table">Trapped!$F$7:$AA$100</definedName>
    <definedName name="Turnkey_Table1">#REF!</definedName>
    <definedName name="USTax">Assm!$J$46</definedName>
    <definedName name="Values">Assm!$AE$7:$AE$13</definedName>
    <definedName name="WCAP">Assm!$R$22</definedName>
    <definedName name="Wcap1">Assm!$S$38</definedName>
    <definedName name="Wcap2">Assm!$T$38</definedName>
    <definedName name="Wcap3">Assm!$U$38</definedName>
    <definedName name="Wh_Div">Assm!$J$12</definedName>
    <definedName name="Wh_Int">Assm!$J$13</definedName>
    <definedName name="Wh_Int_2">Assm!$J$14</definedName>
    <definedName name="Wh_Serv">Assm!$J$15</definedName>
    <definedName name="ZA0" localSheetId="2">"Crystal Ball Data : Ver. 4.0.7"</definedName>
    <definedName name="ZA0A" localSheetId="2">33+134</definedName>
    <definedName name="ZA0C" localSheetId="2">0+0</definedName>
    <definedName name="ZA0D" localSheetId="2">0+0</definedName>
    <definedName name="ZA0F" localSheetId="2">140+262</definedName>
    <definedName name="ZA0T" localSheetId="2">354697798+0</definedName>
    <definedName name="_ZA100" localSheetId="2">RAROC!$D$78+"aD64"+16389+RAROC!$D$79+0+1+RAROC!$D$80+0+0.0333333333333333</definedName>
    <definedName name="_ZA103" localSheetId="2">RAROC!$E$83+"pBE69"+16389+RAROC!$E$84+0+1+RAROC!$E$85+0+0.116954520185051</definedName>
    <definedName name="_ZA104" localSheetId="2">RAROC!$F$83+"pBF69"+16389+RAROC!$F$84+0+1+RAROC!$F$85+0+0.116954520185051</definedName>
    <definedName name="_ZA105" localSheetId="2">RAROC!$G$83+"pBG69"+16389+RAROC!$G$84+0+1+RAROC!$G$85+0+0.116954520185051</definedName>
    <definedName name="_ZA106" localSheetId="2">RAROC!$H$83+"pBH69"+16389+RAROC!$H$84+0+1+RAROC!$H$85+0+0.116954520185051</definedName>
    <definedName name="_ZA107" localSheetId="2">RAROC!$I$83+"pBI69"+16389+RAROC!$I$84+0+1+RAROC!$I$85+0+0.116954520185051</definedName>
    <definedName name="_ZA108" localSheetId="2">RAROC!$J$83+"pBJ69"+16389+RAROC!$J$84+0+1+RAROC!$J$85+0+0.116954520185051</definedName>
    <definedName name="_ZA109" localSheetId="2">RAROC!$K$83+"pBK69"+16389+RAROC!$K$84+0+1+RAROC!$K$85+0+0.116954520185051</definedName>
    <definedName name="_ZA110" localSheetId="2">RAROC!$L$83+"pBL69"+16389+RAROC!$L$84+0+1+RAROC!$L$85+0+0.116954520185051</definedName>
    <definedName name="_ZA111" localSheetId="2">RAROC!$M$83+"pBM69"+16389+RAROC!$M$84+0+1+RAROC!$M$85+0+0.116954520185051</definedName>
    <definedName name="_ZA112" localSheetId="2">RAROC!$N$83+"pBN69"+16389+RAROC!$N$84+0+1+RAROC!$N$85+0+0.116954520185051</definedName>
    <definedName name="_ZA113" localSheetId="2">RAROC!$O$83+"pBO69"+16389+RAROC!$O$84+0+1+RAROC!$O$85+0+0.116954520185051</definedName>
    <definedName name="_ZA114" localSheetId="2">RAROC!$P$83+"pBP69"+16389+RAROC!$P$84+0+1+RAROC!$P$85+0+0.116954520185051</definedName>
    <definedName name="_ZA115" localSheetId="2">RAROC!$Q$83+"pBQ69"+16389+RAROC!$Q$84+0+1+RAROC!$Q$85+0+0.116954520185051</definedName>
    <definedName name="_ZA116" localSheetId="2">RAROC!$R$83+"pBR69"+16389+RAROC!$R$84+0+1+RAROC!$R$85+0+0.116954520185051</definedName>
    <definedName name="_ZA117" localSheetId="2">RAROC!$S$83+"pBS69"+16389+RAROC!$S$84+0+1+RAROC!$S$85+0+0.116954520185051</definedName>
    <definedName name="_ZA118" localSheetId="2">RAROC!$T$83+"pBT69"+16389+RAROC!$T$84+0+1+RAROC!$T$85+0+0.116954520185051</definedName>
    <definedName name="_ZA119" localSheetId="2">RAROC!$U$83+"pBU69"+16389+RAROC!$U$84+0+1+RAROC!$U$85+0+0.116954520185051</definedName>
    <definedName name="_ZA120" localSheetId="2">RAROC!$V$83+"pBV69"+16389+RAROC!$V$84+0+1+RAROC!$V$85+0+0.116954520185051</definedName>
    <definedName name="_ZA121" localSheetId="2">RAROC!$W$83+"pBW69"+16389+RAROC!$W$84+0+1+RAROC!$W$85+0+0.116954520185051</definedName>
    <definedName name="_ZA122" localSheetId="2">RAROC!$X$83+"pBX69"+16389+RAROC!$X$84+0+1+RAROC!$X$85+0+0.116954520185051</definedName>
    <definedName name="_ZA123" localSheetId="2">RAROC!$B$92+"bTriangular"+517+RAROC!$B$94+0+0.05632+RAROC!$B$93+0+0.0704+RAROC!$B$95+0+0.08448</definedName>
    <definedName name="_ZA124" localSheetId="2">RAROC!$C$92+"bTriangular"+517+RAROC!$C$94+0+0.05632+RAROC!$C$93+0+0.0704+RAROC!$C$95+0+0.08448</definedName>
    <definedName name="_ZA125" localSheetId="2">RAROC!$D$92+"bTriangular"+517+RAROC!$D$94+0+0.05632+RAROC!$D$93+0+0.0704+RAROC!$D$95+0+0.08448</definedName>
    <definedName name="_ZA126" localSheetId="2">RAROC!$E$92+"bTriangular"+517+RAROC!$E$94+0+0.05632+RAROC!$E$93+0+0.0704+RAROC!$E$95+0+0.08448</definedName>
    <definedName name="_ZA127" localSheetId="2">RAROC!$B$119+"bForecast "+33+RAROC!$B$121+0+1311+RAROC!$B$120+0+1615+RAROC!$B$122+0+24757</definedName>
    <definedName name="_ZA128" localSheetId="2">RAROC!$C$119+"bGasMat"+33+RAROC!$C$121+0+1311+RAROC!$C$120+0+1615+RAROC!$C$122+0+24757</definedName>
    <definedName name="_ZA129" localSheetId="2">RAROC!$D$119+"bGasBol"+33+RAROC!$D$121+0+1311+RAROC!$D$120+0+1615+RAROC!$D$122+0+24757</definedName>
    <definedName name="_ZA130" localSheetId="2">RAROC!$B$125+"lForecast"+545+448+0.5+1+1+3+1+3+3+3+0+3+0+8</definedName>
    <definedName name="ZA130AA" localSheetId="2">2+0.5+1+2+0.33+2+2+0.17+3+9</definedName>
    <definedName name="_ZA131" localSheetId="2">RAROC!$B$135+"eAForecast"+545+RAROC!$B$136+0+1+RAROC!$B$137+0+0.0448</definedName>
    <definedName name="_ZA132" localSheetId="2">RAROC!$B$142+"eAForecast"+545+RAROC!$B$143+0+1+RAROC!$B$144+0+0.02</definedName>
    <definedName name="_ZA133" localSheetId="2">RAROC!$B$149+"dForecast (1=On; 0=Off)"+545+RAROC!$B$150+0+0.5+1</definedName>
    <definedName name="_ZA134" localSheetId="2">RAROC!$B$103+"lForecast"+545+448+0.6+1+1+3+1+1+3+3+0+3+0+8</definedName>
    <definedName name="ZA134AA" localSheetId="2">2+0.6+1+2+0.3+2+2+0.1+3+9</definedName>
    <definedName name="_ZF103" localSheetId="2">RAROC!$E$12+"Out 04"+""+41+41+441+0+0+0+0+4+3+"-"+"+"+2.6+50+2</definedName>
    <definedName name="_ZF104" localSheetId="2">RAROC!$F$12+"Out 05"+""+41+41+441+0+0+0+0+4+3+"-"+"+"+2.6+50+2</definedName>
    <definedName name="_ZF105" localSheetId="2">RAROC!$G$12+"Out 06"+""+41+41+441+0+0+0+0+4+3+"-"+"+"+2.6+50+2</definedName>
    <definedName name="_ZF106" localSheetId="2">RAROC!$H$12+"Out 07"+""+41+41+441+0+0+0+0+4+3+"-"+"+"+2.6+50+2</definedName>
    <definedName name="_ZF107" localSheetId="2">RAROC!$I$12+"Out 08"+""+41+41+441+0+0+0+0+4+3+"-"+"+"+2.6+50+2</definedName>
    <definedName name="_ZF108" localSheetId="2">RAROC!$J$12+"Out 09"+""+41+41+441+0+0+0+0+4+3+"-"+"+"+2.6+50+2</definedName>
    <definedName name="_ZF109" localSheetId="2">RAROC!$K$12+"Out 10"+""+41+41+441+0+0+0+0+4+3+"-"+"+"+2.6+50+2</definedName>
    <definedName name="_ZF110" localSheetId="2">RAROC!$L$12+"Out 11"+""+41+41+441+0+0+0+0+4+3+"-"+"+"+2.6+50+2</definedName>
    <definedName name="_ZF111" localSheetId="2">RAROC!$M$12+"Out 12"+""+41+41+441+0+0+0+0+4+3+"-"+"+"+2.6+50+2</definedName>
    <definedName name="_ZF112" localSheetId="2">RAROC!$N$12+"Out 13"+""+41+41+441+0+0+0+0+4+3+"-"+"+"+2.6+50+2</definedName>
    <definedName name="_ZF113" localSheetId="2">RAROC!$O$12+"Out 14"+""+41+41+441+0+0+0+0+4+3+"-"+"+"+2.6+50+2</definedName>
    <definedName name="_ZF114" localSheetId="2">RAROC!$P$12+"Out 15"+""+41+41+441+0+0+0+0+4+3+"-"+"+"+2.6+50+2</definedName>
    <definedName name="_ZF115" localSheetId="2">RAROC!$Q$12+"Out 16"+""+41+41+441+0+0+0+0+4+3+"-"+"+"+2.6+50+2</definedName>
    <definedName name="_ZF116" localSheetId="2">RAROC!$R$12+"Out 17"+""+41+41+441+0+0+0+0+4+3+"-"+"+"+2.6+50+2</definedName>
    <definedName name="_ZF117" localSheetId="2">RAROC!$S$12+"Out 18"+""+41+41+441+0+0+0+0+4+3+"-"+"+"+2.6+50+2</definedName>
    <definedName name="_ZF118" localSheetId="2">RAROC!$T$12+"Out 19"+""+41+41+441+0+0+0+0+4+3+"-"+"+"+2.6+50+2</definedName>
    <definedName name="_ZF119" localSheetId="2">RAROC!$U$12+"Out 20"+""+41+41+441+0+0+0+0+4+3+"-"+"+"+2.6+50+2</definedName>
    <definedName name="_ZF120" localSheetId="2">RAROC!$V$12+"Out 21"+""+41+41+441+0+0+0+0+4+3+"-"+"+"+2.6+50+2</definedName>
    <definedName name="_ZF121" localSheetId="2">RAROC!$W$12+"Out 22"+""+41+41+441+0+0+0+0+4+3+"-"+"+"+2.6+50+2</definedName>
    <definedName name="_ZF122" localSheetId="2">RAROC!$X$12+"Out 23"+""+41+41+441+0+0+0+0+4+3+"-"+"+"+2.6+50+2</definedName>
    <definedName name="_ZF126" localSheetId="2">RAROC!$E$18+"Fees 04"+""+41+41+441+0+0+0+0+4+3+"-"+"+"+2.6+50+2</definedName>
    <definedName name="_ZF127" localSheetId="2">RAROC!$F$18+"Fees 05"+""+41+41+441+0+0+0+0+4+3+"-"+"+"+2.6+50+2</definedName>
    <definedName name="_ZF128" localSheetId="2">RAROC!$G$18+"Fees 06"+""+41+41+441+0+0+0+0+4+3+"-"+"+"+2.6+50+2</definedName>
    <definedName name="_ZF129" localSheetId="2">RAROC!$H$18+"Fees 07"+""+41+41+441+0+0+0+0+4+3+"-"+"+"+2.6+50+2</definedName>
    <definedName name="_ZF130" localSheetId="2">RAROC!$I$18+"Fees 08"+""+41+41+441+0+0+0+0+4+3+"-"+"+"+2.6+50+2</definedName>
    <definedName name="_ZF131" localSheetId="2">RAROC!$J$18+"Fees 09"+""+41+41+441+0+0+0+0+4+3+"-"+"+"+2.6+50+2</definedName>
    <definedName name="_ZF132" localSheetId="2">RAROC!$K$18+"Fees 10"+""+41+41+441+0+0+0+0+4+3+"-"+"+"+2.6+50+2</definedName>
    <definedName name="_ZF133" localSheetId="2">RAROC!$L$18+"Fees 11"+""+41+41+441+0+0+0+0+4+3+"-"+"+"+2.6+50+2</definedName>
    <definedName name="_ZF134" localSheetId="2">RAROC!$M$18+"Fees 12"+""+41+41+441+0+0+0+0+4+3+"-"+"+"+2.6+50+2</definedName>
    <definedName name="_ZF135" localSheetId="2">RAROC!$N$18+"Fees 13"+""+41+41+441+0+0+0+0+4+3+"-"+"+"+2.6+50+2</definedName>
    <definedName name="_ZF136" localSheetId="2">RAROC!$O$18+"Fees 14"+""+41+41+441+0+0+0+0+4+3+"-"+"+"+2.6+50+2</definedName>
    <definedName name="_ZF137" localSheetId="2">RAROC!$P$18+"Fees 15"+""+41+41+441+0+0+0+0+4+3+"-"+"+"+2.6+50+2</definedName>
    <definedName name="_ZF138" localSheetId="2">RAROC!$Q$18+"Fees 16"+""+41+41+441+0+0+0+0+4+3+"-"+"+"+2.6+50+2</definedName>
    <definedName name="_ZF139" localSheetId="2">RAROC!$R$18+"Fees 17"+""+41+41+441+0+0+0+0+4+3+"-"+"+"+2.6+50+2</definedName>
    <definedName name="_ZF140" localSheetId="2">RAROC!$S$18+"Fees 18"+""+41+41+441+0+0+0+0+4+3+"-"+"+"+2.6+50+2</definedName>
    <definedName name="_ZF141" localSheetId="2">RAROC!$T$18+"Fees 19"+""+41+41+441+0+0+0+0+4+3+"-"+"+"+2.6+50+2</definedName>
    <definedName name="_ZF142" localSheetId="2">RAROC!$U$18+"Fees 20"+""+41+41+441+0+0+0+0+4+3+"-"+"+"+2.6+50+2</definedName>
    <definedName name="_ZF143" localSheetId="2">RAROC!$V$18+"Fees 21"+""+41+41+441+0+0+0+0+4+3+"-"+"+"+2.6+50+2</definedName>
    <definedName name="_ZF144" localSheetId="2">RAROC!$W$18+"Fees 22"+""+41+41+441+0+0+0+0+4+3+"-"+"+"+2.6+50+2</definedName>
    <definedName name="_ZF145" localSheetId="2">RAROC!$X$18+"Fees 23"+""+41+41+441+0+0+0+0+4+3+"-"+"+"+2.6+50+2</definedName>
    <definedName name="_ZF149" localSheetId="2">RAROC!$E$24+"CF 04"+""+41+41+441+0+0+0+0+4+3+"-"+"+"+2.6+50+2</definedName>
    <definedName name="_ZF150" localSheetId="2">RAROC!$F$24+"CF 05"+""+41+41+441+0+0+0+0+4+3+"-"+"+"+2.6+50+2</definedName>
    <definedName name="_ZF151" localSheetId="2">RAROC!$G$24+"CF 06"+""+41+41+441+0+0+0+0+4+3+"-"+"+"+2.6+50+2</definedName>
    <definedName name="_ZF152" localSheetId="2">RAROC!$H$24+"CF 07"+""+41+41+441+0+0+0+0+4+3+"-"+"+"+2.6+50+2</definedName>
    <definedName name="_ZF153" localSheetId="2">RAROC!$I$24+"CF 08"+""+41+41+441+0+0+0+0+4+3+"-"+"+"+2.6+50+2</definedName>
    <definedName name="_ZF154" localSheetId="2">RAROC!$J$24+"CF 09"+""+41+41+441+0+0+0+0+4+3+"-"+"+"+2.6+50+2</definedName>
    <definedName name="_ZF155" localSheetId="2">RAROC!$K$24+"CF 10"+""+41+41+441+0+0+0+0+4+3+"-"+"+"+2.6+50+2</definedName>
    <definedName name="_ZF156" localSheetId="2">RAROC!$L$24+"CF 11"+""+41+41+441+0+0+0+0+4+3+"-"+"+"+2.6+50+2</definedName>
    <definedName name="_ZF157" localSheetId="2">RAROC!$M$24+"CF 12"+""+41+41+441+0+0+0+0+4+3+"-"+"+"+2.6+50+2</definedName>
    <definedName name="_ZF158" localSheetId="2">RAROC!$N$24+"CF 13"+""+41+41+441+0+0+0+0+4+3+"-"+"+"+2.6+50+2</definedName>
    <definedName name="_ZF159" localSheetId="2">RAROC!$O$24+"CF 14"+""+41+41+441+0+0+0+0+4+3+"-"+"+"+2.6+50+2</definedName>
    <definedName name="_ZF160" localSheetId="2">RAROC!$P$24+"CF 15"+""+41+41+441+0+0+0+0+4+3+"-"+"+"+2.6+50+2</definedName>
    <definedName name="_ZF161" localSheetId="2">RAROC!$Q$24+"CF 16"+""+41+41+441+0+0+0+0+4+3+"-"+"+"+2.6+50+2</definedName>
    <definedName name="_ZF162" localSheetId="2">RAROC!$R$24+"CF 17"+""+41+41+441+0+0+0+0+4+3+"-"+"+"+2.6+50+2</definedName>
    <definedName name="_ZF163" localSheetId="2">RAROC!$S$24+"CF 18"+""+41+41+441+0+0+0+0+4+3+"-"+"+"+2.6+50+2</definedName>
    <definedName name="_ZF164" localSheetId="2">RAROC!$T$24+"CF 19"+""+41+41+441+0+0+0+0+4+3+"-"+"+"+2.6+50+2</definedName>
    <definedName name="_ZF165" localSheetId="2">RAROC!$U$24+"CF 20"+""+41+41+441+0+0+0+0+4+3+"-"+"+"+2.6+50+2</definedName>
    <definedName name="_ZF166" localSheetId="2">RAROC!$V$24+"CF 21"+""+41+41+441+0+0+0+0+4+3+"-"+"+"+2.6+50+2</definedName>
    <definedName name="_ZF167" localSheetId="2">RAROC!$W$24+"CF 22"+""+41+41+441+0+0+0+0+4+3+"-"+"+"+2.6+50+2</definedName>
    <definedName name="_ZF168" localSheetId="2">RAROC!$X$24+"CF 23"+""+41+41+441+0+0+0+0+4+3+"-"+"+"+2.6+50+2</definedName>
    <definedName name="_ZF172" localSheetId="2">RAROC!$E$30+"TV 04"+""+41+41+441+0+0+0+0+4+3+"-"+"+"+2.6+50+2</definedName>
    <definedName name="_ZF173" localSheetId="2">RAROC!$F$30+"TV 05"+""+41+41+441+0+0+0+0+4+3+"-"+"+"+2.6+50+2</definedName>
    <definedName name="_ZF174" localSheetId="2">RAROC!$G$30+"TV 06"+""+41+41+441+0+0+0+0+4+3+"-"+"+"+2.6+50+2</definedName>
    <definedName name="_ZF175" localSheetId="2">RAROC!$H$30+"TV 07"+""+41+41+441+0+0+0+0+4+3+"-"+"+"+2.6+50+2</definedName>
    <definedName name="_ZF176" localSheetId="2">RAROC!$I$30+"TV 08"+""+41+41+441+0+0+0+0+4+3+"-"+"+"+2.6+50+2</definedName>
    <definedName name="_ZF177" localSheetId="2">RAROC!$J$30+"TV 09"+""+41+41+441+0+0+0+0+4+3+"-"+"+"+2.6+50+2</definedName>
    <definedName name="_ZF178" localSheetId="2">RAROC!$K$30+"TV 10"+""+41+41+441+0+0+0+0+4+3+"-"+"+"+2.6+50+2</definedName>
    <definedName name="_ZF179" localSheetId="2">RAROC!$L$30+"TV 11"+""+41+41+441+0+0+0+0+4+3+"-"+"+"+2.6+50+2</definedName>
    <definedName name="_ZF180" localSheetId="2">RAROC!$M$30+"TV 12"+""+41+41+441+0+0+0+0+4+3+"-"+"+"+2.6+50+2</definedName>
    <definedName name="_ZF181" localSheetId="2">RAROC!$N$30+"TV 13"+""+41+41+441+0+0+0+0+4+3+"-"+"+"+2.6+50+2</definedName>
    <definedName name="_ZF182" localSheetId="2">RAROC!$O$30+"TV 14"+""+41+41+441+0+0+0+0+4+3+"-"+"+"+2.6+50+2</definedName>
    <definedName name="_ZF183" localSheetId="2">RAROC!$P$30+"TV 15"+""+41+41+441+0+0+0+0+4+3+"-"+"+"+2.6+50+2</definedName>
    <definedName name="_ZF184" localSheetId="2">RAROC!$Q$30+"TV 16"+""+41+41+441+0+0+0+0+4+3+"-"+"+"+2.6+50+2</definedName>
    <definedName name="_ZF185" localSheetId="2">RAROC!$R$30+"TV 17"+""+41+41+441+0+0+0+0+4+3+"-"+"+"+2.6+50+2</definedName>
    <definedName name="_ZF186" localSheetId="2">RAROC!$S$30+"TV 18"+""+41+41+441+0+0+0+0+4+3+"-"+"+"+2.6+50+2</definedName>
    <definedName name="_ZF187" localSheetId="2">RAROC!$T$30+"TV 19"+""+41+41+441+0+0+0+0+4+3+"-"+"+"+2.6+50+2</definedName>
    <definedName name="_ZF188" localSheetId="2">RAROC!$U$30+"TV 20"+""+41+41+441+0+0+0+0+4+3+"-"+"+"+2.6+50+2</definedName>
    <definedName name="_ZF189" localSheetId="2">RAROC!$V$30+"TV 21"+""+41+41+441+0+0+0+0+4+3+"-"+"+"+2.6+50+2</definedName>
    <definedName name="_ZF190" localSheetId="2">RAROC!$W$30+"TV 22"+""+41+41+441+0+0+0+0+4+3+"-"+"+"+2.6+50+2</definedName>
    <definedName name="_ZF191" localSheetId="2">RAROC!$X$30+"TV 23"+""+41+41+441+0+0+0+0+4+3+"-"+"+"+2.6+50+2</definedName>
    <definedName name="_ZF197" localSheetId="2">RAROC!$E$56+"BS 04"+""+33+33+440+0+0+0+0+4+3+"-"+"+"+2.6+50+2</definedName>
    <definedName name="_ZF198" localSheetId="2">RAROC!$F$56+"BS 05"+""+33+33+440+0+0+0+0+4+3+"-"+"+"+2.6+50+2</definedName>
    <definedName name="_ZF199" localSheetId="2">RAROC!$G$56+"BS 06"+""+33+33+440+0+0+0+0+4+3+"-"+"+"+2.6+50+2</definedName>
    <definedName name="_ZF200" localSheetId="2">RAROC!$H$56+"BS 07"+""+33+33+440+0+0+0+0+4+3+"-"+"+"+2.6+50+2</definedName>
    <definedName name="_ZF201" localSheetId="2">RAROC!$I$56+"BS 08"+""+33+33+440+0+0+0+0+4+3+"-"+"+"+2.6+50+2</definedName>
    <definedName name="_ZF202" localSheetId="2">RAROC!$J$56+"BS 09"+""+33+33+440+0+0+0+0+4+3+"-"+"+"+2.6+50+2</definedName>
    <definedName name="_ZF203" localSheetId="2">RAROC!$K$56+"BS 10"+""+33+33+440+0+0+0+0+4+3+"-"+"+"+2.6+50+2</definedName>
    <definedName name="_ZF204" localSheetId="2">RAROC!$L$56+"BS 11"+""+33+33+440+0+0+0+0+4+3+"-"+"+"+2.6+50+2</definedName>
    <definedName name="_ZF205" localSheetId="2">RAROC!$M$56+"BS 12"+""+33+33+440+0+0+0+0+4+3+"-"+"+"+2.6+50+2</definedName>
    <definedName name="_ZF206" localSheetId="2">RAROC!$N$56+"BS 13"+""+33+33+440+0+0+0+0+4+3+"-"+"+"+2.6+50+2</definedName>
    <definedName name="_ZF207" localSheetId="2">RAROC!$O$56+"BS 14"+""+33+33+440+0+0+0+0+4+3+"-"+"+"+2.6+50+2</definedName>
    <definedName name="_ZF208" localSheetId="2">RAROC!$P$56+"BS 15"+""+33+33+440+0+0+0+0+4+3+"-"+"+"+2.6+50+2</definedName>
    <definedName name="_ZF209" localSheetId="2">RAROC!$Q$56+"BS 16"+""+33+33+440+0+0+0+0+4+3+"-"+"+"+2.6+50+2</definedName>
    <definedName name="_ZF210" localSheetId="2">RAROC!$R$56+"BS 17"+""+33+33+440+0+0+0+0+4+3+"-"+"+"+2.6+50+2</definedName>
    <definedName name="_ZF211" localSheetId="2">RAROC!$S$56+"BS 18"+""+33+33+440+0+0+0+0+4+3+"-"+"+"+2.6+50+2</definedName>
    <definedName name="_ZF212" localSheetId="2">RAROC!$T$56+"BS 19"+""+33+33+440+0+0+0+0+4+3+"-"+"+"+2.6+50+2</definedName>
    <definedName name="_ZF213" localSheetId="2">RAROC!$U$56+"BS 20"+""+33+33+440+0+0+0+0+4+3+"-"+"+"+2.6+50+2</definedName>
    <definedName name="_ZF214" localSheetId="2">RAROC!$V$56+"BS 21"+""+33+33+440+0+0+0+0+4+3+"-"+"+"+2.6+50+2</definedName>
    <definedName name="_ZF215" localSheetId="2">RAROC!$W$56+"BS 22"+""+33+33+440+0+0+0+0+4+3+"-"+"+"+2.6+50+2</definedName>
    <definedName name="_ZF216" localSheetId="2">RAROC!$X$56+"BS 23"+""+33+33+440+0+0+0+0+4+3+"-"+"+"+2.6+50+2</definedName>
    <definedName name="_ZF220" localSheetId="2">RAROC!$E$64+"DFLT 04"+""+545+0+184+0+0+0+0+4+3+"-"+"+"+2.6+50+2</definedName>
    <definedName name="_ZF221" localSheetId="2">RAROC!$F$64+"DFLT 05"+""+545+0+184+0+0+0+0+4+3+"-"+"+"+2.6+50+2</definedName>
    <definedName name="_ZF222" localSheetId="2">RAROC!$G$64+"DFLT 06"+""+545+0+184+0+0+0+0+4+3+"-"+"+"+2.6+50+2</definedName>
    <definedName name="_ZF223" localSheetId="2">RAROC!$H$64+"DFLT 07"+""+545+0+184+0+0+0+0+4+3+"-"+"+"+2.6+50+2</definedName>
    <definedName name="_ZF224" localSheetId="2">RAROC!$I$64+"DFLT 08"+""+545+0+184+0+0+0+0+4+3+"-"+"+"+2.6+50+2</definedName>
    <definedName name="_ZF225" localSheetId="2">RAROC!$J$64+"DFLT 09"+""+545+0+184+0+0+0+0+4+3+"-"+"+"+2.6+50+2</definedName>
    <definedName name="_ZF226" localSheetId="2">RAROC!$K$64+"DFLT 10"+""+545+0+184+0+0+0+0+4+3+"-"+"+"+2.6+50+2</definedName>
    <definedName name="_ZF227" localSheetId="2">RAROC!$L$64+"DFLT 11"+""+545+0+184+0+0+0+0+4+3+"-"+"+"+2.6+50+2</definedName>
    <definedName name="_ZF228" localSheetId="2">RAROC!$M$64+"DFLT 12"+""+545+0+184+0+0+0+0+4+3+"-"+"+"+2.6+50+2</definedName>
    <definedName name="_ZF229" localSheetId="2">RAROC!$N$64+"DFLT 13"+""+545+0+184+0+0+0+0+4+3+"-"+"+"+2.6+50+2</definedName>
    <definedName name="_ZF230" localSheetId="2">RAROC!$O$64+"DFLT 14"+""+545+0+184+0+0+0+0+4+3+"-"+"+"+2.6+50+2</definedName>
    <definedName name="_ZF231" localSheetId="2">RAROC!$P$64+"DFLT 15"+""+545+0+184+0+0+0+0+4+3+"-"+"+"+2.6+50+2</definedName>
    <definedName name="_ZF232" localSheetId="2">RAROC!$Q$64+"DFLT 16"+""+545+0+184+0+0+0+0+4+3+"-"+"+"+2.6+50+2</definedName>
    <definedName name="_ZF233" localSheetId="2">RAROC!$R$64+"DFLT 17"+""+545+0+184+0+0+0+0+4+3+"-"+"+"+2.6+50+2</definedName>
    <definedName name="_ZF234" localSheetId="2">RAROC!$S$64+"DFLT 18"+""+545+0+184+0+0+0+0+4+3+"-"+"+"+2.6+50+2</definedName>
    <definedName name="_ZF235" localSheetId="2">RAROC!$T$64+"DFLT 19"+""+545+0+184+0+0+0+0+4+3+"-"+"+"+2.6+50+2</definedName>
    <definedName name="_ZF236" localSheetId="2">RAROC!$U$64+"DFLT 20"+""+545+0+184+0+0+0+0+4+3+"-"+"+"+2.6+50+2</definedName>
    <definedName name="_ZF237" localSheetId="2">RAROC!$V$64+"DFLT 21"+""+545+0+184+0+0+0+0+4+3+"-"+"+"+2.6+50+2</definedName>
    <definedName name="_ZF238" localSheetId="2">RAROC!$W$64+"DFLT 22"+""+545+0+184+0+0+0+0+4+3+"-"+"+"+2.6+50+2</definedName>
    <definedName name="_ZF239" localSheetId="2">RAROC!$X$64+"DFLT 23"+""+545+0+184+0+0+0+0+4+3+"-"+"+"+2.6+50+2</definedName>
    <definedName name="_ZF243" localSheetId="2">RAROC!$E$74+"DF COMP 04"+""+33+33+440+0+0+0+0+4+3+"-"+"+"+2.6+50+2</definedName>
    <definedName name="_ZF244" localSheetId="2">RAROC!$F$74+"DF COMP 05"+""+33+33+440+0+0+0+0+4+3+"-"+"+"+2.6+50+2</definedName>
    <definedName name="_ZF245" localSheetId="2">RAROC!$G$74+"DF COMP 06"+""+33+33+440+0+0+0+0+4+3+"-"+"+"+2.6+50+2</definedName>
    <definedName name="_ZF246" localSheetId="2">RAROC!$H$74+"DF COMP 07"+""+33+33+440+0+0+0+0+4+3+"-"+"+"+2.6+50+2</definedName>
    <definedName name="_ZF247" localSheetId="2">RAROC!$I$74+"DF COMP 08"+""+33+33+440+0+0+0+0+4+3+"-"+"+"+2.6+50+2</definedName>
    <definedName name="_ZF248" localSheetId="2">RAROC!$J$74+"DF COMP 09"+""+33+33+440+0+0+0+0+4+3+"-"+"+"+2.6+50+2</definedName>
    <definedName name="_ZF249" localSheetId="2">RAROC!$K$74+"DF COMP 10"+""+33+33+440+0+0+0+0+4+3+"-"+"+"+2.6+50+2</definedName>
    <definedName name="_ZF250" localSheetId="2">RAROC!$L$74+"DF COMP 11"+""+33+33+440+0+0+0+0+4+3+"-"+"+"+2.6+50+2</definedName>
    <definedName name="_ZF251" localSheetId="2">RAROC!$M$74+"DF COMP 12"+""+33+33+440+0+0+0+0+4+3+"-"+"+"+2.6+50+2</definedName>
    <definedName name="_ZF252" localSheetId="2">RAROC!$N$74+"DF COMP 13"+""+33+33+440+0+0+0+0+4+3+"-"+"+"+2.6+50+2</definedName>
    <definedName name="_ZF253" localSheetId="2">RAROC!$O$74+"DF COMP 14"+""+33+33+440+0+0+0+0+4+3+"-"+"+"+2.6+50+2</definedName>
    <definedName name="_ZF254" localSheetId="2">RAROC!$P$74+"DF COMP 15"+""+33+33+440+0+0+0+0+4+3+"-"+"+"+2.6+50+2</definedName>
    <definedName name="_ZF255" localSheetId="2">RAROC!$Q$74+"DF COMP 16"+""+33+33+440+0+0+0+0+4+3+"-"+"+"+2.6+50+2</definedName>
    <definedName name="_ZF256" localSheetId="2">RAROC!$R$74+"DF COMP 17"+""+33+33+440+0+0+0+0+4+3+"-"+"+"+2.6+50+2</definedName>
    <definedName name="_ZF257" localSheetId="2">RAROC!$S$74+"DF COMP 18"+""+33+33+440+0+0+0+0+4+3+"-"+"+"+2.6+50+2</definedName>
    <definedName name="_ZF258" localSheetId="2">RAROC!$T$74+"DF COMP 19"+""+33+33+440+0+0+0+0+4+3+"-"+"+"+2.6+50+2</definedName>
    <definedName name="_ZF259" localSheetId="2">RAROC!$U$74+"DF COMP 20"+""+33+33+440+0+0+0+0+4+3+"-"+"+"+2.6+50+2</definedName>
    <definedName name="_ZF260" localSheetId="2">RAROC!$V$74+"DF COMP 21"+""+33+33+440+0+0+0+0+4+3+"-"+"+"+2.6+50+2</definedName>
    <definedName name="_ZF261" localSheetId="2">RAROC!$W$74+"DF COMP 22"+""+33+33+440+0+0+0+0+4+3+"-"+"+"+2.6+50+2</definedName>
    <definedName name="_ZF262" localSheetId="2">RAROC!$X$74+"DF COMP 23"+""+33+33+440+0+0+0+0+4+3+"-"+"+"+2.6+50+2</definedName>
  </definedNames>
  <calcPr calcId="0" calcMode="manual" fullCalcOnLoad="1" iterate="1" calcOnSave="0"/>
</workbook>
</file>

<file path=xl/calcChain.xml><?xml version="1.0" encoding="utf-8"?>
<calcChain xmlns="http://schemas.openxmlformats.org/spreadsheetml/2006/main">
  <c r="A1" i="64" l="1"/>
  <c r="A2" i="64"/>
  <c r="A3" i="64"/>
  <c r="E6" i="64"/>
  <c r="F6" i="64"/>
  <c r="G6" i="64"/>
  <c r="H6" i="64"/>
  <c r="I6" i="64"/>
  <c r="J6" i="64"/>
  <c r="K6" i="64"/>
  <c r="L6" i="64"/>
  <c r="M6" i="64"/>
  <c r="N6" i="64"/>
  <c r="O6" i="64"/>
  <c r="P6" i="64"/>
  <c r="Q6" i="64"/>
  <c r="R6" i="64"/>
  <c r="S6" i="64"/>
  <c r="T6" i="64"/>
  <c r="U6" i="64"/>
  <c r="V6" i="64"/>
  <c r="W6" i="64"/>
  <c r="X6" i="64"/>
  <c r="Y6" i="64"/>
  <c r="Z6" i="64"/>
  <c r="AA6" i="64"/>
  <c r="E7" i="64"/>
  <c r="F7" i="64"/>
  <c r="G7" i="64"/>
  <c r="H7" i="64"/>
  <c r="I7" i="64"/>
  <c r="J7" i="64"/>
  <c r="K7" i="64"/>
  <c r="L7" i="64"/>
  <c r="M7" i="64"/>
  <c r="N7" i="64"/>
  <c r="O7" i="64"/>
  <c r="P7" i="64"/>
  <c r="Q7" i="64"/>
  <c r="R7" i="64"/>
  <c r="S7" i="64"/>
  <c r="T7" i="64"/>
  <c r="U7" i="64"/>
  <c r="V7" i="64"/>
  <c r="W7" i="64"/>
  <c r="X7" i="64"/>
  <c r="Y7" i="64"/>
  <c r="Z7" i="64"/>
  <c r="AA7" i="64"/>
  <c r="C10" i="64"/>
  <c r="E10" i="64"/>
  <c r="F10" i="64"/>
  <c r="G10" i="64"/>
  <c r="H10" i="64"/>
  <c r="I10" i="64"/>
  <c r="J10" i="64"/>
  <c r="K10" i="64"/>
  <c r="L10" i="64"/>
  <c r="M10" i="64"/>
  <c r="N10" i="64"/>
  <c r="O10" i="64"/>
  <c r="P10" i="64"/>
  <c r="Q10" i="64"/>
  <c r="R10" i="64"/>
  <c r="S10" i="64"/>
  <c r="T10" i="64"/>
  <c r="U10" i="64"/>
  <c r="V10" i="64"/>
  <c r="W10" i="64"/>
  <c r="X10" i="64"/>
  <c r="Y10" i="64"/>
  <c r="Z10" i="64"/>
  <c r="AA10" i="64"/>
  <c r="AB10" i="64"/>
  <c r="AC10" i="64"/>
  <c r="A11" i="64"/>
  <c r="E11" i="64"/>
  <c r="F11" i="64"/>
  <c r="G11" i="64"/>
  <c r="H11" i="64"/>
  <c r="I11" i="64"/>
  <c r="J11" i="64"/>
  <c r="K11" i="64"/>
  <c r="L11" i="64"/>
  <c r="M11" i="64"/>
  <c r="N11" i="64"/>
  <c r="O11" i="64"/>
  <c r="P11" i="64"/>
  <c r="Q11" i="64"/>
  <c r="R11" i="64"/>
  <c r="S11" i="64"/>
  <c r="T11" i="64"/>
  <c r="U11" i="64"/>
  <c r="V11" i="64"/>
  <c r="W11" i="64"/>
  <c r="X11" i="64"/>
  <c r="Y11" i="64"/>
  <c r="Z11" i="64"/>
  <c r="AA11" i="64"/>
  <c r="AB11" i="64"/>
  <c r="AC11" i="64"/>
  <c r="E12" i="64"/>
  <c r="F12" i="64"/>
  <c r="G12" i="64"/>
  <c r="H12" i="64"/>
  <c r="I12" i="64"/>
  <c r="J12" i="64"/>
  <c r="K12" i="64"/>
  <c r="L12" i="64"/>
  <c r="M12" i="64"/>
  <c r="N12" i="64"/>
  <c r="O12" i="64"/>
  <c r="P12" i="64"/>
  <c r="Q12" i="64"/>
  <c r="R12" i="64"/>
  <c r="S12" i="64"/>
  <c r="T12" i="64"/>
  <c r="U12" i="64"/>
  <c r="V12" i="64"/>
  <c r="W12" i="64"/>
  <c r="X12" i="64"/>
  <c r="Y12" i="64"/>
  <c r="Z12" i="64"/>
  <c r="AA12" i="64"/>
  <c r="AB12" i="64"/>
  <c r="AC12" i="64"/>
  <c r="E13" i="64"/>
  <c r="F13" i="64"/>
  <c r="G13" i="64"/>
  <c r="H13" i="64"/>
  <c r="I13" i="64"/>
  <c r="J13" i="64"/>
  <c r="K13" i="64"/>
  <c r="L13" i="64"/>
  <c r="M13" i="64"/>
  <c r="N13" i="64"/>
  <c r="O13" i="64"/>
  <c r="P13" i="64"/>
  <c r="Q13" i="64"/>
  <c r="R13" i="64"/>
  <c r="S13" i="64"/>
  <c r="T13" i="64"/>
  <c r="U13" i="64"/>
  <c r="V13" i="64"/>
  <c r="W13" i="64"/>
  <c r="X13" i="64"/>
  <c r="Y13" i="64"/>
  <c r="Z13" i="64"/>
  <c r="AA13" i="64"/>
  <c r="AB13" i="64"/>
  <c r="AC13" i="64"/>
  <c r="E14" i="64"/>
  <c r="F14" i="64"/>
  <c r="G14" i="64"/>
  <c r="H14" i="64"/>
  <c r="I14" i="64"/>
  <c r="J14" i="64"/>
  <c r="K14" i="64"/>
  <c r="L14" i="64"/>
  <c r="M14" i="64"/>
  <c r="N14" i="64"/>
  <c r="O14" i="64"/>
  <c r="P14" i="64"/>
  <c r="Q14" i="64"/>
  <c r="R14" i="64"/>
  <c r="S14" i="64"/>
  <c r="T14" i="64"/>
  <c r="U14" i="64"/>
  <c r="V14" i="64"/>
  <c r="W14" i="64"/>
  <c r="X14" i="64"/>
  <c r="Y14" i="64"/>
  <c r="Z14" i="64"/>
  <c r="AA14" i="64"/>
  <c r="AB14" i="64"/>
  <c r="AC14" i="64"/>
  <c r="C15" i="64"/>
  <c r="E15" i="64"/>
  <c r="F15" i="64"/>
  <c r="G15" i="64"/>
  <c r="H15" i="64"/>
  <c r="I15" i="64"/>
  <c r="J15" i="64"/>
  <c r="K15" i="64"/>
  <c r="L15" i="64"/>
  <c r="M15" i="64"/>
  <c r="N15" i="64"/>
  <c r="O15" i="64"/>
  <c r="P15" i="64"/>
  <c r="Q15" i="64"/>
  <c r="R15" i="64"/>
  <c r="S15" i="64"/>
  <c r="T15" i="64"/>
  <c r="U15" i="64"/>
  <c r="V15" i="64"/>
  <c r="W15" i="64"/>
  <c r="X15" i="64"/>
  <c r="Y15" i="64"/>
  <c r="Z15" i="64"/>
  <c r="AA15" i="64"/>
  <c r="AB15" i="64"/>
  <c r="AC15" i="64"/>
  <c r="C16" i="64"/>
  <c r="E16" i="64"/>
  <c r="F16" i="64"/>
  <c r="G16" i="64"/>
  <c r="H16" i="64"/>
  <c r="I16" i="64"/>
  <c r="J16" i="64"/>
  <c r="K16" i="64"/>
  <c r="L16" i="64"/>
  <c r="M16" i="64"/>
  <c r="N16" i="64"/>
  <c r="O16" i="64"/>
  <c r="P16" i="64"/>
  <c r="Q16" i="64"/>
  <c r="R16" i="64"/>
  <c r="S16" i="64"/>
  <c r="T16" i="64"/>
  <c r="U16" i="64"/>
  <c r="V16" i="64"/>
  <c r="W16" i="64"/>
  <c r="X16" i="64"/>
  <c r="Y16" i="64"/>
  <c r="Z16" i="64"/>
  <c r="AA16" i="64"/>
  <c r="AB16" i="64"/>
  <c r="AC16" i="64"/>
  <c r="E17" i="64"/>
  <c r="F17" i="64"/>
  <c r="G17" i="64"/>
  <c r="H17" i="64"/>
  <c r="I17" i="64"/>
  <c r="J17" i="64"/>
  <c r="K17" i="64"/>
  <c r="L17" i="64"/>
  <c r="M17" i="64"/>
  <c r="N17" i="64"/>
  <c r="O17" i="64"/>
  <c r="P17" i="64"/>
  <c r="Q17" i="64"/>
  <c r="R17" i="64"/>
  <c r="S17" i="64"/>
  <c r="T17" i="64"/>
  <c r="U17" i="64"/>
  <c r="V17" i="64"/>
  <c r="W17" i="64"/>
  <c r="X17" i="64"/>
  <c r="Y17" i="64"/>
  <c r="Z17" i="64"/>
  <c r="AA17" i="64"/>
  <c r="AB17" i="64"/>
  <c r="AC17" i="64"/>
  <c r="E19" i="64"/>
  <c r="F19" i="64"/>
  <c r="G19" i="64"/>
  <c r="H19" i="64"/>
  <c r="I19" i="64"/>
  <c r="J19" i="64"/>
  <c r="K19" i="64"/>
  <c r="L19" i="64"/>
  <c r="M19" i="64"/>
  <c r="N19" i="64"/>
  <c r="O19" i="64"/>
  <c r="P19" i="64"/>
  <c r="Q19" i="64"/>
  <c r="R19" i="64"/>
  <c r="S19" i="64"/>
  <c r="T19" i="64"/>
  <c r="U19" i="64"/>
  <c r="V19" i="64"/>
  <c r="W19" i="64"/>
  <c r="X19" i="64"/>
  <c r="Y19" i="64"/>
  <c r="Z19" i="64"/>
  <c r="AA19" i="64"/>
  <c r="AC19" i="64"/>
  <c r="E20" i="64"/>
  <c r="F20" i="64"/>
  <c r="G20" i="64"/>
  <c r="H20" i="64"/>
  <c r="I20" i="64"/>
  <c r="J20" i="64"/>
  <c r="K20" i="64"/>
  <c r="L20" i="64"/>
  <c r="M20" i="64"/>
  <c r="N20" i="64"/>
  <c r="O20" i="64"/>
  <c r="P20" i="64"/>
  <c r="Q20" i="64"/>
  <c r="R20" i="64"/>
  <c r="S20" i="64"/>
  <c r="T20" i="64"/>
  <c r="U20" i="64"/>
  <c r="V20" i="64"/>
  <c r="W20" i="64"/>
  <c r="X20" i="64"/>
  <c r="Y20" i="64"/>
  <c r="Z20" i="64"/>
  <c r="AA20" i="64"/>
  <c r="AC20" i="64"/>
  <c r="C22" i="64"/>
  <c r="C23" i="64"/>
  <c r="E25" i="64"/>
  <c r="F25" i="64"/>
  <c r="G25" i="64"/>
  <c r="H25" i="64"/>
  <c r="I25" i="64"/>
  <c r="J25" i="64"/>
  <c r="K25" i="64"/>
  <c r="L25" i="64"/>
  <c r="M25" i="64"/>
  <c r="N25" i="64"/>
  <c r="O25" i="64"/>
  <c r="P25" i="64"/>
  <c r="Q25" i="64"/>
  <c r="R25" i="64"/>
  <c r="S25" i="64"/>
  <c r="T25" i="64"/>
  <c r="U25" i="64"/>
  <c r="V25" i="64"/>
  <c r="W25" i="64"/>
  <c r="X25" i="64"/>
  <c r="Y25" i="64"/>
  <c r="Z25" i="64"/>
  <c r="AA25" i="64"/>
  <c r="AB25" i="64"/>
  <c r="AC25" i="64"/>
  <c r="A26" i="64"/>
  <c r="E26" i="64"/>
  <c r="F26" i="64"/>
  <c r="G26" i="64"/>
  <c r="H26" i="64"/>
  <c r="I26" i="64"/>
  <c r="J26" i="64"/>
  <c r="K26" i="64"/>
  <c r="L26" i="64"/>
  <c r="M26" i="64"/>
  <c r="N26" i="64"/>
  <c r="O26" i="64"/>
  <c r="P26" i="64"/>
  <c r="Q26" i="64"/>
  <c r="R26" i="64"/>
  <c r="S26" i="64"/>
  <c r="T26" i="64"/>
  <c r="U26" i="64"/>
  <c r="V26" i="64"/>
  <c r="W26" i="64"/>
  <c r="X26" i="64"/>
  <c r="Y26" i="64"/>
  <c r="Z26" i="64"/>
  <c r="AA26" i="64"/>
  <c r="AB26" i="64"/>
  <c r="AC26" i="64"/>
  <c r="E27" i="64"/>
  <c r="F27" i="64"/>
  <c r="G27" i="64"/>
  <c r="H27" i="64"/>
  <c r="I27" i="64"/>
  <c r="J27" i="64"/>
  <c r="K27" i="64"/>
  <c r="L27" i="64"/>
  <c r="M27" i="64"/>
  <c r="N27" i="64"/>
  <c r="O27" i="64"/>
  <c r="P27" i="64"/>
  <c r="Q27" i="64"/>
  <c r="R27" i="64"/>
  <c r="S27" i="64"/>
  <c r="T27" i="64"/>
  <c r="U27" i="64"/>
  <c r="V27" i="64"/>
  <c r="W27" i="64"/>
  <c r="X27" i="64"/>
  <c r="Y27" i="64"/>
  <c r="Z27" i="64"/>
  <c r="AA27" i="64"/>
  <c r="AB27" i="64"/>
  <c r="AC27" i="64"/>
  <c r="E28" i="64"/>
  <c r="F28" i="64"/>
  <c r="G28" i="64"/>
  <c r="H28" i="64"/>
  <c r="I28" i="64"/>
  <c r="J28" i="64"/>
  <c r="K28" i="64"/>
  <c r="L28" i="64"/>
  <c r="M28" i="64"/>
  <c r="N28" i="64"/>
  <c r="O28" i="64"/>
  <c r="P28" i="64"/>
  <c r="Q28" i="64"/>
  <c r="R28" i="64"/>
  <c r="S28" i="64"/>
  <c r="T28" i="64"/>
  <c r="U28" i="64"/>
  <c r="V28" i="64"/>
  <c r="W28" i="64"/>
  <c r="X28" i="64"/>
  <c r="Y28" i="64"/>
  <c r="Z28" i="64"/>
  <c r="AA28" i="64"/>
  <c r="AB28" i="64"/>
  <c r="AC28" i="64"/>
  <c r="E29" i="64"/>
  <c r="F29" i="64"/>
  <c r="G29" i="64"/>
  <c r="H29" i="64"/>
  <c r="I29" i="64"/>
  <c r="J29" i="64"/>
  <c r="K29" i="64"/>
  <c r="L29" i="64"/>
  <c r="M29" i="64"/>
  <c r="N29" i="64"/>
  <c r="O29" i="64"/>
  <c r="P29" i="64"/>
  <c r="Q29" i="64"/>
  <c r="R29" i="64"/>
  <c r="S29" i="64"/>
  <c r="T29" i="64"/>
  <c r="U29" i="64"/>
  <c r="V29" i="64"/>
  <c r="W29" i="64"/>
  <c r="X29" i="64"/>
  <c r="Y29" i="64"/>
  <c r="Z29" i="64"/>
  <c r="AA29" i="64"/>
  <c r="AB29" i="64"/>
  <c r="AC29" i="64"/>
  <c r="C30" i="64"/>
  <c r="E30" i="64"/>
  <c r="F30" i="64"/>
  <c r="G30" i="64"/>
  <c r="H30" i="64"/>
  <c r="I30" i="64"/>
  <c r="J30" i="64"/>
  <c r="K30" i="64"/>
  <c r="L30" i="64"/>
  <c r="M30" i="64"/>
  <c r="N30" i="64"/>
  <c r="O30" i="64"/>
  <c r="P30" i="64"/>
  <c r="Q30" i="64"/>
  <c r="R30" i="64"/>
  <c r="S30" i="64"/>
  <c r="T30" i="64"/>
  <c r="U30" i="64"/>
  <c r="V30" i="64"/>
  <c r="W30" i="64"/>
  <c r="X30" i="64"/>
  <c r="Y30" i="64"/>
  <c r="Z30" i="64"/>
  <c r="AA30" i="64"/>
  <c r="AB30" i="64"/>
  <c r="AC30" i="64"/>
  <c r="E31" i="64"/>
  <c r="F31" i="64"/>
  <c r="G31" i="64"/>
  <c r="H31" i="64"/>
  <c r="I31" i="64"/>
  <c r="J31" i="64"/>
  <c r="K31" i="64"/>
  <c r="L31" i="64"/>
  <c r="M31" i="64"/>
  <c r="N31" i="64"/>
  <c r="O31" i="64"/>
  <c r="P31" i="64"/>
  <c r="Q31" i="64"/>
  <c r="R31" i="64"/>
  <c r="S31" i="64"/>
  <c r="T31" i="64"/>
  <c r="U31" i="64"/>
  <c r="V31" i="64"/>
  <c r="W31" i="64"/>
  <c r="X31" i="64"/>
  <c r="Y31" i="64"/>
  <c r="Z31" i="64"/>
  <c r="AA31" i="64"/>
  <c r="AB31" i="64"/>
  <c r="AC31" i="64"/>
  <c r="E32" i="64"/>
  <c r="F32" i="64"/>
  <c r="G32" i="64"/>
  <c r="H32" i="64"/>
  <c r="I32" i="64"/>
  <c r="J32" i="64"/>
  <c r="K32" i="64"/>
  <c r="L32" i="64"/>
  <c r="M32" i="64"/>
  <c r="N32" i="64"/>
  <c r="O32" i="64"/>
  <c r="P32" i="64"/>
  <c r="Q32" i="64"/>
  <c r="R32" i="64"/>
  <c r="S32" i="64"/>
  <c r="T32" i="64"/>
  <c r="U32" i="64"/>
  <c r="V32" i="64"/>
  <c r="W32" i="64"/>
  <c r="X32" i="64"/>
  <c r="Y32" i="64"/>
  <c r="Z32" i="64"/>
  <c r="AA32" i="64"/>
  <c r="AB32" i="64"/>
  <c r="AC32" i="64"/>
  <c r="E33" i="64"/>
  <c r="F33" i="64"/>
  <c r="G33" i="64"/>
  <c r="H33" i="64"/>
  <c r="I33" i="64"/>
  <c r="J33" i="64"/>
  <c r="K33" i="64"/>
  <c r="L33" i="64"/>
  <c r="M33" i="64"/>
  <c r="N33" i="64"/>
  <c r="O33" i="64"/>
  <c r="P33" i="64"/>
  <c r="Q33" i="64"/>
  <c r="R33" i="64"/>
  <c r="S33" i="64"/>
  <c r="T33" i="64"/>
  <c r="U33" i="64"/>
  <c r="V33" i="64"/>
  <c r="W33" i="64"/>
  <c r="X33" i="64"/>
  <c r="Y33" i="64"/>
  <c r="Z33" i="64"/>
  <c r="AA33" i="64"/>
  <c r="AC33" i="64"/>
  <c r="AD33" i="64"/>
  <c r="E34" i="64"/>
  <c r="F34" i="64"/>
  <c r="G34" i="64"/>
  <c r="H34" i="64"/>
  <c r="I34" i="64"/>
  <c r="J34" i="64"/>
  <c r="K34" i="64"/>
  <c r="L34" i="64"/>
  <c r="M34" i="64"/>
  <c r="N34" i="64"/>
  <c r="O34" i="64"/>
  <c r="P34" i="64"/>
  <c r="Q34" i="64"/>
  <c r="R34" i="64"/>
  <c r="S34" i="64"/>
  <c r="T34" i="64"/>
  <c r="U34" i="64"/>
  <c r="V34" i="64"/>
  <c r="W34" i="64"/>
  <c r="X34" i="64"/>
  <c r="Y34" i="64"/>
  <c r="Z34" i="64"/>
  <c r="AA34" i="64"/>
  <c r="AC34" i="64"/>
  <c r="AD34" i="64"/>
  <c r="C36" i="64"/>
  <c r="D36" i="64"/>
  <c r="C37" i="64"/>
  <c r="D37" i="64"/>
  <c r="C40" i="64"/>
  <c r="C41" i="64"/>
  <c r="C44" i="64"/>
  <c r="C45" i="64"/>
  <c r="C46" i="64"/>
  <c r="A1" i="47"/>
  <c r="A2" i="47"/>
  <c r="A3" i="47"/>
  <c r="M9" i="47"/>
  <c r="V9" i="47"/>
  <c r="M10" i="47"/>
  <c r="V10" i="47"/>
  <c r="AA10" i="47"/>
  <c r="A12" i="47"/>
  <c r="C12" i="47"/>
  <c r="D12" i="47"/>
  <c r="E12" i="47"/>
  <c r="F12" i="47"/>
  <c r="G12" i="47"/>
  <c r="H12" i="47"/>
  <c r="I12" i="47"/>
  <c r="J12" i="47"/>
  <c r="L12" i="47"/>
  <c r="M12" i="47"/>
  <c r="N12" i="47"/>
  <c r="O12" i="47"/>
  <c r="P12" i="47"/>
  <c r="Q12" i="47"/>
  <c r="R12" i="47"/>
  <c r="S12" i="47"/>
  <c r="U12" i="47"/>
  <c r="V12" i="47"/>
  <c r="W12" i="47"/>
  <c r="X12" i="47"/>
  <c r="Y12" i="47"/>
  <c r="Z12" i="47"/>
  <c r="AA12" i="47"/>
  <c r="AB12" i="47"/>
  <c r="AC12" i="47"/>
  <c r="AD12" i="47"/>
  <c r="A13" i="47"/>
  <c r="C13" i="47"/>
  <c r="D13" i="47"/>
  <c r="E13" i="47"/>
  <c r="F13" i="47"/>
  <c r="G13" i="47"/>
  <c r="H13" i="47"/>
  <c r="I13" i="47"/>
  <c r="J13" i="47"/>
  <c r="L13" i="47"/>
  <c r="M13" i="47"/>
  <c r="N13" i="47"/>
  <c r="O13" i="47"/>
  <c r="P13" i="47"/>
  <c r="Q13" i="47"/>
  <c r="R13" i="47"/>
  <c r="S13" i="47"/>
  <c r="U13" i="47"/>
  <c r="V13" i="47"/>
  <c r="W13" i="47"/>
  <c r="X13" i="47"/>
  <c r="Y13" i="47"/>
  <c r="Z13" i="47"/>
  <c r="AA13" i="47"/>
  <c r="AB13" i="47"/>
  <c r="AC13" i="47"/>
  <c r="AD13" i="47"/>
  <c r="A14" i="47"/>
  <c r="C14" i="47"/>
  <c r="D14" i="47"/>
  <c r="E14" i="47"/>
  <c r="F14" i="47"/>
  <c r="G14" i="47"/>
  <c r="H14" i="47"/>
  <c r="I14" i="47"/>
  <c r="J14" i="47"/>
  <c r="L14" i="47"/>
  <c r="M14" i="47"/>
  <c r="N14" i="47"/>
  <c r="O14" i="47"/>
  <c r="P14" i="47"/>
  <c r="Q14" i="47"/>
  <c r="R14" i="47"/>
  <c r="S14" i="47"/>
  <c r="U14" i="47"/>
  <c r="V14" i="47"/>
  <c r="W14" i="47"/>
  <c r="X14" i="47"/>
  <c r="Y14" i="47"/>
  <c r="Z14" i="47"/>
  <c r="AA14" i="47"/>
  <c r="AB14" i="47"/>
  <c r="AC14" i="47"/>
  <c r="AD14" i="47"/>
  <c r="A15" i="47"/>
  <c r="C15" i="47"/>
  <c r="D15" i="47"/>
  <c r="E15" i="47"/>
  <c r="F15" i="47"/>
  <c r="G15" i="47"/>
  <c r="H15" i="47"/>
  <c r="I15" i="47"/>
  <c r="J15" i="47"/>
  <c r="L15" i="47"/>
  <c r="M15" i="47"/>
  <c r="N15" i="47"/>
  <c r="O15" i="47"/>
  <c r="P15" i="47"/>
  <c r="Q15" i="47"/>
  <c r="R15" i="47"/>
  <c r="S15" i="47"/>
  <c r="U15" i="47"/>
  <c r="V15" i="47"/>
  <c r="W15" i="47"/>
  <c r="X15" i="47"/>
  <c r="Y15" i="47"/>
  <c r="Z15" i="47"/>
  <c r="AA15" i="47"/>
  <c r="AB15" i="47"/>
  <c r="AC15" i="47"/>
  <c r="AD15" i="47"/>
  <c r="A16" i="47"/>
  <c r="C16" i="47"/>
  <c r="D16" i="47"/>
  <c r="E16" i="47"/>
  <c r="F16" i="47"/>
  <c r="G16" i="47"/>
  <c r="H16" i="47"/>
  <c r="I16" i="47"/>
  <c r="J16" i="47"/>
  <c r="L16" i="47"/>
  <c r="M16" i="47"/>
  <c r="N16" i="47"/>
  <c r="O16" i="47"/>
  <c r="P16" i="47"/>
  <c r="Q16" i="47"/>
  <c r="R16" i="47"/>
  <c r="S16" i="47"/>
  <c r="U16" i="47"/>
  <c r="V16" i="47"/>
  <c r="W16" i="47"/>
  <c r="X16" i="47"/>
  <c r="Y16" i="47"/>
  <c r="Z16" i="47"/>
  <c r="AA16" i="47"/>
  <c r="AB16" i="47"/>
  <c r="AC16" i="47"/>
  <c r="AD16" i="47"/>
  <c r="A17" i="47"/>
  <c r="C17" i="47"/>
  <c r="D17" i="47"/>
  <c r="E17" i="47"/>
  <c r="F17" i="47"/>
  <c r="G17" i="47"/>
  <c r="H17" i="47"/>
  <c r="I17" i="47"/>
  <c r="J17" i="47"/>
  <c r="L17" i="47"/>
  <c r="M17" i="47"/>
  <c r="N17" i="47"/>
  <c r="O17" i="47"/>
  <c r="P17" i="47"/>
  <c r="Q17" i="47"/>
  <c r="R17" i="47"/>
  <c r="S17" i="47"/>
  <c r="U17" i="47"/>
  <c r="V17" i="47"/>
  <c r="W17" i="47"/>
  <c r="X17" i="47"/>
  <c r="Y17" i="47"/>
  <c r="Z17" i="47"/>
  <c r="AA17" i="47"/>
  <c r="AB17" i="47"/>
  <c r="AC17" i="47"/>
  <c r="AD17" i="47"/>
  <c r="A18" i="47"/>
  <c r="C18" i="47"/>
  <c r="D18" i="47"/>
  <c r="E18" i="47"/>
  <c r="F18" i="47"/>
  <c r="G18" i="47"/>
  <c r="H18" i="47"/>
  <c r="I18" i="47"/>
  <c r="J18" i="47"/>
  <c r="L18" i="47"/>
  <c r="M18" i="47"/>
  <c r="N18" i="47"/>
  <c r="O18" i="47"/>
  <c r="P18" i="47"/>
  <c r="Q18" i="47"/>
  <c r="R18" i="47"/>
  <c r="S18" i="47"/>
  <c r="U18" i="47"/>
  <c r="V18" i="47"/>
  <c r="W18" i="47"/>
  <c r="X18" i="47"/>
  <c r="Y18" i="47"/>
  <c r="Z18" i="47"/>
  <c r="AA18" i="47"/>
  <c r="AB18" i="47"/>
  <c r="AC18" i="47"/>
  <c r="AD18" i="47"/>
  <c r="A19" i="47"/>
  <c r="C19" i="47"/>
  <c r="D19" i="47"/>
  <c r="E19" i="47"/>
  <c r="F19" i="47"/>
  <c r="G19" i="47"/>
  <c r="H19" i="47"/>
  <c r="I19" i="47"/>
  <c r="J19" i="47"/>
  <c r="L19" i="47"/>
  <c r="M19" i="47"/>
  <c r="N19" i="47"/>
  <c r="O19" i="47"/>
  <c r="P19" i="47"/>
  <c r="Q19" i="47"/>
  <c r="R19" i="47"/>
  <c r="S19" i="47"/>
  <c r="U19" i="47"/>
  <c r="V19" i="47"/>
  <c r="W19" i="47"/>
  <c r="X19" i="47"/>
  <c r="Y19" i="47"/>
  <c r="Z19" i="47"/>
  <c r="AA19" i="47"/>
  <c r="AB19" i="47"/>
  <c r="AC19" i="47"/>
  <c r="AD19" i="47"/>
  <c r="A20" i="47"/>
  <c r="C20" i="47"/>
  <c r="D20" i="47"/>
  <c r="E20" i="47"/>
  <c r="F20" i="47"/>
  <c r="G20" i="47"/>
  <c r="H20" i="47"/>
  <c r="I20" i="47"/>
  <c r="J20" i="47"/>
  <c r="L20" i="47"/>
  <c r="M20" i="47"/>
  <c r="N20" i="47"/>
  <c r="O20" i="47"/>
  <c r="P20" i="47"/>
  <c r="Q20" i="47"/>
  <c r="R20" i="47"/>
  <c r="S20" i="47"/>
  <c r="U20" i="47"/>
  <c r="V20" i="47"/>
  <c r="W20" i="47"/>
  <c r="X20" i="47"/>
  <c r="Y20" i="47"/>
  <c r="Z20" i="47"/>
  <c r="AA20" i="47"/>
  <c r="AB20" i="47"/>
  <c r="AC20" i="47"/>
  <c r="AD20" i="47"/>
  <c r="A21" i="47"/>
  <c r="C21" i="47"/>
  <c r="D21" i="47"/>
  <c r="E21" i="47"/>
  <c r="F21" i="47"/>
  <c r="G21" i="47"/>
  <c r="H21" i="47"/>
  <c r="I21" i="47"/>
  <c r="J21" i="47"/>
  <c r="L21" i="47"/>
  <c r="M21" i="47"/>
  <c r="N21" i="47"/>
  <c r="O21" i="47"/>
  <c r="P21" i="47"/>
  <c r="Q21" i="47"/>
  <c r="R21" i="47"/>
  <c r="S21" i="47"/>
  <c r="U21" i="47"/>
  <c r="V21" i="47"/>
  <c r="W21" i="47"/>
  <c r="X21" i="47"/>
  <c r="Y21" i="47"/>
  <c r="Z21" i="47"/>
  <c r="AA21" i="47"/>
  <c r="AB21" i="47"/>
  <c r="AC21" i="47"/>
  <c r="AD21" i="47"/>
  <c r="A22" i="47"/>
  <c r="C22" i="47"/>
  <c r="D22" i="47"/>
  <c r="E22" i="47"/>
  <c r="F22" i="47"/>
  <c r="G22" i="47"/>
  <c r="H22" i="47"/>
  <c r="I22" i="47"/>
  <c r="J22" i="47"/>
  <c r="L22" i="47"/>
  <c r="M22" i="47"/>
  <c r="N22" i="47"/>
  <c r="O22" i="47"/>
  <c r="P22" i="47"/>
  <c r="Q22" i="47"/>
  <c r="R22" i="47"/>
  <c r="S22" i="47"/>
  <c r="U22" i="47"/>
  <c r="V22" i="47"/>
  <c r="W22" i="47"/>
  <c r="X22" i="47"/>
  <c r="Y22" i="47"/>
  <c r="Z22" i="47"/>
  <c r="AA22" i="47"/>
  <c r="AB22" i="47"/>
  <c r="AC22" i="47"/>
  <c r="AD22" i="47"/>
  <c r="A23" i="47"/>
  <c r="C23" i="47"/>
  <c r="D23" i="47"/>
  <c r="E23" i="47"/>
  <c r="F23" i="47"/>
  <c r="G23" i="47"/>
  <c r="H23" i="47"/>
  <c r="I23" i="47"/>
  <c r="J23" i="47"/>
  <c r="L23" i="47"/>
  <c r="M23" i="47"/>
  <c r="N23" i="47"/>
  <c r="O23" i="47"/>
  <c r="P23" i="47"/>
  <c r="Q23" i="47"/>
  <c r="R23" i="47"/>
  <c r="S23" i="47"/>
  <c r="U23" i="47"/>
  <c r="V23" i="47"/>
  <c r="W23" i="47"/>
  <c r="X23" i="47"/>
  <c r="Y23" i="47"/>
  <c r="Z23" i="47"/>
  <c r="AA23" i="47"/>
  <c r="AB23" i="47"/>
  <c r="AC23" i="47"/>
  <c r="AD23" i="47"/>
  <c r="A24" i="47"/>
  <c r="C24" i="47"/>
  <c r="D24" i="47"/>
  <c r="E24" i="47"/>
  <c r="F24" i="47"/>
  <c r="G24" i="47"/>
  <c r="H24" i="47"/>
  <c r="I24" i="47"/>
  <c r="J24" i="47"/>
  <c r="L24" i="47"/>
  <c r="M24" i="47"/>
  <c r="N24" i="47"/>
  <c r="O24" i="47"/>
  <c r="P24" i="47"/>
  <c r="Q24" i="47"/>
  <c r="R24" i="47"/>
  <c r="S24" i="47"/>
  <c r="U24" i="47"/>
  <c r="V24" i="47"/>
  <c r="W24" i="47"/>
  <c r="X24" i="47"/>
  <c r="Y24" i="47"/>
  <c r="Z24" i="47"/>
  <c r="AA24" i="47"/>
  <c r="AB24" i="47"/>
  <c r="AC24" i="47"/>
  <c r="AD24" i="47"/>
  <c r="A25" i="47"/>
  <c r="C25" i="47"/>
  <c r="D25" i="47"/>
  <c r="E25" i="47"/>
  <c r="F25" i="47"/>
  <c r="G25" i="47"/>
  <c r="H25" i="47"/>
  <c r="I25" i="47"/>
  <c r="J25" i="47"/>
  <c r="L25" i="47"/>
  <c r="M25" i="47"/>
  <c r="N25" i="47"/>
  <c r="O25" i="47"/>
  <c r="P25" i="47"/>
  <c r="Q25" i="47"/>
  <c r="R25" i="47"/>
  <c r="S25" i="47"/>
  <c r="U25" i="47"/>
  <c r="V25" i="47"/>
  <c r="W25" i="47"/>
  <c r="X25" i="47"/>
  <c r="Y25" i="47"/>
  <c r="Z25" i="47"/>
  <c r="AA25" i="47"/>
  <c r="AB25" i="47"/>
  <c r="AC25" i="47"/>
  <c r="AD25" i="47"/>
  <c r="A26" i="47"/>
  <c r="C26" i="47"/>
  <c r="D26" i="47"/>
  <c r="E26" i="47"/>
  <c r="F26" i="47"/>
  <c r="G26" i="47"/>
  <c r="H26" i="47"/>
  <c r="I26" i="47"/>
  <c r="J26" i="47"/>
  <c r="L26" i="47"/>
  <c r="M26" i="47"/>
  <c r="N26" i="47"/>
  <c r="O26" i="47"/>
  <c r="P26" i="47"/>
  <c r="Q26" i="47"/>
  <c r="R26" i="47"/>
  <c r="S26" i="47"/>
  <c r="U26" i="47"/>
  <c r="V26" i="47"/>
  <c r="W26" i="47"/>
  <c r="X26" i="47"/>
  <c r="Y26" i="47"/>
  <c r="Z26" i="47"/>
  <c r="AA26" i="47"/>
  <c r="AB26" i="47"/>
  <c r="AC26" i="47"/>
  <c r="AD26" i="47"/>
  <c r="A27" i="47"/>
  <c r="C27" i="47"/>
  <c r="D27" i="47"/>
  <c r="E27" i="47"/>
  <c r="F27" i="47"/>
  <c r="G27" i="47"/>
  <c r="H27" i="47"/>
  <c r="I27" i="47"/>
  <c r="J27" i="47"/>
  <c r="L27" i="47"/>
  <c r="M27" i="47"/>
  <c r="N27" i="47"/>
  <c r="O27" i="47"/>
  <c r="P27" i="47"/>
  <c r="Q27" i="47"/>
  <c r="R27" i="47"/>
  <c r="S27" i="47"/>
  <c r="U27" i="47"/>
  <c r="V27" i="47"/>
  <c r="W27" i="47"/>
  <c r="X27" i="47"/>
  <c r="Y27" i="47"/>
  <c r="Z27" i="47"/>
  <c r="AA27" i="47"/>
  <c r="AB27" i="47"/>
  <c r="AC27" i="47"/>
  <c r="AD27" i="47"/>
  <c r="A28" i="47"/>
  <c r="C28" i="47"/>
  <c r="D28" i="47"/>
  <c r="E28" i="47"/>
  <c r="F28" i="47"/>
  <c r="G28" i="47"/>
  <c r="H28" i="47"/>
  <c r="I28" i="47"/>
  <c r="J28" i="47"/>
  <c r="L28" i="47"/>
  <c r="M28" i="47"/>
  <c r="N28" i="47"/>
  <c r="O28" i="47"/>
  <c r="P28" i="47"/>
  <c r="Q28" i="47"/>
  <c r="R28" i="47"/>
  <c r="S28" i="47"/>
  <c r="U28" i="47"/>
  <c r="V28" i="47"/>
  <c r="W28" i="47"/>
  <c r="X28" i="47"/>
  <c r="Y28" i="47"/>
  <c r="Z28" i="47"/>
  <c r="AA28" i="47"/>
  <c r="AB28" i="47"/>
  <c r="AC28" i="47"/>
  <c r="AD28" i="47"/>
  <c r="A29" i="47"/>
  <c r="C29" i="47"/>
  <c r="D29" i="47"/>
  <c r="E29" i="47"/>
  <c r="F29" i="47"/>
  <c r="G29" i="47"/>
  <c r="H29" i="47"/>
  <c r="I29" i="47"/>
  <c r="J29" i="47"/>
  <c r="L29" i="47"/>
  <c r="M29" i="47"/>
  <c r="N29" i="47"/>
  <c r="O29" i="47"/>
  <c r="P29" i="47"/>
  <c r="Q29" i="47"/>
  <c r="R29" i="47"/>
  <c r="S29" i="47"/>
  <c r="U29" i="47"/>
  <c r="V29" i="47"/>
  <c r="W29" i="47"/>
  <c r="X29" i="47"/>
  <c r="Y29" i="47"/>
  <c r="Z29" i="47"/>
  <c r="AA29" i="47"/>
  <c r="AB29" i="47"/>
  <c r="AC29" i="47"/>
  <c r="AD29" i="47"/>
  <c r="A30" i="47"/>
  <c r="C30" i="47"/>
  <c r="D30" i="47"/>
  <c r="E30" i="47"/>
  <c r="F30" i="47"/>
  <c r="G30" i="47"/>
  <c r="H30" i="47"/>
  <c r="I30" i="47"/>
  <c r="J30" i="47"/>
  <c r="L30" i="47"/>
  <c r="M30" i="47"/>
  <c r="N30" i="47"/>
  <c r="O30" i="47"/>
  <c r="P30" i="47"/>
  <c r="Q30" i="47"/>
  <c r="R30" i="47"/>
  <c r="S30" i="47"/>
  <c r="U30" i="47"/>
  <c r="V30" i="47"/>
  <c r="W30" i="47"/>
  <c r="X30" i="47"/>
  <c r="Y30" i="47"/>
  <c r="Z30" i="47"/>
  <c r="AA30" i="47"/>
  <c r="AB30" i="47"/>
  <c r="AC30" i="47"/>
  <c r="AD30" i="47"/>
  <c r="A31" i="47"/>
  <c r="C31" i="47"/>
  <c r="D31" i="47"/>
  <c r="E31" i="47"/>
  <c r="F31" i="47"/>
  <c r="G31" i="47"/>
  <c r="H31" i="47"/>
  <c r="I31" i="47"/>
  <c r="J31" i="47"/>
  <c r="L31" i="47"/>
  <c r="M31" i="47"/>
  <c r="N31" i="47"/>
  <c r="O31" i="47"/>
  <c r="P31" i="47"/>
  <c r="Q31" i="47"/>
  <c r="R31" i="47"/>
  <c r="S31" i="47"/>
  <c r="U31" i="47"/>
  <c r="V31" i="47"/>
  <c r="W31" i="47"/>
  <c r="X31" i="47"/>
  <c r="Y31" i="47"/>
  <c r="Z31" i="47"/>
  <c r="AA31" i="47"/>
  <c r="AB31" i="47"/>
  <c r="AC31" i="47"/>
  <c r="AD31" i="47"/>
  <c r="A32" i="47"/>
  <c r="C32" i="47"/>
  <c r="D32" i="47"/>
  <c r="E32" i="47"/>
  <c r="F32" i="47"/>
  <c r="G32" i="47"/>
  <c r="H32" i="47"/>
  <c r="I32" i="47"/>
  <c r="J32" i="47"/>
  <c r="L32" i="47"/>
  <c r="M32" i="47"/>
  <c r="N32" i="47"/>
  <c r="O32" i="47"/>
  <c r="P32" i="47"/>
  <c r="Q32" i="47"/>
  <c r="R32" i="47"/>
  <c r="S32" i="47"/>
  <c r="U32" i="47"/>
  <c r="V32" i="47"/>
  <c r="W32" i="47"/>
  <c r="X32" i="47"/>
  <c r="Y32" i="47"/>
  <c r="Z32" i="47"/>
  <c r="AA32" i="47"/>
  <c r="AB32" i="47"/>
  <c r="AC32" i="47"/>
  <c r="AD32" i="47"/>
  <c r="A33" i="47"/>
  <c r="C33" i="47"/>
  <c r="D33" i="47"/>
  <c r="E33" i="47"/>
  <c r="F33" i="47"/>
  <c r="G33" i="47"/>
  <c r="H33" i="47"/>
  <c r="I33" i="47"/>
  <c r="J33" i="47"/>
  <c r="L33" i="47"/>
  <c r="M33" i="47"/>
  <c r="N33" i="47"/>
  <c r="O33" i="47"/>
  <c r="P33" i="47"/>
  <c r="Q33" i="47"/>
  <c r="R33" i="47"/>
  <c r="S33" i="47"/>
  <c r="U33" i="47"/>
  <c r="V33" i="47"/>
  <c r="W33" i="47"/>
  <c r="X33" i="47"/>
  <c r="Y33" i="47"/>
  <c r="Z33" i="47"/>
  <c r="AA33" i="47"/>
  <c r="AB33" i="47"/>
  <c r="AC33" i="47"/>
  <c r="AD33" i="47"/>
  <c r="A34" i="47"/>
  <c r="C34" i="47"/>
  <c r="D34" i="47"/>
  <c r="E34" i="47"/>
  <c r="F34" i="47"/>
  <c r="G34" i="47"/>
  <c r="H34" i="47"/>
  <c r="I34" i="47"/>
  <c r="J34" i="47"/>
  <c r="L34" i="47"/>
  <c r="M34" i="47"/>
  <c r="N34" i="47"/>
  <c r="O34" i="47"/>
  <c r="P34" i="47"/>
  <c r="Q34" i="47"/>
  <c r="R34" i="47"/>
  <c r="S34" i="47"/>
  <c r="U34" i="47"/>
  <c r="V34" i="47"/>
  <c r="W34" i="47"/>
  <c r="X34" i="47"/>
  <c r="Y34" i="47"/>
  <c r="Z34" i="47"/>
  <c r="AA34" i="47"/>
  <c r="AB34" i="47"/>
  <c r="AC34" i="47"/>
  <c r="AD34" i="47"/>
  <c r="A35" i="47"/>
  <c r="C35" i="47"/>
  <c r="D35" i="47"/>
  <c r="E35" i="47"/>
  <c r="F35" i="47"/>
  <c r="G35" i="47"/>
  <c r="H35" i="47"/>
  <c r="I35" i="47"/>
  <c r="J35" i="47"/>
  <c r="L35" i="47"/>
  <c r="M35" i="47"/>
  <c r="N35" i="47"/>
  <c r="O35" i="47"/>
  <c r="P35" i="47"/>
  <c r="Q35" i="47"/>
  <c r="R35" i="47"/>
  <c r="S35" i="47"/>
  <c r="U35" i="47"/>
  <c r="V35" i="47"/>
  <c r="W35" i="47"/>
  <c r="X35" i="47"/>
  <c r="Y35" i="47"/>
  <c r="Z35" i="47"/>
  <c r="AA35" i="47"/>
  <c r="AB35" i="47"/>
  <c r="AC35" i="47"/>
  <c r="AD35" i="47"/>
  <c r="A36" i="47"/>
  <c r="C36" i="47"/>
  <c r="D36" i="47"/>
  <c r="E36" i="47"/>
  <c r="F36" i="47"/>
  <c r="G36" i="47"/>
  <c r="H36" i="47"/>
  <c r="I36" i="47"/>
  <c r="J36" i="47"/>
  <c r="L36" i="47"/>
  <c r="M36" i="47"/>
  <c r="N36" i="47"/>
  <c r="O36" i="47"/>
  <c r="P36" i="47"/>
  <c r="Q36" i="47"/>
  <c r="R36" i="47"/>
  <c r="S36" i="47"/>
  <c r="U36" i="47"/>
  <c r="V36" i="47"/>
  <c r="W36" i="47"/>
  <c r="X36" i="47"/>
  <c r="Y36" i="47"/>
  <c r="Z36" i="47"/>
  <c r="AA36" i="47"/>
  <c r="AB36" i="47"/>
  <c r="AC36" i="47"/>
  <c r="AD36" i="47"/>
  <c r="A37" i="47"/>
  <c r="C37" i="47"/>
  <c r="D37" i="47"/>
  <c r="E37" i="47"/>
  <c r="F37" i="47"/>
  <c r="G37" i="47"/>
  <c r="H37" i="47"/>
  <c r="I37" i="47"/>
  <c r="J37" i="47"/>
  <c r="L37" i="47"/>
  <c r="M37" i="47"/>
  <c r="N37" i="47"/>
  <c r="O37" i="47"/>
  <c r="P37" i="47"/>
  <c r="Q37" i="47"/>
  <c r="R37" i="47"/>
  <c r="S37" i="47"/>
  <c r="U37" i="47"/>
  <c r="V37" i="47"/>
  <c r="W37" i="47"/>
  <c r="X37" i="47"/>
  <c r="Y37" i="47"/>
  <c r="Z37" i="47"/>
  <c r="AA37" i="47"/>
  <c r="AB37" i="47"/>
  <c r="AC37" i="47"/>
  <c r="AD37" i="47"/>
  <c r="A38" i="47"/>
  <c r="C38" i="47"/>
  <c r="D38" i="47"/>
  <c r="E38" i="47"/>
  <c r="F38" i="47"/>
  <c r="G38" i="47"/>
  <c r="H38" i="47"/>
  <c r="I38" i="47"/>
  <c r="J38" i="47"/>
  <c r="L38" i="47"/>
  <c r="M38" i="47"/>
  <c r="N38" i="47"/>
  <c r="O38" i="47"/>
  <c r="P38" i="47"/>
  <c r="Q38" i="47"/>
  <c r="R38" i="47"/>
  <c r="S38" i="47"/>
  <c r="U38" i="47"/>
  <c r="V38" i="47"/>
  <c r="W38" i="47"/>
  <c r="X38" i="47"/>
  <c r="Y38" i="47"/>
  <c r="Z38" i="47"/>
  <c r="AA38" i="47"/>
  <c r="AB38" i="47"/>
  <c r="AC38" i="47"/>
  <c r="AD38" i="47"/>
  <c r="A39" i="47"/>
  <c r="C39" i="47"/>
  <c r="D39" i="47"/>
  <c r="E39" i="47"/>
  <c r="F39" i="47"/>
  <c r="G39" i="47"/>
  <c r="H39" i="47"/>
  <c r="I39" i="47"/>
  <c r="J39" i="47"/>
  <c r="L39" i="47"/>
  <c r="M39" i="47"/>
  <c r="N39" i="47"/>
  <c r="O39" i="47"/>
  <c r="P39" i="47"/>
  <c r="Q39" i="47"/>
  <c r="R39" i="47"/>
  <c r="S39" i="47"/>
  <c r="U39" i="47"/>
  <c r="V39" i="47"/>
  <c r="W39" i="47"/>
  <c r="X39" i="47"/>
  <c r="Y39" i="47"/>
  <c r="Z39" i="47"/>
  <c r="AA39" i="47"/>
  <c r="AB39" i="47"/>
  <c r="AC39" i="47"/>
  <c r="AD39" i="47"/>
  <c r="A40" i="47"/>
  <c r="C40" i="47"/>
  <c r="D40" i="47"/>
  <c r="E40" i="47"/>
  <c r="F40" i="47"/>
  <c r="G40" i="47"/>
  <c r="H40" i="47"/>
  <c r="I40" i="47"/>
  <c r="J40" i="47"/>
  <c r="L40" i="47"/>
  <c r="M40" i="47"/>
  <c r="N40" i="47"/>
  <c r="O40" i="47"/>
  <c r="P40" i="47"/>
  <c r="Q40" i="47"/>
  <c r="R40" i="47"/>
  <c r="S40" i="47"/>
  <c r="U40" i="47"/>
  <c r="V40" i="47"/>
  <c r="W40" i="47"/>
  <c r="X40" i="47"/>
  <c r="Y40" i="47"/>
  <c r="Z40" i="47"/>
  <c r="AA40" i="47"/>
  <c r="AB40" i="47"/>
  <c r="AC40" i="47"/>
  <c r="AD40" i="47"/>
  <c r="A41" i="47"/>
  <c r="C41" i="47"/>
  <c r="D41" i="47"/>
  <c r="E41" i="47"/>
  <c r="F41" i="47"/>
  <c r="G41" i="47"/>
  <c r="H41" i="47"/>
  <c r="I41" i="47"/>
  <c r="J41" i="47"/>
  <c r="L41" i="47"/>
  <c r="M41" i="47"/>
  <c r="N41" i="47"/>
  <c r="O41" i="47"/>
  <c r="P41" i="47"/>
  <c r="Q41" i="47"/>
  <c r="R41" i="47"/>
  <c r="S41" i="47"/>
  <c r="U41" i="47"/>
  <c r="V41" i="47"/>
  <c r="W41" i="47"/>
  <c r="X41" i="47"/>
  <c r="Y41" i="47"/>
  <c r="Z41" i="47"/>
  <c r="AA41" i="47"/>
  <c r="AB41" i="47"/>
  <c r="AC41" i="47"/>
  <c r="AD41" i="47"/>
  <c r="A42" i="47"/>
  <c r="C42" i="47"/>
  <c r="D42" i="47"/>
  <c r="E42" i="47"/>
  <c r="F42" i="47"/>
  <c r="G42" i="47"/>
  <c r="H42" i="47"/>
  <c r="I42" i="47"/>
  <c r="J42" i="47"/>
  <c r="L42" i="47"/>
  <c r="M42" i="47"/>
  <c r="N42" i="47"/>
  <c r="O42" i="47"/>
  <c r="P42" i="47"/>
  <c r="Q42" i="47"/>
  <c r="R42" i="47"/>
  <c r="S42" i="47"/>
  <c r="U42" i="47"/>
  <c r="V42" i="47"/>
  <c r="W42" i="47"/>
  <c r="X42" i="47"/>
  <c r="Y42" i="47"/>
  <c r="Z42" i="47"/>
  <c r="AA42" i="47"/>
  <c r="AB42" i="47"/>
  <c r="AC42" i="47"/>
  <c r="AD42" i="47"/>
  <c r="A43" i="47"/>
  <c r="C43" i="47"/>
  <c r="D43" i="47"/>
  <c r="E43" i="47"/>
  <c r="F43" i="47"/>
  <c r="G43" i="47"/>
  <c r="H43" i="47"/>
  <c r="I43" i="47"/>
  <c r="J43" i="47"/>
  <c r="L43" i="47"/>
  <c r="M43" i="47"/>
  <c r="N43" i="47"/>
  <c r="O43" i="47"/>
  <c r="P43" i="47"/>
  <c r="Q43" i="47"/>
  <c r="R43" i="47"/>
  <c r="S43" i="47"/>
  <c r="U43" i="47"/>
  <c r="V43" i="47"/>
  <c r="W43" i="47"/>
  <c r="X43" i="47"/>
  <c r="Y43" i="47"/>
  <c r="Z43" i="47"/>
  <c r="AA43" i="47"/>
  <c r="AB43" i="47"/>
  <c r="AC43" i="47"/>
  <c r="AD43" i="47"/>
  <c r="A44" i="47"/>
  <c r="C44" i="47"/>
  <c r="D44" i="47"/>
  <c r="E44" i="47"/>
  <c r="F44" i="47"/>
  <c r="G44" i="47"/>
  <c r="H44" i="47"/>
  <c r="I44" i="47"/>
  <c r="J44" i="47"/>
  <c r="L44" i="47"/>
  <c r="M44" i="47"/>
  <c r="N44" i="47"/>
  <c r="O44" i="47"/>
  <c r="P44" i="47"/>
  <c r="Q44" i="47"/>
  <c r="R44" i="47"/>
  <c r="S44" i="47"/>
  <c r="U44" i="47"/>
  <c r="V44" i="47"/>
  <c r="W44" i="47"/>
  <c r="X44" i="47"/>
  <c r="Y44" i="47"/>
  <c r="Z44" i="47"/>
  <c r="AA44" i="47"/>
  <c r="AB44" i="47"/>
  <c r="AC44" i="47"/>
  <c r="AD44" i="47"/>
  <c r="A45" i="47"/>
  <c r="C45" i="47"/>
  <c r="D45" i="47"/>
  <c r="E45" i="47"/>
  <c r="F45" i="47"/>
  <c r="G45" i="47"/>
  <c r="H45" i="47"/>
  <c r="I45" i="47"/>
  <c r="J45" i="47"/>
  <c r="L45" i="47"/>
  <c r="M45" i="47"/>
  <c r="N45" i="47"/>
  <c r="O45" i="47"/>
  <c r="P45" i="47"/>
  <c r="Q45" i="47"/>
  <c r="R45" i="47"/>
  <c r="S45" i="47"/>
  <c r="U45" i="47"/>
  <c r="V45" i="47"/>
  <c r="W45" i="47"/>
  <c r="X45" i="47"/>
  <c r="Y45" i="47"/>
  <c r="Z45" i="47"/>
  <c r="AA45" i="47"/>
  <c r="AB45" i="47"/>
  <c r="AC45" i="47"/>
  <c r="AD45" i="47"/>
  <c r="A46" i="47"/>
  <c r="C46" i="47"/>
  <c r="D46" i="47"/>
  <c r="E46" i="47"/>
  <c r="F46" i="47"/>
  <c r="G46" i="47"/>
  <c r="H46" i="47"/>
  <c r="I46" i="47"/>
  <c r="J46" i="47"/>
  <c r="L46" i="47"/>
  <c r="M46" i="47"/>
  <c r="N46" i="47"/>
  <c r="O46" i="47"/>
  <c r="P46" i="47"/>
  <c r="Q46" i="47"/>
  <c r="R46" i="47"/>
  <c r="S46" i="47"/>
  <c r="U46" i="47"/>
  <c r="V46" i="47"/>
  <c r="W46" i="47"/>
  <c r="X46" i="47"/>
  <c r="Y46" i="47"/>
  <c r="Z46" i="47"/>
  <c r="AA46" i="47"/>
  <c r="AB46" i="47"/>
  <c r="AC46" i="47"/>
  <c r="AD46" i="47"/>
  <c r="A47" i="47"/>
  <c r="C47" i="47"/>
  <c r="D47" i="47"/>
  <c r="E47" i="47"/>
  <c r="F47" i="47"/>
  <c r="G47" i="47"/>
  <c r="H47" i="47"/>
  <c r="I47" i="47"/>
  <c r="J47" i="47"/>
  <c r="L47" i="47"/>
  <c r="M47" i="47"/>
  <c r="N47" i="47"/>
  <c r="O47" i="47"/>
  <c r="P47" i="47"/>
  <c r="Q47" i="47"/>
  <c r="R47" i="47"/>
  <c r="S47" i="47"/>
  <c r="U47" i="47"/>
  <c r="V47" i="47"/>
  <c r="W47" i="47"/>
  <c r="X47" i="47"/>
  <c r="Y47" i="47"/>
  <c r="Z47" i="47"/>
  <c r="AA47" i="47"/>
  <c r="AB47" i="47"/>
  <c r="AC47" i="47"/>
  <c r="AD47" i="47"/>
  <c r="A48" i="47"/>
  <c r="C48" i="47"/>
  <c r="D48" i="47"/>
  <c r="E48" i="47"/>
  <c r="F48" i="47"/>
  <c r="G48" i="47"/>
  <c r="H48" i="47"/>
  <c r="I48" i="47"/>
  <c r="J48" i="47"/>
  <c r="L48" i="47"/>
  <c r="M48" i="47"/>
  <c r="N48" i="47"/>
  <c r="O48" i="47"/>
  <c r="P48" i="47"/>
  <c r="Q48" i="47"/>
  <c r="R48" i="47"/>
  <c r="S48" i="47"/>
  <c r="U48" i="47"/>
  <c r="V48" i="47"/>
  <c r="W48" i="47"/>
  <c r="X48" i="47"/>
  <c r="Y48" i="47"/>
  <c r="Z48" i="47"/>
  <c r="AA48" i="47"/>
  <c r="AB48" i="47"/>
  <c r="AC48" i="47"/>
  <c r="AD48" i="47"/>
  <c r="A49" i="47"/>
  <c r="C49" i="47"/>
  <c r="D49" i="47"/>
  <c r="E49" i="47"/>
  <c r="F49" i="47"/>
  <c r="G49" i="47"/>
  <c r="H49" i="47"/>
  <c r="I49" i="47"/>
  <c r="J49" i="47"/>
  <c r="L49" i="47"/>
  <c r="M49" i="47"/>
  <c r="N49" i="47"/>
  <c r="O49" i="47"/>
  <c r="P49" i="47"/>
  <c r="Q49" i="47"/>
  <c r="R49" i="47"/>
  <c r="S49" i="47"/>
  <c r="U49" i="47"/>
  <c r="V49" i="47"/>
  <c r="W49" i="47"/>
  <c r="X49" i="47"/>
  <c r="Y49" i="47"/>
  <c r="Z49" i="47"/>
  <c r="AA49" i="47"/>
  <c r="AB49" i="47"/>
  <c r="AC49" i="47"/>
  <c r="AD49" i="47"/>
  <c r="A50" i="47"/>
  <c r="C50" i="47"/>
  <c r="D50" i="47"/>
  <c r="E50" i="47"/>
  <c r="F50" i="47"/>
  <c r="G50" i="47"/>
  <c r="H50" i="47"/>
  <c r="I50" i="47"/>
  <c r="J50" i="47"/>
  <c r="L50" i="47"/>
  <c r="M50" i="47"/>
  <c r="N50" i="47"/>
  <c r="O50" i="47"/>
  <c r="P50" i="47"/>
  <c r="Q50" i="47"/>
  <c r="R50" i="47"/>
  <c r="S50" i="47"/>
  <c r="U50" i="47"/>
  <c r="V50" i="47"/>
  <c r="W50" i="47"/>
  <c r="X50" i="47"/>
  <c r="Y50" i="47"/>
  <c r="Z50" i="47"/>
  <c r="AA50" i="47"/>
  <c r="AB50" i="47"/>
  <c r="AC50" i="47"/>
  <c r="AD50" i="47"/>
  <c r="A51" i="47"/>
  <c r="C51" i="47"/>
  <c r="D51" i="47"/>
  <c r="E51" i="47"/>
  <c r="F51" i="47"/>
  <c r="G51" i="47"/>
  <c r="H51" i="47"/>
  <c r="I51" i="47"/>
  <c r="J51" i="47"/>
  <c r="L51" i="47"/>
  <c r="M51" i="47"/>
  <c r="N51" i="47"/>
  <c r="O51" i="47"/>
  <c r="P51" i="47"/>
  <c r="Q51" i="47"/>
  <c r="R51" i="47"/>
  <c r="S51" i="47"/>
  <c r="U51" i="47"/>
  <c r="V51" i="47"/>
  <c r="W51" i="47"/>
  <c r="X51" i="47"/>
  <c r="Y51" i="47"/>
  <c r="Z51" i="47"/>
  <c r="AA51" i="47"/>
  <c r="AB51" i="47"/>
  <c r="AC51" i="47"/>
  <c r="AD51" i="47"/>
  <c r="A52" i="47"/>
  <c r="C52" i="47"/>
  <c r="D52" i="47"/>
  <c r="E52" i="47"/>
  <c r="F52" i="47"/>
  <c r="G52" i="47"/>
  <c r="H52" i="47"/>
  <c r="I52" i="47"/>
  <c r="J52" i="47"/>
  <c r="L52" i="47"/>
  <c r="M52" i="47"/>
  <c r="N52" i="47"/>
  <c r="O52" i="47"/>
  <c r="P52" i="47"/>
  <c r="Q52" i="47"/>
  <c r="R52" i="47"/>
  <c r="S52" i="47"/>
  <c r="U52" i="47"/>
  <c r="V52" i="47"/>
  <c r="W52" i="47"/>
  <c r="X52" i="47"/>
  <c r="Y52" i="47"/>
  <c r="Z52" i="47"/>
  <c r="AA52" i="47"/>
  <c r="AB52" i="47"/>
  <c r="AC52" i="47"/>
  <c r="AD52" i="47"/>
  <c r="A53" i="47"/>
  <c r="C53" i="47"/>
  <c r="D53" i="47"/>
  <c r="E53" i="47"/>
  <c r="F53" i="47"/>
  <c r="G53" i="47"/>
  <c r="H53" i="47"/>
  <c r="I53" i="47"/>
  <c r="J53" i="47"/>
  <c r="L53" i="47"/>
  <c r="M53" i="47"/>
  <c r="N53" i="47"/>
  <c r="O53" i="47"/>
  <c r="P53" i="47"/>
  <c r="Q53" i="47"/>
  <c r="R53" i="47"/>
  <c r="S53" i="47"/>
  <c r="U53" i="47"/>
  <c r="V53" i="47"/>
  <c r="W53" i="47"/>
  <c r="X53" i="47"/>
  <c r="Y53" i="47"/>
  <c r="Z53" i="47"/>
  <c r="AA53" i="47"/>
  <c r="AB53" i="47"/>
  <c r="AC53" i="47"/>
  <c r="AD53" i="47"/>
  <c r="A54" i="47"/>
  <c r="C54" i="47"/>
  <c r="D54" i="47"/>
  <c r="E54" i="47"/>
  <c r="F54" i="47"/>
  <c r="G54" i="47"/>
  <c r="H54" i="47"/>
  <c r="I54" i="47"/>
  <c r="J54" i="47"/>
  <c r="L54" i="47"/>
  <c r="M54" i="47"/>
  <c r="N54" i="47"/>
  <c r="O54" i="47"/>
  <c r="P54" i="47"/>
  <c r="Q54" i="47"/>
  <c r="R54" i="47"/>
  <c r="S54" i="47"/>
  <c r="U54" i="47"/>
  <c r="V54" i="47"/>
  <c r="W54" i="47"/>
  <c r="X54" i="47"/>
  <c r="Y54" i="47"/>
  <c r="Z54" i="47"/>
  <c r="AA54" i="47"/>
  <c r="AB54" i="47"/>
  <c r="AC54" i="47"/>
  <c r="AD54" i="47"/>
  <c r="A55" i="47"/>
  <c r="C55" i="47"/>
  <c r="D55" i="47"/>
  <c r="E55" i="47"/>
  <c r="F55" i="47"/>
  <c r="G55" i="47"/>
  <c r="H55" i="47"/>
  <c r="I55" i="47"/>
  <c r="J55" i="47"/>
  <c r="L55" i="47"/>
  <c r="M55" i="47"/>
  <c r="N55" i="47"/>
  <c r="O55" i="47"/>
  <c r="P55" i="47"/>
  <c r="Q55" i="47"/>
  <c r="R55" i="47"/>
  <c r="S55" i="47"/>
  <c r="U55" i="47"/>
  <c r="V55" i="47"/>
  <c r="W55" i="47"/>
  <c r="X55" i="47"/>
  <c r="Y55" i="47"/>
  <c r="Z55" i="47"/>
  <c r="AA55" i="47"/>
  <c r="AB55" i="47"/>
  <c r="AC55" i="47"/>
  <c r="AD55" i="47"/>
  <c r="A56" i="47"/>
  <c r="C56" i="47"/>
  <c r="D56" i="47"/>
  <c r="E56" i="47"/>
  <c r="F56" i="47"/>
  <c r="G56" i="47"/>
  <c r="H56" i="47"/>
  <c r="I56" i="47"/>
  <c r="J56" i="47"/>
  <c r="L56" i="47"/>
  <c r="M56" i="47"/>
  <c r="N56" i="47"/>
  <c r="O56" i="47"/>
  <c r="P56" i="47"/>
  <c r="Q56" i="47"/>
  <c r="R56" i="47"/>
  <c r="S56" i="47"/>
  <c r="U56" i="47"/>
  <c r="V56" i="47"/>
  <c r="W56" i="47"/>
  <c r="X56" i="47"/>
  <c r="Y56" i="47"/>
  <c r="Z56" i="47"/>
  <c r="AA56" i="47"/>
  <c r="AB56" i="47"/>
  <c r="AC56" i="47"/>
  <c r="AD56" i="47"/>
  <c r="A57" i="47"/>
  <c r="C57" i="47"/>
  <c r="D57" i="47"/>
  <c r="E57" i="47"/>
  <c r="F57" i="47"/>
  <c r="G57" i="47"/>
  <c r="H57" i="47"/>
  <c r="I57" i="47"/>
  <c r="J57" i="47"/>
  <c r="L57" i="47"/>
  <c r="M57" i="47"/>
  <c r="N57" i="47"/>
  <c r="O57" i="47"/>
  <c r="P57" i="47"/>
  <c r="Q57" i="47"/>
  <c r="R57" i="47"/>
  <c r="S57" i="47"/>
  <c r="U57" i="47"/>
  <c r="V57" i="47"/>
  <c r="W57" i="47"/>
  <c r="X57" i="47"/>
  <c r="Y57" i="47"/>
  <c r="Z57" i="47"/>
  <c r="AA57" i="47"/>
  <c r="AB57" i="47"/>
  <c r="AC57" i="47"/>
  <c r="AD57" i="47"/>
  <c r="A58" i="47"/>
  <c r="C58" i="47"/>
  <c r="D58" i="47"/>
  <c r="E58" i="47"/>
  <c r="F58" i="47"/>
  <c r="G58" i="47"/>
  <c r="H58" i="47"/>
  <c r="I58" i="47"/>
  <c r="J58" i="47"/>
  <c r="L58" i="47"/>
  <c r="M58" i="47"/>
  <c r="N58" i="47"/>
  <c r="O58" i="47"/>
  <c r="P58" i="47"/>
  <c r="Q58" i="47"/>
  <c r="R58" i="47"/>
  <c r="S58" i="47"/>
  <c r="U58" i="47"/>
  <c r="V58" i="47"/>
  <c r="W58" i="47"/>
  <c r="X58" i="47"/>
  <c r="Y58" i="47"/>
  <c r="Z58" i="47"/>
  <c r="AA58" i="47"/>
  <c r="AB58" i="47"/>
  <c r="AC58" i="47"/>
  <c r="AD58" i="47"/>
  <c r="A59" i="47"/>
  <c r="C59" i="47"/>
  <c r="D59" i="47"/>
  <c r="E59" i="47"/>
  <c r="F59" i="47"/>
  <c r="G59" i="47"/>
  <c r="H59" i="47"/>
  <c r="I59" i="47"/>
  <c r="J59" i="47"/>
  <c r="L59" i="47"/>
  <c r="M59" i="47"/>
  <c r="N59" i="47"/>
  <c r="O59" i="47"/>
  <c r="P59" i="47"/>
  <c r="Q59" i="47"/>
  <c r="R59" i="47"/>
  <c r="S59" i="47"/>
  <c r="U59" i="47"/>
  <c r="V59" i="47"/>
  <c r="W59" i="47"/>
  <c r="X59" i="47"/>
  <c r="Y59" i="47"/>
  <c r="Z59" i="47"/>
  <c r="AA59" i="47"/>
  <c r="AB59" i="47"/>
  <c r="AC59" i="47"/>
  <c r="AD59" i="47"/>
  <c r="A60" i="47"/>
  <c r="C60" i="47"/>
  <c r="D60" i="47"/>
  <c r="E60" i="47"/>
  <c r="F60" i="47"/>
  <c r="G60" i="47"/>
  <c r="H60" i="47"/>
  <c r="I60" i="47"/>
  <c r="J60" i="47"/>
  <c r="L60" i="47"/>
  <c r="M60" i="47"/>
  <c r="N60" i="47"/>
  <c r="O60" i="47"/>
  <c r="P60" i="47"/>
  <c r="Q60" i="47"/>
  <c r="R60" i="47"/>
  <c r="S60" i="47"/>
  <c r="U60" i="47"/>
  <c r="V60" i="47"/>
  <c r="W60" i="47"/>
  <c r="X60" i="47"/>
  <c r="Y60" i="47"/>
  <c r="Z60" i="47"/>
  <c r="AA60" i="47"/>
  <c r="AB60" i="47"/>
  <c r="AC60" i="47"/>
  <c r="AD60" i="47"/>
  <c r="A61" i="47"/>
  <c r="C61" i="47"/>
  <c r="D61" i="47"/>
  <c r="E61" i="47"/>
  <c r="F61" i="47"/>
  <c r="G61" i="47"/>
  <c r="H61" i="47"/>
  <c r="I61" i="47"/>
  <c r="J61" i="47"/>
  <c r="L61" i="47"/>
  <c r="M61" i="47"/>
  <c r="N61" i="47"/>
  <c r="O61" i="47"/>
  <c r="P61" i="47"/>
  <c r="Q61" i="47"/>
  <c r="R61" i="47"/>
  <c r="S61" i="47"/>
  <c r="U61" i="47"/>
  <c r="V61" i="47"/>
  <c r="W61" i="47"/>
  <c r="X61" i="47"/>
  <c r="Y61" i="47"/>
  <c r="Z61" i="47"/>
  <c r="AA61" i="47"/>
  <c r="AB61" i="47"/>
  <c r="AC61" i="47"/>
  <c r="AD61" i="47"/>
  <c r="A62" i="47"/>
  <c r="C62" i="47"/>
  <c r="D62" i="47"/>
  <c r="E62" i="47"/>
  <c r="F62" i="47"/>
  <c r="G62" i="47"/>
  <c r="H62" i="47"/>
  <c r="I62" i="47"/>
  <c r="J62" i="47"/>
  <c r="L62" i="47"/>
  <c r="M62" i="47"/>
  <c r="N62" i="47"/>
  <c r="O62" i="47"/>
  <c r="P62" i="47"/>
  <c r="Q62" i="47"/>
  <c r="R62" i="47"/>
  <c r="S62" i="47"/>
  <c r="U62" i="47"/>
  <c r="V62" i="47"/>
  <c r="W62" i="47"/>
  <c r="X62" i="47"/>
  <c r="Y62" i="47"/>
  <c r="Z62" i="47"/>
  <c r="AA62" i="47"/>
  <c r="AB62" i="47"/>
  <c r="AC62" i="47"/>
  <c r="AD62" i="47"/>
  <c r="A63" i="47"/>
  <c r="C63" i="47"/>
  <c r="D63" i="47"/>
  <c r="E63" i="47"/>
  <c r="F63" i="47"/>
  <c r="G63" i="47"/>
  <c r="H63" i="47"/>
  <c r="I63" i="47"/>
  <c r="J63" i="47"/>
  <c r="L63" i="47"/>
  <c r="M63" i="47"/>
  <c r="N63" i="47"/>
  <c r="O63" i="47"/>
  <c r="P63" i="47"/>
  <c r="Q63" i="47"/>
  <c r="R63" i="47"/>
  <c r="S63" i="47"/>
  <c r="U63" i="47"/>
  <c r="V63" i="47"/>
  <c r="W63" i="47"/>
  <c r="X63" i="47"/>
  <c r="Y63" i="47"/>
  <c r="Z63" i="47"/>
  <c r="AA63" i="47"/>
  <c r="AB63" i="47"/>
  <c r="AC63" i="47"/>
  <c r="AD63" i="47"/>
  <c r="A64" i="47"/>
  <c r="C64" i="47"/>
  <c r="D64" i="47"/>
  <c r="E64" i="47"/>
  <c r="F64" i="47"/>
  <c r="G64" i="47"/>
  <c r="H64" i="47"/>
  <c r="I64" i="47"/>
  <c r="J64" i="47"/>
  <c r="L64" i="47"/>
  <c r="M64" i="47"/>
  <c r="N64" i="47"/>
  <c r="O64" i="47"/>
  <c r="P64" i="47"/>
  <c r="Q64" i="47"/>
  <c r="R64" i="47"/>
  <c r="S64" i="47"/>
  <c r="U64" i="47"/>
  <c r="V64" i="47"/>
  <c r="W64" i="47"/>
  <c r="X64" i="47"/>
  <c r="Y64" i="47"/>
  <c r="Z64" i="47"/>
  <c r="AA64" i="47"/>
  <c r="AB64" i="47"/>
  <c r="AC64" i="47"/>
  <c r="AD64" i="47"/>
  <c r="A65" i="47"/>
  <c r="C65" i="47"/>
  <c r="D65" i="47"/>
  <c r="E65" i="47"/>
  <c r="F65" i="47"/>
  <c r="G65" i="47"/>
  <c r="H65" i="47"/>
  <c r="I65" i="47"/>
  <c r="J65" i="47"/>
  <c r="L65" i="47"/>
  <c r="M65" i="47"/>
  <c r="N65" i="47"/>
  <c r="O65" i="47"/>
  <c r="P65" i="47"/>
  <c r="Q65" i="47"/>
  <c r="R65" i="47"/>
  <c r="S65" i="47"/>
  <c r="U65" i="47"/>
  <c r="V65" i="47"/>
  <c r="W65" i="47"/>
  <c r="X65" i="47"/>
  <c r="Y65" i="47"/>
  <c r="Z65" i="47"/>
  <c r="AA65" i="47"/>
  <c r="AB65" i="47"/>
  <c r="AC65" i="47"/>
  <c r="AD65" i="47"/>
  <c r="A66" i="47"/>
  <c r="C66" i="47"/>
  <c r="D66" i="47"/>
  <c r="E66" i="47"/>
  <c r="F66" i="47"/>
  <c r="G66" i="47"/>
  <c r="H66" i="47"/>
  <c r="I66" i="47"/>
  <c r="J66" i="47"/>
  <c r="L66" i="47"/>
  <c r="M66" i="47"/>
  <c r="N66" i="47"/>
  <c r="O66" i="47"/>
  <c r="P66" i="47"/>
  <c r="Q66" i="47"/>
  <c r="R66" i="47"/>
  <c r="S66" i="47"/>
  <c r="U66" i="47"/>
  <c r="V66" i="47"/>
  <c r="W66" i="47"/>
  <c r="X66" i="47"/>
  <c r="Y66" i="47"/>
  <c r="Z66" i="47"/>
  <c r="AA66" i="47"/>
  <c r="AB66" i="47"/>
  <c r="AC66" i="47"/>
  <c r="AD66" i="47"/>
  <c r="A67" i="47"/>
  <c r="C67" i="47"/>
  <c r="D67" i="47"/>
  <c r="E67" i="47"/>
  <c r="F67" i="47"/>
  <c r="G67" i="47"/>
  <c r="H67" i="47"/>
  <c r="I67" i="47"/>
  <c r="J67" i="47"/>
  <c r="L67" i="47"/>
  <c r="M67" i="47"/>
  <c r="N67" i="47"/>
  <c r="O67" i="47"/>
  <c r="P67" i="47"/>
  <c r="Q67" i="47"/>
  <c r="R67" i="47"/>
  <c r="S67" i="47"/>
  <c r="U67" i="47"/>
  <c r="V67" i="47"/>
  <c r="W67" i="47"/>
  <c r="X67" i="47"/>
  <c r="Y67" i="47"/>
  <c r="Z67" i="47"/>
  <c r="AA67" i="47"/>
  <c r="AB67" i="47"/>
  <c r="AC67" i="47"/>
  <c r="AD67" i="47"/>
  <c r="A68" i="47"/>
  <c r="C68" i="47"/>
  <c r="D68" i="47"/>
  <c r="E68" i="47"/>
  <c r="F68" i="47"/>
  <c r="G68" i="47"/>
  <c r="H68" i="47"/>
  <c r="I68" i="47"/>
  <c r="J68" i="47"/>
  <c r="L68" i="47"/>
  <c r="M68" i="47"/>
  <c r="N68" i="47"/>
  <c r="O68" i="47"/>
  <c r="P68" i="47"/>
  <c r="Q68" i="47"/>
  <c r="R68" i="47"/>
  <c r="S68" i="47"/>
  <c r="U68" i="47"/>
  <c r="V68" i="47"/>
  <c r="W68" i="47"/>
  <c r="X68" i="47"/>
  <c r="Y68" i="47"/>
  <c r="Z68" i="47"/>
  <c r="AA68" i="47"/>
  <c r="AB68" i="47"/>
  <c r="AC68" i="47"/>
  <c r="AD68" i="47"/>
  <c r="A69" i="47"/>
  <c r="C69" i="47"/>
  <c r="D69" i="47"/>
  <c r="E69" i="47"/>
  <c r="F69" i="47"/>
  <c r="G69" i="47"/>
  <c r="H69" i="47"/>
  <c r="I69" i="47"/>
  <c r="J69" i="47"/>
  <c r="L69" i="47"/>
  <c r="M69" i="47"/>
  <c r="N69" i="47"/>
  <c r="O69" i="47"/>
  <c r="P69" i="47"/>
  <c r="Q69" i="47"/>
  <c r="R69" i="47"/>
  <c r="S69" i="47"/>
  <c r="U69" i="47"/>
  <c r="V69" i="47"/>
  <c r="W69" i="47"/>
  <c r="X69" i="47"/>
  <c r="Y69" i="47"/>
  <c r="Z69" i="47"/>
  <c r="AA69" i="47"/>
  <c r="AB69" i="47"/>
  <c r="AC69" i="47"/>
  <c r="AD69" i="47"/>
  <c r="A70" i="47"/>
  <c r="C70" i="47"/>
  <c r="D70" i="47"/>
  <c r="E70" i="47"/>
  <c r="F70" i="47"/>
  <c r="G70" i="47"/>
  <c r="H70" i="47"/>
  <c r="I70" i="47"/>
  <c r="J70" i="47"/>
  <c r="L70" i="47"/>
  <c r="M70" i="47"/>
  <c r="N70" i="47"/>
  <c r="O70" i="47"/>
  <c r="P70" i="47"/>
  <c r="Q70" i="47"/>
  <c r="R70" i="47"/>
  <c r="S70" i="47"/>
  <c r="U70" i="47"/>
  <c r="V70" i="47"/>
  <c r="W70" i="47"/>
  <c r="X70" i="47"/>
  <c r="Y70" i="47"/>
  <c r="Z70" i="47"/>
  <c r="AA70" i="47"/>
  <c r="AB70" i="47"/>
  <c r="AC70" i="47"/>
  <c r="AD70" i="47"/>
  <c r="A71" i="47"/>
  <c r="C71" i="47"/>
  <c r="D71" i="47"/>
  <c r="E71" i="47"/>
  <c r="F71" i="47"/>
  <c r="G71" i="47"/>
  <c r="H71" i="47"/>
  <c r="I71" i="47"/>
  <c r="J71" i="47"/>
  <c r="L71" i="47"/>
  <c r="M71" i="47"/>
  <c r="N71" i="47"/>
  <c r="O71" i="47"/>
  <c r="P71" i="47"/>
  <c r="Q71" i="47"/>
  <c r="R71" i="47"/>
  <c r="S71" i="47"/>
  <c r="U71" i="47"/>
  <c r="V71" i="47"/>
  <c r="W71" i="47"/>
  <c r="X71" i="47"/>
  <c r="Y71" i="47"/>
  <c r="Z71" i="47"/>
  <c r="AA71" i="47"/>
  <c r="AB71" i="47"/>
  <c r="AC71" i="47"/>
  <c r="AD71" i="47"/>
  <c r="A72" i="47"/>
  <c r="C72" i="47"/>
  <c r="D72" i="47"/>
  <c r="E72" i="47"/>
  <c r="F72" i="47"/>
  <c r="G72" i="47"/>
  <c r="H72" i="47"/>
  <c r="I72" i="47"/>
  <c r="J72" i="47"/>
  <c r="L72" i="47"/>
  <c r="M72" i="47"/>
  <c r="N72" i="47"/>
  <c r="O72" i="47"/>
  <c r="P72" i="47"/>
  <c r="Q72" i="47"/>
  <c r="R72" i="47"/>
  <c r="S72" i="47"/>
  <c r="U72" i="47"/>
  <c r="V72" i="47"/>
  <c r="W72" i="47"/>
  <c r="X72" i="47"/>
  <c r="Y72" i="47"/>
  <c r="Z72" i="47"/>
  <c r="AA72" i="47"/>
  <c r="AB72" i="47"/>
  <c r="AC72" i="47"/>
  <c r="AD72" i="47"/>
  <c r="A73" i="47"/>
  <c r="C73" i="47"/>
  <c r="D73" i="47"/>
  <c r="E73" i="47"/>
  <c r="F73" i="47"/>
  <c r="G73" i="47"/>
  <c r="H73" i="47"/>
  <c r="I73" i="47"/>
  <c r="J73" i="47"/>
  <c r="L73" i="47"/>
  <c r="M73" i="47"/>
  <c r="N73" i="47"/>
  <c r="O73" i="47"/>
  <c r="P73" i="47"/>
  <c r="Q73" i="47"/>
  <c r="R73" i="47"/>
  <c r="S73" i="47"/>
  <c r="U73" i="47"/>
  <c r="V73" i="47"/>
  <c r="W73" i="47"/>
  <c r="X73" i="47"/>
  <c r="Y73" i="47"/>
  <c r="Z73" i="47"/>
  <c r="AA73" i="47"/>
  <c r="AB73" i="47"/>
  <c r="AC73" i="47"/>
  <c r="AD73" i="47"/>
  <c r="A74" i="47"/>
  <c r="C74" i="47"/>
  <c r="D74" i="47"/>
  <c r="E74" i="47"/>
  <c r="F74" i="47"/>
  <c r="G74" i="47"/>
  <c r="H74" i="47"/>
  <c r="I74" i="47"/>
  <c r="J74" i="47"/>
  <c r="L74" i="47"/>
  <c r="M74" i="47"/>
  <c r="N74" i="47"/>
  <c r="O74" i="47"/>
  <c r="P74" i="47"/>
  <c r="Q74" i="47"/>
  <c r="R74" i="47"/>
  <c r="S74" i="47"/>
  <c r="U74" i="47"/>
  <c r="V74" i="47"/>
  <c r="W74" i="47"/>
  <c r="X74" i="47"/>
  <c r="Y74" i="47"/>
  <c r="Z74" i="47"/>
  <c r="AA74" i="47"/>
  <c r="AB74" i="47"/>
  <c r="AC74" i="47"/>
  <c r="AD74" i="47"/>
  <c r="A75" i="47"/>
  <c r="C75" i="47"/>
  <c r="D75" i="47"/>
  <c r="E75" i="47"/>
  <c r="F75" i="47"/>
  <c r="G75" i="47"/>
  <c r="H75" i="47"/>
  <c r="I75" i="47"/>
  <c r="J75" i="47"/>
  <c r="L75" i="47"/>
  <c r="M75" i="47"/>
  <c r="N75" i="47"/>
  <c r="O75" i="47"/>
  <c r="P75" i="47"/>
  <c r="Q75" i="47"/>
  <c r="R75" i="47"/>
  <c r="S75" i="47"/>
  <c r="U75" i="47"/>
  <c r="V75" i="47"/>
  <c r="W75" i="47"/>
  <c r="X75" i="47"/>
  <c r="Y75" i="47"/>
  <c r="Z75" i="47"/>
  <c r="AA75" i="47"/>
  <c r="AB75" i="47"/>
  <c r="AC75" i="47"/>
  <c r="AD75" i="47"/>
  <c r="A76" i="47"/>
  <c r="C76" i="47"/>
  <c r="D76" i="47"/>
  <c r="E76" i="47"/>
  <c r="F76" i="47"/>
  <c r="G76" i="47"/>
  <c r="H76" i="47"/>
  <c r="I76" i="47"/>
  <c r="J76" i="47"/>
  <c r="L76" i="47"/>
  <c r="M76" i="47"/>
  <c r="N76" i="47"/>
  <c r="O76" i="47"/>
  <c r="P76" i="47"/>
  <c r="Q76" i="47"/>
  <c r="R76" i="47"/>
  <c r="S76" i="47"/>
  <c r="U76" i="47"/>
  <c r="V76" i="47"/>
  <c r="W76" i="47"/>
  <c r="X76" i="47"/>
  <c r="Y76" i="47"/>
  <c r="Z76" i="47"/>
  <c r="AA76" i="47"/>
  <c r="AB76" i="47"/>
  <c r="AC76" i="47"/>
  <c r="AD76" i="47"/>
  <c r="A77" i="47"/>
  <c r="C77" i="47"/>
  <c r="D77" i="47"/>
  <c r="E77" i="47"/>
  <c r="F77" i="47"/>
  <c r="G77" i="47"/>
  <c r="H77" i="47"/>
  <c r="I77" i="47"/>
  <c r="J77" i="47"/>
  <c r="L77" i="47"/>
  <c r="M77" i="47"/>
  <c r="N77" i="47"/>
  <c r="O77" i="47"/>
  <c r="P77" i="47"/>
  <c r="Q77" i="47"/>
  <c r="R77" i="47"/>
  <c r="S77" i="47"/>
  <c r="U77" i="47"/>
  <c r="V77" i="47"/>
  <c r="W77" i="47"/>
  <c r="X77" i="47"/>
  <c r="Y77" i="47"/>
  <c r="Z77" i="47"/>
  <c r="AA77" i="47"/>
  <c r="AB77" i="47"/>
  <c r="AC77" i="47"/>
  <c r="AD77" i="47"/>
  <c r="A78" i="47"/>
  <c r="C78" i="47"/>
  <c r="D78" i="47"/>
  <c r="E78" i="47"/>
  <c r="F78" i="47"/>
  <c r="G78" i="47"/>
  <c r="H78" i="47"/>
  <c r="I78" i="47"/>
  <c r="J78" i="47"/>
  <c r="L78" i="47"/>
  <c r="M78" i="47"/>
  <c r="N78" i="47"/>
  <c r="O78" i="47"/>
  <c r="P78" i="47"/>
  <c r="Q78" i="47"/>
  <c r="R78" i="47"/>
  <c r="S78" i="47"/>
  <c r="U78" i="47"/>
  <c r="V78" i="47"/>
  <c r="W78" i="47"/>
  <c r="X78" i="47"/>
  <c r="Y78" i="47"/>
  <c r="Z78" i="47"/>
  <c r="AA78" i="47"/>
  <c r="AB78" i="47"/>
  <c r="AC78" i="47"/>
  <c r="AD78" i="47"/>
  <c r="A79" i="47"/>
  <c r="C79" i="47"/>
  <c r="D79" i="47"/>
  <c r="E79" i="47"/>
  <c r="F79" i="47"/>
  <c r="G79" i="47"/>
  <c r="H79" i="47"/>
  <c r="I79" i="47"/>
  <c r="J79" i="47"/>
  <c r="L79" i="47"/>
  <c r="M79" i="47"/>
  <c r="N79" i="47"/>
  <c r="O79" i="47"/>
  <c r="P79" i="47"/>
  <c r="Q79" i="47"/>
  <c r="R79" i="47"/>
  <c r="S79" i="47"/>
  <c r="U79" i="47"/>
  <c r="V79" i="47"/>
  <c r="W79" i="47"/>
  <c r="X79" i="47"/>
  <c r="Y79" i="47"/>
  <c r="Z79" i="47"/>
  <c r="AA79" i="47"/>
  <c r="AB79" i="47"/>
  <c r="AC79" i="47"/>
  <c r="AD79" i="47"/>
  <c r="A80" i="47"/>
  <c r="C80" i="47"/>
  <c r="D80" i="47"/>
  <c r="E80" i="47"/>
  <c r="F80" i="47"/>
  <c r="G80" i="47"/>
  <c r="H80" i="47"/>
  <c r="I80" i="47"/>
  <c r="J80" i="47"/>
  <c r="L80" i="47"/>
  <c r="M80" i="47"/>
  <c r="N80" i="47"/>
  <c r="O80" i="47"/>
  <c r="P80" i="47"/>
  <c r="Q80" i="47"/>
  <c r="R80" i="47"/>
  <c r="S80" i="47"/>
  <c r="U80" i="47"/>
  <c r="V80" i="47"/>
  <c r="W80" i="47"/>
  <c r="X80" i="47"/>
  <c r="Y80" i="47"/>
  <c r="Z80" i="47"/>
  <c r="AA80" i="47"/>
  <c r="AB80" i="47"/>
  <c r="AC80" i="47"/>
  <c r="AD80" i="47"/>
  <c r="A81" i="47"/>
  <c r="C81" i="47"/>
  <c r="D81" i="47"/>
  <c r="E81" i="47"/>
  <c r="F81" i="47"/>
  <c r="G81" i="47"/>
  <c r="H81" i="47"/>
  <c r="I81" i="47"/>
  <c r="J81" i="47"/>
  <c r="L81" i="47"/>
  <c r="M81" i="47"/>
  <c r="N81" i="47"/>
  <c r="O81" i="47"/>
  <c r="P81" i="47"/>
  <c r="Q81" i="47"/>
  <c r="R81" i="47"/>
  <c r="S81" i="47"/>
  <c r="U81" i="47"/>
  <c r="V81" i="47"/>
  <c r="W81" i="47"/>
  <c r="X81" i="47"/>
  <c r="Y81" i="47"/>
  <c r="Z81" i="47"/>
  <c r="AA81" i="47"/>
  <c r="AB81" i="47"/>
  <c r="AC81" i="47"/>
  <c r="AD81" i="47"/>
  <c r="A82" i="47"/>
  <c r="C82" i="47"/>
  <c r="D82" i="47"/>
  <c r="E82" i="47"/>
  <c r="F82" i="47"/>
  <c r="G82" i="47"/>
  <c r="H82" i="47"/>
  <c r="I82" i="47"/>
  <c r="J82" i="47"/>
  <c r="L82" i="47"/>
  <c r="M82" i="47"/>
  <c r="N82" i="47"/>
  <c r="O82" i="47"/>
  <c r="P82" i="47"/>
  <c r="Q82" i="47"/>
  <c r="R82" i="47"/>
  <c r="S82" i="47"/>
  <c r="U82" i="47"/>
  <c r="V82" i="47"/>
  <c r="W82" i="47"/>
  <c r="X82" i="47"/>
  <c r="Y82" i="47"/>
  <c r="Z82" i="47"/>
  <c r="AA82" i="47"/>
  <c r="AB82" i="47"/>
  <c r="AC82" i="47"/>
  <c r="AD82" i="47"/>
  <c r="A83" i="47"/>
  <c r="C83" i="47"/>
  <c r="D83" i="47"/>
  <c r="E83" i="47"/>
  <c r="F83" i="47"/>
  <c r="G83" i="47"/>
  <c r="H83" i="47"/>
  <c r="I83" i="47"/>
  <c r="J83" i="47"/>
  <c r="L83" i="47"/>
  <c r="M83" i="47"/>
  <c r="N83" i="47"/>
  <c r="O83" i="47"/>
  <c r="P83" i="47"/>
  <c r="Q83" i="47"/>
  <c r="R83" i="47"/>
  <c r="S83" i="47"/>
  <c r="U83" i="47"/>
  <c r="V83" i="47"/>
  <c r="W83" i="47"/>
  <c r="X83" i="47"/>
  <c r="Y83" i="47"/>
  <c r="Z83" i="47"/>
  <c r="AA83" i="47"/>
  <c r="AB83" i="47"/>
  <c r="AC83" i="47"/>
  <c r="AD83" i="47"/>
  <c r="A84" i="47"/>
  <c r="C84" i="47"/>
  <c r="D84" i="47"/>
  <c r="E84" i="47"/>
  <c r="F84" i="47"/>
  <c r="G84" i="47"/>
  <c r="H84" i="47"/>
  <c r="I84" i="47"/>
  <c r="J84" i="47"/>
  <c r="L84" i="47"/>
  <c r="M84" i="47"/>
  <c r="N84" i="47"/>
  <c r="O84" i="47"/>
  <c r="P84" i="47"/>
  <c r="Q84" i="47"/>
  <c r="R84" i="47"/>
  <c r="S84" i="47"/>
  <c r="U84" i="47"/>
  <c r="V84" i="47"/>
  <c r="W84" i="47"/>
  <c r="X84" i="47"/>
  <c r="Y84" i="47"/>
  <c r="Z84" i="47"/>
  <c r="AA84" i="47"/>
  <c r="AB84" i="47"/>
  <c r="AC84" i="47"/>
  <c r="AD84" i="47"/>
  <c r="A85" i="47"/>
  <c r="C85" i="47"/>
  <c r="D85" i="47"/>
  <c r="E85" i="47"/>
  <c r="F85" i="47"/>
  <c r="G85" i="47"/>
  <c r="H85" i="47"/>
  <c r="I85" i="47"/>
  <c r="J85" i="47"/>
  <c r="L85" i="47"/>
  <c r="M85" i="47"/>
  <c r="N85" i="47"/>
  <c r="O85" i="47"/>
  <c r="P85" i="47"/>
  <c r="Q85" i="47"/>
  <c r="R85" i="47"/>
  <c r="S85" i="47"/>
  <c r="U85" i="47"/>
  <c r="V85" i="47"/>
  <c r="W85" i="47"/>
  <c r="X85" i="47"/>
  <c r="Y85" i="47"/>
  <c r="Z85" i="47"/>
  <c r="AA85" i="47"/>
  <c r="AB85" i="47"/>
  <c r="AC85" i="47"/>
  <c r="AD85" i="47"/>
  <c r="A86" i="47"/>
  <c r="C86" i="47"/>
  <c r="D86" i="47"/>
  <c r="E86" i="47"/>
  <c r="F86" i="47"/>
  <c r="G86" i="47"/>
  <c r="H86" i="47"/>
  <c r="I86" i="47"/>
  <c r="J86" i="47"/>
  <c r="L86" i="47"/>
  <c r="M86" i="47"/>
  <c r="N86" i="47"/>
  <c r="O86" i="47"/>
  <c r="P86" i="47"/>
  <c r="Q86" i="47"/>
  <c r="R86" i="47"/>
  <c r="S86" i="47"/>
  <c r="U86" i="47"/>
  <c r="V86" i="47"/>
  <c r="W86" i="47"/>
  <c r="X86" i="47"/>
  <c r="Y86" i="47"/>
  <c r="Z86" i="47"/>
  <c r="AA86" i="47"/>
  <c r="AB86" i="47"/>
  <c r="AC86" i="47"/>
  <c r="AD86" i="47"/>
  <c r="A87" i="47"/>
  <c r="C87" i="47"/>
  <c r="D87" i="47"/>
  <c r="E87" i="47"/>
  <c r="F87" i="47"/>
  <c r="G87" i="47"/>
  <c r="H87" i="47"/>
  <c r="I87" i="47"/>
  <c r="J87" i="47"/>
  <c r="L87" i="47"/>
  <c r="M87" i="47"/>
  <c r="N87" i="47"/>
  <c r="O87" i="47"/>
  <c r="P87" i="47"/>
  <c r="Q87" i="47"/>
  <c r="R87" i="47"/>
  <c r="S87" i="47"/>
  <c r="U87" i="47"/>
  <c r="V87" i="47"/>
  <c r="W87" i="47"/>
  <c r="X87" i="47"/>
  <c r="Y87" i="47"/>
  <c r="Z87" i="47"/>
  <c r="AA87" i="47"/>
  <c r="AB87" i="47"/>
  <c r="AC87" i="47"/>
  <c r="AD87" i="47"/>
  <c r="A88" i="47"/>
  <c r="C88" i="47"/>
  <c r="D88" i="47"/>
  <c r="E88" i="47"/>
  <c r="F88" i="47"/>
  <c r="G88" i="47"/>
  <c r="H88" i="47"/>
  <c r="I88" i="47"/>
  <c r="J88" i="47"/>
  <c r="L88" i="47"/>
  <c r="M88" i="47"/>
  <c r="N88" i="47"/>
  <c r="O88" i="47"/>
  <c r="P88" i="47"/>
  <c r="Q88" i="47"/>
  <c r="R88" i="47"/>
  <c r="S88" i="47"/>
  <c r="U88" i="47"/>
  <c r="V88" i="47"/>
  <c r="W88" i="47"/>
  <c r="X88" i="47"/>
  <c r="Y88" i="47"/>
  <c r="Z88" i="47"/>
  <c r="AA88" i="47"/>
  <c r="AB88" i="47"/>
  <c r="AC88" i="47"/>
  <c r="AD88" i="47"/>
  <c r="A89" i="47"/>
  <c r="C89" i="47"/>
  <c r="D89" i="47"/>
  <c r="E89" i="47"/>
  <c r="F89" i="47"/>
  <c r="G89" i="47"/>
  <c r="H89" i="47"/>
  <c r="I89" i="47"/>
  <c r="J89" i="47"/>
  <c r="L89" i="47"/>
  <c r="M89" i="47"/>
  <c r="N89" i="47"/>
  <c r="O89" i="47"/>
  <c r="P89" i="47"/>
  <c r="Q89" i="47"/>
  <c r="R89" i="47"/>
  <c r="S89" i="47"/>
  <c r="U89" i="47"/>
  <c r="V89" i="47"/>
  <c r="W89" i="47"/>
  <c r="X89" i="47"/>
  <c r="Y89" i="47"/>
  <c r="Z89" i="47"/>
  <c r="AA89" i="47"/>
  <c r="AB89" i="47"/>
  <c r="AC89" i="47"/>
  <c r="AD89" i="47"/>
  <c r="A90" i="47"/>
  <c r="C90" i="47"/>
  <c r="D90" i="47"/>
  <c r="E90" i="47"/>
  <c r="F90" i="47"/>
  <c r="G90" i="47"/>
  <c r="H90" i="47"/>
  <c r="I90" i="47"/>
  <c r="J90" i="47"/>
  <c r="L90" i="47"/>
  <c r="M90" i="47"/>
  <c r="N90" i="47"/>
  <c r="O90" i="47"/>
  <c r="P90" i="47"/>
  <c r="Q90" i="47"/>
  <c r="R90" i="47"/>
  <c r="S90" i="47"/>
  <c r="U90" i="47"/>
  <c r="V90" i="47"/>
  <c r="W90" i="47"/>
  <c r="X90" i="47"/>
  <c r="Y90" i="47"/>
  <c r="Z90" i="47"/>
  <c r="AA90" i="47"/>
  <c r="AB90" i="47"/>
  <c r="AC90" i="47"/>
  <c r="AD90" i="47"/>
  <c r="A91" i="47"/>
  <c r="C91" i="47"/>
  <c r="D91" i="47"/>
  <c r="E91" i="47"/>
  <c r="F91" i="47"/>
  <c r="G91" i="47"/>
  <c r="H91" i="47"/>
  <c r="I91" i="47"/>
  <c r="J91" i="47"/>
  <c r="L91" i="47"/>
  <c r="M91" i="47"/>
  <c r="N91" i="47"/>
  <c r="O91" i="47"/>
  <c r="P91" i="47"/>
  <c r="Q91" i="47"/>
  <c r="R91" i="47"/>
  <c r="S91" i="47"/>
  <c r="U91" i="47"/>
  <c r="V91" i="47"/>
  <c r="W91" i="47"/>
  <c r="X91" i="47"/>
  <c r="Y91" i="47"/>
  <c r="Z91" i="47"/>
  <c r="AA91" i="47"/>
  <c r="AB91" i="47"/>
  <c r="AC91" i="47"/>
  <c r="AD91" i="47"/>
  <c r="A92" i="47"/>
  <c r="C92" i="47"/>
  <c r="D92" i="47"/>
  <c r="E92" i="47"/>
  <c r="F92" i="47"/>
  <c r="G92" i="47"/>
  <c r="H92" i="47"/>
  <c r="I92" i="47"/>
  <c r="J92" i="47"/>
  <c r="L92" i="47"/>
  <c r="M92" i="47"/>
  <c r="N92" i="47"/>
  <c r="O92" i="47"/>
  <c r="P92" i="47"/>
  <c r="Q92" i="47"/>
  <c r="R92" i="47"/>
  <c r="S92" i="47"/>
  <c r="U92" i="47"/>
  <c r="V92" i="47"/>
  <c r="W92" i="47"/>
  <c r="X92" i="47"/>
  <c r="Y92" i="47"/>
  <c r="Z92" i="47"/>
  <c r="AA92" i="47"/>
  <c r="AB92" i="47"/>
  <c r="AC92" i="47"/>
  <c r="AD92" i="47"/>
  <c r="A93" i="47"/>
  <c r="C93" i="47"/>
  <c r="D93" i="47"/>
  <c r="E93" i="47"/>
  <c r="F93" i="47"/>
  <c r="G93" i="47"/>
  <c r="H93" i="47"/>
  <c r="I93" i="47"/>
  <c r="J93" i="47"/>
  <c r="L93" i="47"/>
  <c r="M93" i="47"/>
  <c r="N93" i="47"/>
  <c r="O93" i="47"/>
  <c r="P93" i="47"/>
  <c r="Q93" i="47"/>
  <c r="R93" i="47"/>
  <c r="S93" i="47"/>
  <c r="U93" i="47"/>
  <c r="V93" i="47"/>
  <c r="W93" i="47"/>
  <c r="X93" i="47"/>
  <c r="Y93" i="47"/>
  <c r="Z93" i="47"/>
  <c r="AA93" i="47"/>
  <c r="AB93" i="47"/>
  <c r="AC93" i="47"/>
  <c r="AD93" i="47"/>
  <c r="A94" i="47"/>
  <c r="C94" i="47"/>
  <c r="D94" i="47"/>
  <c r="E94" i="47"/>
  <c r="F94" i="47"/>
  <c r="G94" i="47"/>
  <c r="H94" i="47"/>
  <c r="I94" i="47"/>
  <c r="J94" i="47"/>
  <c r="L94" i="47"/>
  <c r="M94" i="47"/>
  <c r="N94" i="47"/>
  <c r="O94" i="47"/>
  <c r="P94" i="47"/>
  <c r="Q94" i="47"/>
  <c r="R94" i="47"/>
  <c r="S94" i="47"/>
  <c r="U94" i="47"/>
  <c r="V94" i="47"/>
  <c r="W94" i="47"/>
  <c r="X94" i="47"/>
  <c r="Y94" i="47"/>
  <c r="Z94" i="47"/>
  <c r="AA94" i="47"/>
  <c r="AB94" i="47"/>
  <c r="AC94" i="47"/>
  <c r="AD94" i="47"/>
  <c r="A95" i="47"/>
  <c r="C95" i="47"/>
  <c r="D95" i="47"/>
  <c r="E95" i="47"/>
  <c r="F95" i="47"/>
  <c r="G95" i="47"/>
  <c r="H95" i="47"/>
  <c r="I95" i="47"/>
  <c r="J95" i="47"/>
  <c r="L95" i="47"/>
  <c r="M95" i="47"/>
  <c r="N95" i="47"/>
  <c r="O95" i="47"/>
  <c r="P95" i="47"/>
  <c r="Q95" i="47"/>
  <c r="R95" i="47"/>
  <c r="S95" i="47"/>
  <c r="U95" i="47"/>
  <c r="V95" i="47"/>
  <c r="W95" i="47"/>
  <c r="X95" i="47"/>
  <c r="Y95" i="47"/>
  <c r="Z95" i="47"/>
  <c r="AA95" i="47"/>
  <c r="AB95" i="47"/>
  <c r="AC95" i="47"/>
  <c r="AD95" i="47"/>
  <c r="A96" i="47"/>
  <c r="C96" i="47"/>
  <c r="D96" i="47"/>
  <c r="E96" i="47"/>
  <c r="F96" i="47"/>
  <c r="G96" i="47"/>
  <c r="H96" i="47"/>
  <c r="I96" i="47"/>
  <c r="J96" i="47"/>
  <c r="L96" i="47"/>
  <c r="M96" i="47"/>
  <c r="N96" i="47"/>
  <c r="O96" i="47"/>
  <c r="P96" i="47"/>
  <c r="Q96" i="47"/>
  <c r="R96" i="47"/>
  <c r="S96" i="47"/>
  <c r="U96" i="47"/>
  <c r="V96" i="47"/>
  <c r="W96" i="47"/>
  <c r="X96" i="47"/>
  <c r="Y96" i="47"/>
  <c r="Z96" i="47"/>
  <c r="AA96" i="47"/>
  <c r="AB96" i="47"/>
  <c r="AC96" i="47"/>
  <c r="AD96" i="47"/>
  <c r="A97" i="47"/>
  <c r="C97" i="47"/>
  <c r="D97" i="47"/>
  <c r="E97" i="47"/>
  <c r="F97" i="47"/>
  <c r="G97" i="47"/>
  <c r="H97" i="47"/>
  <c r="I97" i="47"/>
  <c r="J97" i="47"/>
  <c r="L97" i="47"/>
  <c r="M97" i="47"/>
  <c r="N97" i="47"/>
  <c r="O97" i="47"/>
  <c r="P97" i="47"/>
  <c r="Q97" i="47"/>
  <c r="R97" i="47"/>
  <c r="S97" i="47"/>
  <c r="U97" i="47"/>
  <c r="V97" i="47"/>
  <c r="W97" i="47"/>
  <c r="X97" i="47"/>
  <c r="Y97" i="47"/>
  <c r="Z97" i="47"/>
  <c r="AA97" i="47"/>
  <c r="AB97" i="47"/>
  <c r="AC97" i="47"/>
  <c r="AD97" i="47"/>
  <c r="A98" i="47"/>
  <c r="C98" i="47"/>
  <c r="D98" i="47"/>
  <c r="E98" i="47"/>
  <c r="F98" i="47"/>
  <c r="G98" i="47"/>
  <c r="H98" i="47"/>
  <c r="I98" i="47"/>
  <c r="J98" i="47"/>
  <c r="L98" i="47"/>
  <c r="M98" i="47"/>
  <c r="N98" i="47"/>
  <c r="O98" i="47"/>
  <c r="P98" i="47"/>
  <c r="Q98" i="47"/>
  <c r="R98" i="47"/>
  <c r="S98" i="47"/>
  <c r="U98" i="47"/>
  <c r="V98" i="47"/>
  <c r="W98" i="47"/>
  <c r="X98" i="47"/>
  <c r="Y98" i="47"/>
  <c r="Z98" i="47"/>
  <c r="AA98" i="47"/>
  <c r="AB98" i="47"/>
  <c r="AC98" i="47"/>
  <c r="AD98" i="47"/>
  <c r="A99" i="47"/>
  <c r="C99" i="47"/>
  <c r="D99" i="47"/>
  <c r="E99" i="47"/>
  <c r="F99" i="47"/>
  <c r="G99" i="47"/>
  <c r="H99" i="47"/>
  <c r="I99" i="47"/>
  <c r="J99" i="47"/>
  <c r="L99" i="47"/>
  <c r="M99" i="47"/>
  <c r="N99" i="47"/>
  <c r="O99" i="47"/>
  <c r="P99" i="47"/>
  <c r="Q99" i="47"/>
  <c r="R99" i="47"/>
  <c r="S99" i="47"/>
  <c r="U99" i="47"/>
  <c r="V99" i="47"/>
  <c r="W99" i="47"/>
  <c r="X99" i="47"/>
  <c r="Y99" i="47"/>
  <c r="Z99" i="47"/>
  <c r="AA99" i="47"/>
  <c r="AB99" i="47"/>
  <c r="AC99" i="47"/>
  <c r="AD99" i="47"/>
  <c r="A100" i="47"/>
  <c r="C100" i="47"/>
  <c r="D100" i="47"/>
  <c r="E100" i="47"/>
  <c r="F100" i="47"/>
  <c r="G100" i="47"/>
  <c r="H100" i="47"/>
  <c r="I100" i="47"/>
  <c r="J100" i="47"/>
  <c r="L100" i="47"/>
  <c r="M100" i="47"/>
  <c r="N100" i="47"/>
  <c r="O100" i="47"/>
  <c r="P100" i="47"/>
  <c r="Q100" i="47"/>
  <c r="R100" i="47"/>
  <c r="S100" i="47"/>
  <c r="U100" i="47"/>
  <c r="V100" i="47"/>
  <c r="W100" i="47"/>
  <c r="X100" i="47"/>
  <c r="Y100" i="47"/>
  <c r="Z100" i="47"/>
  <c r="AA100" i="47"/>
  <c r="AB100" i="47"/>
  <c r="AC100" i="47"/>
  <c r="AD100" i="47"/>
  <c r="A101" i="47"/>
  <c r="C101" i="47"/>
  <c r="D101" i="47"/>
  <c r="E101" i="47"/>
  <c r="F101" i="47"/>
  <c r="G101" i="47"/>
  <c r="H101" i="47"/>
  <c r="I101" i="47"/>
  <c r="J101" i="47"/>
  <c r="L101" i="47"/>
  <c r="M101" i="47"/>
  <c r="N101" i="47"/>
  <c r="O101" i="47"/>
  <c r="P101" i="47"/>
  <c r="Q101" i="47"/>
  <c r="R101" i="47"/>
  <c r="S101" i="47"/>
  <c r="U101" i="47"/>
  <c r="V101" i="47"/>
  <c r="W101" i="47"/>
  <c r="X101" i="47"/>
  <c r="Y101" i="47"/>
  <c r="Z101" i="47"/>
  <c r="AA101" i="47"/>
  <c r="AB101" i="47"/>
  <c r="AC101" i="47"/>
  <c r="AD101" i="47"/>
  <c r="A102" i="47"/>
  <c r="C102" i="47"/>
  <c r="D102" i="47"/>
  <c r="E102" i="47"/>
  <c r="F102" i="47"/>
  <c r="G102" i="47"/>
  <c r="H102" i="47"/>
  <c r="I102" i="47"/>
  <c r="J102" i="47"/>
  <c r="L102" i="47"/>
  <c r="M102" i="47"/>
  <c r="N102" i="47"/>
  <c r="O102" i="47"/>
  <c r="P102" i="47"/>
  <c r="Q102" i="47"/>
  <c r="R102" i="47"/>
  <c r="S102" i="47"/>
  <c r="U102" i="47"/>
  <c r="V102" i="47"/>
  <c r="W102" i="47"/>
  <c r="X102" i="47"/>
  <c r="Y102" i="47"/>
  <c r="Z102" i="47"/>
  <c r="AA102" i="47"/>
  <c r="AB102" i="47"/>
  <c r="AC102" i="47"/>
  <c r="AD102" i="47"/>
  <c r="A103" i="47"/>
  <c r="C103" i="47"/>
  <c r="D103" i="47"/>
  <c r="E103" i="47"/>
  <c r="F103" i="47"/>
  <c r="G103" i="47"/>
  <c r="H103" i="47"/>
  <c r="I103" i="47"/>
  <c r="J103" i="47"/>
  <c r="L103" i="47"/>
  <c r="M103" i="47"/>
  <c r="N103" i="47"/>
  <c r="O103" i="47"/>
  <c r="P103" i="47"/>
  <c r="Q103" i="47"/>
  <c r="R103" i="47"/>
  <c r="S103" i="47"/>
  <c r="U103" i="47"/>
  <c r="V103" i="47"/>
  <c r="W103" i="47"/>
  <c r="X103" i="47"/>
  <c r="Y103" i="47"/>
  <c r="Z103" i="47"/>
  <c r="AA103" i="47"/>
  <c r="AB103" i="47"/>
  <c r="AC103" i="47"/>
  <c r="AD103" i="47"/>
  <c r="A104" i="47"/>
  <c r="C104" i="47"/>
  <c r="D104" i="47"/>
  <c r="E104" i="47"/>
  <c r="F104" i="47"/>
  <c r="G104" i="47"/>
  <c r="H104" i="47"/>
  <c r="I104" i="47"/>
  <c r="J104" i="47"/>
  <c r="L104" i="47"/>
  <c r="M104" i="47"/>
  <c r="N104" i="47"/>
  <c r="O104" i="47"/>
  <c r="P104" i="47"/>
  <c r="Q104" i="47"/>
  <c r="R104" i="47"/>
  <c r="S104" i="47"/>
  <c r="U104" i="47"/>
  <c r="V104" i="47"/>
  <c r="W104" i="47"/>
  <c r="X104" i="47"/>
  <c r="Y104" i="47"/>
  <c r="Z104" i="47"/>
  <c r="AA104" i="47"/>
  <c r="AB104" i="47"/>
  <c r="AC104" i="47"/>
  <c r="AD104" i="47"/>
  <c r="A105" i="47"/>
  <c r="C105" i="47"/>
  <c r="D105" i="47"/>
  <c r="E105" i="47"/>
  <c r="F105" i="47"/>
  <c r="G105" i="47"/>
  <c r="H105" i="47"/>
  <c r="I105" i="47"/>
  <c r="J105" i="47"/>
  <c r="L105" i="47"/>
  <c r="M105" i="47"/>
  <c r="N105" i="47"/>
  <c r="O105" i="47"/>
  <c r="P105" i="47"/>
  <c r="Q105" i="47"/>
  <c r="R105" i="47"/>
  <c r="S105" i="47"/>
  <c r="U105" i="47"/>
  <c r="V105" i="47"/>
  <c r="W105" i="47"/>
  <c r="X105" i="47"/>
  <c r="Y105" i="47"/>
  <c r="Z105" i="47"/>
  <c r="AA105" i="47"/>
  <c r="AB105" i="47"/>
  <c r="AC105" i="47"/>
  <c r="AD105" i="47"/>
  <c r="A106" i="47"/>
  <c r="C106" i="47"/>
  <c r="D106" i="47"/>
  <c r="E106" i="47"/>
  <c r="F106" i="47"/>
  <c r="G106" i="47"/>
  <c r="H106" i="47"/>
  <c r="I106" i="47"/>
  <c r="J106" i="47"/>
  <c r="L106" i="47"/>
  <c r="M106" i="47"/>
  <c r="N106" i="47"/>
  <c r="O106" i="47"/>
  <c r="P106" i="47"/>
  <c r="Q106" i="47"/>
  <c r="R106" i="47"/>
  <c r="S106" i="47"/>
  <c r="U106" i="47"/>
  <c r="V106" i="47"/>
  <c r="W106" i="47"/>
  <c r="X106" i="47"/>
  <c r="Y106" i="47"/>
  <c r="Z106" i="47"/>
  <c r="AA106" i="47"/>
  <c r="AB106" i="47"/>
  <c r="AC106" i="47"/>
  <c r="AD106" i="47"/>
  <c r="A107" i="47"/>
  <c r="C107" i="47"/>
  <c r="D107" i="47"/>
  <c r="E107" i="47"/>
  <c r="F107" i="47"/>
  <c r="G107" i="47"/>
  <c r="H107" i="47"/>
  <c r="I107" i="47"/>
  <c r="J107" i="47"/>
  <c r="L107" i="47"/>
  <c r="M107" i="47"/>
  <c r="N107" i="47"/>
  <c r="O107" i="47"/>
  <c r="P107" i="47"/>
  <c r="Q107" i="47"/>
  <c r="R107" i="47"/>
  <c r="S107" i="47"/>
  <c r="U107" i="47"/>
  <c r="V107" i="47"/>
  <c r="W107" i="47"/>
  <c r="X107" i="47"/>
  <c r="Y107" i="47"/>
  <c r="Z107" i="47"/>
  <c r="AA107" i="47"/>
  <c r="AB107" i="47"/>
  <c r="AC107" i="47"/>
  <c r="AD107" i="47"/>
  <c r="A108" i="47"/>
  <c r="C108" i="47"/>
  <c r="D108" i="47"/>
  <c r="E108" i="47"/>
  <c r="F108" i="47"/>
  <c r="G108" i="47"/>
  <c r="H108" i="47"/>
  <c r="I108" i="47"/>
  <c r="J108" i="47"/>
  <c r="L108" i="47"/>
  <c r="M108" i="47"/>
  <c r="N108" i="47"/>
  <c r="O108" i="47"/>
  <c r="P108" i="47"/>
  <c r="Q108" i="47"/>
  <c r="R108" i="47"/>
  <c r="S108" i="47"/>
  <c r="U108" i="47"/>
  <c r="V108" i="47"/>
  <c r="W108" i="47"/>
  <c r="X108" i="47"/>
  <c r="Y108" i="47"/>
  <c r="Z108" i="47"/>
  <c r="AA108" i="47"/>
  <c r="AB108" i="47"/>
  <c r="AC108" i="47"/>
  <c r="AD108" i="47"/>
  <c r="A109" i="47"/>
  <c r="C109" i="47"/>
  <c r="D109" i="47"/>
  <c r="E109" i="47"/>
  <c r="F109" i="47"/>
  <c r="G109" i="47"/>
  <c r="H109" i="47"/>
  <c r="I109" i="47"/>
  <c r="J109" i="47"/>
  <c r="L109" i="47"/>
  <c r="M109" i="47"/>
  <c r="N109" i="47"/>
  <c r="O109" i="47"/>
  <c r="P109" i="47"/>
  <c r="Q109" i="47"/>
  <c r="R109" i="47"/>
  <c r="S109" i="47"/>
  <c r="U109" i="47"/>
  <c r="V109" i="47"/>
  <c r="W109" i="47"/>
  <c r="X109" i="47"/>
  <c r="Y109" i="47"/>
  <c r="Z109" i="47"/>
  <c r="AA109" i="47"/>
  <c r="AB109" i="47"/>
  <c r="AC109" i="47"/>
  <c r="AD109" i="47"/>
  <c r="A110" i="47"/>
  <c r="C110" i="47"/>
  <c r="D110" i="47"/>
  <c r="E110" i="47"/>
  <c r="F110" i="47"/>
  <c r="G110" i="47"/>
  <c r="H110" i="47"/>
  <c r="I110" i="47"/>
  <c r="J110" i="47"/>
  <c r="L110" i="47"/>
  <c r="M110" i="47"/>
  <c r="N110" i="47"/>
  <c r="O110" i="47"/>
  <c r="P110" i="47"/>
  <c r="Q110" i="47"/>
  <c r="R110" i="47"/>
  <c r="S110" i="47"/>
  <c r="U110" i="47"/>
  <c r="V110" i="47"/>
  <c r="W110" i="47"/>
  <c r="X110" i="47"/>
  <c r="Y110" i="47"/>
  <c r="Z110" i="47"/>
  <c r="AA110" i="47"/>
  <c r="AB110" i="47"/>
  <c r="AC110" i="47"/>
  <c r="AD110" i="47"/>
  <c r="A111" i="47"/>
  <c r="C111" i="47"/>
  <c r="D111" i="47"/>
  <c r="E111" i="47"/>
  <c r="F111" i="47"/>
  <c r="G111" i="47"/>
  <c r="H111" i="47"/>
  <c r="I111" i="47"/>
  <c r="J111" i="47"/>
  <c r="L111" i="47"/>
  <c r="M111" i="47"/>
  <c r="N111" i="47"/>
  <c r="O111" i="47"/>
  <c r="P111" i="47"/>
  <c r="Q111" i="47"/>
  <c r="R111" i="47"/>
  <c r="S111" i="47"/>
  <c r="U111" i="47"/>
  <c r="V111" i="47"/>
  <c r="W111" i="47"/>
  <c r="X111" i="47"/>
  <c r="Y111" i="47"/>
  <c r="Z111" i="47"/>
  <c r="AA111" i="47"/>
  <c r="AB111" i="47"/>
  <c r="AC111" i="47"/>
  <c r="AD111" i="47"/>
  <c r="A112" i="47"/>
  <c r="C112" i="47"/>
  <c r="D112" i="47"/>
  <c r="E112" i="47"/>
  <c r="F112" i="47"/>
  <c r="G112" i="47"/>
  <c r="H112" i="47"/>
  <c r="I112" i="47"/>
  <c r="J112" i="47"/>
  <c r="L112" i="47"/>
  <c r="M112" i="47"/>
  <c r="N112" i="47"/>
  <c r="O112" i="47"/>
  <c r="P112" i="47"/>
  <c r="Q112" i="47"/>
  <c r="R112" i="47"/>
  <c r="S112" i="47"/>
  <c r="U112" i="47"/>
  <c r="V112" i="47"/>
  <c r="W112" i="47"/>
  <c r="X112" i="47"/>
  <c r="Y112" i="47"/>
  <c r="Z112" i="47"/>
  <c r="AA112" i="47"/>
  <c r="AB112" i="47"/>
  <c r="AC112" i="47"/>
  <c r="AD112" i="47"/>
  <c r="A113" i="47"/>
  <c r="C113" i="47"/>
  <c r="D113" i="47"/>
  <c r="E113" i="47"/>
  <c r="F113" i="47"/>
  <c r="G113" i="47"/>
  <c r="H113" i="47"/>
  <c r="I113" i="47"/>
  <c r="J113" i="47"/>
  <c r="L113" i="47"/>
  <c r="M113" i="47"/>
  <c r="N113" i="47"/>
  <c r="O113" i="47"/>
  <c r="P113" i="47"/>
  <c r="Q113" i="47"/>
  <c r="R113" i="47"/>
  <c r="S113" i="47"/>
  <c r="U113" i="47"/>
  <c r="V113" i="47"/>
  <c r="W113" i="47"/>
  <c r="X113" i="47"/>
  <c r="Y113" i="47"/>
  <c r="Z113" i="47"/>
  <c r="AA113" i="47"/>
  <c r="AB113" i="47"/>
  <c r="AC113" i="47"/>
  <c r="AD113" i="47"/>
  <c r="A114" i="47"/>
  <c r="C114" i="47"/>
  <c r="D114" i="47"/>
  <c r="E114" i="47"/>
  <c r="F114" i="47"/>
  <c r="G114" i="47"/>
  <c r="H114" i="47"/>
  <c r="I114" i="47"/>
  <c r="J114" i="47"/>
  <c r="L114" i="47"/>
  <c r="M114" i="47"/>
  <c r="N114" i="47"/>
  <c r="O114" i="47"/>
  <c r="P114" i="47"/>
  <c r="Q114" i="47"/>
  <c r="R114" i="47"/>
  <c r="S114" i="47"/>
  <c r="U114" i="47"/>
  <c r="V114" i="47"/>
  <c r="W114" i="47"/>
  <c r="X114" i="47"/>
  <c r="Y114" i="47"/>
  <c r="Z114" i="47"/>
  <c r="AA114" i="47"/>
  <c r="AB114" i="47"/>
  <c r="AC114" i="47"/>
  <c r="AD114" i="47"/>
  <c r="A115" i="47"/>
  <c r="C115" i="47"/>
  <c r="D115" i="47"/>
  <c r="E115" i="47"/>
  <c r="F115" i="47"/>
  <c r="G115" i="47"/>
  <c r="H115" i="47"/>
  <c r="I115" i="47"/>
  <c r="J115" i="47"/>
  <c r="L115" i="47"/>
  <c r="M115" i="47"/>
  <c r="N115" i="47"/>
  <c r="O115" i="47"/>
  <c r="P115" i="47"/>
  <c r="Q115" i="47"/>
  <c r="R115" i="47"/>
  <c r="S115" i="47"/>
  <c r="U115" i="47"/>
  <c r="V115" i="47"/>
  <c r="W115" i="47"/>
  <c r="X115" i="47"/>
  <c r="Y115" i="47"/>
  <c r="Z115" i="47"/>
  <c r="AA115" i="47"/>
  <c r="AB115" i="47"/>
  <c r="AC115" i="47"/>
  <c r="AD115" i="47"/>
  <c r="A116" i="47"/>
  <c r="C116" i="47"/>
  <c r="D116" i="47"/>
  <c r="E116" i="47"/>
  <c r="F116" i="47"/>
  <c r="G116" i="47"/>
  <c r="H116" i="47"/>
  <c r="I116" i="47"/>
  <c r="J116" i="47"/>
  <c r="L116" i="47"/>
  <c r="M116" i="47"/>
  <c r="N116" i="47"/>
  <c r="O116" i="47"/>
  <c r="P116" i="47"/>
  <c r="Q116" i="47"/>
  <c r="R116" i="47"/>
  <c r="S116" i="47"/>
  <c r="U116" i="47"/>
  <c r="V116" i="47"/>
  <c r="W116" i="47"/>
  <c r="X116" i="47"/>
  <c r="Y116" i="47"/>
  <c r="Z116" i="47"/>
  <c r="AA116" i="47"/>
  <c r="AB116" i="47"/>
  <c r="AC116" i="47"/>
  <c r="AD116" i="47"/>
  <c r="A117" i="47"/>
  <c r="C117" i="47"/>
  <c r="D117" i="47"/>
  <c r="E117" i="47"/>
  <c r="F117" i="47"/>
  <c r="G117" i="47"/>
  <c r="H117" i="47"/>
  <c r="I117" i="47"/>
  <c r="J117" i="47"/>
  <c r="L117" i="47"/>
  <c r="M117" i="47"/>
  <c r="N117" i="47"/>
  <c r="O117" i="47"/>
  <c r="P117" i="47"/>
  <c r="Q117" i="47"/>
  <c r="R117" i="47"/>
  <c r="S117" i="47"/>
  <c r="U117" i="47"/>
  <c r="V117" i="47"/>
  <c r="W117" i="47"/>
  <c r="X117" i="47"/>
  <c r="Y117" i="47"/>
  <c r="Z117" i="47"/>
  <c r="AA117" i="47"/>
  <c r="AB117" i="47"/>
  <c r="AC117" i="47"/>
  <c r="AD117" i="47"/>
  <c r="A118" i="47"/>
  <c r="C118" i="47"/>
  <c r="D118" i="47"/>
  <c r="E118" i="47"/>
  <c r="F118" i="47"/>
  <c r="G118" i="47"/>
  <c r="H118" i="47"/>
  <c r="I118" i="47"/>
  <c r="J118" i="47"/>
  <c r="L118" i="47"/>
  <c r="M118" i="47"/>
  <c r="N118" i="47"/>
  <c r="O118" i="47"/>
  <c r="P118" i="47"/>
  <c r="Q118" i="47"/>
  <c r="R118" i="47"/>
  <c r="S118" i="47"/>
  <c r="U118" i="47"/>
  <c r="V118" i="47"/>
  <c r="W118" i="47"/>
  <c r="X118" i="47"/>
  <c r="Y118" i="47"/>
  <c r="Z118" i="47"/>
  <c r="AA118" i="47"/>
  <c r="AB118" i="47"/>
  <c r="AC118" i="47"/>
  <c r="AD118" i="47"/>
  <c r="A119" i="47"/>
  <c r="C119" i="47"/>
  <c r="D119" i="47"/>
  <c r="E119" i="47"/>
  <c r="F119" i="47"/>
  <c r="G119" i="47"/>
  <c r="H119" i="47"/>
  <c r="I119" i="47"/>
  <c r="J119" i="47"/>
  <c r="L119" i="47"/>
  <c r="M119" i="47"/>
  <c r="N119" i="47"/>
  <c r="O119" i="47"/>
  <c r="P119" i="47"/>
  <c r="Q119" i="47"/>
  <c r="R119" i="47"/>
  <c r="S119" i="47"/>
  <c r="U119" i="47"/>
  <c r="V119" i="47"/>
  <c r="W119" i="47"/>
  <c r="X119" i="47"/>
  <c r="Y119" i="47"/>
  <c r="Z119" i="47"/>
  <c r="AA119" i="47"/>
  <c r="AB119" i="47"/>
  <c r="AC119" i="47"/>
  <c r="AD119" i="47"/>
  <c r="A120" i="47"/>
  <c r="C120" i="47"/>
  <c r="D120" i="47"/>
  <c r="E120" i="47"/>
  <c r="F120" i="47"/>
  <c r="G120" i="47"/>
  <c r="H120" i="47"/>
  <c r="I120" i="47"/>
  <c r="J120" i="47"/>
  <c r="L120" i="47"/>
  <c r="M120" i="47"/>
  <c r="N120" i="47"/>
  <c r="O120" i="47"/>
  <c r="P120" i="47"/>
  <c r="Q120" i="47"/>
  <c r="R120" i="47"/>
  <c r="S120" i="47"/>
  <c r="U120" i="47"/>
  <c r="V120" i="47"/>
  <c r="W120" i="47"/>
  <c r="X120" i="47"/>
  <c r="Y120" i="47"/>
  <c r="Z120" i="47"/>
  <c r="AA120" i="47"/>
  <c r="AB120" i="47"/>
  <c r="AC120" i="47"/>
  <c r="AD120" i="47"/>
  <c r="A121" i="47"/>
  <c r="C121" i="47"/>
  <c r="D121" i="47"/>
  <c r="E121" i="47"/>
  <c r="F121" i="47"/>
  <c r="G121" i="47"/>
  <c r="H121" i="47"/>
  <c r="I121" i="47"/>
  <c r="J121" i="47"/>
  <c r="L121" i="47"/>
  <c r="M121" i="47"/>
  <c r="N121" i="47"/>
  <c r="O121" i="47"/>
  <c r="P121" i="47"/>
  <c r="Q121" i="47"/>
  <c r="R121" i="47"/>
  <c r="S121" i="47"/>
  <c r="U121" i="47"/>
  <c r="V121" i="47"/>
  <c r="W121" i="47"/>
  <c r="X121" i="47"/>
  <c r="Y121" i="47"/>
  <c r="Z121" i="47"/>
  <c r="AA121" i="47"/>
  <c r="AB121" i="47"/>
  <c r="AC121" i="47"/>
  <c r="AD121" i="47"/>
  <c r="A122" i="47"/>
  <c r="C122" i="47"/>
  <c r="D122" i="47"/>
  <c r="E122" i="47"/>
  <c r="F122" i="47"/>
  <c r="G122" i="47"/>
  <c r="H122" i="47"/>
  <c r="I122" i="47"/>
  <c r="J122" i="47"/>
  <c r="L122" i="47"/>
  <c r="M122" i="47"/>
  <c r="N122" i="47"/>
  <c r="O122" i="47"/>
  <c r="P122" i="47"/>
  <c r="Q122" i="47"/>
  <c r="R122" i="47"/>
  <c r="S122" i="47"/>
  <c r="U122" i="47"/>
  <c r="V122" i="47"/>
  <c r="W122" i="47"/>
  <c r="X122" i="47"/>
  <c r="Y122" i="47"/>
  <c r="Z122" i="47"/>
  <c r="AA122" i="47"/>
  <c r="AB122" i="47"/>
  <c r="AC122" i="47"/>
  <c r="AD122" i="47"/>
  <c r="A123" i="47"/>
  <c r="C123" i="47"/>
  <c r="D123" i="47"/>
  <c r="E123" i="47"/>
  <c r="F123" i="47"/>
  <c r="G123" i="47"/>
  <c r="H123" i="47"/>
  <c r="I123" i="47"/>
  <c r="J123" i="47"/>
  <c r="L123" i="47"/>
  <c r="M123" i="47"/>
  <c r="N123" i="47"/>
  <c r="O123" i="47"/>
  <c r="P123" i="47"/>
  <c r="Q123" i="47"/>
  <c r="R123" i="47"/>
  <c r="S123" i="47"/>
  <c r="U123" i="47"/>
  <c r="V123" i="47"/>
  <c r="W123" i="47"/>
  <c r="X123" i="47"/>
  <c r="Y123" i="47"/>
  <c r="Z123" i="47"/>
  <c r="AA123" i="47"/>
  <c r="AB123" i="47"/>
  <c r="AC123" i="47"/>
  <c r="AD123" i="47"/>
  <c r="A124" i="47"/>
  <c r="C124" i="47"/>
  <c r="D124" i="47"/>
  <c r="E124" i="47"/>
  <c r="F124" i="47"/>
  <c r="G124" i="47"/>
  <c r="H124" i="47"/>
  <c r="I124" i="47"/>
  <c r="J124" i="47"/>
  <c r="L124" i="47"/>
  <c r="M124" i="47"/>
  <c r="N124" i="47"/>
  <c r="O124" i="47"/>
  <c r="P124" i="47"/>
  <c r="Q124" i="47"/>
  <c r="R124" i="47"/>
  <c r="S124" i="47"/>
  <c r="U124" i="47"/>
  <c r="V124" i="47"/>
  <c r="W124" i="47"/>
  <c r="X124" i="47"/>
  <c r="Y124" i="47"/>
  <c r="Z124" i="47"/>
  <c r="AA124" i="47"/>
  <c r="AB124" i="47"/>
  <c r="AC124" i="47"/>
  <c r="AD124" i="47"/>
  <c r="A125" i="47"/>
  <c r="C125" i="47"/>
  <c r="D125" i="47"/>
  <c r="E125" i="47"/>
  <c r="F125" i="47"/>
  <c r="G125" i="47"/>
  <c r="H125" i="47"/>
  <c r="I125" i="47"/>
  <c r="J125" i="47"/>
  <c r="L125" i="47"/>
  <c r="M125" i="47"/>
  <c r="N125" i="47"/>
  <c r="O125" i="47"/>
  <c r="P125" i="47"/>
  <c r="Q125" i="47"/>
  <c r="R125" i="47"/>
  <c r="S125" i="47"/>
  <c r="U125" i="47"/>
  <c r="V125" i="47"/>
  <c r="W125" i="47"/>
  <c r="X125" i="47"/>
  <c r="Y125" i="47"/>
  <c r="Z125" i="47"/>
  <c r="AA125" i="47"/>
  <c r="AB125" i="47"/>
  <c r="AC125" i="47"/>
  <c r="AD125" i="47"/>
  <c r="A126" i="47"/>
  <c r="C126" i="47"/>
  <c r="D126" i="47"/>
  <c r="E126" i="47"/>
  <c r="F126" i="47"/>
  <c r="G126" i="47"/>
  <c r="H126" i="47"/>
  <c r="I126" i="47"/>
  <c r="J126" i="47"/>
  <c r="L126" i="47"/>
  <c r="M126" i="47"/>
  <c r="N126" i="47"/>
  <c r="O126" i="47"/>
  <c r="P126" i="47"/>
  <c r="Q126" i="47"/>
  <c r="R126" i="47"/>
  <c r="S126" i="47"/>
  <c r="U126" i="47"/>
  <c r="V126" i="47"/>
  <c r="W126" i="47"/>
  <c r="X126" i="47"/>
  <c r="Y126" i="47"/>
  <c r="Z126" i="47"/>
  <c r="AA126" i="47"/>
  <c r="AB126" i="47"/>
  <c r="AC126" i="47"/>
  <c r="AD126" i="47"/>
  <c r="A127" i="47"/>
  <c r="C127" i="47"/>
  <c r="D127" i="47"/>
  <c r="E127" i="47"/>
  <c r="F127" i="47"/>
  <c r="G127" i="47"/>
  <c r="H127" i="47"/>
  <c r="I127" i="47"/>
  <c r="J127" i="47"/>
  <c r="L127" i="47"/>
  <c r="M127" i="47"/>
  <c r="N127" i="47"/>
  <c r="O127" i="47"/>
  <c r="P127" i="47"/>
  <c r="Q127" i="47"/>
  <c r="R127" i="47"/>
  <c r="S127" i="47"/>
  <c r="U127" i="47"/>
  <c r="V127" i="47"/>
  <c r="W127" i="47"/>
  <c r="X127" i="47"/>
  <c r="Y127" i="47"/>
  <c r="Z127" i="47"/>
  <c r="AA127" i="47"/>
  <c r="AB127" i="47"/>
  <c r="AC127" i="47"/>
  <c r="AD127" i="47"/>
  <c r="A128" i="47"/>
  <c r="C128" i="47"/>
  <c r="D128" i="47"/>
  <c r="E128" i="47"/>
  <c r="F128" i="47"/>
  <c r="G128" i="47"/>
  <c r="H128" i="47"/>
  <c r="I128" i="47"/>
  <c r="J128" i="47"/>
  <c r="L128" i="47"/>
  <c r="M128" i="47"/>
  <c r="N128" i="47"/>
  <c r="O128" i="47"/>
  <c r="P128" i="47"/>
  <c r="Q128" i="47"/>
  <c r="R128" i="47"/>
  <c r="S128" i="47"/>
  <c r="U128" i="47"/>
  <c r="V128" i="47"/>
  <c r="W128" i="47"/>
  <c r="X128" i="47"/>
  <c r="Y128" i="47"/>
  <c r="Z128" i="47"/>
  <c r="AA128" i="47"/>
  <c r="AB128" i="47"/>
  <c r="AC128" i="47"/>
  <c r="AD128" i="47"/>
  <c r="A129" i="47"/>
  <c r="C129" i="47"/>
  <c r="D129" i="47"/>
  <c r="E129" i="47"/>
  <c r="F129" i="47"/>
  <c r="G129" i="47"/>
  <c r="H129" i="47"/>
  <c r="I129" i="47"/>
  <c r="J129" i="47"/>
  <c r="L129" i="47"/>
  <c r="M129" i="47"/>
  <c r="N129" i="47"/>
  <c r="O129" i="47"/>
  <c r="P129" i="47"/>
  <c r="Q129" i="47"/>
  <c r="R129" i="47"/>
  <c r="S129" i="47"/>
  <c r="U129" i="47"/>
  <c r="V129" i="47"/>
  <c r="W129" i="47"/>
  <c r="X129" i="47"/>
  <c r="Y129" i="47"/>
  <c r="Z129" i="47"/>
  <c r="AA129" i="47"/>
  <c r="AB129" i="47"/>
  <c r="AC129" i="47"/>
  <c r="AD129" i="47"/>
  <c r="A130" i="47"/>
  <c r="C130" i="47"/>
  <c r="D130" i="47"/>
  <c r="E130" i="47"/>
  <c r="F130" i="47"/>
  <c r="G130" i="47"/>
  <c r="H130" i="47"/>
  <c r="I130" i="47"/>
  <c r="J130" i="47"/>
  <c r="L130" i="47"/>
  <c r="M130" i="47"/>
  <c r="N130" i="47"/>
  <c r="O130" i="47"/>
  <c r="P130" i="47"/>
  <c r="Q130" i="47"/>
  <c r="R130" i="47"/>
  <c r="S130" i="47"/>
  <c r="U130" i="47"/>
  <c r="V130" i="47"/>
  <c r="W130" i="47"/>
  <c r="X130" i="47"/>
  <c r="Y130" i="47"/>
  <c r="Z130" i="47"/>
  <c r="AA130" i="47"/>
  <c r="AB130" i="47"/>
  <c r="AC130" i="47"/>
  <c r="AD130" i="47"/>
  <c r="A131" i="47"/>
  <c r="C131" i="47"/>
  <c r="D131" i="47"/>
  <c r="E131" i="47"/>
  <c r="F131" i="47"/>
  <c r="G131" i="47"/>
  <c r="H131" i="47"/>
  <c r="I131" i="47"/>
  <c r="J131" i="47"/>
  <c r="L131" i="47"/>
  <c r="M131" i="47"/>
  <c r="N131" i="47"/>
  <c r="O131" i="47"/>
  <c r="P131" i="47"/>
  <c r="Q131" i="47"/>
  <c r="R131" i="47"/>
  <c r="S131" i="47"/>
  <c r="U131" i="47"/>
  <c r="V131" i="47"/>
  <c r="W131" i="47"/>
  <c r="X131" i="47"/>
  <c r="Y131" i="47"/>
  <c r="Z131" i="47"/>
  <c r="AA131" i="47"/>
  <c r="AB131" i="47"/>
  <c r="AC131" i="47"/>
  <c r="AD131" i="47"/>
  <c r="A132" i="47"/>
  <c r="C132" i="47"/>
  <c r="D132" i="47"/>
  <c r="E132" i="47"/>
  <c r="F132" i="47"/>
  <c r="G132" i="47"/>
  <c r="H132" i="47"/>
  <c r="I132" i="47"/>
  <c r="J132" i="47"/>
  <c r="L132" i="47"/>
  <c r="M132" i="47"/>
  <c r="N132" i="47"/>
  <c r="O132" i="47"/>
  <c r="P132" i="47"/>
  <c r="Q132" i="47"/>
  <c r="R132" i="47"/>
  <c r="S132" i="47"/>
  <c r="U132" i="47"/>
  <c r="V132" i="47"/>
  <c r="W132" i="47"/>
  <c r="X132" i="47"/>
  <c r="Y132" i="47"/>
  <c r="Z132" i="47"/>
  <c r="AA132" i="47"/>
  <c r="AB132" i="47"/>
  <c r="AC132" i="47"/>
  <c r="AD132" i="47"/>
  <c r="A133" i="47"/>
  <c r="C133" i="47"/>
  <c r="D133" i="47"/>
  <c r="E133" i="47"/>
  <c r="F133" i="47"/>
  <c r="G133" i="47"/>
  <c r="H133" i="47"/>
  <c r="I133" i="47"/>
  <c r="J133" i="47"/>
  <c r="L133" i="47"/>
  <c r="M133" i="47"/>
  <c r="N133" i="47"/>
  <c r="O133" i="47"/>
  <c r="P133" i="47"/>
  <c r="Q133" i="47"/>
  <c r="R133" i="47"/>
  <c r="S133" i="47"/>
  <c r="U133" i="47"/>
  <c r="V133" i="47"/>
  <c r="W133" i="47"/>
  <c r="X133" i="47"/>
  <c r="Y133" i="47"/>
  <c r="Z133" i="47"/>
  <c r="AA133" i="47"/>
  <c r="AB133" i="47"/>
  <c r="AC133" i="47"/>
  <c r="AD133" i="47"/>
  <c r="A134" i="47"/>
  <c r="C134" i="47"/>
  <c r="D134" i="47"/>
  <c r="E134" i="47"/>
  <c r="F134" i="47"/>
  <c r="G134" i="47"/>
  <c r="H134" i="47"/>
  <c r="I134" i="47"/>
  <c r="J134" i="47"/>
  <c r="L134" i="47"/>
  <c r="M134" i="47"/>
  <c r="N134" i="47"/>
  <c r="O134" i="47"/>
  <c r="P134" i="47"/>
  <c r="Q134" i="47"/>
  <c r="R134" i="47"/>
  <c r="S134" i="47"/>
  <c r="U134" i="47"/>
  <c r="V134" i="47"/>
  <c r="W134" i="47"/>
  <c r="X134" i="47"/>
  <c r="Y134" i="47"/>
  <c r="Z134" i="47"/>
  <c r="AA134" i="47"/>
  <c r="AB134" i="47"/>
  <c r="AC134" i="47"/>
  <c r="AD134" i="47"/>
  <c r="A135" i="47"/>
  <c r="C135" i="47"/>
  <c r="D135" i="47"/>
  <c r="E135" i="47"/>
  <c r="F135" i="47"/>
  <c r="G135" i="47"/>
  <c r="H135" i="47"/>
  <c r="I135" i="47"/>
  <c r="J135" i="47"/>
  <c r="L135" i="47"/>
  <c r="M135" i="47"/>
  <c r="N135" i="47"/>
  <c r="O135" i="47"/>
  <c r="P135" i="47"/>
  <c r="Q135" i="47"/>
  <c r="R135" i="47"/>
  <c r="S135" i="47"/>
  <c r="U135" i="47"/>
  <c r="V135" i="47"/>
  <c r="W135" i="47"/>
  <c r="X135" i="47"/>
  <c r="Y135" i="47"/>
  <c r="Z135" i="47"/>
  <c r="AA135" i="47"/>
  <c r="AB135" i="47"/>
  <c r="AC135" i="47"/>
  <c r="AD135" i="47"/>
  <c r="A136" i="47"/>
  <c r="C136" i="47"/>
  <c r="D136" i="47"/>
  <c r="E136" i="47"/>
  <c r="F136" i="47"/>
  <c r="G136" i="47"/>
  <c r="H136" i="47"/>
  <c r="I136" i="47"/>
  <c r="J136" i="47"/>
  <c r="L136" i="47"/>
  <c r="M136" i="47"/>
  <c r="N136" i="47"/>
  <c r="O136" i="47"/>
  <c r="P136" i="47"/>
  <c r="Q136" i="47"/>
  <c r="R136" i="47"/>
  <c r="S136" i="47"/>
  <c r="U136" i="47"/>
  <c r="V136" i="47"/>
  <c r="W136" i="47"/>
  <c r="X136" i="47"/>
  <c r="Y136" i="47"/>
  <c r="Z136" i="47"/>
  <c r="AA136" i="47"/>
  <c r="AB136" i="47"/>
  <c r="AC136" i="47"/>
  <c r="AD136" i="47"/>
  <c r="A137" i="47"/>
  <c r="C137" i="47"/>
  <c r="D137" i="47"/>
  <c r="E137" i="47"/>
  <c r="F137" i="47"/>
  <c r="G137" i="47"/>
  <c r="H137" i="47"/>
  <c r="I137" i="47"/>
  <c r="J137" i="47"/>
  <c r="L137" i="47"/>
  <c r="M137" i="47"/>
  <c r="N137" i="47"/>
  <c r="O137" i="47"/>
  <c r="P137" i="47"/>
  <c r="Q137" i="47"/>
  <c r="R137" i="47"/>
  <c r="S137" i="47"/>
  <c r="U137" i="47"/>
  <c r="V137" i="47"/>
  <c r="W137" i="47"/>
  <c r="X137" i="47"/>
  <c r="Y137" i="47"/>
  <c r="Z137" i="47"/>
  <c r="AA137" i="47"/>
  <c r="AB137" i="47"/>
  <c r="AC137" i="47"/>
  <c r="AD137" i="47"/>
  <c r="A138" i="47"/>
  <c r="C138" i="47"/>
  <c r="D138" i="47"/>
  <c r="E138" i="47"/>
  <c r="F138" i="47"/>
  <c r="G138" i="47"/>
  <c r="H138" i="47"/>
  <c r="I138" i="47"/>
  <c r="J138" i="47"/>
  <c r="L138" i="47"/>
  <c r="M138" i="47"/>
  <c r="N138" i="47"/>
  <c r="O138" i="47"/>
  <c r="P138" i="47"/>
  <c r="Q138" i="47"/>
  <c r="R138" i="47"/>
  <c r="S138" i="47"/>
  <c r="U138" i="47"/>
  <c r="V138" i="47"/>
  <c r="W138" i="47"/>
  <c r="X138" i="47"/>
  <c r="Y138" i="47"/>
  <c r="Z138" i="47"/>
  <c r="AA138" i="47"/>
  <c r="AB138" i="47"/>
  <c r="AC138" i="47"/>
  <c r="AD138" i="47"/>
  <c r="A139" i="47"/>
  <c r="C139" i="47"/>
  <c r="D139" i="47"/>
  <c r="E139" i="47"/>
  <c r="F139" i="47"/>
  <c r="G139" i="47"/>
  <c r="H139" i="47"/>
  <c r="I139" i="47"/>
  <c r="J139" i="47"/>
  <c r="L139" i="47"/>
  <c r="M139" i="47"/>
  <c r="N139" i="47"/>
  <c r="O139" i="47"/>
  <c r="P139" i="47"/>
  <c r="Q139" i="47"/>
  <c r="R139" i="47"/>
  <c r="S139" i="47"/>
  <c r="U139" i="47"/>
  <c r="V139" i="47"/>
  <c r="W139" i="47"/>
  <c r="X139" i="47"/>
  <c r="Y139" i="47"/>
  <c r="Z139" i="47"/>
  <c r="AA139" i="47"/>
  <c r="AB139" i="47"/>
  <c r="AC139" i="47"/>
  <c r="AD139" i="47"/>
  <c r="A140" i="47"/>
  <c r="C140" i="47"/>
  <c r="D140" i="47"/>
  <c r="E140" i="47"/>
  <c r="F140" i="47"/>
  <c r="G140" i="47"/>
  <c r="H140" i="47"/>
  <c r="I140" i="47"/>
  <c r="J140" i="47"/>
  <c r="L140" i="47"/>
  <c r="M140" i="47"/>
  <c r="N140" i="47"/>
  <c r="O140" i="47"/>
  <c r="P140" i="47"/>
  <c r="Q140" i="47"/>
  <c r="R140" i="47"/>
  <c r="S140" i="47"/>
  <c r="U140" i="47"/>
  <c r="V140" i="47"/>
  <c r="W140" i="47"/>
  <c r="X140" i="47"/>
  <c r="Y140" i="47"/>
  <c r="Z140" i="47"/>
  <c r="AA140" i="47"/>
  <c r="AB140" i="47"/>
  <c r="AC140" i="47"/>
  <c r="AD140" i="47"/>
  <c r="A141" i="47"/>
  <c r="C141" i="47"/>
  <c r="D141" i="47"/>
  <c r="E141" i="47"/>
  <c r="F141" i="47"/>
  <c r="G141" i="47"/>
  <c r="H141" i="47"/>
  <c r="I141" i="47"/>
  <c r="J141" i="47"/>
  <c r="L141" i="47"/>
  <c r="M141" i="47"/>
  <c r="N141" i="47"/>
  <c r="O141" i="47"/>
  <c r="P141" i="47"/>
  <c r="Q141" i="47"/>
  <c r="R141" i="47"/>
  <c r="S141" i="47"/>
  <c r="U141" i="47"/>
  <c r="V141" i="47"/>
  <c r="W141" i="47"/>
  <c r="X141" i="47"/>
  <c r="Y141" i="47"/>
  <c r="Z141" i="47"/>
  <c r="AA141" i="47"/>
  <c r="AB141" i="47"/>
  <c r="AC141" i="47"/>
  <c r="AD141" i="47"/>
  <c r="A142" i="47"/>
  <c r="C142" i="47"/>
  <c r="D142" i="47"/>
  <c r="E142" i="47"/>
  <c r="F142" i="47"/>
  <c r="G142" i="47"/>
  <c r="H142" i="47"/>
  <c r="I142" i="47"/>
  <c r="J142" i="47"/>
  <c r="L142" i="47"/>
  <c r="M142" i="47"/>
  <c r="N142" i="47"/>
  <c r="O142" i="47"/>
  <c r="P142" i="47"/>
  <c r="Q142" i="47"/>
  <c r="R142" i="47"/>
  <c r="S142" i="47"/>
  <c r="U142" i="47"/>
  <c r="V142" i="47"/>
  <c r="W142" i="47"/>
  <c r="X142" i="47"/>
  <c r="Y142" i="47"/>
  <c r="Z142" i="47"/>
  <c r="AA142" i="47"/>
  <c r="AB142" i="47"/>
  <c r="AC142" i="47"/>
  <c r="AD142" i="47"/>
  <c r="A143" i="47"/>
  <c r="C143" i="47"/>
  <c r="D143" i="47"/>
  <c r="E143" i="47"/>
  <c r="F143" i="47"/>
  <c r="G143" i="47"/>
  <c r="H143" i="47"/>
  <c r="I143" i="47"/>
  <c r="J143" i="47"/>
  <c r="L143" i="47"/>
  <c r="M143" i="47"/>
  <c r="N143" i="47"/>
  <c r="O143" i="47"/>
  <c r="P143" i="47"/>
  <c r="Q143" i="47"/>
  <c r="R143" i="47"/>
  <c r="S143" i="47"/>
  <c r="U143" i="47"/>
  <c r="V143" i="47"/>
  <c r="W143" i="47"/>
  <c r="X143" i="47"/>
  <c r="Y143" i="47"/>
  <c r="Z143" i="47"/>
  <c r="AA143" i="47"/>
  <c r="AB143" i="47"/>
  <c r="AC143" i="47"/>
  <c r="AD143" i="47"/>
  <c r="A144" i="47"/>
  <c r="C144" i="47"/>
  <c r="D144" i="47"/>
  <c r="E144" i="47"/>
  <c r="F144" i="47"/>
  <c r="G144" i="47"/>
  <c r="H144" i="47"/>
  <c r="I144" i="47"/>
  <c r="J144" i="47"/>
  <c r="L144" i="47"/>
  <c r="M144" i="47"/>
  <c r="N144" i="47"/>
  <c r="O144" i="47"/>
  <c r="P144" i="47"/>
  <c r="Q144" i="47"/>
  <c r="R144" i="47"/>
  <c r="S144" i="47"/>
  <c r="U144" i="47"/>
  <c r="V144" i="47"/>
  <c r="W144" i="47"/>
  <c r="X144" i="47"/>
  <c r="Y144" i="47"/>
  <c r="Z144" i="47"/>
  <c r="AA144" i="47"/>
  <c r="AB144" i="47"/>
  <c r="AC144" i="47"/>
  <c r="AD144" i="47"/>
  <c r="A145" i="47"/>
  <c r="C145" i="47"/>
  <c r="D145" i="47"/>
  <c r="E145" i="47"/>
  <c r="F145" i="47"/>
  <c r="G145" i="47"/>
  <c r="H145" i="47"/>
  <c r="I145" i="47"/>
  <c r="J145" i="47"/>
  <c r="L145" i="47"/>
  <c r="M145" i="47"/>
  <c r="N145" i="47"/>
  <c r="O145" i="47"/>
  <c r="P145" i="47"/>
  <c r="Q145" i="47"/>
  <c r="R145" i="47"/>
  <c r="S145" i="47"/>
  <c r="U145" i="47"/>
  <c r="V145" i="47"/>
  <c r="W145" i="47"/>
  <c r="X145" i="47"/>
  <c r="Y145" i="47"/>
  <c r="Z145" i="47"/>
  <c r="AA145" i="47"/>
  <c r="AB145" i="47"/>
  <c r="AC145" i="47"/>
  <c r="AD145" i="47"/>
  <c r="A146" i="47"/>
  <c r="C146" i="47"/>
  <c r="D146" i="47"/>
  <c r="E146" i="47"/>
  <c r="F146" i="47"/>
  <c r="G146" i="47"/>
  <c r="H146" i="47"/>
  <c r="I146" i="47"/>
  <c r="J146" i="47"/>
  <c r="L146" i="47"/>
  <c r="M146" i="47"/>
  <c r="N146" i="47"/>
  <c r="O146" i="47"/>
  <c r="P146" i="47"/>
  <c r="Q146" i="47"/>
  <c r="R146" i="47"/>
  <c r="S146" i="47"/>
  <c r="U146" i="47"/>
  <c r="V146" i="47"/>
  <c r="W146" i="47"/>
  <c r="X146" i="47"/>
  <c r="Y146" i="47"/>
  <c r="Z146" i="47"/>
  <c r="AA146" i="47"/>
  <c r="AB146" i="47"/>
  <c r="AC146" i="47"/>
  <c r="AD146" i="47"/>
  <c r="A147" i="47"/>
  <c r="C147" i="47"/>
  <c r="D147" i="47"/>
  <c r="E147" i="47"/>
  <c r="F147" i="47"/>
  <c r="G147" i="47"/>
  <c r="H147" i="47"/>
  <c r="I147" i="47"/>
  <c r="J147" i="47"/>
  <c r="L147" i="47"/>
  <c r="M147" i="47"/>
  <c r="N147" i="47"/>
  <c r="O147" i="47"/>
  <c r="P147" i="47"/>
  <c r="Q147" i="47"/>
  <c r="R147" i="47"/>
  <c r="S147" i="47"/>
  <c r="U147" i="47"/>
  <c r="V147" i="47"/>
  <c r="W147" i="47"/>
  <c r="X147" i="47"/>
  <c r="Y147" i="47"/>
  <c r="Z147" i="47"/>
  <c r="AA147" i="47"/>
  <c r="AB147" i="47"/>
  <c r="AC147" i="47"/>
  <c r="AD147" i="47"/>
  <c r="A148" i="47"/>
  <c r="C148" i="47"/>
  <c r="D148" i="47"/>
  <c r="E148" i="47"/>
  <c r="F148" i="47"/>
  <c r="G148" i="47"/>
  <c r="H148" i="47"/>
  <c r="I148" i="47"/>
  <c r="J148" i="47"/>
  <c r="L148" i="47"/>
  <c r="M148" i="47"/>
  <c r="N148" i="47"/>
  <c r="O148" i="47"/>
  <c r="P148" i="47"/>
  <c r="Q148" i="47"/>
  <c r="R148" i="47"/>
  <c r="S148" i="47"/>
  <c r="U148" i="47"/>
  <c r="V148" i="47"/>
  <c r="W148" i="47"/>
  <c r="X148" i="47"/>
  <c r="Y148" i="47"/>
  <c r="Z148" i="47"/>
  <c r="AA148" i="47"/>
  <c r="AB148" i="47"/>
  <c r="AC148" i="47"/>
  <c r="AD148" i="47"/>
  <c r="A149" i="47"/>
  <c r="C149" i="47"/>
  <c r="D149" i="47"/>
  <c r="E149" i="47"/>
  <c r="F149" i="47"/>
  <c r="G149" i="47"/>
  <c r="H149" i="47"/>
  <c r="I149" i="47"/>
  <c r="J149" i="47"/>
  <c r="L149" i="47"/>
  <c r="M149" i="47"/>
  <c r="N149" i="47"/>
  <c r="O149" i="47"/>
  <c r="P149" i="47"/>
  <c r="Q149" i="47"/>
  <c r="R149" i="47"/>
  <c r="S149" i="47"/>
  <c r="U149" i="47"/>
  <c r="V149" i="47"/>
  <c r="W149" i="47"/>
  <c r="X149" i="47"/>
  <c r="Y149" i="47"/>
  <c r="Z149" i="47"/>
  <c r="AA149" i="47"/>
  <c r="AB149" i="47"/>
  <c r="AC149" i="47"/>
  <c r="AD149" i="47"/>
  <c r="A150" i="47"/>
  <c r="C150" i="47"/>
  <c r="D150" i="47"/>
  <c r="E150" i="47"/>
  <c r="F150" i="47"/>
  <c r="G150" i="47"/>
  <c r="H150" i="47"/>
  <c r="I150" i="47"/>
  <c r="J150" i="47"/>
  <c r="L150" i="47"/>
  <c r="M150" i="47"/>
  <c r="N150" i="47"/>
  <c r="O150" i="47"/>
  <c r="P150" i="47"/>
  <c r="Q150" i="47"/>
  <c r="R150" i="47"/>
  <c r="S150" i="47"/>
  <c r="U150" i="47"/>
  <c r="V150" i="47"/>
  <c r="W150" i="47"/>
  <c r="X150" i="47"/>
  <c r="Y150" i="47"/>
  <c r="Z150" i="47"/>
  <c r="AA150" i="47"/>
  <c r="AB150" i="47"/>
  <c r="AC150" i="47"/>
  <c r="AD150" i="47"/>
  <c r="A151" i="47"/>
  <c r="C151" i="47"/>
  <c r="D151" i="47"/>
  <c r="E151" i="47"/>
  <c r="F151" i="47"/>
  <c r="G151" i="47"/>
  <c r="H151" i="47"/>
  <c r="I151" i="47"/>
  <c r="J151" i="47"/>
  <c r="L151" i="47"/>
  <c r="M151" i="47"/>
  <c r="N151" i="47"/>
  <c r="O151" i="47"/>
  <c r="P151" i="47"/>
  <c r="Q151" i="47"/>
  <c r="R151" i="47"/>
  <c r="S151" i="47"/>
  <c r="U151" i="47"/>
  <c r="V151" i="47"/>
  <c r="W151" i="47"/>
  <c r="X151" i="47"/>
  <c r="Y151" i="47"/>
  <c r="Z151" i="47"/>
  <c r="AA151" i="47"/>
  <c r="AB151" i="47"/>
  <c r="AC151" i="47"/>
  <c r="AD151" i="47"/>
  <c r="A152" i="47"/>
  <c r="C152" i="47"/>
  <c r="D152" i="47"/>
  <c r="E152" i="47"/>
  <c r="F152" i="47"/>
  <c r="G152" i="47"/>
  <c r="H152" i="47"/>
  <c r="I152" i="47"/>
  <c r="J152" i="47"/>
  <c r="L152" i="47"/>
  <c r="M152" i="47"/>
  <c r="N152" i="47"/>
  <c r="O152" i="47"/>
  <c r="P152" i="47"/>
  <c r="Q152" i="47"/>
  <c r="R152" i="47"/>
  <c r="S152" i="47"/>
  <c r="U152" i="47"/>
  <c r="V152" i="47"/>
  <c r="W152" i="47"/>
  <c r="X152" i="47"/>
  <c r="Y152" i="47"/>
  <c r="Z152" i="47"/>
  <c r="AA152" i="47"/>
  <c r="AB152" i="47"/>
  <c r="AC152" i="47"/>
  <c r="AD152" i="47"/>
  <c r="A153" i="47"/>
  <c r="C153" i="47"/>
  <c r="D153" i="47"/>
  <c r="E153" i="47"/>
  <c r="F153" i="47"/>
  <c r="G153" i="47"/>
  <c r="H153" i="47"/>
  <c r="I153" i="47"/>
  <c r="J153" i="47"/>
  <c r="L153" i="47"/>
  <c r="M153" i="47"/>
  <c r="N153" i="47"/>
  <c r="O153" i="47"/>
  <c r="P153" i="47"/>
  <c r="Q153" i="47"/>
  <c r="R153" i="47"/>
  <c r="S153" i="47"/>
  <c r="U153" i="47"/>
  <c r="V153" i="47"/>
  <c r="W153" i="47"/>
  <c r="X153" i="47"/>
  <c r="Y153" i="47"/>
  <c r="Z153" i="47"/>
  <c r="AA153" i="47"/>
  <c r="AB153" i="47"/>
  <c r="AC153" i="47"/>
  <c r="AD153" i="47"/>
  <c r="A154" i="47"/>
  <c r="C154" i="47"/>
  <c r="D154" i="47"/>
  <c r="E154" i="47"/>
  <c r="F154" i="47"/>
  <c r="G154" i="47"/>
  <c r="H154" i="47"/>
  <c r="I154" i="47"/>
  <c r="J154" i="47"/>
  <c r="L154" i="47"/>
  <c r="M154" i="47"/>
  <c r="N154" i="47"/>
  <c r="O154" i="47"/>
  <c r="P154" i="47"/>
  <c r="Q154" i="47"/>
  <c r="R154" i="47"/>
  <c r="S154" i="47"/>
  <c r="U154" i="47"/>
  <c r="V154" i="47"/>
  <c r="W154" i="47"/>
  <c r="X154" i="47"/>
  <c r="Y154" i="47"/>
  <c r="Z154" i="47"/>
  <c r="AA154" i="47"/>
  <c r="AB154" i="47"/>
  <c r="AC154" i="47"/>
  <c r="AD154" i="47"/>
  <c r="A155" i="47"/>
  <c r="C155" i="47"/>
  <c r="D155" i="47"/>
  <c r="E155" i="47"/>
  <c r="F155" i="47"/>
  <c r="G155" i="47"/>
  <c r="H155" i="47"/>
  <c r="I155" i="47"/>
  <c r="J155" i="47"/>
  <c r="L155" i="47"/>
  <c r="M155" i="47"/>
  <c r="N155" i="47"/>
  <c r="O155" i="47"/>
  <c r="P155" i="47"/>
  <c r="Q155" i="47"/>
  <c r="R155" i="47"/>
  <c r="S155" i="47"/>
  <c r="U155" i="47"/>
  <c r="V155" i="47"/>
  <c r="W155" i="47"/>
  <c r="X155" i="47"/>
  <c r="Y155" i="47"/>
  <c r="Z155" i="47"/>
  <c r="AA155" i="47"/>
  <c r="AB155" i="47"/>
  <c r="AC155" i="47"/>
  <c r="AD155" i="47"/>
  <c r="A156" i="47"/>
  <c r="C156" i="47"/>
  <c r="D156" i="47"/>
  <c r="E156" i="47"/>
  <c r="F156" i="47"/>
  <c r="G156" i="47"/>
  <c r="H156" i="47"/>
  <c r="I156" i="47"/>
  <c r="J156" i="47"/>
  <c r="L156" i="47"/>
  <c r="M156" i="47"/>
  <c r="N156" i="47"/>
  <c r="O156" i="47"/>
  <c r="P156" i="47"/>
  <c r="Q156" i="47"/>
  <c r="R156" i="47"/>
  <c r="S156" i="47"/>
  <c r="U156" i="47"/>
  <c r="V156" i="47"/>
  <c r="W156" i="47"/>
  <c r="X156" i="47"/>
  <c r="Y156" i="47"/>
  <c r="Z156" i="47"/>
  <c r="AA156" i="47"/>
  <c r="AB156" i="47"/>
  <c r="AC156" i="47"/>
  <c r="AD156" i="47"/>
  <c r="A157" i="47"/>
  <c r="C157" i="47"/>
  <c r="D157" i="47"/>
  <c r="E157" i="47"/>
  <c r="F157" i="47"/>
  <c r="G157" i="47"/>
  <c r="H157" i="47"/>
  <c r="I157" i="47"/>
  <c r="J157" i="47"/>
  <c r="L157" i="47"/>
  <c r="M157" i="47"/>
  <c r="N157" i="47"/>
  <c r="O157" i="47"/>
  <c r="P157" i="47"/>
  <c r="Q157" i="47"/>
  <c r="R157" i="47"/>
  <c r="S157" i="47"/>
  <c r="U157" i="47"/>
  <c r="V157" i="47"/>
  <c r="W157" i="47"/>
  <c r="X157" i="47"/>
  <c r="Y157" i="47"/>
  <c r="Z157" i="47"/>
  <c r="AA157" i="47"/>
  <c r="AB157" i="47"/>
  <c r="AC157" i="47"/>
  <c r="AD157" i="47"/>
  <c r="A158" i="47"/>
  <c r="C158" i="47"/>
  <c r="D158" i="47"/>
  <c r="E158" i="47"/>
  <c r="F158" i="47"/>
  <c r="G158" i="47"/>
  <c r="H158" i="47"/>
  <c r="I158" i="47"/>
  <c r="J158" i="47"/>
  <c r="L158" i="47"/>
  <c r="M158" i="47"/>
  <c r="N158" i="47"/>
  <c r="O158" i="47"/>
  <c r="P158" i="47"/>
  <c r="Q158" i="47"/>
  <c r="R158" i="47"/>
  <c r="S158" i="47"/>
  <c r="U158" i="47"/>
  <c r="V158" i="47"/>
  <c r="W158" i="47"/>
  <c r="X158" i="47"/>
  <c r="Y158" i="47"/>
  <c r="Z158" i="47"/>
  <c r="AA158" i="47"/>
  <c r="AB158" i="47"/>
  <c r="AC158" i="47"/>
  <c r="AD158" i="47"/>
  <c r="A159" i="47"/>
  <c r="C159" i="47"/>
  <c r="D159" i="47"/>
  <c r="E159" i="47"/>
  <c r="F159" i="47"/>
  <c r="G159" i="47"/>
  <c r="H159" i="47"/>
  <c r="I159" i="47"/>
  <c r="J159" i="47"/>
  <c r="L159" i="47"/>
  <c r="M159" i="47"/>
  <c r="N159" i="47"/>
  <c r="O159" i="47"/>
  <c r="P159" i="47"/>
  <c r="Q159" i="47"/>
  <c r="R159" i="47"/>
  <c r="S159" i="47"/>
  <c r="U159" i="47"/>
  <c r="V159" i="47"/>
  <c r="W159" i="47"/>
  <c r="X159" i="47"/>
  <c r="Y159" i="47"/>
  <c r="Z159" i="47"/>
  <c r="AA159" i="47"/>
  <c r="AB159" i="47"/>
  <c r="AC159" i="47"/>
  <c r="AD159" i="47"/>
  <c r="A160" i="47"/>
  <c r="C160" i="47"/>
  <c r="D160" i="47"/>
  <c r="E160" i="47"/>
  <c r="F160" i="47"/>
  <c r="G160" i="47"/>
  <c r="H160" i="47"/>
  <c r="I160" i="47"/>
  <c r="J160" i="47"/>
  <c r="L160" i="47"/>
  <c r="M160" i="47"/>
  <c r="N160" i="47"/>
  <c r="O160" i="47"/>
  <c r="P160" i="47"/>
  <c r="Q160" i="47"/>
  <c r="R160" i="47"/>
  <c r="S160" i="47"/>
  <c r="U160" i="47"/>
  <c r="V160" i="47"/>
  <c r="W160" i="47"/>
  <c r="X160" i="47"/>
  <c r="Y160" i="47"/>
  <c r="Z160" i="47"/>
  <c r="AA160" i="47"/>
  <c r="AB160" i="47"/>
  <c r="AC160" i="47"/>
  <c r="AD160" i="47"/>
  <c r="A161" i="47"/>
  <c r="C161" i="47"/>
  <c r="D161" i="47"/>
  <c r="E161" i="47"/>
  <c r="F161" i="47"/>
  <c r="G161" i="47"/>
  <c r="H161" i="47"/>
  <c r="I161" i="47"/>
  <c r="J161" i="47"/>
  <c r="L161" i="47"/>
  <c r="M161" i="47"/>
  <c r="N161" i="47"/>
  <c r="O161" i="47"/>
  <c r="P161" i="47"/>
  <c r="Q161" i="47"/>
  <c r="R161" i="47"/>
  <c r="S161" i="47"/>
  <c r="U161" i="47"/>
  <c r="V161" i="47"/>
  <c r="W161" i="47"/>
  <c r="X161" i="47"/>
  <c r="Y161" i="47"/>
  <c r="Z161" i="47"/>
  <c r="AA161" i="47"/>
  <c r="AB161" i="47"/>
  <c r="AC161" i="47"/>
  <c r="AD161" i="47"/>
  <c r="A162" i="47"/>
  <c r="C162" i="47"/>
  <c r="D162" i="47"/>
  <c r="E162" i="47"/>
  <c r="F162" i="47"/>
  <c r="G162" i="47"/>
  <c r="H162" i="47"/>
  <c r="I162" i="47"/>
  <c r="J162" i="47"/>
  <c r="L162" i="47"/>
  <c r="M162" i="47"/>
  <c r="N162" i="47"/>
  <c r="O162" i="47"/>
  <c r="P162" i="47"/>
  <c r="Q162" i="47"/>
  <c r="R162" i="47"/>
  <c r="S162" i="47"/>
  <c r="U162" i="47"/>
  <c r="V162" i="47"/>
  <c r="W162" i="47"/>
  <c r="X162" i="47"/>
  <c r="Y162" i="47"/>
  <c r="Z162" i="47"/>
  <c r="AA162" i="47"/>
  <c r="AB162" i="47"/>
  <c r="AC162" i="47"/>
  <c r="AD162" i="47"/>
  <c r="A163" i="47"/>
  <c r="C163" i="47"/>
  <c r="D163" i="47"/>
  <c r="E163" i="47"/>
  <c r="F163" i="47"/>
  <c r="G163" i="47"/>
  <c r="H163" i="47"/>
  <c r="I163" i="47"/>
  <c r="J163" i="47"/>
  <c r="L163" i="47"/>
  <c r="M163" i="47"/>
  <c r="N163" i="47"/>
  <c r="O163" i="47"/>
  <c r="P163" i="47"/>
  <c r="Q163" i="47"/>
  <c r="R163" i="47"/>
  <c r="S163" i="47"/>
  <c r="U163" i="47"/>
  <c r="V163" i="47"/>
  <c r="W163" i="47"/>
  <c r="X163" i="47"/>
  <c r="Y163" i="47"/>
  <c r="Z163" i="47"/>
  <c r="AA163" i="47"/>
  <c r="AB163" i="47"/>
  <c r="AC163" i="47"/>
  <c r="AD163" i="47"/>
  <c r="A164" i="47"/>
  <c r="C164" i="47"/>
  <c r="D164" i="47"/>
  <c r="E164" i="47"/>
  <c r="F164" i="47"/>
  <c r="G164" i="47"/>
  <c r="H164" i="47"/>
  <c r="I164" i="47"/>
  <c r="J164" i="47"/>
  <c r="L164" i="47"/>
  <c r="M164" i="47"/>
  <c r="N164" i="47"/>
  <c r="O164" i="47"/>
  <c r="P164" i="47"/>
  <c r="Q164" i="47"/>
  <c r="R164" i="47"/>
  <c r="S164" i="47"/>
  <c r="U164" i="47"/>
  <c r="V164" i="47"/>
  <c r="W164" i="47"/>
  <c r="X164" i="47"/>
  <c r="Y164" i="47"/>
  <c r="Z164" i="47"/>
  <c r="AA164" i="47"/>
  <c r="AB164" i="47"/>
  <c r="AC164" i="47"/>
  <c r="AD164" i="47"/>
  <c r="A165" i="47"/>
  <c r="C165" i="47"/>
  <c r="D165" i="47"/>
  <c r="E165" i="47"/>
  <c r="F165" i="47"/>
  <c r="G165" i="47"/>
  <c r="H165" i="47"/>
  <c r="I165" i="47"/>
  <c r="J165" i="47"/>
  <c r="L165" i="47"/>
  <c r="M165" i="47"/>
  <c r="N165" i="47"/>
  <c r="O165" i="47"/>
  <c r="P165" i="47"/>
  <c r="Q165" i="47"/>
  <c r="R165" i="47"/>
  <c r="S165" i="47"/>
  <c r="U165" i="47"/>
  <c r="V165" i="47"/>
  <c r="W165" i="47"/>
  <c r="X165" i="47"/>
  <c r="Y165" i="47"/>
  <c r="Z165" i="47"/>
  <c r="AA165" i="47"/>
  <c r="AB165" i="47"/>
  <c r="AC165" i="47"/>
  <c r="AD165" i="47"/>
  <c r="A166" i="47"/>
  <c r="C166" i="47"/>
  <c r="D166" i="47"/>
  <c r="E166" i="47"/>
  <c r="F166" i="47"/>
  <c r="G166" i="47"/>
  <c r="H166" i="47"/>
  <c r="I166" i="47"/>
  <c r="J166" i="47"/>
  <c r="L166" i="47"/>
  <c r="M166" i="47"/>
  <c r="N166" i="47"/>
  <c r="O166" i="47"/>
  <c r="P166" i="47"/>
  <c r="Q166" i="47"/>
  <c r="R166" i="47"/>
  <c r="S166" i="47"/>
  <c r="U166" i="47"/>
  <c r="V166" i="47"/>
  <c r="W166" i="47"/>
  <c r="X166" i="47"/>
  <c r="Y166" i="47"/>
  <c r="Z166" i="47"/>
  <c r="AA166" i="47"/>
  <c r="AB166" i="47"/>
  <c r="AC166" i="47"/>
  <c r="AD166" i="47"/>
  <c r="A167" i="47"/>
  <c r="C167" i="47"/>
  <c r="D167" i="47"/>
  <c r="E167" i="47"/>
  <c r="F167" i="47"/>
  <c r="G167" i="47"/>
  <c r="H167" i="47"/>
  <c r="I167" i="47"/>
  <c r="J167" i="47"/>
  <c r="L167" i="47"/>
  <c r="M167" i="47"/>
  <c r="N167" i="47"/>
  <c r="O167" i="47"/>
  <c r="P167" i="47"/>
  <c r="Q167" i="47"/>
  <c r="R167" i="47"/>
  <c r="S167" i="47"/>
  <c r="U167" i="47"/>
  <c r="V167" i="47"/>
  <c r="W167" i="47"/>
  <c r="X167" i="47"/>
  <c r="Y167" i="47"/>
  <c r="Z167" i="47"/>
  <c r="AA167" i="47"/>
  <c r="AB167" i="47"/>
  <c r="AC167" i="47"/>
  <c r="AD167" i="47"/>
  <c r="A168" i="47"/>
  <c r="C168" i="47"/>
  <c r="D168" i="47"/>
  <c r="E168" i="47"/>
  <c r="F168" i="47"/>
  <c r="G168" i="47"/>
  <c r="H168" i="47"/>
  <c r="I168" i="47"/>
  <c r="J168" i="47"/>
  <c r="L168" i="47"/>
  <c r="M168" i="47"/>
  <c r="N168" i="47"/>
  <c r="O168" i="47"/>
  <c r="P168" i="47"/>
  <c r="Q168" i="47"/>
  <c r="R168" i="47"/>
  <c r="S168" i="47"/>
  <c r="U168" i="47"/>
  <c r="V168" i="47"/>
  <c r="W168" i="47"/>
  <c r="X168" i="47"/>
  <c r="Y168" i="47"/>
  <c r="Z168" i="47"/>
  <c r="AA168" i="47"/>
  <c r="AB168" i="47"/>
  <c r="AC168" i="47"/>
  <c r="AD168" i="47"/>
  <c r="A169" i="47"/>
  <c r="C169" i="47"/>
  <c r="D169" i="47"/>
  <c r="E169" i="47"/>
  <c r="F169" i="47"/>
  <c r="G169" i="47"/>
  <c r="H169" i="47"/>
  <c r="I169" i="47"/>
  <c r="J169" i="47"/>
  <c r="L169" i="47"/>
  <c r="M169" i="47"/>
  <c r="N169" i="47"/>
  <c r="O169" i="47"/>
  <c r="P169" i="47"/>
  <c r="Q169" i="47"/>
  <c r="R169" i="47"/>
  <c r="S169" i="47"/>
  <c r="U169" i="47"/>
  <c r="V169" i="47"/>
  <c r="W169" i="47"/>
  <c r="X169" i="47"/>
  <c r="Y169" i="47"/>
  <c r="Z169" i="47"/>
  <c r="AA169" i="47"/>
  <c r="AB169" i="47"/>
  <c r="AC169" i="47"/>
  <c r="AD169" i="47"/>
  <c r="A170" i="47"/>
  <c r="C170" i="47"/>
  <c r="D170" i="47"/>
  <c r="E170" i="47"/>
  <c r="F170" i="47"/>
  <c r="G170" i="47"/>
  <c r="H170" i="47"/>
  <c r="I170" i="47"/>
  <c r="J170" i="47"/>
  <c r="L170" i="47"/>
  <c r="M170" i="47"/>
  <c r="N170" i="47"/>
  <c r="O170" i="47"/>
  <c r="P170" i="47"/>
  <c r="Q170" i="47"/>
  <c r="R170" i="47"/>
  <c r="S170" i="47"/>
  <c r="U170" i="47"/>
  <c r="V170" i="47"/>
  <c r="W170" i="47"/>
  <c r="X170" i="47"/>
  <c r="Y170" i="47"/>
  <c r="Z170" i="47"/>
  <c r="AA170" i="47"/>
  <c r="AB170" i="47"/>
  <c r="AC170" i="47"/>
  <c r="AD170" i="47"/>
  <c r="A171" i="47"/>
  <c r="C171" i="47"/>
  <c r="D171" i="47"/>
  <c r="E171" i="47"/>
  <c r="F171" i="47"/>
  <c r="G171" i="47"/>
  <c r="H171" i="47"/>
  <c r="I171" i="47"/>
  <c r="J171" i="47"/>
  <c r="L171" i="47"/>
  <c r="M171" i="47"/>
  <c r="N171" i="47"/>
  <c r="O171" i="47"/>
  <c r="P171" i="47"/>
  <c r="Q171" i="47"/>
  <c r="R171" i="47"/>
  <c r="S171" i="47"/>
  <c r="U171" i="47"/>
  <c r="V171" i="47"/>
  <c r="W171" i="47"/>
  <c r="X171" i="47"/>
  <c r="Y171" i="47"/>
  <c r="Z171" i="47"/>
  <c r="AA171" i="47"/>
  <c r="AB171" i="47"/>
  <c r="AC171" i="47"/>
  <c r="AD171" i="47"/>
  <c r="A172" i="47"/>
  <c r="C172" i="47"/>
  <c r="D172" i="47"/>
  <c r="E172" i="47"/>
  <c r="F172" i="47"/>
  <c r="G172" i="47"/>
  <c r="H172" i="47"/>
  <c r="I172" i="47"/>
  <c r="J172" i="47"/>
  <c r="L172" i="47"/>
  <c r="M172" i="47"/>
  <c r="N172" i="47"/>
  <c r="O172" i="47"/>
  <c r="P172" i="47"/>
  <c r="Q172" i="47"/>
  <c r="R172" i="47"/>
  <c r="S172" i="47"/>
  <c r="U172" i="47"/>
  <c r="V172" i="47"/>
  <c r="W172" i="47"/>
  <c r="X172" i="47"/>
  <c r="Y172" i="47"/>
  <c r="Z172" i="47"/>
  <c r="AA172" i="47"/>
  <c r="AB172" i="47"/>
  <c r="AC172" i="47"/>
  <c r="AD172" i="47"/>
  <c r="A173" i="47"/>
  <c r="C173" i="47"/>
  <c r="D173" i="47"/>
  <c r="E173" i="47"/>
  <c r="F173" i="47"/>
  <c r="G173" i="47"/>
  <c r="H173" i="47"/>
  <c r="I173" i="47"/>
  <c r="J173" i="47"/>
  <c r="L173" i="47"/>
  <c r="M173" i="47"/>
  <c r="N173" i="47"/>
  <c r="O173" i="47"/>
  <c r="P173" i="47"/>
  <c r="Q173" i="47"/>
  <c r="R173" i="47"/>
  <c r="S173" i="47"/>
  <c r="U173" i="47"/>
  <c r="V173" i="47"/>
  <c r="W173" i="47"/>
  <c r="X173" i="47"/>
  <c r="Y173" i="47"/>
  <c r="Z173" i="47"/>
  <c r="AA173" i="47"/>
  <c r="AB173" i="47"/>
  <c r="AC173" i="47"/>
  <c r="AD173" i="47"/>
  <c r="A174" i="47"/>
  <c r="C174" i="47"/>
  <c r="D174" i="47"/>
  <c r="E174" i="47"/>
  <c r="F174" i="47"/>
  <c r="G174" i="47"/>
  <c r="H174" i="47"/>
  <c r="I174" i="47"/>
  <c r="J174" i="47"/>
  <c r="L174" i="47"/>
  <c r="M174" i="47"/>
  <c r="N174" i="47"/>
  <c r="O174" i="47"/>
  <c r="P174" i="47"/>
  <c r="Q174" i="47"/>
  <c r="R174" i="47"/>
  <c r="S174" i="47"/>
  <c r="U174" i="47"/>
  <c r="V174" i="47"/>
  <c r="W174" i="47"/>
  <c r="X174" i="47"/>
  <c r="Y174" i="47"/>
  <c r="Z174" i="47"/>
  <c r="AA174" i="47"/>
  <c r="AB174" i="47"/>
  <c r="AC174" i="47"/>
  <c r="AD174" i="47"/>
  <c r="A175" i="47"/>
  <c r="C175" i="47"/>
  <c r="D175" i="47"/>
  <c r="E175" i="47"/>
  <c r="F175" i="47"/>
  <c r="G175" i="47"/>
  <c r="H175" i="47"/>
  <c r="I175" i="47"/>
  <c r="J175" i="47"/>
  <c r="L175" i="47"/>
  <c r="M175" i="47"/>
  <c r="N175" i="47"/>
  <c r="O175" i="47"/>
  <c r="P175" i="47"/>
  <c r="Q175" i="47"/>
  <c r="R175" i="47"/>
  <c r="S175" i="47"/>
  <c r="U175" i="47"/>
  <c r="V175" i="47"/>
  <c r="W175" i="47"/>
  <c r="X175" i="47"/>
  <c r="Y175" i="47"/>
  <c r="Z175" i="47"/>
  <c r="AA175" i="47"/>
  <c r="AB175" i="47"/>
  <c r="AC175" i="47"/>
  <c r="AD175" i="47"/>
  <c r="A176" i="47"/>
  <c r="C176" i="47"/>
  <c r="D176" i="47"/>
  <c r="E176" i="47"/>
  <c r="F176" i="47"/>
  <c r="G176" i="47"/>
  <c r="H176" i="47"/>
  <c r="I176" i="47"/>
  <c r="J176" i="47"/>
  <c r="L176" i="47"/>
  <c r="M176" i="47"/>
  <c r="N176" i="47"/>
  <c r="O176" i="47"/>
  <c r="P176" i="47"/>
  <c r="Q176" i="47"/>
  <c r="R176" i="47"/>
  <c r="S176" i="47"/>
  <c r="U176" i="47"/>
  <c r="V176" i="47"/>
  <c r="W176" i="47"/>
  <c r="X176" i="47"/>
  <c r="Y176" i="47"/>
  <c r="Z176" i="47"/>
  <c r="AA176" i="47"/>
  <c r="AB176" i="47"/>
  <c r="AC176" i="47"/>
  <c r="AD176" i="47"/>
  <c r="A177" i="47"/>
  <c r="C177" i="47"/>
  <c r="D177" i="47"/>
  <c r="E177" i="47"/>
  <c r="F177" i="47"/>
  <c r="G177" i="47"/>
  <c r="H177" i="47"/>
  <c r="I177" i="47"/>
  <c r="J177" i="47"/>
  <c r="L177" i="47"/>
  <c r="M177" i="47"/>
  <c r="N177" i="47"/>
  <c r="O177" i="47"/>
  <c r="P177" i="47"/>
  <c r="Q177" i="47"/>
  <c r="R177" i="47"/>
  <c r="S177" i="47"/>
  <c r="U177" i="47"/>
  <c r="V177" i="47"/>
  <c r="W177" i="47"/>
  <c r="X177" i="47"/>
  <c r="Y177" i="47"/>
  <c r="Z177" i="47"/>
  <c r="AA177" i="47"/>
  <c r="AB177" i="47"/>
  <c r="AC177" i="47"/>
  <c r="AD177" i="47"/>
  <c r="A178" i="47"/>
  <c r="C178" i="47"/>
  <c r="D178" i="47"/>
  <c r="E178" i="47"/>
  <c r="F178" i="47"/>
  <c r="G178" i="47"/>
  <c r="H178" i="47"/>
  <c r="I178" i="47"/>
  <c r="J178" i="47"/>
  <c r="L178" i="47"/>
  <c r="M178" i="47"/>
  <c r="N178" i="47"/>
  <c r="O178" i="47"/>
  <c r="P178" i="47"/>
  <c r="Q178" i="47"/>
  <c r="R178" i="47"/>
  <c r="S178" i="47"/>
  <c r="U178" i="47"/>
  <c r="V178" i="47"/>
  <c r="W178" i="47"/>
  <c r="X178" i="47"/>
  <c r="Y178" i="47"/>
  <c r="Z178" i="47"/>
  <c r="AA178" i="47"/>
  <c r="AB178" i="47"/>
  <c r="AC178" i="47"/>
  <c r="AD178" i="47"/>
  <c r="A179" i="47"/>
  <c r="C179" i="47"/>
  <c r="D179" i="47"/>
  <c r="E179" i="47"/>
  <c r="F179" i="47"/>
  <c r="G179" i="47"/>
  <c r="H179" i="47"/>
  <c r="I179" i="47"/>
  <c r="J179" i="47"/>
  <c r="L179" i="47"/>
  <c r="M179" i="47"/>
  <c r="N179" i="47"/>
  <c r="O179" i="47"/>
  <c r="P179" i="47"/>
  <c r="Q179" i="47"/>
  <c r="R179" i="47"/>
  <c r="S179" i="47"/>
  <c r="U179" i="47"/>
  <c r="V179" i="47"/>
  <c r="W179" i="47"/>
  <c r="X179" i="47"/>
  <c r="Y179" i="47"/>
  <c r="Z179" i="47"/>
  <c r="AA179" i="47"/>
  <c r="AB179" i="47"/>
  <c r="AC179" i="47"/>
  <c r="AD179" i="47"/>
  <c r="A180" i="47"/>
  <c r="C180" i="47"/>
  <c r="D180" i="47"/>
  <c r="E180" i="47"/>
  <c r="F180" i="47"/>
  <c r="G180" i="47"/>
  <c r="H180" i="47"/>
  <c r="I180" i="47"/>
  <c r="J180" i="47"/>
  <c r="L180" i="47"/>
  <c r="M180" i="47"/>
  <c r="N180" i="47"/>
  <c r="O180" i="47"/>
  <c r="P180" i="47"/>
  <c r="Q180" i="47"/>
  <c r="R180" i="47"/>
  <c r="S180" i="47"/>
  <c r="U180" i="47"/>
  <c r="V180" i="47"/>
  <c r="W180" i="47"/>
  <c r="X180" i="47"/>
  <c r="Y180" i="47"/>
  <c r="Z180" i="47"/>
  <c r="AA180" i="47"/>
  <c r="AB180" i="47"/>
  <c r="AC180" i="47"/>
  <c r="AD180" i="47"/>
  <c r="A181" i="47"/>
  <c r="C181" i="47"/>
  <c r="D181" i="47"/>
  <c r="E181" i="47"/>
  <c r="F181" i="47"/>
  <c r="G181" i="47"/>
  <c r="H181" i="47"/>
  <c r="I181" i="47"/>
  <c r="J181" i="47"/>
  <c r="L181" i="47"/>
  <c r="M181" i="47"/>
  <c r="N181" i="47"/>
  <c r="O181" i="47"/>
  <c r="P181" i="47"/>
  <c r="Q181" i="47"/>
  <c r="R181" i="47"/>
  <c r="S181" i="47"/>
  <c r="U181" i="47"/>
  <c r="V181" i="47"/>
  <c r="W181" i="47"/>
  <c r="X181" i="47"/>
  <c r="Y181" i="47"/>
  <c r="Z181" i="47"/>
  <c r="AA181" i="47"/>
  <c r="AB181" i="47"/>
  <c r="AC181" i="47"/>
  <c r="AD181" i="47"/>
  <c r="A182" i="47"/>
  <c r="C182" i="47"/>
  <c r="D182" i="47"/>
  <c r="E182" i="47"/>
  <c r="F182" i="47"/>
  <c r="G182" i="47"/>
  <c r="H182" i="47"/>
  <c r="I182" i="47"/>
  <c r="J182" i="47"/>
  <c r="L182" i="47"/>
  <c r="M182" i="47"/>
  <c r="N182" i="47"/>
  <c r="O182" i="47"/>
  <c r="P182" i="47"/>
  <c r="Q182" i="47"/>
  <c r="R182" i="47"/>
  <c r="S182" i="47"/>
  <c r="U182" i="47"/>
  <c r="V182" i="47"/>
  <c r="W182" i="47"/>
  <c r="X182" i="47"/>
  <c r="Y182" i="47"/>
  <c r="Z182" i="47"/>
  <c r="AA182" i="47"/>
  <c r="AB182" i="47"/>
  <c r="AC182" i="47"/>
  <c r="AD182" i="47"/>
  <c r="A183" i="47"/>
  <c r="C183" i="47"/>
  <c r="D183" i="47"/>
  <c r="E183" i="47"/>
  <c r="F183" i="47"/>
  <c r="G183" i="47"/>
  <c r="H183" i="47"/>
  <c r="I183" i="47"/>
  <c r="J183" i="47"/>
  <c r="L183" i="47"/>
  <c r="M183" i="47"/>
  <c r="N183" i="47"/>
  <c r="O183" i="47"/>
  <c r="P183" i="47"/>
  <c r="Q183" i="47"/>
  <c r="R183" i="47"/>
  <c r="S183" i="47"/>
  <c r="U183" i="47"/>
  <c r="V183" i="47"/>
  <c r="W183" i="47"/>
  <c r="X183" i="47"/>
  <c r="Y183" i="47"/>
  <c r="Z183" i="47"/>
  <c r="AA183" i="47"/>
  <c r="AB183" i="47"/>
  <c r="AC183" i="47"/>
  <c r="AD183" i="47"/>
  <c r="A184" i="47"/>
  <c r="C184" i="47"/>
  <c r="D184" i="47"/>
  <c r="E184" i="47"/>
  <c r="F184" i="47"/>
  <c r="G184" i="47"/>
  <c r="H184" i="47"/>
  <c r="I184" i="47"/>
  <c r="J184" i="47"/>
  <c r="L184" i="47"/>
  <c r="M184" i="47"/>
  <c r="N184" i="47"/>
  <c r="O184" i="47"/>
  <c r="P184" i="47"/>
  <c r="Q184" i="47"/>
  <c r="R184" i="47"/>
  <c r="S184" i="47"/>
  <c r="U184" i="47"/>
  <c r="V184" i="47"/>
  <c r="W184" i="47"/>
  <c r="X184" i="47"/>
  <c r="Y184" i="47"/>
  <c r="Z184" i="47"/>
  <c r="AA184" i="47"/>
  <c r="AB184" i="47"/>
  <c r="AC184" i="47"/>
  <c r="AD184" i="47"/>
  <c r="A185" i="47"/>
  <c r="C185" i="47"/>
  <c r="D185" i="47"/>
  <c r="E185" i="47"/>
  <c r="F185" i="47"/>
  <c r="G185" i="47"/>
  <c r="H185" i="47"/>
  <c r="I185" i="47"/>
  <c r="J185" i="47"/>
  <c r="L185" i="47"/>
  <c r="M185" i="47"/>
  <c r="N185" i="47"/>
  <c r="O185" i="47"/>
  <c r="P185" i="47"/>
  <c r="Q185" i="47"/>
  <c r="R185" i="47"/>
  <c r="S185" i="47"/>
  <c r="U185" i="47"/>
  <c r="V185" i="47"/>
  <c r="W185" i="47"/>
  <c r="X185" i="47"/>
  <c r="Y185" i="47"/>
  <c r="Z185" i="47"/>
  <c r="AA185" i="47"/>
  <c r="AB185" i="47"/>
  <c r="AC185" i="47"/>
  <c r="AD185" i="47"/>
  <c r="A186" i="47"/>
  <c r="C186" i="47"/>
  <c r="D186" i="47"/>
  <c r="E186" i="47"/>
  <c r="F186" i="47"/>
  <c r="G186" i="47"/>
  <c r="H186" i="47"/>
  <c r="I186" i="47"/>
  <c r="J186" i="47"/>
  <c r="L186" i="47"/>
  <c r="M186" i="47"/>
  <c r="N186" i="47"/>
  <c r="O186" i="47"/>
  <c r="P186" i="47"/>
  <c r="Q186" i="47"/>
  <c r="R186" i="47"/>
  <c r="S186" i="47"/>
  <c r="U186" i="47"/>
  <c r="V186" i="47"/>
  <c r="W186" i="47"/>
  <c r="X186" i="47"/>
  <c r="Y186" i="47"/>
  <c r="Z186" i="47"/>
  <c r="AA186" i="47"/>
  <c r="AB186" i="47"/>
  <c r="AC186" i="47"/>
  <c r="AD186" i="47"/>
  <c r="A187" i="47"/>
  <c r="C187" i="47"/>
  <c r="D187" i="47"/>
  <c r="E187" i="47"/>
  <c r="F187" i="47"/>
  <c r="G187" i="47"/>
  <c r="H187" i="47"/>
  <c r="I187" i="47"/>
  <c r="J187" i="47"/>
  <c r="L187" i="47"/>
  <c r="M187" i="47"/>
  <c r="N187" i="47"/>
  <c r="O187" i="47"/>
  <c r="P187" i="47"/>
  <c r="Q187" i="47"/>
  <c r="R187" i="47"/>
  <c r="S187" i="47"/>
  <c r="U187" i="47"/>
  <c r="V187" i="47"/>
  <c r="W187" i="47"/>
  <c r="X187" i="47"/>
  <c r="Y187" i="47"/>
  <c r="Z187" i="47"/>
  <c r="AA187" i="47"/>
  <c r="AB187" i="47"/>
  <c r="AC187" i="47"/>
  <c r="AD187" i="47"/>
  <c r="A188" i="47"/>
  <c r="C188" i="47"/>
  <c r="D188" i="47"/>
  <c r="E188" i="47"/>
  <c r="F188" i="47"/>
  <c r="G188" i="47"/>
  <c r="H188" i="47"/>
  <c r="I188" i="47"/>
  <c r="J188" i="47"/>
  <c r="L188" i="47"/>
  <c r="M188" i="47"/>
  <c r="N188" i="47"/>
  <c r="O188" i="47"/>
  <c r="P188" i="47"/>
  <c r="Q188" i="47"/>
  <c r="R188" i="47"/>
  <c r="S188" i="47"/>
  <c r="U188" i="47"/>
  <c r="V188" i="47"/>
  <c r="W188" i="47"/>
  <c r="X188" i="47"/>
  <c r="Y188" i="47"/>
  <c r="Z188" i="47"/>
  <c r="AA188" i="47"/>
  <c r="AB188" i="47"/>
  <c r="AC188" i="47"/>
  <c r="AD188" i="47"/>
  <c r="A189" i="47"/>
  <c r="C189" i="47"/>
  <c r="D189" i="47"/>
  <c r="E189" i="47"/>
  <c r="F189" i="47"/>
  <c r="G189" i="47"/>
  <c r="H189" i="47"/>
  <c r="I189" i="47"/>
  <c r="J189" i="47"/>
  <c r="L189" i="47"/>
  <c r="M189" i="47"/>
  <c r="N189" i="47"/>
  <c r="O189" i="47"/>
  <c r="P189" i="47"/>
  <c r="Q189" i="47"/>
  <c r="R189" i="47"/>
  <c r="S189" i="47"/>
  <c r="U189" i="47"/>
  <c r="V189" i="47"/>
  <c r="W189" i="47"/>
  <c r="X189" i="47"/>
  <c r="Y189" i="47"/>
  <c r="Z189" i="47"/>
  <c r="AA189" i="47"/>
  <c r="AB189" i="47"/>
  <c r="AC189" i="47"/>
  <c r="AD189" i="47"/>
  <c r="A190" i="47"/>
  <c r="C190" i="47"/>
  <c r="D190" i="47"/>
  <c r="E190" i="47"/>
  <c r="F190" i="47"/>
  <c r="G190" i="47"/>
  <c r="H190" i="47"/>
  <c r="I190" i="47"/>
  <c r="J190" i="47"/>
  <c r="L190" i="47"/>
  <c r="M190" i="47"/>
  <c r="N190" i="47"/>
  <c r="O190" i="47"/>
  <c r="P190" i="47"/>
  <c r="Q190" i="47"/>
  <c r="R190" i="47"/>
  <c r="S190" i="47"/>
  <c r="U190" i="47"/>
  <c r="V190" i="47"/>
  <c r="W190" i="47"/>
  <c r="X190" i="47"/>
  <c r="Y190" i="47"/>
  <c r="Z190" i="47"/>
  <c r="AA190" i="47"/>
  <c r="AB190" i="47"/>
  <c r="AC190" i="47"/>
  <c r="AD190" i="47"/>
  <c r="A191" i="47"/>
  <c r="C191" i="47"/>
  <c r="D191" i="47"/>
  <c r="E191" i="47"/>
  <c r="F191" i="47"/>
  <c r="G191" i="47"/>
  <c r="H191" i="47"/>
  <c r="I191" i="47"/>
  <c r="J191" i="47"/>
  <c r="L191" i="47"/>
  <c r="M191" i="47"/>
  <c r="N191" i="47"/>
  <c r="O191" i="47"/>
  <c r="P191" i="47"/>
  <c r="Q191" i="47"/>
  <c r="R191" i="47"/>
  <c r="S191" i="47"/>
  <c r="U191" i="47"/>
  <c r="V191" i="47"/>
  <c r="W191" i="47"/>
  <c r="X191" i="47"/>
  <c r="Y191" i="47"/>
  <c r="Z191" i="47"/>
  <c r="AA191" i="47"/>
  <c r="AB191" i="47"/>
  <c r="AC191" i="47"/>
  <c r="AD191" i="47"/>
  <c r="A192" i="47"/>
  <c r="C192" i="47"/>
  <c r="D192" i="47"/>
  <c r="E192" i="47"/>
  <c r="F192" i="47"/>
  <c r="G192" i="47"/>
  <c r="H192" i="47"/>
  <c r="I192" i="47"/>
  <c r="J192" i="47"/>
  <c r="L192" i="47"/>
  <c r="M192" i="47"/>
  <c r="N192" i="47"/>
  <c r="O192" i="47"/>
  <c r="P192" i="47"/>
  <c r="Q192" i="47"/>
  <c r="R192" i="47"/>
  <c r="S192" i="47"/>
  <c r="U192" i="47"/>
  <c r="V192" i="47"/>
  <c r="W192" i="47"/>
  <c r="X192" i="47"/>
  <c r="Y192" i="47"/>
  <c r="Z192" i="47"/>
  <c r="AA192" i="47"/>
  <c r="AB192" i="47"/>
  <c r="AC192" i="47"/>
  <c r="AD192" i="47"/>
  <c r="A193" i="47"/>
  <c r="C193" i="47"/>
  <c r="D193" i="47"/>
  <c r="E193" i="47"/>
  <c r="F193" i="47"/>
  <c r="G193" i="47"/>
  <c r="H193" i="47"/>
  <c r="I193" i="47"/>
  <c r="J193" i="47"/>
  <c r="L193" i="47"/>
  <c r="M193" i="47"/>
  <c r="N193" i="47"/>
  <c r="O193" i="47"/>
  <c r="P193" i="47"/>
  <c r="Q193" i="47"/>
  <c r="R193" i="47"/>
  <c r="S193" i="47"/>
  <c r="U193" i="47"/>
  <c r="V193" i="47"/>
  <c r="W193" i="47"/>
  <c r="X193" i="47"/>
  <c r="Y193" i="47"/>
  <c r="Z193" i="47"/>
  <c r="AA193" i="47"/>
  <c r="AB193" i="47"/>
  <c r="AC193" i="47"/>
  <c r="AD193" i="47"/>
  <c r="A194" i="47"/>
  <c r="C194" i="47"/>
  <c r="D194" i="47"/>
  <c r="E194" i="47"/>
  <c r="F194" i="47"/>
  <c r="G194" i="47"/>
  <c r="H194" i="47"/>
  <c r="I194" i="47"/>
  <c r="J194" i="47"/>
  <c r="L194" i="47"/>
  <c r="M194" i="47"/>
  <c r="N194" i="47"/>
  <c r="O194" i="47"/>
  <c r="P194" i="47"/>
  <c r="Q194" i="47"/>
  <c r="R194" i="47"/>
  <c r="S194" i="47"/>
  <c r="U194" i="47"/>
  <c r="V194" i="47"/>
  <c r="W194" i="47"/>
  <c r="X194" i="47"/>
  <c r="Y194" i="47"/>
  <c r="Z194" i="47"/>
  <c r="AA194" i="47"/>
  <c r="AB194" i="47"/>
  <c r="AC194" i="47"/>
  <c r="AD194" i="47"/>
  <c r="A195" i="47"/>
  <c r="C195" i="47"/>
  <c r="D195" i="47"/>
  <c r="E195" i="47"/>
  <c r="F195" i="47"/>
  <c r="G195" i="47"/>
  <c r="H195" i="47"/>
  <c r="I195" i="47"/>
  <c r="J195" i="47"/>
  <c r="L195" i="47"/>
  <c r="M195" i="47"/>
  <c r="N195" i="47"/>
  <c r="O195" i="47"/>
  <c r="P195" i="47"/>
  <c r="Q195" i="47"/>
  <c r="R195" i="47"/>
  <c r="S195" i="47"/>
  <c r="U195" i="47"/>
  <c r="V195" i="47"/>
  <c r="W195" i="47"/>
  <c r="X195" i="47"/>
  <c r="Y195" i="47"/>
  <c r="Z195" i="47"/>
  <c r="AA195" i="47"/>
  <c r="AB195" i="47"/>
  <c r="AC195" i="47"/>
  <c r="AD195" i="47"/>
  <c r="A196" i="47"/>
  <c r="C196" i="47"/>
  <c r="D196" i="47"/>
  <c r="E196" i="47"/>
  <c r="F196" i="47"/>
  <c r="G196" i="47"/>
  <c r="H196" i="47"/>
  <c r="I196" i="47"/>
  <c r="J196" i="47"/>
  <c r="L196" i="47"/>
  <c r="M196" i="47"/>
  <c r="N196" i="47"/>
  <c r="O196" i="47"/>
  <c r="P196" i="47"/>
  <c r="Q196" i="47"/>
  <c r="R196" i="47"/>
  <c r="S196" i="47"/>
  <c r="U196" i="47"/>
  <c r="V196" i="47"/>
  <c r="W196" i="47"/>
  <c r="X196" i="47"/>
  <c r="Y196" i="47"/>
  <c r="Z196" i="47"/>
  <c r="AA196" i="47"/>
  <c r="AB196" i="47"/>
  <c r="AC196" i="47"/>
  <c r="AD196" i="47"/>
  <c r="A197" i="47"/>
  <c r="C197" i="47"/>
  <c r="D197" i="47"/>
  <c r="E197" i="47"/>
  <c r="F197" i="47"/>
  <c r="G197" i="47"/>
  <c r="H197" i="47"/>
  <c r="I197" i="47"/>
  <c r="J197" i="47"/>
  <c r="L197" i="47"/>
  <c r="M197" i="47"/>
  <c r="N197" i="47"/>
  <c r="O197" i="47"/>
  <c r="P197" i="47"/>
  <c r="Q197" i="47"/>
  <c r="R197" i="47"/>
  <c r="S197" i="47"/>
  <c r="U197" i="47"/>
  <c r="V197" i="47"/>
  <c r="W197" i="47"/>
  <c r="X197" i="47"/>
  <c r="Y197" i="47"/>
  <c r="Z197" i="47"/>
  <c r="AA197" i="47"/>
  <c r="AB197" i="47"/>
  <c r="AC197" i="47"/>
  <c r="AD197" i="47"/>
  <c r="A198" i="47"/>
  <c r="C198" i="47"/>
  <c r="D198" i="47"/>
  <c r="E198" i="47"/>
  <c r="F198" i="47"/>
  <c r="G198" i="47"/>
  <c r="H198" i="47"/>
  <c r="I198" i="47"/>
  <c r="J198" i="47"/>
  <c r="L198" i="47"/>
  <c r="M198" i="47"/>
  <c r="N198" i="47"/>
  <c r="O198" i="47"/>
  <c r="P198" i="47"/>
  <c r="Q198" i="47"/>
  <c r="R198" i="47"/>
  <c r="S198" i="47"/>
  <c r="U198" i="47"/>
  <c r="V198" i="47"/>
  <c r="W198" i="47"/>
  <c r="X198" i="47"/>
  <c r="Y198" i="47"/>
  <c r="Z198" i="47"/>
  <c r="AA198" i="47"/>
  <c r="AB198" i="47"/>
  <c r="AC198" i="47"/>
  <c r="AD198" i="47"/>
  <c r="A199" i="47"/>
  <c r="C199" i="47"/>
  <c r="D199" i="47"/>
  <c r="E199" i="47"/>
  <c r="F199" i="47"/>
  <c r="G199" i="47"/>
  <c r="H199" i="47"/>
  <c r="I199" i="47"/>
  <c r="J199" i="47"/>
  <c r="L199" i="47"/>
  <c r="M199" i="47"/>
  <c r="N199" i="47"/>
  <c r="O199" i="47"/>
  <c r="P199" i="47"/>
  <c r="Q199" i="47"/>
  <c r="R199" i="47"/>
  <c r="S199" i="47"/>
  <c r="U199" i="47"/>
  <c r="V199" i="47"/>
  <c r="W199" i="47"/>
  <c r="X199" i="47"/>
  <c r="Y199" i="47"/>
  <c r="Z199" i="47"/>
  <c r="AA199" i="47"/>
  <c r="AB199" i="47"/>
  <c r="AC199" i="47"/>
  <c r="AD199" i="47"/>
  <c r="A200" i="47"/>
  <c r="C200" i="47"/>
  <c r="D200" i="47"/>
  <c r="E200" i="47"/>
  <c r="F200" i="47"/>
  <c r="G200" i="47"/>
  <c r="H200" i="47"/>
  <c r="I200" i="47"/>
  <c r="J200" i="47"/>
  <c r="L200" i="47"/>
  <c r="M200" i="47"/>
  <c r="N200" i="47"/>
  <c r="O200" i="47"/>
  <c r="P200" i="47"/>
  <c r="Q200" i="47"/>
  <c r="R200" i="47"/>
  <c r="S200" i="47"/>
  <c r="U200" i="47"/>
  <c r="V200" i="47"/>
  <c r="W200" i="47"/>
  <c r="X200" i="47"/>
  <c r="Y200" i="47"/>
  <c r="Z200" i="47"/>
  <c r="AA200" i="47"/>
  <c r="AB200" i="47"/>
  <c r="AC200" i="47"/>
  <c r="AD200" i="47"/>
  <c r="A201" i="47"/>
  <c r="C201" i="47"/>
  <c r="D201" i="47"/>
  <c r="E201" i="47"/>
  <c r="F201" i="47"/>
  <c r="G201" i="47"/>
  <c r="H201" i="47"/>
  <c r="I201" i="47"/>
  <c r="J201" i="47"/>
  <c r="L201" i="47"/>
  <c r="M201" i="47"/>
  <c r="N201" i="47"/>
  <c r="O201" i="47"/>
  <c r="P201" i="47"/>
  <c r="Q201" i="47"/>
  <c r="R201" i="47"/>
  <c r="S201" i="47"/>
  <c r="U201" i="47"/>
  <c r="V201" i="47"/>
  <c r="W201" i="47"/>
  <c r="X201" i="47"/>
  <c r="Y201" i="47"/>
  <c r="Z201" i="47"/>
  <c r="AA201" i="47"/>
  <c r="AB201" i="47"/>
  <c r="AC201" i="47"/>
  <c r="AD201" i="47"/>
  <c r="A202" i="47"/>
  <c r="C202" i="47"/>
  <c r="D202" i="47"/>
  <c r="E202" i="47"/>
  <c r="F202" i="47"/>
  <c r="G202" i="47"/>
  <c r="H202" i="47"/>
  <c r="I202" i="47"/>
  <c r="J202" i="47"/>
  <c r="L202" i="47"/>
  <c r="M202" i="47"/>
  <c r="N202" i="47"/>
  <c r="O202" i="47"/>
  <c r="P202" i="47"/>
  <c r="Q202" i="47"/>
  <c r="R202" i="47"/>
  <c r="S202" i="47"/>
  <c r="U202" i="47"/>
  <c r="V202" i="47"/>
  <c r="W202" i="47"/>
  <c r="X202" i="47"/>
  <c r="Y202" i="47"/>
  <c r="Z202" i="47"/>
  <c r="AA202" i="47"/>
  <c r="AB202" i="47"/>
  <c r="AC202" i="47"/>
  <c r="AD202" i="47"/>
  <c r="A203" i="47"/>
  <c r="C203" i="47"/>
  <c r="D203" i="47"/>
  <c r="E203" i="47"/>
  <c r="F203" i="47"/>
  <c r="G203" i="47"/>
  <c r="H203" i="47"/>
  <c r="I203" i="47"/>
  <c r="J203" i="47"/>
  <c r="L203" i="47"/>
  <c r="M203" i="47"/>
  <c r="N203" i="47"/>
  <c r="O203" i="47"/>
  <c r="P203" i="47"/>
  <c r="Q203" i="47"/>
  <c r="R203" i="47"/>
  <c r="S203" i="47"/>
  <c r="U203" i="47"/>
  <c r="V203" i="47"/>
  <c r="W203" i="47"/>
  <c r="X203" i="47"/>
  <c r="Y203" i="47"/>
  <c r="Z203" i="47"/>
  <c r="AA203" i="47"/>
  <c r="AB203" i="47"/>
  <c r="AC203" i="47"/>
  <c r="AD203" i="47"/>
  <c r="A204" i="47"/>
  <c r="C204" i="47"/>
  <c r="D204" i="47"/>
  <c r="E204" i="47"/>
  <c r="F204" i="47"/>
  <c r="G204" i="47"/>
  <c r="H204" i="47"/>
  <c r="I204" i="47"/>
  <c r="J204" i="47"/>
  <c r="L204" i="47"/>
  <c r="M204" i="47"/>
  <c r="N204" i="47"/>
  <c r="O204" i="47"/>
  <c r="P204" i="47"/>
  <c r="Q204" i="47"/>
  <c r="R204" i="47"/>
  <c r="S204" i="47"/>
  <c r="U204" i="47"/>
  <c r="V204" i="47"/>
  <c r="W204" i="47"/>
  <c r="X204" i="47"/>
  <c r="Y204" i="47"/>
  <c r="Z204" i="47"/>
  <c r="AA204" i="47"/>
  <c r="AB204" i="47"/>
  <c r="AC204" i="47"/>
  <c r="AD204" i="47"/>
  <c r="A205" i="47"/>
  <c r="C205" i="47"/>
  <c r="D205" i="47"/>
  <c r="E205" i="47"/>
  <c r="F205" i="47"/>
  <c r="G205" i="47"/>
  <c r="H205" i="47"/>
  <c r="I205" i="47"/>
  <c r="J205" i="47"/>
  <c r="L205" i="47"/>
  <c r="M205" i="47"/>
  <c r="N205" i="47"/>
  <c r="O205" i="47"/>
  <c r="P205" i="47"/>
  <c r="Q205" i="47"/>
  <c r="R205" i="47"/>
  <c r="S205" i="47"/>
  <c r="U205" i="47"/>
  <c r="V205" i="47"/>
  <c r="W205" i="47"/>
  <c r="X205" i="47"/>
  <c r="Y205" i="47"/>
  <c r="Z205" i="47"/>
  <c r="AA205" i="47"/>
  <c r="AB205" i="47"/>
  <c r="AC205" i="47"/>
  <c r="AD205" i="47"/>
  <c r="A206" i="47"/>
  <c r="C206" i="47"/>
  <c r="D206" i="47"/>
  <c r="E206" i="47"/>
  <c r="F206" i="47"/>
  <c r="G206" i="47"/>
  <c r="H206" i="47"/>
  <c r="I206" i="47"/>
  <c r="J206" i="47"/>
  <c r="L206" i="47"/>
  <c r="M206" i="47"/>
  <c r="N206" i="47"/>
  <c r="O206" i="47"/>
  <c r="P206" i="47"/>
  <c r="Q206" i="47"/>
  <c r="R206" i="47"/>
  <c r="S206" i="47"/>
  <c r="U206" i="47"/>
  <c r="V206" i="47"/>
  <c r="W206" i="47"/>
  <c r="X206" i="47"/>
  <c r="Y206" i="47"/>
  <c r="Z206" i="47"/>
  <c r="AA206" i="47"/>
  <c r="AB206" i="47"/>
  <c r="AC206" i="47"/>
  <c r="AD206" i="47"/>
  <c r="A207" i="47"/>
  <c r="C207" i="47"/>
  <c r="D207" i="47"/>
  <c r="E207" i="47"/>
  <c r="F207" i="47"/>
  <c r="G207" i="47"/>
  <c r="H207" i="47"/>
  <c r="I207" i="47"/>
  <c r="J207" i="47"/>
  <c r="L207" i="47"/>
  <c r="M207" i="47"/>
  <c r="N207" i="47"/>
  <c r="O207" i="47"/>
  <c r="P207" i="47"/>
  <c r="Q207" i="47"/>
  <c r="R207" i="47"/>
  <c r="S207" i="47"/>
  <c r="U207" i="47"/>
  <c r="V207" i="47"/>
  <c r="W207" i="47"/>
  <c r="X207" i="47"/>
  <c r="Y207" i="47"/>
  <c r="Z207" i="47"/>
  <c r="AA207" i="47"/>
  <c r="AB207" i="47"/>
  <c r="AC207" i="47"/>
  <c r="AD207" i="47"/>
  <c r="A208" i="47"/>
  <c r="C208" i="47"/>
  <c r="D208" i="47"/>
  <c r="E208" i="47"/>
  <c r="F208" i="47"/>
  <c r="G208" i="47"/>
  <c r="H208" i="47"/>
  <c r="I208" i="47"/>
  <c r="J208" i="47"/>
  <c r="L208" i="47"/>
  <c r="M208" i="47"/>
  <c r="N208" i="47"/>
  <c r="O208" i="47"/>
  <c r="P208" i="47"/>
  <c r="Q208" i="47"/>
  <c r="R208" i="47"/>
  <c r="S208" i="47"/>
  <c r="U208" i="47"/>
  <c r="V208" i="47"/>
  <c r="W208" i="47"/>
  <c r="X208" i="47"/>
  <c r="Y208" i="47"/>
  <c r="Z208" i="47"/>
  <c r="AA208" i="47"/>
  <c r="AB208" i="47"/>
  <c r="AC208" i="47"/>
  <c r="AD208" i="47"/>
  <c r="A209" i="47"/>
  <c r="C209" i="47"/>
  <c r="D209" i="47"/>
  <c r="E209" i="47"/>
  <c r="F209" i="47"/>
  <c r="G209" i="47"/>
  <c r="H209" i="47"/>
  <c r="I209" i="47"/>
  <c r="J209" i="47"/>
  <c r="L209" i="47"/>
  <c r="M209" i="47"/>
  <c r="N209" i="47"/>
  <c r="O209" i="47"/>
  <c r="P209" i="47"/>
  <c r="Q209" i="47"/>
  <c r="R209" i="47"/>
  <c r="S209" i="47"/>
  <c r="U209" i="47"/>
  <c r="V209" i="47"/>
  <c r="W209" i="47"/>
  <c r="X209" i="47"/>
  <c r="Y209" i="47"/>
  <c r="Z209" i="47"/>
  <c r="AA209" i="47"/>
  <c r="AB209" i="47"/>
  <c r="AC209" i="47"/>
  <c r="AD209" i="47"/>
  <c r="A210" i="47"/>
  <c r="C210" i="47"/>
  <c r="D210" i="47"/>
  <c r="E210" i="47"/>
  <c r="F210" i="47"/>
  <c r="G210" i="47"/>
  <c r="H210" i="47"/>
  <c r="I210" i="47"/>
  <c r="J210" i="47"/>
  <c r="L210" i="47"/>
  <c r="M210" i="47"/>
  <c r="N210" i="47"/>
  <c r="O210" i="47"/>
  <c r="P210" i="47"/>
  <c r="Q210" i="47"/>
  <c r="R210" i="47"/>
  <c r="S210" i="47"/>
  <c r="U210" i="47"/>
  <c r="V210" i="47"/>
  <c r="W210" i="47"/>
  <c r="X210" i="47"/>
  <c r="Y210" i="47"/>
  <c r="Z210" i="47"/>
  <c r="AA210" i="47"/>
  <c r="AB210" i="47"/>
  <c r="AC210" i="47"/>
  <c r="AD210" i="47"/>
  <c r="A211" i="47"/>
  <c r="C211" i="47"/>
  <c r="D211" i="47"/>
  <c r="E211" i="47"/>
  <c r="F211" i="47"/>
  <c r="G211" i="47"/>
  <c r="H211" i="47"/>
  <c r="I211" i="47"/>
  <c r="J211" i="47"/>
  <c r="L211" i="47"/>
  <c r="M211" i="47"/>
  <c r="N211" i="47"/>
  <c r="O211" i="47"/>
  <c r="P211" i="47"/>
  <c r="Q211" i="47"/>
  <c r="R211" i="47"/>
  <c r="S211" i="47"/>
  <c r="U211" i="47"/>
  <c r="V211" i="47"/>
  <c r="W211" i="47"/>
  <c r="X211" i="47"/>
  <c r="Y211" i="47"/>
  <c r="Z211" i="47"/>
  <c r="AA211" i="47"/>
  <c r="AB211" i="47"/>
  <c r="AC211" i="47"/>
  <c r="AD211" i="47"/>
  <c r="A212" i="47"/>
  <c r="C212" i="47"/>
  <c r="D212" i="47"/>
  <c r="E212" i="47"/>
  <c r="F212" i="47"/>
  <c r="G212" i="47"/>
  <c r="H212" i="47"/>
  <c r="I212" i="47"/>
  <c r="J212" i="47"/>
  <c r="L212" i="47"/>
  <c r="M212" i="47"/>
  <c r="N212" i="47"/>
  <c r="O212" i="47"/>
  <c r="P212" i="47"/>
  <c r="Q212" i="47"/>
  <c r="R212" i="47"/>
  <c r="S212" i="47"/>
  <c r="U212" i="47"/>
  <c r="V212" i="47"/>
  <c r="W212" i="47"/>
  <c r="X212" i="47"/>
  <c r="Y212" i="47"/>
  <c r="Z212" i="47"/>
  <c r="AA212" i="47"/>
  <c r="AB212" i="47"/>
  <c r="AC212" i="47"/>
  <c r="AD212" i="47"/>
  <c r="A213" i="47"/>
  <c r="C213" i="47"/>
  <c r="D213" i="47"/>
  <c r="E213" i="47"/>
  <c r="F213" i="47"/>
  <c r="G213" i="47"/>
  <c r="H213" i="47"/>
  <c r="I213" i="47"/>
  <c r="J213" i="47"/>
  <c r="L213" i="47"/>
  <c r="M213" i="47"/>
  <c r="N213" i="47"/>
  <c r="O213" i="47"/>
  <c r="P213" i="47"/>
  <c r="Q213" i="47"/>
  <c r="R213" i="47"/>
  <c r="S213" i="47"/>
  <c r="U213" i="47"/>
  <c r="V213" i="47"/>
  <c r="W213" i="47"/>
  <c r="X213" i="47"/>
  <c r="Y213" i="47"/>
  <c r="Z213" i="47"/>
  <c r="AA213" i="47"/>
  <c r="AB213" i="47"/>
  <c r="AC213" i="47"/>
  <c r="AD213" i="47"/>
  <c r="A214" i="47"/>
  <c r="C214" i="47"/>
  <c r="D214" i="47"/>
  <c r="E214" i="47"/>
  <c r="F214" i="47"/>
  <c r="G214" i="47"/>
  <c r="H214" i="47"/>
  <c r="I214" i="47"/>
  <c r="J214" i="47"/>
  <c r="L214" i="47"/>
  <c r="M214" i="47"/>
  <c r="N214" i="47"/>
  <c r="O214" i="47"/>
  <c r="P214" i="47"/>
  <c r="Q214" i="47"/>
  <c r="R214" i="47"/>
  <c r="S214" i="47"/>
  <c r="U214" i="47"/>
  <c r="V214" i="47"/>
  <c r="W214" i="47"/>
  <c r="X214" i="47"/>
  <c r="Y214" i="47"/>
  <c r="Z214" i="47"/>
  <c r="AA214" i="47"/>
  <c r="AB214" i="47"/>
  <c r="AC214" i="47"/>
  <c r="AD214" i="47"/>
  <c r="A215" i="47"/>
  <c r="C215" i="47"/>
  <c r="D215" i="47"/>
  <c r="E215" i="47"/>
  <c r="F215" i="47"/>
  <c r="G215" i="47"/>
  <c r="H215" i="47"/>
  <c r="I215" i="47"/>
  <c r="J215" i="47"/>
  <c r="L215" i="47"/>
  <c r="M215" i="47"/>
  <c r="N215" i="47"/>
  <c r="O215" i="47"/>
  <c r="P215" i="47"/>
  <c r="Q215" i="47"/>
  <c r="R215" i="47"/>
  <c r="S215" i="47"/>
  <c r="U215" i="47"/>
  <c r="V215" i="47"/>
  <c r="W215" i="47"/>
  <c r="X215" i="47"/>
  <c r="Y215" i="47"/>
  <c r="Z215" i="47"/>
  <c r="AA215" i="47"/>
  <c r="AB215" i="47"/>
  <c r="AC215" i="47"/>
  <c r="AD215" i="47"/>
  <c r="A216" i="47"/>
  <c r="C216" i="47"/>
  <c r="D216" i="47"/>
  <c r="E216" i="47"/>
  <c r="F216" i="47"/>
  <c r="G216" i="47"/>
  <c r="H216" i="47"/>
  <c r="I216" i="47"/>
  <c r="J216" i="47"/>
  <c r="L216" i="47"/>
  <c r="M216" i="47"/>
  <c r="N216" i="47"/>
  <c r="O216" i="47"/>
  <c r="P216" i="47"/>
  <c r="Q216" i="47"/>
  <c r="R216" i="47"/>
  <c r="S216" i="47"/>
  <c r="U216" i="47"/>
  <c r="V216" i="47"/>
  <c r="W216" i="47"/>
  <c r="X216" i="47"/>
  <c r="Y216" i="47"/>
  <c r="Z216" i="47"/>
  <c r="AA216" i="47"/>
  <c r="AB216" i="47"/>
  <c r="AC216" i="47"/>
  <c r="AD216" i="47"/>
  <c r="A217" i="47"/>
  <c r="C217" i="47"/>
  <c r="D217" i="47"/>
  <c r="E217" i="47"/>
  <c r="F217" i="47"/>
  <c r="G217" i="47"/>
  <c r="H217" i="47"/>
  <c r="I217" i="47"/>
  <c r="J217" i="47"/>
  <c r="L217" i="47"/>
  <c r="M217" i="47"/>
  <c r="N217" i="47"/>
  <c r="O217" i="47"/>
  <c r="P217" i="47"/>
  <c r="Q217" i="47"/>
  <c r="R217" i="47"/>
  <c r="S217" i="47"/>
  <c r="U217" i="47"/>
  <c r="V217" i="47"/>
  <c r="W217" i="47"/>
  <c r="X217" i="47"/>
  <c r="Y217" i="47"/>
  <c r="Z217" i="47"/>
  <c r="AA217" i="47"/>
  <c r="AB217" i="47"/>
  <c r="AC217" i="47"/>
  <c r="AD217" i="47"/>
  <c r="A218" i="47"/>
  <c r="C218" i="47"/>
  <c r="D218" i="47"/>
  <c r="E218" i="47"/>
  <c r="F218" i="47"/>
  <c r="G218" i="47"/>
  <c r="H218" i="47"/>
  <c r="I218" i="47"/>
  <c r="J218" i="47"/>
  <c r="L218" i="47"/>
  <c r="M218" i="47"/>
  <c r="N218" i="47"/>
  <c r="O218" i="47"/>
  <c r="P218" i="47"/>
  <c r="Q218" i="47"/>
  <c r="R218" i="47"/>
  <c r="S218" i="47"/>
  <c r="U218" i="47"/>
  <c r="V218" i="47"/>
  <c r="W218" i="47"/>
  <c r="X218" i="47"/>
  <c r="Y218" i="47"/>
  <c r="Z218" i="47"/>
  <c r="AA218" i="47"/>
  <c r="AB218" i="47"/>
  <c r="AC218" i="47"/>
  <c r="AD218" i="47"/>
  <c r="A219" i="47"/>
  <c r="C219" i="47"/>
  <c r="D219" i="47"/>
  <c r="E219" i="47"/>
  <c r="F219" i="47"/>
  <c r="G219" i="47"/>
  <c r="H219" i="47"/>
  <c r="I219" i="47"/>
  <c r="J219" i="47"/>
  <c r="L219" i="47"/>
  <c r="M219" i="47"/>
  <c r="N219" i="47"/>
  <c r="O219" i="47"/>
  <c r="P219" i="47"/>
  <c r="Q219" i="47"/>
  <c r="R219" i="47"/>
  <c r="S219" i="47"/>
  <c r="U219" i="47"/>
  <c r="V219" i="47"/>
  <c r="W219" i="47"/>
  <c r="X219" i="47"/>
  <c r="Y219" i="47"/>
  <c r="Z219" i="47"/>
  <c r="AA219" i="47"/>
  <c r="AB219" i="47"/>
  <c r="AC219" i="47"/>
  <c r="AD219" i="47"/>
  <c r="A220" i="47"/>
  <c r="C220" i="47"/>
  <c r="D220" i="47"/>
  <c r="E220" i="47"/>
  <c r="F220" i="47"/>
  <c r="G220" i="47"/>
  <c r="H220" i="47"/>
  <c r="I220" i="47"/>
  <c r="J220" i="47"/>
  <c r="L220" i="47"/>
  <c r="M220" i="47"/>
  <c r="N220" i="47"/>
  <c r="O220" i="47"/>
  <c r="P220" i="47"/>
  <c r="Q220" i="47"/>
  <c r="R220" i="47"/>
  <c r="S220" i="47"/>
  <c r="U220" i="47"/>
  <c r="V220" i="47"/>
  <c r="W220" i="47"/>
  <c r="X220" i="47"/>
  <c r="Y220" i="47"/>
  <c r="Z220" i="47"/>
  <c r="AA220" i="47"/>
  <c r="AB220" i="47"/>
  <c r="AC220" i="47"/>
  <c r="AD220" i="47"/>
  <c r="A221" i="47"/>
  <c r="C221" i="47"/>
  <c r="D221" i="47"/>
  <c r="E221" i="47"/>
  <c r="F221" i="47"/>
  <c r="G221" i="47"/>
  <c r="H221" i="47"/>
  <c r="I221" i="47"/>
  <c r="J221" i="47"/>
  <c r="L221" i="47"/>
  <c r="M221" i="47"/>
  <c r="N221" i="47"/>
  <c r="O221" i="47"/>
  <c r="P221" i="47"/>
  <c r="Q221" i="47"/>
  <c r="R221" i="47"/>
  <c r="S221" i="47"/>
  <c r="U221" i="47"/>
  <c r="V221" i="47"/>
  <c r="W221" i="47"/>
  <c r="X221" i="47"/>
  <c r="Y221" i="47"/>
  <c r="Z221" i="47"/>
  <c r="AA221" i="47"/>
  <c r="AB221" i="47"/>
  <c r="AC221" i="47"/>
  <c r="AD221" i="47"/>
  <c r="A222" i="47"/>
  <c r="C222" i="47"/>
  <c r="D222" i="47"/>
  <c r="E222" i="47"/>
  <c r="F222" i="47"/>
  <c r="G222" i="47"/>
  <c r="H222" i="47"/>
  <c r="I222" i="47"/>
  <c r="J222" i="47"/>
  <c r="L222" i="47"/>
  <c r="M222" i="47"/>
  <c r="N222" i="47"/>
  <c r="O222" i="47"/>
  <c r="P222" i="47"/>
  <c r="Q222" i="47"/>
  <c r="R222" i="47"/>
  <c r="S222" i="47"/>
  <c r="U222" i="47"/>
  <c r="V222" i="47"/>
  <c r="W222" i="47"/>
  <c r="X222" i="47"/>
  <c r="Y222" i="47"/>
  <c r="Z222" i="47"/>
  <c r="AA222" i="47"/>
  <c r="AB222" i="47"/>
  <c r="AC222" i="47"/>
  <c r="AD222" i="47"/>
  <c r="A223" i="47"/>
  <c r="C223" i="47"/>
  <c r="D223" i="47"/>
  <c r="E223" i="47"/>
  <c r="F223" i="47"/>
  <c r="G223" i="47"/>
  <c r="H223" i="47"/>
  <c r="I223" i="47"/>
  <c r="J223" i="47"/>
  <c r="L223" i="47"/>
  <c r="M223" i="47"/>
  <c r="N223" i="47"/>
  <c r="O223" i="47"/>
  <c r="P223" i="47"/>
  <c r="Q223" i="47"/>
  <c r="R223" i="47"/>
  <c r="S223" i="47"/>
  <c r="U223" i="47"/>
  <c r="V223" i="47"/>
  <c r="W223" i="47"/>
  <c r="X223" i="47"/>
  <c r="Y223" i="47"/>
  <c r="Z223" i="47"/>
  <c r="AA223" i="47"/>
  <c r="AB223" i="47"/>
  <c r="AC223" i="47"/>
  <c r="AD223" i="47"/>
  <c r="A224" i="47"/>
  <c r="C224" i="47"/>
  <c r="D224" i="47"/>
  <c r="E224" i="47"/>
  <c r="F224" i="47"/>
  <c r="G224" i="47"/>
  <c r="H224" i="47"/>
  <c r="I224" i="47"/>
  <c r="J224" i="47"/>
  <c r="L224" i="47"/>
  <c r="M224" i="47"/>
  <c r="N224" i="47"/>
  <c r="O224" i="47"/>
  <c r="P224" i="47"/>
  <c r="Q224" i="47"/>
  <c r="R224" i="47"/>
  <c r="S224" i="47"/>
  <c r="U224" i="47"/>
  <c r="V224" i="47"/>
  <c r="W224" i="47"/>
  <c r="X224" i="47"/>
  <c r="Y224" i="47"/>
  <c r="Z224" i="47"/>
  <c r="AA224" i="47"/>
  <c r="AB224" i="47"/>
  <c r="AC224" i="47"/>
  <c r="AD224" i="47"/>
  <c r="A225" i="47"/>
  <c r="C225" i="47"/>
  <c r="D225" i="47"/>
  <c r="E225" i="47"/>
  <c r="F225" i="47"/>
  <c r="G225" i="47"/>
  <c r="H225" i="47"/>
  <c r="I225" i="47"/>
  <c r="J225" i="47"/>
  <c r="L225" i="47"/>
  <c r="M225" i="47"/>
  <c r="N225" i="47"/>
  <c r="O225" i="47"/>
  <c r="P225" i="47"/>
  <c r="Q225" i="47"/>
  <c r="R225" i="47"/>
  <c r="S225" i="47"/>
  <c r="U225" i="47"/>
  <c r="V225" i="47"/>
  <c r="W225" i="47"/>
  <c r="X225" i="47"/>
  <c r="Y225" i="47"/>
  <c r="Z225" i="47"/>
  <c r="AA225" i="47"/>
  <c r="AB225" i="47"/>
  <c r="AC225" i="47"/>
  <c r="AD225" i="47"/>
  <c r="A226" i="47"/>
  <c r="C226" i="47"/>
  <c r="D226" i="47"/>
  <c r="E226" i="47"/>
  <c r="F226" i="47"/>
  <c r="G226" i="47"/>
  <c r="H226" i="47"/>
  <c r="I226" i="47"/>
  <c r="J226" i="47"/>
  <c r="L226" i="47"/>
  <c r="M226" i="47"/>
  <c r="N226" i="47"/>
  <c r="O226" i="47"/>
  <c r="P226" i="47"/>
  <c r="Q226" i="47"/>
  <c r="R226" i="47"/>
  <c r="S226" i="47"/>
  <c r="U226" i="47"/>
  <c r="V226" i="47"/>
  <c r="W226" i="47"/>
  <c r="X226" i="47"/>
  <c r="Y226" i="47"/>
  <c r="Z226" i="47"/>
  <c r="AA226" i="47"/>
  <c r="AB226" i="47"/>
  <c r="AC226" i="47"/>
  <c r="AD226" i="47"/>
  <c r="A227" i="47"/>
  <c r="C227" i="47"/>
  <c r="D227" i="47"/>
  <c r="E227" i="47"/>
  <c r="F227" i="47"/>
  <c r="G227" i="47"/>
  <c r="H227" i="47"/>
  <c r="I227" i="47"/>
  <c r="J227" i="47"/>
  <c r="L227" i="47"/>
  <c r="M227" i="47"/>
  <c r="N227" i="47"/>
  <c r="O227" i="47"/>
  <c r="P227" i="47"/>
  <c r="Q227" i="47"/>
  <c r="R227" i="47"/>
  <c r="S227" i="47"/>
  <c r="U227" i="47"/>
  <c r="V227" i="47"/>
  <c r="W227" i="47"/>
  <c r="X227" i="47"/>
  <c r="Y227" i="47"/>
  <c r="Z227" i="47"/>
  <c r="AA227" i="47"/>
  <c r="AB227" i="47"/>
  <c r="AC227" i="47"/>
  <c r="AD227" i="47"/>
  <c r="A228" i="47"/>
  <c r="C228" i="47"/>
  <c r="D228" i="47"/>
  <c r="E228" i="47"/>
  <c r="F228" i="47"/>
  <c r="G228" i="47"/>
  <c r="H228" i="47"/>
  <c r="I228" i="47"/>
  <c r="J228" i="47"/>
  <c r="L228" i="47"/>
  <c r="M228" i="47"/>
  <c r="N228" i="47"/>
  <c r="O228" i="47"/>
  <c r="P228" i="47"/>
  <c r="Q228" i="47"/>
  <c r="R228" i="47"/>
  <c r="S228" i="47"/>
  <c r="U228" i="47"/>
  <c r="V228" i="47"/>
  <c r="W228" i="47"/>
  <c r="X228" i="47"/>
  <c r="Y228" i="47"/>
  <c r="Z228" i="47"/>
  <c r="AA228" i="47"/>
  <c r="AB228" i="47"/>
  <c r="AC228" i="47"/>
  <c r="AD228" i="47"/>
  <c r="A229" i="47"/>
  <c r="C229" i="47"/>
  <c r="D229" i="47"/>
  <c r="E229" i="47"/>
  <c r="F229" i="47"/>
  <c r="G229" i="47"/>
  <c r="H229" i="47"/>
  <c r="I229" i="47"/>
  <c r="J229" i="47"/>
  <c r="L229" i="47"/>
  <c r="M229" i="47"/>
  <c r="N229" i="47"/>
  <c r="O229" i="47"/>
  <c r="P229" i="47"/>
  <c r="Q229" i="47"/>
  <c r="R229" i="47"/>
  <c r="S229" i="47"/>
  <c r="U229" i="47"/>
  <c r="V229" i="47"/>
  <c r="W229" i="47"/>
  <c r="X229" i="47"/>
  <c r="Y229" i="47"/>
  <c r="Z229" i="47"/>
  <c r="AA229" i="47"/>
  <c r="AB229" i="47"/>
  <c r="AC229" i="47"/>
  <c r="AD229" i="47"/>
  <c r="A230" i="47"/>
  <c r="C230" i="47"/>
  <c r="D230" i="47"/>
  <c r="E230" i="47"/>
  <c r="F230" i="47"/>
  <c r="G230" i="47"/>
  <c r="H230" i="47"/>
  <c r="I230" i="47"/>
  <c r="J230" i="47"/>
  <c r="L230" i="47"/>
  <c r="M230" i="47"/>
  <c r="N230" i="47"/>
  <c r="O230" i="47"/>
  <c r="P230" i="47"/>
  <c r="Q230" i="47"/>
  <c r="R230" i="47"/>
  <c r="S230" i="47"/>
  <c r="U230" i="47"/>
  <c r="V230" i="47"/>
  <c r="W230" i="47"/>
  <c r="X230" i="47"/>
  <c r="Y230" i="47"/>
  <c r="Z230" i="47"/>
  <c r="AA230" i="47"/>
  <c r="AB230" i="47"/>
  <c r="AC230" i="47"/>
  <c r="AD230" i="47"/>
  <c r="A231" i="47"/>
  <c r="C231" i="47"/>
  <c r="D231" i="47"/>
  <c r="E231" i="47"/>
  <c r="F231" i="47"/>
  <c r="G231" i="47"/>
  <c r="H231" i="47"/>
  <c r="I231" i="47"/>
  <c r="J231" i="47"/>
  <c r="L231" i="47"/>
  <c r="M231" i="47"/>
  <c r="N231" i="47"/>
  <c r="O231" i="47"/>
  <c r="P231" i="47"/>
  <c r="Q231" i="47"/>
  <c r="R231" i="47"/>
  <c r="S231" i="47"/>
  <c r="U231" i="47"/>
  <c r="V231" i="47"/>
  <c r="W231" i="47"/>
  <c r="X231" i="47"/>
  <c r="Y231" i="47"/>
  <c r="Z231" i="47"/>
  <c r="AA231" i="47"/>
  <c r="AB231" i="47"/>
  <c r="AC231" i="47"/>
  <c r="AD231" i="47"/>
  <c r="A232" i="47"/>
  <c r="C232" i="47"/>
  <c r="D232" i="47"/>
  <c r="E232" i="47"/>
  <c r="F232" i="47"/>
  <c r="G232" i="47"/>
  <c r="H232" i="47"/>
  <c r="I232" i="47"/>
  <c r="J232" i="47"/>
  <c r="L232" i="47"/>
  <c r="M232" i="47"/>
  <c r="N232" i="47"/>
  <c r="O232" i="47"/>
  <c r="P232" i="47"/>
  <c r="Q232" i="47"/>
  <c r="R232" i="47"/>
  <c r="S232" i="47"/>
  <c r="U232" i="47"/>
  <c r="V232" i="47"/>
  <c r="W232" i="47"/>
  <c r="X232" i="47"/>
  <c r="Y232" i="47"/>
  <c r="Z232" i="47"/>
  <c r="AA232" i="47"/>
  <c r="AB232" i="47"/>
  <c r="AC232" i="47"/>
  <c r="AD232" i="47"/>
  <c r="A233" i="47"/>
  <c r="C233" i="47"/>
  <c r="D233" i="47"/>
  <c r="E233" i="47"/>
  <c r="F233" i="47"/>
  <c r="G233" i="47"/>
  <c r="H233" i="47"/>
  <c r="I233" i="47"/>
  <c r="J233" i="47"/>
  <c r="L233" i="47"/>
  <c r="M233" i="47"/>
  <c r="N233" i="47"/>
  <c r="O233" i="47"/>
  <c r="P233" i="47"/>
  <c r="Q233" i="47"/>
  <c r="R233" i="47"/>
  <c r="S233" i="47"/>
  <c r="U233" i="47"/>
  <c r="V233" i="47"/>
  <c r="W233" i="47"/>
  <c r="X233" i="47"/>
  <c r="Y233" i="47"/>
  <c r="Z233" i="47"/>
  <c r="AA233" i="47"/>
  <c r="AB233" i="47"/>
  <c r="AC233" i="47"/>
  <c r="AD233" i="47"/>
  <c r="A234" i="47"/>
  <c r="C234" i="47"/>
  <c r="D234" i="47"/>
  <c r="E234" i="47"/>
  <c r="F234" i="47"/>
  <c r="G234" i="47"/>
  <c r="H234" i="47"/>
  <c r="I234" i="47"/>
  <c r="J234" i="47"/>
  <c r="L234" i="47"/>
  <c r="M234" i="47"/>
  <c r="N234" i="47"/>
  <c r="O234" i="47"/>
  <c r="P234" i="47"/>
  <c r="Q234" i="47"/>
  <c r="R234" i="47"/>
  <c r="S234" i="47"/>
  <c r="U234" i="47"/>
  <c r="V234" i="47"/>
  <c r="W234" i="47"/>
  <c r="X234" i="47"/>
  <c r="Y234" i="47"/>
  <c r="Z234" i="47"/>
  <c r="AA234" i="47"/>
  <c r="AB234" i="47"/>
  <c r="AC234" i="47"/>
  <c r="AD234" i="47"/>
  <c r="A235" i="47"/>
  <c r="C235" i="47"/>
  <c r="D235" i="47"/>
  <c r="E235" i="47"/>
  <c r="F235" i="47"/>
  <c r="G235" i="47"/>
  <c r="H235" i="47"/>
  <c r="I235" i="47"/>
  <c r="J235" i="47"/>
  <c r="L235" i="47"/>
  <c r="M235" i="47"/>
  <c r="N235" i="47"/>
  <c r="O235" i="47"/>
  <c r="P235" i="47"/>
  <c r="Q235" i="47"/>
  <c r="R235" i="47"/>
  <c r="S235" i="47"/>
  <c r="U235" i="47"/>
  <c r="V235" i="47"/>
  <c r="W235" i="47"/>
  <c r="X235" i="47"/>
  <c r="Y235" i="47"/>
  <c r="Z235" i="47"/>
  <c r="AA235" i="47"/>
  <c r="AB235" i="47"/>
  <c r="AC235" i="47"/>
  <c r="AD235" i="47"/>
  <c r="A236" i="47"/>
  <c r="C236" i="47"/>
  <c r="D236" i="47"/>
  <c r="E236" i="47"/>
  <c r="F236" i="47"/>
  <c r="G236" i="47"/>
  <c r="H236" i="47"/>
  <c r="I236" i="47"/>
  <c r="J236" i="47"/>
  <c r="L236" i="47"/>
  <c r="M236" i="47"/>
  <c r="N236" i="47"/>
  <c r="O236" i="47"/>
  <c r="P236" i="47"/>
  <c r="Q236" i="47"/>
  <c r="R236" i="47"/>
  <c r="S236" i="47"/>
  <c r="U236" i="47"/>
  <c r="V236" i="47"/>
  <c r="W236" i="47"/>
  <c r="X236" i="47"/>
  <c r="Y236" i="47"/>
  <c r="Z236" i="47"/>
  <c r="AA236" i="47"/>
  <c r="AB236" i="47"/>
  <c r="AC236" i="47"/>
  <c r="AD236" i="47"/>
  <c r="A237" i="47"/>
  <c r="C237" i="47"/>
  <c r="D237" i="47"/>
  <c r="E237" i="47"/>
  <c r="F237" i="47"/>
  <c r="G237" i="47"/>
  <c r="H237" i="47"/>
  <c r="I237" i="47"/>
  <c r="J237" i="47"/>
  <c r="L237" i="47"/>
  <c r="M237" i="47"/>
  <c r="N237" i="47"/>
  <c r="O237" i="47"/>
  <c r="P237" i="47"/>
  <c r="Q237" i="47"/>
  <c r="R237" i="47"/>
  <c r="S237" i="47"/>
  <c r="U237" i="47"/>
  <c r="V237" i="47"/>
  <c r="W237" i="47"/>
  <c r="X237" i="47"/>
  <c r="Y237" i="47"/>
  <c r="Z237" i="47"/>
  <c r="AA237" i="47"/>
  <c r="AB237" i="47"/>
  <c r="AC237" i="47"/>
  <c r="AD237" i="47"/>
  <c r="A238" i="47"/>
  <c r="C238" i="47"/>
  <c r="D238" i="47"/>
  <c r="E238" i="47"/>
  <c r="F238" i="47"/>
  <c r="G238" i="47"/>
  <c r="H238" i="47"/>
  <c r="I238" i="47"/>
  <c r="J238" i="47"/>
  <c r="L238" i="47"/>
  <c r="M238" i="47"/>
  <c r="N238" i="47"/>
  <c r="O238" i="47"/>
  <c r="P238" i="47"/>
  <c r="Q238" i="47"/>
  <c r="R238" i="47"/>
  <c r="S238" i="47"/>
  <c r="U238" i="47"/>
  <c r="V238" i="47"/>
  <c r="W238" i="47"/>
  <c r="X238" i="47"/>
  <c r="Y238" i="47"/>
  <c r="Z238" i="47"/>
  <c r="AA238" i="47"/>
  <c r="AB238" i="47"/>
  <c r="AC238" i="47"/>
  <c r="AD238" i="47"/>
  <c r="A239" i="47"/>
  <c r="C239" i="47"/>
  <c r="D239" i="47"/>
  <c r="E239" i="47"/>
  <c r="F239" i="47"/>
  <c r="G239" i="47"/>
  <c r="H239" i="47"/>
  <c r="I239" i="47"/>
  <c r="J239" i="47"/>
  <c r="L239" i="47"/>
  <c r="M239" i="47"/>
  <c r="N239" i="47"/>
  <c r="O239" i="47"/>
  <c r="P239" i="47"/>
  <c r="Q239" i="47"/>
  <c r="R239" i="47"/>
  <c r="S239" i="47"/>
  <c r="U239" i="47"/>
  <c r="V239" i="47"/>
  <c r="W239" i="47"/>
  <c r="X239" i="47"/>
  <c r="Y239" i="47"/>
  <c r="Z239" i="47"/>
  <c r="AA239" i="47"/>
  <c r="AB239" i="47"/>
  <c r="AC239" i="47"/>
  <c r="AD239" i="47"/>
  <c r="A240" i="47"/>
  <c r="C240" i="47"/>
  <c r="D240" i="47"/>
  <c r="E240" i="47"/>
  <c r="F240" i="47"/>
  <c r="G240" i="47"/>
  <c r="H240" i="47"/>
  <c r="I240" i="47"/>
  <c r="J240" i="47"/>
  <c r="L240" i="47"/>
  <c r="M240" i="47"/>
  <c r="N240" i="47"/>
  <c r="O240" i="47"/>
  <c r="P240" i="47"/>
  <c r="Q240" i="47"/>
  <c r="R240" i="47"/>
  <c r="S240" i="47"/>
  <c r="U240" i="47"/>
  <c r="V240" i="47"/>
  <c r="W240" i="47"/>
  <c r="X240" i="47"/>
  <c r="Y240" i="47"/>
  <c r="Z240" i="47"/>
  <c r="AA240" i="47"/>
  <c r="AB240" i="47"/>
  <c r="AC240" i="47"/>
  <c r="AD240" i="47"/>
  <c r="A241" i="47"/>
  <c r="C241" i="47"/>
  <c r="D241" i="47"/>
  <c r="E241" i="47"/>
  <c r="F241" i="47"/>
  <c r="G241" i="47"/>
  <c r="H241" i="47"/>
  <c r="I241" i="47"/>
  <c r="J241" i="47"/>
  <c r="L241" i="47"/>
  <c r="M241" i="47"/>
  <c r="N241" i="47"/>
  <c r="O241" i="47"/>
  <c r="P241" i="47"/>
  <c r="Q241" i="47"/>
  <c r="R241" i="47"/>
  <c r="S241" i="47"/>
  <c r="U241" i="47"/>
  <c r="V241" i="47"/>
  <c r="W241" i="47"/>
  <c r="X241" i="47"/>
  <c r="Y241" i="47"/>
  <c r="Z241" i="47"/>
  <c r="AA241" i="47"/>
  <c r="AB241" i="47"/>
  <c r="AC241" i="47"/>
  <c r="AD241" i="47"/>
  <c r="A242" i="47"/>
  <c r="C242" i="47"/>
  <c r="D242" i="47"/>
  <c r="E242" i="47"/>
  <c r="F242" i="47"/>
  <c r="G242" i="47"/>
  <c r="H242" i="47"/>
  <c r="I242" i="47"/>
  <c r="J242" i="47"/>
  <c r="L242" i="47"/>
  <c r="M242" i="47"/>
  <c r="N242" i="47"/>
  <c r="O242" i="47"/>
  <c r="P242" i="47"/>
  <c r="Q242" i="47"/>
  <c r="R242" i="47"/>
  <c r="S242" i="47"/>
  <c r="U242" i="47"/>
  <c r="V242" i="47"/>
  <c r="W242" i="47"/>
  <c r="X242" i="47"/>
  <c r="Y242" i="47"/>
  <c r="Z242" i="47"/>
  <c r="AA242" i="47"/>
  <c r="AB242" i="47"/>
  <c r="AC242" i="47"/>
  <c r="AD242" i="47"/>
  <c r="A243" i="47"/>
  <c r="C243" i="47"/>
  <c r="D243" i="47"/>
  <c r="E243" i="47"/>
  <c r="F243" i="47"/>
  <c r="G243" i="47"/>
  <c r="H243" i="47"/>
  <c r="I243" i="47"/>
  <c r="J243" i="47"/>
  <c r="L243" i="47"/>
  <c r="M243" i="47"/>
  <c r="N243" i="47"/>
  <c r="O243" i="47"/>
  <c r="P243" i="47"/>
  <c r="Q243" i="47"/>
  <c r="R243" i="47"/>
  <c r="S243" i="47"/>
  <c r="U243" i="47"/>
  <c r="V243" i="47"/>
  <c r="W243" i="47"/>
  <c r="X243" i="47"/>
  <c r="Y243" i="47"/>
  <c r="Z243" i="47"/>
  <c r="AA243" i="47"/>
  <c r="AB243" i="47"/>
  <c r="AC243" i="47"/>
  <c r="AD243" i="47"/>
  <c r="A244" i="47"/>
  <c r="C244" i="47"/>
  <c r="D244" i="47"/>
  <c r="E244" i="47"/>
  <c r="F244" i="47"/>
  <c r="G244" i="47"/>
  <c r="H244" i="47"/>
  <c r="I244" i="47"/>
  <c r="J244" i="47"/>
  <c r="L244" i="47"/>
  <c r="M244" i="47"/>
  <c r="N244" i="47"/>
  <c r="O244" i="47"/>
  <c r="P244" i="47"/>
  <c r="Q244" i="47"/>
  <c r="R244" i="47"/>
  <c r="S244" i="47"/>
  <c r="U244" i="47"/>
  <c r="V244" i="47"/>
  <c r="W244" i="47"/>
  <c r="X244" i="47"/>
  <c r="Y244" i="47"/>
  <c r="Z244" i="47"/>
  <c r="AA244" i="47"/>
  <c r="AB244" i="47"/>
  <c r="AC244" i="47"/>
  <c r="AD244" i="47"/>
  <c r="A245" i="47"/>
  <c r="C245" i="47"/>
  <c r="D245" i="47"/>
  <c r="E245" i="47"/>
  <c r="F245" i="47"/>
  <c r="G245" i="47"/>
  <c r="H245" i="47"/>
  <c r="I245" i="47"/>
  <c r="J245" i="47"/>
  <c r="L245" i="47"/>
  <c r="M245" i="47"/>
  <c r="N245" i="47"/>
  <c r="O245" i="47"/>
  <c r="P245" i="47"/>
  <c r="Q245" i="47"/>
  <c r="R245" i="47"/>
  <c r="S245" i="47"/>
  <c r="U245" i="47"/>
  <c r="V245" i="47"/>
  <c r="W245" i="47"/>
  <c r="X245" i="47"/>
  <c r="Y245" i="47"/>
  <c r="Z245" i="47"/>
  <c r="AA245" i="47"/>
  <c r="AB245" i="47"/>
  <c r="AC245" i="47"/>
  <c r="AD245" i="47"/>
  <c r="A246" i="47"/>
  <c r="C246" i="47"/>
  <c r="D246" i="47"/>
  <c r="E246" i="47"/>
  <c r="F246" i="47"/>
  <c r="G246" i="47"/>
  <c r="H246" i="47"/>
  <c r="I246" i="47"/>
  <c r="J246" i="47"/>
  <c r="L246" i="47"/>
  <c r="M246" i="47"/>
  <c r="N246" i="47"/>
  <c r="O246" i="47"/>
  <c r="P246" i="47"/>
  <c r="Q246" i="47"/>
  <c r="R246" i="47"/>
  <c r="S246" i="47"/>
  <c r="U246" i="47"/>
  <c r="V246" i="47"/>
  <c r="W246" i="47"/>
  <c r="X246" i="47"/>
  <c r="Y246" i="47"/>
  <c r="Z246" i="47"/>
  <c r="AA246" i="47"/>
  <c r="AB246" i="47"/>
  <c r="AC246" i="47"/>
  <c r="AD246" i="47"/>
  <c r="A247" i="47"/>
  <c r="C247" i="47"/>
  <c r="D247" i="47"/>
  <c r="E247" i="47"/>
  <c r="F247" i="47"/>
  <c r="G247" i="47"/>
  <c r="H247" i="47"/>
  <c r="I247" i="47"/>
  <c r="J247" i="47"/>
  <c r="L247" i="47"/>
  <c r="M247" i="47"/>
  <c r="N247" i="47"/>
  <c r="O247" i="47"/>
  <c r="P247" i="47"/>
  <c r="Q247" i="47"/>
  <c r="R247" i="47"/>
  <c r="S247" i="47"/>
  <c r="U247" i="47"/>
  <c r="V247" i="47"/>
  <c r="W247" i="47"/>
  <c r="X247" i="47"/>
  <c r="Y247" i="47"/>
  <c r="Z247" i="47"/>
  <c r="AA247" i="47"/>
  <c r="AB247" i="47"/>
  <c r="AC247" i="47"/>
  <c r="AD247" i="47"/>
  <c r="A248" i="47"/>
  <c r="C248" i="47"/>
  <c r="D248" i="47"/>
  <c r="E248" i="47"/>
  <c r="F248" i="47"/>
  <c r="G248" i="47"/>
  <c r="H248" i="47"/>
  <c r="I248" i="47"/>
  <c r="J248" i="47"/>
  <c r="L248" i="47"/>
  <c r="M248" i="47"/>
  <c r="N248" i="47"/>
  <c r="O248" i="47"/>
  <c r="P248" i="47"/>
  <c r="Q248" i="47"/>
  <c r="R248" i="47"/>
  <c r="S248" i="47"/>
  <c r="U248" i="47"/>
  <c r="V248" i="47"/>
  <c r="W248" i="47"/>
  <c r="X248" i="47"/>
  <c r="Y248" i="47"/>
  <c r="Z248" i="47"/>
  <c r="AA248" i="47"/>
  <c r="AB248" i="47"/>
  <c r="AC248" i="47"/>
  <c r="AD248" i="47"/>
  <c r="A249" i="47"/>
  <c r="C249" i="47"/>
  <c r="D249" i="47"/>
  <c r="E249" i="47"/>
  <c r="F249" i="47"/>
  <c r="G249" i="47"/>
  <c r="H249" i="47"/>
  <c r="I249" i="47"/>
  <c r="J249" i="47"/>
  <c r="L249" i="47"/>
  <c r="M249" i="47"/>
  <c r="N249" i="47"/>
  <c r="O249" i="47"/>
  <c r="P249" i="47"/>
  <c r="Q249" i="47"/>
  <c r="R249" i="47"/>
  <c r="S249" i="47"/>
  <c r="U249" i="47"/>
  <c r="V249" i="47"/>
  <c r="W249" i="47"/>
  <c r="X249" i="47"/>
  <c r="Y249" i="47"/>
  <c r="Z249" i="47"/>
  <c r="AA249" i="47"/>
  <c r="AB249" i="47"/>
  <c r="AC249" i="47"/>
  <c r="AD249" i="47"/>
  <c r="A250" i="47"/>
  <c r="C250" i="47"/>
  <c r="D250" i="47"/>
  <c r="E250" i="47"/>
  <c r="F250" i="47"/>
  <c r="G250" i="47"/>
  <c r="H250" i="47"/>
  <c r="I250" i="47"/>
  <c r="J250" i="47"/>
  <c r="L250" i="47"/>
  <c r="M250" i="47"/>
  <c r="N250" i="47"/>
  <c r="O250" i="47"/>
  <c r="P250" i="47"/>
  <c r="Q250" i="47"/>
  <c r="R250" i="47"/>
  <c r="S250" i="47"/>
  <c r="U250" i="47"/>
  <c r="V250" i="47"/>
  <c r="W250" i="47"/>
  <c r="X250" i="47"/>
  <c r="Y250" i="47"/>
  <c r="Z250" i="47"/>
  <c r="AA250" i="47"/>
  <c r="AB250" i="47"/>
  <c r="AC250" i="47"/>
  <c r="AD250" i="47"/>
  <c r="A251" i="47"/>
  <c r="C251" i="47"/>
  <c r="D251" i="47"/>
  <c r="E251" i="47"/>
  <c r="F251" i="47"/>
  <c r="G251" i="47"/>
  <c r="H251" i="47"/>
  <c r="I251" i="47"/>
  <c r="J251" i="47"/>
  <c r="L251" i="47"/>
  <c r="M251" i="47"/>
  <c r="N251" i="47"/>
  <c r="O251" i="47"/>
  <c r="P251" i="47"/>
  <c r="Q251" i="47"/>
  <c r="R251" i="47"/>
  <c r="S251" i="47"/>
  <c r="U251" i="47"/>
  <c r="V251" i="47"/>
  <c r="W251" i="47"/>
  <c r="X251" i="47"/>
  <c r="Y251" i="47"/>
  <c r="Z251" i="47"/>
  <c r="AA251" i="47"/>
  <c r="AB251" i="47"/>
  <c r="AC251" i="47"/>
  <c r="AD251" i="47"/>
  <c r="A252" i="47"/>
  <c r="C252" i="47"/>
  <c r="D252" i="47"/>
  <c r="E252" i="47"/>
  <c r="F252" i="47"/>
  <c r="G252" i="47"/>
  <c r="H252" i="47"/>
  <c r="I252" i="47"/>
  <c r="J252" i="47"/>
  <c r="L252" i="47"/>
  <c r="M252" i="47"/>
  <c r="N252" i="47"/>
  <c r="O252" i="47"/>
  <c r="P252" i="47"/>
  <c r="Q252" i="47"/>
  <c r="R252" i="47"/>
  <c r="S252" i="47"/>
  <c r="U252" i="47"/>
  <c r="V252" i="47"/>
  <c r="W252" i="47"/>
  <c r="X252" i="47"/>
  <c r="Y252" i="47"/>
  <c r="Z252" i="47"/>
  <c r="AA252" i="47"/>
  <c r="AB252" i="47"/>
  <c r="AC252" i="47"/>
  <c r="AD252" i="47"/>
  <c r="A253" i="47"/>
  <c r="C253" i="47"/>
  <c r="D253" i="47"/>
  <c r="E253" i="47"/>
  <c r="F253" i="47"/>
  <c r="G253" i="47"/>
  <c r="H253" i="47"/>
  <c r="I253" i="47"/>
  <c r="J253" i="47"/>
  <c r="L253" i="47"/>
  <c r="M253" i="47"/>
  <c r="N253" i="47"/>
  <c r="O253" i="47"/>
  <c r="P253" i="47"/>
  <c r="Q253" i="47"/>
  <c r="R253" i="47"/>
  <c r="S253" i="47"/>
  <c r="U253" i="47"/>
  <c r="V253" i="47"/>
  <c r="W253" i="47"/>
  <c r="X253" i="47"/>
  <c r="Y253" i="47"/>
  <c r="Z253" i="47"/>
  <c r="AA253" i="47"/>
  <c r="AB253" i="47"/>
  <c r="AC253" i="47"/>
  <c r="AD253" i="47"/>
  <c r="A254" i="47"/>
  <c r="C254" i="47"/>
  <c r="D254" i="47"/>
  <c r="E254" i="47"/>
  <c r="F254" i="47"/>
  <c r="G254" i="47"/>
  <c r="H254" i="47"/>
  <c r="I254" i="47"/>
  <c r="J254" i="47"/>
  <c r="L254" i="47"/>
  <c r="M254" i="47"/>
  <c r="N254" i="47"/>
  <c r="O254" i="47"/>
  <c r="P254" i="47"/>
  <c r="Q254" i="47"/>
  <c r="R254" i="47"/>
  <c r="S254" i="47"/>
  <c r="U254" i="47"/>
  <c r="V254" i="47"/>
  <c r="W254" i="47"/>
  <c r="X254" i="47"/>
  <c r="Y254" i="47"/>
  <c r="Z254" i="47"/>
  <c r="AA254" i="47"/>
  <c r="AB254" i="47"/>
  <c r="AC254" i="47"/>
  <c r="AD254" i="47"/>
  <c r="A255" i="47"/>
  <c r="C255" i="47"/>
  <c r="D255" i="47"/>
  <c r="E255" i="47"/>
  <c r="F255" i="47"/>
  <c r="G255" i="47"/>
  <c r="H255" i="47"/>
  <c r="I255" i="47"/>
  <c r="J255" i="47"/>
  <c r="L255" i="47"/>
  <c r="M255" i="47"/>
  <c r="N255" i="47"/>
  <c r="O255" i="47"/>
  <c r="P255" i="47"/>
  <c r="Q255" i="47"/>
  <c r="R255" i="47"/>
  <c r="S255" i="47"/>
  <c r="U255" i="47"/>
  <c r="V255" i="47"/>
  <c r="W255" i="47"/>
  <c r="X255" i="47"/>
  <c r="Y255" i="47"/>
  <c r="Z255" i="47"/>
  <c r="AA255" i="47"/>
  <c r="AB255" i="47"/>
  <c r="AC255" i="47"/>
  <c r="AD255" i="47"/>
  <c r="A256" i="47"/>
  <c r="C256" i="47"/>
  <c r="D256" i="47"/>
  <c r="E256" i="47"/>
  <c r="F256" i="47"/>
  <c r="G256" i="47"/>
  <c r="H256" i="47"/>
  <c r="I256" i="47"/>
  <c r="J256" i="47"/>
  <c r="L256" i="47"/>
  <c r="M256" i="47"/>
  <c r="N256" i="47"/>
  <c r="O256" i="47"/>
  <c r="P256" i="47"/>
  <c r="Q256" i="47"/>
  <c r="R256" i="47"/>
  <c r="S256" i="47"/>
  <c r="U256" i="47"/>
  <c r="V256" i="47"/>
  <c r="W256" i="47"/>
  <c r="X256" i="47"/>
  <c r="Y256" i="47"/>
  <c r="Z256" i="47"/>
  <c r="AA256" i="47"/>
  <c r="AB256" i="47"/>
  <c r="AC256" i="47"/>
  <c r="AD256" i="47"/>
  <c r="A257" i="47"/>
  <c r="C257" i="47"/>
  <c r="D257" i="47"/>
  <c r="E257" i="47"/>
  <c r="F257" i="47"/>
  <c r="G257" i="47"/>
  <c r="H257" i="47"/>
  <c r="I257" i="47"/>
  <c r="J257" i="47"/>
  <c r="L257" i="47"/>
  <c r="M257" i="47"/>
  <c r="N257" i="47"/>
  <c r="O257" i="47"/>
  <c r="P257" i="47"/>
  <c r="Q257" i="47"/>
  <c r="R257" i="47"/>
  <c r="S257" i="47"/>
  <c r="U257" i="47"/>
  <c r="V257" i="47"/>
  <c r="W257" i="47"/>
  <c r="X257" i="47"/>
  <c r="Y257" i="47"/>
  <c r="Z257" i="47"/>
  <c r="AA257" i="47"/>
  <c r="AB257" i="47"/>
  <c r="AC257" i="47"/>
  <c r="AD257" i="47"/>
  <c r="A258" i="47"/>
  <c r="C258" i="47"/>
  <c r="D258" i="47"/>
  <c r="E258" i="47"/>
  <c r="F258" i="47"/>
  <c r="G258" i="47"/>
  <c r="H258" i="47"/>
  <c r="I258" i="47"/>
  <c r="J258" i="47"/>
  <c r="L258" i="47"/>
  <c r="M258" i="47"/>
  <c r="N258" i="47"/>
  <c r="O258" i="47"/>
  <c r="P258" i="47"/>
  <c r="Q258" i="47"/>
  <c r="R258" i="47"/>
  <c r="S258" i="47"/>
  <c r="U258" i="47"/>
  <c r="V258" i="47"/>
  <c r="W258" i="47"/>
  <c r="X258" i="47"/>
  <c r="Y258" i="47"/>
  <c r="Z258" i="47"/>
  <c r="AA258" i="47"/>
  <c r="AB258" i="47"/>
  <c r="AC258" i="47"/>
  <c r="AD258" i="47"/>
  <c r="A259" i="47"/>
  <c r="C259" i="47"/>
  <c r="D259" i="47"/>
  <c r="E259" i="47"/>
  <c r="F259" i="47"/>
  <c r="G259" i="47"/>
  <c r="H259" i="47"/>
  <c r="I259" i="47"/>
  <c r="J259" i="47"/>
  <c r="L259" i="47"/>
  <c r="M259" i="47"/>
  <c r="N259" i="47"/>
  <c r="O259" i="47"/>
  <c r="P259" i="47"/>
  <c r="Q259" i="47"/>
  <c r="R259" i="47"/>
  <c r="S259" i="47"/>
  <c r="U259" i="47"/>
  <c r="V259" i="47"/>
  <c r="W259" i="47"/>
  <c r="X259" i="47"/>
  <c r="Y259" i="47"/>
  <c r="Z259" i="47"/>
  <c r="AA259" i="47"/>
  <c r="AB259" i="47"/>
  <c r="AC259" i="47"/>
  <c r="AD259" i="47"/>
  <c r="A260" i="47"/>
  <c r="C260" i="47"/>
  <c r="D260" i="47"/>
  <c r="E260" i="47"/>
  <c r="F260" i="47"/>
  <c r="G260" i="47"/>
  <c r="H260" i="47"/>
  <c r="I260" i="47"/>
  <c r="J260" i="47"/>
  <c r="L260" i="47"/>
  <c r="M260" i="47"/>
  <c r="N260" i="47"/>
  <c r="O260" i="47"/>
  <c r="P260" i="47"/>
  <c r="Q260" i="47"/>
  <c r="R260" i="47"/>
  <c r="S260" i="47"/>
  <c r="U260" i="47"/>
  <c r="V260" i="47"/>
  <c r="W260" i="47"/>
  <c r="X260" i="47"/>
  <c r="Y260" i="47"/>
  <c r="Z260" i="47"/>
  <c r="AA260" i="47"/>
  <c r="AB260" i="47"/>
  <c r="AC260" i="47"/>
  <c r="AD260" i="47"/>
  <c r="A261" i="47"/>
  <c r="C261" i="47"/>
  <c r="D261" i="47"/>
  <c r="E261" i="47"/>
  <c r="F261" i="47"/>
  <c r="G261" i="47"/>
  <c r="H261" i="47"/>
  <c r="I261" i="47"/>
  <c r="J261" i="47"/>
  <c r="L261" i="47"/>
  <c r="M261" i="47"/>
  <c r="N261" i="47"/>
  <c r="O261" i="47"/>
  <c r="P261" i="47"/>
  <c r="Q261" i="47"/>
  <c r="R261" i="47"/>
  <c r="S261" i="47"/>
  <c r="U261" i="47"/>
  <c r="V261" i="47"/>
  <c r="W261" i="47"/>
  <c r="X261" i="47"/>
  <c r="Y261" i="47"/>
  <c r="Z261" i="47"/>
  <c r="AA261" i="47"/>
  <c r="AB261" i="47"/>
  <c r="AC261" i="47"/>
  <c r="AD261" i="47"/>
  <c r="A262" i="47"/>
  <c r="C262" i="47"/>
  <c r="D262" i="47"/>
  <c r="E262" i="47"/>
  <c r="F262" i="47"/>
  <c r="G262" i="47"/>
  <c r="H262" i="47"/>
  <c r="I262" i="47"/>
  <c r="J262" i="47"/>
  <c r="L262" i="47"/>
  <c r="M262" i="47"/>
  <c r="N262" i="47"/>
  <c r="O262" i="47"/>
  <c r="P262" i="47"/>
  <c r="Q262" i="47"/>
  <c r="R262" i="47"/>
  <c r="S262" i="47"/>
  <c r="U262" i="47"/>
  <c r="V262" i="47"/>
  <c r="W262" i="47"/>
  <c r="X262" i="47"/>
  <c r="Y262" i="47"/>
  <c r="Z262" i="47"/>
  <c r="AA262" i="47"/>
  <c r="AB262" i="47"/>
  <c r="AC262" i="47"/>
  <c r="AD262" i="47"/>
  <c r="A263" i="47"/>
  <c r="C263" i="47"/>
  <c r="D263" i="47"/>
  <c r="E263" i="47"/>
  <c r="F263" i="47"/>
  <c r="G263" i="47"/>
  <c r="H263" i="47"/>
  <c r="I263" i="47"/>
  <c r="J263" i="47"/>
  <c r="L263" i="47"/>
  <c r="M263" i="47"/>
  <c r="N263" i="47"/>
  <c r="O263" i="47"/>
  <c r="P263" i="47"/>
  <c r="Q263" i="47"/>
  <c r="R263" i="47"/>
  <c r="S263" i="47"/>
  <c r="U263" i="47"/>
  <c r="V263" i="47"/>
  <c r="W263" i="47"/>
  <c r="X263" i="47"/>
  <c r="Y263" i="47"/>
  <c r="Z263" i="47"/>
  <c r="AA263" i="47"/>
  <c r="AB263" i="47"/>
  <c r="AC263" i="47"/>
  <c r="AD263" i="47"/>
  <c r="A264" i="47"/>
  <c r="C264" i="47"/>
  <c r="D264" i="47"/>
  <c r="E264" i="47"/>
  <c r="F264" i="47"/>
  <c r="G264" i="47"/>
  <c r="H264" i="47"/>
  <c r="I264" i="47"/>
  <c r="J264" i="47"/>
  <c r="L264" i="47"/>
  <c r="M264" i="47"/>
  <c r="N264" i="47"/>
  <c r="O264" i="47"/>
  <c r="P264" i="47"/>
  <c r="Q264" i="47"/>
  <c r="R264" i="47"/>
  <c r="S264" i="47"/>
  <c r="U264" i="47"/>
  <c r="V264" i="47"/>
  <c r="W264" i="47"/>
  <c r="X264" i="47"/>
  <c r="Y264" i="47"/>
  <c r="Z264" i="47"/>
  <c r="AA264" i="47"/>
  <c r="AB264" i="47"/>
  <c r="AC264" i="47"/>
  <c r="AD264" i="47"/>
  <c r="A265" i="47"/>
  <c r="C265" i="47"/>
  <c r="D265" i="47"/>
  <c r="E265" i="47"/>
  <c r="F265" i="47"/>
  <c r="G265" i="47"/>
  <c r="H265" i="47"/>
  <c r="I265" i="47"/>
  <c r="J265" i="47"/>
  <c r="L265" i="47"/>
  <c r="M265" i="47"/>
  <c r="N265" i="47"/>
  <c r="O265" i="47"/>
  <c r="P265" i="47"/>
  <c r="Q265" i="47"/>
  <c r="R265" i="47"/>
  <c r="S265" i="47"/>
  <c r="U265" i="47"/>
  <c r="V265" i="47"/>
  <c r="W265" i="47"/>
  <c r="X265" i="47"/>
  <c r="Y265" i="47"/>
  <c r="Z265" i="47"/>
  <c r="AA265" i="47"/>
  <c r="AB265" i="47"/>
  <c r="AC265" i="47"/>
  <c r="AD265" i="47"/>
  <c r="A266" i="47"/>
  <c r="C266" i="47"/>
  <c r="D266" i="47"/>
  <c r="E266" i="47"/>
  <c r="F266" i="47"/>
  <c r="G266" i="47"/>
  <c r="H266" i="47"/>
  <c r="I266" i="47"/>
  <c r="J266" i="47"/>
  <c r="L266" i="47"/>
  <c r="M266" i="47"/>
  <c r="N266" i="47"/>
  <c r="O266" i="47"/>
  <c r="P266" i="47"/>
  <c r="Q266" i="47"/>
  <c r="R266" i="47"/>
  <c r="S266" i="47"/>
  <c r="U266" i="47"/>
  <c r="V266" i="47"/>
  <c r="W266" i="47"/>
  <c r="X266" i="47"/>
  <c r="Y266" i="47"/>
  <c r="Z266" i="47"/>
  <c r="AA266" i="47"/>
  <c r="AB266" i="47"/>
  <c r="AC266" i="47"/>
  <c r="AD266" i="47"/>
  <c r="J268" i="47"/>
  <c r="S268" i="47"/>
  <c r="AD268" i="47"/>
  <c r="B270" i="47"/>
  <c r="C270" i="47"/>
  <c r="D270" i="47"/>
  <c r="E270" i="47"/>
  <c r="F270" i="47"/>
  <c r="G270" i="47"/>
  <c r="H270" i="47"/>
  <c r="I270" i="47"/>
  <c r="J270" i="47"/>
  <c r="K270" i="47"/>
  <c r="L270" i="47"/>
  <c r="M270" i="47"/>
  <c r="N270" i="47"/>
  <c r="O270" i="47"/>
  <c r="P270" i="47"/>
  <c r="Q270" i="47"/>
  <c r="R270" i="47"/>
  <c r="S270" i="47"/>
  <c r="T270" i="47"/>
  <c r="U270" i="47"/>
  <c r="V270" i="47"/>
  <c r="W270" i="47"/>
  <c r="X270" i="47"/>
  <c r="Y270" i="47"/>
  <c r="Z270" i="47"/>
  <c r="AA270" i="47"/>
  <c r="AB270" i="47"/>
  <c r="AC270" i="47"/>
  <c r="AD270" i="47"/>
  <c r="A1" i="46"/>
  <c r="A2" i="46"/>
  <c r="A3" i="46"/>
  <c r="D9" i="46"/>
  <c r="M9" i="46"/>
  <c r="D10" i="46"/>
  <c r="M10" i="46"/>
  <c r="A12" i="46"/>
  <c r="C12" i="46"/>
  <c r="D12" i="46"/>
  <c r="E12" i="46"/>
  <c r="F12" i="46"/>
  <c r="G12" i="46"/>
  <c r="H12" i="46"/>
  <c r="I12" i="46"/>
  <c r="J12" i="46"/>
  <c r="L12" i="46"/>
  <c r="M12" i="46"/>
  <c r="N12" i="46"/>
  <c r="O12" i="46"/>
  <c r="P12" i="46"/>
  <c r="Q12" i="46"/>
  <c r="R12" i="46"/>
  <c r="S12" i="46"/>
  <c r="A13" i="46"/>
  <c r="C13" i="46"/>
  <c r="D13" i="46"/>
  <c r="E13" i="46"/>
  <c r="F13" i="46"/>
  <c r="G13" i="46"/>
  <c r="H13" i="46"/>
  <c r="I13" i="46"/>
  <c r="J13" i="46"/>
  <c r="L13" i="46"/>
  <c r="M13" i="46"/>
  <c r="N13" i="46"/>
  <c r="O13" i="46"/>
  <c r="P13" i="46"/>
  <c r="Q13" i="46"/>
  <c r="R13" i="46"/>
  <c r="S13" i="46"/>
  <c r="A14" i="46"/>
  <c r="C14" i="46"/>
  <c r="D14" i="46"/>
  <c r="E14" i="46"/>
  <c r="F14" i="46"/>
  <c r="G14" i="46"/>
  <c r="H14" i="46"/>
  <c r="I14" i="46"/>
  <c r="J14" i="46"/>
  <c r="L14" i="46"/>
  <c r="M14" i="46"/>
  <c r="N14" i="46"/>
  <c r="O14" i="46"/>
  <c r="P14" i="46"/>
  <c r="Q14" i="46"/>
  <c r="R14" i="46"/>
  <c r="S14" i="46"/>
  <c r="A15" i="46"/>
  <c r="C15" i="46"/>
  <c r="D15" i="46"/>
  <c r="E15" i="46"/>
  <c r="F15" i="46"/>
  <c r="G15" i="46"/>
  <c r="H15" i="46"/>
  <c r="I15" i="46"/>
  <c r="J15" i="46"/>
  <c r="L15" i="46"/>
  <c r="M15" i="46"/>
  <c r="N15" i="46"/>
  <c r="O15" i="46"/>
  <c r="P15" i="46"/>
  <c r="Q15" i="46"/>
  <c r="R15" i="46"/>
  <c r="S15" i="46"/>
  <c r="A16" i="46"/>
  <c r="C16" i="46"/>
  <c r="D16" i="46"/>
  <c r="E16" i="46"/>
  <c r="F16" i="46"/>
  <c r="G16" i="46"/>
  <c r="H16" i="46"/>
  <c r="I16" i="46"/>
  <c r="J16" i="46"/>
  <c r="L16" i="46"/>
  <c r="M16" i="46"/>
  <c r="N16" i="46"/>
  <c r="O16" i="46"/>
  <c r="P16" i="46"/>
  <c r="Q16" i="46"/>
  <c r="R16" i="46"/>
  <c r="S16" i="46"/>
  <c r="A17" i="46"/>
  <c r="C17" i="46"/>
  <c r="D17" i="46"/>
  <c r="E17" i="46"/>
  <c r="F17" i="46"/>
  <c r="G17" i="46"/>
  <c r="H17" i="46"/>
  <c r="I17" i="46"/>
  <c r="J17" i="46"/>
  <c r="L17" i="46"/>
  <c r="M17" i="46"/>
  <c r="N17" i="46"/>
  <c r="O17" i="46"/>
  <c r="P17" i="46"/>
  <c r="Q17" i="46"/>
  <c r="R17" i="46"/>
  <c r="S17" i="46"/>
  <c r="A18" i="46"/>
  <c r="C18" i="46"/>
  <c r="D18" i="46"/>
  <c r="E18" i="46"/>
  <c r="F18" i="46"/>
  <c r="G18" i="46"/>
  <c r="H18" i="46"/>
  <c r="I18" i="46"/>
  <c r="J18" i="46"/>
  <c r="L18" i="46"/>
  <c r="M18" i="46"/>
  <c r="N18" i="46"/>
  <c r="O18" i="46"/>
  <c r="P18" i="46"/>
  <c r="Q18" i="46"/>
  <c r="R18" i="46"/>
  <c r="S18" i="46"/>
  <c r="A19" i="46"/>
  <c r="C19" i="46"/>
  <c r="D19" i="46"/>
  <c r="E19" i="46"/>
  <c r="F19" i="46"/>
  <c r="G19" i="46"/>
  <c r="H19" i="46"/>
  <c r="I19" i="46"/>
  <c r="J19" i="46"/>
  <c r="L19" i="46"/>
  <c r="M19" i="46"/>
  <c r="N19" i="46"/>
  <c r="O19" i="46"/>
  <c r="P19" i="46"/>
  <c r="Q19" i="46"/>
  <c r="R19" i="46"/>
  <c r="S19" i="46"/>
  <c r="A20" i="46"/>
  <c r="C20" i="46"/>
  <c r="D20" i="46"/>
  <c r="E20" i="46"/>
  <c r="F20" i="46"/>
  <c r="G20" i="46"/>
  <c r="H20" i="46"/>
  <c r="I20" i="46"/>
  <c r="J20" i="46"/>
  <c r="L20" i="46"/>
  <c r="M20" i="46"/>
  <c r="N20" i="46"/>
  <c r="O20" i="46"/>
  <c r="P20" i="46"/>
  <c r="Q20" i="46"/>
  <c r="R20" i="46"/>
  <c r="S20" i="46"/>
  <c r="A21" i="46"/>
  <c r="C21" i="46"/>
  <c r="D21" i="46"/>
  <c r="E21" i="46"/>
  <c r="F21" i="46"/>
  <c r="G21" i="46"/>
  <c r="H21" i="46"/>
  <c r="I21" i="46"/>
  <c r="J21" i="46"/>
  <c r="L21" i="46"/>
  <c r="M21" i="46"/>
  <c r="N21" i="46"/>
  <c r="O21" i="46"/>
  <c r="P21" i="46"/>
  <c r="Q21" i="46"/>
  <c r="R21" i="46"/>
  <c r="S21" i="46"/>
  <c r="A22" i="46"/>
  <c r="C22" i="46"/>
  <c r="D22" i="46"/>
  <c r="E22" i="46"/>
  <c r="F22" i="46"/>
  <c r="G22" i="46"/>
  <c r="H22" i="46"/>
  <c r="I22" i="46"/>
  <c r="J22" i="46"/>
  <c r="L22" i="46"/>
  <c r="M22" i="46"/>
  <c r="N22" i="46"/>
  <c r="O22" i="46"/>
  <c r="P22" i="46"/>
  <c r="Q22" i="46"/>
  <c r="R22" i="46"/>
  <c r="S22" i="46"/>
  <c r="A23" i="46"/>
  <c r="C23" i="46"/>
  <c r="D23" i="46"/>
  <c r="E23" i="46"/>
  <c r="F23" i="46"/>
  <c r="G23" i="46"/>
  <c r="H23" i="46"/>
  <c r="I23" i="46"/>
  <c r="J23" i="46"/>
  <c r="L23" i="46"/>
  <c r="M23" i="46"/>
  <c r="N23" i="46"/>
  <c r="O23" i="46"/>
  <c r="P23" i="46"/>
  <c r="Q23" i="46"/>
  <c r="R23" i="46"/>
  <c r="S23" i="46"/>
  <c r="A24" i="46"/>
  <c r="C24" i="46"/>
  <c r="D24" i="46"/>
  <c r="E24" i="46"/>
  <c r="F24" i="46"/>
  <c r="G24" i="46"/>
  <c r="H24" i="46"/>
  <c r="I24" i="46"/>
  <c r="J24" i="46"/>
  <c r="L24" i="46"/>
  <c r="M24" i="46"/>
  <c r="N24" i="46"/>
  <c r="O24" i="46"/>
  <c r="P24" i="46"/>
  <c r="Q24" i="46"/>
  <c r="R24" i="46"/>
  <c r="S24" i="46"/>
  <c r="A25" i="46"/>
  <c r="C25" i="46"/>
  <c r="D25" i="46"/>
  <c r="E25" i="46"/>
  <c r="F25" i="46"/>
  <c r="G25" i="46"/>
  <c r="H25" i="46"/>
  <c r="I25" i="46"/>
  <c r="J25" i="46"/>
  <c r="L25" i="46"/>
  <c r="M25" i="46"/>
  <c r="N25" i="46"/>
  <c r="O25" i="46"/>
  <c r="P25" i="46"/>
  <c r="Q25" i="46"/>
  <c r="R25" i="46"/>
  <c r="S25" i="46"/>
  <c r="A26" i="46"/>
  <c r="C26" i="46"/>
  <c r="D26" i="46"/>
  <c r="E26" i="46"/>
  <c r="F26" i="46"/>
  <c r="G26" i="46"/>
  <c r="H26" i="46"/>
  <c r="I26" i="46"/>
  <c r="J26" i="46"/>
  <c r="L26" i="46"/>
  <c r="M26" i="46"/>
  <c r="N26" i="46"/>
  <c r="O26" i="46"/>
  <c r="P26" i="46"/>
  <c r="Q26" i="46"/>
  <c r="R26" i="46"/>
  <c r="S26" i="46"/>
  <c r="A27" i="46"/>
  <c r="C27" i="46"/>
  <c r="D27" i="46"/>
  <c r="E27" i="46"/>
  <c r="F27" i="46"/>
  <c r="G27" i="46"/>
  <c r="H27" i="46"/>
  <c r="I27" i="46"/>
  <c r="J27" i="46"/>
  <c r="L27" i="46"/>
  <c r="M27" i="46"/>
  <c r="N27" i="46"/>
  <c r="O27" i="46"/>
  <c r="P27" i="46"/>
  <c r="Q27" i="46"/>
  <c r="R27" i="46"/>
  <c r="S27" i="46"/>
  <c r="A28" i="46"/>
  <c r="C28" i="46"/>
  <c r="D28" i="46"/>
  <c r="E28" i="46"/>
  <c r="F28" i="46"/>
  <c r="G28" i="46"/>
  <c r="H28" i="46"/>
  <c r="I28" i="46"/>
  <c r="J28" i="46"/>
  <c r="L28" i="46"/>
  <c r="M28" i="46"/>
  <c r="N28" i="46"/>
  <c r="O28" i="46"/>
  <c r="P28" i="46"/>
  <c r="Q28" i="46"/>
  <c r="R28" i="46"/>
  <c r="S28" i="46"/>
  <c r="A29" i="46"/>
  <c r="C29" i="46"/>
  <c r="D29" i="46"/>
  <c r="E29" i="46"/>
  <c r="F29" i="46"/>
  <c r="G29" i="46"/>
  <c r="H29" i="46"/>
  <c r="I29" i="46"/>
  <c r="J29" i="46"/>
  <c r="L29" i="46"/>
  <c r="M29" i="46"/>
  <c r="N29" i="46"/>
  <c r="O29" i="46"/>
  <c r="P29" i="46"/>
  <c r="Q29" i="46"/>
  <c r="R29" i="46"/>
  <c r="S29" i="46"/>
  <c r="A30" i="46"/>
  <c r="C30" i="46"/>
  <c r="D30" i="46"/>
  <c r="E30" i="46"/>
  <c r="F30" i="46"/>
  <c r="G30" i="46"/>
  <c r="H30" i="46"/>
  <c r="I30" i="46"/>
  <c r="J30" i="46"/>
  <c r="L30" i="46"/>
  <c r="M30" i="46"/>
  <c r="N30" i="46"/>
  <c r="O30" i="46"/>
  <c r="P30" i="46"/>
  <c r="Q30" i="46"/>
  <c r="R30" i="46"/>
  <c r="S30" i="46"/>
  <c r="A31" i="46"/>
  <c r="C31" i="46"/>
  <c r="D31" i="46"/>
  <c r="E31" i="46"/>
  <c r="F31" i="46"/>
  <c r="G31" i="46"/>
  <c r="H31" i="46"/>
  <c r="I31" i="46"/>
  <c r="J31" i="46"/>
  <c r="L31" i="46"/>
  <c r="M31" i="46"/>
  <c r="N31" i="46"/>
  <c r="O31" i="46"/>
  <c r="P31" i="46"/>
  <c r="Q31" i="46"/>
  <c r="R31" i="46"/>
  <c r="S31" i="46"/>
  <c r="A32" i="46"/>
  <c r="C32" i="46"/>
  <c r="D32" i="46"/>
  <c r="E32" i="46"/>
  <c r="F32" i="46"/>
  <c r="G32" i="46"/>
  <c r="H32" i="46"/>
  <c r="I32" i="46"/>
  <c r="J32" i="46"/>
  <c r="L32" i="46"/>
  <c r="M32" i="46"/>
  <c r="N32" i="46"/>
  <c r="O32" i="46"/>
  <c r="P32" i="46"/>
  <c r="Q32" i="46"/>
  <c r="R32" i="46"/>
  <c r="S32" i="46"/>
  <c r="A33" i="46"/>
  <c r="C33" i="46"/>
  <c r="D33" i="46"/>
  <c r="E33" i="46"/>
  <c r="F33" i="46"/>
  <c r="G33" i="46"/>
  <c r="H33" i="46"/>
  <c r="I33" i="46"/>
  <c r="J33" i="46"/>
  <c r="L33" i="46"/>
  <c r="M33" i="46"/>
  <c r="N33" i="46"/>
  <c r="O33" i="46"/>
  <c r="P33" i="46"/>
  <c r="Q33" i="46"/>
  <c r="R33" i="46"/>
  <c r="S33" i="46"/>
  <c r="A34" i="46"/>
  <c r="C34" i="46"/>
  <c r="D34" i="46"/>
  <c r="E34" i="46"/>
  <c r="F34" i="46"/>
  <c r="G34" i="46"/>
  <c r="H34" i="46"/>
  <c r="I34" i="46"/>
  <c r="J34" i="46"/>
  <c r="L34" i="46"/>
  <c r="M34" i="46"/>
  <c r="N34" i="46"/>
  <c r="O34" i="46"/>
  <c r="P34" i="46"/>
  <c r="Q34" i="46"/>
  <c r="R34" i="46"/>
  <c r="S34" i="46"/>
  <c r="A35" i="46"/>
  <c r="C35" i="46"/>
  <c r="D35" i="46"/>
  <c r="E35" i="46"/>
  <c r="F35" i="46"/>
  <c r="G35" i="46"/>
  <c r="H35" i="46"/>
  <c r="I35" i="46"/>
  <c r="J35" i="46"/>
  <c r="L35" i="46"/>
  <c r="M35" i="46"/>
  <c r="N35" i="46"/>
  <c r="O35" i="46"/>
  <c r="P35" i="46"/>
  <c r="Q35" i="46"/>
  <c r="R35" i="46"/>
  <c r="S35" i="46"/>
  <c r="A36" i="46"/>
  <c r="C36" i="46"/>
  <c r="D36" i="46"/>
  <c r="E36" i="46"/>
  <c r="F36" i="46"/>
  <c r="G36" i="46"/>
  <c r="H36" i="46"/>
  <c r="I36" i="46"/>
  <c r="J36" i="46"/>
  <c r="L36" i="46"/>
  <c r="M36" i="46"/>
  <c r="N36" i="46"/>
  <c r="O36" i="46"/>
  <c r="P36" i="46"/>
  <c r="Q36" i="46"/>
  <c r="R36" i="46"/>
  <c r="S36" i="46"/>
  <c r="A37" i="46"/>
  <c r="C37" i="46"/>
  <c r="D37" i="46"/>
  <c r="E37" i="46"/>
  <c r="F37" i="46"/>
  <c r="G37" i="46"/>
  <c r="H37" i="46"/>
  <c r="I37" i="46"/>
  <c r="J37" i="46"/>
  <c r="L37" i="46"/>
  <c r="M37" i="46"/>
  <c r="N37" i="46"/>
  <c r="O37" i="46"/>
  <c r="P37" i="46"/>
  <c r="Q37" i="46"/>
  <c r="R37" i="46"/>
  <c r="S37" i="46"/>
  <c r="A38" i="46"/>
  <c r="C38" i="46"/>
  <c r="D38" i="46"/>
  <c r="E38" i="46"/>
  <c r="F38" i="46"/>
  <c r="G38" i="46"/>
  <c r="H38" i="46"/>
  <c r="I38" i="46"/>
  <c r="J38" i="46"/>
  <c r="L38" i="46"/>
  <c r="M38" i="46"/>
  <c r="N38" i="46"/>
  <c r="O38" i="46"/>
  <c r="P38" i="46"/>
  <c r="Q38" i="46"/>
  <c r="R38" i="46"/>
  <c r="S38" i="46"/>
  <c r="A39" i="46"/>
  <c r="C39" i="46"/>
  <c r="D39" i="46"/>
  <c r="E39" i="46"/>
  <c r="F39" i="46"/>
  <c r="G39" i="46"/>
  <c r="H39" i="46"/>
  <c r="I39" i="46"/>
  <c r="J39" i="46"/>
  <c r="L39" i="46"/>
  <c r="M39" i="46"/>
  <c r="N39" i="46"/>
  <c r="O39" i="46"/>
  <c r="P39" i="46"/>
  <c r="Q39" i="46"/>
  <c r="R39" i="46"/>
  <c r="S39" i="46"/>
  <c r="A40" i="46"/>
  <c r="C40" i="46"/>
  <c r="D40" i="46"/>
  <c r="E40" i="46"/>
  <c r="F40" i="46"/>
  <c r="G40" i="46"/>
  <c r="H40" i="46"/>
  <c r="I40" i="46"/>
  <c r="J40" i="46"/>
  <c r="L40" i="46"/>
  <c r="M40" i="46"/>
  <c r="N40" i="46"/>
  <c r="O40" i="46"/>
  <c r="P40" i="46"/>
  <c r="Q40" i="46"/>
  <c r="R40" i="46"/>
  <c r="S40" i="46"/>
  <c r="A41" i="46"/>
  <c r="C41" i="46"/>
  <c r="D41" i="46"/>
  <c r="E41" i="46"/>
  <c r="F41" i="46"/>
  <c r="G41" i="46"/>
  <c r="H41" i="46"/>
  <c r="I41" i="46"/>
  <c r="J41" i="46"/>
  <c r="L41" i="46"/>
  <c r="M41" i="46"/>
  <c r="N41" i="46"/>
  <c r="O41" i="46"/>
  <c r="P41" i="46"/>
  <c r="Q41" i="46"/>
  <c r="R41" i="46"/>
  <c r="S41" i="46"/>
  <c r="A42" i="46"/>
  <c r="C42" i="46"/>
  <c r="D42" i="46"/>
  <c r="E42" i="46"/>
  <c r="F42" i="46"/>
  <c r="G42" i="46"/>
  <c r="H42" i="46"/>
  <c r="I42" i="46"/>
  <c r="J42" i="46"/>
  <c r="L42" i="46"/>
  <c r="M42" i="46"/>
  <c r="N42" i="46"/>
  <c r="O42" i="46"/>
  <c r="P42" i="46"/>
  <c r="Q42" i="46"/>
  <c r="R42" i="46"/>
  <c r="S42" i="46"/>
  <c r="A43" i="46"/>
  <c r="C43" i="46"/>
  <c r="D43" i="46"/>
  <c r="E43" i="46"/>
  <c r="F43" i="46"/>
  <c r="G43" i="46"/>
  <c r="H43" i="46"/>
  <c r="I43" i="46"/>
  <c r="J43" i="46"/>
  <c r="L43" i="46"/>
  <c r="M43" i="46"/>
  <c r="N43" i="46"/>
  <c r="O43" i="46"/>
  <c r="P43" i="46"/>
  <c r="Q43" i="46"/>
  <c r="R43" i="46"/>
  <c r="S43" i="46"/>
  <c r="A44" i="46"/>
  <c r="C44" i="46"/>
  <c r="D44" i="46"/>
  <c r="E44" i="46"/>
  <c r="F44" i="46"/>
  <c r="G44" i="46"/>
  <c r="H44" i="46"/>
  <c r="I44" i="46"/>
  <c r="J44" i="46"/>
  <c r="L44" i="46"/>
  <c r="M44" i="46"/>
  <c r="N44" i="46"/>
  <c r="O44" i="46"/>
  <c r="P44" i="46"/>
  <c r="Q44" i="46"/>
  <c r="R44" i="46"/>
  <c r="S44" i="46"/>
  <c r="A45" i="46"/>
  <c r="C45" i="46"/>
  <c r="D45" i="46"/>
  <c r="E45" i="46"/>
  <c r="F45" i="46"/>
  <c r="G45" i="46"/>
  <c r="H45" i="46"/>
  <c r="I45" i="46"/>
  <c r="J45" i="46"/>
  <c r="L45" i="46"/>
  <c r="M45" i="46"/>
  <c r="N45" i="46"/>
  <c r="O45" i="46"/>
  <c r="P45" i="46"/>
  <c r="Q45" i="46"/>
  <c r="R45" i="46"/>
  <c r="S45" i="46"/>
  <c r="A46" i="46"/>
  <c r="C46" i="46"/>
  <c r="D46" i="46"/>
  <c r="E46" i="46"/>
  <c r="F46" i="46"/>
  <c r="G46" i="46"/>
  <c r="H46" i="46"/>
  <c r="I46" i="46"/>
  <c r="J46" i="46"/>
  <c r="L46" i="46"/>
  <c r="M46" i="46"/>
  <c r="N46" i="46"/>
  <c r="O46" i="46"/>
  <c r="P46" i="46"/>
  <c r="Q46" i="46"/>
  <c r="R46" i="46"/>
  <c r="S46" i="46"/>
  <c r="A47" i="46"/>
  <c r="C47" i="46"/>
  <c r="D47" i="46"/>
  <c r="E47" i="46"/>
  <c r="F47" i="46"/>
  <c r="G47" i="46"/>
  <c r="H47" i="46"/>
  <c r="I47" i="46"/>
  <c r="J47" i="46"/>
  <c r="L47" i="46"/>
  <c r="M47" i="46"/>
  <c r="N47" i="46"/>
  <c r="O47" i="46"/>
  <c r="P47" i="46"/>
  <c r="Q47" i="46"/>
  <c r="R47" i="46"/>
  <c r="S47" i="46"/>
  <c r="A48" i="46"/>
  <c r="C48" i="46"/>
  <c r="D48" i="46"/>
  <c r="E48" i="46"/>
  <c r="F48" i="46"/>
  <c r="G48" i="46"/>
  <c r="H48" i="46"/>
  <c r="I48" i="46"/>
  <c r="J48" i="46"/>
  <c r="L48" i="46"/>
  <c r="M48" i="46"/>
  <c r="N48" i="46"/>
  <c r="O48" i="46"/>
  <c r="P48" i="46"/>
  <c r="Q48" i="46"/>
  <c r="R48" i="46"/>
  <c r="S48" i="46"/>
  <c r="A49" i="46"/>
  <c r="C49" i="46"/>
  <c r="D49" i="46"/>
  <c r="E49" i="46"/>
  <c r="F49" i="46"/>
  <c r="G49" i="46"/>
  <c r="H49" i="46"/>
  <c r="I49" i="46"/>
  <c r="J49" i="46"/>
  <c r="L49" i="46"/>
  <c r="M49" i="46"/>
  <c r="N49" i="46"/>
  <c r="O49" i="46"/>
  <c r="P49" i="46"/>
  <c r="Q49" i="46"/>
  <c r="R49" i="46"/>
  <c r="S49" i="46"/>
  <c r="A50" i="46"/>
  <c r="C50" i="46"/>
  <c r="D50" i="46"/>
  <c r="E50" i="46"/>
  <c r="F50" i="46"/>
  <c r="G50" i="46"/>
  <c r="H50" i="46"/>
  <c r="I50" i="46"/>
  <c r="J50" i="46"/>
  <c r="L50" i="46"/>
  <c r="M50" i="46"/>
  <c r="N50" i="46"/>
  <c r="O50" i="46"/>
  <c r="P50" i="46"/>
  <c r="Q50" i="46"/>
  <c r="R50" i="46"/>
  <c r="S50" i="46"/>
  <c r="A51" i="46"/>
  <c r="C51" i="46"/>
  <c r="D51" i="46"/>
  <c r="E51" i="46"/>
  <c r="F51" i="46"/>
  <c r="G51" i="46"/>
  <c r="H51" i="46"/>
  <c r="I51" i="46"/>
  <c r="J51" i="46"/>
  <c r="L51" i="46"/>
  <c r="M51" i="46"/>
  <c r="N51" i="46"/>
  <c r="O51" i="46"/>
  <c r="P51" i="46"/>
  <c r="Q51" i="46"/>
  <c r="R51" i="46"/>
  <c r="S51" i="46"/>
  <c r="A52" i="46"/>
  <c r="C52" i="46"/>
  <c r="D52" i="46"/>
  <c r="E52" i="46"/>
  <c r="F52" i="46"/>
  <c r="G52" i="46"/>
  <c r="H52" i="46"/>
  <c r="I52" i="46"/>
  <c r="J52" i="46"/>
  <c r="L52" i="46"/>
  <c r="M52" i="46"/>
  <c r="N52" i="46"/>
  <c r="O52" i="46"/>
  <c r="P52" i="46"/>
  <c r="Q52" i="46"/>
  <c r="R52" i="46"/>
  <c r="S52" i="46"/>
  <c r="A53" i="46"/>
  <c r="C53" i="46"/>
  <c r="D53" i="46"/>
  <c r="E53" i="46"/>
  <c r="F53" i="46"/>
  <c r="G53" i="46"/>
  <c r="H53" i="46"/>
  <c r="I53" i="46"/>
  <c r="J53" i="46"/>
  <c r="L53" i="46"/>
  <c r="M53" i="46"/>
  <c r="N53" i="46"/>
  <c r="O53" i="46"/>
  <c r="P53" i="46"/>
  <c r="Q53" i="46"/>
  <c r="R53" i="46"/>
  <c r="S53" i="46"/>
  <c r="A54" i="46"/>
  <c r="C54" i="46"/>
  <c r="D54" i="46"/>
  <c r="E54" i="46"/>
  <c r="F54" i="46"/>
  <c r="G54" i="46"/>
  <c r="H54" i="46"/>
  <c r="I54" i="46"/>
  <c r="J54" i="46"/>
  <c r="L54" i="46"/>
  <c r="M54" i="46"/>
  <c r="N54" i="46"/>
  <c r="O54" i="46"/>
  <c r="P54" i="46"/>
  <c r="Q54" i="46"/>
  <c r="R54" i="46"/>
  <c r="S54" i="46"/>
  <c r="A55" i="46"/>
  <c r="C55" i="46"/>
  <c r="D55" i="46"/>
  <c r="E55" i="46"/>
  <c r="F55" i="46"/>
  <c r="G55" i="46"/>
  <c r="H55" i="46"/>
  <c r="I55" i="46"/>
  <c r="J55" i="46"/>
  <c r="L55" i="46"/>
  <c r="M55" i="46"/>
  <c r="N55" i="46"/>
  <c r="O55" i="46"/>
  <c r="P55" i="46"/>
  <c r="Q55" i="46"/>
  <c r="R55" i="46"/>
  <c r="S55" i="46"/>
  <c r="A56" i="46"/>
  <c r="C56" i="46"/>
  <c r="D56" i="46"/>
  <c r="E56" i="46"/>
  <c r="F56" i="46"/>
  <c r="G56" i="46"/>
  <c r="H56" i="46"/>
  <c r="I56" i="46"/>
  <c r="J56" i="46"/>
  <c r="L56" i="46"/>
  <c r="M56" i="46"/>
  <c r="N56" i="46"/>
  <c r="O56" i="46"/>
  <c r="P56" i="46"/>
  <c r="Q56" i="46"/>
  <c r="R56" i="46"/>
  <c r="S56" i="46"/>
  <c r="A57" i="46"/>
  <c r="C57" i="46"/>
  <c r="D57" i="46"/>
  <c r="E57" i="46"/>
  <c r="F57" i="46"/>
  <c r="G57" i="46"/>
  <c r="H57" i="46"/>
  <c r="I57" i="46"/>
  <c r="J57" i="46"/>
  <c r="L57" i="46"/>
  <c r="M57" i="46"/>
  <c r="N57" i="46"/>
  <c r="O57" i="46"/>
  <c r="P57" i="46"/>
  <c r="Q57" i="46"/>
  <c r="R57" i="46"/>
  <c r="S57" i="46"/>
  <c r="A58" i="46"/>
  <c r="C58" i="46"/>
  <c r="D58" i="46"/>
  <c r="E58" i="46"/>
  <c r="F58" i="46"/>
  <c r="G58" i="46"/>
  <c r="H58" i="46"/>
  <c r="I58" i="46"/>
  <c r="J58" i="46"/>
  <c r="L58" i="46"/>
  <c r="M58" i="46"/>
  <c r="N58" i="46"/>
  <c r="O58" i="46"/>
  <c r="P58" i="46"/>
  <c r="Q58" i="46"/>
  <c r="R58" i="46"/>
  <c r="S58" i="46"/>
  <c r="A59" i="46"/>
  <c r="C59" i="46"/>
  <c r="D59" i="46"/>
  <c r="E59" i="46"/>
  <c r="F59" i="46"/>
  <c r="G59" i="46"/>
  <c r="H59" i="46"/>
  <c r="I59" i="46"/>
  <c r="J59" i="46"/>
  <c r="L59" i="46"/>
  <c r="M59" i="46"/>
  <c r="N59" i="46"/>
  <c r="O59" i="46"/>
  <c r="P59" i="46"/>
  <c r="Q59" i="46"/>
  <c r="R59" i="46"/>
  <c r="S59" i="46"/>
  <c r="A60" i="46"/>
  <c r="C60" i="46"/>
  <c r="D60" i="46"/>
  <c r="E60" i="46"/>
  <c r="F60" i="46"/>
  <c r="G60" i="46"/>
  <c r="H60" i="46"/>
  <c r="I60" i="46"/>
  <c r="J60" i="46"/>
  <c r="L60" i="46"/>
  <c r="M60" i="46"/>
  <c r="N60" i="46"/>
  <c r="O60" i="46"/>
  <c r="P60" i="46"/>
  <c r="Q60" i="46"/>
  <c r="R60" i="46"/>
  <c r="S60" i="46"/>
  <c r="A61" i="46"/>
  <c r="C61" i="46"/>
  <c r="D61" i="46"/>
  <c r="E61" i="46"/>
  <c r="F61" i="46"/>
  <c r="G61" i="46"/>
  <c r="H61" i="46"/>
  <c r="I61" i="46"/>
  <c r="J61" i="46"/>
  <c r="L61" i="46"/>
  <c r="M61" i="46"/>
  <c r="N61" i="46"/>
  <c r="O61" i="46"/>
  <c r="P61" i="46"/>
  <c r="Q61" i="46"/>
  <c r="R61" i="46"/>
  <c r="S61" i="46"/>
  <c r="A62" i="46"/>
  <c r="C62" i="46"/>
  <c r="D62" i="46"/>
  <c r="E62" i="46"/>
  <c r="F62" i="46"/>
  <c r="G62" i="46"/>
  <c r="H62" i="46"/>
  <c r="I62" i="46"/>
  <c r="J62" i="46"/>
  <c r="L62" i="46"/>
  <c r="M62" i="46"/>
  <c r="N62" i="46"/>
  <c r="O62" i="46"/>
  <c r="P62" i="46"/>
  <c r="Q62" i="46"/>
  <c r="R62" i="46"/>
  <c r="S62" i="46"/>
  <c r="A63" i="46"/>
  <c r="C63" i="46"/>
  <c r="D63" i="46"/>
  <c r="E63" i="46"/>
  <c r="F63" i="46"/>
  <c r="G63" i="46"/>
  <c r="H63" i="46"/>
  <c r="I63" i="46"/>
  <c r="J63" i="46"/>
  <c r="L63" i="46"/>
  <c r="M63" i="46"/>
  <c r="N63" i="46"/>
  <c r="O63" i="46"/>
  <c r="P63" i="46"/>
  <c r="Q63" i="46"/>
  <c r="R63" i="46"/>
  <c r="S63" i="46"/>
  <c r="A64" i="46"/>
  <c r="C64" i="46"/>
  <c r="D64" i="46"/>
  <c r="E64" i="46"/>
  <c r="F64" i="46"/>
  <c r="G64" i="46"/>
  <c r="H64" i="46"/>
  <c r="I64" i="46"/>
  <c r="J64" i="46"/>
  <c r="L64" i="46"/>
  <c r="M64" i="46"/>
  <c r="N64" i="46"/>
  <c r="O64" i="46"/>
  <c r="P64" i="46"/>
  <c r="Q64" i="46"/>
  <c r="R64" i="46"/>
  <c r="S64" i="46"/>
  <c r="A65" i="46"/>
  <c r="C65" i="46"/>
  <c r="D65" i="46"/>
  <c r="E65" i="46"/>
  <c r="F65" i="46"/>
  <c r="G65" i="46"/>
  <c r="H65" i="46"/>
  <c r="I65" i="46"/>
  <c r="J65" i="46"/>
  <c r="L65" i="46"/>
  <c r="M65" i="46"/>
  <c r="N65" i="46"/>
  <c r="O65" i="46"/>
  <c r="P65" i="46"/>
  <c r="Q65" i="46"/>
  <c r="R65" i="46"/>
  <c r="S65" i="46"/>
  <c r="A66" i="46"/>
  <c r="C66" i="46"/>
  <c r="D66" i="46"/>
  <c r="E66" i="46"/>
  <c r="F66" i="46"/>
  <c r="G66" i="46"/>
  <c r="H66" i="46"/>
  <c r="I66" i="46"/>
  <c r="J66" i="46"/>
  <c r="L66" i="46"/>
  <c r="M66" i="46"/>
  <c r="N66" i="46"/>
  <c r="O66" i="46"/>
  <c r="P66" i="46"/>
  <c r="Q66" i="46"/>
  <c r="R66" i="46"/>
  <c r="S66" i="46"/>
  <c r="A67" i="46"/>
  <c r="C67" i="46"/>
  <c r="D67" i="46"/>
  <c r="E67" i="46"/>
  <c r="F67" i="46"/>
  <c r="G67" i="46"/>
  <c r="H67" i="46"/>
  <c r="I67" i="46"/>
  <c r="J67" i="46"/>
  <c r="L67" i="46"/>
  <c r="M67" i="46"/>
  <c r="N67" i="46"/>
  <c r="O67" i="46"/>
  <c r="P67" i="46"/>
  <c r="Q67" i="46"/>
  <c r="R67" i="46"/>
  <c r="S67" i="46"/>
  <c r="A68" i="46"/>
  <c r="C68" i="46"/>
  <c r="D68" i="46"/>
  <c r="E68" i="46"/>
  <c r="F68" i="46"/>
  <c r="G68" i="46"/>
  <c r="H68" i="46"/>
  <c r="I68" i="46"/>
  <c r="J68" i="46"/>
  <c r="L68" i="46"/>
  <c r="M68" i="46"/>
  <c r="N68" i="46"/>
  <c r="O68" i="46"/>
  <c r="P68" i="46"/>
  <c r="Q68" i="46"/>
  <c r="R68" i="46"/>
  <c r="S68" i="46"/>
  <c r="A69" i="46"/>
  <c r="C69" i="46"/>
  <c r="D69" i="46"/>
  <c r="E69" i="46"/>
  <c r="F69" i="46"/>
  <c r="G69" i="46"/>
  <c r="H69" i="46"/>
  <c r="I69" i="46"/>
  <c r="J69" i="46"/>
  <c r="L69" i="46"/>
  <c r="M69" i="46"/>
  <c r="N69" i="46"/>
  <c r="O69" i="46"/>
  <c r="P69" i="46"/>
  <c r="Q69" i="46"/>
  <c r="R69" i="46"/>
  <c r="S69" i="46"/>
  <c r="A70" i="46"/>
  <c r="C70" i="46"/>
  <c r="D70" i="46"/>
  <c r="E70" i="46"/>
  <c r="F70" i="46"/>
  <c r="G70" i="46"/>
  <c r="H70" i="46"/>
  <c r="I70" i="46"/>
  <c r="J70" i="46"/>
  <c r="L70" i="46"/>
  <c r="M70" i="46"/>
  <c r="N70" i="46"/>
  <c r="O70" i="46"/>
  <c r="P70" i="46"/>
  <c r="Q70" i="46"/>
  <c r="R70" i="46"/>
  <c r="S70" i="46"/>
  <c r="A71" i="46"/>
  <c r="C71" i="46"/>
  <c r="D71" i="46"/>
  <c r="E71" i="46"/>
  <c r="F71" i="46"/>
  <c r="G71" i="46"/>
  <c r="H71" i="46"/>
  <c r="I71" i="46"/>
  <c r="J71" i="46"/>
  <c r="L71" i="46"/>
  <c r="M71" i="46"/>
  <c r="N71" i="46"/>
  <c r="O71" i="46"/>
  <c r="P71" i="46"/>
  <c r="Q71" i="46"/>
  <c r="R71" i="46"/>
  <c r="S71" i="46"/>
  <c r="A72" i="46"/>
  <c r="C72" i="46"/>
  <c r="D72" i="46"/>
  <c r="E72" i="46"/>
  <c r="F72" i="46"/>
  <c r="G72" i="46"/>
  <c r="H72" i="46"/>
  <c r="I72" i="46"/>
  <c r="J72" i="46"/>
  <c r="L72" i="46"/>
  <c r="M72" i="46"/>
  <c r="N72" i="46"/>
  <c r="O72" i="46"/>
  <c r="P72" i="46"/>
  <c r="Q72" i="46"/>
  <c r="R72" i="46"/>
  <c r="S72" i="46"/>
  <c r="A73" i="46"/>
  <c r="C73" i="46"/>
  <c r="D73" i="46"/>
  <c r="E73" i="46"/>
  <c r="F73" i="46"/>
  <c r="G73" i="46"/>
  <c r="H73" i="46"/>
  <c r="I73" i="46"/>
  <c r="J73" i="46"/>
  <c r="L73" i="46"/>
  <c r="M73" i="46"/>
  <c r="N73" i="46"/>
  <c r="O73" i="46"/>
  <c r="P73" i="46"/>
  <c r="Q73" i="46"/>
  <c r="R73" i="46"/>
  <c r="S73" i="46"/>
  <c r="A74" i="46"/>
  <c r="C74" i="46"/>
  <c r="D74" i="46"/>
  <c r="E74" i="46"/>
  <c r="F74" i="46"/>
  <c r="G74" i="46"/>
  <c r="H74" i="46"/>
  <c r="I74" i="46"/>
  <c r="J74" i="46"/>
  <c r="L74" i="46"/>
  <c r="M74" i="46"/>
  <c r="N74" i="46"/>
  <c r="O74" i="46"/>
  <c r="P74" i="46"/>
  <c r="Q74" i="46"/>
  <c r="R74" i="46"/>
  <c r="S74" i="46"/>
  <c r="A75" i="46"/>
  <c r="C75" i="46"/>
  <c r="D75" i="46"/>
  <c r="E75" i="46"/>
  <c r="F75" i="46"/>
  <c r="G75" i="46"/>
  <c r="H75" i="46"/>
  <c r="I75" i="46"/>
  <c r="J75" i="46"/>
  <c r="L75" i="46"/>
  <c r="M75" i="46"/>
  <c r="N75" i="46"/>
  <c r="O75" i="46"/>
  <c r="P75" i="46"/>
  <c r="Q75" i="46"/>
  <c r="R75" i="46"/>
  <c r="S75" i="46"/>
  <c r="A76" i="46"/>
  <c r="C76" i="46"/>
  <c r="D76" i="46"/>
  <c r="E76" i="46"/>
  <c r="F76" i="46"/>
  <c r="G76" i="46"/>
  <c r="H76" i="46"/>
  <c r="I76" i="46"/>
  <c r="J76" i="46"/>
  <c r="L76" i="46"/>
  <c r="M76" i="46"/>
  <c r="N76" i="46"/>
  <c r="O76" i="46"/>
  <c r="P76" i="46"/>
  <c r="Q76" i="46"/>
  <c r="R76" i="46"/>
  <c r="S76" i="46"/>
  <c r="A77" i="46"/>
  <c r="C77" i="46"/>
  <c r="D77" i="46"/>
  <c r="E77" i="46"/>
  <c r="F77" i="46"/>
  <c r="G77" i="46"/>
  <c r="H77" i="46"/>
  <c r="I77" i="46"/>
  <c r="J77" i="46"/>
  <c r="L77" i="46"/>
  <c r="M77" i="46"/>
  <c r="N77" i="46"/>
  <c r="O77" i="46"/>
  <c r="P77" i="46"/>
  <c r="Q77" i="46"/>
  <c r="R77" i="46"/>
  <c r="S77" i="46"/>
  <c r="A78" i="46"/>
  <c r="C78" i="46"/>
  <c r="D78" i="46"/>
  <c r="E78" i="46"/>
  <c r="F78" i="46"/>
  <c r="G78" i="46"/>
  <c r="H78" i="46"/>
  <c r="I78" i="46"/>
  <c r="J78" i="46"/>
  <c r="L78" i="46"/>
  <c r="M78" i="46"/>
  <c r="N78" i="46"/>
  <c r="O78" i="46"/>
  <c r="P78" i="46"/>
  <c r="Q78" i="46"/>
  <c r="R78" i="46"/>
  <c r="S78" i="46"/>
  <c r="A79" i="46"/>
  <c r="C79" i="46"/>
  <c r="D79" i="46"/>
  <c r="E79" i="46"/>
  <c r="F79" i="46"/>
  <c r="G79" i="46"/>
  <c r="H79" i="46"/>
  <c r="I79" i="46"/>
  <c r="J79" i="46"/>
  <c r="L79" i="46"/>
  <c r="M79" i="46"/>
  <c r="N79" i="46"/>
  <c r="O79" i="46"/>
  <c r="P79" i="46"/>
  <c r="Q79" i="46"/>
  <c r="R79" i="46"/>
  <c r="S79" i="46"/>
  <c r="A80" i="46"/>
  <c r="C80" i="46"/>
  <c r="D80" i="46"/>
  <c r="E80" i="46"/>
  <c r="F80" i="46"/>
  <c r="G80" i="46"/>
  <c r="H80" i="46"/>
  <c r="I80" i="46"/>
  <c r="J80" i="46"/>
  <c r="L80" i="46"/>
  <c r="M80" i="46"/>
  <c r="N80" i="46"/>
  <c r="O80" i="46"/>
  <c r="P80" i="46"/>
  <c r="Q80" i="46"/>
  <c r="R80" i="46"/>
  <c r="S80" i="46"/>
  <c r="A81" i="46"/>
  <c r="C81" i="46"/>
  <c r="D81" i="46"/>
  <c r="E81" i="46"/>
  <c r="F81" i="46"/>
  <c r="G81" i="46"/>
  <c r="H81" i="46"/>
  <c r="I81" i="46"/>
  <c r="J81" i="46"/>
  <c r="L81" i="46"/>
  <c r="M81" i="46"/>
  <c r="N81" i="46"/>
  <c r="O81" i="46"/>
  <c r="P81" i="46"/>
  <c r="Q81" i="46"/>
  <c r="R81" i="46"/>
  <c r="S81" i="46"/>
  <c r="A82" i="46"/>
  <c r="C82" i="46"/>
  <c r="D82" i="46"/>
  <c r="E82" i="46"/>
  <c r="F82" i="46"/>
  <c r="G82" i="46"/>
  <c r="H82" i="46"/>
  <c r="I82" i="46"/>
  <c r="J82" i="46"/>
  <c r="L82" i="46"/>
  <c r="M82" i="46"/>
  <c r="N82" i="46"/>
  <c r="O82" i="46"/>
  <c r="P82" i="46"/>
  <c r="Q82" i="46"/>
  <c r="R82" i="46"/>
  <c r="S82" i="46"/>
  <c r="A83" i="46"/>
  <c r="C83" i="46"/>
  <c r="D83" i="46"/>
  <c r="E83" i="46"/>
  <c r="F83" i="46"/>
  <c r="G83" i="46"/>
  <c r="H83" i="46"/>
  <c r="I83" i="46"/>
  <c r="J83" i="46"/>
  <c r="L83" i="46"/>
  <c r="M83" i="46"/>
  <c r="N83" i="46"/>
  <c r="O83" i="46"/>
  <c r="P83" i="46"/>
  <c r="Q83" i="46"/>
  <c r="R83" i="46"/>
  <c r="S83" i="46"/>
  <c r="A84" i="46"/>
  <c r="C84" i="46"/>
  <c r="D84" i="46"/>
  <c r="E84" i="46"/>
  <c r="F84" i="46"/>
  <c r="G84" i="46"/>
  <c r="H84" i="46"/>
  <c r="I84" i="46"/>
  <c r="J84" i="46"/>
  <c r="L84" i="46"/>
  <c r="M84" i="46"/>
  <c r="N84" i="46"/>
  <c r="O84" i="46"/>
  <c r="P84" i="46"/>
  <c r="Q84" i="46"/>
  <c r="R84" i="46"/>
  <c r="S84" i="46"/>
  <c r="A85" i="46"/>
  <c r="C85" i="46"/>
  <c r="D85" i="46"/>
  <c r="E85" i="46"/>
  <c r="F85" i="46"/>
  <c r="G85" i="46"/>
  <c r="H85" i="46"/>
  <c r="I85" i="46"/>
  <c r="J85" i="46"/>
  <c r="L85" i="46"/>
  <c r="M85" i="46"/>
  <c r="N85" i="46"/>
  <c r="O85" i="46"/>
  <c r="P85" i="46"/>
  <c r="Q85" i="46"/>
  <c r="R85" i="46"/>
  <c r="S85" i="46"/>
  <c r="A86" i="46"/>
  <c r="C86" i="46"/>
  <c r="D86" i="46"/>
  <c r="E86" i="46"/>
  <c r="F86" i="46"/>
  <c r="G86" i="46"/>
  <c r="H86" i="46"/>
  <c r="I86" i="46"/>
  <c r="J86" i="46"/>
  <c r="L86" i="46"/>
  <c r="M86" i="46"/>
  <c r="N86" i="46"/>
  <c r="O86" i="46"/>
  <c r="P86" i="46"/>
  <c r="Q86" i="46"/>
  <c r="R86" i="46"/>
  <c r="S86" i="46"/>
  <c r="A87" i="46"/>
  <c r="C87" i="46"/>
  <c r="D87" i="46"/>
  <c r="E87" i="46"/>
  <c r="F87" i="46"/>
  <c r="G87" i="46"/>
  <c r="H87" i="46"/>
  <c r="I87" i="46"/>
  <c r="J87" i="46"/>
  <c r="L87" i="46"/>
  <c r="M87" i="46"/>
  <c r="N87" i="46"/>
  <c r="O87" i="46"/>
  <c r="P87" i="46"/>
  <c r="Q87" i="46"/>
  <c r="R87" i="46"/>
  <c r="S87" i="46"/>
  <c r="A88" i="46"/>
  <c r="C88" i="46"/>
  <c r="D88" i="46"/>
  <c r="E88" i="46"/>
  <c r="F88" i="46"/>
  <c r="G88" i="46"/>
  <c r="H88" i="46"/>
  <c r="I88" i="46"/>
  <c r="J88" i="46"/>
  <c r="L88" i="46"/>
  <c r="M88" i="46"/>
  <c r="N88" i="46"/>
  <c r="O88" i="46"/>
  <c r="P88" i="46"/>
  <c r="Q88" i="46"/>
  <c r="R88" i="46"/>
  <c r="S88" i="46"/>
  <c r="A89" i="46"/>
  <c r="C89" i="46"/>
  <c r="D89" i="46"/>
  <c r="E89" i="46"/>
  <c r="F89" i="46"/>
  <c r="G89" i="46"/>
  <c r="H89" i="46"/>
  <c r="I89" i="46"/>
  <c r="J89" i="46"/>
  <c r="L89" i="46"/>
  <c r="M89" i="46"/>
  <c r="N89" i="46"/>
  <c r="O89" i="46"/>
  <c r="P89" i="46"/>
  <c r="Q89" i="46"/>
  <c r="R89" i="46"/>
  <c r="S89" i="46"/>
  <c r="A90" i="46"/>
  <c r="C90" i="46"/>
  <c r="D90" i="46"/>
  <c r="E90" i="46"/>
  <c r="F90" i="46"/>
  <c r="G90" i="46"/>
  <c r="H90" i="46"/>
  <c r="I90" i="46"/>
  <c r="J90" i="46"/>
  <c r="L90" i="46"/>
  <c r="M90" i="46"/>
  <c r="N90" i="46"/>
  <c r="O90" i="46"/>
  <c r="P90" i="46"/>
  <c r="Q90" i="46"/>
  <c r="R90" i="46"/>
  <c r="S90" i="46"/>
  <c r="A91" i="46"/>
  <c r="C91" i="46"/>
  <c r="D91" i="46"/>
  <c r="E91" i="46"/>
  <c r="F91" i="46"/>
  <c r="G91" i="46"/>
  <c r="H91" i="46"/>
  <c r="I91" i="46"/>
  <c r="J91" i="46"/>
  <c r="L91" i="46"/>
  <c r="M91" i="46"/>
  <c r="N91" i="46"/>
  <c r="O91" i="46"/>
  <c r="P91" i="46"/>
  <c r="Q91" i="46"/>
  <c r="R91" i="46"/>
  <c r="S91" i="46"/>
  <c r="A92" i="46"/>
  <c r="C92" i="46"/>
  <c r="D92" i="46"/>
  <c r="E92" i="46"/>
  <c r="F92" i="46"/>
  <c r="G92" i="46"/>
  <c r="H92" i="46"/>
  <c r="I92" i="46"/>
  <c r="J92" i="46"/>
  <c r="L92" i="46"/>
  <c r="M92" i="46"/>
  <c r="N92" i="46"/>
  <c r="O92" i="46"/>
  <c r="P92" i="46"/>
  <c r="Q92" i="46"/>
  <c r="R92" i="46"/>
  <c r="S92" i="46"/>
  <c r="A93" i="46"/>
  <c r="C93" i="46"/>
  <c r="D93" i="46"/>
  <c r="E93" i="46"/>
  <c r="F93" i="46"/>
  <c r="G93" i="46"/>
  <c r="H93" i="46"/>
  <c r="I93" i="46"/>
  <c r="J93" i="46"/>
  <c r="L93" i="46"/>
  <c r="M93" i="46"/>
  <c r="N93" i="46"/>
  <c r="O93" i="46"/>
  <c r="P93" i="46"/>
  <c r="Q93" i="46"/>
  <c r="R93" i="46"/>
  <c r="S93" i="46"/>
  <c r="A94" i="46"/>
  <c r="C94" i="46"/>
  <c r="D94" i="46"/>
  <c r="E94" i="46"/>
  <c r="F94" i="46"/>
  <c r="G94" i="46"/>
  <c r="H94" i="46"/>
  <c r="I94" i="46"/>
  <c r="J94" i="46"/>
  <c r="L94" i="46"/>
  <c r="M94" i="46"/>
  <c r="N94" i="46"/>
  <c r="O94" i="46"/>
  <c r="P94" i="46"/>
  <c r="Q94" i="46"/>
  <c r="R94" i="46"/>
  <c r="S94" i="46"/>
  <c r="A95" i="46"/>
  <c r="C95" i="46"/>
  <c r="D95" i="46"/>
  <c r="E95" i="46"/>
  <c r="F95" i="46"/>
  <c r="G95" i="46"/>
  <c r="H95" i="46"/>
  <c r="I95" i="46"/>
  <c r="J95" i="46"/>
  <c r="L95" i="46"/>
  <c r="M95" i="46"/>
  <c r="N95" i="46"/>
  <c r="O95" i="46"/>
  <c r="P95" i="46"/>
  <c r="Q95" i="46"/>
  <c r="R95" i="46"/>
  <c r="S95" i="46"/>
  <c r="A96" i="46"/>
  <c r="C96" i="46"/>
  <c r="D96" i="46"/>
  <c r="E96" i="46"/>
  <c r="F96" i="46"/>
  <c r="G96" i="46"/>
  <c r="H96" i="46"/>
  <c r="I96" i="46"/>
  <c r="J96" i="46"/>
  <c r="L96" i="46"/>
  <c r="M96" i="46"/>
  <c r="N96" i="46"/>
  <c r="O96" i="46"/>
  <c r="P96" i="46"/>
  <c r="Q96" i="46"/>
  <c r="R96" i="46"/>
  <c r="S96" i="46"/>
  <c r="A97" i="46"/>
  <c r="C97" i="46"/>
  <c r="D97" i="46"/>
  <c r="E97" i="46"/>
  <c r="F97" i="46"/>
  <c r="G97" i="46"/>
  <c r="H97" i="46"/>
  <c r="I97" i="46"/>
  <c r="J97" i="46"/>
  <c r="L97" i="46"/>
  <c r="M97" i="46"/>
  <c r="N97" i="46"/>
  <c r="O97" i="46"/>
  <c r="P97" i="46"/>
  <c r="Q97" i="46"/>
  <c r="R97" i="46"/>
  <c r="S97" i="46"/>
  <c r="A98" i="46"/>
  <c r="C98" i="46"/>
  <c r="D98" i="46"/>
  <c r="E98" i="46"/>
  <c r="F98" i="46"/>
  <c r="G98" i="46"/>
  <c r="H98" i="46"/>
  <c r="I98" i="46"/>
  <c r="J98" i="46"/>
  <c r="L98" i="46"/>
  <c r="M98" i="46"/>
  <c r="N98" i="46"/>
  <c r="O98" i="46"/>
  <c r="P98" i="46"/>
  <c r="Q98" i="46"/>
  <c r="R98" i="46"/>
  <c r="S98" i="46"/>
  <c r="A99" i="46"/>
  <c r="C99" i="46"/>
  <c r="D99" i="46"/>
  <c r="E99" i="46"/>
  <c r="F99" i="46"/>
  <c r="G99" i="46"/>
  <c r="H99" i="46"/>
  <c r="I99" i="46"/>
  <c r="J99" i="46"/>
  <c r="L99" i="46"/>
  <c r="M99" i="46"/>
  <c r="N99" i="46"/>
  <c r="O99" i="46"/>
  <c r="P99" i="46"/>
  <c r="Q99" i="46"/>
  <c r="R99" i="46"/>
  <c r="S99" i="46"/>
  <c r="A100" i="46"/>
  <c r="C100" i="46"/>
  <c r="D100" i="46"/>
  <c r="E100" i="46"/>
  <c r="F100" i="46"/>
  <c r="G100" i="46"/>
  <c r="H100" i="46"/>
  <c r="I100" i="46"/>
  <c r="J100" i="46"/>
  <c r="L100" i="46"/>
  <c r="M100" i="46"/>
  <c r="N100" i="46"/>
  <c r="O100" i="46"/>
  <c r="P100" i="46"/>
  <c r="Q100" i="46"/>
  <c r="R100" i="46"/>
  <c r="S100" i="46"/>
  <c r="A101" i="46"/>
  <c r="C101" i="46"/>
  <c r="D101" i="46"/>
  <c r="E101" i="46"/>
  <c r="F101" i="46"/>
  <c r="G101" i="46"/>
  <c r="H101" i="46"/>
  <c r="I101" i="46"/>
  <c r="J101" i="46"/>
  <c r="L101" i="46"/>
  <c r="M101" i="46"/>
  <c r="N101" i="46"/>
  <c r="O101" i="46"/>
  <c r="P101" i="46"/>
  <c r="Q101" i="46"/>
  <c r="R101" i="46"/>
  <c r="S101" i="46"/>
  <c r="A102" i="46"/>
  <c r="C102" i="46"/>
  <c r="D102" i="46"/>
  <c r="E102" i="46"/>
  <c r="F102" i="46"/>
  <c r="G102" i="46"/>
  <c r="H102" i="46"/>
  <c r="I102" i="46"/>
  <c r="J102" i="46"/>
  <c r="L102" i="46"/>
  <c r="M102" i="46"/>
  <c r="N102" i="46"/>
  <c r="O102" i="46"/>
  <c r="P102" i="46"/>
  <c r="Q102" i="46"/>
  <c r="R102" i="46"/>
  <c r="S102" i="46"/>
  <c r="A103" i="46"/>
  <c r="C103" i="46"/>
  <c r="D103" i="46"/>
  <c r="E103" i="46"/>
  <c r="F103" i="46"/>
  <c r="G103" i="46"/>
  <c r="H103" i="46"/>
  <c r="I103" i="46"/>
  <c r="J103" i="46"/>
  <c r="L103" i="46"/>
  <c r="M103" i="46"/>
  <c r="N103" i="46"/>
  <c r="O103" i="46"/>
  <c r="P103" i="46"/>
  <c r="Q103" i="46"/>
  <c r="R103" i="46"/>
  <c r="S103" i="46"/>
  <c r="A104" i="46"/>
  <c r="C104" i="46"/>
  <c r="D104" i="46"/>
  <c r="E104" i="46"/>
  <c r="F104" i="46"/>
  <c r="G104" i="46"/>
  <c r="H104" i="46"/>
  <c r="I104" i="46"/>
  <c r="J104" i="46"/>
  <c r="L104" i="46"/>
  <c r="M104" i="46"/>
  <c r="N104" i="46"/>
  <c r="O104" i="46"/>
  <c r="P104" i="46"/>
  <c r="Q104" i="46"/>
  <c r="R104" i="46"/>
  <c r="S104" i="46"/>
  <c r="A105" i="46"/>
  <c r="C105" i="46"/>
  <c r="D105" i="46"/>
  <c r="E105" i="46"/>
  <c r="F105" i="46"/>
  <c r="G105" i="46"/>
  <c r="H105" i="46"/>
  <c r="I105" i="46"/>
  <c r="J105" i="46"/>
  <c r="L105" i="46"/>
  <c r="M105" i="46"/>
  <c r="N105" i="46"/>
  <c r="O105" i="46"/>
  <c r="P105" i="46"/>
  <c r="Q105" i="46"/>
  <c r="R105" i="46"/>
  <c r="S105" i="46"/>
  <c r="A106" i="46"/>
  <c r="C106" i="46"/>
  <c r="D106" i="46"/>
  <c r="E106" i="46"/>
  <c r="F106" i="46"/>
  <c r="G106" i="46"/>
  <c r="H106" i="46"/>
  <c r="I106" i="46"/>
  <c r="J106" i="46"/>
  <c r="L106" i="46"/>
  <c r="M106" i="46"/>
  <c r="N106" i="46"/>
  <c r="O106" i="46"/>
  <c r="P106" i="46"/>
  <c r="Q106" i="46"/>
  <c r="R106" i="46"/>
  <c r="S106" i="46"/>
  <c r="A107" i="46"/>
  <c r="C107" i="46"/>
  <c r="D107" i="46"/>
  <c r="E107" i="46"/>
  <c r="F107" i="46"/>
  <c r="G107" i="46"/>
  <c r="H107" i="46"/>
  <c r="I107" i="46"/>
  <c r="J107" i="46"/>
  <c r="L107" i="46"/>
  <c r="M107" i="46"/>
  <c r="N107" i="46"/>
  <c r="O107" i="46"/>
  <c r="P107" i="46"/>
  <c r="Q107" i="46"/>
  <c r="R107" i="46"/>
  <c r="S107" i="46"/>
  <c r="A108" i="46"/>
  <c r="C108" i="46"/>
  <c r="D108" i="46"/>
  <c r="E108" i="46"/>
  <c r="F108" i="46"/>
  <c r="G108" i="46"/>
  <c r="H108" i="46"/>
  <c r="I108" i="46"/>
  <c r="J108" i="46"/>
  <c r="L108" i="46"/>
  <c r="M108" i="46"/>
  <c r="N108" i="46"/>
  <c r="O108" i="46"/>
  <c r="P108" i="46"/>
  <c r="Q108" i="46"/>
  <c r="R108" i="46"/>
  <c r="S108" i="46"/>
  <c r="A109" i="46"/>
  <c r="C109" i="46"/>
  <c r="D109" i="46"/>
  <c r="E109" i="46"/>
  <c r="F109" i="46"/>
  <c r="G109" i="46"/>
  <c r="H109" i="46"/>
  <c r="I109" i="46"/>
  <c r="J109" i="46"/>
  <c r="L109" i="46"/>
  <c r="M109" i="46"/>
  <c r="N109" i="46"/>
  <c r="O109" i="46"/>
  <c r="P109" i="46"/>
  <c r="Q109" i="46"/>
  <c r="R109" i="46"/>
  <c r="S109" i="46"/>
  <c r="A110" i="46"/>
  <c r="C110" i="46"/>
  <c r="D110" i="46"/>
  <c r="E110" i="46"/>
  <c r="F110" i="46"/>
  <c r="G110" i="46"/>
  <c r="H110" i="46"/>
  <c r="I110" i="46"/>
  <c r="J110" i="46"/>
  <c r="L110" i="46"/>
  <c r="M110" i="46"/>
  <c r="N110" i="46"/>
  <c r="O110" i="46"/>
  <c r="P110" i="46"/>
  <c r="Q110" i="46"/>
  <c r="R110" i="46"/>
  <c r="S110" i="46"/>
  <c r="A111" i="46"/>
  <c r="C111" i="46"/>
  <c r="D111" i="46"/>
  <c r="E111" i="46"/>
  <c r="F111" i="46"/>
  <c r="G111" i="46"/>
  <c r="H111" i="46"/>
  <c r="I111" i="46"/>
  <c r="J111" i="46"/>
  <c r="L111" i="46"/>
  <c r="M111" i="46"/>
  <c r="N111" i="46"/>
  <c r="O111" i="46"/>
  <c r="P111" i="46"/>
  <c r="Q111" i="46"/>
  <c r="R111" i="46"/>
  <c r="S111" i="46"/>
  <c r="A112" i="46"/>
  <c r="C112" i="46"/>
  <c r="D112" i="46"/>
  <c r="E112" i="46"/>
  <c r="F112" i="46"/>
  <c r="G112" i="46"/>
  <c r="H112" i="46"/>
  <c r="I112" i="46"/>
  <c r="J112" i="46"/>
  <c r="L112" i="46"/>
  <c r="M112" i="46"/>
  <c r="N112" i="46"/>
  <c r="O112" i="46"/>
  <c r="P112" i="46"/>
  <c r="Q112" i="46"/>
  <c r="R112" i="46"/>
  <c r="S112" i="46"/>
  <c r="A113" i="46"/>
  <c r="C113" i="46"/>
  <c r="D113" i="46"/>
  <c r="E113" i="46"/>
  <c r="F113" i="46"/>
  <c r="G113" i="46"/>
  <c r="H113" i="46"/>
  <c r="I113" i="46"/>
  <c r="J113" i="46"/>
  <c r="L113" i="46"/>
  <c r="M113" i="46"/>
  <c r="N113" i="46"/>
  <c r="O113" i="46"/>
  <c r="P113" i="46"/>
  <c r="Q113" i="46"/>
  <c r="R113" i="46"/>
  <c r="S113" i="46"/>
  <c r="A114" i="46"/>
  <c r="C114" i="46"/>
  <c r="D114" i="46"/>
  <c r="E114" i="46"/>
  <c r="F114" i="46"/>
  <c r="G114" i="46"/>
  <c r="H114" i="46"/>
  <c r="I114" i="46"/>
  <c r="J114" i="46"/>
  <c r="L114" i="46"/>
  <c r="M114" i="46"/>
  <c r="N114" i="46"/>
  <c r="O114" i="46"/>
  <c r="P114" i="46"/>
  <c r="Q114" i="46"/>
  <c r="R114" i="46"/>
  <c r="S114" i="46"/>
  <c r="A115" i="46"/>
  <c r="C115" i="46"/>
  <c r="D115" i="46"/>
  <c r="E115" i="46"/>
  <c r="F115" i="46"/>
  <c r="G115" i="46"/>
  <c r="H115" i="46"/>
  <c r="I115" i="46"/>
  <c r="J115" i="46"/>
  <c r="L115" i="46"/>
  <c r="M115" i="46"/>
  <c r="N115" i="46"/>
  <c r="O115" i="46"/>
  <c r="P115" i="46"/>
  <c r="Q115" i="46"/>
  <c r="R115" i="46"/>
  <c r="S115" i="46"/>
  <c r="A116" i="46"/>
  <c r="C116" i="46"/>
  <c r="D116" i="46"/>
  <c r="E116" i="46"/>
  <c r="F116" i="46"/>
  <c r="G116" i="46"/>
  <c r="H116" i="46"/>
  <c r="I116" i="46"/>
  <c r="J116" i="46"/>
  <c r="L116" i="46"/>
  <c r="M116" i="46"/>
  <c r="N116" i="46"/>
  <c r="O116" i="46"/>
  <c r="P116" i="46"/>
  <c r="Q116" i="46"/>
  <c r="R116" i="46"/>
  <c r="S116" i="46"/>
  <c r="A117" i="46"/>
  <c r="C117" i="46"/>
  <c r="D117" i="46"/>
  <c r="E117" i="46"/>
  <c r="F117" i="46"/>
  <c r="G117" i="46"/>
  <c r="H117" i="46"/>
  <c r="I117" i="46"/>
  <c r="J117" i="46"/>
  <c r="L117" i="46"/>
  <c r="M117" i="46"/>
  <c r="N117" i="46"/>
  <c r="O117" i="46"/>
  <c r="P117" i="46"/>
  <c r="Q117" i="46"/>
  <c r="R117" i="46"/>
  <c r="S117" i="46"/>
  <c r="A118" i="46"/>
  <c r="C118" i="46"/>
  <c r="D118" i="46"/>
  <c r="E118" i="46"/>
  <c r="F118" i="46"/>
  <c r="G118" i="46"/>
  <c r="H118" i="46"/>
  <c r="I118" i="46"/>
  <c r="J118" i="46"/>
  <c r="L118" i="46"/>
  <c r="M118" i="46"/>
  <c r="N118" i="46"/>
  <c r="O118" i="46"/>
  <c r="P118" i="46"/>
  <c r="Q118" i="46"/>
  <c r="R118" i="46"/>
  <c r="S118" i="46"/>
  <c r="A119" i="46"/>
  <c r="C119" i="46"/>
  <c r="D119" i="46"/>
  <c r="E119" i="46"/>
  <c r="F119" i="46"/>
  <c r="G119" i="46"/>
  <c r="H119" i="46"/>
  <c r="I119" i="46"/>
  <c r="J119" i="46"/>
  <c r="L119" i="46"/>
  <c r="M119" i="46"/>
  <c r="N119" i="46"/>
  <c r="O119" i="46"/>
  <c r="P119" i="46"/>
  <c r="Q119" i="46"/>
  <c r="R119" i="46"/>
  <c r="S119" i="46"/>
  <c r="A120" i="46"/>
  <c r="C120" i="46"/>
  <c r="D120" i="46"/>
  <c r="E120" i="46"/>
  <c r="F120" i="46"/>
  <c r="G120" i="46"/>
  <c r="H120" i="46"/>
  <c r="I120" i="46"/>
  <c r="J120" i="46"/>
  <c r="L120" i="46"/>
  <c r="M120" i="46"/>
  <c r="N120" i="46"/>
  <c r="O120" i="46"/>
  <c r="P120" i="46"/>
  <c r="Q120" i="46"/>
  <c r="R120" i="46"/>
  <c r="S120" i="46"/>
  <c r="A121" i="46"/>
  <c r="C121" i="46"/>
  <c r="D121" i="46"/>
  <c r="E121" i="46"/>
  <c r="F121" i="46"/>
  <c r="G121" i="46"/>
  <c r="H121" i="46"/>
  <c r="I121" i="46"/>
  <c r="J121" i="46"/>
  <c r="L121" i="46"/>
  <c r="M121" i="46"/>
  <c r="N121" i="46"/>
  <c r="O121" i="46"/>
  <c r="P121" i="46"/>
  <c r="Q121" i="46"/>
  <c r="R121" i="46"/>
  <c r="S121" i="46"/>
  <c r="A122" i="46"/>
  <c r="C122" i="46"/>
  <c r="D122" i="46"/>
  <c r="E122" i="46"/>
  <c r="F122" i="46"/>
  <c r="G122" i="46"/>
  <c r="H122" i="46"/>
  <c r="I122" i="46"/>
  <c r="J122" i="46"/>
  <c r="L122" i="46"/>
  <c r="M122" i="46"/>
  <c r="N122" i="46"/>
  <c r="O122" i="46"/>
  <c r="P122" i="46"/>
  <c r="Q122" i="46"/>
  <c r="R122" i="46"/>
  <c r="S122" i="46"/>
  <c r="A123" i="46"/>
  <c r="C123" i="46"/>
  <c r="D123" i="46"/>
  <c r="E123" i="46"/>
  <c r="F123" i="46"/>
  <c r="G123" i="46"/>
  <c r="H123" i="46"/>
  <c r="I123" i="46"/>
  <c r="J123" i="46"/>
  <c r="L123" i="46"/>
  <c r="M123" i="46"/>
  <c r="N123" i="46"/>
  <c r="O123" i="46"/>
  <c r="P123" i="46"/>
  <c r="Q123" i="46"/>
  <c r="R123" i="46"/>
  <c r="S123" i="46"/>
  <c r="A124" i="46"/>
  <c r="C124" i="46"/>
  <c r="D124" i="46"/>
  <c r="E124" i="46"/>
  <c r="F124" i="46"/>
  <c r="G124" i="46"/>
  <c r="H124" i="46"/>
  <c r="I124" i="46"/>
  <c r="J124" i="46"/>
  <c r="L124" i="46"/>
  <c r="M124" i="46"/>
  <c r="N124" i="46"/>
  <c r="O124" i="46"/>
  <c r="P124" i="46"/>
  <c r="Q124" i="46"/>
  <c r="R124" i="46"/>
  <c r="S124" i="46"/>
  <c r="A125" i="46"/>
  <c r="C125" i="46"/>
  <c r="D125" i="46"/>
  <c r="E125" i="46"/>
  <c r="F125" i="46"/>
  <c r="G125" i="46"/>
  <c r="H125" i="46"/>
  <c r="I125" i="46"/>
  <c r="J125" i="46"/>
  <c r="L125" i="46"/>
  <c r="M125" i="46"/>
  <c r="N125" i="46"/>
  <c r="O125" i="46"/>
  <c r="P125" i="46"/>
  <c r="Q125" i="46"/>
  <c r="R125" i="46"/>
  <c r="S125" i="46"/>
  <c r="A126" i="46"/>
  <c r="C126" i="46"/>
  <c r="D126" i="46"/>
  <c r="E126" i="46"/>
  <c r="F126" i="46"/>
  <c r="G126" i="46"/>
  <c r="H126" i="46"/>
  <c r="I126" i="46"/>
  <c r="J126" i="46"/>
  <c r="L126" i="46"/>
  <c r="M126" i="46"/>
  <c r="N126" i="46"/>
  <c r="O126" i="46"/>
  <c r="P126" i="46"/>
  <c r="Q126" i="46"/>
  <c r="R126" i="46"/>
  <c r="S126" i="46"/>
  <c r="A127" i="46"/>
  <c r="C127" i="46"/>
  <c r="D127" i="46"/>
  <c r="E127" i="46"/>
  <c r="F127" i="46"/>
  <c r="G127" i="46"/>
  <c r="H127" i="46"/>
  <c r="I127" i="46"/>
  <c r="J127" i="46"/>
  <c r="L127" i="46"/>
  <c r="M127" i="46"/>
  <c r="N127" i="46"/>
  <c r="O127" i="46"/>
  <c r="P127" i="46"/>
  <c r="Q127" i="46"/>
  <c r="R127" i="46"/>
  <c r="S127" i="46"/>
  <c r="A128" i="46"/>
  <c r="C128" i="46"/>
  <c r="D128" i="46"/>
  <c r="E128" i="46"/>
  <c r="F128" i="46"/>
  <c r="G128" i="46"/>
  <c r="H128" i="46"/>
  <c r="I128" i="46"/>
  <c r="J128" i="46"/>
  <c r="L128" i="46"/>
  <c r="M128" i="46"/>
  <c r="N128" i="46"/>
  <c r="O128" i="46"/>
  <c r="P128" i="46"/>
  <c r="Q128" i="46"/>
  <c r="R128" i="46"/>
  <c r="S128" i="46"/>
  <c r="A129" i="46"/>
  <c r="C129" i="46"/>
  <c r="D129" i="46"/>
  <c r="E129" i="46"/>
  <c r="F129" i="46"/>
  <c r="G129" i="46"/>
  <c r="H129" i="46"/>
  <c r="I129" i="46"/>
  <c r="J129" i="46"/>
  <c r="L129" i="46"/>
  <c r="M129" i="46"/>
  <c r="N129" i="46"/>
  <c r="O129" i="46"/>
  <c r="P129" i="46"/>
  <c r="Q129" i="46"/>
  <c r="R129" i="46"/>
  <c r="S129" i="46"/>
  <c r="A130" i="46"/>
  <c r="C130" i="46"/>
  <c r="D130" i="46"/>
  <c r="E130" i="46"/>
  <c r="F130" i="46"/>
  <c r="G130" i="46"/>
  <c r="H130" i="46"/>
  <c r="I130" i="46"/>
  <c r="J130" i="46"/>
  <c r="L130" i="46"/>
  <c r="M130" i="46"/>
  <c r="N130" i="46"/>
  <c r="O130" i="46"/>
  <c r="P130" i="46"/>
  <c r="Q130" i="46"/>
  <c r="R130" i="46"/>
  <c r="S130" i="46"/>
  <c r="A131" i="46"/>
  <c r="C131" i="46"/>
  <c r="D131" i="46"/>
  <c r="E131" i="46"/>
  <c r="F131" i="46"/>
  <c r="G131" i="46"/>
  <c r="H131" i="46"/>
  <c r="I131" i="46"/>
  <c r="J131" i="46"/>
  <c r="L131" i="46"/>
  <c r="M131" i="46"/>
  <c r="N131" i="46"/>
  <c r="O131" i="46"/>
  <c r="P131" i="46"/>
  <c r="Q131" i="46"/>
  <c r="R131" i="46"/>
  <c r="S131" i="46"/>
  <c r="A132" i="46"/>
  <c r="C132" i="46"/>
  <c r="D132" i="46"/>
  <c r="E132" i="46"/>
  <c r="F132" i="46"/>
  <c r="G132" i="46"/>
  <c r="H132" i="46"/>
  <c r="I132" i="46"/>
  <c r="J132" i="46"/>
  <c r="L132" i="46"/>
  <c r="M132" i="46"/>
  <c r="N132" i="46"/>
  <c r="O132" i="46"/>
  <c r="P132" i="46"/>
  <c r="Q132" i="46"/>
  <c r="R132" i="46"/>
  <c r="S132" i="46"/>
  <c r="A133" i="46"/>
  <c r="C133" i="46"/>
  <c r="D133" i="46"/>
  <c r="E133" i="46"/>
  <c r="F133" i="46"/>
  <c r="G133" i="46"/>
  <c r="H133" i="46"/>
  <c r="I133" i="46"/>
  <c r="J133" i="46"/>
  <c r="L133" i="46"/>
  <c r="M133" i="46"/>
  <c r="N133" i="46"/>
  <c r="O133" i="46"/>
  <c r="P133" i="46"/>
  <c r="Q133" i="46"/>
  <c r="R133" i="46"/>
  <c r="S133" i="46"/>
  <c r="A134" i="46"/>
  <c r="C134" i="46"/>
  <c r="D134" i="46"/>
  <c r="E134" i="46"/>
  <c r="F134" i="46"/>
  <c r="G134" i="46"/>
  <c r="H134" i="46"/>
  <c r="I134" i="46"/>
  <c r="J134" i="46"/>
  <c r="L134" i="46"/>
  <c r="M134" i="46"/>
  <c r="N134" i="46"/>
  <c r="O134" i="46"/>
  <c r="P134" i="46"/>
  <c r="Q134" i="46"/>
  <c r="R134" i="46"/>
  <c r="S134" i="46"/>
  <c r="A135" i="46"/>
  <c r="C135" i="46"/>
  <c r="D135" i="46"/>
  <c r="E135" i="46"/>
  <c r="F135" i="46"/>
  <c r="G135" i="46"/>
  <c r="H135" i="46"/>
  <c r="I135" i="46"/>
  <c r="J135" i="46"/>
  <c r="L135" i="46"/>
  <c r="M135" i="46"/>
  <c r="N135" i="46"/>
  <c r="O135" i="46"/>
  <c r="P135" i="46"/>
  <c r="Q135" i="46"/>
  <c r="R135" i="46"/>
  <c r="S135" i="46"/>
  <c r="A136" i="46"/>
  <c r="C136" i="46"/>
  <c r="D136" i="46"/>
  <c r="E136" i="46"/>
  <c r="F136" i="46"/>
  <c r="G136" i="46"/>
  <c r="H136" i="46"/>
  <c r="I136" i="46"/>
  <c r="J136" i="46"/>
  <c r="L136" i="46"/>
  <c r="M136" i="46"/>
  <c r="N136" i="46"/>
  <c r="O136" i="46"/>
  <c r="P136" i="46"/>
  <c r="Q136" i="46"/>
  <c r="R136" i="46"/>
  <c r="S136" i="46"/>
  <c r="A137" i="46"/>
  <c r="C137" i="46"/>
  <c r="D137" i="46"/>
  <c r="E137" i="46"/>
  <c r="F137" i="46"/>
  <c r="G137" i="46"/>
  <c r="H137" i="46"/>
  <c r="I137" i="46"/>
  <c r="J137" i="46"/>
  <c r="L137" i="46"/>
  <c r="M137" i="46"/>
  <c r="N137" i="46"/>
  <c r="O137" i="46"/>
  <c r="P137" i="46"/>
  <c r="Q137" i="46"/>
  <c r="R137" i="46"/>
  <c r="S137" i="46"/>
  <c r="A138" i="46"/>
  <c r="C138" i="46"/>
  <c r="D138" i="46"/>
  <c r="E138" i="46"/>
  <c r="F138" i="46"/>
  <c r="G138" i="46"/>
  <c r="H138" i="46"/>
  <c r="I138" i="46"/>
  <c r="J138" i="46"/>
  <c r="L138" i="46"/>
  <c r="M138" i="46"/>
  <c r="N138" i="46"/>
  <c r="O138" i="46"/>
  <c r="P138" i="46"/>
  <c r="Q138" i="46"/>
  <c r="R138" i="46"/>
  <c r="S138" i="46"/>
  <c r="A139" i="46"/>
  <c r="C139" i="46"/>
  <c r="D139" i="46"/>
  <c r="E139" i="46"/>
  <c r="F139" i="46"/>
  <c r="G139" i="46"/>
  <c r="H139" i="46"/>
  <c r="I139" i="46"/>
  <c r="J139" i="46"/>
  <c r="L139" i="46"/>
  <c r="M139" i="46"/>
  <c r="N139" i="46"/>
  <c r="O139" i="46"/>
  <c r="P139" i="46"/>
  <c r="Q139" i="46"/>
  <c r="R139" i="46"/>
  <c r="S139" i="46"/>
  <c r="A140" i="46"/>
  <c r="C140" i="46"/>
  <c r="D140" i="46"/>
  <c r="E140" i="46"/>
  <c r="F140" i="46"/>
  <c r="G140" i="46"/>
  <c r="H140" i="46"/>
  <c r="I140" i="46"/>
  <c r="J140" i="46"/>
  <c r="L140" i="46"/>
  <c r="M140" i="46"/>
  <c r="N140" i="46"/>
  <c r="O140" i="46"/>
  <c r="P140" i="46"/>
  <c r="Q140" i="46"/>
  <c r="R140" i="46"/>
  <c r="S140" i="46"/>
  <c r="A141" i="46"/>
  <c r="C141" i="46"/>
  <c r="D141" i="46"/>
  <c r="E141" i="46"/>
  <c r="F141" i="46"/>
  <c r="G141" i="46"/>
  <c r="H141" i="46"/>
  <c r="I141" i="46"/>
  <c r="J141" i="46"/>
  <c r="L141" i="46"/>
  <c r="M141" i="46"/>
  <c r="N141" i="46"/>
  <c r="O141" i="46"/>
  <c r="P141" i="46"/>
  <c r="Q141" i="46"/>
  <c r="R141" i="46"/>
  <c r="S141" i="46"/>
  <c r="A142" i="46"/>
  <c r="C142" i="46"/>
  <c r="D142" i="46"/>
  <c r="E142" i="46"/>
  <c r="F142" i="46"/>
  <c r="G142" i="46"/>
  <c r="H142" i="46"/>
  <c r="I142" i="46"/>
  <c r="J142" i="46"/>
  <c r="L142" i="46"/>
  <c r="M142" i="46"/>
  <c r="N142" i="46"/>
  <c r="O142" i="46"/>
  <c r="P142" i="46"/>
  <c r="Q142" i="46"/>
  <c r="R142" i="46"/>
  <c r="S142" i="46"/>
  <c r="A143" i="46"/>
  <c r="C143" i="46"/>
  <c r="D143" i="46"/>
  <c r="E143" i="46"/>
  <c r="F143" i="46"/>
  <c r="G143" i="46"/>
  <c r="H143" i="46"/>
  <c r="I143" i="46"/>
  <c r="J143" i="46"/>
  <c r="L143" i="46"/>
  <c r="M143" i="46"/>
  <c r="N143" i="46"/>
  <c r="O143" i="46"/>
  <c r="P143" i="46"/>
  <c r="Q143" i="46"/>
  <c r="R143" i="46"/>
  <c r="S143" i="46"/>
  <c r="A144" i="46"/>
  <c r="C144" i="46"/>
  <c r="D144" i="46"/>
  <c r="E144" i="46"/>
  <c r="F144" i="46"/>
  <c r="G144" i="46"/>
  <c r="H144" i="46"/>
  <c r="I144" i="46"/>
  <c r="J144" i="46"/>
  <c r="L144" i="46"/>
  <c r="M144" i="46"/>
  <c r="N144" i="46"/>
  <c r="O144" i="46"/>
  <c r="P144" i="46"/>
  <c r="Q144" i="46"/>
  <c r="R144" i="46"/>
  <c r="S144" i="46"/>
  <c r="A145" i="46"/>
  <c r="C145" i="46"/>
  <c r="D145" i="46"/>
  <c r="E145" i="46"/>
  <c r="F145" i="46"/>
  <c r="G145" i="46"/>
  <c r="H145" i="46"/>
  <c r="I145" i="46"/>
  <c r="J145" i="46"/>
  <c r="L145" i="46"/>
  <c r="M145" i="46"/>
  <c r="N145" i="46"/>
  <c r="O145" i="46"/>
  <c r="P145" i="46"/>
  <c r="Q145" i="46"/>
  <c r="R145" i="46"/>
  <c r="S145" i="46"/>
  <c r="A146" i="46"/>
  <c r="C146" i="46"/>
  <c r="D146" i="46"/>
  <c r="E146" i="46"/>
  <c r="F146" i="46"/>
  <c r="G146" i="46"/>
  <c r="H146" i="46"/>
  <c r="I146" i="46"/>
  <c r="J146" i="46"/>
  <c r="L146" i="46"/>
  <c r="M146" i="46"/>
  <c r="N146" i="46"/>
  <c r="O146" i="46"/>
  <c r="P146" i="46"/>
  <c r="Q146" i="46"/>
  <c r="R146" i="46"/>
  <c r="S146" i="46"/>
  <c r="A147" i="46"/>
  <c r="C147" i="46"/>
  <c r="D147" i="46"/>
  <c r="E147" i="46"/>
  <c r="F147" i="46"/>
  <c r="G147" i="46"/>
  <c r="H147" i="46"/>
  <c r="I147" i="46"/>
  <c r="J147" i="46"/>
  <c r="L147" i="46"/>
  <c r="M147" i="46"/>
  <c r="N147" i="46"/>
  <c r="O147" i="46"/>
  <c r="P147" i="46"/>
  <c r="Q147" i="46"/>
  <c r="R147" i="46"/>
  <c r="S147" i="46"/>
  <c r="A148" i="46"/>
  <c r="C148" i="46"/>
  <c r="D148" i="46"/>
  <c r="E148" i="46"/>
  <c r="F148" i="46"/>
  <c r="G148" i="46"/>
  <c r="H148" i="46"/>
  <c r="I148" i="46"/>
  <c r="J148" i="46"/>
  <c r="L148" i="46"/>
  <c r="M148" i="46"/>
  <c r="N148" i="46"/>
  <c r="O148" i="46"/>
  <c r="P148" i="46"/>
  <c r="Q148" i="46"/>
  <c r="R148" i="46"/>
  <c r="S148" i="46"/>
  <c r="A149" i="46"/>
  <c r="C149" i="46"/>
  <c r="D149" i="46"/>
  <c r="E149" i="46"/>
  <c r="F149" i="46"/>
  <c r="G149" i="46"/>
  <c r="H149" i="46"/>
  <c r="I149" i="46"/>
  <c r="J149" i="46"/>
  <c r="L149" i="46"/>
  <c r="M149" i="46"/>
  <c r="N149" i="46"/>
  <c r="O149" i="46"/>
  <c r="P149" i="46"/>
  <c r="Q149" i="46"/>
  <c r="R149" i="46"/>
  <c r="S149" i="46"/>
  <c r="A150" i="46"/>
  <c r="C150" i="46"/>
  <c r="D150" i="46"/>
  <c r="E150" i="46"/>
  <c r="F150" i="46"/>
  <c r="G150" i="46"/>
  <c r="H150" i="46"/>
  <c r="I150" i="46"/>
  <c r="J150" i="46"/>
  <c r="L150" i="46"/>
  <c r="M150" i="46"/>
  <c r="N150" i="46"/>
  <c r="O150" i="46"/>
  <c r="P150" i="46"/>
  <c r="Q150" i="46"/>
  <c r="R150" i="46"/>
  <c r="S150" i="46"/>
  <c r="A151" i="46"/>
  <c r="C151" i="46"/>
  <c r="D151" i="46"/>
  <c r="E151" i="46"/>
  <c r="F151" i="46"/>
  <c r="G151" i="46"/>
  <c r="H151" i="46"/>
  <c r="I151" i="46"/>
  <c r="J151" i="46"/>
  <c r="L151" i="46"/>
  <c r="M151" i="46"/>
  <c r="N151" i="46"/>
  <c r="O151" i="46"/>
  <c r="P151" i="46"/>
  <c r="Q151" i="46"/>
  <c r="R151" i="46"/>
  <c r="S151" i="46"/>
  <c r="A152" i="46"/>
  <c r="C152" i="46"/>
  <c r="D152" i="46"/>
  <c r="E152" i="46"/>
  <c r="F152" i="46"/>
  <c r="G152" i="46"/>
  <c r="H152" i="46"/>
  <c r="I152" i="46"/>
  <c r="J152" i="46"/>
  <c r="L152" i="46"/>
  <c r="M152" i="46"/>
  <c r="N152" i="46"/>
  <c r="O152" i="46"/>
  <c r="P152" i="46"/>
  <c r="Q152" i="46"/>
  <c r="R152" i="46"/>
  <c r="S152" i="46"/>
  <c r="A153" i="46"/>
  <c r="C153" i="46"/>
  <c r="D153" i="46"/>
  <c r="E153" i="46"/>
  <c r="F153" i="46"/>
  <c r="G153" i="46"/>
  <c r="H153" i="46"/>
  <c r="I153" i="46"/>
  <c r="J153" i="46"/>
  <c r="L153" i="46"/>
  <c r="M153" i="46"/>
  <c r="N153" i="46"/>
  <c r="O153" i="46"/>
  <c r="P153" i="46"/>
  <c r="Q153" i="46"/>
  <c r="R153" i="46"/>
  <c r="S153" i="46"/>
  <c r="A154" i="46"/>
  <c r="C154" i="46"/>
  <c r="D154" i="46"/>
  <c r="E154" i="46"/>
  <c r="F154" i="46"/>
  <c r="G154" i="46"/>
  <c r="H154" i="46"/>
  <c r="I154" i="46"/>
  <c r="J154" i="46"/>
  <c r="L154" i="46"/>
  <c r="M154" i="46"/>
  <c r="N154" i="46"/>
  <c r="O154" i="46"/>
  <c r="P154" i="46"/>
  <c r="Q154" i="46"/>
  <c r="R154" i="46"/>
  <c r="S154" i="46"/>
  <c r="A155" i="46"/>
  <c r="C155" i="46"/>
  <c r="D155" i="46"/>
  <c r="E155" i="46"/>
  <c r="F155" i="46"/>
  <c r="G155" i="46"/>
  <c r="H155" i="46"/>
  <c r="I155" i="46"/>
  <c r="J155" i="46"/>
  <c r="L155" i="46"/>
  <c r="M155" i="46"/>
  <c r="N155" i="46"/>
  <c r="O155" i="46"/>
  <c r="P155" i="46"/>
  <c r="Q155" i="46"/>
  <c r="R155" i="46"/>
  <c r="S155" i="46"/>
  <c r="A156" i="46"/>
  <c r="C156" i="46"/>
  <c r="D156" i="46"/>
  <c r="E156" i="46"/>
  <c r="F156" i="46"/>
  <c r="G156" i="46"/>
  <c r="H156" i="46"/>
  <c r="I156" i="46"/>
  <c r="J156" i="46"/>
  <c r="L156" i="46"/>
  <c r="M156" i="46"/>
  <c r="N156" i="46"/>
  <c r="O156" i="46"/>
  <c r="P156" i="46"/>
  <c r="Q156" i="46"/>
  <c r="R156" i="46"/>
  <c r="S156" i="46"/>
  <c r="A157" i="46"/>
  <c r="C157" i="46"/>
  <c r="D157" i="46"/>
  <c r="E157" i="46"/>
  <c r="F157" i="46"/>
  <c r="G157" i="46"/>
  <c r="H157" i="46"/>
  <c r="I157" i="46"/>
  <c r="J157" i="46"/>
  <c r="L157" i="46"/>
  <c r="M157" i="46"/>
  <c r="N157" i="46"/>
  <c r="O157" i="46"/>
  <c r="P157" i="46"/>
  <c r="Q157" i="46"/>
  <c r="R157" i="46"/>
  <c r="S157" i="46"/>
  <c r="A158" i="46"/>
  <c r="C158" i="46"/>
  <c r="D158" i="46"/>
  <c r="E158" i="46"/>
  <c r="F158" i="46"/>
  <c r="G158" i="46"/>
  <c r="H158" i="46"/>
  <c r="I158" i="46"/>
  <c r="J158" i="46"/>
  <c r="L158" i="46"/>
  <c r="M158" i="46"/>
  <c r="N158" i="46"/>
  <c r="O158" i="46"/>
  <c r="P158" i="46"/>
  <c r="Q158" i="46"/>
  <c r="R158" i="46"/>
  <c r="S158" i="46"/>
  <c r="A159" i="46"/>
  <c r="C159" i="46"/>
  <c r="D159" i="46"/>
  <c r="E159" i="46"/>
  <c r="F159" i="46"/>
  <c r="G159" i="46"/>
  <c r="H159" i="46"/>
  <c r="I159" i="46"/>
  <c r="J159" i="46"/>
  <c r="L159" i="46"/>
  <c r="M159" i="46"/>
  <c r="N159" i="46"/>
  <c r="O159" i="46"/>
  <c r="P159" i="46"/>
  <c r="Q159" i="46"/>
  <c r="R159" i="46"/>
  <c r="S159" i="46"/>
  <c r="A160" i="46"/>
  <c r="C160" i="46"/>
  <c r="D160" i="46"/>
  <c r="E160" i="46"/>
  <c r="F160" i="46"/>
  <c r="G160" i="46"/>
  <c r="H160" i="46"/>
  <c r="I160" i="46"/>
  <c r="J160" i="46"/>
  <c r="L160" i="46"/>
  <c r="M160" i="46"/>
  <c r="N160" i="46"/>
  <c r="O160" i="46"/>
  <c r="P160" i="46"/>
  <c r="Q160" i="46"/>
  <c r="R160" i="46"/>
  <c r="S160" i="46"/>
  <c r="A161" i="46"/>
  <c r="C161" i="46"/>
  <c r="D161" i="46"/>
  <c r="E161" i="46"/>
  <c r="F161" i="46"/>
  <c r="G161" i="46"/>
  <c r="H161" i="46"/>
  <c r="I161" i="46"/>
  <c r="J161" i="46"/>
  <c r="L161" i="46"/>
  <c r="M161" i="46"/>
  <c r="N161" i="46"/>
  <c r="O161" i="46"/>
  <c r="P161" i="46"/>
  <c r="Q161" i="46"/>
  <c r="R161" i="46"/>
  <c r="S161" i="46"/>
  <c r="A162" i="46"/>
  <c r="C162" i="46"/>
  <c r="D162" i="46"/>
  <c r="E162" i="46"/>
  <c r="F162" i="46"/>
  <c r="G162" i="46"/>
  <c r="H162" i="46"/>
  <c r="I162" i="46"/>
  <c r="J162" i="46"/>
  <c r="L162" i="46"/>
  <c r="M162" i="46"/>
  <c r="N162" i="46"/>
  <c r="O162" i="46"/>
  <c r="P162" i="46"/>
  <c r="Q162" i="46"/>
  <c r="R162" i="46"/>
  <c r="S162" i="46"/>
  <c r="A163" i="46"/>
  <c r="C163" i="46"/>
  <c r="D163" i="46"/>
  <c r="E163" i="46"/>
  <c r="F163" i="46"/>
  <c r="G163" i="46"/>
  <c r="H163" i="46"/>
  <c r="I163" i="46"/>
  <c r="J163" i="46"/>
  <c r="L163" i="46"/>
  <c r="M163" i="46"/>
  <c r="N163" i="46"/>
  <c r="O163" i="46"/>
  <c r="P163" i="46"/>
  <c r="Q163" i="46"/>
  <c r="R163" i="46"/>
  <c r="S163" i="46"/>
  <c r="A164" i="46"/>
  <c r="C164" i="46"/>
  <c r="D164" i="46"/>
  <c r="E164" i="46"/>
  <c r="F164" i="46"/>
  <c r="G164" i="46"/>
  <c r="H164" i="46"/>
  <c r="I164" i="46"/>
  <c r="J164" i="46"/>
  <c r="L164" i="46"/>
  <c r="M164" i="46"/>
  <c r="N164" i="46"/>
  <c r="O164" i="46"/>
  <c r="P164" i="46"/>
  <c r="Q164" i="46"/>
  <c r="R164" i="46"/>
  <c r="S164" i="46"/>
  <c r="A165" i="46"/>
  <c r="C165" i="46"/>
  <c r="D165" i="46"/>
  <c r="E165" i="46"/>
  <c r="F165" i="46"/>
  <c r="G165" i="46"/>
  <c r="H165" i="46"/>
  <c r="I165" i="46"/>
  <c r="J165" i="46"/>
  <c r="L165" i="46"/>
  <c r="M165" i="46"/>
  <c r="N165" i="46"/>
  <c r="O165" i="46"/>
  <c r="P165" i="46"/>
  <c r="Q165" i="46"/>
  <c r="R165" i="46"/>
  <c r="S165" i="46"/>
  <c r="A166" i="46"/>
  <c r="C166" i="46"/>
  <c r="D166" i="46"/>
  <c r="E166" i="46"/>
  <c r="F166" i="46"/>
  <c r="G166" i="46"/>
  <c r="H166" i="46"/>
  <c r="I166" i="46"/>
  <c r="J166" i="46"/>
  <c r="L166" i="46"/>
  <c r="M166" i="46"/>
  <c r="N166" i="46"/>
  <c r="O166" i="46"/>
  <c r="P166" i="46"/>
  <c r="Q166" i="46"/>
  <c r="R166" i="46"/>
  <c r="S166" i="46"/>
  <c r="A167" i="46"/>
  <c r="C167" i="46"/>
  <c r="D167" i="46"/>
  <c r="E167" i="46"/>
  <c r="F167" i="46"/>
  <c r="G167" i="46"/>
  <c r="H167" i="46"/>
  <c r="I167" i="46"/>
  <c r="J167" i="46"/>
  <c r="L167" i="46"/>
  <c r="M167" i="46"/>
  <c r="N167" i="46"/>
  <c r="O167" i="46"/>
  <c r="P167" i="46"/>
  <c r="Q167" i="46"/>
  <c r="R167" i="46"/>
  <c r="S167" i="46"/>
  <c r="A168" i="46"/>
  <c r="C168" i="46"/>
  <c r="D168" i="46"/>
  <c r="E168" i="46"/>
  <c r="F168" i="46"/>
  <c r="G168" i="46"/>
  <c r="H168" i="46"/>
  <c r="I168" i="46"/>
  <c r="J168" i="46"/>
  <c r="L168" i="46"/>
  <c r="M168" i="46"/>
  <c r="N168" i="46"/>
  <c r="O168" i="46"/>
  <c r="P168" i="46"/>
  <c r="Q168" i="46"/>
  <c r="R168" i="46"/>
  <c r="S168" i="46"/>
  <c r="A169" i="46"/>
  <c r="C169" i="46"/>
  <c r="D169" i="46"/>
  <c r="E169" i="46"/>
  <c r="F169" i="46"/>
  <c r="G169" i="46"/>
  <c r="H169" i="46"/>
  <c r="I169" i="46"/>
  <c r="J169" i="46"/>
  <c r="L169" i="46"/>
  <c r="M169" i="46"/>
  <c r="N169" i="46"/>
  <c r="O169" i="46"/>
  <c r="P169" i="46"/>
  <c r="Q169" i="46"/>
  <c r="R169" i="46"/>
  <c r="S169" i="46"/>
  <c r="A170" i="46"/>
  <c r="C170" i="46"/>
  <c r="D170" i="46"/>
  <c r="E170" i="46"/>
  <c r="F170" i="46"/>
  <c r="G170" i="46"/>
  <c r="H170" i="46"/>
  <c r="I170" i="46"/>
  <c r="J170" i="46"/>
  <c r="L170" i="46"/>
  <c r="M170" i="46"/>
  <c r="N170" i="46"/>
  <c r="O170" i="46"/>
  <c r="P170" i="46"/>
  <c r="Q170" i="46"/>
  <c r="R170" i="46"/>
  <c r="S170" i="46"/>
  <c r="A171" i="46"/>
  <c r="C171" i="46"/>
  <c r="D171" i="46"/>
  <c r="E171" i="46"/>
  <c r="F171" i="46"/>
  <c r="G171" i="46"/>
  <c r="H171" i="46"/>
  <c r="I171" i="46"/>
  <c r="J171" i="46"/>
  <c r="L171" i="46"/>
  <c r="M171" i="46"/>
  <c r="N171" i="46"/>
  <c r="O171" i="46"/>
  <c r="P171" i="46"/>
  <c r="Q171" i="46"/>
  <c r="R171" i="46"/>
  <c r="S171" i="46"/>
  <c r="A172" i="46"/>
  <c r="C172" i="46"/>
  <c r="D172" i="46"/>
  <c r="E172" i="46"/>
  <c r="F172" i="46"/>
  <c r="G172" i="46"/>
  <c r="H172" i="46"/>
  <c r="I172" i="46"/>
  <c r="J172" i="46"/>
  <c r="L172" i="46"/>
  <c r="M172" i="46"/>
  <c r="N172" i="46"/>
  <c r="O172" i="46"/>
  <c r="P172" i="46"/>
  <c r="Q172" i="46"/>
  <c r="R172" i="46"/>
  <c r="S172" i="46"/>
  <c r="A173" i="46"/>
  <c r="C173" i="46"/>
  <c r="D173" i="46"/>
  <c r="E173" i="46"/>
  <c r="F173" i="46"/>
  <c r="G173" i="46"/>
  <c r="H173" i="46"/>
  <c r="I173" i="46"/>
  <c r="J173" i="46"/>
  <c r="L173" i="46"/>
  <c r="M173" i="46"/>
  <c r="N173" i="46"/>
  <c r="O173" i="46"/>
  <c r="P173" i="46"/>
  <c r="Q173" i="46"/>
  <c r="R173" i="46"/>
  <c r="S173" i="46"/>
  <c r="A174" i="46"/>
  <c r="C174" i="46"/>
  <c r="D174" i="46"/>
  <c r="E174" i="46"/>
  <c r="F174" i="46"/>
  <c r="G174" i="46"/>
  <c r="H174" i="46"/>
  <c r="I174" i="46"/>
  <c r="J174" i="46"/>
  <c r="L174" i="46"/>
  <c r="M174" i="46"/>
  <c r="N174" i="46"/>
  <c r="O174" i="46"/>
  <c r="P174" i="46"/>
  <c r="Q174" i="46"/>
  <c r="R174" i="46"/>
  <c r="S174" i="46"/>
  <c r="A175" i="46"/>
  <c r="C175" i="46"/>
  <c r="D175" i="46"/>
  <c r="E175" i="46"/>
  <c r="F175" i="46"/>
  <c r="G175" i="46"/>
  <c r="H175" i="46"/>
  <c r="I175" i="46"/>
  <c r="J175" i="46"/>
  <c r="L175" i="46"/>
  <c r="M175" i="46"/>
  <c r="N175" i="46"/>
  <c r="O175" i="46"/>
  <c r="P175" i="46"/>
  <c r="Q175" i="46"/>
  <c r="R175" i="46"/>
  <c r="S175" i="46"/>
  <c r="A176" i="46"/>
  <c r="C176" i="46"/>
  <c r="D176" i="46"/>
  <c r="E176" i="46"/>
  <c r="F176" i="46"/>
  <c r="G176" i="46"/>
  <c r="H176" i="46"/>
  <c r="I176" i="46"/>
  <c r="J176" i="46"/>
  <c r="L176" i="46"/>
  <c r="M176" i="46"/>
  <c r="N176" i="46"/>
  <c r="O176" i="46"/>
  <c r="P176" i="46"/>
  <c r="Q176" i="46"/>
  <c r="R176" i="46"/>
  <c r="S176" i="46"/>
  <c r="A177" i="46"/>
  <c r="C177" i="46"/>
  <c r="D177" i="46"/>
  <c r="E177" i="46"/>
  <c r="F177" i="46"/>
  <c r="G177" i="46"/>
  <c r="H177" i="46"/>
  <c r="I177" i="46"/>
  <c r="J177" i="46"/>
  <c r="L177" i="46"/>
  <c r="M177" i="46"/>
  <c r="N177" i="46"/>
  <c r="O177" i="46"/>
  <c r="P177" i="46"/>
  <c r="Q177" i="46"/>
  <c r="R177" i="46"/>
  <c r="S177" i="46"/>
  <c r="A178" i="46"/>
  <c r="C178" i="46"/>
  <c r="D178" i="46"/>
  <c r="E178" i="46"/>
  <c r="F178" i="46"/>
  <c r="G178" i="46"/>
  <c r="H178" i="46"/>
  <c r="I178" i="46"/>
  <c r="J178" i="46"/>
  <c r="L178" i="46"/>
  <c r="M178" i="46"/>
  <c r="N178" i="46"/>
  <c r="O178" i="46"/>
  <c r="P178" i="46"/>
  <c r="Q178" i="46"/>
  <c r="R178" i="46"/>
  <c r="S178" i="46"/>
  <c r="A179" i="46"/>
  <c r="C179" i="46"/>
  <c r="D179" i="46"/>
  <c r="E179" i="46"/>
  <c r="F179" i="46"/>
  <c r="G179" i="46"/>
  <c r="H179" i="46"/>
  <c r="I179" i="46"/>
  <c r="J179" i="46"/>
  <c r="L179" i="46"/>
  <c r="M179" i="46"/>
  <c r="N179" i="46"/>
  <c r="O179" i="46"/>
  <c r="P179" i="46"/>
  <c r="Q179" i="46"/>
  <c r="R179" i="46"/>
  <c r="S179" i="46"/>
  <c r="A180" i="46"/>
  <c r="C180" i="46"/>
  <c r="D180" i="46"/>
  <c r="E180" i="46"/>
  <c r="F180" i="46"/>
  <c r="G180" i="46"/>
  <c r="H180" i="46"/>
  <c r="I180" i="46"/>
  <c r="J180" i="46"/>
  <c r="L180" i="46"/>
  <c r="M180" i="46"/>
  <c r="N180" i="46"/>
  <c r="O180" i="46"/>
  <c r="P180" i="46"/>
  <c r="Q180" i="46"/>
  <c r="R180" i="46"/>
  <c r="S180" i="46"/>
  <c r="A181" i="46"/>
  <c r="C181" i="46"/>
  <c r="D181" i="46"/>
  <c r="E181" i="46"/>
  <c r="F181" i="46"/>
  <c r="G181" i="46"/>
  <c r="H181" i="46"/>
  <c r="I181" i="46"/>
  <c r="J181" i="46"/>
  <c r="L181" i="46"/>
  <c r="M181" i="46"/>
  <c r="N181" i="46"/>
  <c r="O181" i="46"/>
  <c r="P181" i="46"/>
  <c r="Q181" i="46"/>
  <c r="R181" i="46"/>
  <c r="S181" i="46"/>
  <c r="A182" i="46"/>
  <c r="C182" i="46"/>
  <c r="D182" i="46"/>
  <c r="E182" i="46"/>
  <c r="F182" i="46"/>
  <c r="G182" i="46"/>
  <c r="H182" i="46"/>
  <c r="I182" i="46"/>
  <c r="J182" i="46"/>
  <c r="L182" i="46"/>
  <c r="M182" i="46"/>
  <c r="N182" i="46"/>
  <c r="O182" i="46"/>
  <c r="P182" i="46"/>
  <c r="Q182" i="46"/>
  <c r="R182" i="46"/>
  <c r="S182" i="46"/>
  <c r="A183" i="46"/>
  <c r="C183" i="46"/>
  <c r="D183" i="46"/>
  <c r="E183" i="46"/>
  <c r="F183" i="46"/>
  <c r="G183" i="46"/>
  <c r="H183" i="46"/>
  <c r="I183" i="46"/>
  <c r="J183" i="46"/>
  <c r="L183" i="46"/>
  <c r="M183" i="46"/>
  <c r="N183" i="46"/>
  <c r="O183" i="46"/>
  <c r="P183" i="46"/>
  <c r="Q183" i="46"/>
  <c r="R183" i="46"/>
  <c r="S183" i="46"/>
  <c r="A184" i="46"/>
  <c r="C184" i="46"/>
  <c r="D184" i="46"/>
  <c r="E184" i="46"/>
  <c r="F184" i="46"/>
  <c r="G184" i="46"/>
  <c r="H184" i="46"/>
  <c r="I184" i="46"/>
  <c r="J184" i="46"/>
  <c r="L184" i="46"/>
  <c r="M184" i="46"/>
  <c r="N184" i="46"/>
  <c r="O184" i="46"/>
  <c r="P184" i="46"/>
  <c r="Q184" i="46"/>
  <c r="R184" i="46"/>
  <c r="S184" i="46"/>
  <c r="A185" i="46"/>
  <c r="C185" i="46"/>
  <c r="D185" i="46"/>
  <c r="E185" i="46"/>
  <c r="F185" i="46"/>
  <c r="G185" i="46"/>
  <c r="H185" i="46"/>
  <c r="I185" i="46"/>
  <c r="J185" i="46"/>
  <c r="L185" i="46"/>
  <c r="M185" i="46"/>
  <c r="N185" i="46"/>
  <c r="O185" i="46"/>
  <c r="P185" i="46"/>
  <c r="Q185" i="46"/>
  <c r="R185" i="46"/>
  <c r="S185" i="46"/>
  <c r="A186" i="46"/>
  <c r="C186" i="46"/>
  <c r="D186" i="46"/>
  <c r="E186" i="46"/>
  <c r="F186" i="46"/>
  <c r="G186" i="46"/>
  <c r="H186" i="46"/>
  <c r="I186" i="46"/>
  <c r="J186" i="46"/>
  <c r="L186" i="46"/>
  <c r="M186" i="46"/>
  <c r="N186" i="46"/>
  <c r="O186" i="46"/>
  <c r="P186" i="46"/>
  <c r="Q186" i="46"/>
  <c r="R186" i="46"/>
  <c r="S186" i="46"/>
  <c r="A187" i="46"/>
  <c r="C187" i="46"/>
  <c r="D187" i="46"/>
  <c r="E187" i="46"/>
  <c r="F187" i="46"/>
  <c r="G187" i="46"/>
  <c r="H187" i="46"/>
  <c r="I187" i="46"/>
  <c r="J187" i="46"/>
  <c r="L187" i="46"/>
  <c r="M187" i="46"/>
  <c r="N187" i="46"/>
  <c r="O187" i="46"/>
  <c r="P187" i="46"/>
  <c r="Q187" i="46"/>
  <c r="R187" i="46"/>
  <c r="S187" i="46"/>
  <c r="A188" i="46"/>
  <c r="C188" i="46"/>
  <c r="D188" i="46"/>
  <c r="E188" i="46"/>
  <c r="F188" i="46"/>
  <c r="G188" i="46"/>
  <c r="H188" i="46"/>
  <c r="I188" i="46"/>
  <c r="J188" i="46"/>
  <c r="L188" i="46"/>
  <c r="M188" i="46"/>
  <c r="N188" i="46"/>
  <c r="O188" i="46"/>
  <c r="P188" i="46"/>
  <c r="Q188" i="46"/>
  <c r="R188" i="46"/>
  <c r="S188" i="46"/>
  <c r="A189" i="46"/>
  <c r="C189" i="46"/>
  <c r="D189" i="46"/>
  <c r="E189" i="46"/>
  <c r="F189" i="46"/>
  <c r="G189" i="46"/>
  <c r="H189" i="46"/>
  <c r="I189" i="46"/>
  <c r="J189" i="46"/>
  <c r="L189" i="46"/>
  <c r="M189" i="46"/>
  <c r="N189" i="46"/>
  <c r="O189" i="46"/>
  <c r="P189" i="46"/>
  <c r="Q189" i="46"/>
  <c r="R189" i="46"/>
  <c r="S189" i="46"/>
  <c r="A190" i="46"/>
  <c r="C190" i="46"/>
  <c r="D190" i="46"/>
  <c r="E190" i="46"/>
  <c r="F190" i="46"/>
  <c r="G190" i="46"/>
  <c r="H190" i="46"/>
  <c r="I190" i="46"/>
  <c r="J190" i="46"/>
  <c r="L190" i="46"/>
  <c r="M190" i="46"/>
  <c r="N190" i="46"/>
  <c r="O190" i="46"/>
  <c r="P190" i="46"/>
  <c r="Q190" i="46"/>
  <c r="R190" i="46"/>
  <c r="S190" i="46"/>
  <c r="A191" i="46"/>
  <c r="C191" i="46"/>
  <c r="D191" i="46"/>
  <c r="E191" i="46"/>
  <c r="F191" i="46"/>
  <c r="G191" i="46"/>
  <c r="H191" i="46"/>
  <c r="I191" i="46"/>
  <c r="J191" i="46"/>
  <c r="L191" i="46"/>
  <c r="M191" i="46"/>
  <c r="N191" i="46"/>
  <c r="O191" i="46"/>
  <c r="P191" i="46"/>
  <c r="Q191" i="46"/>
  <c r="R191" i="46"/>
  <c r="S191" i="46"/>
  <c r="A192" i="46"/>
  <c r="C192" i="46"/>
  <c r="D192" i="46"/>
  <c r="E192" i="46"/>
  <c r="F192" i="46"/>
  <c r="G192" i="46"/>
  <c r="H192" i="46"/>
  <c r="I192" i="46"/>
  <c r="J192" i="46"/>
  <c r="L192" i="46"/>
  <c r="M192" i="46"/>
  <c r="N192" i="46"/>
  <c r="O192" i="46"/>
  <c r="P192" i="46"/>
  <c r="Q192" i="46"/>
  <c r="R192" i="46"/>
  <c r="S192" i="46"/>
  <c r="A193" i="46"/>
  <c r="C193" i="46"/>
  <c r="D193" i="46"/>
  <c r="E193" i="46"/>
  <c r="F193" i="46"/>
  <c r="G193" i="46"/>
  <c r="H193" i="46"/>
  <c r="I193" i="46"/>
  <c r="J193" i="46"/>
  <c r="L193" i="46"/>
  <c r="M193" i="46"/>
  <c r="N193" i="46"/>
  <c r="O193" i="46"/>
  <c r="P193" i="46"/>
  <c r="Q193" i="46"/>
  <c r="R193" i="46"/>
  <c r="S193" i="46"/>
  <c r="A194" i="46"/>
  <c r="C194" i="46"/>
  <c r="D194" i="46"/>
  <c r="E194" i="46"/>
  <c r="F194" i="46"/>
  <c r="G194" i="46"/>
  <c r="H194" i="46"/>
  <c r="I194" i="46"/>
  <c r="J194" i="46"/>
  <c r="L194" i="46"/>
  <c r="M194" i="46"/>
  <c r="N194" i="46"/>
  <c r="O194" i="46"/>
  <c r="P194" i="46"/>
  <c r="Q194" i="46"/>
  <c r="R194" i="46"/>
  <c r="S194" i="46"/>
  <c r="A195" i="46"/>
  <c r="C195" i="46"/>
  <c r="D195" i="46"/>
  <c r="E195" i="46"/>
  <c r="F195" i="46"/>
  <c r="G195" i="46"/>
  <c r="H195" i="46"/>
  <c r="I195" i="46"/>
  <c r="J195" i="46"/>
  <c r="L195" i="46"/>
  <c r="M195" i="46"/>
  <c r="N195" i="46"/>
  <c r="O195" i="46"/>
  <c r="P195" i="46"/>
  <c r="Q195" i="46"/>
  <c r="R195" i="46"/>
  <c r="S195" i="46"/>
  <c r="A196" i="46"/>
  <c r="C196" i="46"/>
  <c r="D196" i="46"/>
  <c r="E196" i="46"/>
  <c r="F196" i="46"/>
  <c r="G196" i="46"/>
  <c r="H196" i="46"/>
  <c r="I196" i="46"/>
  <c r="J196" i="46"/>
  <c r="L196" i="46"/>
  <c r="M196" i="46"/>
  <c r="N196" i="46"/>
  <c r="O196" i="46"/>
  <c r="P196" i="46"/>
  <c r="Q196" i="46"/>
  <c r="R196" i="46"/>
  <c r="S196" i="46"/>
  <c r="A197" i="46"/>
  <c r="C197" i="46"/>
  <c r="D197" i="46"/>
  <c r="E197" i="46"/>
  <c r="F197" i="46"/>
  <c r="G197" i="46"/>
  <c r="H197" i="46"/>
  <c r="I197" i="46"/>
  <c r="J197" i="46"/>
  <c r="L197" i="46"/>
  <c r="M197" i="46"/>
  <c r="N197" i="46"/>
  <c r="O197" i="46"/>
  <c r="P197" i="46"/>
  <c r="Q197" i="46"/>
  <c r="R197" i="46"/>
  <c r="S197" i="46"/>
  <c r="A198" i="46"/>
  <c r="C198" i="46"/>
  <c r="D198" i="46"/>
  <c r="E198" i="46"/>
  <c r="F198" i="46"/>
  <c r="G198" i="46"/>
  <c r="H198" i="46"/>
  <c r="I198" i="46"/>
  <c r="J198" i="46"/>
  <c r="L198" i="46"/>
  <c r="M198" i="46"/>
  <c r="N198" i="46"/>
  <c r="O198" i="46"/>
  <c r="P198" i="46"/>
  <c r="Q198" i="46"/>
  <c r="R198" i="46"/>
  <c r="S198" i="46"/>
  <c r="A199" i="46"/>
  <c r="C199" i="46"/>
  <c r="D199" i="46"/>
  <c r="E199" i="46"/>
  <c r="F199" i="46"/>
  <c r="G199" i="46"/>
  <c r="H199" i="46"/>
  <c r="I199" i="46"/>
  <c r="J199" i="46"/>
  <c r="L199" i="46"/>
  <c r="M199" i="46"/>
  <c r="N199" i="46"/>
  <c r="O199" i="46"/>
  <c r="P199" i="46"/>
  <c r="Q199" i="46"/>
  <c r="R199" i="46"/>
  <c r="S199" i="46"/>
  <c r="A200" i="46"/>
  <c r="C200" i="46"/>
  <c r="D200" i="46"/>
  <c r="E200" i="46"/>
  <c r="F200" i="46"/>
  <c r="G200" i="46"/>
  <c r="H200" i="46"/>
  <c r="I200" i="46"/>
  <c r="J200" i="46"/>
  <c r="L200" i="46"/>
  <c r="M200" i="46"/>
  <c r="N200" i="46"/>
  <c r="O200" i="46"/>
  <c r="P200" i="46"/>
  <c r="Q200" i="46"/>
  <c r="R200" i="46"/>
  <c r="S200" i="46"/>
  <c r="A201" i="46"/>
  <c r="C201" i="46"/>
  <c r="D201" i="46"/>
  <c r="E201" i="46"/>
  <c r="F201" i="46"/>
  <c r="G201" i="46"/>
  <c r="H201" i="46"/>
  <c r="I201" i="46"/>
  <c r="J201" i="46"/>
  <c r="L201" i="46"/>
  <c r="M201" i="46"/>
  <c r="N201" i="46"/>
  <c r="O201" i="46"/>
  <c r="P201" i="46"/>
  <c r="Q201" i="46"/>
  <c r="R201" i="46"/>
  <c r="S201" i="46"/>
  <c r="A202" i="46"/>
  <c r="C202" i="46"/>
  <c r="D202" i="46"/>
  <c r="E202" i="46"/>
  <c r="F202" i="46"/>
  <c r="G202" i="46"/>
  <c r="H202" i="46"/>
  <c r="I202" i="46"/>
  <c r="J202" i="46"/>
  <c r="L202" i="46"/>
  <c r="M202" i="46"/>
  <c r="N202" i="46"/>
  <c r="O202" i="46"/>
  <c r="P202" i="46"/>
  <c r="Q202" i="46"/>
  <c r="R202" i="46"/>
  <c r="S202" i="46"/>
  <c r="A203" i="46"/>
  <c r="C203" i="46"/>
  <c r="D203" i="46"/>
  <c r="E203" i="46"/>
  <c r="F203" i="46"/>
  <c r="G203" i="46"/>
  <c r="H203" i="46"/>
  <c r="I203" i="46"/>
  <c r="J203" i="46"/>
  <c r="L203" i="46"/>
  <c r="M203" i="46"/>
  <c r="N203" i="46"/>
  <c r="O203" i="46"/>
  <c r="P203" i="46"/>
  <c r="Q203" i="46"/>
  <c r="R203" i="46"/>
  <c r="S203" i="46"/>
  <c r="A204" i="46"/>
  <c r="C204" i="46"/>
  <c r="D204" i="46"/>
  <c r="E204" i="46"/>
  <c r="F204" i="46"/>
  <c r="G204" i="46"/>
  <c r="H204" i="46"/>
  <c r="I204" i="46"/>
  <c r="J204" i="46"/>
  <c r="L204" i="46"/>
  <c r="M204" i="46"/>
  <c r="N204" i="46"/>
  <c r="O204" i="46"/>
  <c r="P204" i="46"/>
  <c r="Q204" i="46"/>
  <c r="R204" i="46"/>
  <c r="S204" i="46"/>
  <c r="A205" i="46"/>
  <c r="C205" i="46"/>
  <c r="D205" i="46"/>
  <c r="E205" i="46"/>
  <c r="F205" i="46"/>
  <c r="G205" i="46"/>
  <c r="H205" i="46"/>
  <c r="I205" i="46"/>
  <c r="J205" i="46"/>
  <c r="L205" i="46"/>
  <c r="M205" i="46"/>
  <c r="N205" i="46"/>
  <c r="O205" i="46"/>
  <c r="P205" i="46"/>
  <c r="Q205" i="46"/>
  <c r="R205" i="46"/>
  <c r="S205" i="46"/>
  <c r="A206" i="46"/>
  <c r="C206" i="46"/>
  <c r="D206" i="46"/>
  <c r="E206" i="46"/>
  <c r="F206" i="46"/>
  <c r="G206" i="46"/>
  <c r="H206" i="46"/>
  <c r="I206" i="46"/>
  <c r="J206" i="46"/>
  <c r="L206" i="46"/>
  <c r="M206" i="46"/>
  <c r="N206" i="46"/>
  <c r="O206" i="46"/>
  <c r="P206" i="46"/>
  <c r="Q206" i="46"/>
  <c r="R206" i="46"/>
  <c r="S206" i="46"/>
  <c r="A207" i="46"/>
  <c r="C207" i="46"/>
  <c r="D207" i="46"/>
  <c r="E207" i="46"/>
  <c r="F207" i="46"/>
  <c r="G207" i="46"/>
  <c r="H207" i="46"/>
  <c r="I207" i="46"/>
  <c r="J207" i="46"/>
  <c r="L207" i="46"/>
  <c r="M207" i="46"/>
  <c r="N207" i="46"/>
  <c r="O207" i="46"/>
  <c r="P207" i="46"/>
  <c r="Q207" i="46"/>
  <c r="R207" i="46"/>
  <c r="S207" i="46"/>
  <c r="A208" i="46"/>
  <c r="C208" i="46"/>
  <c r="D208" i="46"/>
  <c r="E208" i="46"/>
  <c r="F208" i="46"/>
  <c r="G208" i="46"/>
  <c r="H208" i="46"/>
  <c r="I208" i="46"/>
  <c r="J208" i="46"/>
  <c r="L208" i="46"/>
  <c r="M208" i="46"/>
  <c r="N208" i="46"/>
  <c r="O208" i="46"/>
  <c r="P208" i="46"/>
  <c r="Q208" i="46"/>
  <c r="R208" i="46"/>
  <c r="S208" i="46"/>
  <c r="A209" i="46"/>
  <c r="C209" i="46"/>
  <c r="D209" i="46"/>
  <c r="E209" i="46"/>
  <c r="F209" i="46"/>
  <c r="G209" i="46"/>
  <c r="H209" i="46"/>
  <c r="I209" i="46"/>
  <c r="J209" i="46"/>
  <c r="L209" i="46"/>
  <c r="M209" i="46"/>
  <c r="N209" i="46"/>
  <c r="O209" i="46"/>
  <c r="P209" i="46"/>
  <c r="Q209" i="46"/>
  <c r="R209" i="46"/>
  <c r="S209" i="46"/>
  <c r="A210" i="46"/>
  <c r="C210" i="46"/>
  <c r="D210" i="46"/>
  <c r="E210" i="46"/>
  <c r="F210" i="46"/>
  <c r="G210" i="46"/>
  <c r="H210" i="46"/>
  <c r="I210" i="46"/>
  <c r="J210" i="46"/>
  <c r="L210" i="46"/>
  <c r="M210" i="46"/>
  <c r="N210" i="46"/>
  <c r="O210" i="46"/>
  <c r="P210" i="46"/>
  <c r="Q210" i="46"/>
  <c r="R210" i="46"/>
  <c r="S210" i="46"/>
  <c r="A211" i="46"/>
  <c r="C211" i="46"/>
  <c r="D211" i="46"/>
  <c r="E211" i="46"/>
  <c r="F211" i="46"/>
  <c r="G211" i="46"/>
  <c r="H211" i="46"/>
  <c r="I211" i="46"/>
  <c r="J211" i="46"/>
  <c r="L211" i="46"/>
  <c r="M211" i="46"/>
  <c r="N211" i="46"/>
  <c r="O211" i="46"/>
  <c r="P211" i="46"/>
  <c r="Q211" i="46"/>
  <c r="R211" i="46"/>
  <c r="S211" i="46"/>
  <c r="A212" i="46"/>
  <c r="C212" i="46"/>
  <c r="D212" i="46"/>
  <c r="E212" i="46"/>
  <c r="F212" i="46"/>
  <c r="G212" i="46"/>
  <c r="H212" i="46"/>
  <c r="I212" i="46"/>
  <c r="J212" i="46"/>
  <c r="L212" i="46"/>
  <c r="M212" i="46"/>
  <c r="N212" i="46"/>
  <c r="O212" i="46"/>
  <c r="P212" i="46"/>
  <c r="Q212" i="46"/>
  <c r="R212" i="46"/>
  <c r="S212" i="46"/>
  <c r="A213" i="46"/>
  <c r="C213" i="46"/>
  <c r="D213" i="46"/>
  <c r="E213" i="46"/>
  <c r="F213" i="46"/>
  <c r="G213" i="46"/>
  <c r="H213" i="46"/>
  <c r="I213" i="46"/>
  <c r="J213" i="46"/>
  <c r="L213" i="46"/>
  <c r="M213" i="46"/>
  <c r="N213" i="46"/>
  <c r="O213" i="46"/>
  <c r="P213" i="46"/>
  <c r="Q213" i="46"/>
  <c r="R213" i="46"/>
  <c r="S213" i="46"/>
  <c r="A214" i="46"/>
  <c r="C214" i="46"/>
  <c r="D214" i="46"/>
  <c r="E214" i="46"/>
  <c r="F214" i="46"/>
  <c r="G214" i="46"/>
  <c r="H214" i="46"/>
  <c r="I214" i="46"/>
  <c r="J214" i="46"/>
  <c r="L214" i="46"/>
  <c r="M214" i="46"/>
  <c r="N214" i="46"/>
  <c r="O214" i="46"/>
  <c r="P214" i="46"/>
  <c r="Q214" i="46"/>
  <c r="R214" i="46"/>
  <c r="S214" i="46"/>
  <c r="A215" i="46"/>
  <c r="C215" i="46"/>
  <c r="D215" i="46"/>
  <c r="E215" i="46"/>
  <c r="F215" i="46"/>
  <c r="G215" i="46"/>
  <c r="H215" i="46"/>
  <c r="I215" i="46"/>
  <c r="J215" i="46"/>
  <c r="L215" i="46"/>
  <c r="M215" i="46"/>
  <c r="N215" i="46"/>
  <c r="O215" i="46"/>
  <c r="P215" i="46"/>
  <c r="Q215" i="46"/>
  <c r="R215" i="46"/>
  <c r="S215" i="46"/>
  <c r="A216" i="46"/>
  <c r="C216" i="46"/>
  <c r="D216" i="46"/>
  <c r="E216" i="46"/>
  <c r="F216" i="46"/>
  <c r="G216" i="46"/>
  <c r="H216" i="46"/>
  <c r="I216" i="46"/>
  <c r="J216" i="46"/>
  <c r="L216" i="46"/>
  <c r="M216" i="46"/>
  <c r="N216" i="46"/>
  <c r="O216" i="46"/>
  <c r="P216" i="46"/>
  <c r="Q216" i="46"/>
  <c r="R216" i="46"/>
  <c r="S216" i="46"/>
  <c r="A217" i="46"/>
  <c r="C217" i="46"/>
  <c r="D217" i="46"/>
  <c r="E217" i="46"/>
  <c r="F217" i="46"/>
  <c r="G217" i="46"/>
  <c r="H217" i="46"/>
  <c r="I217" i="46"/>
  <c r="J217" i="46"/>
  <c r="L217" i="46"/>
  <c r="M217" i="46"/>
  <c r="N217" i="46"/>
  <c r="O217" i="46"/>
  <c r="P217" i="46"/>
  <c r="Q217" i="46"/>
  <c r="R217" i="46"/>
  <c r="S217" i="46"/>
  <c r="A218" i="46"/>
  <c r="C218" i="46"/>
  <c r="D218" i="46"/>
  <c r="E218" i="46"/>
  <c r="F218" i="46"/>
  <c r="G218" i="46"/>
  <c r="H218" i="46"/>
  <c r="I218" i="46"/>
  <c r="J218" i="46"/>
  <c r="L218" i="46"/>
  <c r="M218" i="46"/>
  <c r="N218" i="46"/>
  <c r="O218" i="46"/>
  <c r="P218" i="46"/>
  <c r="Q218" i="46"/>
  <c r="R218" i="46"/>
  <c r="S218" i="46"/>
  <c r="A219" i="46"/>
  <c r="C219" i="46"/>
  <c r="D219" i="46"/>
  <c r="E219" i="46"/>
  <c r="F219" i="46"/>
  <c r="G219" i="46"/>
  <c r="H219" i="46"/>
  <c r="I219" i="46"/>
  <c r="J219" i="46"/>
  <c r="L219" i="46"/>
  <c r="M219" i="46"/>
  <c r="N219" i="46"/>
  <c r="O219" i="46"/>
  <c r="P219" i="46"/>
  <c r="Q219" i="46"/>
  <c r="R219" i="46"/>
  <c r="S219" i="46"/>
  <c r="A220" i="46"/>
  <c r="C220" i="46"/>
  <c r="D220" i="46"/>
  <c r="E220" i="46"/>
  <c r="F220" i="46"/>
  <c r="G220" i="46"/>
  <c r="H220" i="46"/>
  <c r="I220" i="46"/>
  <c r="J220" i="46"/>
  <c r="L220" i="46"/>
  <c r="M220" i="46"/>
  <c r="N220" i="46"/>
  <c r="O220" i="46"/>
  <c r="P220" i="46"/>
  <c r="Q220" i="46"/>
  <c r="R220" i="46"/>
  <c r="S220" i="46"/>
  <c r="A221" i="46"/>
  <c r="C221" i="46"/>
  <c r="D221" i="46"/>
  <c r="E221" i="46"/>
  <c r="F221" i="46"/>
  <c r="G221" i="46"/>
  <c r="H221" i="46"/>
  <c r="I221" i="46"/>
  <c r="J221" i="46"/>
  <c r="L221" i="46"/>
  <c r="M221" i="46"/>
  <c r="N221" i="46"/>
  <c r="O221" i="46"/>
  <c r="P221" i="46"/>
  <c r="Q221" i="46"/>
  <c r="R221" i="46"/>
  <c r="S221" i="46"/>
  <c r="A222" i="46"/>
  <c r="C222" i="46"/>
  <c r="D222" i="46"/>
  <c r="E222" i="46"/>
  <c r="F222" i="46"/>
  <c r="G222" i="46"/>
  <c r="H222" i="46"/>
  <c r="I222" i="46"/>
  <c r="J222" i="46"/>
  <c r="L222" i="46"/>
  <c r="M222" i="46"/>
  <c r="N222" i="46"/>
  <c r="O222" i="46"/>
  <c r="P222" i="46"/>
  <c r="Q222" i="46"/>
  <c r="R222" i="46"/>
  <c r="S222" i="46"/>
  <c r="A223" i="46"/>
  <c r="C223" i="46"/>
  <c r="D223" i="46"/>
  <c r="E223" i="46"/>
  <c r="F223" i="46"/>
  <c r="G223" i="46"/>
  <c r="H223" i="46"/>
  <c r="I223" i="46"/>
  <c r="J223" i="46"/>
  <c r="L223" i="46"/>
  <c r="M223" i="46"/>
  <c r="N223" i="46"/>
  <c r="O223" i="46"/>
  <c r="P223" i="46"/>
  <c r="Q223" i="46"/>
  <c r="R223" i="46"/>
  <c r="S223" i="46"/>
  <c r="A224" i="46"/>
  <c r="C224" i="46"/>
  <c r="D224" i="46"/>
  <c r="E224" i="46"/>
  <c r="F224" i="46"/>
  <c r="G224" i="46"/>
  <c r="H224" i="46"/>
  <c r="I224" i="46"/>
  <c r="J224" i="46"/>
  <c r="L224" i="46"/>
  <c r="M224" i="46"/>
  <c r="N224" i="46"/>
  <c r="O224" i="46"/>
  <c r="P224" i="46"/>
  <c r="Q224" i="46"/>
  <c r="R224" i="46"/>
  <c r="S224" i="46"/>
  <c r="A225" i="46"/>
  <c r="C225" i="46"/>
  <c r="D225" i="46"/>
  <c r="E225" i="46"/>
  <c r="F225" i="46"/>
  <c r="G225" i="46"/>
  <c r="H225" i="46"/>
  <c r="I225" i="46"/>
  <c r="J225" i="46"/>
  <c r="L225" i="46"/>
  <c r="M225" i="46"/>
  <c r="N225" i="46"/>
  <c r="O225" i="46"/>
  <c r="P225" i="46"/>
  <c r="Q225" i="46"/>
  <c r="R225" i="46"/>
  <c r="S225" i="46"/>
  <c r="A226" i="46"/>
  <c r="C226" i="46"/>
  <c r="D226" i="46"/>
  <c r="E226" i="46"/>
  <c r="F226" i="46"/>
  <c r="G226" i="46"/>
  <c r="H226" i="46"/>
  <c r="I226" i="46"/>
  <c r="J226" i="46"/>
  <c r="L226" i="46"/>
  <c r="M226" i="46"/>
  <c r="N226" i="46"/>
  <c r="O226" i="46"/>
  <c r="P226" i="46"/>
  <c r="Q226" i="46"/>
  <c r="R226" i="46"/>
  <c r="S226" i="46"/>
  <c r="A227" i="46"/>
  <c r="C227" i="46"/>
  <c r="D227" i="46"/>
  <c r="E227" i="46"/>
  <c r="F227" i="46"/>
  <c r="G227" i="46"/>
  <c r="H227" i="46"/>
  <c r="I227" i="46"/>
  <c r="J227" i="46"/>
  <c r="L227" i="46"/>
  <c r="M227" i="46"/>
  <c r="N227" i="46"/>
  <c r="O227" i="46"/>
  <c r="P227" i="46"/>
  <c r="Q227" i="46"/>
  <c r="R227" i="46"/>
  <c r="S227" i="46"/>
  <c r="A228" i="46"/>
  <c r="C228" i="46"/>
  <c r="D228" i="46"/>
  <c r="E228" i="46"/>
  <c r="F228" i="46"/>
  <c r="G228" i="46"/>
  <c r="H228" i="46"/>
  <c r="I228" i="46"/>
  <c r="J228" i="46"/>
  <c r="L228" i="46"/>
  <c r="M228" i="46"/>
  <c r="N228" i="46"/>
  <c r="O228" i="46"/>
  <c r="P228" i="46"/>
  <c r="Q228" i="46"/>
  <c r="R228" i="46"/>
  <c r="S228" i="46"/>
  <c r="A229" i="46"/>
  <c r="C229" i="46"/>
  <c r="D229" i="46"/>
  <c r="E229" i="46"/>
  <c r="F229" i="46"/>
  <c r="G229" i="46"/>
  <c r="H229" i="46"/>
  <c r="I229" i="46"/>
  <c r="J229" i="46"/>
  <c r="L229" i="46"/>
  <c r="M229" i="46"/>
  <c r="N229" i="46"/>
  <c r="O229" i="46"/>
  <c r="P229" i="46"/>
  <c r="Q229" i="46"/>
  <c r="R229" i="46"/>
  <c r="S229" i="46"/>
  <c r="A230" i="46"/>
  <c r="C230" i="46"/>
  <c r="D230" i="46"/>
  <c r="E230" i="46"/>
  <c r="F230" i="46"/>
  <c r="G230" i="46"/>
  <c r="H230" i="46"/>
  <c r="I230" i="46"/>
  <c r="J230" i="46"/>
  <c r="L230" i="46"/>
  <c r="M230" i="46"/>
  <c r="N230" i="46"/>
  <c r="O230" i="46"/>
  <c r="P230" i="46"/>
  <c r="Q230" i="46"/>
  <c r="R230" i="46"/>
  <c r="S230" i="46"/>
  <c r="A231" i="46"/>
  <c r="C231" i="46"/>
  <c r="D231" i="46"/>
  <c r="E231" i="46"/>
  <c r="F231" i="46"/>
  <c r="G231" i="46"/>
  <c r="H231" i="46"/>
  <c r="I231" i="46"/>
  <c r="J231" i="46"/>
  <c r="L231" i="46"/>
  <c r="M231" i="46"/>
  <c r="N231" i="46"/>
  <c r="O231" i="46"/>
  <c r="P231" i="46"/>
  <c r="Q231" i="46"/>
  <c r="R231" i="46"/>
  <c r="S231" i="46"/>
  <c r="A232" i="46"/>
  <c r="C232" i="46"/>
  <c r="D232" i="46"/>
  <c r="E232" i="46"/>
  <c r="F232" i="46"/>
  <c r="G232" i="46"/>
  <c r="H232" i="46"/>
  <c r="I232" i="46"/>
  <c r="J232" i="46"/>
  <c r="L232" i="46"/>
  <c r="M232" i="46"/>
  <c r="N232" i="46"/>
  <c r="O232" i="46"/>
  <c r="P232" i="46"/>
  <c r="Q232" i="46"/>
  <c r="R232" i="46"/>
  <c r="S232" i="46"/>
  <c r="A233" i="46"/>
  <c r="C233" i="46"/>
  <c r="D233" i="46"/>
  <c r="E233" i="46"/>
  <c r="F233" i="46"/>
  <c r="G233" i="46"/>
  <c r="H233" i="46"/>
  <c r="I233" i="46"/>
  <c r="J233" i="46"/>
  <c r="L233" i="46"/>
  <c r="M233" i="46"/>
  <c r="N233" i="46"/>
  <c r="O233" i="46"/>
  <c r="P233" i="46"/>
  <c r="Q233" i="46"/>
  <c r="R233" i="46"/>
  <c r="S233" i="46"/>
  <c r="A234" i="46"/>
  <c r="C234" i="46"/>
  <c r="D234" i="46"/>
  <c r="E234" i="46"/>
  <c r="F234" i="46"/>
  <c r="G234" i="46"/>
  <c r="H234" i="46"/>
  <c r="I234" i="46"/>
  <c r="J234" i="46"/>
  <c r="L234" i="46"/>
  <c r="M234" i="46"/>
  <c r="N234" i="46"/>
  <c r="O234" i="46"/>
  <c r="P234" i="46"/>
  <c r="Q234" i="46"/>
  <c r="R234" i="46"/>
  <c r="S234" i="46"/>
  <c r="A235" i="46"/>
  <c r="C235" i="46"/>
  <c r="D235" i="46"/>
  <c r="E235" i="46"/>
  <c r="F235" i="46"/>
  <c r="G235" i="46"/>
  <c r="H235" i="46"/>
  <c r="I235" i="46"/>
  <c r="J235" i="46"/>
  <c r="L235" i="46"/>
  <c r="M235" i="46"/>
  <c r="N235" i="46"/>
  <c r="O235" i="46"/>
  <c r="P235" i="46"/>
  <c r="Q235" i="46"/>
  <c r="R235" i="46"/>
  <c r="S235" i="46"/>
  <c r="A236" i="46"/>
  <c r="C236" i="46"/>
  <c r="D236" i="46"/>
  <c r="E236" i="46"/>
  <c r="F236" i="46"/>
  <c r="G236" i="46"/>
  <c r="H236" i="46"/>
  <c r="I236" i="46"/>
  <c r="J236" i="46"/>
  <c r="L236" i="46"/>
  <c r="M236" i="46"/>
  <c r="N236" i="46"/>
  <c r="O236" i="46"/>
  <c r="P236" i="46"/>
  <c r="Q236" i="46"/>
  <c r="R236" i="46"/>
  <c r="S236" i="46"/>
  <c r="A237" i="46"/>
  <c r="C237" i="46"/>
  <c r="D237" i="46"/>
  <c r="E237" i="46"/>
  <c r="F237" i="46"/>
  <c r="G237" i="46"/>
  <c r="H237" i="46"/>
  <c r="I237" i="46"/>
  <c r="J237" i="46"/>
  <c r="L237" i="46"/>
  <c r="M237" i="46"/>
  <c r="N237" i="46"/>
  <c r="O237" i="46"/>
  <c r="P237" i="46"/>
  <c r="Q237" i="46"/>
  <c r="R237" i="46"/>
  <c r="S237" i="46"/>
  <c r="A238" i="46"/>
  <c r="C238" i="46"/>
  <c r="D238" i="46"/>
  <c r="E238" i="46"/>
  <c r="F238" i="46"/>
  <c r="G238" i="46"/>
  <c r="H238" i="46"/>
  <c r="I238" i="46"/>
  <c r="J238" i="46"/>
  <c r="L238" i="46"/>
  <c r="M238" i="46"/>
  <c r="N238" i="46"/>
  <c r="O238" i="46"/>
  <c r="P238" i="46"/>
  <c r="Q238" i="46"/>
  <c r="R238" i="46"/>
  <c r="S238" i="46"/>
  <c r="A239" i="46"/>
  <c r="C239" i="46"/>
  <c r="D239" i="46"/>
  <c r="E239" i="46"/>
  <c r="F239" i="46"/>
  <c r="G239" i="46"/>
  <c r="H239" i="46"/>
  <c r="I239" i="46"/>
  <c r="J239" i="46"/>
  <c r="L239" i="46"/>
  <c r="M239" i="46"/>
  <c r="N239" i="46"/>
  <c r="O239" i="46"/>
  <c r="P239" i="46"/>
  <c r="Q239" i="46"/>
  <c r="R239" i="46"/>
  <c r="S239" i="46"/>
  <c r="A240" i="46"/>
  <c r="C240" i="46"/>
  <c r="D240" i="46"/>
  <c r="E240" i="46"/>
  <c r="F240" i="46"/>
  <c r="G240" i="46"/>
  <c r="H240" i="46"/>
  <c r="I240" i="46"/>
  <c r="J240" i="46"/>
  <c r="L240" i="46"/>
  <c r="M240" i="46"/>
  <c r="N240" i="46"/>
  <c r="O240" i="46"/>
  <c r="P240" i="46"/>
  <c r="Q240" i="46"/>
  <c r="R240" i="46"/>
  <c r="S240" i="46"/>
  <c r="A241" i="46"/>
  <c r="C241" i="46"/>
  <c r="D241" i="46"/>
  <c r="E241" i="46"/>
  <c r="F241" i="46"/>
  <c r="G241" i="46"/>
  <c r="H241" i="46"/>
  <c r="I241" i="46"/>
  <c r="J241" i="46"/>
  <c r="L241" i="46"/>
  <c r="M241" i="46"/>
  <c r="N241" i="46"/>
  <c r="O241" i="46"/>
  <c r="P241" i="46"/>
  <c r="Q241" i="46"/>
  <c r="R241" i="46"/>
  <c r="S241" i="46"/>
  <c r="A242" i="46"/>
  <c r="C242" i="46"/>
  <c r="D242" i="46"/>
  <c r="E242" i="46"/>
  <c r="F242" i="46"/>
  <c r="G242" i="46"/>
  <c r="H242" i="46"/>
  <c r="I242" i="46"/>
  <c r="J242" i="46"/>
  <c r="L242" i="46"/>
  <c r="M242" i="46"/>
  <c r="N242" i="46"/>
  <c r="O242" i="46"/>
  <c r="P242" i="46"/>
  <c r="Q242" i="46"/>
  <c r="R242" i="46"/>
  <c r="S242" i="46"/>
  <c r="A243" i="46"/>
  <c r="C243" i="46"/>
  <c r="D243" i="46"/>
  <c r="E243" i="46"/>
  <c r="F243" i="46"/>
  <c r="G243" i="46"/>
  <c r="H243" i="46"/>
  <c r="I243" i="46"/>
  <c r="J243" i="46"/>
  <c r="L243" i="46"/>
  <c r="M243" i="46"/>
  <c r="N243" i="46"/>
  <c r="O243" i="46"/>
  <c r="P243" i="46"/>
  <c r="Q243" i="46"/>
  <c r="R243" i="46"/>
  <c r="S243" i="46"/>
  <c r="A244" i="46"/>
  <c r="C244" i="46"/>
  <c r="D244" i="46"/>
  <c r="E244" i="46"/>
  <c r="F244" i="46"/>
  <c r="G244" i="46"/>
  <c r="H244" i="46"/>
  <c r="I244" i="46"/>
  <c r="J244" i="46"/>
  <c r="L244" i="46"/>
  <c r="M244" i="46"/>
  <c r="N244" i="46"/>
  <c r="O244" i="46"/>
  <c r="P244" i="46"/>
  <c r="Q244" i="46"/>
  <c r="R244" i="46"/>
  <c r="S244" i="46"/>
  <c r="A245" i="46"/>
  <c r="C245" i="46"/>
  <c r="D245" i="46"/>
  <c r="E245" i="46"/>
  <c r="F245" i="46"/>
  <c r="G245" i="46"/>
  <c r="H245" i="46"/>
  <c r="I245" i="46"/>
  <c r="J245" i="46"/>
  <c r="L245" i="46"/>
  <c r="M245" i="46"/>
  <c r="N245" i="46"/>
  <c r="O245" i="46"/>
  <c r="P245" i="46"/>
  <c r="Q245" i="46"/>
  <c r="R245" i="46"/>
  <c r="S245" i="46"/>
  <c r="A246" i="46"/>
  <c r="C246" i="46"/>
  <c r="D246" i="46"/>
  <c r="E246" i="46"/>
  <c r="F246" i="46"/>
  <c r="G246" i="46"/>
  <c r="H246" i="46"/>
  <c r="I246" i="46"/>
  <c r="J246" i="46"/>
  <c r="L246" i="46"/>
  <c r="M246" i="46"/>
  <c r="N246" i="46"/>
  <c r="O246" i="46"/>
  <c r="P246" i="46"/>
  <c r="Q246" i="46"/>
  <c r="R246" i="46"/>
  <c r="S246" i="46"/>
  <c r="A247" i="46"/>
  <c r="C247" i="46"/>
  <c r="D247" i="46"/>
  <c r="E247" i="46"/>
  <c r="F247" i="46"/>
  <c r="G247" i="46"/>
  <c r="H247" i="46"/>
  <c r="I247" i="46"/>
  <c r="J247" i="46"/>
  <c r="L247" i="46"/>
  <c r="M247" i="46"/>
  <c r="N247" i="46"/>
  <c r="O247" i="46"/>
  <c r="P247" i="46"/>
  <c r="Q247" i="46"/>
  <c r="R247" i="46"/>
  <c r="S247" i="46"/>
  <c r="A248" i="46"/>
  <c r="C248" i="46"/>
  <c r="D248" i="46"/>
  <c r="E248" i="46"/>
  <c r="F248" i="46"/>
  <c r="G248" i="46"/>
  <c r="H248" i="46"/>
  <c r="I248" i="46"/>
  <c r="J248" i="46"/>
  <c r="L248" i="46"/>
  <c r="M248" i="46"/>
  <c r="N248" i="46"/>
  <c r="O248" i="46"/>
  <c r="P248" i="46"/>
  <c r="Q248" i="46"/>
  <c r="R248" i="46"/>
  <c r="S248" i="46"/>
  <c r="A249" i="46"/>
  <c r="C249" i="46"/>
  <c r="D249" i="46"/>
  <c r="E249" i="46"/>
  <c r="F249" i="46"/>
  <c r="G249" i="46"/>
  <c r="H249" i="46"/>
  <c r="I249" i="46"/>
  <c r="J249" i="46"/>
  <c r="L249" i="46"/>
  <c r="M249" i="46"/>
  <c r="N249" i="46"/>
  <c r="O249" i="46"/>
  <c r="P249" i="46"/>
  <c r="Q249" i="46"/>
  <c r="R249" i="46"/>
  <c r="S249" i="46"/>
  <c r="A250" i="46"/>
  <c r="C250" i="46"/>
  <c r="D250" i="46"/>
  <c r="E250" i="46"/>
  <c r="F250" i="46"/>
  <c r="G250" i="46"/>
  <c r="H250" i="46"/>
  <c r="I250" i="46"/>
  <c r="J250" i="46"/>
  <c r="L250" i="46"/>
  <c r="M250" i="46"/>
  <c r="N250" i="46"/>
  <c r="O250" i="46"/>
  <c r="P250" i="46"/>
  <c r="Q250" i="46"/>
  <c r="R250" i="46"/>
  <c r="S250" i="46"/>
  <c r="A251" i="46"/>
  <c r="C251" i="46"/>
  <c r="D251" i="46"/>
  <c r="E251" i="46"/>
  <c r="F251" i="46"/>
  <c r="G251" i="46"/>
  <c r="H251" i="46"/>
  <c r="I251" i="46"/>
  <c r="J251" i="46"/>
  <c r="L251" i="46"/>
  <c r="M251" i="46"/>
  <c r="N251" i="46"/>
  <c r="O251" i="46"/>
  <c r="P251" i="46"/>
  <c r="Q251" i="46"/>
  <c r="R251" i="46"/>
  <c r="S251" i="46"/>
  <c r="A252" i="46"/>
  <c r="C252" i="46"/>
  <c r="D252" i="46"/>
  <c r="E252" i="46"/>
  <c r="F252" i="46"/>
  <c r="G252" i="46"/>
  <c r="H252" i="46"/>
  <c r="I252" i="46"/>
  <c r="J252" i="46"/>
  <c r="L252" i="46"/>
  <c r="M252" i="46"/>
  <c r="N252" i="46"/>
  <c r="O252" i="46"/>
  <c r="P252" i="46"/>
  <c r="Q252" i="46"/>
  <c r="R252" i="46"/>
  <c r="S252" i="46"/>
  <c r="A253" i="46"/>
  <c r="C253" i="46"/>
  <c r="D253" i="46"/>
  <c r="E253" i="46"/>
  <c r="F253" i="46"/>
  <c r="G253" i="46"/>
  <c r="H253" i="46"/>
  <c r="I253" i="46"/>
  <c r="J253" i="46"/>
  <c r="L253" i="46"/>
  <c r="M253" i="46"/>
  <c r="N253" i="46"/>
  <c r="O253" i="46"/>
  <c r="P253" i="46"/>
  <c r="Q253" i="46"/>
  <c r="R253" i="46"/>
  <c r="S253" i="46"/>
  <c r="A254" i="46"/>
  <c r="C254" i="46"/>
  <c r="D254" i="46"/>
  <c r="E254" i="46"/>
  <c r="F254" i="46"/>
  <c r="G254" i="46"/>
  <c r="H254" i="46"/>
  <c r="I254" i="46"/>
  <c r="J254" i="46"/>
  <c r="L254" i="46"/>
  <c r="M254" i="46"/>
  <c r="N254" i="46"/>
  <c r="O254" i="46"/>
  <c r="P254" i="46"/>
  <c r="Q254" i="46"/>
  <c r="R254" i="46"/>
  <c r="S254" i="46"/>
  <c r="A255" i="46"/>
  <c r="C255" i="46"/>
  <c r="D255" i="46"/>
  <c r="E255" i="46"/>
  <c r="F255" i="46"/>
  <c r="G255" i="46"/>
  <c r="H255" i="46"/>
  <c r="I255" i="46"/>
  <c r="J255" i="46"/>
  <c r="L255" i="46"/>
  <c r="M255" i="46"/>
  <c r="N255" i="46"/>
  <c r="O255" i="46"/>
  <c r="P255" i="46"/>
  <c r="Q255" i="46"/>
  <c r="R255" i="46"/>
  <c r="S255" i="46"/>
  <c r="A256" i="46"/>
  <c r="C256" i="46"/>
  <c r="D256" i="46"/>
  <c r="E256" i="46"/>
  <c r="F256" i="46"/>
  <c r="G256" i="46"/>
  <c r="H256" i="46"/>
  <c r="I256" i="46"/>
  <c r="J256" i="46"/>
  <c r="L256" i="46"/>
  <c r="M256" i="46"/>
  <c r="N256" i="46"/>
  <c r="O256" i="46"/>
  <c r="P256" i="46"/>
  <c r="Q256" i="46"/>
  <c r="R256" i="46"/>
  <c r="S256" i="46"/>
  <c r="A257" i="46"/>
  <c r="C257" i="46"/>
  <c r="D257" i="46"/>
  <c r="E257" i="46"/>
  <c r="F257" i="46"/>
  <c r="G257" i="46"/>
  <c r="H257" i="46"/>
  <c r="I257" i="46"/>
  <c r="J257" i="46"/>
  <c r="L257" i="46"/>
  <c r="M257" i="46"/>
  <c r="N257" i="46"/>
  <c r="O257" i="46"/>
  <c r="P257" i="46"/>
  <c r="Q257" i="46"/>
  <c r="R257" i="46"/>
  <c r="S257" i="46"/>
  <c r="A258" i="46"/>
  <c r="C258" i="46"/>
  <c r="D258" i="46"/>
  <c r="E258" i="46"/>
  <c r="F258" i="46"/>
  <c r="G258" i="46"/>
  <c r="H258" i="46"/>
  <c r="I258" i="46"/>
  <c r="J258" i="46"/>
  <c r="L258" i="46"/>
  <c r="M258" i="46"/>
  <c r="N258" i="46"/>
  <c r="O258" i="46"/>
  <c r="P258" i="46"/>
  <c r="Q258" i="46"/>
  <c r="R258" i="46"/>
  <c r="S258" i="46"/>
  <c r="A259" i="46"/>
  <c r="C259" i="46"/>
  <c r="D259" i="46"/>
  <c r="E259" i="46"/>
  <c r="F259" i="46"/>
  <c r="G259" i="46"/>
  <c r="H259" i="46"/>
  <c r="I259" i="46"/>
  <c r="J259" i="46"/>
  <c r="L259" i="46"/>
  <c r="M259" i="46"/>
  <c r="N259" i="46"/>
  <c r="O259" i="46"/>
  <c r="P259" i="46"/>
  <c r="Q259" i="46"/>
  <c r="R259" i="46"/>
  <c r="S259" i="46"/>
  <c r="A260" i="46"/>
  <c r="C260" i="46"/>
  <c r="D260" i="46"/>
  <c r="E260" i="46"/>
  <c r="F260" i="46"/>
  <c r="G260" i="46"/>
  <c r="H260" i="46"/>
  <c r="I260" i="46"/>
  <c r="J260" i="46"/>
  <c r="L260" i="46"/>
  <c r="M260" i="46"/>
  <c r="N260" i="46"/>
  <c r="O260" i="46"/>
  <c r="P260" i="46"/>
  <c r="Q260" i="46"/>
  <c r="R260" i="46"/>
  <c r="S260" i="46"/>
  <c r="A261" i="46"/>
  <c r="C261" i="46"/>
  <c r="D261" i="46"/>
  <c r="E261" i="46"/>
  <c r="F261" i="46"/>
  <c r="G261" i="46"/>
  <c r="H261" i="46"/>
  <c r="I261" i="46"/>
  <c r="J261" i="46"/>
  <c r="L261" i="46"/>
  <c r="M261" i="46"/>
  <c r="N261" i="46"/>
  <c r="O261" i="46"/>
  <c r="P261" i="46"/>
  <c r="Q261" i="46"/>
  <c r="R261" i="46"/>
  <c r="S261" i="46"/>
  <c r="A262" i="46"/>
  <c r="C262" i="46"/>
  <c r="D262" i="46"/>
  <c r="E262" i="46"/>
  <c r="F262" i="46"/>
  <c r="G262" i="46"/>
  <c r="H262" i="46"/>
  <c r="I262" i="46"/>
  <c r="J262" i="46"/>
  <c r="L262" i="46"/>
  <c r="M262" i="46"/>
  <c r="N262" i="46"/>
  <c r="O262" i="46"/>
  <c r="P262" i="46"/>
  <c r="Q262" i="46"/>
  <c r="R262" i="46"/>
  <c r="S262" i="46"/>
  <c r="A263" i="46"/>
  <c r="C263" i="46"/>
  <c r="D263" i="46"/>
  <c r="E263" i="46"/>
  <c r="F263" i="46"/>
  <c r="G263" i="46"/>
  <c r="H263" i="46"/>
  <c r="I263" i="46"/>
  <c r="J263" i="46"/>
  <c r="L263" i="46"/>
  <c r="M263" i="46"/>
  <c r="N263" i="46"/>
  <c r="O263" i="46"/>
  <c r="P263" i="46"/>
  <c r="Q263" i="46"/>
  <c r="R263" i="46"/>
  <c r="S263" i="46"/>
  <c r="A264" i="46"/>
  <c r="C264" i="46"/>
  <c r="D264" i="46"/>
  <c r="E264" i="46"/>
  <c r="F264" i="46"/>
  <c r="G264" i="46"/>
  <c r="H264" i="46"/>
  <c r="I264" i="46"/>
  <c r="J264" i="46"/>
  <c r="L264" i="46"/>
  <c r="M264" i="46"/>
  <c r="N264" i="46"/>
  <c r="O264" i="46"/>
  <c r="P264" i="46"/>
  <c r="Q264" i="46"/>
  <c r="R264" i="46"/>
  <c r="S264" i="46"/>
  <c r="A265" i="46"/>
  <c r="C265" i="46"/>
  <c r="D265" i="46"/>
  <c r="E265" i="46"/>
  <c r="F265" i="46"/>
  <c r="G265" i="46"/>
  <c r="H265" i="46"/>
  <c r="I265" i="46"/>
  <c r="J265" i="46"/>
  <c r="L265" i="46"/>
  <c r="M265" i="46"/>
  <c r="N265" i="46"/>
  <c r="O265" i="46"/>
  <c r="P265" i="46"/>
  <c r="Q265" i="46"/>
  <c r="R265" i="46"/>
  <c r="S265" i="46"/>
  <c r="A266" i="46"/>
  <c r="C266" i="46"/>
  <c r="D266" i="46"/>
  <c r="E266" i="46"/>
  <c r="F266" i="46"/>
  <c r="G266" i="46"/>
  <c r="H266" i="46"/>
  <c r="I266" i="46"/>
  <c r="J266" i="46"/>
  <c r="L266" i="46"/>
  <c r="M266" i="46"/>
  <c r="N266" i="46"/>
  <c r="O266" i="46"/>
  <c r="P266" i="46"/>
  <c r="Q266" i="46"/>
  <c r="R266" i="46"/>
  <c r="S266" i="46"/>
  <c r="J268" i="46"/>
  <c r="S268" i="46"/>
  <c r="B270" i="46"/>
  <c r="C270" i="46"/>
  <c r="D270" i="46"/>
  <c r="E270" i="46"/>
  <c r="F270" i="46"/>
  <c r="G270" i="46"/>
  <c r="H270" i="46"/>
  <c r="I270" i="46"/>
  <c r="J270" i="46"/>
  <c r="K270" i="46"/>
  <c r="L270" i="46"/>
  <c r="M270" i="46"/>
  <c r="N270" i="46"/>
  <c r="O270" i="46"/>
  <c r="P270" i="46"/>
  <c r="Q270" i="46"/>
  <c r="R270" i="46"/>
  <c r="S270" i="46"/>
  <c r="A1" i="35"/>
  <c r="A2" i="35"/>
  <c r="A3" i="35"/>
  <c r="D9" i="35"/>
  <c r="AN9" i="35"/>
  <c r="D10" i="35"/>
  <c r="AN10" i="35"/>
  <c r="A12" i="35"/>
  <c r="C12" i="35"/>
  <c r="D12" i="35"/>
  <c r="E12" i="35"/>
  <c r="F12" i="35"/>
  <c r="G12" i="35"/>
  <c r="H12" i="35"/>
  <c r="I12" i="35"/>
  <c r="J12" i="35"/>
  <c r="K12" i="35"/>
  <c r="L12" i="35"/>
  <c r="M12" i="35"/>
  <c r="O12" i="35"/>
  <c r="P12" i="35"/>
  <c r="Q12" i="35"/>
  <c r="R12" i="35"/>
  <c r="S12" i="35"/>
  <c r="T12" i="35"/>
  <c r="U12" i="35"/>
  <c r="V12" i="35"/>
  <c r="W12" i="35"/>
  <c r="X12" i="35"/>
  <c r="Y12" i="35"/>
  <c r="AA12" i="35"/>
  <c r="AB12" i="35"/>
  <c r="AC12" i="35"/>
  <c r="AD12" i="35"/>
  <c r="AE12" i="35"/>
  <c r="AF12" i="35"/>
  <c r="AG12" i="35"/>
  <c r="AH12" i="35"/>
  <c r="AI12" i="35"/>
  <c r="AJ12" i="35"/>
  <c r="AK12" i="35"/>
  <c r="AM12" i="35"/>
  <c r="AN12" i="35"/>
  <c r="AO12" i="35"/>
  <c r="AP12" i="35"/>
  <c r="AQ12" i="35"/>
  <c r="AR12" i="35"/>
  <c r="AS12" i="35"/>
  <c r="A13" i="35"/>
  <c r="C13" i="35"/>
  <c r="D13" i="35"/>
  <c r="E13" i="35"/>
  <c r="F13" i="35"/>
  <c r="G13" i="35"/>
  <c r="H13" i="35"/>
  <c r="I13" i="35"/>
  <c r="J13" i="35"/>
  <c r="K13" i="35"/>
  <c r="L13" i="35"/>
  <c r="M13" i="35"/>
  <c r="O13" i="35"/>
  <c r="P13" i="35"/>
  <c r="Q13" i="35"/>
  <c r="R13" i="35"/>
  <c r="S13" i="35"/>
  <c r="T13" i="35"/>
  <c r="U13" i="35"/>
  <c r="V13" i="35"/>
  <c r="W13" i="35"/>
  <c r="X13" i="35"/>
  <c r="Y13" i="35"/>
  <c r="AA13" i="35"/>
  <c r="AB13" i="35"/>
  <c r="AC13" i="35"/>
  <c r="AD13" i="35"/>
  <c r="AE13" i="35"/>
  <c r="AF13" i="35"/>
  <c r="AG13" i="35"/>
  <c r="AH13" i="35"/>
  <c r="AI13" i="35"/>
  <c r="AJ13" i="35"/>
  <c r="AK13" i="35"/>
  <c r="AM13" i="35"/>
  <c r="AN13" i="35"/>
  <c r="AO13" i="35"/>
  <c r="AP13" i="35"/>
  <c r="AQ13" i="35"/>
  <c r="AR13" i="35"/>
  <c r="AS13" i="35"/>
  <c r="A14" i="35"/>
  <c r="C14" i="35"/>
  <c r="D14" i="35"/>
  <c r="E14" i="35"/>
  <c r="F14" i="35"/>
  <c r="G14" i="35"/>
  <c r="H14" i="35"/>
  <c r="I14" i="35"/>
  <c r="J14" i="35"/>
  <c r="K14" i="35"/>
  <c r="L14" i="35"/>
  <c r="M14" i="35"/>
  <c r="O14" i="35"/>
  <c r="P14" i="35"/>
  <c r="Q14" i="35"/>
  <c r="R14" i="35"/>
  <c r="S14" i="35"/>
  <c r="T14" i="35"/>
  <c r="U14" i="35"/>
  <c r="V14" i="35"/>
  <c r="W14" i="35"/>
  <c r="X14" i="35"/>
  <c r="Y14" i="35"/>
  <c r="AA14" i="35"/>
  <c r="AB14" i="35"/>
  <c r="AC14" i="35"/>
  <c r="AD14" i="35"/>
  <c r="AE14" i="35"/>
  <c r="AF14" i="35"/>
  <c r="AG14" i="35"/>
  <c r="AH14" i="35"/>
  <c r="AI14" i="35"/>
  <c r="AJ14" i="35"/>
  <c r="AK14" i="35"/>
  <c r="AM14" i="35"/>
  <c r="AN14" i="35"/>
  <c r="AO14" i="35"/>
  <c r="AP14" i="35"/>
  <c r="AQ14" i="35"/>
  <c r="AR14" i="35"/>
  <c r="AS14" i="35"/>
  <c r="A15" i="35"/>
  <c r="C15" i="35"/>
  <c r="D15" i="35"/>
  <c r="E15" i="35"/>
  <c r="F15" i="35"/>
  <c r="G15" i="35"/>
  <c r="H15" i="35"/>
  <c r="I15" i="35"/>
  <c r="J15" i="35"/>
  <c r="K15" i="35"/>
  <c r="L15" i="35"/>
  <c r="M15" i="35"/>
  <c r="O15" i="35"/>
  <c r="P15" i="35"/>
  <c r="Q15" i="35"/>
  <c r="R15" i="35"/>
  <c r="S15" i="35"/>
  <c r="T15" i="35"/>
  <c r="U15" i="35"/>
  <c r="V15" i="35"/>
  <c r="W15" i="35"/>
  <c r="X15" i="35"/>
  <c r="Y15" i="35"/>
  <c r="AA15" i="35"/>
  <c r="AB15" i="35"/>
  <c r="AC15" i="35"/>
  <c r="AD15" i="35"/>
  <c r="AE15" i="35"/>
  <c r="AF15" i="35"/>
  <c r="AG15" i="35"/>
  <c r="AH15" i="35"/>
  <c r="AI15" i="35"/>
  <c r="AJ15" i="35"/>
  <c r="AK15" i="35"/>
  <c r="AM15" i="35"/>
  <c r="AN15" i="35"/>
  <c r="AO15" i="35"/>
  <c r="AP15" i="35"/>
  <c r="AQ15" i="35"/>
  <c r="AR15" i="35"/>
  <c r="AS15" i="35"/>
  <c r="A16" i="35"/>
  <c r="C16" i="35"/>
  <c r="D16" i="35"/>
  <c r="E16" i="35"/>
  <c r="F16" i="35"/>
  <c r="G16" i="35"/>
  <c r="H16" i="35"/>
  <c r="I16" i="35"/>
  <c r="J16" i="35"/>
  <c r="K16" i="35"/>
  <c r="L16" i="35"/>
  <c r="M16" i="35"/>
  <c r="O16" i="35"/>
  <c r="P16" i="35"/>
  <c r="Q16" i="35"/>
  <c r="R16" i="35"/>
  <c r="S16" i="35"/>
  <c r="T16" i="35"/>
  <c r="U16" i="35"/>
  <c r="V16" i="35"/>
  <c r="W16" i="35"/>
  <c r="X16" i="35"/>
  <c r="Y16" i="35"/>
  <c r="AA16" i="35"/>
  <c r="AB16" i="35"/>
  <c r="AC16" i="35"/>
  <c r="AD16" i="35"/>
  <c r="AE16" i="35"/>
  <c r="AF16" i="35"/>
  <c r="AG16" i="35"/>
  <c r="AH16" i="35"/>
  <c r="AI16" i="35"/>
  <c r="AJ16" i="35"/>
  <c r="AK16" i="35"/>
  <c r="AM16" i="35"/>
  <c r="AN16" i="35"/>
  <c r="AO16" i="35"/>
  <c r="AP16" i="35"/>
  <c r="AQ16" i="35"/>
  <c r="AR16" i="35"/>
  <c r="AS16" i="35"/>
  <c r="A17" i="35"/>
  <c r="C17" i="35"/>
  <c r="D17" i="35"/>
  <c r="E17" i="35"/>
  <c r="F17" i="35"/>
  <c r="G17" i="35"/>
  <c r="H17" i="35"/>
  <c r="I17" i="35"/>
  <c r="J17" i="35"/>
  <c r="K17" i="35"/>
  <c r="L17" i="35"/>
  <c r="M17" i="35"/>
  <c r="O17" i="35"/>
  <c r="P17" i="35"/>
  <c r="Q17" i="35"/>
  <c r="R17" i="35"/>
  <c r="S17" i="35"/>
  <c r="T17" i="35"/>
  <c r="U17" i="35"/>
  <c r="V17" i="35"/>
  <c r="W17" i="35"/>
  <c r="X17" i="35"/>
  <c r="Y17" i="35"/>
  <c r="AA17" i="35"/>
  <c r="AB17" i="35"/>
  <c r="AC17" i="35"/>
  <c r="AD17" i="35"/>
  <c r="AE17" i="35"/>
  <c r="AF17" i="35"/>
  <c r="AG17" i="35"/>
  <c r="AH17" i="35"/>
  <c r="AI17" i="35"/>
  <c r="AJ17" i="35"/>
  <c r="AK17" i="35"/>
  <c r="AM17" i="35"/>
  <c r="AN17" i="35"/>
  <c r="AO17" i="35"/>
  <c r="AP17" i="35"/>
  <c r="AQ17" i="35"/>
  <c r="AR17" i="35"/>
  <c r="AS17" i="35"/>
  <c r="A18" i="35"/>
  <c r="C18" i="35"/>
  <c r="D18" i="35"/>
  <c r="E18" i="35"/>
  <c r="F18" i="35"/>
  <c r="G18" i="35"/>
  <c r="H18" i="35"/>
  <c r="I18" i="35"/>
  <c r="J18" i="35"/>
  <c r="K18" i="35"/>
  <c r="L18" i="35"/>
  <c r="M18" i="35"/>
  <c r="O18" i="35"/>
  <c r="P18" i="35"/>
  <c r="Q18" i="35"/>
  <c r="R18" i="35"/>
  <c r="S18" i="35"/>
  <c r="T18" i="35"/>
  <c r="U18" i="35"/>
  <c r="V18" i="35"/>
  <c r="W18" i="35"/>
  <c r="X18" i="35"/>
  <c r="Y18" i="35"/>
  <c r="AA18" i="35"/>
  <c r="AB18" i="35"/>
  <c r="AC18" i="35"/>
  <c r="AD18" i="35"/>
  <c r="AE18" i="35"/>
  <c r="AF18" i="35"/>
  <c r="AG18" i="35"/>
  <c r="AH18" i="35"/>
  <c r="AI18" i="35"/>
  <c r="AJ18" i="35"/>
  <c r="AK18" i="35"/>
  <c r="AM18" i="35"/>
  <c r="AN18" i="35"/>
  <c r="AO18" i="35"/>
  <c r="AP18" i="35"/>
  <c r="AQ18" i="35"/>
  <c r="AR18" i="35"/>
  <c r="AS18" i="35"/>
  <c r="A19" i="35"/>
  <c r="C19" i="35"/>
  <c r="D19" i="35"/>
  <c r="E19" i="35"/>
  <c r="F19" i="35"/>
  <c r="G19" i="35"/>
  <c r="H19" i="35"/>
  <c r="I19" i="35"/>
  <c r="J19" i="35"/>
  <c r="K19" i="35"/>
  <c r="L19" i="35"/>
  <c r="M19" i="35"/>
  <c r="O19" i="35"/>
  <c r="P19" i="35"/>
  <c r="Q19" i="35"/>
  <c r="R19" i="35"/>
  <c r="S19" i="35"/>
  <c r="T19" i="35"/>
  <c r="U19" i="35"/>
  <c r="V19" i="35"/>
  <c r="W19" i="35"/>
  <c r="X19" i="35"/>
  <c r="Y19" i="35"/>
  <c r="AA19" i="35"/>
  <c r="AB19" i="35"/>
  <c r="AC19" i="35"/>
  <c r="AD19" i="35"/>
  <c r="AE19" i="35"/>
  <c r="AF19" i="35"/>
  <c r="AG19" i="35"/>
  <c r="AH19" i="35"/>
  <c r="AI19" i="35"/>
  <c r="AJ19" i="35"/>
  <c r="AK19" i="35"/>
  <c r="AM19" i="35"/>
  <c r="AN19" i="35"/>
  <c r="AO19" i="35"/>
  <c r="AP19" i="35"/>
  <c r="AQ19" i="35"/>
  <c r="AR19" i="35"/>
  <c r="AS19" i="35"/>
  <c r="A20" i="35"/>
  <c r="C20" i="35"/>
  <c r="D20" i="35"/>
  <c r="E20" i="35"/>
  <c r="F20" i="35"/>
  <c r="G20" i="35"/>
  <c r="H20" i="35"/>
  <c r="I20" i="35"/>
  <c r="J20" i="35"/>
  <c r="K20" i="35"/>
  <c r="L20" i="35"/>
  <c r="M20" i="35"/>
  <c r="O20" i="35"/>
  <c r="P20" i="35"/>
  <c r="Q20" i="35"/>
  <c r="R20" i="35"/>
  <c r="S20" i="35"/>
  <c r="T20" i="35"/>
  <c r="U20" i="35"/>
  <c r="V20" i="35"/>
  <c r="W20" i="35"/>
  <c r="X20" i="35"/>
  <c r="Y20" i="35"/>
  <c r="AA20" i="35"/>
  <c r="AB20" i="35"/>
  <c r="AC20" i="35"/>
  <c r="AD20" i="35"/>
  <c r="AE20" i="35"/>
  <c r="AF20" i="35"/>
  <c r="AG20" i="35"/>
  <c r="AH20" i="35"/>
  <c r="AI20" i="35"/>
  <c r="AJ20" i="35"/>
  <c r="AK20" i="35"/>
  <c r="AM20" i="35"/>
  <c r="AN20" i="35"/>
  <c r="AO20" i="35"/>
  <c r="AP20" i="35"/>
  <c r="AQ20" i="35"/>
  <c r="AR20" i="35"/>
  <c r="AS20" i="35"/>
  <c r="A21" i="35"/>
  <c r="C21" i="35"/>
  <c r="D21" i="35"/>
  <c r="E21" i="35"/>
  <c r="F21" i="35"/>
  <c r="G21" i="35"/>
  <c r="H21" i="35"/>
  <c r="I21" i="35"/>
  <c r="J21" i="35"/>
  <c r="K21" i="35"/>
  <c r="L21" i="35"/>
  <c r="M21" i="35"/>
  <c r="O21" i="35"/>
  <c r="P21" i="35"/>
  <c r="Q21" i="35"/>
  <c r="R21" i="35"/>
  <c r="S21" i="35"/>
  <c r="T21" i="35"/>
  <c r="U21" i="35"/>
  <c r="V21" i="35"/>
  <c r="W21" i="35"/>
  <c r="X21" i="35"/>
  <c r="Y21" i="35"/>
  <c r="AA21" i="35"/>
  <c r="AB21" i="35"/>
  <c r="AC21" i="35"/>
  <c r="AD21" i="35"/>
  <c r="AE21" i="35"/>
  <c r="AF21" i="35"/>
  <c r="AG21" i="35"/>
  <c r="AH21" i="35"/>
  <c r="AI21" i="35"/>
  <c r="AJ21" i="35"/>
  <c r="AK21" i="35"/>
  <c r="AM21" i="35"/>
  <c r="AN21" i="35"/>
  <c r="AO21" i="35"/>
  <c r="AP21" i="35"/>
  <c r="AQ21" i="35"/>
  <c r="AR21" i="35"/>
  <c r="AS21" i="35"/>
  <c r="A22" i="35"/>
  <c r="C22" i="35"/>
  <c r="D22" i="35"/>
  <c r="E22" i="35"/>
  <c r="F22" i="35"/>
  <c r="G22" i="35"/>
  <c r="H22" i="35"/>
  <c r="I22" i="35"/>
  <c r="J22" i="35"/>
  <c r="K22" i="35"/>
  <c r="L22" i="35"/>
  <c r="M22" i="35"/>
  <c r="O22" i="35"/>
  <c r="P22" i="35"/>
  <c r="Q22" i="35"/>
  <c r="R22" i="35"/>
  <c r="S22" i="35"/>
  <c r="T22" i="35"/>
  <c r="U22" i="35"/>
  <c r="V22" i="35"/>
  <c r="W22" i="35"/>
  <c r="X22" i="35"/>
  <c r="Y22" i="35"/>
  <c r="AA22" i="35"/>
  <c r="AB22" i="35"/>
  <c r="AC22" i="35"/>
  <c r="AD22" i="35"/>
  <c r="AE22" i="35"/>
  <c r="AF22" i="35"/>
  <c r="AG22" i="35"/>
  <c r="AH22" i="35"/>
  <c r="AI22" i="35"/>
  <c r="AJ22" i="35"/>
  <c r="AK22" i="35"/>
  <c r="AM22" i="35"/>
  <c r="AN22" i="35"/>
  <c r="AO22" i="35"/>
  <c r="AP22" i="35"/>
  <c r="AQ22" i="35"/>
  <c r="AR22" i="35"/>
  <c r="AS22" i="35"/>
  <c r="A23" i="35"/>
  <c r="C23" i="35"/>
  <c r="D23" i="35"/>
  <c r="E23" i="35"/>
  <c r="F23" i="35"/>
  <c r="G23" i="35"/>
  <c r="H23" i="35"/>
  <c r="I23" i="35"/>
  <c r="J23" i="35"/>
  <c r="K23" i="35"/>
  <c r="L23" i="35"/>
  <c r="M23" i="35"/>
  <c r="O23" i="35"/>
  <c r="P23" i="35"/>
  <c r="Q23" i="35"/>
  <c r="R23" i="35"/>
  <c r="S23" i="35"/>
  <c r="T23" i="35"/>
  <c r="U23" i="35"/>
  <c r="V23" i="35"/>
  <c r="W23" i="35"/>
  <c r="X23" i="35"/>
  <c r="Y23" i="35"/>
  <c r="AA23" i="35"/>
  <c r="AB23" i="35"/>
  <c r="AC23" i="35"/>
  <c r="AD23" i="35"/>
  <c r="AE23" i="35"/>
  <c r="AF23" i="35"/>
  <c r="AG23" i="35"/>
  <c r="AH23" i="35"/>
  <c r="AI23" i="35"/>
  <c r="AJ23" i="35"/>
  <c r="AK23" i="35"/>
  <c r="AM23" i="35"/>
  <c r="AN23" i="35"/>
  <c r="AO23" i="35"/>
  <c r="AP23" i="35"/>
  <c r="AQ23" i="35"/>
  <c r="AR23" i="35"/>
  <c r="AS23" i="35"/>
  <c r="A24" i="35"/>
  <c r="C24" i="35"/>
  <c r="D24" i="35"/>
  <c r="E24" i="35"/>
  <c r="F24" i="35"/>
  <c r="G24" i="35"/>
  <c r="H24" i="35"/>
  <c r="I24" i="35"/>
  <c r="J24" i="35"/>
  <c r="K24" i="35"/>
  <c r="L24" i="35"/>
  <c r="M24" i="35"/>
  <c r="O24" i="35"/>
  <c r="P24" i="35"/>
  <c r="Q24" i="35"/>
  <c r="R24" i="35"/>
  <c r="S24" i="35"/>
  <c r="T24" i="35"/>
  <c r="U24" i="35"/>
  <c r="V24" i="35"/>
  <c r="W24" i="35"/>
  <c r="X24" i="35"/>
  <c r="Y24" i="35"/>
  <c r="AA24" i="35"/>
  <c r="AB24" i="35"/>
  <c r="AC24" i="35"/>
  <c r="AD24" i="35"/>
  <c r="AE24" i="35"/>
  <c r="AF24" i="35"/>
  <c r="AG24" i="35"/>
  <c r="AH24" i="35"/>
  <c r="AI24" i="35"/>
  <c r="AJ24" i="35"/>
  <c r="AK24" i="35"/>
  <c r="AM24" i="35"/>
  <c r="AN24" i="35"/>
  <c r="AO24" i="35"/>
  <c r="AP24" i="35"/>
  <c r="AQ24" i="35"/>
  <c r="AR24" i="35"/>
  <c r="AS24" i="35"/>
  <c r="A25" i="35"/>
  <c r="C25" i="35"/>
  <c r="D25" i="35"/>
  <c r="E25" i="35"/>
  <c r="F25" i="35"/>
  <c r="G25" i="35"/>
  <c r="H25" i="35"/>
  <c r="I25" i="35"/>
  <c r="J25" i="35"/>
  <c r="K25" i="35"/>
  <c r="L25" i="35"/>
  <c r="M25" i="35"/>
  <c r="O25" i="35"/>
  <c r="P25" i="35"/>
  <c r="Q25" i="35"/>
  <c r="R25" i="35"/>
  <c r="S25" i="35"/>
  <c r="T25" i="35"/>
  <c r="U25" i="35"/>
  <c r="V25" i="35"/>
  <c r="W25" i="35"/>
  <c r="X25" i="35"/>
  <c r="Y25" i="35"/>
  <c r="AA25" i="35"/>
  <c r="AB25" i="35"/>
  <c r="AC25" i="35"/>
  <c r="AD25" i="35"/>
  <c r="AE25" i="35"/>
  <c r="AF25" i="35"/>
  <c r="AG25" i="35"/>
  <c r="AH25" i="35"/>
  <c r="AI25" i="35"/>
  <c r="AJ25" i="35"/>
  <c r="AK25" i="35"/>
  <c r="AM25" i="35"/>
  <c r="AN25" i="35"/>
  <c r="AO25" i="35"/>
  <c r="AP25" i="35"/>
  <c r="AQ25" i="35"/>
  <c r="AR25" i="35"/>
  <c r="AS25" i="35"/>
  <c r="A26" i="35"/>
  <c r="C26" i="35"/>
  <c r="D26" i="35"/>
  <c r="E26" i="35"/>
  <c r="F26" i="35"/>
  <c r="G26" i="35"/>
  <c r="H26" i="35"/>
  <c r="I26" i="35"/>
  <c r="J26" i="35"/>
  <c r="K26" i="35"/>
  <c r="L26" i="35"/>
  <c r="M26" i="35"/>
  <c r="O26" i="35"/>
  <c r="P26" i="35"/>
  <c r="Q26" i="35"/>
  <c r="R26" i="35"/>
  <c r="S26" i="35"/>
  <c r="T26" i="35"/>
  <c r="U26" i="35"/>
  <c r="V26" i="35"/>
  <c r="W26" i="35"/>
  <c r="X26" i="35"/>
  <c r="Y26" i="35"/>
  <c r="AA26" i="35"/>
  <c r="AB26" i="35"/>
  <c r="AC26" i="35"/>
  <c r="AD26" i="35"/>
  <c r="AE26" i="35"/>
  <c r="AF26" i="35"/>
  <c r="AG26" i="35"/>
  <c r="AH26" i="35"/>
  <c r="AI26" i="35"/>
  <c r="AJ26" i="35"/>
  <c r="AK26" i="35"/>
  <c r="AM26" i="35"/>
  <c r="AN26" i="35"/>
  <c r="AO26" i="35"/>
  <c r="AP26" i="35"/>
  <c r="AQ26" i="35"/>
  <c r="AR26" i="35"/>
  <c r="AS26" i="35"/>
  <c r="A27" i="35"/>
  <c r="C27" i="35"/>
  <c r="D27" i="35"/>
  <c r="E27" i="35"/>
  <c r="F27" i="35"/>
  <c r="G27" i="35"/>
  <c r="H27" i="35"/>
  <c r="I27" i="35"/>
  <c r="J27" i="35"/>
  <c r="K27" i="35"/>
  <c r="L27" i="35"/>
  <c r="M27" i="35"/>
  <c r="O27" i="35"/>
  <c r="P27" i="35"/>
  <c r="Q27" i="35"/>
  <c r="R27" i="35"/>
  <c r="S27" i="35"/>
  <c r="T27" i="35"/>
  <c r="U27" i="35"/>
  <c r="V27" i="35"/>
  <c r="W27" i="35"/>
  <c r="X27" i="35"/>
  <c r="Y27" i="35"/>
  <c r="AA27" i="35"/>
  <c r="AB27" i="35"/>
  <c r="AC27" i="35"/>
  <c r="AD27" i="35"/>
  <c r="AE27" i="35"/>
  <c r="AF27" i="35"/>
  <c r="AG27" i="35"/>
  <c r="AH27" i="35"/>
  <c r="AI27" i="35"/>
  <c r="AJ27" i="35"/>
  <c r="AK27" i="35"/>
  <c r="AM27" i="35"/>
  <c r="AN27" i="35"/>
  <c r="AO27" i="35"/>
  <c r="AP27" i="35"/>
  <c r="AQ27" i="35"/>
  <c r="AR27" i="35"/>
  <c r="AS27" i="35"/>
  <c r="A28" i="35"/>
  <c r="C28" i="35"/>
  <c r="D28" i="35"/>
  <c r="E28" i="35"/>
  <c r="F28" i="35"/>
  <c r="G28" i="35"/>
  <c r="H28" i="35"/>
  <c r="I28" i="35"/>
  <c r="J28" i="35"/>
  <c r="K28" i="35"/>
  <c r="L28" i="35"/>
  <c r="M28" i="35"/>
  <c r="O28" i="35"/>
  <c r="P28" i="35"/>
  <c r="Q28" i="35"/>
  <c r="R28" i="35"/>
  <c r="S28" i="35"/>
  <c r="T28" i="35"/>
  <c r="U28" i="35"/>
  <c r="V28" i="35"/>
  <c r="W28" i="35"/>
  <c r="X28" i="35"/>
  <c r="Y28" i="35"/>
  <c r="AA28" i="35"/>
  <c r="AB28" i="35"/>
  <c r="AC28" i="35"/>
  <c r="AD28" i="35"/>
  <c r="AE28" i="35"/>
  <c r="AF28" i="35"/>
  <c r="AG28" i="35"/>
  <c r="AH28" i="35"/>
  <c r="AI28" i="35"/>
  <c r="AJ28" i="35"/>
  <c r="AK28" i="35"/>
  <c r="AM28" i="35"/>
  <c r="AN28" i="35"/>
  <c r="AO28" i="35"/>
  <c r="AP28" i="35"/>
  <c r="AQ28" i="35"/>
  <c r="AR28" i="35"/>
  <c r="AS28" i="35"/>
  <c r="A29" i="35"/>
  <c r="C29" i="35"/>
  <c r="D29" i="35"/>
  <c r="E29" i="35"/>
  <c r="F29" i="35"/>
  <c r="G29" i="35"/>
  <c r="H29" i="35"/>
  <c r="I29" i="35"/>
  <c r="J29" i="35"/>
  <c r="K29" i="35"/>
  <c r="L29" i="35"/>
  <c r="M29" i="35"/>
  <c r="O29" i="35"/>
  <c r="P29" i="35"/>
  <c r="Q29" i="35"/>
  <c r="R29" i="35"/>
  <c r="S29" i="35"/>
  <c r="T29" i="35"/>
  <c r="U29" i="35"/>
  <c r="V29" i="35"/>
  <c r="W29" i="35"/>
  <c r="X29" i="35"/>
  <c r="Y29" i="35"/>
  <c r="AA29" i="35"/>
  <c r="AB29" i="35"/>
  <c r="AC29" i="35"/>
  <c r="AD29" i="35"/>
  <c r="AE29" i="35"/>
  <c r="AF29" i="35"/>
  <c r="AG29" i="35"/>
  <c r="AH29" i="35"/>
  <c r="AI29" i="35"/>
  <c r="AJ29" i="35"/>
  <c r="AK29" i="35"/>
  <c r="AM29" i="35"/>
  <c r="AN29" i="35"/>
  <c r="AO29" i="35"/>
  <c r="AP29" i="35"/>
  <c r="AQ29" i="35"/>
  <c r="AR29" i="35"/>
  <c r="AS29" i="35"/>
  <c r="A30" i="35"/>
  <c r="C30" i="35"/>
  <c r="D30" i="35"/>
  <c r="E30" i="35"/>
  <c r="F30" i="35"/>
  <c r="G30" i="35"/>
  <c r="H30" i="35"/>
  <c r="I30" i="35"/>
  <c r="J30" i="35"/>
  <c r="K30" i="35"/>
  <c r="L30" i="35"/>
  <c r="M30" i="35"/>
  <c r="O30" i="35"/>
  <c r="P30" i="35"/>
  <c r="Q30" i="35"/>
  <c r="R30" i="35"/>
  <c r="S30" i="35"/>
  <c r="T30" i="35"/>
  <c r="U30" i="35"/>
  <c r="V30" i="35"/>
  <c r="W30" i="35"/>
  <c r="X30" i="35"/>
  <c r="Y30" i="35"/>
  <c r="AA30" i="35"/>
  <c r="AB30" i="35"/>
  <c r="AC30" i="35"/>
  <c r="AD30" i="35"/>
  <c r="AE30" i="35"/>
  <c r="AF30" i="35"/>
  <c r="AG30" i="35"/>
  <c r="AH30" i="35"/>
  <c r="AI30" i="35"/>
  <c r="AJ30" i="35"/>
  <c r="AK30" i="35"/>
  <c r="AM30" i="35"/>
  <c r="AN30" i="35"/>
  <c r="AO30" i="35"/>
  <c r="AP30" i="35"/>
  <c r="AQ30" i="35"/>
  <c r="AR30" i="35"/>
  <c r="AS30" i="35"/>
  <c r="A31" i="35"/>
  <c r="C31" i="35"/>
  <c r="D31" i="35"/>
  <c r="E31" i="35"/>
  <c r="F31" i="35"/>
  <c r="G31" i="35"/>
  <c r="H31" i="35"/>
  <c r="I31" i="35"/>
  <c r="J31" i="35"/>
  <c r="K31" i="35"/>
  <c r="L31" i="35"/>
  <c r="M31" i="35"/>
  <c r="O31" i="35"/>
  <c r="P31" i="35"/>
  <c r="Q31" i="35"/>
  <c r="R31" i="35"/>
  <c r="S31" i="35"/>
  <c r="T31" i="35"/>
  <c r="U31" i="35"/>
  <c r="V31" i="35"/>
  <c r="W31" i="35"/>
  <c r="X31" i="35"/>
  <c r="Y31" i="35"/>
  <c r="AA31" i="35"/>
  <c r="AB31" i="35"/>
  <c r="AC31" i="35"/>
  <c r="AD31" i="35"/>
  <c r="AE31" i="35"/>
  <c r="AF31" i="35"/>
  <c r="AG31" i="35"/>
  <c r="AH31" i="35"/>
  <c r="AI31" i="35"/>
  <c r="AJ31" i="35"/>
  <c r="AK31" i="35"/>
  <c r="AM31" i="35"/>
  <c r="AN31" i="35"/>
  <c r="AO31" i="35"/>
  <c r="AP31" i="35"/>
  <c r="AQ31" i="35"/>
  <c r="AR31" i="35"/>
  <c r="AS31" i="35"/>
  <c r="A32" i="35"/>
  <c r="C32" i="35"/>
  <c r="D32" i="35"/>
  <c r="E32" i="35"/>
  <c r="F32" i="35"/>
  <c r="G32" i="35"/>
  <c r="H32" i="35"/>
  <c r="I32" i="35"/>
  <c r="J32" i="35"/>
  <c r="K32" i="35"/>
  <c r="L32" i="35"/>
  <c r="M32" i="35"/>
  <c r="O32" i="35"/>
  <c r="P32" i="35"/>
  <c r="Q32" i="35"/>
  <c r="R32" i="35"/>
  <c r="S32" i="35"/>
  <c r="T32" i="35"/>
  <c r="U32" i="35"/>
  <c r="V32" i="35"/>
  <c r="W32" i="35"/>
  <c r="X32" i="35"/>
  <c r="Y32" i="35"/>
  <c r="AA32" i="35"/>
  <c r="AB32" i="35"/>
  <c r="AC32" i="35"/>
  <c r="AD32" i="35"/>
  <c r="AE32" i="35"/>
  <c r="AF32" i="35"/>
  <c r="AG32" i="35"/>
  <c r="AH32" i="35"/>
  <c r="AI32" i="35"/>
  <c r="AJ32" i="35"/>
  <c r="AK32" i="35"/>
  <c r="AM32" i="35"/>
  <c r="AN32" i="35"/>
  <c r="AO32" i="35"/>
  <c r="AP32" i="35"/>
  <c r="AQ32" i="35"/>
  <c r="AR32" i="35"/>
  <c r="AS32" i="35"/>
  <c r="A33" i="35"/>
  <c r="C33" i="35"/>
  <c r="D33" i="35"/>
  <c r="E33" i="35"/>
  <c r="F33" i="35"/>
  <c r="G33" i="35"/>
  <c r="H33" i="35"/>
  <c r="I33" i="35"/>
  <c r="J33" i="35"/>
  <c r="K33" i="35"/>
  <c r="L33" i="35"/>
  <c r="M33" i="35"/>
  <c r="O33" i="35"/>
  <c r="P33" i="35"/>
  <c r="Q33" i="35"/>
  <c r="R33" i="35"/>
  <c r="S33" i="35"/>
  <c r="T33" i="35"/>
  <c r="U33" i="35"/>
  <c r="V33" i="35"/>
  <c r="W33" i="35"/>
  <c r="X33" i="35"/>
  <c r="Y33" i="35"/>
  <c r="AA33" i="35"/>
  <c r="AB33" i="35"/>
  <c r="AC33" i="35"/>
  <c r="AD33" i="35"/>
  <c r="AE33" i="35"/>
  <c r="AF33" i="35"/>
  <c r="AG33" i="35"/>
  <c r="AH33" i="35"/>
  <c r="AI33" i="35"/>
  <c r="AJ33" i="35"/>
  <c r="AK33" i="35"/>
  <c r="AM33" i="35"/>
  <c r="AN33" i="35"/>
  <c r="AO33" i="35"/>
  <c r="AP33" i="35"/>
  <c r="AQ33" i="35"/>
  <c r="AR33" i="35"/>
  <c r="AS33" i="35"/>
  <c r="A34" i="35"/>
  <c r="C34" i="35"/>
  <c r="D34" i="35"/>
  <c r="E34" i="35"/>
  <c r="F34" i="35"/>
  <c r="G34" i="35"/>
  <c r="H34" i="35"/>
  <c r="I34" i="35"/>
  <c r="J34" i="35"/>
  <c r="K34" i="35"/>
  <c r="L34" i="35"/>
  <c r="M34" i="35"/>
  <c r="O34" i="35"/>
  <c r="P34" i="35"/>
  <c r="Q34" i="35"/>
  <c r="R34" i="35"/>
  <c r="S34" i="35"/>
  <c r="T34" i="35"/>
  <c r="U34" i="35"/>
  <c r="V34" i="35"/>
  <c r="W34" i="35"/>
  <c r="X34" i="35"/>
  <c r="Y34" i="35"/>
  <c r="AA34" i="35"/>
  <c r="AB34" i="35"/>
  <c r="AC34" i="35"/>
  <c r="AD34" i="35"/>
  <c r="AE34" i="35"/>
  <c r="AF34" i="35"/>
  <c r="AG34" i="35"/>
  <c r="AH34" i="35"/>
  <c r="AI34" i="35"/>
  <c r="AJ34" i="35"/>
  <c r="AK34" i="35"/>
  <c r="AM34" i="35"/>
  <c r="AN34" i="35"/>
  <c r="AO34" i="35"/>
  <c r="AP34" i="35"/>
  <c r="AQ34" i="35"/>
  <c r="AR34" i="35"/>
  <c r="AS34" i="35"/>
  <c r="A35" i="35"/>
  <c r="C35" i="35"/>
  <c r="D35" i="35"/>
  <c r="E35" i="35"/>
  <c r="F35" i="35"/>
  <c r="G35" i="35"/>
  <c r="H35" i="35"/>
  <c r="I35" i="35"/>
  <c r="J35" i="35"/>
  <c r="K35" i="35"/>
  <c r="L35" i="35"/>
  <c r="M35" i="35"/>
  <c r="O35" i="35"/>
  <c r="P35" i="35"/>
  <c r="Q35" i="35"/>
  <c r="R35" i="35"/>
  <c r="S35" i="35"/>
  <c r="T35" i="35"/>
  <c r="U35" i="35"/>
  <c r="V35" i="35"/>
  <c r="W35" i="35"/>
  <c r="X35" i="35"/>
  <c r="Y35" i="35"/>
  <c r="AA35" i="35"/>
  <c r="AB35" i="35"/>
  <c r="AC35" i="35"/>
  <c r="AD35" i="35"/>
  <c r="AE35" i="35"/>
  <c r="AF35" i="35"/>
  <c r="AG35" i="35"/>
  <c r="AH35" i="35"/>
  <c r="AI35" i="35"/>
  <c r="AJ35" i="35"/>
  <c r="AK35" i="35"/>
  <c r="AM35" i="35"/>
  <c r="AN35" i="35"/>
  <c r="AO35" i="35"/>
  <c r="AP35" i="35"/>
  <c r="AQ35" i="35"/>
  <c r="AR35" i="35"/>
  <c r="AS35" i="35"/>
  <c r="A36" i="35"/>
  <c r="C36" i="35"/>
  <c r="D36" i="35"/>
  <c r="E36" i="35"/>
  <c r="F36" i="35"/>
  <c r="G36" i="35"/>
  <c r="H36" i="35"/>
  <c r="I36" i="35"/>
  <c r="J36" i="35"/>
  <c r="K36" i="35"/>
  <c r="L36" i="35"/>
  <c r="M36" i="35"/>
  <c r="O36" i="35"/>
  <c r="P36" i="35"/>
  <c r="Q36" i="35"/>
  <c r="R36" i="35"/>
  <c r="S36" i="35"/>
  <c r="T36" i="35"/>
  <c r="U36" i="35"/>
  <c r="V36" i="35"/>
  <c r="W36" i="35"/>
  <c r="X36" i="35"/>
  <c r="Y36" i="35"/>
  <c r="AA36" i="35"/>
  <c r="AB36" i="35"/>
  <c r="AC36" i="35"/>
  <c r="AD36" i="35"/>
  <c r="AE36" i="35"/>
  <c r="AF36" i="35"/>
  <c r="AG36" i="35"/>
  <c r="AH36" i="35"/>
  <c r="AI36" i="35"/>
  <c r="AJ36" i="35"/>
  <c r="AK36" i="35"/>
  <c r="AM36" i="35"/>
  <c r="AN36" i="35"/>
  <c r="AO36" i="35"/>
  <c r="AP36" i="35"/>
  <c r="AQ36" i="35"/>
  <c r="AR36" i="35"/>
  <c r="AS36" i="35"/>
  <c r="A37" i="35"/>
  <c r="C37" i="35"/>
  <c r="D37" i="35"/>
  <c r="E37" i="35"/>
  <c r="F37" i="35"/>
  <c r="G37" i="35"/>
  <c r="H37" i="35"/>
  <c r="I37" i="35"/>
  <c r="J37" i="35"/>
  <c r="K37" i="35"/>
  <c r="L37" i="35"/>
  <c r="M37" i="35"/>
  <c r="O37" i="35"/>
  <c r="P37" i="35"/>
  <c r="Q37" i="35"/>
  <c r="R37" i="35"/>
  <c r="S37" i="35"/>
  <c r="T37" i="35"/>
  <c r="U37" i="35"/>
  <c r="V37" i="35"/>
  <c r="W37" i="35"/>
  <c r="X37" i="35"/>
  <c r="Y37" i="35"/>
  <c r="AA37" i="35"/>
  <c r="AB37" i="35"/>
  <c r="AC37" i="35"/>
  <c r="AD37" i="35"/>
  <c r="AE37" i="35"/>
  <c r="AF37" i="35"/>
  <c r="AG37" i="35"/>
  <c r="AH37" i="35"/>
  <c r="AI37" i="35"/>
  <c r="AJ37" i="35"/>
  <c r="AK37" i="35"/>
  <c r="AM37" i="35"/>
  <c r="AN37" i="35"/>
  <c r="AO37" i="35"/>
  <c r="AP37" i="35"/>
  <c r="AQ37" i="35"/>
  <c r="AR37" i="35"/>
  <c r="AS37" i="35"/>
  <c r="A38" i="35"/>
  <c r="C38" i="35"/>
  <c r="D38" i="35"/>
  <c r="E38" i="35"/>
  <c r="F38" i="35"/>
  <c r="G38" i="35"/>
  <c r="H38" i="35"/>
  <c r="I38" i="35"/>
  <c r="J38" i="35"/>
  <c r="K38" i="35"/>
  <c r="L38" i="35"/>
  <c r="M38" i="35"/>
  <c r="O38" i="35"/>
  <c r="P38" i="35"/>
  <c r="Q38" i="35"/>
  <c r="R38" i="35"/>
  <c r="S38" i="35"/>
  <c r="T38" i="35"/>
  <c r="U38" i="35"/>
  <c r="V38" i="35"/>
  <c r="W38" i="35"/>
  <c r="X38" i="35"/>
  <c r="Y38" i="35"/>
  <c r="AA38" i="35"/>
  <c r="AB38" i="35"/>
  <c r="AC38" i="35"/>
  <c r="AD38" i="35"/>
  <c r="AE38" i="35"/>
  <c r="AF38" i="35"/>
  <c r="AG38" i="35"/>
  <c r="AH38" i="35"/>
  <c r="AI38" i="35"/>
  <c r="AJ38" i="35"/>
  <c r="AK38" i="35"/>
  <c r="AM38" i="35"/>
  <c r="AN38" i="35"/>
  <c r="AO38" i="35"/>
  <c r="AP38" i="35"/>
  <c r="AQ38" i="35"/>
  <c r="AR38" i="35"/>
  <c r="AS38" i="35"/>
  <c r="A39" i="35"/>
  <c r="C39" i="35"/>
  <c r="D39" i="35"/>
  <c r="E39" i="35"/>
  <c r="F39" i="35"/>
  <c r="G39" i="35"/>
  <c r="H39" i="35"/>
  <c r="I39" i="35"/>
  <c r="J39" i="35"/>
  <c r="K39" i="35"/>
  <c r="L39" i="35"/>
  <c r="M39" i="35"/>
  <c r="O39" i="35"/>
  <c r="P39" i="35"/>
  <c r="Q39" i="35"/>
  <c r="R39" i="35"/>
  <c r="S39" i="35"/>
  <c r="T39" i="35"/>
  <c r="U39" i="35"/>
  <c r="V39" i="35"/>
  <c r="W39" i="35"/>
  <c r="X39" i="35"/>
  <c r="Y39" i="35"/>
  <c r="AA39" i="35"/>
  <c r="AB39" i="35"/>
  <c r="AC39" i="35"/>
  <c r="AD39" i="35"/>
  <c r="AE39" i="35"/>
  <c r="AF39" i="35"/>
  <c r="AG39" i="35"/>
  <c r="AH39" i="35"/>
  <c r="AI39" i="35"/>
  <c r="AJ39" i="35"/>
  <c r="AK39" i="35"/>
  <c r="AM39" i="35"/>
  <c r="AN39" i="35"/>
  <c r="AO39" i="35"/>
  <c r="AP39" i="35"/>
  <c r="AQ39" i="35"/>
  <c r="AR39" i="35"/>
  <c r="AS39" i="35"/>
  <c r="A40" i="35"/>
  <c r="C40" i="35"/>
  <c r="D40" i="35"/>
  <c r="E40" i="35"/>
  <c r="F40" i="35"/>
  <c r="G40" i="35"/>
  <c r="H40" i="35"/>
  <c r="I40" i="35"/>
  <c r="J40" i="35"/>
  <c r="K40" i="35"/>
  <c r="L40" i="35"/>
  <c r="M40" i="35"/>
  <c r="O40" i="35"/>
  <c r="P40" i="35"/>
  <c r="Q40" i="35"/>
  <c r="R40" i="35"/>
  <c r="S40" i="35"/>
  <c r="T40" i="35"/>
  <c r="U40" i="35"/>
  <c r="V40" i="35"/>
  <c r="W40" i="35"/>
  <c r="X40" i="35"/>
  <c r="Y40" i="35"/>
  <c r="AA40" i="35"/>
  <c r="AB40" i="35"/>
  <c r="AC40" i="35"/>
  <c r="AD40" i="35"/>
  <c r="AE40" i="35"/>
  <c r="AF40" i="35"/>
  <c r="AG40" i="35"/>
  <c r="AH40" i="35"/>
  <c r="AI40" i="35"/>
  <c r="AJ40" i="35"/>
  <c r="AK40" i="35"/>
  <c r="AM40" i="35"/>
  <c r="AN40" i="35"/>
  <c r="AO40" i="35"/>
  <c r="AP40" i="35"/>
  <c r="AQ40" i="35"/>
  <c r="AR40" i="35"/>
  <c r="AS40" i="35"/>
  <c r="A41" i="35"/>
  <c r="C41" i="35"/>
  <c r="D41" i="35"/>
  <c r="E41" i="35"/>
  <c r="F41" i="35"/>
  <c r="G41" i="35"/>
  <c r="H41" i="35"/>
  <c r="I41" i="35"/>
  <c r="J41" i="35"/>
  <c r="K41" i="35"/>
  <c r="L41" i="35"/>
  <c r="M41" i="35"/>
  <c r="O41" i="35"/>
  <c r="P41" i="35"/>
  <c r="Q41" i="35"/>
  <c r="R41" i="35"/>
  <c r="S41" i="35"/>
  <c r="T41" i="35"/>
  <c r="U41" i="35"/>
  <c r="V41" i="35"/>
  <c r="W41" i="35"/>
  <c r="X41" i="35"/>
  <c r="Y41" i="35"/>
  <c r="AA41" i="35"/>
  <c r="AB41" i="35"/>
  <c r="AC41" i="35"/>
  <c r="AD41" i="35"/>
  <c r="AE41" i="35"/>
  <c r="AF41" i="35"/>
  <c r="AG41" i="35"/>
  <c r="AH41" i="35"/>
  <c r="AI41" i="35"/>
  <c r="AJ41" i="35"/>
  <c r="AK41" i="35"/>
  <c r="AM41" i="35"/>
  <c r="AN41" i="35"/>
  <c r="AO41" i="35"/>
  <c r="AP41" i="35"/>
  <c r="AQ41" i="35"/>
  <c r="AR41" i="35"/>
  <c r="AS41" i="35"/>
  <c r="A42" i="35"/>
  <c r="C42" i="35"/>
  <c r="D42" i="35"/>
  <c r="E42" i="35"/>
  <c r="F42" i="35"/>
  <c r="G42" i="35"/>
  <c r="H42" i="35"/>
  <c r="I42" i="35"/>
  <c r="J42" i="35"/>
  <c r="K42" i="35"/>
  <c r="L42" i="35"/>
  <c r="M42" i="35"/>
  <c r="O42" i="35"/>
  <c r="P42" i="35"/>
  <c r="Q42" i="35"/>
  <c r="R42" i="35"/>
  <c r="S42" i="35"/>
  <c r="T42" i="35"/>
  <c r="U42" i="35"/>
  <c r="V42" i="35"/>
  <c r="W42" i="35"/>
  <c r="X42" i="35"/>
  <c r="Y42" i="35"/>
  <c r="AA42" i="35"/>
  <c r="AB42" i="35"/>
  <c r="AC42" i="35"/>
  <c r="AD42" i="35"/>
  <c r="AE42" i="35"/>
  <c r="AF42" i="35"/>
  <c r="AG42" i="35"/>
  <c r="AH42" i="35"/>
  <c r="AI42" i="35"/>
  <c r="AJ42" i="35"/>
  <c r="AK42" i="35"/>
  <c r="AM42" i="35"/>
  <c r="AN42" i="35"/>
  <c r="AO42" i="35"/>
  <c r="AP42" i="35"/>
  <c r="AQ42" i="35"/>
  <c r="AR42" i="35"/>
  <c r="AS42" i="35"/>
  <c r="A43" i="35"/>
  <c r="C43" i="35"/>
  <c r="D43" i="35"/>
  <c r="E43" i="35"/>
  <c r="F43" i="35"/>
  <c r="G43" i="35"/>
  <c r="H43" i="35"/>
  <c r="I43" i="35"/>
  <c r="J43" i="35"/>
  <c r="K43" i="35"/>
  <c r="L43" i="35"/>
  <c r="M43" i="35"/>
  <c r="O43" i="35"/>
  <c r="P43" i="35"/>
  <c r="Q43" i="35"/>
  <c r="R43" i="35"/>
  <c r="S43" i="35"/>
  <c r="T43" i="35"/>
  <c r="U43" i="35"/>
  <c r="V43" i="35"/>
  <c r="W43" i="35"/>
  <c r="X43" i="35"/>
  <c r="Y43" i="35"/>
  <c r="AA43" i="35"/>
  <c r="AB43" i="35"/>
  <c r="AC43" i="35"/>
  <c r="AD43" i="35"/>
  <c r="AE43" i="35"/>
  <c r="AF43" i="35"/>
  <c r="AG43" i="35"/>
  <c r="AH43" i="35"/>
  <c r="AI43" i="35"/>
  <c r="AJ43" i="35"/>
  <c r="AK43" i="35"/>
  <c r="AM43" i="35"/>
  <c r="AN43" i="35"/>
  <c r="AO43" i="35"/>
  <c r="AP43" i="35"/>
  <c r="AQ43" i="35"/>
  <c r="AR43" i="35"/>
  <c r="AS43" i="35"/>
  <c r="A44" i="35"/>
  <c r="C44" i="35"/>
  <c r="D44" i="35"/>
  <c r="E44" i="35"/>
  <c r="F44" i="35"/>
  <c r="G44" i="35"/>
  <c r="H44" i="35"/>
  <c r="I44" i="35"/>
  <c r="J44" i="35"/>
  <c r="K44" i="35"/>
  <c r="L44" i="35"/>
  <c r="M44" i="35"/>
  <c r="O44" i="35"/>
  <c r="P44" i="35"/>
  <c r="Q44" i="35"/>
  <c r="R44" i="35"/>
  <c r="S44" i="35"/>
  <c r="T44" i="35"/>
  <c r="U44" i="35"/>
  <c r="V44" i="35"/>
  <c r="W44" i="35"/>
  <c r="X44" i="35"/>
  <c r="Y44" i="35"/>
  <c r="AA44" i="35"/>
  <c r="AB44" i="35"/>
  <c r="AC44" i="35"/>
  <c r="AD44" i="35"/>
  <c r="AE44" i="35"/>
  <c r="AF44" i="35"/>
  <c r="AG44" i="35"/>
  <c r="AH44" i="35"/>
  <c r="AI44" i="35"/>
  <c r="AJ44" i="35"/>
  <c r="AK44" i="35"/>
  <c r="AM44" i="35"/>
  <c r="AN44" i="35"/>
  <c r="AO44" i="35"/>
  <c r="AP44" i="35"/>
  <c r="AQ44" i="35"/>
  <c r="AR44" i="35"/>
  <c r="AS44" i="35"/>
  <c r="A45" i="35"/>
  <c r="C45" i="35"/>
  <c r="D45" i="35"/>
  <c r="E45" i="35"/>
  <c r="F45" i="35"/>
  <c r="G45" i="35"/>
  <c r="H45" i="35"/>
  <c r="I45" i="35"/>
  <c r="J45" i="35"/>
  <c r="K45" i="35"/>
  <c r="L45" i="35"/>
  <c r="M45" i="35"/>
  <c r="O45" i="35"/>
  <c r="P45" i="35"/>
  <c r="Q45" i="35"/>
  <c r="R45" i="35"/>
  <c r="S45" i="35"/>
  <c r="T45" i="35"/>
  <c r="U45" i="35"/>
  <c r="V45" i="35"/>
  <c r="W45" i="35"/>
  <c r="X45" i="35"/>
  <c r="Y45" i="35"/>
  <c r="AA45" i="35"/>
  <c r="AB45" i="35"/>
  <c r="AC45" i="35"/>
  <c r="AD45" i="35"/>
  <c r="AE45" i="35"/>
  <c r="AF45" i="35"/>
  <c r="AG45" i="35"/>
  <c r="AH45" i="35"/>
  <c r="AI45" i="35"/>
  <c r="AJ45" i="35"/>
  <c r="AK45" i="35"/>
  <c r="AM45" i="35"/>
  <c r="AN45" i="35"/>
  <c r="AO45" i="35"/>
  <c r="AP45" i="35"/>
  <c r="AQ45" i="35"/>
  <c r="AR45" i="35"/>
  <c r="AS45" i="35"/>
  <c r="A46" i="35"/>
  <c r="C46" i="35"/>
  <c r="D46" i="35"/>
  <c r="E46" i="35"/>
  <c r="F46" i="35"/>
  <c r="G46" i="35"/>
  <c r="H46" i="35"/>
  <c r="I46" i="35"/>
  <c r="J46" i="35"/>
  <c r="K46" i="35"/>
  <c r="L46" i="35"/>
  <c r="M46" i="35"/>
  <c r="O46" i="35"/>
  <c r="P46" i="35"/>
  <c r="Q46" i="35"/>
  <c r="R46" i="35"/>
  <c r="S46" i="35"/>
  <c r="T46" i="35"/>
  <c r="U46" i="35"/>
  <c r="V46" i="35"/>
  <c r="W46" i="35"/>
  <c r="X46" i="35"/>
  <c r="Y46" i="35"/>
  <c r="AA46" i="35"/>
  <c r="AB46" i="35"/>
  <c r="AC46" i="35"/>
  <c r="AD46" i="35"/>
  <c r="AE46" i="35"/>
  <c r="AF46" i="35"/>
  <c r="AG46" i="35"/>
  <c r="AH46" i="35"/>
  <c r="AI46" i="35"/>
  <c r="AJ46" i="35"/>
  <c r="AK46" i="35"/>
  <c r="AM46" i="35"/>
  <c r="AN46" i="35"/>
  <c r="AO46" i="35"/>
  <c r="AP46" i="35"/>
  <c r="AQ46" i="35"/>
  <c r="AR46" i="35"/>
  <c r="AS46" i="35"/>
  <c r="A47" i="35"/>
  <c r="C47" i="35"/>
  <c r="D47" i="35"/>
  <c r="E47" i="35"/>
  <c r="F47" i="35"/>
  <c r="G47" i="35"/>
  <c r="H47" i="35"/>
  <c r="I47" i="35"/>
  <c r="J47" i="35"/>
  <c r="K47" i="35"/>
  <c r="L47" i="35"/>
  <c r="M47" i="35"/>
  <c r="O47" i="35"/>
  <c r="P47" i="35"/>
  <c r="Q47" i="35"/>
  <c r="R47" i="35"/>
  <c r="S47" i="35"/>
  <c r="T47" i="35"/>
  <c r="U47" i="35"/>
  <c r="V47" i="35"/>
  <c r="W47" i="35"/>
  <c r="X47" i="35"/>
  <c r="Y47" i="35"/>
  <c r="AA47" i="35"/>
  <c r="AB47" i="35"/>
  <c r="AC47" i="35"/>
  <c r="AD47" i="35"/>
  <c r="AE47" i="35"/>
  <c r="AF47" i="35"/>
  <c r="AG47" i="35"/>
  <c r="AH47" i="35"/>
  <c r="AI47" i="35"/>
  <c r="AJ47" i="35"/>
  <c r="AK47" i="35"/>
  <c r="AM47" i="35"/>
  <c r="AN47" i="35"/>
  <c r="AO47" i="35"/>
  <c r="AP47" i="35"/>
  <c r="AQ47" i="35"/>
  <c r="AR47" i="35"/>
  <c r="AS47" i="35"/>
  <c r="A48" i="35"/>
  <c r="C48" i="35"/>
  <c r="D48" i="35"/>
  <c r="E48" i="35"/>
  <c r="F48" i="35"/>
  <c r="G48" i="35"/>
  <c r="H48" i="35"/>
  <c r="I48" i="35"/>
  <c r="J48" i="35"/>
  <c r="K48" i="35"/>
  <c r="L48" i="35"/>
  <c r="M48" i="35"/>
  <c r="O48" i="35"/>
  <c r="P48" i="35"/>
  <c r="Q48" i="35"/>
  <c r="R48" i="35"/>
  <c r="S48" i="35"/>
  <c r="T48" i="35"/>
  <c r="U48" i="35"/>
  <c r="V48" i="35"/>
  <c r="W48" i="35"/>
  <c r="X48" i="35"/>
  <c r="Y48" i="35"/>
  <c r="AA48" i="35"/>
  <c r="AB48" i="35"/>
  <c r="AC48" i="35"/>
  <c r="AD48" i="35"/>
  <c r="AE48" i="35"/>
  <c r="AF48" i="35"/>
  <c r="AG48" i="35"/>
  <c r="AH48" i="35"/>
  <c r="AI48" i="35"/>
  <c r="AJ48" i="35"/>
  <c r="AK48" i="35"/>
  <c r="AM48" i="35"/>
  <c r="AN48" i="35"/>
  <c r="AO48" i="35"/>
  <c r="AP48" i="35"/>
  <c r="AQ48" i="35"/>
  <c r="AR48" i="35"/>
  <c r="AS48" i="35"/>
  <c r="A49" i="35"/>
  <c r="C49" i="35"/>
  <c r="D49" i="35"/>
  <c r="E49" i="35"/>
  <c r="F49" i="35"/>
  <c r="G49" i="35"/>
  <c r="H49" i="35"/>
  <c r="I49" i="35"/>
  <c r="J49" i="35"/>
  <c r="K49" i="35"/>
  <c r="L49" i="35"/>
  <c r="M49" i="35"/>
  <c r="O49" i="35"/>
  <c r="P49" i="35"/>
  <c r="Q49" i="35"/>
  <c r="R49" i="35"/>
  <c r="S49" i="35"/>
  <c r="T49" i="35"/>
  <c r="U49" i="35"/>
  <c r="V49" i="35"/>
  <c r="W49" i="35"/>
  <c r="X49" i="35"/>
  <c r="Y49" i="35"/>
  <c r="AA49" i="35"/>
  <c r="AB49" i="35"/>
  <c r="AC49" i="35"/>
  <c r="AD49" i="35"/>
  <c r="AE49" i="35"/>
  <c r="AF49" i="35"/>
  <c r="AG49" i="35"/>
  <c r="AH49" i="35"/>
  <c r="AI49" i="35"/>
  <c r="AJ49" i="35"/>
  <c r="AK49" i="35"/>
  <c r="AM49" i="35"/>
  <c r="AN49" i="35"/>
  <c r="AO49" i="35"/>
  <c r="AP49" i="35"/>
  <c r="AQ49" i="35"/>
  <c r="AR49" i="35"/>
  <c r="AS49" i="35"/>
  <c r="A50" i="35"/>
  <c r="C50" i="35"/>
  <c r="D50" i="35"/>
  <c r="E50" i="35"/>
  <c r="F50" i="35"/>
  <c r="G50" i="35"/>
  <c r="H50" i="35"/>
  <c r="I50" i="35"/>
  <c r="J50" i="35"/>
  <c r="K50" i="35"/>
  <c r="L50" i="35"/>
  <c r="M50" i="35"/>
  <c r="O50" i="35"/>
  <c r="P50" i="35"/>
  <c r="Q50" i="35"/>
  <c r="R50" i="35"/>
  <c r="S50" i="35"/>
  <c r="T50" i="35"/>
  <c r="U50" i="35"/>
  <c r="V50" i="35"/>
  <c r="W50" i="35"/>
  <c r="X50" i="35"/>
  <c r="Y50" i="35"/>
  <c r="AA50" i="35"/>
  <c r="AB50" i="35"/>
  <c r="AC50" i="35"/>
  <c r="AD50" i="35"/>
  <c r="AE50" i="35"/>
  <c r="AF50" i="35"/>
  <c r="AG50" i="35"/>
  <c r="AH50" i="35"/>
  <c r="AI50" i="35"/>
  <c r="AJ50" i="35"/>
  <c r="AK50" i="35"/>
  <c r="AM50" i="35"/>
  <c r="AN50" i="35"/>
  <c r="AO50" i="35"/>
  <c r="AP50" i="35"/>
  <c r="AQ50" i="35"/>
  <c r="AR50" i="35"/>
  <c r="AS50" i="35"/>
  <c r="A51" i="35"/>
  <c r="C51" i="35"/>
  <c r="D51" i="35"/>
  <c r="E51" i="35"/>
  <c r="F51" i="35"/>
  <c r="G51" i="35"/>
  <c r="H51" i="35"/>
  <c r="I51" i="35"/>
  <c r="J51" i="35"/>
  <c r="K51" i="35"/>
  <c r="L51" i="35"/>
  <c r="M51" i="35"/>
  <c r="O51" i="35"/>
  <c r="P51" i="35"/>
  <c r="Q51" i="35"/>
  <c r="R51" i="35"/>
  <c r="S51" i="35"/>
  <c r="T51" i="35"/>
  <c r="U51" i="35"/>
  <c r="V51" i="35"/>
  <c r="W51" i="35"/>
  <c r="X51" i="35"/>
  <c r="Y51" i="35"/>
  <c r="AA51" i="35"/>
  <c r="AB51" i="35"/>
  <c r="AC51" i="35"/>
  <c r="AD51" i="35"/>
  <c r="AE51" i="35"/>
  <c r="AF51" i="35"/>
  <c r="AG51" i="35"/>
  <c r="AH51" i="35"/>
  <c r="AI51" i="35"/>
  <c r="AJ51" i="35"/>
  <c r="AK51" i="35"/>
  <c r="AM51" i="35"/>
  <c r="AN51" i="35"/>
  <c r="AO51" i="35"/>
  <c r="AP51" i="35"/>
  <c r="AQ51" i="35"/>
  <c r="AR51" i="35"/>
  <c r="AS51" i="35"/>
  <c r="A52" i="35"/>
  <c r="C52" i="35"/>
  <c r="D52" i="35"/>
  <c r="E52" i="35"/>
  <c r="F52" i="35"/>
  <c r="G52" i="35"/>
  <c r="H52" i="35"/>
  <c r="I52" i="35"/>
  <c r="J52" i="35"/>
  <c r="K52" i="35"/>
  <c r="L52" i="35"/>
  <c r="M52" i="35"/>
  <c r="O52" i="35"/>
  <c r="P52" i="35"/>
  <c r="Q52" i="35"/>
  <c r="R52" i="35"/>
  <c r="S52" i="35"/>
  <c r="T52" i="35"/>
  <c r="U52" i="35"/>
  <c r="V52" i="35"/>
  <c r="W52" i="35"/>
  <c r="X52" i="35"/>
  <c r="Y52" i="35"/>
  <c r="AA52" i="35"/>
  <c r="AB52" i="35"/>
  <c r="AC52" i="35"/>
  <c r="AD52" i="35"/>
  <c r="AE52" i="35"/>
  <c r="AF52" i="35"/>
  <c r="AG52" i="35"/>
  <c r="AH52" i="35"/>
  <c r="AI52" i="35"/>
  <c r="AJ52" i="35"/>
  <c r="AK52" i="35"/>
  <c r="AM52" i="35"/>
  <c r="AN52" i="35"/>
  <c r="AO52" i="35"/>
  <c r="AP52" i="35"/>
  <c r="AQ52" i="35"/>
  <c r="AR52" i="35"/>
  <c r="AS52" i="35"/>
  <c r="A53" i="35"/>
  <c r="C53" i="35"/>
  <c r="D53" i="35"/>
  <c r="E53" i="35"/>
  <c r="F53" i="35"/>
  <c r="G53" i="35"/>
  <c r="H53" i="35"/>
  <c r="I53" i="35"/>
  <c r="J53" i="35"/>
  <c r="K53" i="35"/>
  <c r="L53" i="35"/>
  <c r="M53" i="35"/>
  <c r="O53" i="35"/>
  <c r="P53" i="35"/>
  <c r="Q53" i="35"/>
  <c r="R53" i="35"/>
  <c r="S53" i="35"/>
  <c r="T53" i="35"/>
  <c r="U53" i="35"/>
  <c r="V53" i="35"/>
  <c r="W53" i="35"/>
  <c r="X53" i="35"/>
  <c r="Y53" i="35"/>
  <c r="AA53" i="35"/>
  <c r="AB53" i="35"/>
  <c r="AC53" i="35"/>
  <c r="AD53" i="35"/>
  <c r="AE53" i="35"/>
  <c r="AF53" i="35"/>
  <c r="AG53" i="35"/>
  <c r="AH53" i="35"/>
  <c r="AI53" i="35"/>
  <c r="AJ53" i="35"/>
  <c r="AK53" i="35"/>
  <c r="AM53" i="35"/>
  <c r="AN53" i="35"/>
  <c r="AO53" i="35"/>
  <c r="AP53" i="35"/>
  <c r="AQ53" i="35"/>
  <c r="AR53" i="35"/>
  <c r="AS53" i="35"/>
  <c r="A54" i="35"/>
  <c r="C54" i="35"/>
  <c r="D54" i="35"/>
  <c r="E54" i="35"/>
  <c r="F54" i="35"/>
  <c r="G54" i="35"/>
  <c r="H54" i="35"/>
  <c r="I54" i="35"/>
  <c r="J54" i="35"/>
  <c r="K54" i="35"/>
  <c r="L54" i="35"/>
  <c r="M54" i="35"/>
  <c r="O54" i="35"/>
  <c r="P54" i="35"/>
  <c r="Q54" i="35"/>
  <c r="R54" i="35"/>
  <c r="S54" i="35"/>
  <c r="T54" i="35"/>
  <c r="U54" i="35"/>
  <c r="V54" i="35"/>
  <c r="W54" i="35"/>
  <c r="X54" i="35"/>
  <c r="Y54" i="35"/>
  <c r="AA54" i="35"/>
  <c r="AB54" i="35"/>
  <c r="AC54" i="35"/>
  <c r="AD54" i="35"/>
  <c r="AE54" i="35"/>
  <c r="AF54" i="35"/>
  <c r="AG54" i="35"/>
  <c r="AH54" i="35"/>
  <c r="AI54" i="35"/>
  <c r="AJ54" i="35"/>
  <c r="AK54" i="35"/>
  <c r="AM54" i="35"/>
  <c r="AN54" i="35"/>
  <c r="AO54" i="35"/>
  <c r="AP54" i="35"/>
  <c r="AQ54" i="35"/>
  <c r="AR54" i="35"/>
  <c r="AS54" i="35"/>
  <c r="A55" i="35"/>
  <c r="C55" i="35"/>
  <c r="D55" i="35"/>
  <c r="E55" i="35"/>
  <c r="F55" i="35"/>
  <c r="G55" i="35"/>
  <c r="H55" i="35"/>
  <c r="I55" i="35"/>
  <c r="J55" i="35"/>
  <c r="K55" i="35"/>
  <c r="L55" i="35"/>
  <c r="M55" i="35"/>
  <c r="O55" i="35"/>
  <c r="P55" i="35"/>
  <c r="Q55" i="35"/>
  <c r="R55" i="35"/>
  <c r="S55" i="35"/>
  <c r="T55" i="35"/>
  <c r="U55" i="35"/>
  <c r="V55" i="35"/>
  <c r="W55" i="35"/>
  <c r="X55" i="35"/>
  <c r="Y55" i="35"/>
  <c r="AA55" i="35"/>
  <c r="AB55" i="35"/>
  <c r="AC55" i="35"/>
  <c r="AD55" i="35"/>
  <c r="AE55" i="35"/>
  <c r="AF55" i="35"/>
  <c r="AG55" i="35"/>
  <c r="AH55" i="35"/>
  <c r="AI55" i="35"/>
  <c r="AJ55" i="35"/>
  <c r="AK55" i="35"/>
  <c r="AM55" i="35"/>
  <c r="AN55" i="35"/>
  <c r="AO55" i="35"/>
  <c r="AP55" i="35"/>
  <c r="AQ55" i="35"/>
  <c r="AR55" i="35"/>
  <c r="AS55" i="35"/>
  <c r="A56" i="35"/>
  <c r="C56" i="35"/>
  <c r="D56" i="35"/>
  <c r="E56" i="35"/>
  <c r="F56" i="35"/>
  <c r="G56" i="35"/>
  <c r="H56" i="35"/>
  <c r="I56" i="35"/>
  <c r="J56" i="35"/>
  <c r="K56" i="35"/>
  <c r="L56" i="35"/>
  <c r="M56" i="35"/>
  <c r="O56" i="35"/>
  <c r="P56" i="35"/>
  <c r="Q56" i="35"/>
  <c r="R56" i="35"/>
  <c r="S56" i="35"/>
  <c r="T56" i="35"/>
  <c r="U56" i="35"/>
  <c r="V56" i="35"/>
  <c r="W56" i="35"/>
  <c r="X56" i="35"/>
  <c r="Y56" i="35"/>
  <c r="AA56" i="35"/>
  <c r="AB56" i="35"/>
  <c r="AC56" i="35"/>
  <c r="AD56" i="35"/>
  <c r="AE56" i="35"/>
  <c r="AF56" i="35"/>
  <c r="AG56" i="35"/>
  <c r="AH56" i="35"/>
  <c r="AI56" i="35"/>
  <c r="AJ56" i="35"/>
  <c r="AK56" i="35"/>
  <c r="AM56" i="35"/>
  <c r="AN56" i="35"/>
  <c r="AO56" i="35"/>
  <c r="AP56" i="35"/>
  <c r="AQ56" i="35"/>
  <c r="AR56" i="35"/>
  <c r="AS56" i="35"/>
  <c r="A57" i="35"/>
  <c r="C57" i="35"/>
  <c r="D57" i="35"/>
  <c r="E57" i="35"/>
  <c r="F57" i="35"/>
  <c r="G57" i="35"/>
  <c r="H57" i="35"/>
  <c r="I57" i="35"/>
  <c r="J57" i="35"/>
  <c r="K57" i="35"/>
  <c r="L57" i="35"/>
  <c r="M57" i="35"/>
  <c r="O57" i="35"/>
  <c r="P57" i="35"/>
  <c r="Q57" i="35"/>
  <c r="R57" i="35"/>
  <c r="S57" i="35"/>
  <c r="T57" i="35"/>
  <c r="U57" i="35"/>
  <c r="V57" i="35"/>
  <c r="W57" i="35"/>
  <c r="X57" i="35"/>
  <c r="Y57" i="35"/>
  <c r="AA57" i="35"/>
  <c r="AB57" i="35"/>
  <c r="AC57" i="35"/>
  <c r="AD57" i="35"/>
  <c r="AE57" i="35"/>
  <c r="AF57" i="35"/>
  <c r="AG57" i="35"/>
  <c r="AH57" i="35"/>
  <c r="AI57" i="35"/>
  <c r="AJ57" i="35"/>
  <c r="AK57" i="35"/>
  <c r="AM57" i="35"/>
  <c r="AN57" i="35"/>
  <c r="AO57" i="35"/>
  <c r="AP57" i="35"/>
  <c r="AQ57" i="35"/>
  <c r="AR57" i="35"/>
  <c r="AS57" i="35"/>
  <c r="A58" i="35"/>
  <c r="C58" i="35"/>
  <c r="D58" i="35"/>
  <c r="E58" i="35"/>
  <c r="F58" i="35"/>
  <c r="G58" i="35"/>
  <c r="H58" i="35"/>
  <c r="I58" i="35"/>
  <c r="J58" i="35"/>
  <c r="K58" i="35"/>
  <c r="L58" i="35"/>
  <c r="M58" i="35"/>
  <c r="O58" i="35"/>
  <c r="P58" i="35"/>
  <c r="Q58" i="35"/>
  <c r="R58" i="35"/>
  <c r="S58" i="35"/>
  <c r="T58" i="35"/>
  <c r="U58" i="35"/>
  <c r="V58" i="35"/>
  <c r="W58" i="35"/>
  <c r="X58" i="35"/>
  <c r="Y58" i="35"/>
  <c r="AA58" i="35"/>
  <c r="AB58" i="35"/>
  <c r="AC58" i="35"/>
  <c r="AD58" i="35"/>
  <c r="AE58" i="35"/>
  <c r="AF58" i="35"/>
  <c r="AG58" i="35"/>
  <c r="AH58" i="35"/>
  <c r="AI58" i="35"/>
  <c r="AJ58" i="35"/>
  <c r="AK58" i="35"/>
  <c r="AM58" i="35"/>
  <c r="AN58" i="35"/>
  <c r="AO58" i="35"/>
  <c r="AP58" i="35"/>
  <c r="AQ58" i="35"/>
  <c r="AR58" i="35"/>
  <c r="AS58" i="35"/>
  <c r="A59" i="35"/>
  <c r="C59" i="35"/>
  <c r="D59" i="35"/>
  <c r="E59" i="35"/>
  <c r="F59" i="35"/>
  <c r="G59" i="35"/>
  <c r="H59" i="35"/>
  <c r="I59" i="35"/>
  <c r="J59" i="35"/>
  <c r="K59" i="35"/>
  <c r="L59" i="35"/>
  <c r="M59" i="35"/>
  <c r="O59" i="35"/>
  <c r="P59" i="35"/>
  <c r="Q59" i="35"/>
  <c r="R59" i="35"/>
  <c r="S59" i="35"/>
  <c r="T59" i="35"/>
  <c r="U59" i="35"/>
  <c r="V59" i="35"/>
  <c r="W59" i="35"/>
  <c r="X59" i="35"/>
  <c r="Y59" i="35"/>
  <c r="AA59" i="35"/>
  <c r="AB59" i="35"/>
  <c r="AC59" i="35"/>
  <c r="AD59" i="35"/>
  <c r="AE59" i="35"/>
  <c r="AF59" i="35"/>
  <c r="AG59" i="35"/>
  <c r="AH59" i="35"/>
  <c r="AI59" i="35"/>
  <c r="AJ59" i="35"/>
  <c r="AK59" i="35"/>
  <c r="AM59" i="35"/>
  <c r="AN59" i="35"/>
  <c r="AO59" i="35"/>
  <c r="AP59" i="35"/>
  <c r="AQ59" i="35"/>
  <c r="AR59" i="35"/>
  <c r="AS59" i="35"/>
  <c r="A60" i="35"/>
  <c r="C60" i="35"/>
  <c r="D60" i="35"/>
  <c r="E60" i="35"/>
  <c r="F60" i="35"/>
  <c r="G60" i="35"/>
  <c r="H60" i="35"/>
  <c r="I60" i="35"/>
  <c r="J60" i="35"/>
  <c r="K60" i="35"/>
  <c r="L60" i="35"/>
  <c r="M60" i="35"/>
  <c r="O60" i="35"/>
  <c r="P60" i="35"/>
  <c r="Q60" i="35"/>
  <c r="R60" i="35"/>
  <c r="S60" i="35"/>
  <c r="T60" i="35"/>
  <c r="U60" i="35"/>
  <c r="V60" i="35"/>
  <c r="W60" i="35"/>
  <c r="X60" i="35"/>
  <c r="Y60" i="35"/>
  <c r="AA60" i="35"/>
  <c r="AB60" i="35"/>
  <c r="AC60" i="35"/>
  <c r="AD60" i="35"/>
  <c r="AE60" i="35"/>
  <c r="AF60" i="35"/>
  <c r="AG60" i="35"/>
  <c r="AH60" i="35"/>
  <c r="AI60" i="35"/>
  <c r="AJ60" i="35"/>
  <c r="AK60" i="35"/>
  <c r="AM60" i="35"/>
  <c r="AN60" i="35"/>
  <c r="AO60" i="35"/>
  <c r="AP60" i="35"/>
  <c r="AQ60" i="35"/>
  <c r="AR60" i="35"/>
  <c r="AS60" i="35"/>
  <c r="A61" i="35"/>
  <c r="C61" i="35"/>
  <c r="D61" i="35"/>
  <c r="E61" i="35"/>
  <c r="F61" i="35"/>
  <c r="G61" i="35"/>
  <c r="H61" i="35"/>
  <c r="I61" i="35"/>
  <c r="J61" i="35"/>
  <c r="K61" i="35"/>
  <c r="L61" i="35"/>
  <c r="M61" i="35"/>
  <c r="O61" i="35"/>
  <c r="P61" i="35"/>
  <c r="Q61" i="35"/>
  <c r="R61" i="35"/>
  <c r="S61" i="35"/>
  <c r="T61" i="35"/>
  <c r="U61" i="35"/>
  <c r="V61" i="35"/>
  <c r="W61" i="35"/>
  <c r="X61" i="35"/>
  <c r="Y61" i="35"/>
  <c r="AA61" i="35"/>
  <c r="AB61" i="35"/>
  <c r="AC61" i="35"/>
  <c r="AD61" i="35"/>
  <c r="AE61" i="35"/>
  <c r="AF61" i="35"/>
  <c r="AG61" i="35"/>
  <c r="AH61" i="35"/>
  <c r="AI61" i="35"/>
  <c r="AJ61" i="35"/>
  <c r="AK61" i="35"/>
  <c r="AM61" i="35"/>
  <c r="AN61" i="35"/>
  <c r="AO61" i="35"/>
  <c r="AP61" i="35"/>
  <c r="AQ61" i="35"/>
  <c r="AR61" i="35"/>
  <c r="AS61" i="35"/>
  <c r="A62" i="35"/>
  <c r="C62" i="35"/>
  <c r="D62" i="35"/>
  <c r="E62" i="35"/>
  <c r="F62" i="35"/>
  <c r="G62" i="35"/>
  <c r="H62" i="35"/>
  <c r="I62" i="35"/>
  <c r="J62" i="35"/>
  <c r="K62" i="35"/>
  <c r="L62" i="35"/>
  <c r="M62" i="35"/>
  <c r="O62" i="35"/>
  <c r="P62" i="35"/>
  <c r="Q62" i="35"/>
  <c r="R62" i="35"/>
  <c r="S62" i="35"/>
  <c r="T62" i="35"/>
  <c r="U62" i="35"/>
  <c r="V62" i="35"/>
  <c r="W62" i="35"/>
  <c r="X62" i="35"/>
  <c r="Y62" i="35"/>
  <c r="AA62" i="35"/>
  <c r="AB62" i="35"/>
  <c r="AC62" i="35"/>
  <c r="AD62" i="35"/>
  <c r="AE62" i="35"/>
  <c r="AF62" i="35"/>
  <c r="AG62" i="35"/>
  <c r="AH62" i="35"/>
  <c r="AI62" i="35"/>
  <c r="AJ62" i="35"/>
  <c r="AK62" i="35"/>
  <c r="AM62" i="35"/>
  <c r="AN62" i="35"/>
  <c r="AO62" i="35"/>
  <c r="AP62" i="35"/>
  <c r="AQ62" i="35"/>
  <c r="AR62" i="35"/>
  <c r="AS62" i="35"/>
  <c r="A63" i="35"/>
  <c r="C63" i="35"/>
  <c r="D63" i="35"/>
  <c r="E63" i="35"/>
  <c r="F63" i="35"/>
  <c r="G63" i="35"/>
  <c r="H63" i="35"/>
  <c r="I63" i="35"/>
  <c r="J63" i="35"/>
  <c r="K63" i="35"/>
  <c r="L63" i="35"/>
  <c r="M63" i="35"/>
  <c r="O63" i="35"/>
  <c r="P63" i="35"/>
  <c r="Q63" i="35"/>
  <c r="R63" i="35"/>
  <c r="S63" i="35"/>
  <c r="T63" i="35"/>
  <c r="U63" i="35"/>
  <c r="V63" i="35"/>
  <c r="W63" i="35"/>
  <c r="X63" i="35"/>
  <c r="Y63" i="35"/>
  <c r="AA63" i="35"/>
  <c r="AB63" i="35"/>
  <c r="AC63" i="35"/>
  <c r="AD63" i="35"/>
  <c r="AE63" i="35"/>
  <c r="AF63" i="35"/>
  <c r="AG63" i="35"/>
  <c r="AH63" i="35"/>
  <c r="AI63" i="35"/>
  <c r="AJ63" i="35"/>
  <c r="AK63" i="35"/>
  <c r="AM63" i="35"/>
  <c r="AN63" i="35"/>
  <c r="AO63" i="35"/>
  <c r="AP63" i="35"/>
  <c r="AQ63" i="35"/>
  <c r="AR63" i="35"/>
  <c r="AS63" i="35"/>
  <c r="A64" i="35"/>
  <c r="C64" i="35"/>
  <c r="D64" i="35"/>
  <c r="E64" i="35"/>
  <c r="F64" i="35"/>
  <c r="G64" i="35"/>
  <c r="H64" i="35"/>
  <c r="I64" i="35"/>
  <c r="J64" i="35"/>
  <c r="K64" i="35"/>
  <c r="L64" i="35"/>
  <c r="M64" i="35"/>
  <c r="O64" i="35"/>
  <c r="P64" i="35"/>
  <c r="Q64" i="35"/>
  <c r="R64" i="35"/>
  <c r="S64" i="35"/>
  <c r="T64" i="35"/>
  <c r="U64" i="35"/>
  <c r="V64" i="35"/>
  <c r="W64" i="35"/>
  <c r="X64" i="35"/>
  <c r="Y64" i="35"/>
  <c r="AA64" i="35"/>
  <c r="AB64" i="35"/>
  <c r="AC64" i="35"/>
  <c r="AD64" i="35"/>
  <c r="AE64" i="35"/>
  <c r="AF64" i="35"/>
  <c r="AG64" i="35"/>
  <c r="AH64" i="35"/>
  <c r="AI64" i="35"/>
  <c r="AJ64" i="35"/>
  <c r="AK64" i="35"/>
  <c r="AM64" i="35"/>
  <c r="AN64" i="35"/>
  <c r="AO64" i="35"/>
  <c r="AP64" i="35"/>
  <c r="AQ64" i="35"/>
  <c r="AR64" i="35"/>
  <c r="AS64" i="35"/>
  <c r="A65" i="35"/>
  <c r="C65" i="35"/>
  <c r="D65" i="35"/>
  <c r="E65" i="35"/>
  <c r="F65" i="35"/>
  <c r="G65" i="35"/>
  <c r="H65" i="35"/>
  <c r="I65" i="35"/>
  <c r="J65" i="35"/>
  <c r="K65" i="35"/>
  <c r="L65" i="35"/>
  <c r="M65" i="35"/>
  <c r="O65" i="35"/>
  <c r="P65" i="35"/>
  <c r="Q65" i="35"/>
  <c r="R65" i="35"/>
  <c r="S65" i="35"/>
  <c r="T65" i="35"/>
  <c r="U65" i="35"/>
  <c r="V65" i="35"/>
  <c r="W65" i="35"/>
  <c r="X65" i="35"/>
  <c r="Y65" i="35"/>
  <c r="AA65" i="35"/>
  <c r="AB65" i="35"/>
  <c r="AC65" i="35"/>
  <c r="AD65" i="35"/>
  <c r="AE65" i="35"/>
  <c r="AF65" i="35"/>
  <c r="AG65" i="35"/>
  <c r="AH65" i="35"/>
  <c r="AI65" i="35"/>
  <c r="AJ65" i="35"/>
  <c r="AK65" i="35"/>
  <c r="AM65" i="35"/>
  <c r="AN65" i="35"/>
  <c r="AO65" i="35"/>
  <c r="AP65" i="35"/>
  <c r="AQ65" i="35"/>
  <c r="AR65" i="35"/>
  <c r="AS65" i="35"/>
  <c r="A66" i="35"/>
  <c r="C66" i="35"/>
  <c r="D66" i="35"/>
  <c r="E66" i="35"/>
  <c r="F66" i="35"/>
  <c r="G66" i="35"/>
  <c r="H66" i="35"/>
  <c r="I66" i="35"/>
  <c r="J66" i="35"/>
  <c r="K66" i="35"/>
  <c r="L66" i="35"/>
  <c r="M66" i="35"/>
  <c r="O66" i="35"/>
  <c r="P66" i="35"/>
  <c r="Q66" i="35"/>
  <c r="R66" i="35"/>
  <c r="S66" i="35"/>
  <c r="T66" i="35"/>
  <c r="U66" i="35"/>
  <c r="V66" i="35"/>
  <c r="W66" i="35"/>
  <c r="X66" i="35"/>
  <c r="Y66" i="35"/>
  <c r="AA66" i="35"/>
  <c r="AB66" i="35"/>
  <c r="AC66" i="35"/>
  <c r="AD66" i="35"/>
  <c r="AE66" i="35"/>
  <c r="AF66" i="35"/>
  <c r="AG66" i="35"/>
  <c r="AH66" i="35"/>
  <c r="AI66" i="35"/>
  <c r="AJ66" i="35"/>
  <c r="AK66" i="35"/>
  <c r="AM66" i="35"/>
  <c r="AN66" i="35"/>
  <c r="AO66" i="35"/>
  <c r="AP66" i="35"/>
  <c r="AQ66" i="35"/>
  <c r="AR66" i="35"/>
  <c r="AS66" i="35"/>
  <c r="A67" i="35"/>
  <c r="C67" i="35"/>
  <c r="D67" i="35"/>
  <c r="E67" i="35"/>
  <c r="F67" i="35"/>
  <c r="G67" i="35"/>
  <c r="H67" i="35"/>
  <c r="I67" i="35"/>
  <c r="J67" i="35"/>
  <c r="K67" i="35"/>
  <c r="L67" i="35"/>
  <c r="M67" i="35"/>
  <c r="O67" i="35"/>
  <c r="P67" i="35"/>
  <c r="Q67" i="35"/>
  <c r="R67" i="35"/>
  <c r="S67" i="35"/>
  <c r="T67" i="35"/>
  <c r="U67" i="35"/>
  <c r="V67" i="35"/>
  <c r="W67" i="35"/>
  <c r="X67" i="35"/>
  <c r="Y67" i="35"/>
  <c r="AA67" i="35"/>
  <c r="AB67" i="35"/>
  <c r="AC67" i="35"/>
  <c r="AD67" i="35"/>
  <c r="AE67" i="35"/>
  <c r="AF67" i="35"/>
  <c r="AG67" i="35"/>
  <c r="AH67" i="35"/>
  <c r="AI67" i="35"/>
  <c r="AJ67" i="35"/>
  <c r="AK67" i="35"/>
  <c r="AM67" i="35"/>
  <c r="AN67" i="35"/>
  <c r="AO67" i="35"/>
  <c r="AP67" i="35"/>
  <c r="AQ67" i="35"/>
  <c r="AR67" i="35"/>
  <c r="AS67" i="35"/>
  <c r="A68" i="35"/>
  <c r="C68" i="35"/>
  <c r="D68" i="35"/>
  <c r="E68" i="35"/>
  <c r="F68" i="35"/>
  <c r="G68" i="35"/>
  <c r="H68" i="35"/>
  <c r="I68" i="35"/>
  <c r="J68" i="35"/>
  <c r="K68" i="35"/>
  <c r="L68" i="35"/>
  <c r="M68" i="35"/>
  <c r="O68" i="35"/>
  <c r="P68" i="35"/>
  <c r="Q68" i="35"/>
  <c r="R68" i="35"/>
  <c r="S68" i="35"/>
  <c r="T68" i="35"/>
  <c r="U68" i="35"/>
  <c r="V68" i="35"/>
  <c r="W68" i="35"/>
  <c r="X68" i="35"/>
  <c r="Y68" i="35"/>
  <c r="AA68" i="35"/>
  <c r="AB68" i="35"/>
  <c r="AC68" i="35"/>
  <c r="AD68" i="35"/>
  <c r="AE68" i="35"/>
  <c r="AF68" i="35"/>
  <c r="AG68" i="35"/>
  <c r="AH68" i="35"/>
  <c r="AI68" i="35"/>
  <c r="AJ68" i="35"/>
  <c r="AK68" i="35"/>
  <c r="AM68" i="35"/>
  <c r="AN68" i="35"/>
  <c r="AO68" i="35"/>
  <c r="AP68" i="35"/>
  <c r="AQ68" i="35"/>
  <c r="AR68" i="35"/>
  <c r="AS68" i="35"/>
  <c r="A69" i="35"/>
  <c r="C69" i="35"/>
  <c r="D69" i="35"/>
  <c r="E69" i="35"/>
  <c r="F69" i="35"/>
  <c r="G69" i="35"/>
  <c r="H69" i="35"/>
  <c r="I69" i="35"/>
  <c r="J69" i="35"/>
  <c r="K69" i="35"/>
  <c r="L69" i="35"/>
  <c r="M69" i="35"/>
  <c r="O69" i="35"/>
  <c r="P69" i="35"/>
  <c r="Q69" i="35"/>
  <c r="R69" i="35"/>
  <c r="S69" i="35"/>
  <c r="T69" i="35"/>
  <c r="U69" i="35"/>
  <c r="V69" i="35"/>
  <c r="W69" i="35"/>
  <c r="X69" i="35"/>
  <c r="Y69" i="35"/>
  <c r="AA69" i="35"/>
  <c r="AB69" i="35"/>
  <c r="AC69" i="35"/>
  <c r="AD69" i="35"/>
  <c r="AE69" i="35"/>
  <c r="AF69" i="35"/>
  <c r="AG69" i="35"/>
  <c r="AH69" i="35"/>
  <c r="AI69" i="35"/>
  <c r="AJ69" i="35"/>
  <c r="AK69" i="35"/>
  <c r="AM69" i="35"/>
  <c r="AN69" i="35"/>
  <c r="AO69" i="35"/>
  <c r="AP69" i="35"/>
  <c r="AQ69" i="35"/>
  <c r="AR69" i="35"/>
  <c r="AS69" i="35"/>
  <c r="A70" i="35"/>
  <c r="C70" i="35"/>
  <c r="D70" i="35"/>
  <c r="E70" i="35"/>
  <c r="F70" i="35"/>
  <c r="G70" i="35"/>
  <c r="H70" i="35"/>
  <c r="I70" i="35"/>
  <c r="J70" i="35"/>
  <c r="K70" i="35"/>
  <c r="L70" i="35"/>
  <c r="M70" i="35"/>
  <c r="O70" i="35"/>
  <c r="P70" i="35"/>
  <c r="Q70" i="35"/>
  <c r="R70" i="35"/>
  <c r="S70" i="35"/>
  <c r="T70" i="35"/>
  <c r="U70" i="35"/>
  <c r="V70" i="35"/>
  <c r="W70" i="35"/>
  <c r="X70" i="35"/>
  <c r="Y70" i="35"/>
  <c r="AA70" i="35"/>
  <c r="AB70" i="35"/>
  <c r="AC70" i="35"/>
  <c r="AD70" i="35"/>
  <c r="AE70" i="35"/>
  <c r="AF70" i="35"/>
  <c r="AG70" i="35"/>
  <c r="AH70" i="35"/>
  <c r="AI70" i="35"/>
  <c r="AJ70" i="35"/>
  <c r="AK70" i="35"/>
  <c r="AM70" i="35"/>
  <c r="AN70" i="35"/>
  <c r="AO70" i="35"/>
  <c r="AP70" i="35"/>
  <c r="AQ70" i="35"/>
  <c r="AR70" i="35"/>
  <c r="AS70" i="35"/>
  <c r="A71" i="35"/>
  <c r="C71" i="35"/>
  <c r="D71" i="35"/>
  <c r="E71" i="35"/>
  <c r="F71" i="35"/>
  <c r="G71" i="35"/>
  <c r="H71" i="35"/>
  <c r="I71" i="35"/>
  <c r="J71" i="35"/>
  <c r="K71" i="35"/>
  <c r="L71" i="35"/>
  <c r="M71" i="35"/>
  <c r="O71" i="35"/>
  <c r="P71" i="35"/>
  <c r="Q71" i="35"/>
  <c r="R71" i="35"/>
  <c r="S71" i="35"/>
  <c r="T71" i="35"/>
  <c r="U71" i="35"/>
  <c r="V71" i="35"/>
  <c r="W71" i="35"/>
  <c r="X71" i="35"/>
  <c r="Y71" i="35"/>
  <c r="AA71" i="35"/>
  <c r="AB71" i="35"/>
  <c r="AC71" i="35"/>
  <c r="AD71" i="35"/>
  <c r="AE71" i="35"/>
  <c r="AF71" i="35"/>
  <c r="AG71" i="35"/>
  <c r="AH71" i="35"/>
  <c r="AI71" i="35"/>
  <c r="AJ71" i="35"/>
  <c r="AK71" i="35"/>
  <c r="AM71" i="35"/>
  <c r="AN71" i="35"/>
  <c r="AO71" i="35"/>
  <c r="AP71" i="35"/>
  <c r="AQ71" i="35"/>
  <c r="AR71" i="35"/>
  <c r="AS71" i="35"/>
  <c r="A72" i="35"/>
  <c r="C72" i="35"/>
  <c r="D72" i="35"/>
  <c r="E72" i="35"/>
  <c r="F72" i="35"/>
  <c r="G72" i="35"/>
  <c r="H72" i="35"/>
  <c r="I72" i="35"/>
  <c r="J72" i="35"/>
  <c r="K72" i="35"/>
  <c r="L72" i="35"/>
  <c r="M72" i="35"/>
  <c r="O72" i="35"/>
  <c r="P72" i="35"/>
  <c r="Q72" i="35"/>
  <c r="R72" i="35"/>
  <c r="S72" i="35"/>
  <c r="T72" i="35"/>
  <c r="U72" i="35"/>
  <c r="V72" i="35"/>
  <c r="W72" i="35"/>
  <c r="X72" i="35"/>
  <c r="Y72" i="35"/>
  <c r="AA72" i="35"/>
  <c r="AB72" i="35"/>
  <c r="AC72" i="35"/>
  <c r="AD72" i="35"/>
  <c r="AE72" i="35"/>
  <c r="AF72" i="35"/>
  <c r="AG72" i="35"/>
  <c r="AH72" i="35"/>
  <c r="AI72" i="35"/>
  <c r="AJ72" i="35"/>
  <c r="AK72" i="35"/>
  <c r="AM72" i="35"/>
  <c r="AN72" i="35"/>
  <c r="AO72" i="35"/>
  <c r="AP72" i="35"/>
  <c r="AQ72" i="35"/>
  <c r="AR72" i="35"/>
  <c r="AS72" i="35"/>
  <c r="A73" i="35"/>
  <c r="C73" i="35"/>
  <c r="D73" i="35"/>
  <c r="E73" i="35"/>
  <c r="F73" i="35"/>
  <c r="G73" i="35"/>
  <c r="H73" i="35"/>
  <c r="I73" i="35"/>
  <c r="J73" i="35"/>
  <c r="K73" i="35"/>
  <c r="L73" i="35"/>
  <c r="M73" i="35"/>
  <c r="O73" i="35"/>
  <c r="P73" i="35"/>
  <c r="Q73" i="35"/>
  <c r="R73" i="35"/>
  <c r="S73" i="35"/>
  <c r="T73" i="35"/>
  <c r="U73" i="35"/>
  <c r="V73" i="35"/>
  <c r="W73" i="35"/>
  <c r="X73" i="35"/>
  <c r="Y73" i="35"/>
  <c r="AA73" i="35"/>
  <c r="AB73" i="35"/>
  <c r="AC73" i="35"/>
  <c r="AD73" i="35"/>
  <c r="AE73" i="35"/>
  <c r="AF73" i="35"/>
  <c r="AG73" i="35"/>
  <c r="AH73" i="35"/>
  <c r="AI73" i="35"/>
  <c r="AJ73" i="35"/>
  <c r="AK73" i="35"/>
  <c r="AM73" i="35"/>
  <c r="AN73" i="35"/>
  <c r="AO73" i="35"/>
  <c r="AP73" i="35"/>
  <c r="AQ73" i="35"/>
  <c r="AR73" i="35"/>
  <c r="AS73" i="35"/>
  <c r="A74" i="35"/>
  <c r="C74" i="35"/>
  <c r="D74" i="35"/>
  <c r="E74" i="35"/>
  <c r="F74" i="35"/>
  <c r="G74" i="35"/>
  <c r="H74" i="35"/>
  <c r="I74" i="35"/>
  <c r="J74" i="35"/>
  <c r="K74" i="35"/>
  <c r="L74" i="35"/>
  <c r="M74" i="35"/>
  <c r="O74" i="35"/>
  <c r="P74" i="35"/>
  <c r="Q74" i="35"/>
  <c r="R74" i="35"/>
  <c r="S74" i="35"/>
  <c r="T74" i="35"/>
  <c r="U74" i="35"/>
  <c r="V74" i="35"/>
  <c r="W74" i="35"/>
  <c r="X74" i="35"/>
  <c r="Y74" i="35"/>
  <c r="AA74" i="35"/>
  <c r="AB74" i="35"/>
  <c r="AC74" i="35"/>
  <c r="AD74" i="35"/>
  <c r="AE74" i="35"/>
  <c r="AF74" i="35"/>
  <c r="AG74" i="35"/>
  <c r="AH74" i="35"/>
  <c r="AI74" i="35"/>
  <c r="AJ74" i="35"/>
  <c r="AK74" i="35"/>
  <c r="AM74" i="35"/>
  <c r="AN74" i="35"/>
  <c r="AO74" i="35"/>
  <c r="AP74" i="35"/>
  <c r="AQ74" i="35"/>
  <c r="AR74" i="35"/>
  <c r="AS74" i="35"/>
  <c r="A75" i="35"/>
  <c r="C75" i="35"/>
  <c r="D75" i="35"/>
  <c r="E75" i="35"/>
  <c r="F75" i="35"/>
  <c r="G75" i="35"/>
  <c r="H75" i="35"/>
  <c r="I75" i="35"/>
  <c r="J75" i="35"/>
  <c r="K75" i="35"/>
  <c r="L75" i="35"/>
  <c r="M75" i="35"/>
  <c r="O75" i="35"/>
  <c r="P75" i="35"/>
  <c r="Q75" i="35"/>
  <c r="R75" i="35"/>
  <c r="S75" i="35"/>
  <c r="T75" i="35"/>
  <c r="U75" i="35"/>
  <c r="V75" i="35"/>
  <c r="W75" i="35"/>
  <c r="X75" i="35"/>
  <c r="Y75" i="35"/>
  <c r="AA75" i="35"/>
  <c r="AB75" i="35"/>
  <c r="AC75" i="35"/>
  <c r="AD75" i="35"/>
  <c r="AE75" i="35"/>
  <c r="AF75" i="35"/>
  <c r="AG75" i="35"/>
  <c r="AH75" i="35"/>
  <c r="AI75" i="35"/>
  <c r="AJ75" i="35"/>
  <c r="AK75" i="35"/>
  <c r="AM75" i="35"/>
  <c r="AN75" i="35"/>
  <c r="AO75" i="35"/>
  <c r="AP75" i="35"/>
  <c r="AQ75" i="35"/>
  <c r="AR75" i="35"/>
  <c r="AS75" i="35"/>
  <c r="A76" i="35"/>
  <c r="C76" i="35"/>
  <c r="D76" i="35"/>
  <c r="E76" i="35"/>
  <c r="F76" i="35"/>
  <c r="G76" i="35"/>
  <c r="H76" i="35"/>
  <c r="I76" i="35"/>
  <c r="J76" i="35"/>
  <c r="K76" i="35"/>
  <c r="L76" i="35"/>
  <c r="M76" i="35"/>
  <c r="O76" i="35"/>
  <c r="P76" i="35"/>
  <c r="Q76" i="35"/>
  <c r="R76" i="35"/>
  <c r="S76" i="35"/>
  <c r="T76" i="35"/>
  <c r="U76" i="35"/>
  <c r="V76" i="35"/>
  <c r="W76" i="35"/>
  <c r="X76" i="35"/>
  <c r="Y76" i="35"/>
  <c r="AA76" i="35"/>
  <c r="AB76" i="35"/>
  <c r="AC76" i="35"/>
  <c r="AD76" i="35"/>
  <c r="AE76" i="35"/>
  <c r="AF76" i="35"/>
  <c r="AG76" i="35"/>
  <c r="AH76" i="35"/>
  <c r="AI76" i="35"/>
  <c r="AJ76" i="35"/>
  <c r="AK76" i="35"/>
  <c r="AM76" i="35"/>
  <c r="AN76" i="35"/>
  <c r="AO76" i="35"/>
  <c r="AP76" i="35"/>
  <c r="AQ76" i="35"/>
  <c r="AR76" i="35"/>
  <c r="AS76" i="35"/>
  <c r="A77" i="35"/>
  <c r="C77" i="35"/>
  <c r="D77" i="35"/>
  <c r="E77" i="35"/>
  <c r="F77" i="35"/>
  <c r="G77" i="35"/>
  <c r="H77" i="35"/>
  <c r="I77" i="35"/>
  <c r="J77" i="35"/>
  <c r="K77" i="35"/>
  <c r="L77" i="35"/>
  <c r="M77" i="35"/>
  <c r="O77" i="35"/>
  <c r="P77" i="35"/>
  <c r="Q77" i="35"/>
  <c r="R77" i="35"/>
  <c r="S77" i="35"/>
  <c r="T77" i="35"/>
  <c r="U77" i="35"/>
  <c r="V77" i="35"/>
  <c r="W77" i="35"/>
  <c r="X77" i="35"/>
  <c r="Y77" i="35"/>
  <c r="AA77" i="35"/>
  <c r="AB77" i="35"/>
  <c r="AC77" i="35"/>
  <c r="AD77" i="35"/>
  <c r="AE77" i="35"/>
  <c r="AF77" i="35"/>
  <c r="AG77" i="35"/>
  <c r="AH77" i="35"/>
  <c r="AI77" i="35"/>
  <c r="AJ77" i="35"/>
  <c r="AK77" i="35"/>
  <c r="AM77" i="35"/>
  <c r="AN77" i="35"/>
  <c r="AO77" i="35"/>
  <c r="AP77" i="35"/>
  <c r="AQ77" i="35"/>
  <c r="AR77" i="35"/>
  <c r="AS77" i="35"/>
  <c r="A78" i="35"/>
  <c r="C78" i="35"/>
  <c r="D78" i="35"/>
  <c r="E78" i="35"/>
  <c r="F78" i="35"/>
  <c r="G78" i="35"/>
  <c r="H78" i="35"/>
  <c r="I78" i="35"/>
  <c r="J78" i="35"/>
  <c r="K78" i="35"/>
  <c r="L78" i="35"/>
  <c r="M78" i="35"/>
  <c r="O78" i="35"/>
  <c r="P78" i="35"/>
  <c r="Q78" i="35"/>
  <c r="R78" i="35"/>
  <c r="S78" i="35"/>
  <c r="T78" i="35"/>
  <c r="U78" i="35"/>
  <c r="V78" i="35"/>
  <c r="W78" i="35"/>
  <c r="X78" i="35"/>
  <c r="Y78" i="35"/>
  <c r="AA78" i="35"/>
  <c r="AB78" i="35"/>
  <c r="AC78" i="35"/>
  <c r="AD78" i="35"/>
  <c r="AE78" i="35"/>
  <c r="AF78" i="35"/>
  <c r="AG78" i="35"/>
  <c r="AH78" i="35"/>
  <c r="AI78" i="35"/>
  <c r="AJ78" i="35"/>
  <c r="AK78" i="35"/>
  <c r="AM78" i="35"/>
  <c r="AN78" i="35"/>
  <c r="AO78" i="35"/>
  <c r="AP78" i="35"/>
  <c r="AQ78" i="35"/>
  <c r="AR78" i="35"/>
  <c r="AS78" i="35"/>
  <c r="A79" i="35"/>
  <c r="C79" i="35"/>
  <c r="D79" i="35"/>
  <c r="E79" i="35"/>
  <c r="F79" i="35"/>
  <c r="G79" i="35"/>
  <c r="H79" i="35"/>
  <c r="I79" i="35"/>
  <c r="J79" i="35"/>
  <c r="K79" i="35"/>
  <c r="L79" i="35"/>
  <c r="M79" i="35"/>
  <c r="O79" i="35"/>
  <c r="P79" i="35"/>
  <c r="Q79" i="35"/>
  <c r="R79" i="35"/>
  <c r="S79" i="35"/>
  <c r="T79" i="35"/>
  <c r="U79" i="35"/>
  <c r="V79" i="35"/>
  <c r="W79" i="35"/>
  <c r="X79" i="35"/>
  <c r="Y79" i="35"/>
  <c r="AA79" i="35"/>
  <c r="AB79" i="35"/>
  <c r="AC79" i="35"/>
  <c r="AD79" i="35"/>
  <c r="AE79" i="35"/>
  <c r="AF79" i="35"/>
  <c r="AG79" i="35"/>
  <c r="AH79" i="35"/>
  <c r="AI79" i="35"/>
  <c r="AJ79" i="35"/>
  <c r="AK79" i="35"/>
  <c r="AM79" i="35"/>
  <c r="AN79" i="35"/>
  <c r="AO79" i="35"/>
  <c r="AP79" i="35"/>
  <c r="AQ79" i="35"/>
  <c r="AR79" i="35"/>
  <c r="AS79" i="35"/>
  <c r="A80" i="35"/>
  <c r="C80" i="35"/>
  <c r="D80" i="35"/>
  <c r="E80" i="35"/>
  <c r="F80" i="35"/>
  <c r="G80" i="35"/>
  <c r="H80" i="35"/>
  <c r="I80" i="35"/>
  <c r="J80" i="35"/>
  <c r="K80" i="35"/>
  <c r="L80" i="35"/>
  <c r="M80" i="35"/>
  <c r="O80" i="35"/>
  <c r="P80" i="35"/>
  <c r="Q80" i="35"/>
  <c r="R80" i="35"/>
  <c r="S80" i="35"/>
  <c r="T80" i="35"/>
  <c r="U80" i="35"/>
  <c r="V80" i="35"/>
  <c r="W80" i="35"/>
  <c r="X80" i="35"/>
  <c r="Y80" i="35"/>
  <c r="AA80" i="35"/>
  <c r="AB80" i="35"/>
  <c r="AC80" i="35"/>
  <c r="AD80" i="35"/>
  <c r="AE80" i="35"/>
  <c r="AF80" i="35"/>
  <c r="AG80" i="35"/>
  <c r="AH80" i="35"/>
  <c r="AI80" i="35"/>
  <c r="AJ80" i="35"/>
  <c r="AK80" i="35"/>
  <c r="AM80" i="35"/>
  <c r="AN80" i="35"/>
  <c r="AO80" i="35"/>
  <c r="AP80" i="35"/>
  <c r="AQ80" i="35"/>
  <c r="AR80" i="35"/>
  <c r="AS80" i="35"/>
  <c r="A81" i="35"/>
  <c r="C81" i="35"/>
  <c r="D81" i="35"/>
  <c r="E81" i="35"/>
  <c r="F81" i="35"/>
  <c r="G81" i="35"/>
  <c r="H81" i="35"/>
  <c r="I81" i="35"/>
  <c r="J81" i="35"/>
  <c r="K81" i="35"/>
  <c r="L81" i="35"/>
  <c r="M81" i="35"/>
  <c r="O81" i="35"/>
  <c r="P81" i="35"/>
  <c r="Q81" i="35"/>
  <c r="R81" i="35"/>
  <c r="S81" i="35"/>
  <c r="T81" i="35"/>
  <c r="U81" i="35"/>
  <c r="V81" i="35"/>
  <c r="W81" i="35"/>
  <c r="X81" i="35"/>
  <c r="Y81" i="35"/>
  <c r="AA81" i="35"/>
  <c r="AB81" i="35"/>
  <c r="AC81" i="35"/>
  <c r="AD81" i="35"/>
  <c r="AE81" i="35"/>
  <c r="AF81" i="35"/>
  <c r="AG81" i="35"/>
  <c r="AH81" i="35"/>
  <c r="AI81" i="35"/>
  <c r="AJ81" i="35"/>
  <c r="AK81" i="35"/>
  <c r="AM81" i="35"/>
  <c r="AN81" i="35"/>
  <c r="AO81" i="35"/>
  <c r="AP81" i="35"/>
  <c r="AQ81" i="35"/>
  <c r="AR81" i="35"/>
  <c r="AS81" i="35"/>
  <c r="A82" i="35"/>
  <c r="C82" i="35"/>
  <c r="D82" i="35"/>
  <c r="E82" i="35"/>
  <c r="F82" i="35"/>
  <c r="G82" i="35"/>
  <c r="H82" i="35"/>
  <c r="I82" i="35"/>
  <c r="J82" i="35"/>
  <c r="K82" i="35"/>
  <c r="L82" i="35"/>
  <c r="M82" i="35"/>
  <c r="O82" i="35"/>
  <c r="P82" i="35"/>
  <c r="Q82" i="35"/>
  <c r="R82" i="35"/>
  <c r="S82" i="35"/>
  <c r="T82" i="35"/>
  <c r="U82" i="35"/>
  <c r="V82" i="35"/>
  <c r="W82" i="35"/>
  <c r="X82" i="35"/>
  <c r="Y82" i="35"/>
  <c r="AA82" i="35"/>
  <c r="AB82" i="35"/>
  <c r="AC82" i="35"/>
  <c r="AD82" i="35"/>
  <c r="AE82" i="35"/>
  <c r="AF82" i="35"/>
  <c r="AG82" i="35"/>
  <c r="AH82" i="35"/>
  <c r="AI82" i="35"/>
  <c r="AJ82" i="35"/>
  <c r="AK82" i="35"/>
  <c r="AM82" i="35"/>
  <c r="AN82" i="35"/>
  <c r="AO82" i="35"/>
  <c r="AP82" i="35"/>
  <c r="AQ82" i="35"/>
  <c r="AR82" i="35"/>
  <c r="AS82" i="35"/>
  <c r="A83" i="35"/>
  <c r="C83" i="35"/>
  <c r="D83" i="35"/>
  <c r="E83" i="35"/>
  <c r="F83" i="35"/>
  <c r="G83" i="35"/>
  <c r="H83" i="35"/>
  <c r="I83" i="35"/>
  <c r="J83" i="35"/>
  <c r="K83" i="35"/>
  <c r="L83" i="35"/>
  <c r="M83" i="35"/>
  <c r="O83" i="35"/>
  <c r="P83" i="35"/>
  <c r="Q83" i="35"/>
  <c r="R83" i="35"/>
  <c r="S83" i="35"/>
  <c r="T83" i="35"/>
  <c r="U83" i="35"/>
  <c r="V83" i="35"/>
  <c r="W83" i="35"/>
  <c r="X83" i="35"/>
  <c r="Y83" i="35"/>
  <c r="AA83" i="35"/>
  <c r="AB83" i="35"/>
  <c r="AC83" i="35"/>
  <c r="AD83" i="35"/>
  <c r="AE83" i="35"/>
  <c r="AF83" i="35"/>
  <c r="AG83" i="35"/>
  <c r="AH83" i="35"/>
  <c r="AI83" i="35"/>
  <c r="AJ83" i="35"/>
  <c r="AK83" i="35"/>
  <c r="AM83" i="35"/>
  <c r="AN83" i="35"/>
  <c r="AO83" i="35"/>
  <c r="AP83" i="35"/>
  <c r="AQ83" i="35"/>
  <c r="AR83" i="35"/>
  <c r="AS83" i="35"/>
  <c r="A84" i="35"/>
  <c r="C84" i="35"/>
  <c r="D84" i="35"/>
  <c r="E84" i="35"/>
  <c r="F84" i="35"/>
  <c r="G84" i="35"/>
  <c r="H84" i="35"/>
  <c r="I84" i="35"/>
  <c r="J84" i="35"/>
  <c r="K84" i="35"/>
  <c r="L84" i="35"/>
  <c r="M84" i="35"/>
  <c r="O84" i="35"/>
  <c r="P84" i="35"/>
  <c r="Q84" i="35"/>
  <c r="R84" i="35"/>
  <c r="S84" i="35"/>
  <c r="T84" i="35"/>
  <c r="U84" i="35"/>
  <c r="V84" i="35"/>
  <c r="W84" i="35"/>
  <c r="X84" i="35"/>
  <c r="Y84" i="35"/>
  <c r="AA84" i="35"/>
  <c r="AB84" i="35"/>
  <c r="AC84" i="35"/>
  <c r="AD84" i="35"/>
  <c r="AE84" i="35"/>
  <c r="AF84" i="35"/>
  <c r="AG84" i="35"/>
  <c r="AH84" i="35"/>
  <c r="AI84" i="35"/>
  <c r="AJ84" i="35"/>
  <c r="AK84" i="35"/>
  <c r="AM84" i="35"/>
  <c r="AN84" i="35"/>
  <c r="AO84" i="35"/>
  <c r="AP84" i="35"/>
  <c r="AQ84" i="35"/>
  <c r="AR84" i="35"/>
  <c r="AS84" i="35"/>
  <c r="A85" i="35"/>
  <c r="C85" i="35"/>
  <c r="D85" i="35"/>
  <c r="E85" i="35"/>
  <c r="F85" i="35"/>
  <c r="G85" i="35"/>
  <c r="H85" i="35"/>
  <c r="I85" i="35"/>
  <c r="J85" i="35"/>
  <c r="K85" i="35"/>
  <c r="L85" i="35"/>
  <c r="M85" i="35"/>
  <c r="O85" i="35"/>
  <c r="P85" i="35"/>
  <c r="Q85" i="35"/>
  <c r="R85" i="35"/>
  <c r="S85" i="35"/>
  <c r="T85" i="35"/>
  <c r="U85" i="35"/>
  <c r="V85" i="35"/>
  <c r="W85" i="35"/>
  <c r="X85" i="35"/>
  <c r="Y85" i="35"/>
  <c r="AA85" i="35"/>
  <c r="AB85" i="35"/>
  <c r="AC85" i="35"/>
  <c r="AD85" i="35"/>
  <c r="AE85" i="35"/>
  <c r="AF85" i="35"/>
  <c r="AG85" i="35"/>
  <c r="AH85" i="35"/>
  <c r="AI85" i="35"/>
  <c r="AJ85" i="35"/>
  <c r="AK85" i="35"/>
  <c r="AM85" i="35"/>
  <c r="AN85" i="35"/>
  <c r="AO85" i="35"/>
  <c r="AP85" i="35"/>
  <c r="AQ85" i="35"/>
  <c r="AR85" i="35"/>
  <c r="AS85" i="35"/>
  <c r="A86" i="35"/>
  <c r="C86" i="35"/>
  <c r="D86" i="35"/>
  <c r="E86" i="35"/>
  <c r="F86" i="35"/>
  <c r="G86" i="35"/>
  <c r="H86" i="35"/>
  <c r="I86" i="35"/>
  <c r="J86" i="35"/>
  <c r="K86" i="35"/>
  <c r="L86" i="35"/>
  <c r="M86" i="35"/>
  <c r="O86" i="35"/>
  <c r="P86" i="35"/>
  <c r="Q86" i="35"/>
  <c r="R86" i="35"/>
  <c r="S86" i="35"/>
  <c r="T86" i="35"/>
  <c r="U86" i="35"/>
  <c r="V86" i="35"/>
  <c r="W86" i="35"/>
  <c r="X86" i="35"/>
  <c r="Y86" i="35"/>
  <c r="AA86" i="35"/>
  <c r="AB86" i="35"/>
  <c r="AC86" i="35"/>
  <c r="AD86" i="35"/>
  <c r="AE86" i="35"/>
  <c r="AF86" i="35"/>
  <c r="AG86" i="35"/>
  <c r="AH86" i="35"/>
  <c r="AI86" i="35"/>
  <c r="AJ86" i="35"/>
  <c r="AK86" i="35"/>
  <c r="AM86" i="35"/>
  <c r="AN86" i="35"/>
  <c r="AO86" i="35"/>
  <c r="AP86" i="35"/>
  <c r="AQ86" i="35"/>
  <c r="AR86" i="35"/>
  <c r="AS86" i="35"/>
  <c r="A87" i="35"/>
  <c r="C87" i="35"/>
  <c r="D87" i="35"/>
  <c r="E87" i="35"/>
  <c r="F87" i="35"/>
  <c r="G87" i="35"/>
  <c r="H87" i="35"/>
  <c r="I87" i="35"/>
  <c r="J87" i="35"/>
  <c r="K87" i="35"/>
  <c r="L87" i="35"/>
  <c r="M87" i="35"/>
  <c r="O87" i="35"/>
  <c r="P87" i="35"/>
  <c r="Q87" i="35"/>
  <c r="R87" i="35"/>
  <c r="S87" i="35"/>
  <c r="T87" i="35"/>
  <c r="U87" i="35"/>
  <c r="V87" i="35"/>
  <c r="W87" i="35"/>
  <c r="X87" i="35"/>
  <c r="Y87" i="35"/>
  <c r="AA87" i="35"/>
  <c r="AB87" i="35"/>
  <c r="AC87" i="35"/>
  <c r="AD87" i="35"/>
  <c r="AE87" i="35"/>
  <c r="AF87" i="35"/>
  <c r="AG87" i="35"/>
  <c r="AH87" i="35"/>
  <c r="AI87" i="35"/>
  <c r="AJ87" i="35"/>
  <c r="AK87" i="35"/>
  <c r="AM87" i="35"/>
  <c r="AN87" i="35"/>
  <c r="AO87" i="35"/>
  <c r="AP87" i="35"/>
  <c r="AQ87" i="35"/>
  <c r="AR87" i="35"/>
  <c r="AS87" i="35"/>
  <c r="A88" i="35"/>
  <c r="C88" i="35"/>
  <c r="D88" i="35"/>
  <c r="E88" i="35"/>
  <c r="F88" i="35"/>
  <c r="G88" i="35"/>
  <c r="H88" i="35"/>
  <c r="I88" i="35"/>
  <c r="J88" i="35"/>
  <c r="K88" i="35"/>
  <c r="L88" i="35"/>
  <c r="M88" i="35"/>
  <c r="O88" i="35"/>
  <c r="P88" i="35"/>
  <c r="Q88" i="35"/>
  <c r="R88" i="35"/>
  <c r="S88" i="35"/>
  <c r="T88" i="35"/>
  <c r="U88" i="35"/>
  <c r="V88" i="35"/>
  <c r="W88" i="35"/>
  <c r="X88" i="35"/>
  <c r="Y88" i="35"/>
  <c r="AA88" i="35"/>
  <c r="AB88" i="35"/>
  <c r="AC88" i="35"/>
  <c r="AD88" i="35"/>
  <c r="AE88" i="35"/>
  <c r="AF88" i="35"/>
  <c r="AG88" i="35"/>
  <c r="AH88" i="35"/>
  <c r="AI88" i="35"/>
  <c r="AJ88" i="35"/>
  <c r="AK88" i="35"/>
  <c r="AM88" i="35"/>
  <c r="AN88" i="35"/>
  <c r="AO88" i="35"/>
  <c r="AP88" i="35"/>
  <c r="AQ88" i="35"/>
  <c r="AR88" i="35"/>
  <c r="AS88" i="35"/>
  <c r="A89" i="35"/>
  <c r="C89" i="35"/>
  <c r="D89" i="35"/>
  <c r="E89" i="35"/>
  <c r="F89" i="35"/>
  <c r="G89" i="35"/>
  <c r="H89" i="35"/>
  <c r="I89" i="35"/>
  <c r="J89" i="35"/>
  <c r="K89" i="35"/>
  <c r="L89" i="35"/>
  <c r="M89" i="35"/>
  <c r="O89" i="35"/>
  <c r="P89" i="35"/>
  <c r="Q89" i="35"/>
  <c r="R89" i="35"/>
  <c r="S89" i="35"/>
  <c r="T89" i="35"/>
  <c r="U89" i="35"/>
  <c r="V89" i="35"/>
  <c r="W89" i="35"/>
  <c r="X89" i="35"/>
  <c r="Y89" i="35"/>
  <c r="AA89" i="35"/>
  <c r="AB89" i="35"/>
  <c r="AC89" i="35"/>
  <c r="AD89" i="35"/>
  <c r="AE89" i="35"/>
  <c r="AF89" i="35"/>
  <c r="AG89" i="35"/>
  <c r="AH89" i="35"/>
  <c r="AI89" i="35"/>
  <c r="AJ89" i="35"/>
  <c r="AK89" i="35"/>
  <c r="AM89" i="35"/>
  <c r="AN89" i="35"/>
  <c r="AO89" i="35"/>
  <c r="AP89" i="35"/>
  <c r="AQ89" i="35"/>
  <c r="AR89" i="35"/>
  <c r="AS89" i="35"/>
  <c r="A90" i="35"/>
  <c r="C90" i="35"/>
  <c r="D90" i="35"/>
  <c r="E90" i="35"/>
  <c r="F90" i="35"/>
  <c r="G90" i="35"/>
  <c r="H90" i="35"/>
  <c r="I90" i="35"/>
  <c r="J90" i="35"/>
  <c r="K90" i="35"/>
  <c r="L90" i="35"/>
  <c r="M90" i="35"/>
  <c r="O90" i="35"/>
  <c r="P90" i="35"/>
  <c r="Q90" i="35"/>
  <c r="R90" i="35"/>
  <c r="S90" i="35"/>
  <c r="T90" i="35"/>
  <c r="U90" i="35"/>
  <c r="V90" i="35"/>
  <c r="W90" i="35"/>
  <c r="X90" i="35"/>
  <c r="Y90" i="35"/>
  <c r="AA90" i="35"/>
  <c r="AB90" i="35"/>
  <c r="AC90" i="35"/>
  <c r="AD90" i="35"/>
  <c r="AE90" i="35"/>
  <c r="AF90" i="35"/>
  <c r="AG90" i="35"/>
  <c r="AH90" i="35"/>
  <c r="AI90" i="35"/>
  <c r="AJ90" i="35"/>
  <c r="AK90" i="35"/>
  <c r="AM90" i="35"/>
  <c r="AN90" i="35"/>
  <c r="AO90" i="35"/>
  <c r="AP90" i="35"/>
  <c r="AQ90" i="35"/>
  <c r="AR90" i="35"/>
  <c r="AS90" i="35"/>
  <c r="A91" i="35"/>
  <c r="C91" i="35"/>
  <c r="D91" i="35"/>
  <c r="E91" i="35"/>
  <c r="F91" i="35"/>
  <c r="G91" i="35"/>
  <c r="H91" i="35"/>
  <c r="I91" i="35"/>
  <c r="J91" i="35"/>
  <c r="K91" i="35"/>
  <c r="L91" i="35"/>
  <c r="M91" i="35"/>
  <c r="O91" i="35"/>
  <c r="P91" i="35"/>
  <c r="Q91" i="35"/>
  <c r="R91" i="35"/>
  <c r="S91" i="35"/>
  <c r="T91" i="35"/>
  <c r="U91" i="35"/>
  <c r="V91" i="35"/>
  <c r="W91" i="35"/>
  <c r="X91" i="35"/>
  <c r="Y91" i="35"/>
  <c r="AA91" i="35"/>
  <c r="AB91" i="35"/>
  <c r="AC91" i="35"/>
  <c r="AD91" i="35"/>
  <c r="AE91" i="35"/>
  <c r="AF91" i="35"/>
  <c r="AG91" i="35"/>
  <c r="AH91" i="35"/>
  <c r="AI91" i="35"/>
  <c r="AJ91" i="35"/>
  <c r="AK91" i="35"/>
  <c r="AM91" i="35"/>
  <c r="AN91" i="35"/>
  <c r="AO91" i="35"/>
  <c r="AP91" i="35"/>
  <c r="AQ91" i="35"/>
  <c r="AR91" i="35"/>
  <c r="AS91" i="35"/>
  <c r="A92" i="35"/>
  <c r="C92" i="35"/>
  <c r="D92" i="35"/>
  <c r="E92" i="35"/>
  <c r="F92" i="35"/>
  <c r="G92" i="35"/>
  <c r="H92" i="35"/>
  <c r="I92" i="35"/>
  <c r="J92" i="35"/>
  <c r="K92" i="35"/>
  <c r="L92" i="35"/>
  <c r="M92" i="35"/>
  <c r="O92" i="35"/>
  <c r="P92" i="35"/>
  <c r="Q92" i="35"/>
  <c r="R92" i="35"/>
  <c r="S92" i="35"/>
  <c r="T92" i="35"/>
  <c r="U92" i="35"/>
  <c r="V92" i="35"/>
  <c r="W92" i="35"/>
  <c r="X92" i="35"/>
  <c r="Y92" i="35"/>
  <c r="AA92" i="35"/>
  <c r="AB92" i="35"/>
  <c r="AC92" i="35"/>
  <c r="AD92" i="35"/>
  <c r="AE92" i="35"/>
  <c r="AF92" i="35"/>
  <c r="AG92" i="35"/>
  <c r="AH92" i="35"/>
  <c r="AI92" i="35"/>
  <c r="AJ92" i="35"/>
  <c r="AK92" i="35"/>
  <c r="AM92" i="35"/>
  <c r="AN92" i="35"/>
  <c r="AO92" i="35"/>
  <c r="AP92" i="35"/>
  <c r="AQ92" i="35"/>
  <c r="AR92" i="35"/>
  <c r="AS92" i="35"/>
  <c r="A93" i="35"/>
  <c r="C93" i="35"/>
  <c r="D93" i="35"/>
  <c r="E93" i="35"/>
  <c r="F93" i="35"/>
  <c r="G93" i="35"/>
  <c r="H93" i="35"/>
  <c r="I93" i="35"/>
  <c r="J93" i="35"/>
  <c r="K93" i="35"/>
  <c r="L93" i="35"/>
  <c r="M93" i="35"/>
  <c r="O93" i="35"/>
  <c r="P93" i="35"/>
  <c r="Q93" i="35"/>
  <c r="R93" i="35"/>
  <c r="S93" i="35"/>
  <c r="T93" i="35"/>
  <c r="U93" i="35"/>
  <c r="V93" i="35"/>
  <c r="W93" i="35"/>
  <c r="X93" i="35"/>
  <c r="Y93" i="35"/>
  <c r="AA93" i="35"/>
  <c r="AB93" i="35"/>
  <c r="AC93" i="35"/>
  <c r="AD93" i="35"/>
  <c r="AE93" i="35"/>
  <c r="AF93" i="35"/>
  <c r="AG93" i="35"/>
  <c r="AH93" i="35"/>
  <c r="AI93" i="35"/>
  <c r="AJ93" i="35"/>
  <c r="AK93" i="35"/>
  <c r="AM93" i="35"/>
  <c r="AN93" i="35"/>
  <c r="AO93" i="35"/>
  <c r="AP93" i="35"/>
  <c r="AQ93" i="35"/>
  <c r="AR93" i="35"/>
  <c r="AS93" i="35"/>
  <c r="A94" i="35"/>
  <c r="C94" i="35"/>
  <c r="D94" i="35"/>
  <c r="E94" i="35"/>
  <c r="F94" i="35"/>
  <c r="G94" i="35"/>
  <c r="H94" i="35"/>
  <c r="I94" i="35"/>
  <c r="J94" i="35"/>
  <c r="K94" i="35"/>
  <c r="L94" i="35"/>
  <c r="M94" i="35"/>
  <c r="O94" i="35"/>
  <c r="P94" i="35"/>
  <c r="Q94" i="35"/>
  <c r="R94" i="35"/>
  <c r="S94" i="35"/>
  <c r="T94" i="35"/>
  <c r="U94" i="35"/>
  <c r="V94" i="35"/>
  <c r="W94" i="35"/>
  <c r="X94" i="35"/>
  <c r="Y94" i="35"/>
  <c r="AA94" i="35"/>
  <c r="AB94" i="35"/>
  <c r="AC94" i="35"/>
  <c r="AD94" i="35"/>
  <c r="AE94" i="35"/>
  <c r="AF94" i="35"/>
  <c r="AG94" i="35"/>
  <c r="AH94" i="35"/>
  <c r="AI94" i="35"/>
  <c r="AJ94" i="35"/>
  <c r="AK94" i="35"/>
  <c r="AM94" i="35"/>
  <c r="AN94" i="35"/>
  <c r="AO94" i="35"/>
  <c r="AP94" i="35"/>
  <c r="AQ94" i="35"/>
  <c r="AR94" i="35"/>
  <c r="AS94" i="35"/>
  <c r="A95" i="35"/>
  <c r="C95" i="35"/>
  <c r="D95" i="35"/>
  <c r="E95" i="35"/>
  <c r="F95" i="35"/>
  <c r="G95" i="35"/>
  <c r="H95" i="35"/>
  <c r="I95" i="35"/>
  <c r="J95" i="35"/>
  <c r="K95" i="35"/>
  <c r="L95" i="35"/>
  <c r="M95" i="35"/>
  <c r="O95" i="35"/>
  <c r="P95" i="35"/>
  <c r="Q95" i="35"/>
  <c r="R95" i="35"/>
  <c r="S95" i="35"/>
  <c r="T95" i="35"/>
  <c r="U95" i="35"/>
  <c r="V95" i="35"/>
  <c r="W95" i="35"/>
  <c r="X95" i="35"/>
  <c r="Y95" i="35"/>
  <c r="AA95" i="35"/>
  <c r="AB95" i="35"/>
  <c r="AC95" i="35"/>
  <c r="AD95" i="35"/>
  <c r="AE95" i="35"/>
  <c r="AF95" i="35"/>
  <c r="AG95" i="35"/>
  <c r="AH95" i="35"/>
  <c r="AI95" i="35"/>
  <c r="AJ95" i="35"/>
  <c r="AK95" i="35"/>
  <c r="AM95" i="35"/>
  <c r="AN95" i="35"/>
  <c r="AO95" i="35"/>
  <c r="AP95" i="35"/>
  <c r="AQ95" i="35"/>
  <c r="AR95" i="35"/>
  <c r="AS95" i="35"/>
  <c r="A96" i="35"/>
  <c r="C96" i="35"/>
  <c r="D96" i="35"/>
  <c r="E96" i="35"/>
  <c r="F96" i="35"/>
  <c r="G96" i="35"/>
  <c r="H96" i="35"/>
  <c r="I96" i="35"/>
  <c r="J96" i="35"/>
  <c r="K96" i="35"/>
  <c r="L96" i="35"/>
  <c r="M96" i="35"/>
  <c r="O96" i="35"/>
  <c r="P96" i="35"/>
  <c r="Q96" i="35"/>
  <c r="R96" i="35"/>
  <c r="S96" i="35"/>
  <c r="T96" i="35"/>
  <c r="U96" i="35"/>
  <c r="V96" i="35"/>
  <c r="W96" i="35"/>
  <c r="X96" i="35"/>
  <c r="Y96" i="35"/>
  <c r="AA96" i="35"/>
  <c r="AB96" i="35"/>
  <c r="AC96" i="35"/>
  <c r="AD96" i="35"/>
  <c r="AE96" i="35"/>
  <c r="AF96" i="35"/>
  <c r="AG96" i="35"/>
  <c r="AH96" i="35"/>
  <c r="AI96" i="35"/>
  <c r="AJ96" i="35"/>
  <c r="AK96" i="35"/>
  <c r="AM96" i="35"/>
  <c r="AN96" i="35"/>
  <c r="AO96" i="35"/>
  <c r="AP96" i="35"/>
  <c r="AQ96" i="35"/>
  <c r="AR96" i="35"/>
  <c r="AS96" i="35"/>
  <c r="A97" i="35"/>
  <c r="C97" i="35"/>
  <c r="D97" i="35"/>
  <c r="E97" i="35"/>
  <c r="F97" i="35"/>
  <c r="G97" i="35"/>
  <c r="H97" i="35"/>
  <c r="I97" i="35"/>
  <c r="J97" i="35"/>
  <c r="K97" i="35"/>
  <c r="L97" i="35"/>
  <c r="M97" i="35"/>
  <c r="O97" i="35"/>
  <c r="P97" i="35"/>
  <c r="Q97" i="35"/>
  <c r="R97" i="35"/>
  <c r="S97" i="35"/>
  <c r="T97" i="35"/>
  <c r="U97" i="35"/>
  <c r="V97" i="35"/>
  <c r="W97" i="35"/>
  <c r="X97" i="35"/>
  <c r="Y97" i="35"/>
  <c r="AA97" i="35"/>
  <c r="AB97" i="35"/>
  <c r="AC97" i="35"/>
  <c r="AD97" i="35"/>
  <c r="AE97" i="35"/>
  <c r="AF97" i="35"/>
  <c r="AG97" i="35"/>
  <c r="AH97" i="35"/>
  <c r="AI97" i="35"/>
  <c r="AJ97" i="35"/>
  <c r="AK97" i="35"/>
  <c r="AM97" i="35"/>
  <c r="AN97" i="35"/>
  <c r="AO97" i="35"/>
  <c r="AP97" i="35"/>
  <c r="AQ97" i="35"/>
  <c r="AR97" i="35"/>
  <c r="AS97" i="35"/>
  <c r="A98" i="35"/>
  <c r="C98" i="35"/>
  <c r="D98" i="35"/>
  <c r="E98" i="35"/>
  <c r="F98" i="35"/>
  <c r="G98" i="35"/>
  <c r="H98" i="35"/>
  <c r="I98" i="35"/>
  <c r="J98" i="35"/>
  <c r="K98" i="35"/>
  <c r="L98" i="35"/>
  <c r="M98" i="35"/>
  <c r="O98" i="35"/>
  <c r="P98" i="35"/>
  <c r="Q98" i="35"/>
  <c r="R98" i="35"/>
  <c r="S98" i="35"/>
  <c r="T98" i="35"/>
  <c r="U98" i="35"/>
  <c r="V98" i="35"/>
  <c r="W98" i="35"/>
  <c r="X98" i="35"/>
  <c r="Y98" i="35"/>
  <c r="AA98" i="35"/>
  <c r="AB98" i="35"/>
  <c r="AC98" i="35"/>
  <c r="AD98" i="35"/>
  <c r="AE98" i="35"/>
  <c r="AF98" i="35"/>
  <c r="AG98" i="35"/>
  <c r="AH98" i="35"/>
  <c r="AI98" i="35"/>
  <c r="AJ98" i="35"/>
  <c r="AK98" i="35"/>
  <c r="AM98" i="35"/>
  <c r="AN98" i="35"/>
  <c r="AO98" i="35"/>
  <c r="AP98" i="35"/>
  <c r="AQ98" i="35"/>
  <c r="AR98" i="35"/>
  <c r="AS98" i="35"/>
  <c r="A99" i="35"/>
  <c r="C99" i="35"/>
  <c r="D99" i="35"/>
  <c r="E99" i="35"/>
  <c r="F99" i="35"/>
  <c r="G99" i="35"/>
  <c r="H99" i="35"/>
  <c r="I99" i="35"/>
  <c r="J99" i="35"/>
  <c r="K99" i="35"/>
  <c r="L99" i="35"/>
  <c r="M99" i="35"/>
  <c r="O99" i="35"/>
  <c r="P99" i="35"/>
  <c r="Q99" i="35"/>
  <c r="R99" i="35"/>
  <c r="S99" i="35"/>
  <c r="T99" i="35"/>
  <c r="U99" i="35"/>
  <c r="V99" i="35"/>
  <c r="W99" i="35"/>
  <c r="X99" i="35"/>
  <c r="Y99" i="35"/>
  <c r="AA99" i="35"/>
  <c r="AB99" i="35"/>
  <c r="AC99" i="35"/>
  <c r="AD99" i="35"/>
  <c r="AE99" i="35"/>
  <c r="AF99" i="35"/>
  <c r="AG99" i="35"/>
  <c r="AH99" i="35"/>
  <c r="AI99" i="35"/>
  <c r="AJ99" i="35"/>
  <c r="AK99" i="35"/>
  <c r="AM99" i="35"/>
  <c r="AN99" i="35"/>
  <c r="AO99" i="35"/>
  <c r="AP99" i="35"/>
  <c r="AQ99" i="35"/>
  <c r="AR99" i="35"/>
  <c r="AS99" i="35"/>
  <c r="A100" i="35"/>
  <c r="C100" i="35"/>
  <c r="D100" i="35"/>
  <c r="E100" i="35"/>
  <c r="F100" i="35"/>
  <c r="G100" i="35"/>
  <c r="H100" i="35"/>
  <c r="I100" i="35"/>
  <c r="J100" i="35"/>
  <c r="K100" i="35"/>
  <c r="L100" i="35"/>
  <c r="M100" i="35"/>
  <c r="O100" i="35"/>
  <c r="P100" i="35"/>
  <c r="Q100" i="35"/>
  <c r="R100" i="35"/>
  <c r="S100" i="35"/>
  <c r="T100" i="35"/>
  <c r="U100" i="35"/>
  <c r="V100" i="35"/>
  <c r="W100" i="35"/>
  <c r="X100" i="35"/>
  <c r="Y100" i="35"/>
  <c r="AA100" i="35"/>
  <c r="AB100" i="35"/>
  <c r="AC100" i="35"/>
  <c r="AD100" i="35"/>
  <c r="AE100" i="35"/>
  <c r="AF100" i="35"/>
  <c r="AG100" i="35"/>
  <c r="AH100" i="35"/>
  <c r="AI100" i="35"/>
  <c r="AJ100" i="35"/>
  <c r="AK100" i="35"/>
  <c r="AM100" i="35"/>
  <c r="AN100" i="35"/>
  <c r="AO100" i="35"/>
  <c r="AP100" i="35"/>
  <c r="AQ100" i="35"/>
  <c r="AR100" i="35"/>
  <c r="AS100" i="35"/>
  <c r="A101" i="35"/>
  <c r="C101" i="35"/>
  <c r="D101" i="35"/>
  <c r="E101" i="35"/>
  <c r="F101" i="35"/>
  <c r="G101" i="35"/>
  <c r="H101" i="35"/>
  <c r="I101" i="35"/>
  <c r="J101" i="35"/>
  <c r="K101" i="35"/>
  <c r="L101" i="35"/>
  <c r="M101" i="35"/>
  <c r="O101" i="35"/>
  <c r="P101" i="35"/>
  <c r="Q101" i="35"/>
  <c r="R101" i="35"/>
  <c r="S101" i="35"/>
  <c r="T101" i="35"/>
  <c r="U101" i="35"/>
  <c r="V101" i="35"/>
  <c r="W101" i="35"/>
  <c r="X101" i="35"/>
  <c r="Y101" i="35"/>
  <c r="AA101" i="35"/>
  <c r="AB101" i="35"/>
  <c r="AC101" i="35"/>
  <c r="AD101" i="35"/>
  <c r="AE101" i="35"/>
  <c r="AF101" i="35"/>
  <c r="AG101" i="35"/>
  <c r="AH101" i="35"/>
  <c r="AI101" i="35"/>
  <c r="AJ101" i="35"/>
  <c r="AK101" i="35"/>
  <c r="AM101" i="35"/>
  <c r="AN101" i="35"/>
  <c r="AO101" i="35"/>
  <c r="AP101" i="35"/>
  <c r="AQ101" i="35"/>
  <c r="AR101" i="35"/>
  <c r="AS101" i="35"/>
  <c r="A102" i="35"/>
  <c r="C102" i="35"/>
  <c r="D102" i="35"/>
  <c r="E102" i="35"/>
  <c r="F102" i="35"/>
  <c r="G102" i="35"/>
  <c r="H102" i="35"/>
  <c r="I102" i="35"/>
  <c r="J102" i="35"/>
  <c r="K102" i="35"/>
  <c r="L102" i="35"/>
  <c r="M102" i="35"/>
  <c r="O102" i="35"/>
  <c r="P102" i="35"/>
  <c r="Q102" i="35"/>
  <c r="R102" i="35"/>
  <c r="S102" i="35"/>
  <c r="T102" i="35"/>
  <c r="U102" i="35"/>
  <c r="V102" i="35"/>
  <c r="W102" i="35"/>
  <c r="X102" i="35"/>
  <c r="Y102" i="35"/>
  <c r="AA102" i="35"/>
  <c r="AB102" i="35"/>
  <c r="AC102" i="35"/>
  <c r="AD102" i="35"/>
  <c r="AE102" i="35"/>
  <c r="AF102" i="35"/>
  <c r="AG102" i="35"/>
  <c r="AH102" i="35"/>
  <c r="AI102" i="35"/>
  <c r="AJ102" i="35"/>
  <c r="AK102" i="35"/>
  <c r="AM102" i="35"/>
  <c r="AN102" i="35"/>
  <c r="AO102" i="35"/>
  <c r="AP102" i="35"/>
  <c r="AQ102" i="35"/>
  <c r="AR102" i="35"/>
  <c r="AS102" i="35"/>
  <c r="A103" i="35"/>
  <c r="C103" i="35"/>
  <c r="D103" i="35"/>
  <c r="E103" i="35"/>
  <c r="F103" i="35"/>
  <c r="G103" i="35"/>
  <c r="H103" i="35"/>
  <c r="I103" i="35"/>
  <c r="J103" i="35"/>
  <c r="K103" i="35"/>
  <c r="L103" i="35"/>
  <c r="M103" i="35"/>
  <c r="O103" i="35"/>
  <c r="P103" i="35"/>
  <c r="Q103" i="35"/>
  <c r="R103" i="35"/>
  <c r="S103" i="35"/>
  <c r="T103" i="35"/>
  <c r="U103" i="35"/>
  <c r="V103" i="35"/>
  <c r="W103" i="35"/>
  <c r="X103" i="35"/>
  <c r="Y103" i="35"/>
  <c r="AA103" i="35"/>
  <c r="AB103" i="35"/>
  <c r="AC103" i="35"/>
  <c r="AD103" i="35"/>
  <c r="AE103" i="35"/>
  <c r="AF103" i="35"/>
  <c r="AG103" i="35"/>
  <c r="AH103" i="35"/>
  <c r="AI103" i="35"/>
  <c r="AJ103" i="35"/>
  <c r="AK103" i="35"/>
  <c r="AM103" i="35"/>
  <c r="AN103" i="35"/>
  <c r="AO103" i="35"/>
  <c r="AP103" i="35"/>
  <c r="AQ103" i="35"/>
  <c r="AR103" i="35"/>
  <c r="AS103" i="35"/>
  <c r="A104" i="35"/>
  <c r="C104" i="35"/>
  <c r="D104" i="35"/>
  <c r="E104" i="35"/>
  <c r="F104" i="35"/>
  <c r="G104" i="35"/>
  <c r="H104" i="35"/>
  <c r="I104" i="35"/>
  <c r="J104" i="35"/>
  <c r="K104" i="35"/>
  <c r="L104" i="35"/>
  <c r="M104" i="35"/>
  <c r="O104" i="35"/>
  <c r="P104" i="35"/>
  <c r="Q104" i="35"/>
  <c r="R104" i="35"/>
  <c r="S104" i="35"/>
  <c r="T104" i="35"/>
  <c r="U104" i="35"/>
  <c r="V104" i="35"/>
  <c r="W104" i="35"/>
  <c r="X104" i="35"/>
  <c r="Y104" i="35"/>
  <c r="AA104" i="35"/>
  <c r="AB104" i="35"/>
  <c r="AC104" i="35"/>
  <c r="AD104" i="35"/>
  <c r="AE104" i="35"/>
  <c r="AF104" i="35"/>
  <c r="AG104" i="35"/>
  <c r="AH104" i="35"/>
  <c r="AI104" i="35"/>
  <c r="AJ104" i="35"/>
  <c r="AK104" i="35"/>
  <c r="AM104" i="35"/>
  <c r="AN104" i="35"/>
  <c r="AO104" i="35"/>
  <c r="AP104" i="35"/>
  <c r="AQ104" i="35"/>
  <c r="AR104" i="35"/>
  <c r="AS104" i="35"/>
  <c r="A105" i="35"/>
  <c r="C105" i="35"/>
  <c r="D105" i="35"/>
  <c r="E105" i="35"/>
  <c r="F105" i="35"/>
  <c r="G105" i="35"/>
  <c r="H105" i="35"/>
  <c r="I105" i="35"/>
  <c r="J105" i="35"/>
  <c r="K105" i="35"/>
  <c r="L105" i="35"/>
  <c r="M105" i="35"/>
  <c r="O105" i="35"/>
  <c r="P105" i="35"/>
  <c r="Q105" i="35"/>
  <c r="R105" i="35"/>
  <c r="S105" i="35"/>
  <c r="T105" i="35"/>
  <c r="U105" i="35"/>
  <c r="V105" i="35"/>
  <c r="W105" i="35"/>
  <c r="X105" i="35"/>
  <c r="Y105" i="35"/>
  <c r="AA105" i="35"/>
  <c r="AB105" i="35"/>
  <c r="AC105" i="35"/>
  <c r="AD105" i="35"/>
  <c r="AE105" i="35"/>
  <c r="AF105" i="35"/>
  <c r="AG105" i="35"/>
  <c r="AH105" i="35"/>
  <c r="AI105" i="35"/>
  <c r="AJ105" i="35"/>
  <c r="AK105" i="35"/>
  <c r="AM105" i="35"/>
  <c r="AN105" i="35"/>
  <c r="AO105" i="35"/>
  <c r="AP105" i="35"/>
  <c r="AQ105" i="35"/>
  <c r="AR105" i="35"/>
  <c r="AS105" i="35"/>
  <c r="A106" i="35"/>
  <c r="C106" i="35"/>
  <c r="D106" i="35"/>
  <c r="E106" i="35"/>
  <c r="F106" i="35"/>
  <c r="G106" i="35"/>
  <c r="H106" i="35"/>
  <c r="I106" i="35"/>
  <c r="J106" i="35"/>
  <c r="K106" i="35"/>
  <c r="L106" i="35"/>
  <c r="M106" i="35"/>
  <c r="O106" i="35"/>
  <c r="P106" i="35"/>
  <c r="Q106" i="35"/>
  <c r="R106" i="35"/>
  <c r="S106" i="35"/>
  <c r="T106" i="35"/>
  <c r="U106" i="35"/>
  <c r="V106" i="35"/>
  <c r="W106" i="35"/>
  <c r="X106" i="35"/>
  <c r="Y106" i="35"/>
  <c r="AA106" i="35"/>
  <c r="AB106" i="35"/>
  <c r="AC106" i="35"/>
  <c r="AD106" i="35"/>
  <c r="AE106" i="35"/>
  <c r="AF106" i="35"/>
  <c r="AG106" i="35"/>
  <c r="AH106" i="35"/>
  <c r="AI106" i="35"/>
  <c r="AJ106" i="35"/>
  <c r="AK106" i="35"/>
  <c r="AM106" i="35"/>
  <c r="AN106" i="35"/>
  <c r="AO106" i="35"/>
  <c r="AP106" i="35"/>
  <c r="AQ106" i="35"/>
  <c r="AR106" i="35"/>
  <c r="AS106" i="35"/>
  <c r="A107" i="35"/>
  <c r="C107" i="35"/>
  <c r="D107" i="35"/>
  <c r="E107" i="35"/>
  <c r="F107" i="35"/>
  <c r="G107" i="35"/>
  <c r="H107" i="35"/>
  <c r="I107" i="35"/>
  <c r="J107" i="35"/>
  <c r="K107" i="35"/>
  <c r="L107" i="35"/>
  <c r="M107" i="35"/>
  <c r="O107" i="35"/>
  <c r="P107" i="35"/>
  <c r="Q107" i="35"/>
  <c r="R107" i="35"/>
  <c r="S107" i="35"/>
  <c r="T107" i="35"/>
  <c r="U107" i="35"/>
  <c r="V107" i="35"/>
  <c r="W107" i="35"/>
  <c r="X107" i="35"/>
  <c r="Y107" i="35"/>
  <c r="AA107" i="35"/>
  <c r="AB107" i="35"/>
  <c r="AC107" i="35"/>
  <c r="AD107" i="35"/>
  <c r="AE107" i="35"/>
  <c r="AF107" i="35"/>
  <c r="AG107" i="35"/>
  <c r="AH107" i="35"/>
  <c r="AI107" i="35"/>
  <c r="AJ107" i="35"/>
  <c r="AK107" i="35"/>
  <c r="AM107" i="35"/>
  <c r="AN107" i="35"/>
  <c r="AO107" i="35"/>
  <c r="AP107" i="35"/>
  <c r="AQ107" i="35"/>
  <c r="AR107" i="35"/>
  <c r="AS107" i="35"/>
  <c r="A108" i="35"/>
  <c r="C108" i="35"/>
  <c r="D108" i="35"/>
  <c r="E108" i="35"/>
  <c r="F108" i="35"/>
  <c r="G108" i="35"/>
  <c r="H108" i="35"/>
  <c r="I108" i="35"/>
  <c r="J108" i="35"/>
  <c r="K108" i="35"/>
  <c r="L108" i="35"/>
  <c r="M108" i="35"/>
  <c r="O108" i="35"/>
  <c r="P108" i="35"/>
  <c r="Q108" i="35"/>
  <c r="R108" i="35"/>
  <c r="S108" i="35"/>
  <c r="T108" i="35"/>
  <c r="U108" i="35"/>
  <c r="V108" i="35"/>
  <c r="W108" i="35"/>
  <c r="X108" i="35"/>
  <c r="Y108" i="35"/>
  <c r="AA108" i="35"/>
  <c r="AB108" i="35"/>
  <c r="AC108" i="35"/>
  <c r="AD108" i="35"/>
  <c r="AE108" i="35"/>
  <c r="AF108" i="35"/>
  <c r="AG108" i="35"/>
  <c r="AH108" i="35"/>
  <c r="AI108" i="35"/>
  <c r="AJ108" i="35"/>
  <c r="AK108" i="35"/>
  <c r="AM108" i="35"/>
  <c r="AN108" i="35"/>
  <c r="AO108" i="35"/>
  <c r="AP108" i="35"/>
  <c r="AQ108" i="35"/>
  <c r="AR108" i="35"/>
  <c r="AS108" i="35"/>
  <c r="A109" i="35"/>
  <c r="C109" i="35"/>
  <c r="D109" i="35"/>
  <c r="E109" i="35"/>
  <c r="F109" i="35"/>
  <c r="G109" i="35"/>
  <c r="H109" i="35"/>
  <c r="I109" i="35"/>
  <c r="J109" i="35"/>
  <c r="K109" i="35"/>
  <c r="L109" i="35"/>
  <c r="M109" i="35"/>
  <c r="O109" i="35"/>
  <c r="P109" i="35"/>
  <c r="Q109" i="35"/>
  <c r="R109" i="35"/>
  <c r="S109" i="35"/>
  <c r="T109" i="35"/>
  <c r="U109" i="35"/>
  <c r="V109" i="35"/>
  <c r="W109" i="35"/>
  <c r="X109" i="35"/>
  <c r="Y109" i="35"/>
  <c r="AA109" i="35"/>
  <c r="AB109" i="35"/>
  <c r="AC109" i="35"/>
  <c r="AD109" i="35"/>
  <c r="AE109" i="35"/>
  <c r="AF109" i="35"/>
  <c r="AG109" i="35"/>
  <c r="AH109" i="35"/>
  <c r="AI109" i="35"/>
  <c r="AJ109" i="35"/>
  <c r="AK109" i="35"/>
  <c r="AM109" i="35"/>
  <c r="AN109" i="35"/>
  <c r="AO109" i="35"/>
  <c r="AP109" i="35"/>
  <c r="AQ109" i="35"/>
  <c r="AR109" i="35"/>
  <c r="AS109" i="35"/>
  <c r="A110" i="35"/>
  <c r="C110" i="35"/>
  <c r="D110" i="35"/>
  <c r="E110" i="35"/>
  <c r="F110" i="35"/>
  <c r="G110" i="35"/>
  <c r="H110" i="35"/>
  <c r="I110" i="35"/>
  <c r="J110" i="35"/>
  <c r="K110" i="35"/>
  <c r="L110" i="35"/>
  <c r="M110" i="35"/>
  <c r="O110" i="35"/>
  <c r="P110" i="35"/>
  <c r="Q110" i="35"/>
  <c r="R110" i="35"/>
  <c r="S110" i="35"/>
  <c r="T110" i="35"/>
  <c r="U110" i="35"/>
  <c r="V110" i="35"/>
  <c r="W110" i="35"/>
  <c r="X110" i="35"/>
  <c r="Y110" i="35"/>
  <c r="AA110" i="35"/>
  <c r="AB110" i="35"/>
  <c r="AC110" i="35"/>
  <c r="AD110" i="35"/>
  <c r="AE110" i="35"/>
  <c r="AF110" i="35"/>
  <c r="AG110" i="35"/>
  <c r="AH110" i="35"/>
  <c r="AI110" i="35"/>
  <c r="AJ110" i="35"/>
  <c r="AK110" i="35"/>
  <c r="AM110" i="35"/>
  <c r="AN110" i="35"/>
  <c r="AO110" i="35"/>
  <c r="AP110" i="35"/>
  <c r="AQ110" i="35"/>
  <c r="AR110" i="35"/>
  <c r="AS110" i="35"/>
  <c r="A111" i="35"/>
  <c r="C111" i="35"/>
  <c r="D111" i="35"/>
  <c r="E111" i="35"/>
  <c r="F111" i="35"/>
  <c r="G111" i="35"/>
  <c r="H111" i="35"/>
  <c r="I111" i="35"/>
  <c r="J111" i="35"/>
  <c r="K111" i="35"/>
  <c r="L111" i="35"/>
  <c r="M111" i="35"/>
  <c r="O111" i="35"/>
  <c r="P111" i="35"/>
  <c r="Q111" i="35"/>
  <c r="R111" i="35"/>
  <c r="S111" i="35"/>
  <c r="T111" i="35"/>
  <c r="U111" i="35"/>
  <c r="V111" i="35"/>
  <c r="W111" i="35"/>
  <c r="X111" i="35"/>
  <c r="Y111" i="35"/>
  <c r="AA111" i="35"/>
  <c r="AB111" i="35"/>
  <c r="AC111" i="35"/>
  <c r="AD111" i="35"/>
  <c r="AE111" i="35"/>
  <c r="AF111" i="35"/>
  <c r="AG111" i="35"/>
  <c r="AH111" i="35"/>
  <c r="AI111" i="35"/>
  <c r="AJ111" i="35"/>
  <c r="AK111" i="35"/>
  <c r="AM111" i="35"/>
  <c r="AN111" i="35"/>
  <c r="AO111" i="35"/>
  <c r="AP111" i="35"/>
  <c r="AQ111" i="35"/>
  <c r="AR111" i="35"/>
  <c r="AS111" i="35"/>
  <c r="A112" i="35"/>
  <c r="C112" i="35"/>
  <c r="D112" i="35"/>
  <c r="E112" i="35"/>
  <c r="F112" i="35"/>
  <c r="G112" i="35"/>
  <c r="H112" i="35"/>
  <c r="I112" i="35"/>
  <c r="J112" i="35"/>
  <c r="K112" i="35"/>
  <c r="L112" i="35"/>
  <c r="M112" i="35"/>
  <c r="O112" i="35"/>
  <c r="P112" i="35"/>
  <c r="Q112" i="35"/>
  <c r="R112" i="35"/>
  <c r="S112" i="35"/>
  <c r="T112" i="35"/>
  <c r="U112" i="35"/>
  <c r="V112" i="35"/>
  <c r="W112" i="35"/>
  <c r="X112" i="35"/>
  <c r="Y112" i="35"/>
  <c r="AA112" i="35"/>
  <c r="AB112" i="35"/>
  <c r="AC112" i="35"/>
  <c r="AD112" i="35"/>
  <c r="AE112" i="35"/>
  <c r="AF112" i="35"/>
  <c r="AG112" i="35"/>
  <c r="AH112" i="35"/>
  <c r="AI112" i="35"/>
  <c r="AJ112" i="35"/>
  <c r="AK112" i="35"/>
  <c r="AM112" i="35"/>
  <c r="AN112" i="35"/>
  <c r="AO112" i="35"/>
  <c r="AP112" i="35"/>
  <c r="AQ112" i="35"/>
  <c r="AR112" i="35"/>
  <c r="AS112" i="35"/>
  <c r="A113" i="35"/>
  <c r="C113" i="35"/>
  <c r="D113" i="35"/>
  <c r="E113" i="35"/>
  <c r="F113" i="35"/>
  <c r="G113" i="35"/>
  <c r="H113" i="35"/>
  <c r="I113" i="35"/>
  <c r="J113" i="35"/>
  <c r="K113" i="35"/>
  <c r="L113" i="35"/>
  <c r="M113" i="35"/>
  <c r="O113" i="35"/>
  <c r="P113" i="35"/>
  <c r="Q113" i="35"/>
  <c r="R113" i="35"/>
  <c r="S113" i="35"/>
  <c r="T113" i="35"/>
  <c r="U113" i="35"/>
  <c r="V113" i="35"/>
  <c r="W113" i="35"/>
  <c r="X113" i="35"/>
  <c r="Y113" i="35"/>
  <c r="AA113" i="35"/>
  <c r="AB113" i="35"/>
  <c r="AC113" i="35"/>
  <c r="AD113" i="35"/>
  <c r="AE113" i="35"/>
  <c r="AF113" i="35"/>
  <c r="AG113" i="35"/>
  <c r="AH113" i="35"/>
  <c r="AI113" i="35"/>
  <c r="AJ113" i="35"/>
  <c r="AK113" i="35"/>
  <c r="AM113" i="35"/>
  <c r="AN113" i="35"/>
  <c r="AO113" i="35"/>
  <c r="AP113" i="35"/>
  <c r="AQ113" i="35"/>
  <c r="AR113" i="35"/>
  <c r="AS113" i="35"/>
  <c r="A114" i="35"/>
  <c r="C114" i="35"/>
  <c r="D114" i="35"/>
  <c r="E114" i="35"/>
  <c r="F114" i="35"/>
  <c r="G114" i="35"/>
  <c r="H114" i="35"/>
  <c r="I114" i="35"/>
  <c r="J114" i="35"/>
  <c r="K114" i="35"/>
  <c r="L114" i="35"/>
  <c r="M114" i="35"/>
  <c r="O114" i="35"/>
  <c r="P114" i="35"/>
  <c r="Q114" i="35"/>
  <c r="R114" i="35"/>
  <c r="S114" i="35"/>
  <c r="T114" i="35"/>
  <c r="U114" i="35"/>
  <c r="V114" i="35"/>
  <c r="W114" i="35"/>
  <c r="X114" i="35"/>
  <c r="Y114" i="35"/>
  <c r="AA114" i="35"/>
  <c r="AB114" i="35"/>
  <c r="AC114" i="35"/>
  <c r="AD114" i="35"/>
  <c r="AE114" i="35"/>
  <c r="AF114" i="35"/>
  <c r="AG114" i="35"/>
  <c r="AH114" i="35"/>
  <c r="AI114" i="35"/>
  <c r="AJ114" i="35"/>
  <c r="AK114" i="35"/>
  <c r="AM114" i="35"/>
  <c r="AN114" i="35"/>
  <c r="AO114" i="35"/>
  <c r="AP114" i="35"/>
  <c r="AQ114" i="35"/>
  <c r="AR114" i="35"/>
  <c r="AS114" i="35"/>
  <c r="A115" i="35"/>
  <c r="C115" i="35"/>
  <c r="D115" i="35"/>
  <c r="E115" i="35"/>
  <c r="F115" i="35"/>
  <c r="G115" i="35"/>
  <c r="H115" i="35"/>
  <c r="I115" i="35"/>
  <c r="J115" i="35"/>
  <c r="K115" i="35"/>
  <c r="L115" i="35"/>
  <c r="M115" i="35"/>
  <c r="O115" i="35"/>
  <c r="P115" i="35"/>
  <c r="Q115" i="35"/>
  <c r="R115" i="35"/>
  <c r="S115" i="35"/>
  <c r="T115" i="35"/>
  <c r="U115" i="35"/>
  <c r="V115" i="35"/>
  <c r="W115" i="35"/>
  <c r="X115" i="35"/>
  <c r="Y115" i="35"/>
  <c r="AA115" i="35"/>
  <c r="AB115" i="35"/>
  <c r="AC115" i="35"/>
  <c r="AD115" i="35"/>
  <c r="AE115" i="35"/>
  <c r="AF115" i="35"/>
  <c r="AG115" i="35"/>
  <c r="AH115" i="35"/>
  <c r="AI115" i="35"/>
  <c r="AJ115" i="35"/>
  <c r="AK115" i="35"/>
  <c r="AM115" i="35"/>
  <c r="AN115" i="35"/>
  <c r="AO115" i="35"/>
  <c r="AP115" i="35"/>
  <c r="AQ115" i="35"/>
  <c r="AR115" i="35"/>
  <c r="AS115" i="35"/>
  <c r="A116" i="35"/>
  <c r="C116" i="35"/>
  <c r="D116" i="35"/>
  <c r="E116" i="35"/>
  <c r="F116" i="35"/>
  <c r="G116" i="35"/>
  <c r="H116" i="35"/>
  <c r="I116" i="35"/>
  <c r="J116" i="35"/>
  <c r="K116" i="35"/>
  <c r="L116" i="35"/>
  <c r="M116" i="35"/>
  <c r="O116" i="35"/>
  <c r="P116" i="35"/>
  <c r="Q116" i="35"/>
  <c r="R116" i="35"/>
  <c r="S116" i="35"/>
  <c r="T116" i="35"/>
  <c r="U116" i="35"/>
  <c r="V116" i="35"/>
  <c r="W116" i="35"/>
  <c r="X116" i="35"/>
  <c r="Y116" i="35"/>
  <c r="AA116" i="35"/>
  <c r="AB116" i="35"/>
  <c r="AC116" i="35"/>
  <c r="AD116" i="35"/>
  <c r="AE116" i="35"/>
  <c r="AF116" i="35"/>
  <c r="AG116" i="35"/>
  <c r="AH116" i="35"/>
  <c r="AI116" i="35"/>
  <c r="AJ116" i="35"/>
  <c r="AK116" i="35"/>
  <c r="AM116" i="35"/>
  <c r="AN116" i="35"/>
  <c r="AO116" i="35"/>
  <c r="AP116" i="35"/>
  <c r="AQ116" i="35"/>
  <c r="AR116" i="35"/>
  <c r="AS116" i="35"/>
  <c r="A117" i="35"/>
  <c r="C117" i="35"/>
  <c r="D117" i="35"/>
  <c r="E117" i="35"/>
  <c r="F117" i="35"/>
  <c r="G117" i="35"/>
  <c r="H117" i="35"/>
  <c r="I117" i="35"/>
  <c r="J117" i="35"/>
  <c r="K117" i="35"/>
  <c r="L117" i="35"/>
  <c r="M117" i="35"/>
  <c r="O117" i="35"/>
  <c r="P117" i="35"/>
  <c r="Q117" i="35"/>
  <c r="R117" i="35"/>
  <c r="S117" i="35"/>
  <c r="T117" i="35"/>
  <c r="U117" i="35"/>
  <c r="V117" i="35"/>
  <c r="W117" i="35"/>
  <c r="X117" i="35"/>
  <c r="Y117" i="35"/>
  <c r="AA117" i="35"/>
  <c r="AB117" i="35"/>
  <c r="AC117" i="35"/>
  <c r="AD117" i="35"/>
  <c r="AE117" i="35"/>
  <c r="AF117" i="35"/>
  <c r="AG117" i="35"/>
  <c r="AH117" i="35"/>
  <c r="AI117" i="35"/>
  <c r="AJ117" i="35"/>
  <c r="AK117" i="35"/>
  <c r="AM117" i="35"/>
  <c r="AN117" i="35"/>
  <c r="AO117" i="35"/>
  <c r="AP117" i="35"/>
  <c r="AQ117" i="35"/>
  <c r="AR117" i="35"/>
  <c r="AS117" i="35"/>
  <c r="A118" i="35"/>
  <c r="C118" i="35"/>
  <c r="D118" i="35"/>
  <c r="E118" i="35"/>
  <c r="F118" i="35"/>
  <c r="G118" i="35"/>
  <c r="H118" i="35"/>
  <c r="I118" i="35"/>
  <c r="J118" i="35"/>
  <c r="K118" i="35"/>
  <c r="L118" i="35"/>
  <c r="M118" i="35"/>
  <c r="O118" i="35"/>
  <c r="P118" i="35"/>
  <c r="Q118" i="35"/>
  <c r="R118" i="35"/>
  <c r="S118" i="35"/>
  <c r="T118" i="35"/>
  <c r="U118" i="35"/>
  <c r="V118" i="35"/>
  <c r="W118" i="35"/>
  <c r="X118" i="35"/>
  <c r="Y118" i="35"/>
  <c r="AA118" i="35"/>
  <c r="AB118" i="35"/>
  <c r="AC118" i="35"/>
  <c r="AD118" i="35"/>
  <c r="AE118" i="35"/>
  <c r="AF118" i="35"/>
  <c r="AG118" i="35"/>
  <c r="AH118" i="35"/>
  <c r="AI118" i="35"/>
  <c r="AJ118" i="35"/>
  <c r="AK118" i="35"/>
  <c r="AM118" i="35"/>
  <c r="AN118" i="35"/>
  <c r="AO118" i="35"/>
  <c r="AP118" i="35"/>
  <c r="AQ118" i="35"/>
  <c r="AR118" i="35"/>
  <c r="AS118" i="35"/>
  <c r="A119" i="35"/>
  <c r="C119" i="35"/>
  <c r="D119" i="35"/>
  <c r="E119" i="35"/>
  <c r="F119" i="35"/>
  <c r="G119" i="35"/>
  <c r="H119" i="35"/>
  <c r="I119" i="35"/>
  <c r="J119" i="35"/>
  <c r="K119" i="35"/>
  <c r="L119" i="35"/>
  <c r="M119" i="35"/>
  <c r="O119" i="35"/>
  <c r="P119" i="35"/>
  <c r="Q119" i="35"/>
  <c r="R119" i="35"/>
  <c r="S119" i="35"/>
  <c r="T119" i="35"/>
  <c r="U119" i="35"/>
  <c r="V119" i="35"/>
  <c r="W119" i="35"/>
  <c r="X119" i="35"/>
  <c r="Y119" i="35"/>
  <c r="AA119" i="35"/>
  <c r="AB119" i="35"/>
  <c r="AC119" i="35"/>
  <c r="AD119" i="35"/>
  <c r="AE119" i="35"/>
  <c r="AF119" i="35"/>
  <c r="AG119" i="35"/>
  <c r="AH119" i="35"/>
  <c r="AI119" i="35"/>
  <c r="AJ119" i="35"/>
  <c r="AK119" i="35"/>
  <c r="AM119" i="35"/>
  <c r="AN119" i="35"/>
  <c r="AO119" i="35"/>
  <c r="AP119" i="35"/>
  <c r="AQ119" i="35"/>
  <c r="AR119" i="35"/>
  <c r="AS119" i="35"/>
  <c r="A120" i="35"/>
  <c r="C120" i="35"/>
  <c r="D120" i="35"/>
  <c r="E120" i="35"/>
  <c r="F120" i="35"/>
  <c r="G120" i="35"/>
  <c r="H120" i="35"/>
  <c r="I120" i="35"/>
  <c r="J120" i="35"/>
  <c r="K120" i="35"/>
  <c r="L120" i="35"/>
  <c r="M120" i="35"/>
  <c r="O120" i="35"/>
  <c r="P120" i="35"/>
  <c r="Q120" i="35"/>
  <c r="R120" i="35"/>
  <c r="S120" i="35"/>
  <c r="T120" i="35"/>
  <c r="U120" i="35"/>
  <c r="V120" i="35"/>
  <c r="W120" i="35"/>
  <c r="X120" i="35"/>
  <c r="Y120" i="35"/>
  <c r="AA120" i="35"/>
  <c r="AB120" i="35"/>
  <c r="AC120" i="35"/>
  <c r="AD120" i="35"/>
  <c r="AE120" i="35"/>
  <c r="AF120" i="35"/>
  <c r="AG120" i="35"/>
  <c r="AH120" i="35"/>
  <c r="AI120" i="35"/>
  <c r="AJ120" i="35"/>
  <c r="AK120" i="35"/>
  <c r="AM120" i="35"/>
  <c r="AN120" i="35"/>
  <c r="AO120" i="35"/>
  <c r="AP120" i="35"/>
  <c r="AQ120" i="35"/>
  <c r="AR120" i="35"/>
  <c r="AS120" i="35"/>
  <c r="A121" i="35"/>
  <c r="C121" i="35"/>
  <c r="D121" i="35"/>
  <c r="E121" i="35"/>
  <c r="F121" i="35"/>
  <c r="G121" i="35"/>
  <c r="H121" i="35"/>
  <c r="I121" i="35"/>
  <c r="J121" i="35"/>
  <c r="K121" i="35"/>
  <c r="L121" i="35"/>
  <c r="M121" i="35"/>
  <c r="O121" i="35"/>
  <c r="P121" i="35"/>
  <c r="Q121" i="35"/>
  <c r="R121" i="35"/>
  <c r="S121" i="35"/>
  <c r="T121" i="35"/>
  <c r="U121" i="35"/>
  <c r="V121" i="35"/>
  <c r="W121" i="35"/>
  <c r="X121" i="35"/>
  <c r="Y121" i="35"/>
  <c r="AA121" i="35"/>
  <c r="AB121" i="35"/>
  <c r="AC121" i="35"/>
  <c r="AD121" i="35"/>
  <c r="AE121" i="35"/>
  <c r="AF121" i="35"/>
  <c r="AG121" i="35"/>
  <c r="AH121" i="35"/>
  <c r="AI121" i="35"/>
  <c r="AJ121" i="35"/>
  <c r="AK121" i="35"/>
  <c r="AM121" i="35"/>
  <c r="AN121" i="35"/>
  <c r="AO121" i="35"/>
  <c r="AP121" i="35"/>
  <c r="AQ121" i="35"/>
  <c r="AR121" i="35"/>
  <c r="AS121" i="35"/>
  <c r="A122" i="35"/>
  <c r="C122" i="35"/>
  <c r="D122" i="35"/>
  <c r="E122" i="35"/>
  <c r="F122" i="35"/>
  <c r="G122" i="35"/>
  <c r="H122" i="35"/>
  <c r="I122" i="35"/>
  <c r="J122" i="35"/>
  <c r="K122" i="35"/>
  <c r="L122" i="35"/>
  <c r="M122" i="35"/>
  <c r="O122" i="35"/>
  <c r="P122" i="35"/>
  <c r="Q122" i="35"/>
  <c r="R122" i="35"/>
  <c r="S122" i="35"/>
  <c r="T122" i="35"/>
  <c r="U122" i="35"/>
  <c r="V122" i="35"/>
  <c r="W122" i="35"/>
  <c r="X122" i="35"/>
  <c r="Y122" i="35"/>
  <c r="AA122" i="35"/>
  <c r="AB122" i="35"/>
  <c r="AC122" i="35"/>
  <c r="AD122" i="35"/>
  <c r="AE122" i="35"/>
  <c r="AF122" i="35"/>
  <c r="AG122" i="35"/>
  <c r="AH122" i="35"/>
  <c r="AI122" i="35"/>
  <c r="AJ122" i="35"/>
  <c r="AK122" i="35"/>
  <c r="AM122" i="35"/>
  <c r="AN122" i="35"/>
  <c r="AO122" i="35"/>
  <c r="AP122" i="35"/>
  <c r="AQ122" i="35"/>
  <c r="AR122" i="35"/>
  <c r="AS122" i="35"/>
  <c r="A123" i="35"/>
  <c r="C123" i="35"/>
  <c r="D123" i="35"/>
  <c r="E123" i="35"/>
  <c r="F123" i="35"/>
  <c r="G123" i="35"/>
  <c r="H123" i="35"/>
  <c r="I123" i="35"/>
  <c r="J123" i="35"/>
  <c r="K123" i="35"/>
  <c r="L123" i="35"/>
  <c r="M123" i="35"/>
  <c r="O123" i="35"/>
  <c r="P123" i="35"/>
  <c r="Q123" i="35"/>
  <c r="R123" i="35"/>
  <c r="S123" i="35"/>
  <c r="T123" i="35"/>
  <c r="U123" i="35"/>
  <c r="V123" i="35"/>
  <c r="W123" i="35"/>
  <c r="X123" i="35"/>
  <c r="Y123" i="35"/>
  <c r="AA123" i="35"/>
  <c r="AB123" i="35"/>
  <c r="AC123" i="35"/>
  <c r="AD123" i="35"/>
  <c r="AE123" i="35"/>
  <c r="AF123" i="35"/>
  <c r="AG123" i="35"/>
  <c r="AH123" i="35"/>
  <c r="AI123" i="35"/>
  <c r="AJ123" i="35"/>
  <c r="AK123" i="35"/>
  <c r="AM123" i="35"/>
  <c r="AN123" i="35"/>
  <c r="AO123" i="35"/>
  <c r="AP123" i="35"/>
  <c r="AQ123" i="35"/>
  <c r="AR123" i="35"/>
  <c r="AS123" i="35"/>
  <c r="A124" i="35"/>
  <c r="C124" i="35"/>
  <c r="D124" i="35"/>
  <c r="E124" i="35"/>
  <c r="F124" i="35"/>
  <c r="G124" i="35"/>
  <c r="H124" i="35"/>
  <c r="I124" i="35"/>
  <c r="J124" i="35"/>
  <c r="K124" i="35"/>
  <c r="L124" i="35"/>
  <c r="M124" i="35"/>
  <c r="O124" i="35"/>
  <c r="P124" i="35"/>
  <c r="Q124" i="35"/>
  <c r="R124" i="35"/>
  <c r="S124" i="35"/>
  <c r="T124" i="35"/>
  <c r="U124" i="35"/>
  <c r="V124" i="35"/>
  <c r="W124" i="35"/>
  <c r="X124" i="35"/>
  <c r="Y124" i="35"/>
  <c r="AA124" i="35"/>
  <c r="AB124" i="35"/>
  <c r="AC124" i="35"/>
  <c r="AD124" i="35"/>
  <c r="AE124" i="35"/>
  <c r="AF124" i="35"/>
  <c r="AG124" i="35"/>
  <c r="AH124" i="35"/>
  <c r="AI124" i="35"/>
  <c r="AJ124" i="35"/>
  <c r="AK124" i="35"/>
  <c r="AM124" i="35"/>
  <c r="AN124" i="35"/>
  <c r="AO124" i="35"/>
  <c r="AP124" i="35"/>
  <c r="AQ124" i="35"/>
  <c r="AR124" i="35"/>
  <c r="AS124" i="35"/>
  <c r="A125" i="35"/>
  <c r="C125" i="35"/>
  <c r="D125" i="35"/>
  <c r="E125" i="35"/>
  <c r="F125" i="35"/>
  <c r="G125" i="35"/>
  <c r="H125" i="35"/>
  <c r="I125" i="35"/>
  <c r="J125" i="35"/>
  <c r="K125" i="35"/>
  <c r="L125" i="35"/>
  <c r="M125" i="35"/>
  <c r="O125" i="35"/>
  <c r="P125" i="35"/>
  <c r="Q125" i="35"/>
  <c r="R125" i="35"/>
  <c r="S125" i="35"/>
  <c r="T125" i="35"/>
  <c r="U125" i="35"/>
  <c r="V125" i="35"/>
  <c r="W125" i="35"/>
  <c r="X125" i="35"/>
  <c r="Y125" i="35"/>
  <c r="AA125" i="35"/>
  <c r="AB125" i="35"/>
  <c r="AC125" i="35"/>
  <c r="AD125" i="35"/>
  <c r="AE125" i="35"/>
  <c r="AF125" i="35"/>
  <c r="AG125" i="35"/>
  <c r="AH125" i="35"/>
  <c r="AI125" i="35"/>
  <c r="AJ125" i="35"/>
  <c r="AK125" i="35"/>
  <c r="AM125" i="35"/>
  <c r="AN125" i="35"/>
  <c r="AO125" i="35"/>
  <c r="AP125" i="35"/>
  <c r="AQ125" i="35"/>
  <c r="AR125" i="35"/>
  <c r="AS125" i="35"/>
  <c r="A126" i="35"/>
  <c r="C126" i="35"/>
  <c r="D126" i="35"/>
  <c r="E126" i="35"/>
  <c r="F126" i="35"/>
  <c r="G126" i="35"/>
  <c r="H126" i="35"/>
  <c r="I126" i="35"/>
  <c r="J126" i="35"/>
  <c r="K126" i="35"/>
  <c r="L126" i="35"/>
  <c r="M126" i="35"/>
  <c r="O126" i="35"/>
  <c r="P126" i="35"/>
  <c r="Q126" i="35"/>
  <c r="R126" i="35"/>
  <c r="S126" i="35"/>
  <c r="T126" i="35"/>
  <c r="U126" i="35"/>
  <c r="V126" i="35"/>
  <c r="W126" i="35"/>
  <c r="X126" i="35"/>
  <c r="Y126" i="35"/>
  <c r="AA126" i="35"/>
  <c r="AB126" i="35"/>
  <c r="AC126" i="35"/>
  <c r="AD126" i="35"/>
  <c r="AE126" i="35"/>
  <c r="AF126" i="35"/>
  <c r="AG126" i="35"/>
  <c r="AH126" i="35"/>
  <c r="AI126" i="35"/>
  <c r="AJ126" i="35"/>
  <c r="AK126" i="35"/>
  <c r="AM126" i="35"/>
  <c r="AN126" i="35"/>
  <c r="AO126" i="35"/>
  <c r="AP126" i="35"/>
  <c r="AQ126" i="35"/>
  <c r="AR126" i="35"/>
  <c r="AS126" i="35"/>
  <c r="A127" i="35"/>
  <c r="C127" i="35"/>
  <c r="D127" i="35"/>
  <c r="E127" i="35"/>
  <c r="F127" i="35"/>
  <c r="G127" i="35"/>
  <c r="H127" i="35"/>
  <c r="I127" i="35"/>
  <c r="J127" i="35"/>
  <c r="K127" i="35"/>
  <c r="L127" i="35"/>
  <c r="M127" i="35"/>
  <c r="O127" i="35"/>
  <c r="P127" i="35"/>
  <c r="Q127" i="35"/>
  <c r="R127" i="35"/>
  <c r="S127" i="35"/>
  <c r="T127" i="35"/>
  <c r="U127" i="35"/>
  <c r="V127" i="35"/>
  <c r="W127" i="35"/>
  <c r="X127" i="35"/>
  <c r="Y127" i="35"/>
  <c r="AA127" i="35"/>
  <c r="AB127" i="35"/>
  <c r="AC127" i="35"/>
  <c r="AD127" i="35"/>
  <c r="AE127" i="35"/>
  <c r="AF127" i="35"/>
  <c r="AG127" i="35"/>
  <c r="AH127" i="35"/>
  <c r="AI127" i="35"/>
  <c r="AJ127" i="35"/>
  <c r="AK127" i="35"/>
  <c r="AM127" i="35"/>
  <c r="AN127" i="35"/>
  <c r="AO127" i="35"/>
  <c r="AP127" i="35"/>
  <c r="AQ127" i="35"/>
  <c r="AR127" i="35"/>
  <c r="AS127" i="35"/>
  <c r="A128" i="35"/>
  <c r="C128" i="35"/>
  <c r="D128" i="35"/>
  <c r="E128" i="35"/>
  <c r="F128" i="35"/>
  <c r="G128" i="35"/>
  <c r="H128" i="35"/>
  <c r="I128" i="35"/>
  <c r="J128" i="35"/>
  <c r="K128" i="35"/>
  <c r="L128" i="35"/>
  <c r="M128" i="35"/>
  <c r="O128" i="35"/>
  <c r="P128" i="35"/>
  <c r="Q128" i="35"/>
  <c r="R128" i="35"/>
  <c r="S128" i="35"/>
  <c r="T128" i="35"/>
  <c r="U128" i="35"/>
  <c r="V128" i="35"/>
  <c r="W128" i="35"/>
  <c r="X128" i="35"/>
  <c r="Y128" i="35"/>
  <c r="AA128" i="35"/>
  <c r="AB128" i="35"/>
  <c r="AC128" i="35"/>
  <c r="AD128" i="35"/>
  <c r="AE128" i="35"/>
  <c r="AF128" i="35"/>
  <c r="AG128" i="35"/>
  <c r="AH128" i="35"/>
  <c r="AI128" i="35"/>
  <c r="AJ128" i="35"/>
  <c r="AK128" i="35"/>
  <c r="AM128" i="35"/>
  <c r="AN128" i="35"/>
  <c r="AO128" i="35"/>
  <c r="AP128" i="35"/>
  <c r="AQ128" i="35"/>
  <c r="AR128" i="35"/>
  <c r="AS128" i="35"/>
  <c r="A129" i="35"/>
  <c r="C129" i="35"/>
  <c r="D129" i="35"/>
  <c r="E129" i="35"/>
  <c r="F129" i="35"/>
  <c r="G129" i="35"/>
  <c r="H129" i="35"/>
  <c r="I129" i="35"/>
  <c r="J129" i="35"/>
  <c r="K129" i="35"/>
  <c r="L129" i="35"/>
  <c r="M129" i="35"/>
  <c r="O129" i="35"/>
  <c r="P129" i="35"/>
  <c r="Q129" i="35"/>
  <c r="R129" i="35"/>
  <c r="S129" i="35"/>
  <c r="T129" i="35"/>
  <c r="U129" i="35"/>
  <c r="V129" i="35"/>
  <c r="W129" i="35"/>
  <c r="X129" i="35"/>
  <c r="Y129" i="35"/>
  <c r="AA129" i="35"/>
  <c r="AB129" i="35"/>
  <c r="AC129" i="35"/>
  <c r="AD129" i="35"/>
  <c r="AE129" i="35"/>
  <c r="AF129" i="35"/>
  <c r="AG129" i="35"/>
  <c r="AH129" i="35"/>
  <c r="AI129" i="35"/>
  <c r="AJ129" i="35"/>
  <c r="AK129" i="35"/>
  <c r="AM129" i="35"/>
  <c r="AN129" i="35"/>
  <c r="AO129" i="35"/>
  <c r="AP129" i="35"/>
  <c r="AQ129" i="35"/>
  <c r="AR129" i="35"/>
  <c r="AS129" i="35"/>
  <c r="A130" i="35"/>
  <c r="C130" i="35"/>
  <c r="D130" i="35"/>
  <c r="E130" i="35"/>
  <c r="F130" i="35"/>
  <c r="G130" i="35"/>
  <c r="H130" i="35"/>
  <c r="I130" i="35"/>
  <c r="J130" i="35"/>
  <c r="K130" i="35"/>
  <c r="L130" i="35"/>
  <c r="M130" i="35"/>
  <c r="O130" i="35"/>
  <c r="P130" i="35"/>
  <c r="Q130" i="35"/>
  <c r="R130" i="35"/>
  <c r="S130" i="35"/>
  <c r="T130" i="35"/>
  <c r="U130" i="35"/>
  <c r="V130" i="35"/>
  <c r="W130" i="35"/>
  <c r="X130" i="35"/>
  <c r="Y130" i="35"/>
  <c r="AA130" i="35"/>
  <c r="AB130" i="35"/>
  <c r="AC130" i="35"/>
  <c r="AD130" i="35"/>
  <c r="AE130" i="35"/>
  <c r="AF130" i="35"/>
  <c r="AG130" i="35"/>
  <c r="AH130" i="35"/>
  <c r="AI130" i="35"/>
  <c r="AJ130" i="35"/>
  <c r="AK130" i="35"/>
  <c r="AM130" i="35"/>
  <c r="AN130" i="35"/>
  <c r="AO130" i="35"/>
  <c r="AP130" i="35"/>
  <c r="AQ130" i="35"/>
  <c r="AR130" i="35"/>
  <c r="AS130" i="35"/>
  <c r="A131" i="35"/>
  <c r="C131" i="35"/>
  <c r="D131" i="35"/>
  <c r="E131" i="35"/>
  <c r="F131" i="35"/>
  <c r="G131" i="35"/>
  <c r="H131" i="35"/>
  <c r="I131" i="35"/>
  <c r="J131" i="35"/>
  <c r="K131" i="35"/>
  <c r="L131" i="35"/>
  <c r="M131" i="35"/>
  <c r="O131" i="35"/>
  <c r="P131" i="35"/>
  <c r="Q131" i="35"/>
  <c r="R131" i="35"/>
  <c r="S131" i="35"/>
  <c r="T131" i="35"/>
  <c r="U131" i="35"/>
  <c r="V131" i="35"/>
  <c r="W131" i="35"/>
  <c r="X131" i="35"/>
  <c r="Y131" i="35"/>
  <c r="AA131" i="35"/>
  <c r="AB131" i="35"/>
  <c r="AC131" i="35"/>
  <c r="AD131" i="35"/>
  <c r="AE131" i="35"/>
  <c r="AF131" i="35"/>
  <c r="AG131" i="35"/>
  <c r="AH131" i="35"/>
  <c r="AI131" i="35"/>
  <c r="AJ131" i="35"/>
  <c r="AK131" i="35"/>
  <c r="AM131" i="35"/>
  <c r="AN131" i="35"/>
  <c r="AO131" i="35"/>
  <c r="AP131" i="35"/>
  <c r="AQ131" i="35"/>
  <c r="AR131" i="35"/>
  <c r="AS131" i="35"/>
  <c r="A132" i="35"/>
  <c r="C132" i="35"/>
  <c r="D132" i="35"/>
  <c r="E132" i="35"/>
  <c r="F132" i="35"/>
  <c r="G132" i="35"/>
  <c r="H132" i="35"/>
  <c r="I132" i="35"/>
  <c r="J132" i="35"/>
  <c r="K132" i="35"/>
  <c r="L132" i="35"/>
  <c r="M132" i="35"/>
  <c r="O132" i="35"/>
  <c r="P132" i="35"/>
  <c r="Q132" i="35"/>
  <c r="R132" i="35"/>
  <c r="S132" i="35"/>
  <c r="T132" i="35"/>
  <c r="U132" i="35"/>
  <c r="V132" i="35"/>
  <c r="W132" i="35"/>
  <c r="X132" i="35"/>
  <c r="Y132" i="35"/>
  <c r="AA132" i="35"/>
  <c r="AB132" i="35"/>
  <c r="AC132" i="35"/>
  <c r="AD132" i="35"/>
  <c r="AE132" i="35"/>
  <c r="AF132" i="35"/>
  <c r="AG132" i="35"/>
  <c r="AH132" i="35"/>
  <c r="AI132" i="35"/>
  <c r="AJ132" i="35"/>
  <c r="AK132" i="35"/>
  <c r="AM132" i="35"/>
  <c r="AN132" i="35"/>
  <c r="AO132" i="35"/>
  <c r="AP132" i="35"/>
  <c r="AQ132" i="35"/>
  <c r="AR132" i="35"/>
  <c r="AS132" i="35"/>
  <c r="A133" i="35"/>
  <c r="C133" i="35"/>
  <c r="D133" i="35"/>
  <c r="E133" i="35"/>
  <c r="F133" i="35"/>
  <c r="G133" i="35"/>
  <c r="H133" i="35"/>
  <c r="I133" i="35"/>
  <c r="J133" i="35"/>
  <c r="K133" i="35"/>
  <c r="L133" i="35"/>
  <c r="M133" i="35"/>
  <c r="O133" i="35"/>
  <c r="P133" i="35"/>
  <c r="Q133" i="35"/>
  <c r="R133" i="35"/>
  <c r="S133" i="35"/>
  <c r="T133" i="35"/>
  <c r="U133" i="35"/>
  <c r="V133" i="35"/>
  <c r="W133" i="35"/>
  <c r="X133" i="35"/>
  <c r="Y133" i="35"/>
  <c r="AA133" i="35"/>
  <c r="AB133" i="35"/>
  <c r="AC133" i="35"/>
  <c r="AD133" i="35"/>
  <c r="AE133" i="35"/>
  <c r="AF133" i="35"/>
  <c r="AG133" i="35"/>
  <c r="AH133" i="35"/>
  <c r="AI133" i="35"/>
  <c r="AJ133" i="35"/>
  <c r="AK133" i="35"/>
  <c r="AM133" i="35"/>
  <c r="AN133" i="35"/>
  <c r="AO133" i="35"/>
  <c r="AP133" i="35"/>
  <c r="AQ133" i="35"/>
  <c r="AR133" i="35"/>
  <c r="AS133" i="35"/>
  <c r="A134" i="35"/>
  <c r="C134" i="35"/>
  <c r="D134" i="35"/>
  <c r="E134" i="35"/>
  <c r="F134" i="35"/>
  <c r="G134" i="35"/>
  <c r="H134" i="35"/>
  <c r="I134" i="35"/>
  <c r="J134" i="35"/>
  <c r="K134" i="35"/>
  <c r="L134" i="35"/>
  <c r="M134" i="35"/>
  <c r="O134" i="35"/>
  <c r="P134" i="35"/>
  <c r="Q134" i="35"/>
  <c r="R134" i="35"/>
  <c r="S134" i="35"/>
  <c r="T134" i="35"/>
  <c r="U134" i="35"/>
  <c r="V134" i="35"/>
  <c r="W134" i="35"/>
  <c r="X134" i="35"/>
  <c r="Y134" i="35"/>
  <c r="AA134" i="35"/>
  <c r="AB134" i="35"/>
  <c r="AC134" i="35"/>
  <c r="AD134" i="35"/>
  <c r="AE134" i="35"/>
  <c r="AF134" i="35"/>
  <c r="AG134" i="35"/>
  <c r="AH134" i="35"/>
  <c r="AI134" i="35"/>
  <c r="AJ134" i="35"/>
  <c r="AK134" i="35"/>
  <c r="AM134" i="35"/>
  <c r="AN134" i="35"/>
  <c r="AO134" i="35"/>
  <c r="AP134" i="35"/>
  <c r="AQ134" i="35"/>
  <c r="AR134" i="35"/>
  <c r="AS134" i="35"/>
  <c r="A135" i="35"/>
  <c r="C135" i="35"/>
  <c r="D135" i="35"/>
  <c r="E135" i="35"/>
  <c r="F135" i="35"/>
  <c r="G135" i="35"/>
  <c r="H135" i="35"/>
  <c r="I135" i="35"/>
  <c r="J135" i="35"/>
  <c r="K135" i="35"/>
  <c r="L135" i="35"/>
  <c r="M135" i="35"/>
  <c r="O135" i="35"/>
  <c r="P135" i="35"/>
  <c r="Q135" i="35"/>
  <c r="R135" i="35"/>
  <c r="S135" i="35"/>
  <c r="T135" i="35"/>
  <c r="U135" i="35"/>
  <c r="V135" i="35"/>
  <c r="W135" i="35"/>
  <c r="X135" i="35"/>
  <c r="Y135" i="35"/>
  <c r="AA135" i="35"/>
  <c r="AB135" i="35"/>
  <c r="AC135" i="35"/>
  <c r="AD135" i="35"/>
  <c r="AE135" i="35"/>
  <c r="AF135" i="35"/>
  <c r="AG135" i="35"/>
  <c r="AH135" i="35"/>
  <c r="AI135" i="35"/>
  <c r="AJ135" i="35"/>
  <c r="AK135" i="35"/>
  <c r="AM135" i="35"/>
  <c r="AN135" i="35"/>
  <c r="AO135" i="35"/>
  <c r="AP135" i="35"/>
  <c r="AQ135" i="35"/>
  <c r="AR135" i="35"/>
  <c r="AS135" i="35"/>
  <c r="A136" i="35"/>
  <c r="C136" i="35"/>
  <c r="D136" i="35"/>
  <c r="E136" i="35"/>
  <c r="F136" i="35"/>
  <c r="G136" i="35"/>
  <c r="H136" i="35"/>
  <c r="I136" i="35"/>
  <c r="J136" i="35"/>
  <c r="K136" i="35"/>
  <c r="L136" i="35"/>
  <c r="M136" i="35"/>
  <c r="O136" i="35"/>
  <c r="P136" i="35"/>
  <c r="Q136" i="35"/>
  <c r="R136" i="35"/>
  <c r="S136" i="35"/>
  <c r="T136" i="35"/>
  <c r="U136" i="35"/>
  <c r="V136" i="35"/>
  <c r="W136" i="35"/>
  <c r="X136" i="35"/>
  <c r="Y136" i="35"/>
  <c r="AA136" i="35"/>
  <c r="AB136" i="35"/>
  <c r="AC136" i="35"/>
  <c r="AD136" i="35"/>
  <c r="AE136" i="35"/>
  <c r="AF136" i="35"/>
  <c r="AG136" i="35"/>
  <c r="AH136" i="35"/>
  <c r="AI136" i="35"/>
  <c r="AJ136" i="35"/>
  <c r="AK136" i="35"/>
  <c r="AM136" i="35"/>
  <c r="AN136" i="35"/>
  <c r="AO136" i="35"/>
  <c r="AP136" i="35"/>
  <c r="AQ136" i="35"/>
  <c r="AR136" i="35"/>
  <c r="AS136" i="35"/>
  <c r="A137" i="35"/>
  <c r="C137" i="35"/>
  <c r="D137" i="35"/>
  <c r="E137" i="35"/>
  <c r="F137" i="35"/>
  <c r="G137" i="35"/>
  <c r="H137" i="35"/>
  <c r="I137" i="35"/>
  <c r="J137" i="35"/>
  <c r="K137" i="35"/>
  <c r="L137" i="35"/>
  <c r="M137" i="35"/>
  <c r="O137" i="35"/>
  <c r="P137" i="35"/>
  <c r="Q137" i="35"/>
  <c r="R137" i="35"/>
  <c r="S137" i="35"/>
  <c r="T137" i="35"/>
  <c r="U137" i="35"/>
  <c r="V137" i="35"/>
  <c r="W137" i="35"/>
  <c r="X137" i="35"/>
  <c r="Y137" i="35"/>
  <c r="AA137" i="35"/>
  <c r="AB137" i="35"/>
  <c r="AC137" i="35"/>
  <c r="AD137" i="35"/>
  <c r="AE137" i="35"/>
  <c r="AF137" i="35"/>
  <c r="AG137" i="35"/>
  <c r="AH137" i="35"/>
  <c r="AI137" i="35"/>
  <c r="AJ137" i="35"/>
  <c r="AK137" i="35"/>
  <c r="AM137" i="35"/>
  <c r="AN137" i="35"/>
  <c r="AO137" i="35"/>
  <c r="AP137" i="35"/>
  <c r="AQ137" i="35"/>
  <c r="AR137" i="35"/>
  <c r="AS137" i="35"/>
  <c r="A138" i="35"/>
  <c r="C138" i="35"/>
  <c r="D138" i="35"/>
  <c r="E138" i="35"/>
  <c r="F138" i="35"/>
  <c r="G138" i="35"/>
  <c r="H138" i="35"/>
  <c r="I138" i="35"/>
  <c r="J138" i="35"/>
  <c r="K138" i="35"/>
  <c r="L138" i="35"/>
  <c r="M138" i="35"/>
  <c r="O138" i="35"/>
  <c r="P138" i="35"/>
  <c r="Q138" i="35"/>
  <c r="R138" i="35"/>
  <c r="S138" i="35"/>
  <c r="T138" i="35"/>
  <c r="U138" i="35"/>
  <c r="V138" i="35"/>
  <c r="W138" i="35"/>
  <c r="X138" i="35"/>
  <c r="Y138" i="35"/>
  <c r="AA138" i="35"/>
  <c r="AB138" i="35"/>
  <c r="AC138" i="35"/>
  <c r="AD138" i="35"/>
  <c r="AE138" i="35"/>
  <c r="AF138" i="35"/>
  <c r="AG138" i="35"/>
  <c r="AH138" i="35"/>
  <c r="AI138" i="35"/>
  <c r="AJ138" i="35"/>
  <c r="AK138" i="35"/>
  <c r="AM138" i="35"/>
  <c r="AN138" i="35"/>
  <c r="AO138" i="35"/>
  <c r="AP138" i="35"/>
  <c r="AQ138" i="35"/>
  <c r="AR138" i="35"/>
  <c r="AS138" i="35"/>
  <c r="A139" i="35"/>
  <c r="C139" i="35"/>
  <c r="D139" i="35"/>
  <c r="E139" i="35"/>
  <c r="F139" i="35"/>
  <c r="G139" i="35"/>
  <c r="H139" i="35"/>
  <c r="I139" i="35"/>
  <c r="J139" i="35"/>
  <c r="K139" i="35"/>
  <c r="L139" i="35"/>
  <c r="M139" i="35"/>
  <c r="O139" i="35"/>
  <c r="P139" i="35"/>
  <c r="Q139" i="35"/>
  <c r="R139" i="35"/>
  <c r="S139" i="35"/>
  <c r="T139" i="35"/>
  <c r="U139" i="35"/>
  <c r="V139" i="35"/>
  <c r="W139" i="35"/>
  <c r="X139" i="35"/>
  <c r="Y139" i="35"/>
  <c r="AA139" i="35"/>
  <c r="AB139" i="35"/>
  <c r="AC139" i="35"/>
  <c r="AD139" i="35"/>
  <c r="AE139" i="35"/>
  <c r="AF139" i="35"/>
  <c r="AG139" i="35"/>
  <c r="AH139" i="35"/>
  <c r="AI139" i="35"/>
  <c r="AJ139" i="35"/>
  <c r="AK139" i="35"/>
  <c r="AM139" i="35"/>
  <c r="AN139" i="35"/>
  <c r="AO139" i="35"/>
  <c r="AP139" i="35"/>
  <c r="AQ139" i="35"/>
  <c r="AR139" i="35"/>
  <c r="AS139" i="35"/>
  <c r="A140" i="35"/>
  <c r="C140" i="35"/>
  <c r="D140" i="35"/>
  <c r="E140" i="35"/>
  <c r="F140" i="35"/>
  <c r="G140" i="35"/>
  <c r="H140" i="35"/>
  <c r="I140" i="35"/>
  <c r="J140" i="35"/>
  <c r="K140" i="35"/>
  <c r="L140" i="35"/>
  <c r="M140" i="35"/>
  <c r="O140" i="35"/>
  <c r="P140" i="35"/>
  <c r="Q140" i="35"/>
  <c r="R140" i="35"/>
  <c r="S140" i="35"/>
  <c r="T140" i="35"/>
  <c r="U140" i="35"/>
  <c r="V140" i="35"/>
  <c r="W140" i="35"/>
  <c r="X140" i="35"/>
  <c r="Y140" i="35"/>
  <c r="AA140" i="35"/>
  <c r="AB140" i="35"/>
  <c r="AC140" i="35"/>
  <c r="AD140" i="35"/>
  <c r="AE140" i="35"/>
  <c r="AF140" i="35"/>
  <c r="AG140" i="35"/>
  <c r="AH140" i="35"/>
  <c r="AI140" i="35"/>
  <c r="AJ140" i="35"/>
  <c r="AK140" i="35"/>
  <c r="AM140" i="35"/>
  <c r="AN140" i="35"/>
  <c r="AO140" i="35"/>
  <c r="AP140" i="35"/>
  <c r="AQ140" i="35"/>
  <c r="AR140" i="35"/>
  <c r="AS140" i="35"/>
  <c r="A141" i="35"/>
  <c r="C141" i="35"/>
  <c r="D141" i="35"/>
  <c r="E141" i="35"/>
  <c r="F141" i="35"/>
  <c r="G141" i="35"/>
  <c r="H141" i="35"/>
  <c r="I141" i="35"/>
  <c r="J141" i="35"/>
  <c r="K141" i="35"/>
  <c r="L141" i="35"/>
  <c r="M141" i="35"/>
  <c r="O141" i="35"/>
  <c r="P141" i="35"/>
  <c r="Q141" i="35"/>
  <c r="R141" i="35"/>
  <c r="S141" i="35"/>
  <c r="T141" i="35"/>
  <c r="U141" i="35"/>
  <c r="V141" i="35"/>
  <c r="W141" i="35"/>
  <c r="X141" i="35"/>
  <c r="Y141" i="35"/>
  <c r="AA141" i="35"/>
  <c r="AB141" i="35"/>
  <c r="AC141" i="35"/>
  <c r="AD141" i="35"/>
  <c r="AE141" i="35"/>
  <c r="AF141" i="35"/>
  <c r="AG141" i="35"/>
  <c r="AH141" i="35"/>
  <c r="AI141" i="35"/>
  <c r="AJ141" i="35"/>
  <c r="AK141" i="35"/>
  <c r="AM141" i="35"/>
  <c r="AN141" i="35"/>
  <c r="AO141" i="35"/>
  <c r="AP141" i="35"/>
  <c r="AQ141" i="35"/>
  <c r="AR141" i="35"/>
  <c r="AS141" i="35"/>
  <c r="A142" i="35"/>
  <c r="C142" i="35"/>
  <c r="D142" i="35"/>
  <c r="E142" i="35"/>
  <c r="F142" i="35"/>
  <c r="G142" i="35"/>
  <c r="H142" i="35"/>
  <c r="I142" i="35"/>
  <c r="J142" i="35"/>
  <c r="K142" i="35"/>
  <c r="L142" i="35"/>
  <c r="M142" i="35"/>
  <c r="O142" i="35"/>
  <c r="P142" i="35"/>
  <c r="Q142" i="35"/>
  <c r="R142" i="35"/>
  <c r="S142" i="35"/>
  <c r="T142" i="35"/>
  <c r="U142" i="35"/>
  <c r="V142" i="35"/>
  <c r="W142" i="35"/>
  <c r="X142" i="35"/>
  <c r="Y142" i="35"/>
  <c r="AA142" i="35"/>
  <c r="AB142" i="35"/>
  <c r="AC142" i="35"/>
  <c r="AD142" i="35"/>
  <c r="AE142" i="35"/>
  <c r="AF142" i="35"/>
  <c r="AG142" i="35"/>
  <c r="AH142" i="35"/>
  <c r="AI142" i="35"/>
  <c r="AJ142" i="35"/>
  <c r="AK142" i="35"/>
  <c r="AM142" i="35"/>
  <c r="AN142" i="35"/>
  <c r="AO142" i="35"/>
  <c r="AP142" i="35"/>
  <c r="AQ142" i="35"/>
  <c r="AR142" i="35"/>
  <c r="AS142" i="35"/>
  <c r="A143" i="35"/>
  <c r="C143" i="35"/>
  <c r="D143" i="35"/>
  <c r="E143" i="35"/>
  <c r="F143" i="35"/>
  <c r="G143" i="35"/>
  <c r="H143" i="35"/>
  <c r="I143" i="35"/>
  <c r="J143" i="35"/>
  <c r="K143" i="35"/>
  <c r="L143" i="35"/>
  <c r="M143" i="35"/>
  <c r="O143" i="35"/>
  <c r="P143" i="35"/>
  <c r="Q143" i="35"/>
  <c r="R143" i="35"/>
  <c r="S143" i="35"/>
  <c r="T143" i="35"/>
  <c r="U143" i="35"/>
  <c r="V143" i="35"/>
  <c r="W143" i="35"/>
  <c r="X143" i="35"/>
  <c r="Y143" i="35"/>
  <c r="AA143" i="35"/>
  <c r="AB143" i="35"/>
  <c r="AC143" i="35"/>
  <c r="AD143" i="35"/>
  <c r="AE143" i="35"/>
  <c r="AF143" i="35"/>
  <c r="AG143" i="35"/>
  <c r="AH143" i="35"/>
  <c r="AI143" i="35"/>
  <c r="AJ143" i="35"/>
  <c r="AK143" i="35"/>
  <c r="AM143" i="35"/>
  <c r="AN143" i="35"/>
  <c r="AO143" i="35"/>
  <c r="AP143" i="35"/>
  <c r="AQ143" i="35"/>
  <c r="AR143" i="35"/>
  <c r="AS143" i="35"/>
  <c r="A144" i="35"/>
  <c r="C144" i="35"/>
  <c r="D144" i="35"/>
  <c r="E144" i="35"/>
  <c r="F144" i="35"/>
  <c r="G144" i="35"/>
  <c r="H144" i="35"/>
  <c r="I144" i="35"/>
  <c r="J144" i="35"/>
  <c r="K144" i="35"/>
  <c r="L144" i="35"/>
  <c r="M144" i="35"/>
  <c r="O144" i="35"/>
  <c r="P144" i="35"/>
  <c r="Q144" i="35"/>
  <c r="R144" i="35"/>
  <c r="S144" i="35"/>
  <c r="T144" i="35"/>
  <c r="U144" i="35"/>
  <c r="V144" i="35"/>
  <c r="W144" i="35"/>
  <c r="X144" i="35"/>
  <c r="Y144" i="35"/>
  <c r="AA144" i="35"/>
  <c r="AB144" i="35"/>
  <c r="AC144" i="35"/>
  <c r="AD144" i="35"/>
  <c r="AE144" i="35"/>
  <c r="AF144" i="35"/>
  <c r="AG144" i="35"/>
  <c r="AH144" i="35"/>
  <c r="AI144" i="35"/>
  <c r="AJ144" i="35"/>
  <c r="AK144" i="35"/>
  <c r="AM144" i="35"/>
  <c r="AN144" i="35"/>
  <c r="AO144" i="35"/>
  <c r="AP144" i="35"/>
  <c r="AQ144" i="35"/>
  <c r="AR144" i="35"/>
  <c r="AS144" i="35"/>
  <c r="A145" i="35"/>
  <c r="C145" i="35"/>
  <c r="D145" i="35"/>
  <c r="E145" i="35"/>
  <c r="F145" i="35"/>
  <c r="G145" i="35"/>
  <c r="H145" i="35"/>
  <c r="I145" i="35"/>
  <c r="J145" i="35"/>
  <c r="K145" i="35"/>
  <c r="L145" i="35"/>
  <c r="M145" i="35"/>
  <c r="O145" i="35"/>
  <c r="P145" i="35"/>
  <c r="Q145" i="35"/>
  <c r="R145" i="35"/>
  <c r="S145" i="35"/>
  <c r="T145" i="35"/>
  <c r="U145" i="35"/>
  <c r="V145" i="35"/>
  <c r="W145" i="35"/>
  <c r="X145" i="35"/>
  <c r="Y145" i="35"/>
  <c r="AA145" i="35"/>
  <c r="AB145" i="35"/>
  <c r="AC145" i="35"/>
  <c r="AD145" i="35"/>
  <c r="AE145" i="35"/>
  <c r="AF145" i="35"/>
  <c r="AG145" i="35"/>
  <c r="AH145" i="35"/>
  <c r="AI145" i="35"/>
  <c r="AJ145" i="35"/>
  <c r="AK145" i="35"/>
  <c r="AM145" i="35"/>
  <c r="AN145" i="35"/>
  <c r="AO145" i="35"/>
  <c r="AP145" i="35"/>
  <c r="AQ145" i="35"/>
  <c r="AR145" i="35"/>
  <c r="AS145" i="35"/>
  <c r="A146" i="35"/>
  <c r="C146" i="35"/>
  <c r="D146" i="35"/>
  <c r="E146" i="35"/>
  <c r="F146" i="35"/>
  <c r="G146" i="35"/>
  <c r="H146" i="35"/>
  <c r="I146" i="35"/>
  <c r="J146" i="35"/>
  <c r="K146" i="35"/>
  <c r="L146" i="35"/>
  <c r="M146" i="35"/>
  <c r="O146" i="35"/>
  <c r="P146" i="35"/>
  <c r="Q146" i="35"/>
  <c r="R146" i="35"/>
  <c r="S146" i="35"/>
  <c r="T146" i="35"/>
  <c r="U146" i="35"/>
  <c r="V146" i="35"/>
  <c r="W146" i="35"/>
  <c r="X146" i="35"/>
  <c r="Y146" i="35"/>
  <c r="AA146" i="35"/>
  <c r="AB146" i="35"/>
  <c r="AC146" i="35"/>
  <c r="AD146" i="35"/>
  <c r="AE146" i="35"/>
  <c r="AF146" i="35"/>
  <c r="AG146" i="35"/>
  <c r="AH146" i="35"/>
  <c r="AI146" i="35"/>
  <c r="AJ146" i="35"/>
  <c r="AK146" i="35"/>
  <c r="AM146" i="35"/>
  <c r="AN146" i="35"/>
  <c r="AO146" i="35"/>
  <c r="AP146" i="35"/>
  <c r="AQ146" i="35"/>
  <c r="AR146" i="35"/>
  <c r="AS146" i="35"/>
  <c r="A147" i="35"/>
  <c r="C147" i="35"/>
  <c r="D147" i="35"/>
  <c r="E147" i="35"/>
  <c r="F147" i="35"/>
  <c r="G147" i="35"/>
  <c r="H147" i="35"/>
  <c r="I147" i="35"/>
  <c r="J147" i="35"/>
  <c r="K147" i="35"/>
  <c r="L147" i="35"/>
  <c r="M147" i="35"/>
  <c r="O147" i="35"/>
  <c r="P147" i="35"/>
  <c r="Q147" i="35"/>
  <c r="R147" i="35"/>
  <c r="S147" i="35"/>
  <c r="T147" i="35"/>
  <c r="U147" i="35"/>
  <c r="V147" i="35"/>
  <c r="W147" i="35"/>
  <c r="X147" i="35"/>
  <c r="Y147" i="35"/>
  <c r="AA147" i="35"/>
  <c r="AB147" i="35"/>
  <c r="AC147" i="35"/>
  <c r="AD147" i="35"/>
  <c r="AE147" i="35"/>
  <c r="AF147" i="35"/>
  <c r="AG147" i="35"/>
  <c r="AH147" i="35"/>
  <c r="AI147" i="35"/>
  <c r="AJ147" i="35"/>
  <c r="AK147" i="35"/>
  <c r="AM147" i="35"/>
  <c r="AN147" i="35"/>
  <c r="AO147" i="35"/>
  <c r="AP147" i="35"/>
  <c r="AQ147" i="35"/>
  <c r="AR147" i="35"/>
  <c r="AS147" i="35"/>
  <c r="A148" i="35"/>
  <c r="C148" i="35"/>
  <c r="D148" i="35"/>
  <c r="E148" i="35"/>
  <c r="F148" i="35"/>
  <c r="G148" i="35"/>
  <c r="H148" i="35"/>
  <c r="I148" i="35"/>
  <c r="J148" i="35"/>
  <c r="K148" i="35"/>
  <c r="L148" i="35"/>
  <c r="M148" i="35"/>
  <c r="O148" i="35"/>
  <c r="P148" i="35"/>
  <c r="Q148" i="35"/>
  <c r="R148" i="35"/>
  <c r="S148" i="35"/>
  <c r="T148" i="35"/>
  <c r="U148" i="35"/>
  <c r="V148" i="35"/>
  <c r="W148" i="35"/>
  <c r="X148" i="35"/>
  <c r="Y148" i="35"/>
  <c r="AA148" i="35"/>
  <c r="AB148" i="35"/>
  <c r="AC148" i="35"/>
  <c r="AD148" i="35"/>
  <c r="AE148" i="35"/>
  <c r="AF148" i="35"/>
  <c r="AG148" i="35"/>
  <c r="AH148" i="35"/>
  <c r="AI148" i="35"/>
  <c r="AJ148" i="35"/>
  <c r="AK148" i="35"/>
  <c r="AM148" i="35"/>
  <c r="AN148" i="35"/>
  <c r="AO148" i="35"/>
  <c r="AP148" i="35"/>
  <c r="AQ148" i="35"/>
  <c r="AR148" i="35"/>
  <c r="AS148" i="35"/>
  <c r="A149" i="35"/>
  <c r="C149" i="35"/>
  <c r="D149" i="35"/>
  <c r="E149" i="35"/>
  <c r="F149" i="35"/>
  <c r="G149" i="35"/>
  <c r="H149" i="35"/>
  <c r="I149" i="35"/>
  <c r="J149" i="35"/>
  <c r="K149" i="35"/>
  <c r="L149" i="35"/>
  <c r="M149" i="35"/>
  <c r="O149" i="35"/>
  <c r="P149" i="35"/>
  <c r="Q149" i="35"/>
  <c r="R149" i="35"/>
  <c r="S149" i="35"/>
  <c r="T149" i="35"/>
  <c r="U149" i="35"/>
  <c r="V149" i="35"/>
  <c r="W149" i="35"/>
  <c r="X149" i="35"/>
  <c r="Y149" i="35"/>
  <c r="AA149" i="35"/>
  <c r="AB149" i="35"/>
  <c r="AC149" i="35"/>
  <c r="AD149" i="35"/>
  <c r="AE149" i="35"/>
  <c r="AF149" i="35"/>
  <c r="AG149" i="35"/>
  <c r="AH149" i="35"/>
  <c r="AI149" i="35"/>
  <c r="AJ149" i="35"/>
  <c r="AK149" i="35"/>
  <c r="AM149" i="35"/>
  <c r="AN149" i="35"/>
  <c r="AO149" i="35"/>
  <c r="AP149" i="35"/>
  <c r="AQ149" i="35"/>
  <c r="AR149" i="35"/>
  <c r="AS149" i="35"/>
  <c r="A150" i="35"/>
  <c r="C150" i="35"/>
  <c r="D150" i="35"/>
  <c r="E150" i="35"/>
  <c r="F150" i="35"/>
  <c r="G150" i="35"/>
  <c r="H150" i="35"/>
  <c r="I150" i="35"/>
  <c r="J150" i="35"/>
  <c r="K150" i="35"/>
  <c r="L150" i="35"/>
  <c r="M150" i="35"/>
  <c r="O150" i="35"/>
  <c r="P150" i="35"/>
  <c r="Q150" i="35"/>
  <c r="R150" i="35"/>
  <c r="S150" i="35"/>
  <c r="T150" i="35"/>
  <c r="U150" i="35"/>
  <c r="V150" i="35"/>
  <c r="W150" i="35"/>
  <c r="X150" i="35"/>
  <c r="Y150" i="35"/>
  <c r="AA150" i="35"/>
  <c r="AB150" i="35"/>
  <c r="AC150" i="35"/>
  <c r="AD150" i="35"/>
  <c r="AE150" i="35"/>
  <c r="AF150" i="35"/>
  <c r="AG150" i="35"/>
  <c r="AH150" i="35"/>
  <c r="AI150" i="35"/>
  <c r="AJ150" i="35"/>
  <c r="AK150" i="35"/>
  <c r="AM150" i="35"/>
  <c r="AN150" i="35"/>
  <c r="AO150" i="35"/>
  <c r="AP150" i="35"/>
  <c r="AQ150" i="35"/>
  <c r="AR150" i="35"/>
  <c r="AS150" i="35"/>
  <c r="A151" i="35"/>
  <c r="C151" i="35"/>
  <c r="D151" i="35"/>
  <c r="E151" i="35"/>
  <c r="F151" i="35"/>
  <c r="G151" i="35"/>
  <c r="H151" i="35"/>
  <c r="I151" i="35"/>
  <c r="J151" i="35"/>
  <c r="K151" i="35"/>
  <c r="L151" i="35"/>
  <c r="M151" i="35"/>
  <c r="O151" i="35"/>
  <c r="P151" i="35"/>
  <c r="Q151" i="35"/>
  <c r="R151" i="35"/>
  <c r="S151" i="35"/>
  <c r="T151" i="35"/>
  <c r="U151" i="35"/>
  <c r="V151" i="35"/>
  <c r="W151" i="35"/>
  <c r="X151" i="35"/>
  <c r="Y151" i="35"/>
  <c r="AA151" i="35"/>
  <c r="AB151" i="35"/>
  <c r="AC151" i="35"/>
  <c r="AD151" i="35"/>
  <c r="AE151" i="35"/>
  <c r="AF151" i="35"/>
  <c r="AG151" i="35"/>
  <c r="AH151" i="35"/>
  <c r="AI151" i="35"/>
  <c r="AJ151" i="35"/>
  <c r="AK151" i="35"/>
  <c r="AM151" i="35"/>
  <c r="AN151" i="35"/>
  <c r="AO151" i="35"/>
  <c r="AP151" i="35"/>
  <c r="AQ151" i="35"/>
  <c r="AR151" i="35"/>
  <c r="AS151" i="35"/>
  <c r="A152" i="35"/>
  <c r="C152" i="35"/>
  <c r="D152" i="35"/>
  <c r="E152" i="35"/>
  <c r="F152" i="35"/>
  <c r="G152" i="35"/>
  <c r="H152" i="35"/>
  <c r="I152" i="35"/>
  <c r="J152" i="35"/>
  <c r="K152" i="35"/>
  <c r="L152" i="35"/>
  <c r="M152" i="35"/>
  <c r="O152" i="35"/>
  <c r="P152" i="35"/>
  <c r="Q152" i="35"/>
  <c r="R152" i="35"/>
  <c r="S152" i="35"/>
  <c r="T152" i="35"/>
  <c r="U152" i="35"/>
  <c r="V152" i="35"/>
  <c r="W152" i="35"/>
  <c r="X152" i="35"/>
  <c r="Y152" i="35"/>
  <c r="AA152" i="35"/>
  <c r="AB152" i="35"/>
  <c r="AC152" i="35"/>
  <c r="AD152" i="35"/>
  <c r="AE152" i="35"/>
  <c r="AF152" i="35"/>
  <c r="AG152" i="35"/>
  <c r="AH152" i="35"/>
  <c r="AI152" i="35"/>
  <c r="AJ152" i="35"/>
  <c r="AK152" i="35"/>
  <c r="AM152" i="35"/>
  <c r="AN152" i="35"/>
  <c r="AO152" i="35"/>
  <c r="AP152" i="35"/>
  <c r="AQ152" i="35"/>
  <c r="AR152" i="35"/>
  <c r="AS152" i="35"/>
  <c r="A153" i="35"/>
  <c r="C153" i="35"/>
  <c r="D153" i="35"/>
  <c r="E153" i="35"/>
  <c r="F153" i="35"/>
  <c r="G153" i="35"/>
  <c r="H153" i="35"/>
  <c r="I153" i="35"/>
  <c r="J153" i="35"/>
  <c r="K153" i="35"/>
  <c r="L153" i="35"/>
  <c r="M153" i="35"/>
  <c r="O153" i="35"/>
  <c r="P153" i="35"/>
  <c r="Q153" i="35"/>
  <c r="R153" i="35"/>
  <c r="S153" i="35"/>
  <c r="T153" i="35"/>
  <c r="U153" i="35"/>
  <c r="V153" i="35"/>
  <c r="W153" i="35"/>
  <c r="X153" i="35"/>
  <c r="Y153" i="35"/>
  <c r="AA153" i="35"/>
  <c r="AB153" i="35"/>
  <c r="AC153" i="35"/>
  <c r="AD153" i="35"/>
  <c r="AE153" i="35"/>
  <c r="AF153" i="35"/>
  <c r="AG153" i="35"/>
  <c r="AH153" i="35"/>
  <c r="AI153" i="35"/>
  <c r="AJ153" i="35"/>
  <c r="AK153" i="35"/>
  <c r="AM153" i="35"/>
  <c r="AN153" i="35"/>
  <c r="AO153" i="35"/>
  <c r="AP153" i="35"/>
  <c r="AQ153" i="35"/>
  <c r="AR153" i="35"/>
  <c r="AS153" i="35"/>
  <c r="A154" i="35"/>
  <c r="C154" i="35"/>
  <c r="D154" i="35"/>
  <c r="E154" i="35"/>
  <c r="F154" i="35"/>
  <c r="G154" i="35"/>
  <c r="H154" i="35"/>
  <c r="I154" i="35"/>
  <c r="J154" i="35"/>
  <c r="K154" i="35"/>
  <c r="L154" i="35"/>
  <c r="M154" i="35"/>
  <c r="O154" i="35"/>
  <c r="P154" i="35"/>
  <c r="Q154" i="35"/>
  <c r="R154" i="35"/>
  <c r="S154" i="35"/>
  <c r="T154" i="35"/>
  <c r="U154" i="35"/>
  <c r="V154" i="35"/>
  <c r="W154" i="35"/>
  <c r="X154" i="35"/>
  <c r="Y154" i="35"/>
  <c r="AA154" i="35"/>
  <c r="AB154" i="35"/>
  <c r="AC154" i="35"/>
  <c r="AD154" i="35"/>
  <c r="AE154" i="35"/>
  <c r="AF154" i="35"/>
  <c r="AG154" i="35"/>
  <c r="AH154" i="35"/>
  <c r="AI154" i="35"/>
  <c r="AJ154" i="35"/>
  <c r="AK154" i="35"/>
  <c r="AM154" i="35"/>
  <c r="AN154" i="35"/>
  <c r="AO154" i="35"/>
  <c r="AP154" i="35"/>
  <c r="AQ154" i="35"/>
  <c r="AR154" i="35"/>
  <c r="AS154" i="35"/>
  <c r="A155" i="35"/>
  <c r="C155" i="35"/>
  <c r="D155" i="35"/>
  <c r="E155" i="35"/>
  <c r="F155" i="35"/>
  <c r="G155" i="35"/>
  <c r="H155" i="35"/>
  <c r="I155" i="35"/>
  <c r="J155" i="35"/>
  <c r="K155" i="35"/>
  <c r="L155" i="35"/>
  <c r="M155" i="35"/>
  <c r="O155" i="35"/>
  <c r="P155" i="35"/>
  <c r="Q155" i="35"/>
  <c r="R155" i="35"/>
  <c r="S155" i="35"/>
  <c r="T155" i="35"/>
  <c r="U155" i="35"/>
  <c r="V155" i="35"/>
  <c r="W155" i="35"/>
  <c r="X155" i="35"/>
  <c r="Y155" i="35"/>
  <c r="AA155" i="35"/>
  <c r="AB155" i="35"/>
  <c r="AC155" i="35"/>
  <c r="AD155" i="35"/>
  <c r="AE155" i="35"/>
  <c r="AF155" i="35"/>
  <c r="AG155" i="35"/>
  <c r="AH155" i="35"/>
  <c r="AI155" i="35"/>
  <c r="AJ155" i="35"/>
  <c r="AK155" i="35"/>
  <c r="AM155" i="35"/>
  <c r="AN155" i="35"/>
  <c r="AO155" i="35"/>
  <c r="AP155" i="35"/>
  <c r="AQ155" i="35"/>
  <c r="AR155" i="35"/>
  <c r="AS155" i="35"/>
  <c r="A156" i="35"/>
  <c r="C156" i="35"/>
  <c r="D156" i="35"/>
  <c r="E156" i="35"/>
  <c r="F156" i="35"/>
  <c r="G156" i="35"/>
  <c r="H156" i="35"/>
  <c r="I156" i="35"/>
  <c r="J156" i="35"/>
  <c r="K156" i="35"/>
  <c r="L156" i="35"/>
  <c r="M156" i="35"/>
  <c r="O156" i="35"/>
  <c r="P156" i="35"/>
  <c r="Q156" i="35"/>
  <c r="R156" i="35"/>
  <c r="S156" i="35"/>
  <c r="T156" i="35"/>
  <c r="U156" i="35"/>
  <c r="V156" i="35"/>
  <c r="W156" i="35"/>
  <c r="X156" i="35"/>
  <c r="Y156" i="35"/>
  <c r="AA156" i="35"/>
  <c r="AB156" i="35"/>
  <c r="AC156" i="35"/>
  <c r="AD156" i="35"/>
  <c r="AE156" i="35"/>
  <c r="AF156" i="35"/>
  <c r="AG156" i="35"/>
  <c r="AH156" i="35"/>
  <c r="AI156" i="35"/>
  <c r="AJ156" i="35"/>
  <c r="AK156" i="35"/>
  <c r="AM156" i="35"/>
  <c r="AN156" i="35"/>
  <c r="AO156" i="35"/>
  <c r="AP156" i="35"/>
  <c r="AQ156" i="35"/>
  <c r="AR156" i="35"/>
  <c r="AS156" i="35"/>
  <c r="A157" i="35"/>
  <c r="C157" i="35"/>
  <c r="D157" i="35"/>
  <c r="E157" i="35"/>
  <c r="F157" i="35"/>
  <c r="G157" i="35"/>
  <c r="H157" i="35"/>
  <c r="I157" i="35"/>
  <c r="J157" i="35"/>
  <c r="K157" i="35"/>
  <c r="L157" i="35"/>
  <c r="M157" i="35"/>
  <c r="O157" i="35"/>
  <c r="P157" i="35"/>
  <c r="Q157" i="35"/>
  <c r="R157" i="35"/>
  <c r="S157" i="35"/>
  <c r="T157" i="35"/>
  <c r="U157" i="35"/>
  <c r="V157" i="35"/>
  <c r="W157" i="35"/>
  <c r="X157" i="35"/>
  <c r="Y157" i="35"/>
  <c r="AA157" i="35"/>
  <c r="AB157" i="35"/>
  <c r="AC157" i="35"/>
  <c r="AD157" i="35"/>
  <c r="AE157" i="35"/>
  <c r="AF157" i="35"/>
  <c r="AG157" i="35"/>
  <c r="AH157" i="35"/>
  <c r="AI157" i="35"/>
  <c r="AJ157" i="35"/>
  <c r="AK157" i="35"/>
  <c r="AM157" i="35"/>
  <c r="AN157" i="35"/>
  <c r="AO157" i="35"/>
  <c r="AP157" i="35"/>
  <c r="AQ157" i="35"/>
  <c r="AR157" i="35"/>
  <c r="AS157" i="35"/>
  <c r="A158" i="35"/>
  <c r="C158" i="35"/>
  <c r="D158" i="35"/>
  <c r="E158" i="35"/>
  <c r="F158" i="35"/>
  <c r="G158" i="35"/>
  <c r="H158" i="35"/>
  <c r="I158" i="35"/>
  <c r="J158" i="35"/>
  <c r="K158" i="35"/>
  <c r="L158" i="35"/>
  <c r="M158" i="35"/>
  <c r="O158" i="35"/>
  <c r="P158" i="35"/>
  <c r="Q158" i="35"/>
  <c r="R158" i="35"/>
  <c r="S158" i="35"/>
  <c r="T158" i="35"/>
  <c r="U158" i="35"/>
  <c r="V158" i="35"/>
  <c r="W158" i="35"/>
  <c r="X158" i="35"/>
  <c r="Y158" i="35"/>
  <c r="AA158" i="35"/>
  <c r="AB158" i="35"/>
  <c r="AC158" i="35"/>
  <c r="AD158" i="35"/>
  <c r="AE158" i="35"/>
  <c r="AF158" i="35"/>
  <c r="AG158" i="35"/>
  <c r="AH158" i="35"/>
  <c r="AI158" i="35"/>
  <c r="AJ158" i="35"/>
  <c r="AK158" i="35"/>
  <c r="AM158" i="35"/>
  <c r="AN158" i="35"/>
  <c r="AO158" i="35"/>
  <c r="AP158" i="35"/>
  <c r="AQ158" i="35"/>
  <c r="AR158" i="35"/>
  <c r="AS158" i="35"/>
  <c r="A159" i="35"/>
  <c r="C159" i="35"/>
  <c r="D159" i="35"/>
  <c r="E159" i="35"/>
  <c r="F159" i="35"/>
  <c r="G159" i="35"/>
  <c r="H159" i="35"/>
  <c r="I159" i="35"/>
  <c r="J159" i="35"/>
  <c r="K159" i="35"/>
  <c r="L159" i="35"/>
  <c r="M159" i="35"/>
  <c r="O159" i="35"/>
  <c r="P159" i="35"/>
  <c r="Q159" i="35"/>
  <c r="R159" i="35"/>
  <c r="S159" i="35"/>
  <c r="T159" i="35"/>
  <c r="U159" i="35"/>
  <c r="V159" i="35"/>
  <c r="W159" i="35"/>
  <c r="X159" i="35"/>
  <c r="Y159" i="35"/>
  <c r="AA159" i="35"/>
  <c r="AB159" i="35"/>
  <c r="AC159" i="35"/>
  <c r="AD159" i="35"/>
  <c r="AE159" i="35"/>
  <c r="AF159" i="35"/>
  <c r="AG159" i="35"/>
  <c r="AH159" i="35"/>
  <c r="AI159" i="35"/>
  <c r="AJ159" i="35"/>
  <c r="AK159" i="35"/>
  <c r="AM159" i="35"/>
  <c r="AN159" i="35"/>
  <c r="AO159" i="35"/>
  <c r="AP159" i="35"/>
  <c r="AQ159" i="35"/>
  <c r="AR159" i="35"/>
  <c r="AS159" i="35"/>
  <c r="A160" i="35"/>
  <c r="C160" i="35"/>
  <c r="D160" i="35"/>
  <c r="E160" i="35"/>
  <c r="F160" i="35"/>
  <c r="G160" i="35"/>
  <c r="H160" i="35"/>
  <c r="I160" i="35"/>
  <c r="J160" i="35"/>
  <c r="K160" i="35"/>
  <c r="L160" i="35"/>
  <c r="M160" i="35"/>
  <c r="O160" i="35"/>
  <c r="P160" i="35"/>
  <c r="Q160" i="35"/>
  <c r="R160" i="35"/>
  <c r="S160" i="35"/>
  <c r="T160" i="35"/>
  <c r="U160" i="35"/>
  <c r="V160" i="35"/>
  <c r="W160" i="35"/>
  <c r="X160" i="35"/>
  <c r="Y160" i="35"/>
  <c r="AA160" i="35"/>
  <c r="AB160" i="35"/>
  <c r="AC160" i="35"/>
  <c r="AD160" i="35"/>
  <c r="AE160" i="35"/>
  <c r="AF160" i="35"/>
  <c r="AG160" i="35"/>
  <c r="AH160" i="35"/>
  <c r="AI160" i="35"/>
  <c r="AJ160" i="35"/>
  <c r="AK160" i="35"/>
  <c r="AM160" i="35"/>
  <c r="AN160" i="35"/>
  <c r="AO160" i="35"/>
  <c r="AP160" i="35"/>
  <c r="AQ160" i="35"/>
  <c r="AR160" i="35"/>
  <c r="AS160" i="35"/>
  <c r="A161" i="35"/>
  <c r="C161" i="35"/>
  <c r="D161" i="35"/>
  <c r="E161" i="35"/>
  <c r="F161" i="35"/>
  <c r="G161" i="35"/>
  <c r="H161" i="35"/>
  <c r="I161" i="35"/>
  <c r="J161" i="35"/>
  <c r="K161" i="35"/>
  <c r="L161" i="35"/>
  <c r="M161" i="35"/>
  <c r="O161" i="35"/>
  <c r="P161" i="35"/>
  <c r="Q161" i="35"/>
  <c r="R161" i="35"/>
  <c r="S161" i="35"/>
  <c r="T161" i="35"/>
  <c r="U161" i="35"/>
  <c r="V161" i="35"/>
  <c r="W161" i="35"/>
  <c r="X161" i="35"/>
  <c r="Y161" i="35"/>
  <c r="AA161" i="35"/>
  <c r="AB161" i="35"/>
  <c r="AC161" i="35"/>
  <c r="AD161" i="35"/>
  <c r="AE161" i="35"/>
  <c r="AF161" i="35"/>
  <c r="AG161" i="35"/>
  <c r="AH161" i="35"/>
  <c r="AI161" i="35"/>
  <c r="AJ161" i="35"/>
  <c r="AK161" i="35"/>
  <c r="AM161" i="35"/>
  <c r="AN161" i="35"/>
  <c r="AO161" i="35"/>
  <c r="AP161" i="35"/>
  <c r="AQ161" i="35"/>
  <c r="AR161" i="35"/>
  <c r="AS161" i="35"/>
  <c r="A162" i="35"/>
  <c r="C162" i="35"/>
  <c r="D162" i="35"/>
  <c r="E162" i="35"/>
  <c r="F162" i="35"/>
  <c r="G162" i="35"/>
  <c r="H162" i="35"/>
  <c r="I162" i="35"/>
  <c r="J162" i="35"/>
  <c r="K162" i="35"/>
  <c r="L162" i="35"/>
  <c r="M162" i="35"/>
  <c r="O162" i="35"/>
  <c r="P162" i="35"/>
  <c r="Q162" i="35"/>
  <c r="R162" i="35"/>
  <c r="S162" i="35"/>
  <c r="T162" i="35"/>
  <c r="U162" i="35"/>
  <c r="V162" i="35"/>
  <c r="W162" i="35"/>
  <c r="X162" i="35"/>
  <c r="Y162" i="35"/>
  <c r="AA162" i="35"/>
  <c r="AB162" i="35"/>
  <c r="AC162" i="35"/>
  <c r="AD162" i="35"/>
  <c r="AE162" i="35"/>
  <c r="AF162" i="35"/>
  <c r="AG162" i="35"/>
  <c r="AH162" i="35"/>
  <c r="AI162" i="35"/>
  <c r="AJ162" i="35"/>
  <c r="AK162" i="35"/>
  <c r="AM162" i="35"/>
  <c r="AN162" i="35"/>
  <c r="AO162" i="35"/>
  <c r="AP162" i="35"/>
  <c r="AQ162" i="35"/>
  <c r="AR162" i="35"/>
  <c r="AS162" i="35"/>
  <c r="A163" i="35"/>
  <c r="C163" i="35"/>
  <c r="D163" i="35"/>
  <c r="E163" i="35"/>
  <c r="F163" i="35"/>
  <c r="G163" i="35"/>
  <c r="H163" i="35"/>
  <c r="I163" i="35"/>
  <c r="J163" i="35"/>
  <c r="K163" i="35"/>
  <c r="L163" i="35"/>
  <c r="M163" i="35"/>
  <c r="O163" i="35"/>
  <c r="P163" i="35"/>
  <c r="Q163" i="35"/>
  <c r="R163" i="35"/>
  <c r="S163" i="35"/>
  <c r="T163" i="35"/>
  <c r="U163" i="35"/>
  <c r="V163" i="35"/>
  <c r="W163" i="35"/>
  <c r="X163" i="35"/>
  <c r="Y163" i="35"/>
  <c r="AA163" i="35"/>
  <c r="AB163" i="35"/>
  <c r="AC163" i="35"/>
  <c r="AD163" i="35"/>
  <c r="AE163" i="35"/>
  <c r="AF163" i="35"/>
  <c r="AG163" i="35"/>
  <c r="AH163" i="35"/>
  <c r="AI163" i="35"/>
  <c r="AJ163" i="35"/>
  <c r="AK163" i="35"/>
  <c r="AM163" i="35"/>
  <c r="AN163" i="35"/>
  <c r="AO163" i="35"/>
  <c r="AP163" i="35"/>
  <c r="AQ163" i="35"/>
  <c r="AR163" i="35"/>
  <c r="AS163" i="35"/>
  <c r="A164" i="35"/>
  <c r="C164" i="35"/>
  <c r="D164" i="35"/>
  <c r="E164" i="35"/>
  <c r="F164" i="35"/>
  <c r="G164" i="35"/>
  <c r="H164" i="35"/>
  <c r="I164" i="35"/>
  <c r="J164" i="35"/>
  <c r="K164" i="35"/>
  <c r="L164" i="35"/>
  <c r="M164" i="35"/>
  <c r="O164" i="35"/>
  <c r="P164" i="35"/>
  <c r="Q164" i="35"/>
  <c r="R164" i="35"/>
  <c r="S164" i="35"/>
  <c r="T164" i="35"/>
  <c r="U164" i="35"/>
  <c r="V164" i="35"/>
  <c r="W164" i="35"/>
  <c r="X164" i="35"/>
  <c r="Y164" i="35"/>
  <c r="AA164" i="35"/>
  <c r="AB164" i="35"/>
  <c r="AC164" i="35"/>
  <c r="AD164" i="35"/>
  <c r="AE164" i="35"/>
  <c r="AF164" i="35"/>
  <c r="AG164" i="35"/>
  <c r="AH164" i="35"/>
  <c r="AI164" i="35"/>
  <c r="AJ164" i="35"/>
  <c r="AK164" i="35"/>
  <c r="AM164" i="35"/>
  <c r="AN164" i="35"/>
  <c r="AO164" i="35"/>
  <c r="AP164" i="35"/>
  <c r="AQ164" i="35"/>
  <c r="AR164" i="35"/>
  <c r="AS164" i="35"/>
  <c r="A165" i="35"/>
  <c r="C165" i="35"/>
  <c r="D165" i="35"/>
  <c r="E165" i="35"/>
  <c r="F165" i="35"/>
  <c r="G165" i="35"/>
  <c r="H165" i="35"/>
  <c r="I165" i="35"/>
  <c r="J165" i="35"/>
  <c r="K165" i="35"/>
  <c r="L165" i="35"/>
  <c r="M165" i="35"/>
  <c r="O165" i="35"/>
  <c r="P165" i="35"/>
  <c r="Q165" i="35"/>
  <c r="R165" i="35"/>
  <c r="S165" i="35"/>
  <c r="T165" i="35"/>
  <c r="U165" i="35"/>
  <c r="V165" i="35"/>
  <c r="W165" i="35"/>
  <c r="X165" i="35"/>
  <c r="Y165" i="35"/>
  <c r="AA165" i="35"/>
  <c r="AB165" i="35"/>
  <c r="AC165" i="35"/>
  <c r="AD165" i="35"/>
  <c r="AE165" i="35"/>
  <c r="AF165" i="35"/>
  <c r="AG165" i="35"/>
  <c r="AH165" i="35"/>
  <c r="AI165" i="35"/>
  <c r="AJ165" i="35"/>
  <c r="AK165" i="35"/>
  <c r="AM165" i="35"/>
  <c r="AN165" i="35"/>
  <c r="AO165" i="35"/>
  <c r="AP165" i="35"/>
  <c r="AQ165" i="35"/>
  <c r="AR165" i="35"/>
  <c r="AS165" i="35"/>
  <c r="A166" i="35"/>
  <c r="C166" i="35"/>
  <c r="D166" i="35"/>
  <c r="E166" i="35"/>
  <c r="F166" i="35"/>
  <c r="G166" i="35"/>
  <c r="H166" i="35"/>
  <c r="I166" i="35"/>
  <c r="J166" i="35"/>
  <c r="K166" i="35"/>
  <c r="L166" i="35"/>
  <c r="M166" i="35"/>
  <c r="O166" i="35"/>
  <c r="P166" i="35"/>
  <c r="Q166" i="35"/>
  <c r="R166" i="35"/>
  <c r="S166" i="35"/>
  <c r="T166" i="35"/>
  <c r="U166" i="35"/>
  <c r="V166" i="35"/>
  <c r="W166" i="35"/>
  <c r="X166" i="35"/>
  <c r="Y166" i="35"/>
  <c r="AA166" i="35"/>
  <c r="AB166" i="35"/>
  <c r="AC166" i="35"/>
  <c r="AD166" i="35"/>
  <c r="AE166" i="35"/>
  <c r="AF166" i="35"/>
  <c r="AG166" i="35"/>
  <c r="AH166" i="35"/>
  <c r="AI166" i="35"/>
  <c r="AJ166" i="35"/>
  <c r="AK166" i="35"/>
  <c r="AM166" i="35"/>
  <c r="AN166" i="35"/>
  <c r="AO166" i="35"/>
  <c r="AP166" i="35"/>
  <c r="AQ166" i="35"/>
  <c r="AR166" i="35"/>
  <c r="AS166" i="35"/>
  <c r="A167" i="35"/>
  <c r="C167" i="35"/>
  <c r="D167" i="35"/>
  <c r="E167" i="35"/>
  <c r="F167" i="35"/>
  <c r="G167" i="35"/>
  <c r="H167" i="35"/>
  <c r="I167" i="35"/>
  <c r="J167" i="35"/>
  <c r="K167" i="35"/>
  <c r="L167" i="35"/>
  <c r="M167" i="35"/>
  <c r="O167" i="35"/>
  <c r="P167" i="35"/>
  <c r="Q167" i="35"/>
  <c r="R167" i="35"/>
  <c r="S167" i="35"/>
  <c r="T167" i="35"/>
  <c r="U167" i="35"/>
  <c r="V167" i="35"/>
  <c r="W167" i="35"/>
  <c r="X167" i="35"/>
  <c r="Y167" i="35"/>
  <c r="AA167" i="35"/>
  <c r="AB167" i="35"/>
  <c r="AC167" i="35"/>
  <c r="AD167" i="35"/>
  <c r="AE167" i="35"/>
  <c r="AF167" i="35"/>
  <c r="AG167" i="35"/>
  <c r="AH167" i="35"/>
  <c r="AI167" i="35"/>
  <c r="AJ167" i="35"/>
  <c r="AK167" i="35"/>
  <c r="AM167" i="35"/>
  <c r="AN167" i="35"/>
  <c r="AO167" i="35"/>
  <c r="AP167" i="35"/>
  <c r="AQ167" i="35"/>
  <c r="AR167" i="35"/>
  <c r="AS167" i="35"/>
  <c r="A168" i="35"/>
  <c r="C168" i="35"/>
  <c r="D168" i="35"/>
  <c r="E168" i="35"/>
  <c r="F168" i="35"/>
  <c r="G168" i="35"/>
  <c r="H168" i="35"/>
  <c r="I168" i="35"/>
  <c r="J168" i="35"/>
  <c r="K168" i="35"/>
  <c r="L168" i="35"/>
  <c r="M168" i="35"/>
  <c r="O168" i="35"/>
  <c r="P168" i="35"/>
  <c r="Q168" i="35"/>
  <c r="R168" i="35"/>
  <c r="S168" i="35"/>
  <c r="T168" i="35"/>
  <c r="U168" i="35"/>
  <c r="V168" i="35"/>
  <c r="W168" i="35"/>
  <c r="X168" i="35"/>
  <c r="Y168" i="35"/>
  <c r="AA168" i="35"/>
  <c r="AB168" i="35"/>
  <c r="AC168" i="35"/>
  <c r="AD168" i="35"/>
  <c r="AE168" i="35"/>
  <c r="AF168" i="35"/>
  <c r="AG168" i="35"/>
  <c r="AH168" i="35"/>
  <c r="AI168" i="35"/>
  <c r="AJ168" i="35"/>
  <c r="AK168" i="35"/>
  <c r="AM168" i="35"/>
  <c r="AN168" i="35"/>
  <c r="AO168" i="35"/>
  <c r="AP168" i="35"/>
  <c r="AQ168" i="35"/>
  <c r="AR168" i="35"/>
  <c r="AS168" i="35"/>
  <c r="A169" i="35"/>
  <c r="C169" i="35"/>
  <c r="D169" i="35"/>
  <c r="E169" i="35"/>
  <c r="F169" i="35"/>
  <c r="G169" i="35"/>
  <c r="H169" i="35"/>
  <c r="I169" i="35"/>
  <c r="J169" i="35"/>
  <c r="K169" i="35"/>
  <c r="L169" i="35"/>
  <c r="M169" i="35"/>
  <c r="O169" i="35"/>
  <c r="P169" i="35"/>
  <c r="Q169" i="35"/>
  <c r="R169" i="35"/>
  <c r="S169" i="35"/>
  <c r="T169" i="35"/>
  <c r="U169" i="35"/>
  <c r="V169" i="35"/>
  <c r="W169" i="35"/>
  <c r="X169" i="35"/>
  <c r="Y169" i="35"/>
  <c r="AA169" i="35"/>
  <c r="AB169" i="35"/>
  <c r="AC169" i="35"/>
  <c r="AD169" i="35"/>
  <c r="AE169" i="35"/>
  <c r="AF169" i="35"/>
  <c r="AG169" i="35"/>
  <c r="AH169" i="35"/>
  <c r="AI169" i="35"/>
  <c r="AJ169" i="35"/>
  <c r="AK169" i="35"/>
  <c r="AM169" i="35"/>
  <c r="AN169" i="35"/>
  <c r="AO169" i="35"/>
  <c r="AP169" i="35"/>
  <c r="AQ169" i="35"/>
  <c r="AR169" i="35"/>
  <c r="AS169" i="35"/>
  <c r="A170" i="35"/>
  <c r="C170" i="35"/>
  <c r="D170" i="35"/>
  <c r="E170" i="35"/>
  <c r="F170" i="35"/>
  <c r="G170" i="35"/>
  <c r="H170" i="35"/>
  <c r="I170" i="35"/>
  <c r="J170" i="35"/>
  <c r="K170" i="35"/>
  <c r="L170" i="35"/>
  <c r="M170" i="35"/>
  <c r="O170" i="35"/>
  <c r="P170" i="35"/>
  <c r="Q170" i="35"/>
  <c r="R170" i="35"/>
  <c r="S170" i="35"/>
  <c r="T170" i="35"/>
  <c r="U170" i="35"/>
  <c r="V170" i="35"/>
  <c r="W170" i="35"/>
  <c r="X170" i="35"/>
  <c r="Y170" i="35"/>
  <c r="AA170" i="35"/>
  <c r="AB170" i="35"/>
  <c r="AC170" i="35"/>
  <c r="AD170" i="35"/>
  <c r="AE170" i="35"/>
  <c r="AF170" i="35"/>
  <c r="AG170" i="35"/>
  <c r="AH170" i="35"/>
  <c r="AI170" i="35"/>
  <c r="AJ170" i="35"/>
  <c r="AK170" i="35"/>
  <c r="AM170" i="35"/>
  <c r="AN170" i="35"/>
  <c r="AO170" i="35"/>
  <c r="AP170" i="35"/>
  <c r="AQ170" i="35"/>
  <c r="AR170" i="35"/>
  <c r="AS170" i="35"/>
  <c r="A171" i="35"/>
  <c r="C171" i="35"/>
  <c r="D171" i="35"/>
  <c r="E171" i="35"/>
  <c r="F171" i="35"/>
  <c r="G171" i="35"/>
  <c r="H171" i="35"/>
  <c r="I171" i="35"/>
  <c r="J171" i="35"/>
  <c r="K171" i="35"/>
  <c r="L171" i="35"/>
  <c r="M171" i="35"/>
  <c r="O171" i="35"/>
  <c r="P171" i="35"/>
  <c r="Q171" i="35"/>
  <c r="R171" i="35"/>
  <c r="S171" i="35"/>
  <c r="T171" i="35"/>
  <c r="U171" i="35"/>
  <c r="V171" i="35"/>
  <c r="W171" i="35"/>
  <c r="X171" i="35"/>
  <c r="Y171" i="35"/>
  <c r="AA171" i="35"/>
  <c r="AB171" i="35"/>
  <c r="AC171" i="35"/>
  <c r="AD171" i="35"/>
  <c r="AE171" i="35"/>
  <c r="AF171" i="35"/>
  <c r="AG171" i="35"/>
  <c r="AH171" i="35"/>
  <c r="AI171" i="35"/>
  <c r="AJ171" i="35"/>
  <c r="AK171" i="35"/>
  <c r="AM171" i="35"/>
  <c r="AN171" i="35"/>
  <c r="AO171" i="35"/>
  <c r="AP171" i="35"/>
  <c r="AQ171" i="35"/>
  <c r="AR171" i="35"/>
  <c r="AS171" i="35"/>
  <c r="A172" i="35"/>
  <c r="C172" i="35"/>
  <c r="D172" i="35"/>
  <c r="E172" i="35"/>
  <c r="F172" i="35"/>
  <c r="G172" i="35"/>
  <c r="H172" i="35"/>
  <c r="I172" i="35"/>
  <c r="J172" i="35"/>
  <c r="K172" i="35"/>
  <c r="L172" i="35"/>
  <c r="M172" i="35"/>
  <c r="O172" i="35"/>
  <c r="P172" i="35"/>
  <c r="Q172" i="35"/>
  <c r="R172" i="35"/>
  <c r="S172" i="35"/>
  <c r="T172" i="35"/>
  <c r="U172" i="35"/>
  <c r="V172" i="35"/>
  <c r="W172" i="35"/>
  <c r="X172" i="35"/>
  <c r="Y172" i="35"/>
  <c r="AA172" i="35"/>
  <c r="AB172" i="35"/>
  <c r="AC172" i="35"/>
  <c r="AD172" i="35"/>
  <c r="AE172" i="35"/>
  <c r="AF172" i="35"/>
  <c r="AG172" i="35"/>
  <c r="AH172" i="35"/>
  <c r="AI172" i="35"/>
  <c r="AJ172" i="35"/>
  <c r="AK172" i="35"/>
  <c r="AM172" i="35"/>
  <c r="AN172" i="35"/>
  <c r="AO172" i="35"/>
  <c r="AP172" i="35"/>
  <c r="AQ172" i="35"/>
  <c r="AR172" i="35"/>
  <c r="AS172" i="35"/>
  <c r="A173" i="35"/>
  <c r="C173" i="35"/>
  <c r="D173" i="35"/>
  <c r="E173" i="35"/>
  <c r="F173" i="35"/>
  <c r="G173" i="35"/>
  <c r="H173" i="35"/>
  <c r="I173" i="35"/>
  <c r="J173" i="35"/>
  <c r="K173" i="35"/>
  <c r="L173" i="35"/>
  <c r="M173" i="35"/>
  <c r="O173" i="35"/>
  <c r="P173" i="35"/>
  <c r="Q173" i="35"/>
  <c r="R173" i="35"/>
  <c r="S173" i="35"/>
  <c r="T173" i="35"/>
  <c r="U173" i="35"/>
  <c r="V173" i="35"/>
  <c r="W173" i="35"/>
  <c r="X173" i="35"/>
  <c r="Y173" i="35"/>
  <c r="AA173" i="35"/>
  <c r="AB173" i="35"/>
  <c r="AC173" i="35"/>
  <c r="AD173" i="35"/>
  <c r="AE173" i="35"/>
  <c r="AF173" i="35"/>
  <c r="AG173" i="35"/>
  <c r="AH173" i="35"/>
  <c r="AI173" i="35"/>
  <c r="AJ173" i="35"/>
  <c r="AK173" i="35"/>
  <c r="AM173" i="35"/>
  <c r="AN173" i="35"/>
  <c r="AO173" i="35"/>
  <c r="AP173" i="35"/>
  <c r="AQ173" i="35"/>
  <c r="AR173" i="35"/>
  <c r="AS173" i="35"/>
  <c r="A174" i="35"/>
  <c r="C174" i="35"/>
  <c r="D174" i="35"/>
  <c r="E174" i="35"/>
  <c r="F174" i="35"/>
  <c r="G174" i="35"/>
  <c r="H174" i="35"/>
  <c r="I174" i="35"/>
  <c r="J174" i="35"/>
  <c r="K174" i="35"/>
  <c r="L174" i="35"/>
  <c r="M174" i="35"/>
  <c r="O174" i="35"/>
  <c r="P174" i="35"/>
  <c r="Q174" i="35"/>
  <c r="R174" i="35"/>
  <c r="S174" i="35"/>
  <c r="T174" i="35"/>
  <c r="U174" i="35"/>
  <c r="V174" i="35"/>
  <c r="W174" i="35"/>
  <c r="X174" i="35"/>
  <c r="Y174" i="35"/>
  <c r="AA174" i="35"/>
  <c r="AB174" i="35"/>
  <c r="AC174" i="35"/>
  <c r="AD174" i="35"/>
  <c r="AE174" i="35"/>
  <c r="AF174" i="35"/>
  <c r="AG174" i="35"/>
  <c r="AH174" i="35"/>
  <c r="AI174" i="35"/>
  <c r="AJ174" i="35"/>
  <c r="AK174" i="35"/>
  <c r="AM174" i="35"/>
  <c r="AN174" i="35"/>
  <c r="AO174" i="35"/>
  <c r="AP174" i="35"/>
  <c r="AQ174" i="35"/>
  <c r="AR174" i="35"/>
  <c r="AS174" i="35"/>
  <c r="A175" i="35"/>
  <c r="C175" i="35"/>
  <c r="D175" i="35"/>
  <c r="E175" i="35"/>
  <c r="F175" i="35"/>
  <c r="G175" i="35"/>
  <c r="H175" i="35"/>
  <c r="I175" i="35"/>
  <c r="J175" i="35"/>
  <c r="K175" i="35"/>
  <c r="L175" i="35"/>
  <c r="M175" i="35"/>
  <c r="O175" i="35"/>
  <c r="P175" i="35"/>
  <c r="Q175" i="35"/>
  <c r="R175" i="35"/>
  <c r="S175" i="35"/>
  <c r="T175" i="35"/>
  <c r="U175" i="35"/>
  <c r="V175" i="35"/>
  <c r="W175" i="35"/>
  <c r="X175" i="35"/>
  <c r="Y175" i="35"/>
  <c r="AA175" i="35"/>
  <c r="AB175" i="35"/>
  <c r="AC175" i="35"/>
  <c r="AD175" i="35"/>
  <c r="AE175" i="35"/>
  <c r="AF175" i="35"/>
  <c r="AG175" i="35"/>
  <c r="AH175" i="35"/>
  <c r="AI175" i="35"/>
  <c r="AJ175" i="35"/>
  <c r="AK175" i="35"/>
  <c r="AM175" i="35"/>
  <c r="AN175" i="35"/>
  <c r="AO175" i="35"/>
  <c r="AP175" i="35"/>
  <c r="AQ175" i="35"/>
  <c r="AR175" i="35"/>
  <c r="AS175" i="35"/>
  <c r="A176" i="35"/>
  <c r="C176" i="35"/>
  <c r="D176" i="35"/>
  <c r="E176" i="35"/>
  <c r="F176" i="35"/>
  <c r="G176" i="35"/>
  <c r="H176" i="35"/>
  <c r="I176" i="35"/>
  <c r="J176" i="35"/>
  <c r="K176" i="35"/>
  <c r="L176" i="35"/>
  <c r="M176" i="35"/>
  <c r="O176" i="35"/>
  <c r="P176" i="35"/>
  <c r="Q176" i="35"/>
  <c r="R176" i="35"/>
  <c r="S176" i="35"/>
  <c r="T176" i="35"/>
  <c r="U176" i="35"/>
  <c r="V176" i="35"/>
  <c r="W176" i="35"/>
  <c r="X176" i="35"/>
  <c r="Y176" i="35"/>
  <c r="AA176" i="35"/>
  <c r="AB176" i="35"/>
  <c r="AC176" i="35"/>
  <c r="AD176" i="35"/>
  <c r="AE176" i="35"/>
  <c r="AF176" i="35"/>
  <c r="AG176" i="35"/>
  <c r="AH176" i="35"/>
  <c r="AI176" i="35"/>
  <c r="AJ176" i="35"/>
  <c r="AK176" i="35"/>
  <c r="AM176" i="35"/>
  <c r="AN176" i="35"/>
  <c r="AO176" i="35"/>
  <c r="AP176" i="35"/>
  <c r="AQ176" i="35"/>
  <c r="AR176" i="35"/>
  <c r="AS176" i="35"/>
  <c r="A177" i="35"/>
  <c r="C177" i="35"/>
  <c r="D177" i="35"/>
  <c r="E177" i="35"/>
  <c r="F177" i="35"/>
  <c r="G177" i="35"/>
  <c r="H177" i="35"/>
  <c r="I177" i="35"/>
  <c r="J177" i="35"/>
  <c r="K177" i="35"/>
  <c r="L177" i="35"/>
  <c r="M177" i="35"/>
  <c r="O177" i="35"/>
  <c r="P177" i="35"/>
  <c r="Q177" i="35"/>
  <c r="R177" i="35"/>
  <c r="S177" i="35"/>
  <c r="T177" i="35"/>
  <c r="U177" i="35"/>
  <c r="V177" i="35"/>
  <c r="W177" i="35"/>
  <c r="X177" i="35"/>
  <c r="Y177" i="35"/>
  <c r="AA177" i="35"/>
  <c r="AB177" i="35"/>
  <c r="AC177" i="35"/>
  <c r="AD177" i="35"/>
  <c r="AE177" i="35"/>
  <c r="AF177" i="35"/>
  <c r="AG177" i="35"/>
  <c r="AH177" i="35"/>
  <c r="AI177" i="35"/>
  <c r="AJ177" i="35"/>
  <c r="AK177" i="35"/>
  <c r="AM177" i="35"/>
  <c r="AN177" i="35"/>
  <c r="AO177" i="35"/>
  <c r="AP177" i="35"/>
  <c r="AQ177" i="35"/>
  <c r="AR177" i="35"/>
  <c r="AS177" i="35"/>
  <c r="A178" i="35"/>
  <c r="C178" i="35"/>
  <c r="D178" i="35"/>
  <c r="E178" i="35"/>
  <c r="F178" i="35"/>
  <c r="G178" i="35"/>
  <c r="H178" i="35"/>
  <c r="I178" i="35"/>
  <c r="J178" i="35"/>
  <c r="K178" i="35"/>
  <c r="L178" i="35"/>
  <c r="M178" i="35"/>
  <c r="O178" i="35"/>
  <c r="P178" i="35"/>
  <c r="Q178" i="35"/>
  <c r="R178" i="35"/>
  <c r="S178" i="35"/>
  <c r="T178" i="35"/>
  <c r="U178" i="35"/>
  <c r="V178" i="35"/>
  <c r="W178" i="35"/>
  <c r="X178" i="35"/>
  <c r="Y178" i="35"/>
  <c r="AA178" i="35"/>
  <c r="AB178" i="35"/>
  <c r="AC178" i="35"/>
  <c r="AD178" i="35"/>
  <c r="AE178" i="35"/>
  <c r="AF178" i="35"/>
  <c r="AG178" i="35"/>
  <c r="AH178" i="35"/>
  <c r="AI178" i="35"/>
  <c r="AJ178" i="35"/>
  <c r="AK178" i="35"/>
  <c r="AM178" i="35"/>
  <c r="AN178" i="35"/>
  <c r="AO178" i="35"/>
  <c r="AP178" i="35"/>
  <c r="AQ178" i="35"/>
  <c r="AR178" i="35"/>
  <c r="AS178" i="35"/>
  <c r="A179" i="35"/>
  <c r="C179" i="35"/>
  <c r="D179" i="35"/>
  <c r="E179" i="35"/>
  <c r="F179" i="35"/>
  <c r="G179" i="35"/>
  <c r="H179" i="35"/>
  <c r="I179" i="35"/>
  <c r="J179" i="35"/>
  <c r="K179" i="35"/>
  <c r="L179" i="35"/>
  <c r="M179" i="35"/>
  <c r="O179" i="35"/>
  <c r="P179" i="35"/>
  <c r="Q179" i="35"/>
  <c r="R179" i="35"/>
  <c r="S179" i="35"/>
  <c r="T179" i="35"/>
  <c r="U179" i="35"/>
  <c r="V179" i="35"/>
  <c r="W179" i="35"/>
  <c r="X179" i="35"/>
  <c r="Y179" i="35"/>
  <c r="AA179" i="35"/>
  <c r="AB179" i="35"/>
  <c r="AC179" i="35"/>
  <c r="AD179" i="35"/>
  <c r="AE179" i="35"/>
  <c r="AF179" i="35"/>
  <c r="AG179" i="35"/>
  <c r="AH179" i="35"/>
  <c r="AI179" i="35"/>
  <c r="AJ179" i="35"/>
  <c r="AK179" i="35"/>
  <c r="AM179" i="35"/>
  <c r="AN179" i="35"/>
  <c r="AO179" i="35"/>
  <c r="AP179" i="35"/>
  <c r="AQ179" i="35"/>
  <c r="AR179" i="35"/>
  <c r="AS179" i="35"/>
  <c r="A180" i="35"/>
  <c r="C180" i="35"/>
  <c r="D180" i="35"/>
  <c r="E180" i="35"/>
  <c r="F180" i="35"/>
  <c r="G180" i="35"/>
  <c r="H180" i="35"/>
  <c r="I180" i="35"/>
  <c r="J180" i="35"/>
  <c r="K180" i="35"/>
  <c r="L180" i="35"/>
  <c r="M180" i="35"/>
  <c r="O180" i="35"/>
  <c r="P180" i="35"/>
  <c r="Q180" i="35"/>
  <c r="R180" i="35"/>
  <c r="S180" i="35"/>
  <c r="T180" i="35"/>
  <c r="U180" i="35"/>
  <c r="V180" i="35"/>
  <c r="W180" i="35"/>
  <c r="X180" i="35"/>
  <c r="Y180" i="35"/>
  <c r="AA180" i="35"/>
  <c r="AB180" i="35"/>
  <c r="AC180" i="35"/>
  <c r="AD180" i="35"/>
  <c r="AE180" i="35"/>
  <c r="AF180" i="35"/>
  <c r="AG180" i="35"/>
  <c r="AH180" i="35"/>
  <c r="AI180" i="35"/>
  <c r="AJ180" i="35"/>
  <c r="AK180" i="35"/>
  <c r="AM180" i="35"/>
  <c r="AN180" i="35"/>
  <c r="AO180" i="35"/>
  <c r="AP180" i="35"/>
  <c r="AQ180" i="35"/>
  <c r="AR180" i="35"/>
  <c r="AS180" i="35"/>
  <c r="A181" i="35"/>
  <c r="C181" i="35"/>
  <c r="D181" i="35"/>
  <c r="E181" i="35"/>
  <c r="F181" i="35"/>
  <c r="G181" i="35"/>
  <c r="H181" i="35"/>
  <c r="I181" i="35"/>
  <c r="J181" i="35"/>
  <c r="K181" i="35"/>
  <c r="L181" i="35"/>
  <c r="M181" i="35"/>
  <c r="O181" i="35"/>
  <c r="P181" i="35"/>
  <c r="Q181" i="35"/>
  <c r="R181" i="35"/>
  <c r="S181" i="35"/>
  <c r="T181" i="35"/>
  <c r="U181" i="35"/>
  <c r="V181" i="35"/>
  <c r="W181" i="35"/>
  <c r="X181" i="35"/>
  <c r="Y181" i="35"/>
  <c r="AA181" i="35"/>
  <c r="AB181" i="35"/>
  <c r="AC181" i="35"/>
  <c r="AD181" i="35"/>
  <c r="AE181" i="35"/>
  <c r="AF181" i="35"/>
  <c r="AG181" i="35"/>
  <c r="AH181" i="35"/>
  <c r="AI181" i="35"/>
  <c r="AJ181" i="35"/>
  <c r="AK181" i="35"/>
  <c r="AM181" i="35"/>
  <c r="AN181" i="35"/>
  <c r="AO181" i="35"/>
  <c r="AP181" i="35"/>
  <c r="AQ181" i="35"/>
  <c r="AR181" i="35"/>
  <c r="AS181" i="35"/>
  <c r="A182" i="35"/>
  <c r="C182" i="35"/>
  <c r="D182" i="35"/>
  <c r="E182" i="35"/>
  <c r="F182" i="35"/>
  <c r="G182" i="35"/>
  <c r="H182" i="35"/>
  <c r="I182" i="35"/>
  <c r="J182" i="35"/>
  <c r="K182" i="35"/>
  <c r="L182" i="35"/>
  <c r="M182" i="35"/>
  <c r="O182" i="35"/>
  <c r="P182" i="35"/>
  <c r="Q182" i="35"/>
  <c r="R182" i="35"/>
  <c r="S182" i="35"/>
  <c r="T182" i="35"/>
  <c r="U182" i="35"/>
  <c r="V182" i="35"/>
  <c r="W182" i="35"/>
  <c r="X182" i="35"/>
  <c r="Y182" i="35"/>
  <c r="AA182" i="35"/>
  <c r="AB182" i="35"/>
  <c r="AC182" i="35"/>
  <c r="AD182" i="35"/>
  <c r="AE182" i="35"/>
  <c r="AF182" i="35"/>
  <c r="AG182" i="35"/>
  <c r="AH182" i="35"/>
  <c r="AI182" i="35"/>
  <c r="AJ182" i="35"/>
  <c r="AK182" i="35"/>
  <c r="AM182" i="35"/>
  <c r="AN182" i="35"/>
  <c r="AO182" i="35"/>
  <c r="AP182" i="35"/>
  <c r="AQ182" i="35"/>
  <c r="AR182" i="35"/>
  <c r="AS182" i="35"/>
  <c r="A183" i="35"/>
  <c r="C183" i="35"/>
  <c r="D183" i="35"/>
  <c r="E183" i="35"/>
  <c r="F183" i="35"/>
  <c r="G183" i="35"/>
  <c r="H183" i="35"/>
  <c r="I183" i="35"/>
  <c r="J183" i="35"/>
  <c r="K183" i="35"/>
  <c r="L183" i="35"/>
  <c r="M183" i="35"/>
  <c r="O183" i="35"/>
  <c r="P183" i="35"/>
  <c r="Q183" i="35"/>
  <c r="R183" i="35"/>
  <c r="S183" i="35"/>
  <c r="T183" i="35"/>
  <c r="U183" i="35"/>
  <c r="V183" i="35"/>
  <c r="W183" i="35"/>
  <c r="X183" i="35"/>
  <c r="Y183" i="35"/>
  <c r="AA183" i="35"/>
  <c r="AB183" i="35"/>
  <c r="AC183" i="35"/>
  <c r="AD183" i="35"/>
  <c r="AE183" i="35"/>
  <c r="AF183" i="35"/>
  <c r="AG183" i="35"/>
  <c r="AH183" i="35"/>
  <c r="AI183" i="35"/>
  <c r="AJ183" i="35"/>
  <c r="AK183" i="35"/>
  <c r="AM183" i="35"/>
  <c r="AN183" i="35"/>
  <c r="AO183" i="35"/>
  <c r="AP183" i="35"/>
  <c r="AQ183" i="35"/>
  <c r="AR183" i="35"/>
  <c r="AS183" i="35"/>
  <c r="A184" i="35"/>
  <c r="C184" i="35"/>
  <c r="D184" i="35"/>
  <c r="E184" i="35"/>
  <c r="F184" i="35"/>
  <c r="G184" i="35"/>
  <c r="H184" i="35"/>
  <c r="I184" i="35"/>
  <c r="J184" i="35"/>
  <c r="K184" i="35"/>
  <c r="L184" i="35"/>
  <c r="M184" i="35"/>
  <c r="O184" i="35"/>
  <c r="P184" i="35"/>
  <c r="Q184" i="35"/>
  <c r="R184" i="35"/>
  <c r="S184" i="35"/>
  <c r="T184" i="35"/>
  <c r="U184" i="35"/>
  <c r="V184" i="35"/>
  <c r="W184" i="35"/>
  <c r="X184" i="35"/>
  <c r="Y184" i="35"/>
  <c r="AA184" i="35"/>
  <c r="AB184" i="35"/>
  <c r="AC184" i="35"/>
  <c r="AD184" i="35"/>
  <c r="AE184" i="35"/>
  <c r="AF184" i="35"/>
  <c r="AG184" i="35"/>
  <c r="AH184" i="35"/>
  <c r="AI184" i="35"/>
  <c r="AJ184" i="35"/>
  <c r="AK184" i="35"/>
  <c r="AM184" i="35"/>
  <c r="AN184" i="35"/>
  <c r="AO184" i="35"/>
  <c r="AP184" i="35"/>
  <c r="AQ184" i="35"/>
  <c r="AR184" i="35"/>
  <c r="AS184" i="35"/>
  <c r="A185" i="35"/>
  <c r="C185" i="35"/>
  <c r="D185" i="35"/>
  <c r="E185" i="35"/>
  <c r="F185" i="35"/>
  <c r="G185" i="35"/>
  <c r="H185" i="35"/>
  <c r="I185" i="35"/>
  <c r="J185" i="35"/>
  <c r="K185" i="35"/>
  <c r="L185" i="35"/>
  <c r="M185" i="35"/>
  <c r="O185" i="35"/>
  <c r="P185" i="35"/>
  <c r="Q185" i="35"/>
  <c r="R185" i="35"/>
  <c r="S185" i="35"/>
  <c r="T185" i="35"/>
  <c r="U185" i="35"/>
  <c r="V185" i="35"/>
  <c r="W185" i="35"/>
  <c r="X185" i="35"/>
  <c r="Y185" i="35"/>
  <c r="AA185" i="35"/>
  <c r="AB185" i="35"/>
  <c r="AC185" i="35"/>
  <c r="AD185" i="35"/>
  <c r="AE185" i="35"/>
  <c r="AF185" i="35"/>
  <c r="AG185" i="35"/>
  <c r="AH185" i="35"/>
  <c r="AI185" i="35"/>
  <c r="AJ185" i="35"/>
  <c r="AK185" i="35"/>
  <c r="AM185" i="35"/>
  <c r="AN185" i="35"/>
  <c r="AO185" i="35"/>
  <c r="AP185" i="35"/>
  <c r="AQ185" i="35"/>
  <c r="AR185" i="35"/>
  <c r="AS185" i="35"/>
  <c r="A186" i="35"/>
  <c r="C186" i="35"/>
  <c r="D186" i="35"/>
  <c r="E186" i="35"/>
  <c r="F186" i="35"/>
  <c r="G186" i="35"/>
  <c r="H186" i="35"/>
  <c r="I186" i="35"/>
  <c r="J186" i="35"/>
  <c r="K186" i="35"/>
  <c r="L186" i="35"/>
  <c r="M186" i="35"/>
  <c r="O186" i="35"/>
  <c r="P186" i="35"/>
  <c r="Q186" i="35"/>
  <c r="R186" i="35"/>
  <c r="S186" i="35"/>
  <c r="T186" i="35"/>
  <c r="U186" i="35"/>
  <c r="V186" i="35"/>
  <c r="W186" i="35"/>
  <c r="X186" i="35"/>
  <c r="Y186" i="35"/>
  <c r="AA186" i="35"/>
  <c r="AB186" i="35"/>
  <c r="AC186" i="35"/>
  <c r="AD186" i="35"/>
  <c r="AE186" i="35"/>
  <c r="AF186" i="35"/>
  <c r="AG186" i="35"/>
  <c r="AH186" i="35"/>
  <c r="AI186" i="35"/>
  <c r="AJ186" i="35"/>
  <c r="AK186" i="35"/>
  <c r="AM186" i="35"/>
  <c r="AN186" i="35"/>
  <c r="AO186" i="35"/>
  <c r="AP186" i="35"/>
  <c r="AQ186" i="35"/>
  <c r="AR186" i="35"/>
  <c r="AS186" i="35"/>
  <c r="A187" i="35"/>
  <c r="C187" i="35"/>
  <c r="D187" i="35"/>
  <c r="E187" i="35"/>
  <c r="F187" i="35"/>
  <c r="G187" i="35"/>
  <c r="H187" i="35"/>
  <c r="I187" i="35"/>
  <c r="J187" i="35"/>
  <c r="K187" i="35"/>
  <c r="L187" i="35"/>
  <c r="M187" i="35"/>
  <c r="O187" i="35"/>
  <c r="P187" i="35"/>
  <c r="Q187" i="35"/>
  <c r="R187" i="35"/>
  <c r="S187" i="35"/>
  <c r="T187" i="35"/>
  <c r="U187" i="35"/>
  <c r="V187" i="35"/>
  <c r="W187" i="35"/>
  <c r="X187" i="35"/>
  <c r="Y187" i="35"/>
  <c r="AA187" i="35"/>
  <c r="AB187" i="35"/>
  <c r="AC187" i="35"/>
  <c r="AD187" i="35"/>
  <c r="AE187" i="35"/>
  <c r="AF187" i="35"/>
  <c r="AG187" i="35"/>
  <c r="AH187" i="35"/>
  <c r="AI187" i="35"/>
  <c r="AJ187" i="35"/>
  <c r="AK187" i="35"/>
  <c r="AM187" i="35"/>
  <c r="AN187" i="35"/>
  <c r="AO187" i="35"/>
  <c r="AP187" i="35"/>
  <c r="AQ187" i="35"/>
  <c r="AR187" i="35"/>
  <c r="AS187" i="35"/>
  <c r="A188" i="35"/>
  <c r="C188" i="35"/>
  <c r="D188" i="35"/>
  <c r="E188" i="35"/>
  <c r="F188" i="35"/>
  <c r="G188" i="35"/>
  <c r="H188" i="35"/>
  <c r="I188" i="35"/>
  <c r="J188" i="35"/>
  <c r="K188" i="35"/>
  <c r="L188" i="35"/>
  <c r="M188" i="35"/>
  <c r="O188" i="35"/>
  <c r="P188" i="35"/>
  <c r="Q188" i="35"/>
  <c r="R188" i="35"/>
  <c r="S188" i="35"/>
  <c r="T188" i="35"/>
  <c r="U188" i="35"/>
  <c r="V188" i="35"/>
  <c r="W188" i="35"/>
  <c r="X188" i="35"/>
  <c r="Y188" i="35"/>
  <c r="AA188" i="35"/>
  <c r="AB188" i="35"/>
  <c r="AC188" i="35"/>
  <c r="AD188" i="35"/>
  <c r="AE188" i="35"/>
  <c r="AF188" i="35"/>
  <c r="AG188" i="35"/>
  <c r="AH188" i="35"/>
  <c r="AI188" i="35"/>
  <c r="AJ188" i="35"/>
  <c r="AK188" i="35"/>
  <c r="AM188" i="35"/>
  <c r="AN188" i="35"/>
  <c r="AO188" i="35"/>
  <c r="AP188" i="35"/>
  <c r="AQ188" i="35"/>
  <c r="AR188" i="35"/>
  <c r="AS188" i="35"/>
  <c r="A189" i="35"/>
  <c r="C189" i="35"/>
  <c r="D189" i="35"/>
  <c r="E189" i="35"/>
  <c r="F189" i="35"/>
  <c r="G189" i="35"/>
  <c r="H189" i="35"/>
  <c r="I189" i="35"/>
  <c r="J189" i="35"/>
  <c r="K189" i="35"/>
  <c r="L189" i="35"/>
  <c r="M189" i="35"/>
  <c r="O189" i="35"/>
  <c r="P189" i="35"/>
  <c r="Q189" i="35"/>
  <c r="R189" i="35"/>
  <c r="S189" i="35"/>
  <c r="T189" i="35"/>
  <c r="U189" i="35"/>
  <c r="V189" i="35"/>
  <c r="W189" i="35"/>
  <c r="X189" i="35"/>
  <c r="Y189" i="35"/>
  <c r="AA189" i="35"/>
  <c r="AB189" i="35"/>
  <c r="AC189" i="35"/>
  <c r="AD189" i="35"/>
  <c r="AE189" i="35"/>
  <c r="AF189" i="35"/>
  <c r="AG189" i="35"/>
  <c r="AH189" i="35"/>
  <c r="AI189" i="35"/>
  <c r="AJ189" i="35"/>
  <c r="AK189" i="35"/>
  <c r="AM189" i="35"/>
  <c r="AN189" i="35"/>
  <c r="AO189" i="35"/>
  <c r="AP189" i="35"/>
  <c r="AQ189" i="35"/>
  <c r="AR189" i="35"/>
  <c r="AS189" i="35"/>
  <c r="A190" i="35"/>
  <c r="C190" i="35"/>
  <c r="D190" i="35"/>
  <c r="E190" i="35"/>
  <c r="F190" i="35"/>
  <c r="G190" i="35"/>
  <c r="H190" i="35"/>
  <c r="I190" i="35"/>
  <c r="J190" i="35"/>
  <c r="K190" i="35"/>
  <c r="L190" i="35"/>
  <c r="M190" i="35"/>
  <c r="O190" i="35"/>
  <c r="P190" i="35"/>
  <c r="Q190" i="35"/>
  <c r="R190" i="35"/>
  <c r="S190" i="35"/>
  <c r="T190" i="35"/>
  <c r="U190" i="35"/>
  <c r="V190" i="35"/>
  <c r="W190" i="35"/>
  <c r="X190" i="35"/>
  <c r="Y190" i="35"/>
  <c r="AA190" i="35"/>
  <c r="AB190" i="35"/>
  <c r="AC190" i="35"/>
  <c r="AD190" i="35"/>
  <c r="AE190" i="35"/>
  <c r="AF190" i="35"/>
  <c r="AG190" i="35"/>
  <c r="AH190" i="35"/>
  <c r="AI190" i="35"/>
  <c r="AJ190" i="35"/>
  <c r="AK190" i="35"/>
  <c r="AM190" i="35"/>
  <c r="AN190" i="35"/>
  <c r="AO190" i="35"/>
  <c r="AP190" i="35"/>
  <c r="AQ190" i="35"/>
  <c r="AR190" i="35"/>
  <c r="AS190" i="35"/>
  <c r="A191" i="35"/>
  <c r="C191" i="35"/>
  <c r="D191" i="35"/>
  <c r="E191" i="35"/>
  <c r="F191" i="35"/>
  <c r="G191" i="35"/>
  <c r="H191" i="35"/>
  <c r="I191" i="35"/>
  <c r="J191" i="35"/>
  <c r="K191" i="35"/>
  <c r="L191" i="35"/>
  <c r="M191" i="35"/>
  <c r="O191" i="35"/>
  <c r="P191" i="35"/>
  <c r="Q191" i="35"/>
  <c r="R191" i="35"/>
  <c r="S191" i="35"/>
  <c r="T191" i="35"/>
  <c r="U191" i="35"/>
  <c r="V191" i="35"/>
  <c r="W191" i="35"/>
  <c r="X191" i="35"/>
  <c r="Y191" i="35"/>
  <c r="AA191" i="35"/>
  <c r="AB191" i="35"/>
  <c r="AC191" i="35"/>
  <c r="AD191" i="35"/>
  <c r="AE191" i="35"/>
  <c r="AF191" i="35"/>
  <c r="AG191" i="35"/>
  <c r="AH191" i="35"/>
  <c r="AI191" i="35"/>
  <c r="AJ191" i="35"/>
  <c r="AK191" i="35"/>
  <c r="AM191" i="35"/>
  <c r="AN191" i="35"/>
  <c r="AO191" i="35"/>
  <c r="AP191" i="35"/>
  <c r="AQ191" i="35"/>
  <c r="AR191" i="35"/>
  <c r="AS191" i="35"/>
  <c r="A192" i="35"/>
  <c r="C192" i="35"/>
  <c r="D192" i="35"/>
  <c r="E192" i="35"/>
  <c r="F192" i="35"/>
  <c r="G192" i="35"/>
  <c r="H192" i="35"/>
  <c r="I192" i="35"/>
  <c r="J192" i="35"/>
  <c r="K192" i="35"/>
  <c r="L192" i="35"/>
  <c r="M192" i="35"/>
  <c r="O192" i="35"/>
  <c r="P192" i="35"/>
  <c r="Q192" i="35"/>
  <c r="R192" i="35"/>
  <c r="S192" i="35"/>
  <c r="T192" i="35"/>
  <c r="U192" i="35"/>
  <c r="V192" i="35"/>
  <c r="W192" i="35"/>
  <c r="X192" i="35"/>
  <c r="Y192" i="35"/>
  <c r="AA192" i="35"/>
  <c r="AB192" i="35"/>
  <c r="AC192" i="35"/>
  <c r="AD192" i="35"/>
  <c r="AE192" i="35"/>
  <c r="AF192" i="35"/>
  <c r="AG192" i="35"/>
  <c r="AH192" i="35"/>
  <c r="AI192" i="35"/>
  <c r="AJ192" i="35"/>
  <c r="AK192" i="35"/>
  <c r="AM192" i="35"/>
  <c r="AN192" i="35"/>
  <c r="AO192" i="35"/>
  <c r="AP192" i="35"/>
  <c r="AQ192" i="35"/>
  <c r="AR192" i="35"/>
  <c r="AS192" i="35"/>
  <c r="A193" i="35"/>
  <c r="C193" i="35"/>
  <c r="D193" i="35"/>
  <c r="E193" i="35"/>
  <c r="F193" i="35"/>
  <c r="G193" i="35"/>
  <c r="H193" i="35"/>
  <c r="I193" i="35"/>
  <c r="J193" i="35"/>
  <c r="K193" i="35"/>
  <c r="L193" i="35"/>
  <c r="M193" i="35"/>
  <c r="O193" i="35"/>
  <c r="P193" i="35"/>
  <c r="Q193" i="35"/>
  <c r="R193" i="35"/>
  <c r="S193" i="35"/>
  <c r="T193" i="35"/>
  <c r="U193" i="35"/>
  <c r="V193" i="35"/>
  <c r="W193" i="35"/>
  <c r="X193" i="35"/>
  <c r="Y193" i="35"/>
  <c r="AA193" i="35"/>
  <c r="AB193" i="35"/>
  <c r="AC193" i="35"/>
  <c r="AD193" i="35"/>
  <c r="AE193" i="35"/>
  <c r="AF193" i="35"/>
  <c r="AG193" i="35"/>
  <c r="AH193" i="35"/>
  <c r="AI193" i="35"/>
  <c r="AJ193" i="35"/>
  <c r="AK193" i="35"/>
  <c r="AM193" i="35"/>
  <c r="AN193" i="35"/>
  <c r="AO193" i="35"/>
  <c r="AP193" i="35"/>
  <c r="AQ193" i="35"/>
  <c r="AR193" i="35"/>
  <c r="AS193" i="35"/>
  <c r="A194" i="35"/>
  <c r="C194" i="35"/>
  <c r="D194" i="35"/>
  <c r="E194" i="35"/>
  <c r="F194" i="35"/>
  <c r="G194" i="35"/>
  <c r="H194" i="35"/>
  <c r="I194" i="35"/>
  <c r="J194" i="35"/>
  <c r="K194" i="35"/>
  <c r="L194" i="35"/>
  <c r="M194" i="35"/>
  <c r="O194" i="35"/>
  <c r="P194" i="35"/>
  <c r="Q194" i="35"/>
  <c r="R194" i="35"/>
  <c r="S194" i="35"/>
  <c r="T194" i="35"/>
  <c r="U194" i="35"/>
  <c r="V194" i="35"/>
  <c r="W194" i="35"/>
  <c r="X194" i="35"/>
  <c r="Y194" i="35"/>
  <c r="AA194" i="35"/>
  <c r="AB194" i="35"/>
  <c r="AC194" i="35"/>
  <c r="AD194" i="35"/>
  <c r="AE194" i="35"/>
  <c r="AF194" i="35"/>
  <c r="AG194" i="35"/>
  <c r="AH194" i="35"/>
  <c r="AI194" i="35"/>
  <c r="AJ194" i="35"/>
  <c r="AK194" i="35"/>
  <c r="AM194" i="35"/>
  <c r="AN194" i="35"/>
  <c r="AO194" i="35"/>
  <c r="AP194" i="35"/>
  <c r="AQ194" i="35"/>
  <c r="AR194" i="35"/>
  <c r="AS194" i="35"/>
  <c r="A195" i="35"/>
  <c r="C195" i="35"/>
  <c r="D195" i="35"/>
  <c r="E195" i="35"/>
  <c r="F195" i="35"/>
  <c r="G195" i="35"/>
  <c r="H195" i="35"/>
  <c r="I195" i="35"/>
  <c r="J195" i="35"/>
  <c r="K195" i="35"/>
  <c r="L195" i="35"/>
  <c r="M195" i="35"/>
  <c r="O195" i="35"/>
  <c r="P195" i="35"/>
  <c r="Q195" i="35"/>
  <c r="R195" i="35"/>
  <c r="S195" i="35"/>
  <c r="T195" i="35"/>
  <c r="U195" i="35"/>
  <c r="V195" i="35"/>
  <c r="W195" i="35"/>
  <c r="X195" i="35"/>
  <c r="Y195" i="35"/>
  <c r="AA195" i="35"/>
  <c r="AB195" i="35"/>
  <c r="AC195" i="35"/>
  <c r="AD195" i="35"/>
  <c r="AE195" i="35"/>
  <c r="AF195" i="35"/>
  <c r="AG195" i="35"/>
  <c r="AH195" i="35"/>
  <c r="AI195" i="35"/>
  <c r="AJ195" i="35"/>
  <c r="AK195" i="35"/>
  <c r="AM195" i="35"/>
  <c r="AN195" i="35"/>
  <c r="AO195" i="35"/>
  <c r="AP195" i="35"/>
  <c r="AQ195" i="35"/>
  <c r="AR195" i="35"/>
  <c r="AS195" i="35"/>
  <c r="A196" i="35"/>
  <c r="C196" i="35"/>
  <c r="D196" i="35"/>
  <c r="E196" i="35"/>
  <c r="F196" i="35"/>
  <c r="G196" i="35"/>
  <c r="H196" i="35"/>
  <c r="I196" i="35"/>
  <c r="J196" i="35"/>
  <c r="K196" i="35"/>
  <c r="L196" i="35"/>
  <c r="M196" i="35"/>
  <c r="O196" i="35"/>
  <c r="P196" i="35"/>
  <c r="Q196" i="35"/>
  <c r="R196" i="35"/>
  <c r="S196" i="35"/>
  <c r="T196" i="35"/>
  <c r="U196" i="35"/>
  <c r="V196" i="35"/>
  <c r="W196" i="35"/>
  <c r="X196" i="35"/>
  <c r="Y196" i="35"/>
  <c r="AA196" i="35"/>
  <c r="AB196" i="35"/>
  <c r="AC196" i="35"/>
  <c r="AD196" i="35"/>
  <c r="AE196" i="35"/>
  <c r="AF196" i="35"/>
  <c r="AG196" i="35"/>
  <c r="AH196" i="35"/>
  <c r="AI196" i="35"/>
  <c r="AJ196" i="35"/>
  <c r="AK196" i="35"/>
  <c r="AM196" i="35"/>
  <c r="AN196" i="35"/>
  <c r="AO196" i="35"/>
  <c r="AP196" i="35"/>
  <c r="AQ196" i="35"/>
  <c r="AR196" i="35"/>
  <c r="AS196" i="35"/>
  <c r="A197" i="35"/>
  <c r="C197" i="35"/>
  <c r="D197" i="35"/>
  <c r="E197" i="35"/>
  <c r="F197" i="35"/>
  <c r="G197" i="35"/>
  <c r="H197" i="35"/>
  <c r="I197" i="35"/>
  <c r="J197" i="35"/>
  <c r="K197" i="35"/>
  <c r="L197" i="35"/>
  <c r="M197" i="35"/>
  <c r="O197" i="35"/>
  <c r="P197" i="35"/>
  <c r="Q197" i="35"/>
  <c r="R197" i="35"/>
  <c r="S197" i="35"/>
  <c r="T197" i="35"/>
  <c r="U197" i="35"/>
  <c r="V197" i="35"/>
  <c r="W197" i="35"/>
  <c r="X197" i="35"/>
  <c r="Y197" i="35"/>
  <c r="AA197" i="35"/>
  <c r="AB197" i="35"/>
  <c r="AC197" i="35"/>
  <c r="AD197" i="35"/>
  <c r="AE197" i="35"/>
  <c r="AF197" i="35"/>
  <c r="AG197" i="35"/>
  <c r="AH197" i="35"/>
  <c r="AI197" i="35"/>
  <c r="AJ197" i="35"/>
  <c r="AK197" i="35"/>
  <c r="AM197" i="35"/>
  <c r="AN197" i="35"/>
  <c r="AO197" i="35"/>
  <c r="AP197" i="35"/>
  <c r="AQ197" i="35"/>
  <c r="AR197" i="35"/>
  <c r="AS197" i="35"/>
  <c r="A198" i="35"/>
  <c r="C198" i="35"/>
  <c r="D198" i="35"/>
  <c r="E198" i="35"/>
  <c r="F198" i="35"/>
  <c r="G198" i="35"/>
  <c r="H198" i="35"/>
  <c r="I198" i="35"/>
  <c r="J198" i="35"/>
  <c r="K198" i="35"/>
  <c r="L198" i="35"/>
  <c r="M198" i="35"/>
  <c r="O198" i="35"/>
  <c r="P198" i="35"/>
  <c r="Q198" i="35"/>
  <c r="R198" i="35"/>
  <c r="S198" i="35"/>
  <c r="T198" i="35"/>
  <c r="U198" i="35"/>
  <c r="V198" i="35"/>
  <c r="W198" i="35"/>
  <c r="X198" i="35"/>
  <c r="Y198" i="35"/>
  <c r="AA198" i="35"/>
  <c r="AB198" i="35"/>
  <c r="AC198" i="35"/>
  <c r="AD198" i="35"/>
  <c r="AE198" i="35"/>
  <c r="AF198" i="35"/>
  <c r="AG198" i="35"/>
  <c r="AH198" i="35"/>
  <c r="AI198" i="35"/>
  <c r="AJ198" i="35"/>
  <c r="AK198" i="35"/>
  <c r="AM198" i="35"/>
  <c r="AN198" i="35"/>
  <c r="AO198" i="35"/>
  <c r="AP198" i="35"/>
  <c r="AQ198" i="35"/>
  <c r="AR198" i="35"/>
  <c r="AS198" i="35"/>
  <c r="A199" i="35"/>
  <c r="C199" i="35"/>
  <c r="D199" i="35"/>
  <c r="E199" i="35"/>
  <c r="F199" i="35"/>
  <c r="G199" i="35"/>
  <c r="H199" i="35"/>
  <c r="I199" i="35"/>
  <c r="J199" i="35"/>
  <c r="K199" i="35"/>
  <c r="L199" i="35"/>
  <c r="M199" i="35"/>
  <c r="O199" i="35"/>
  <c r="P199" i="35"/>
  <c r="Q199" i="35"/>
  <c r="R199" i="35"/>
  <c r="S199" i="35"/>
  <c r="T199" i="35"/>
  <c r="U199" i="35"/>
  <c r="V199" i="35"/>
  <c r="W199" i="35"/>
  <c r="X199" i="35"/>
  <c r="Y199" i="35"/>
  <c r="AA199" i="35"/>
  <c r="AB199" i="35"/>
  <c r="AC199" i="35"/>
  <c r="AD199" i="35"/>
  <c r="AE199" i="35"/>
  <c r="AF199" i="35"/>
  <c r="AG199" i="35"/>
  <c r="AH199" i="35"/>
  <c r="AI199" i="35"/>
  <c r="AJ199" i="35"/>
  <c r="AK199" i="35"/>
  <c r="AM199" i="35"/>
  <c r="AN199" i="35"/>
  <c r="AO199" i="35"/>
  <c r="AP199" i="35"/>
  <c r="AQ199" i="35"/>
  <c r="AR199" i="35"/>
  <c r="AS199" i="35"/>
  <c r="A200" i="35"/>
  <c r="C200" i="35"/>
  <c r="D200" i="35"/>
  <c r="E200" i="35"/>
  <c r="F200" i="35"/>
  <c r="G200" i="35"/>
  <c r="H200" i="35"/>
  <c r="I200" i="35"/>
  <c r="J200" i="35"/>
  <c r="K200" i="35"/>
  <c r="L200" i="35"/>
  <c r="M200" i="35"/>
  <c r="O200" i="35"/>
  <c r="P200" i="35"/>
  <c r="Q200" i="35"/>
  <c r="R200" i="35"/>
  <c r="S200" i="35"/>
  <c r="T200" i="35"/>
  <c r="U200" i="35"/>
  <c r="V200" i="35"/>
  <c r="W200" i="35"/>
  <c r="X200" i="35"/>
  <c r="Y200" i="35"/>
  <c r="AA200" i="35"/>
  <c r="AB200" i="35"/>
  <c r="AC200" i="35"/>
  <c r="AD200" i="35"/>
  <c r="AE200" i="35"/>
  <c r="AF200" i="35"/>
  <c r="AG200" i="35"/>
  <c r="AH200" i="35"/>
  <c r="AI200" i="35"/>
  <c r="AJ200" i="35"/>
  <c r="AK200" i="35"/>
  <c r="AM200" i="35"/>
  <c r="AN200" i="35"/>
  <c r="AO200" i="35"/>
  <c r="AP200" i="35"/>
  <c r="AQ200" i="35"/>
  <c r="AR200" i="35"/>
  <c r="AS200" i="35"/>
  <c r="A201" i="35"/>
  <c r="C201" i="35"/>
  <c r="D201" i="35"/>
  <c r="E201" i="35"/>
  <c r="F201" i="35"/>
  <c r="G201" i="35"/>
  <c r="H201" i="35"/>
  <c r="I201" i="35"/>
  <c r="J201" i="35"/>
  <c r="K201" i="35"/>
  <c r="L201" i="35"/>
  <c r="M201" i="35"/>
  <c r="O201" i="35"/>
  <c r="P201" i="35"/>
  <c r="Q201" i="35"/>
  <c r="R201" i="35"/>
  <c r="S201" i="35"/>
  <c r="T201" i="35"/>
  <c r="U201" i="35"/>
  <c r="V201" i="35"/>
  <c r="W201" i="35"/>
  <c r="X201" i="35"/>
  <c r="Y201" i="35"/>
  <c r="AA201" i="35"/>
  <c r="AB201" i="35"/>
  <c r="AC201" i="35"/>
  <c r="AD201" i="35"/>
  <c r="AE201" i="35"/>
  <c r="AF201" i="35"/>
  <c r="AG201" i="35"/>
  <c r="AH201" i="35"/>
  <c r="AI201" i="35"/>
  <c r="AJ201" i="35"/>
  <c r="AK201" i="35"/>
  <c r="AM201" i="35"/>
  <c r="AN201" i="35"/>
  <c r="AO201" i="35"/>
  <c r="AP201" i="35"/>
  <c r="AQ201" i="35"/>
  <c r="AR201" i="35"/>
  <c r="AS201" i="35"/>
  <c r="A202" i="35"/>
  <c r="C202" i="35"/>
  <c r="D202" i="35"/>
  <c r="E202" i="35"/>
  <c r="F202" i="35"/>
  <c r="G202" i="35"/>
  <c r="H202" i="35"/>
  <c r="I202" i="35"/>
  <c r="J202" i="35"/>
  <c r="K202" i="35"/>
  <c r="L202" i="35"/>
  <c r="M202" i="35"/>
  <c r="O202" i="35"/>
  <c r="P202" i="35"/>
  <c r="Q202" i="35"/>
  <c r="R202" i="35"/>
  <c r="S202" i="35"/>
  <c r="T202" i="35"/>
  <c r="U202" i="35"/>
  <c r="V202" i="35"/>
  <c r="W202" i="35"/>
  <c r="X202" i="35"/>
  <c r="Y202" i="35"/>
  <c r="AA202" i="35"/>
  <c r="AB202" i="35"/>
  <c r="AC202" i="35"/>
  <c r="AD202" i="35"/>
  <c r="AE202" i="35"/>
  <c r="AF202" i="35"/>
  <c r="AG202" i="35"/>
  <c r="AH202" i="35"/>
  <c r="AI202" i="35"/>
  <c r="AJ202" i="35"/>
  <c r="AK202" i="35"/>
  <c r="AM202" i="35"/>
  <c r="AN202" i="35"/>
  <c r="AO202" i="35"/>
  <c r="AP202" i="35"/>
  <c r="AQ202" i="35"/>
  <c r="AR202" i="35"/>
  <c r="AS202" i="35"/>
  <c r="A203" i="35"/>
  <c r="C203" i="35"/>
  <c r="D203" i="35"/>
  <c r="E203" i="35"/>
  <c r="F203" i="35"/>
  <c r="G203" i="35"/>
  <c r="H203" i="35"/>
  <c r="I203" i="35"/>
  <c r="J203" i="35"/>
  <c r="K203" i="35"/>
  <c r="L203" i="35"/>
  <c r="M203" i="35"/>
  <c r="O203" i="35"/>
  <c r="P203" i="35"/>
  <c r="Q203" i="35"/>
  <c r="R203" i="35"/>
  <c r="S203" i="35"/>
  <c r="T203" i="35"/>
  <c r="U203" i="35"/>
  <c r="V203" i="35"/>
  <c r="W203" i="35"/>
  <c r="X203" i="35"/>
  <c r="Y203" i="35"/>
  <c r="AA203" i="35"/>
  <c r="AB203" i="35"/>
  <c r="AC203" i="35"/>
  <c r="AD203" i="35"/>
  <c r="AE203" i="35"/>
  <c r="AF203" i="35"/>
  <c r="AG203" i="35"/>
  <c r="AH203" i="35"/>
  <c r="AI203" i="35"/>
  <c r="AJ203" i="35"/>
  <c r="AK203" i="35"/>
  <c r="AM203" i="35"/>
  <c r="AN203" i="35"/>
  <c r="AO203" i="35"/>
  <c r="AP203" i="35"/>
  <c r="AQ203" i="35"/>
  <c r="AR203" i="35"/>
  <c r="AS203" i="35"/>
  <c r="A204" i="35"/>
  <c r="C204" i="35"/>
  <c r="D204" i="35"/>
  <c r="E204" i="35"/>
  <c r="F204" i="35"/>
  <c r="G204" i="35"/>
  <c r="H204" i="35"/>
  <c r="I204" i="35"/>
  <c r="J204" i="35"/>
  <c r="K204" i="35"/>
  <c r="L204" i="35"/>
  <c r="M204" i="35"/>
  <c r="O204" i="35"/>
  <c r="P204" i="35"/>
  <c r="Q204" i="35"/>
  <c r="R204" i="35"/>
  <c r="S204" i="35"/>
  <c r="T204" i="35"/>
  <c r="U204" i="35"/>
  <c r="V204" i="35"/>
  <c r="W204" i="35"/>
  <c r="X204" i="35"/>
  <c r="Y204" i="35"/>
  <c r="AA204" i="35"/>
  <c r="AB204" i="35"/>
  <c r="AC204" i="35"/>
  <c r="AD204" i="35"/>
  <c r="AE204" i="35"/>
  <c r="AF204" i="35"/>
  <c r="AG204" i="35"/>
  <c r="AH204" i="35"/>
  <c r="AI204" i="35"/>
  <c r="AJ204" i="35"/>
  <c r="AK204" i="35"/>
  <c r="AM204" i="35"/>
  <c r="AN204" i="35"/>
  <c r="AO204" i="35"/>
  <c r="AP204" i="35"/>
  <c r="AQ204" i="35"/>
  <c r="AR204" i="35"/>
  <c r="AS204" i="35"/>
  <c r="A205" i="35"/>
  <c r="C205" i="35"/>
  <c r="D205" i="35"/>
  <c r="E205" i="35"/>
  <c r="F205" i="35"/>
  <c r="G205" i="35"/>
  <c r="H205" i="35"/>
  <c r="I205" i="35"/>
  <c r="J205" i="35"/>
  <c r="K205" i="35"/>
  <c r="L205" i="35"/>
  <c r="M205" i="35"/>
  <c r="O205" i="35"/>
  <c r="P205" i="35"/>
  <c r="Q205" i="35"/>
  <c r="R205" i="35"/>
  <c r="S205" i="35"/>
  <c r="T205" i="35"/>
  <c r="U205" i="35"/>
  <c r="V205" i="35"/>
  <c r="W205" i="35"/>
  <c r="X205" i="35"/>
  <c r="Y205" i="35"/>
  <c r="AA205" i="35"/>
  <c r="AB205" i="35"/>
  <c r="AC205" i="35"/>
  <c r="AD205" i="35"/>
  <c r="AE205" i="35"/>
  <c r="AF205" i="35"/>
  <c r="AG205" i="35"/>
  <c r="AH205" i="35"/>
  <c r="AI205" i="35"/>
  <c r="AJ205" i="35"/>
  <c r="AK205" i="35"/>
  <c r="AM205" i="35"/>
  <c r="AN205" i="35"/>
  <c r="AO205" i="35"/>
  <c r="AP205" i="35"/>
  <c r="AQ205" i="35"/>
  <c r="AR205" i="35"/>
  <c r="AS205" i="35"/>
  <c r="A206" i="35"/>
  <c r="C206" i="35"/>
  <c r="D206" i="35"/>
  <c r="E206" i="35"/>
  <c r="F206" i="35"/>
  <c r="G206" i="35"/>
  <c r="H206" i="35"/>
  <c r="I206" i="35"/>
  <c r="J206" i="35"/>
  <c r="K206" i="35"/>
  <c r="L206" i="35"/>
  <c r="M206" i="35"/>
  <c r="O206" i="35"/>
  <c r="P206" i="35"/>
  <c r="Q206" i="35"/>
  <c r="R206" i="35"/>
  <c r="S206" i="35"/>
  <c r="T206" i="35"/>
  <c r="U206" i="35"/>
  <c r="V206" i="35"/>
  <c r="W206" i="35"/>
  <c r="X206" i="35"/>
  <c r="Y206" i="35"/>
  <c r="AA206" i="35"/>
  <c r="AB206" i="35"/>
  <c r="AC206" i="35"/>
  <c r="AD206" i="35"/>
  <c r="AE206" i="35"/>
  <c r="AF206" i="35"/>
  <c r="AG206" i="35"/>
  <c r="AH206" i="35"/>
  <c r="AI206" i="35"/>
  <c r="AJ206" i="35"/>
  <c r="AK206" i="35"/>
  <c r="AM206" i="35"/>
  <c r="AN206" i="35"/>
  <c r="AO206" i="35"/>
  <c r="AP206" i="35"/>
  <c r="AQ206" i="35"/>
  <c r="AR206" i="35"/>
  <c r="AS206" i="35"/>
  <c r="A207" i="35"/>
  <c r="C207" i="35"/>
  <c r="D207" i="35"/>
  <c r="E207" i="35"/>
  <c r="F207" i="35"/>
  <c r="G207" i="35"/>
  <c r="H207" i="35"/>
  <c r="I207" i="35"/>
  <c r="J207" i="35"/>
  <c r="K207" i="35"/>
  <c r="L207" i="35"/>
  <c r="M207" i="35"/>
  <c r="O207" i="35"/>
  <c r="P207" i="35"/>
  <c r="Q207" i="35"/>
  <c r="R207" i="35"/>
  <c r="S207" i="35"/>
  <c r="T207" i="35"/>
  <c r="U207" i="35"/>
  <c r="V207" i="35"/>
  <c r="W207" i="35"/>
  <c r="X207" i="35"/>
  <c r="Y207" i="35"/>
  <c r="AA207" i="35"/>
  <c r="AB207" i="35"/>
  <c r="AC207" i="35"/>
  <c r="AD207" i="35"/>
  <c r="AE207" i="35"/>
  <c r="AF207" i="35"/>
  <c r="AG207" i="35"/>
  <c r="AH207" i="35"/>
  <c r="AI207" i="35"/>
  <c r="AJ207" i="35"/>
  <c r="AK207" i="35"/>
  <c r="AM207" i="35"/>
  <c r="AN207" i="35"/>
  <c r="AO207" i="35"/>
  <c r="AP207" i="35"/>
  <c r="AQ207" i="35"/>
  <c r="AR207" i="35"/>
  <c r="AS207" i="35"/>
  <c r="A208" i="35"/>
  <c r="C208" i="35"/>
  <c r="D208" i="35"/>
  <c r="E208" i="35"/>
  <c r="F208" i="35"/>
  <c r="G208" i="35"/>
  <c r="H208" i="35"/>
  <c r="I208" i="35"/>
  <c r="J208" i="35"/>
  <c r="K208" i="35"/>
  <c r="L208" i="35"/>
  <c r="M208" i="35"/>
  <c r="O208" i="35"/>
  <c r="P208" i="35"/>
  <c r="Q208" i="35"/>
  <c r="R208" i="35"/>
  <c r="S208" i="35"/>
  <c r="T208" i="35"/>
  <c r="U208" i="35"/>
  <c r="V208" i="35"/>
  <c r="W208" i="35"/>
  <c r="X208" i="35"/>
  <c r="Y208" i="35"/>
  <c r="AA208" i="35"/>
  <c r="AB208" i="35"/>
  <c r="AC208" i="35"/>
  <c r="AD208" i="35"/>
  <c r="AE208" i="35"/>
  <c r="AF208" i="35"/>
  <c r="AG208" i="35"/>
  <c r="AH208" i="35"/>
  <c r="AI208" i="35"/>
  <c r="AJ208" i="35"/>
  <c r="AK208" i="35"/>
  <c r="AM208" i="35"/>
  <c r="AN208" i="35"/>
  <c r="AO208" i="35"/>
  <c r="AP208" i="35"/>
  <c r="AQ208" i="35"/>
  <c r="AR208" i="35"/>
  <c r="AS208" i="35"/>
  <c r="A209" i="35"/>
  <c r="C209" i="35"/>
  <c r="D209" i="35"/>
  <c r="E209" i="35"/>
  <c r="F209" i="35"/>
  <c r="G209" i="35"/>
  <c r="H209" i="35"/>
  <c r="I209" i="35"/>
  <c r="J209" i="35"/>
  <c r="K209" i="35"/>
  <c r="L209" i="35"/>
  <c r="M209" i="35"/>
  <c r="O209" i="35"/>
  <c r="P209" i="35"/>
  <c r="Q209" i="35"/>
  <c r="R209" i="35"/>
  <c r="S209" i="35"/>
  <c r="T209" i="35"/>
  <c r="U209" i="35"/>
  <c r="V209" i="35"/>
  <c r="W209" i="35"/>
  <c r="X209" i="35"/>
  <c r="Y209" i="35"/>
  <c r="AA209" i="35"/>
  <c r="AB209" i="35"/>
  <c r="AC209" i="35"/>
  <c r="AD209" i="35"/>
  <c r="AE209" i="35"/>
  <c r="AF209" i="35"/>
  <c r="AG209" i="35"/>
  <c r="AH209" i="35"/>
  <c r="AI209" i="35"/>
  <c r="AJ209" i="35"/>
  <c r="AK209" i="35"/>
  <c r="AM209" i="35"/>
  <c r="AN209" i="35"/>
  <c r="AO209" i="35"/>
  <c r="AP209" i="35"/>
  <c r="AQ209" i="35"/>
  <c r="AR209" i="35"/>
  <c r="AS209" i="35"/>
  <c r="A210" i="35"/>
  <c r="C210" i="35"/>
  <c r="D210" i="35"/>
  <c r="E210" i="35"/>
  <c r="F210" i="35"/>
  <c r="G210" i="35"/>
  <c r="H210" i="35"/>
  <c r="I210" i="35"/>
  <c r="J210" i="35"/>
  <c r="K210" i="35"/>
  <c r="L210" i="35"/>
  <c r="M210" i="35"/>
  <c r="O210" i="35"/>
  <c r="P210" i="35"/>
  <c r="Q210" i="35"/>
  <c r="R210" i="35"/>
  <c r="S210" i="35"/>
  <c r="T210" i="35"/>
  <c r="U210" i="35"/>
  <c r="V210" i="35"/>
  <c r="W210" i="35"/>
  <c r="X210" i="35"/>
  <c r="Y210" i="35"/>
  <c r="AA210" i="35"/>
  <c r="AB210" i="35"/>
  <c r="AC210" i="35"/>
  <c r="AD210" i="35"/>
  <c r="AE210" i="35"/>
  <c r="AF210" i="35"/>
  <c r="AG210" i="35"/>
  <c r="AH210" i="35"/>
  <c r="AI210" i="35"/>
  <c r="AJ210" i="35"/>
  <c r="AK210" i="35"/>
  <c r="AM210" i="35"/>
  <c r="AN210" i="35"/>
  <c r="AO210" i="35"/>
  <c r="AP210" i="35"/>
  <c r="AQ210" i="35"/>
  <c r="AR210" i="35"/>
  <c r="AS210" i="35"/>
  <c r="A211" i="35"/>
  <c r="C211" i="35"/>
  <c r="D211" i="35"/>
  <c r="E211" i="35"/>
  <c r="F211" i="35"/>
  <c r="G211" i="35"/>
  <c r="H211" i="35"/>
  <c r="I211" i="35"/>
  <c r="J211" i="35"/>
  <c r="K211" i="35"/>
  <c r="L211" i="35"/>
  <c r="M211" i="35"/>
  <c r="O211" i="35"/>
  <c r="P211" i="35"/>
  <c r="Q211" i="35"/>
  <c r="R211" i="35"/>
  <c r="S211" i="35"/>
  <c r="T211" i="35"/>
  <c r="U211" i="35"/>
  <c r="V211" i="35"/>
  <c r="W211" i="35"/>
  <c r="X211" i="35"/>
  <c r="Y211" i="35"/>
  <c r="AA211" i="35"/>
  <c r="AB211" i="35"/>
  <c r="AC211" i="35"/>
  <c r="AD211" i="35"/>
  <c r="AE211" i="35"/>
  <c r="AF211" i="35"/>
  <c r="AG211" i="35"/>
  <c r="AH211" i="35"/>
  <c r="AI211" i="35"/>
  <c r="AJ211" i="35"/>
  <c r="AK211" i="35"/>
  <c r="AM211" i="35"/>
  <c r="AN211" i="35"/>
  <c r="AO211" i="35"/>
  <c r="AP211" i="35"/>
  <c r="AQ211" i="35"/>
  <c r="AR211" i="35"/>
  <c r="AS211" i="35"/>
  <c r="A212" i="35"/>
  <c r="C212" i="35"/>
  <c r="D212" i="35"/>
  <c r="E212" i="35"/>
  <c r="F212" i="35"/>
  <c r="G212" i="35"/>
  <c r="H212" i="35"/>
  <c r="I212" i="35"/>
  <c r="J212" i="35"/>
  <c r="K212" i="35"/>
  <c r="L212" i="35"/>
  <c r="M212" i="35"/>
  <c r="O212" i="35"/>
  <c r="P212" i="35"/>
  <c r="Q212" i="35"/>
  <c r="R212" i="35"/>
  <c r="S212" i="35"/>
  <c r="T212" i="35"/>
  <c r="U212" i="35"/>
  <c r="V212" i="35"/>
  <c r="W212" i="35"/>
  <c r="X212" i="35"/>
  <c r="Y212" i="35"/>
  <c r="AA212" i="35"/>
  <c r="AB212" i="35"/>
  <c r="AC212" i="35"/>
  <c r="AD212" i="35"/>
  <c r="AE212" i="35"/>
  <c r="AF212" i="35"/>
  <c r="AG212" i="35"/>
  <c r="AH212" i="35"/>
  <c r="AI212" i="35"/>
  <c r="AJ212" i="35"/>
  <c r="AK212" i="35"/>
  <c r="AM212" i="35"/>
  <c r="AN212" i="35"/>
  <c r="AO212" i="35"/>
  <c r="AP212" i="35"/>
  <c r="AQ212" i="35"/>
  <c r="AR212" i="35"/>
  <c r="AS212" i="35"/>
  <c r="A213" i="35"/>
  <c r="C213" i="35"/>
  <c r="D213" i="35"/>
  <c r="E213" i="35"/>
  <c r="F213" i="35"/>
  <c r="G213" i="35"/>
  <c r="H213" i="35"/>
  <c r="I213" i="35"/>
  <c r="J213" i="35"/>
  <c r="K213" i="35"/>
  <c r="L213" i="35"/>
  <c r="M213" i="35"/>
  <c r="O213" i="35"/>
  <c r="P213" i="35"/>
  <c r="Q213" i="35"/>
  <c r="R213" i="35"/>
  <c r="S213" i="35"/>
  <c r="T213" i="35"/>
  <c r="U213" i="35"/>
  <c r="V213" i="35"/>
  <c r="W213" i="35"/>
  <c r="X213" i="35"/>
  <c r="Y213" i="35"/>
  <c r="AA213" i="35"/>
  <c r="AB213" i="35"/>
  <c r="AC213" i="35"/>
  <c r="AD213" i="35"/>
  <c r="AE213" i="35"/>
  <c r="AF213" i="35"/>
  <c r="AG213" i="35"/>
  <c r="AH213" i="35"/>
  <c r="AI213" i="35"/>
  <c r="AJ213" i="35"/>
  <c r="AK213" i="35"/>
  <c r="AM213" i="35"/>
  <c r="AN213" i="35"/>
  <c r="AO213" i="35"/>
  <c r="AP213" i="35"/>
  <c r="AQ213" i="35"/>
  <c r="AR213" i="35"/>
  <c r="AS213" i="35"/>
  <c r="A214" i="35"/>
  <c r="C214" i="35"/>
  <c r="D214" i="35"/>
  <c r="E214" i="35"/>
  <c r="F214" i="35"/>
  <c r="G214" i="35"/>
  <c r="H214" i="35"/>
  <c r="I214" i="35"/>
  <c r="J214" i="35"/>
  <c r="K214" i="35"/>
  <c r="L214" i="35"/>
  <c r="M214" i="35"/>
  <c r="O214" i="35"/>
  <c r="P214" i="35"/>
  <c r="Q214" i="35"/>
  <c r="R214" i="35"/>
  <c r="S214" i="35"/>
  <c r="T214" i="35"/>
  <c r="U214" i="35"/>
  <c r="V214" i="35"/>
  <c r="W214" i="35"/>
  <c r="X214" i="35"/>
  <c r="Y214" i="35"/>
  <c r="AA214" i="35"/>
  <c r="AB214" i="35"/>
  <c r="AC214" i="35"/>
  <c r="AD214" i="35"/>
  <c r="AE214" i="35"/>
  <c r="AF214" i="35"/>
  <c r="AG214" i="35"/>
  <c r="AH214" i="35"/>
  <c r="AI214" i="35"/>
  <c r="AJ214" i="35"/>
  <c r="AK214" i="35"/>
  <c r="AM214" i="35"/>
  <c r="AN214" i="35"/>
  <c r="AO214" i="35"/>
  <c r="AP214" i="35"/>
  <c r="AQ214" i="35"/>
  <c r="AR214" i="35"/>
  <c r="AS214" i="35"/>
  <c r="A215" i="35"/>
  <c r="C215" i="35"/>
  <c r="D215" i="35"/>
  <c r="E215" i="35"/>
  <c r="F215" i="35"/>
  <c r="G215" i="35"/>
  <c r="H215" i="35"/>
  <c r="I215" i="35"/>
  <c r="J215" i="35"/>
  <c r="K215" i="35"/>
  <c r="L215" i="35"/>
  <c r="M215" i="35"/>
  <c r="O215" i="35"/>
  <c r="P215" i="35"/>
  <c r="Q215" i="35"/>
  <c r="R215" i="35"/>
  <c r="S215" i="35"/>
  <c r="T215" i="35"/>
  <c r="U215" i="35"/>
  <c r="V215" i="35"/>
  <c r="W215" i="35"/>
  <c r="X215" i="35"/>
  <c r="Y215" i="35"/>
  <c r="AA215" i="35"/>
  <c r="AB215" i="35"/>
  <c r="AC215" i="35"/>
  <c r="AD215" i="35"/>
  <c r="AE215" i="35"/>
  <c r="AF215" i="35"/>
  <c r="AG215" i="35"/>
  <c r="AH215" i="35"/>
  <c r="AI215" i="35"/>
  <c r="AJ215" i="35"/>
  <c r="AK215" i="35"/>
  <c r="AM215" i="35"/>
  <c r="AN215" i="35"/>
  <c r="AO215" i="35"/>
  <c r="AP215" i="35"/>
  <c r="AQ215" i="35"/>
  <c r="AR215" i="35"/>
  <c r="AS215" i="35"/>
  <c r="A216" i="35"/>
  <c r="C216" i="35"/>
  <c r="D216" i="35"/>
  <c r="E216" i="35"/>
  <c r="F216" i="35"/>
  <c r="G216" i="35"/>
  <c r="H216" i="35"/>
  <c r="I216" i="35"/>
  <c r="J216" i="35"/>
  <c r="K216" i="35"/>
  <c r="L216" i="35"/>
  <c r="M216" i="35"/>
  <c r="O216" i="35"/>
  <c r="P216" i="35"/>
  <c r="Q216" i="35"/>
  <c r="R216" i="35"/>
  <c r="S216" i="35"/>
  <c r="T216" i="35"/>
  <c r="U216" i="35"/>
  <c r="V216" i="35"/>
  <c r="W216" i="35"/>
  <c r="X216" i="35"/>
  <c r="Y216" i="35"/>
  <c r="AA216" i="35"/>
  <c r="AB216" i="35"/>
  <c r="AC216" i="35"/>
  <c r="AD216" i="35"/>
  <c r="AE216" i="35"/>
  <c r="AF216" i="35"/>
  <c r="AG216" i="35"/>
  <c r="AH216" i="35"/>
  <c r="AI216" i="35"/>
  <c r="AJ216" i="35"/>
  <c r="AK216" i="35"/>
  <c r="AM216" i="35"/>
  <c r="AN216" i="35"/>
  <c r="AO216" i="35"/>
  <c r="AP216" i="35"/>
  <c r="AQ216" i="35"/>
  <c r="AR216" i="35"/>
  <c r="AS216" i="35"/>
  <c r="A217" i="35"/>
  <c r="C217" i="35"/>
  <c r="D217" i="35"/>
  <c r="E217" i="35"/>
  <c r="F217" i="35"/>
  <c r="G217" i="35"/>
  <c r="H217" i="35"/>
  <c r="I217" i="35"/>
  <c r="J217" i="35"/>
  <c r="K217" i="35"/>
  <c r="L217" i="35"/>
  <c r="M217" i="35"/>
  <c r="O217" i="35"/>
  <c r="P217" i="35"/>
  <c r="Q217" i="35"/>
  <c r="R217" i="35"/>
  <c r="S217" i="35"/>
  <c r="T217" i="35"/>
  <c r="U217" i="35"/>
  <c r="V217" i="35"/>
  <c r="W217" i="35"/>
  <c r="X217" i="35"/>
  <c r="Y217" i="35"/>
  <c r="AA217" i="35"/>
  <c r="AB217" i="35"/>
  <c r="AC217" i="35"/>
  <c r="AD217" i="35"/>
  <c r="AE217" i="35"/>
  <c r="AF217" i="35"/>
  <c r="AG217" i="35"/>
  <c r="AH217" i="35"/>
  <c r="AI217" i="35"/>
  <c r="AJ217" i="35"/>
  <c r="AK217" i="35"/>
  <c r="AM217" i="35"/>
  <c r="AN217" i="35"/>
  <c r="AO217" i="35"/>
  <c r="AP217" i="35"/>
  <c r="AQ217" i="35"/>
  <c r="AR217" i="35"/>
  <c r="AS217" i="35"/>
  <c r="A218" i="35"/>
  <c r="C218" i="35"/>
  <c r="D218" i="35"/>
  <c r="E218" i="35"/>
  <c r="F218" i="35"/>
  <c r="G218" i="35"/>
  <c r="H218" i="35"/>
  <c r="I218" i="35"/>
  <c r="J218" i="35"/>
  <c r="K218" i="35"/>
  <c r="L218" i="35"/>
  <c r="M218" i="35"/>
  <c r="O218" i="35"/>
  <c r="P218" i="35"/>
  <c r="Q218" i="35"/>
  <c r="R218" i="35"/>
  <c r="S218" i="35"/>
  <c r="T218" i="35"/>
  <c r="U218" i="35"/>
  <c r="V218" i="35"/>
  <c r="W218" i="35"/>
  <c r="X218" i="35"/>
  <c r="Y218" i="35"/>
  <c r="AA218" i="35"/>
  <c r="AB218" i="35"/>
  <c r="AC218" i="35"/>
  <c r="AD218" i="35"/>
  <c r="AE218" i="35"/>
  <c r="AF218" i="35"/>
  <c r="AG218" i="35"/>
  <c r="AH218" i="35"/>
  <c r="AI218" i="35"/>
  <c r="AJ218" i="35"/>
  <c r="AK218" i="35"/>
  <c r="AM218" i="35"/>
  <c r="AN218" i="35"/>
  <c r="AO218" i="35"/>
  <c r="AP218" i="35"/>
  <c r="AQ218" i="35"/>
  <c r="AR218" i="35"/>
  <c r="AS218" i="35"/>
  <c r="A219" i="35"/>
  <c r="C219" i="35"/>
  <c r="D219" i="35"/>
  <c r="E219" i="35"/>
  <c r="F219" i="35"/>
  <c r="G219" i="35"/>
  <c r="H219" i="35"/>
  <c r="I219" i="35"/>
  <c r="J219" i="35"/>
  <c r="K219" i="35"/>
  <c r="L219" i="35"/>
  <c r="M219" i="35"/>
  <c r="O219" i="35"/>
  <c r="P219" i="35"/>
  <c r="Q219" i="35"/>
  <c r="R219" i="35"/>
  <c r="S219" i="35"/>
  <c r="T219" i="35"/>
  <c r="U219" i="35"/>
  <c r="V219" i="35"/>
  <c r="W219" i="35"/>
  <c r="X219" i="35"/>
  <c r="Y219" i="35"/>
  <c r="AA219" i="35"/>
  <c r="AB219" i="35"/>
  <c r="AC219" i="35"/>
  <c r="AD219" i="35"/>
  <c r="AE219" i="35"/>
  <c r="AF219" i="35"/>
  <c r="AG219" i="35"/>
  <c r="AH219" i="35"/>
  <c r="AI219" i="35"/>
  <c r="AJ219" i="35"/>
  <c r="AK219" i="35"/>
  <c r="AM219" i="35"/>
  <c r="AN219" i="35"/>
  <c r="AO219" i="35"/>
  <c r="AP219" i="35"/>
  <c r="AQ219" i="35"/>
  <c r="AR219" i="35"/>
  <c r="AS219" i="35"/>
  <c r="A220" i="35"/>
  <c r="C220" i="35"/>
  <c r="D220" i="35"/>
  <c r="E220" i="35"/>
  <c r="F220" i="35"/>
  <c r="G220" i="35"/>
  <c r="H220" i="35"/>
  <c r="I220" i="35"/>
  <c r="J220" i="35"/>
  <c r="K220" i="35"/>
  <c r="L220" i="35"/>
  <c r="M220" i="35"/>
  <c r="O220" i="35"/>
  <c r="P220" i="35"/>
  <c r="Q220" i="35"/>
  <c r="R220" i="35"/>
  <c r="S220" i="35"/>
  <c r="T220" i="35"/>
  <c r="U220" i="35"/>
  <c r="V220" i="35"/>
  <c r="W220" i="35"/>
  <c r="X220" i="35"/>
  <c r="Y220" i="35"/>
  <c r="AA220" i="35"/>
  <c r="AB220" i="35"/>
  <c r="AC220" i="35"/>
  <c r="AD220" i="35"/>
  <c r="AE220" i="35"/>
  <c r="AF220" i="35"/>
  <c r="AG220" i="35"/>
  <c r="AH220" i="35"/>
  <c r="AI220" i="35"/>
  <c r="AJ220" i="35"/>
  <c r="AK220" i="35"/>
  <c r="AM220" i="35"/>
  <c r="AN220" i="35"/>
  <c r="AO220" i="35"/>
  <c r="AP220" i="35"/>
  <c r="AQ220" i="35"/>
  <c r="AR220" i="35"/>
  <c r="AS220" i="35"/>
  <c r="A221" i="35"/>
  <c r="C221" i="35"/>
  <c r="D221" i="35"/>
  <c r="E221" i="35"/>
  <c r="F221" i="35"/>
  <c r="G221" i="35"/>
  <c r="H221" i="35"/>
  <c r="I221" i="35"/>
  <c r="J221" i="35"/>
  <c r="K221" i="35"/>
  <c r="L221" i="35"/>
  <c r="M221" i="35"/>
  <c r="O221" i="35"/>
  <c r="P221" i="35"/>
  <c r="Q221" i="35"/>
  <c r="R221" i="35"/>
  <c r="S221" i="35"/>
  <c r="T221" i="35"/>
  <c r="U221" i="35"/>
  <c r="V221" i="35"/>
  <c r="W221" i="35"/>
  <c r="X221" i="35"/>
  <c r="Y221" i="35"/>
  <c r="AA221" i="35"/>
  <c r="AB221" i="35"/>
  <c r="AC221" i="35"/>
  <c r="AD221" i="35"/>
  <c r="AE221" i="35"/>
  <c r="AF221" i="35"/>
  <c r="AG221" i="35"/>
  <c r="AH221" i="35"/>
  <c r="AI221" i="35"/>
  <c r="AJ221" i="35"/>
  <c r="AK221" i="35"/>
  <c r="AM221" i="35"/>
  <c r="AN221" i="35"/>
  <c r="AO221" i="35"/>
  <c r="AP221" i="35"/>
  <c r="AQ221" i="35"/>
  <c r="AR221" i="35"/>
  <c r="AS221" i="35"/>
  <c r="A222" i="35"/>
  <c r="C222" i="35"/>
  <c r="D222" i="35"/>
  <c r="E222" i="35"/>
  <c r="F222" i="35"/>
  <c r="G222" i="35"/>
  <c r="H222" i="35"/>
  <c r="I222" i="35"/>
  <c r="J222" i="35"/>
  <c r="K222" i="35"/>
  <c r="L222" i="35"/>
  <c r="M222" i="35"/>
  <c r="O222" i="35"/>
  <c r="P222" i="35"/>
  <c r="Q222" i="35"/>
  <c r="R222" i="35"/>
  <c r="S222" i="35"/>
  <c r="T222" i="35"/>
  <c r="U222" i="35"/>
  <c r="V222" i="35"/>
  <c r="W222" i="35"/>
  <c r="X222" i="35"/>
  <c r="Y222" i="35"/>
  <c r="AA222" i="35"/>
  <c r="AB222" i="35"/>
  <c r="AC222" i="35"/>
  <c r="AD222" i="35"/>
  <c r="AE222" i="35"/>
  <c r="AF222" i="35"/>
  <c r="AG222" i="35"/>
  <c r="AH222" i="35"/>
  <c r="AI222" i="35"/>
  <c r="AJ222" i="35"/>
  <c r="AK222" i="35"/>
  <c r="AM222" i="35"/>
  <c r="AN222" i="35"/>
  <c r="AO222" i="35"/>
  <c r="AP222" i="35"/>
  <c r="AQ222" i="35"/>
  <c r="AR222" i="35"/>
  <c r="AS222" i="35"/>
  <c r="A223" i="35"/>
  <c r="C223" i="35"/>
  <c r="D223" i="35"/>
  <c r="E223" i="35"/>
  <c r="F223" i="35"/>
  <c r="G223" i="35"/>
  <c r="H223" i="35"/>
  <c r="I223" i="35"/>
  <c r="J223" i="35"/>
  <c r="K223" i="35"/>
  <c r="L223" i="35"/>
  <c r="M223" i="35"/>
  <c r="O223" i="35"/>
  <c r="P223" i="35"/>
  <c r="Q223" i="35"/>
  <c r="R223" i="35"/>
  <c r="S223" i="35"/>
  <c r="T223" i="35"/>
  <c r="U223" i="35"/>
  <c r="V223" i="35"/>
  <c r="W223" i="35"/>
  <c r="X223" i="35"/>
  <c r="Y223" i="35"/>
  <c r="AA223" i="35"/>
  <c r="AB223" i="35"/>
  <c r="AC223" i="35"/>
  <c r="AD223" i="35"/>
  <c r="AE223" i="35"/>
  <c r="AF223" i="35"/>
  <c r="AG223" i="35"/>
  <c r="AH223" i="35"/>
  <c r="AI223" i="35"/>
  <c r="AJ223" i="35"/>
  <c r="AK223" i="35"/>
  <c r="AM223" i="35"/>
  <c r="AN223" i="35"/>
  <c r="AO223" i="35"/>
  <c r="AP223" i="35"/>
  <c r="AQ223" i="35"/>
  <c r="AR223" i="35"/>
  <c r="AS223" i="35"/>
  <c r="A224" i="35"/>
  <c r="C224" i="35"/>
  <c r="D224" i="35"/>
  <c r="E224" i="35"/>
  <c r="F224" i="35"/>
  <c r="G224" i="35"/>
  <c r="H224" i="35"/>
  <c r="I224" i="35"/>
  <c r="J224" i="35"/>
  <c r="K224" i="35"/>
  <c r="L224" i="35"/>
  <c r="M224" i="35"/>
  <c r="O224" i="35"/>
  <c r="P224" i="35"/>
  <c r="Q224" i="35"/>
  <c r="R224" i="35"/>
  <c r="S224" i="35"/>
  <c r="T224" i="35"/>
  <c r="U224" i="35"/>
  <c r="V224" i="35"/>
  <c r="W224" i="35"/>
  <c r="X224" i="35"/>
  <c r="Y224" i="35"/>
  <c r="AA224" i="35"/>
  <c r="AB224" i="35"/>
  <c r="AC224" i="35"/>
  <c r="AD224" i="35"/>
  <c r="AE224" i="35"/>
  <c r="AF224" i="35"/>
  <c r="AG224" i="35"/>
  <c r="AH224" i="35"/>
  <c r="AI224" i="35"/>
  <c r="AJ224" i="35"/>
  <c r="AK224" i="35"/>
  <c r="AM224" i="35"/>
  <c r="AN224" i="35"/>
  <c r="AO224" i="35"/>
  <c r="AP224" i="35"/>
  <c r="AQ224" i="35"/>
  <c r="AR224" i="35"/>
  <c r="AS224" i="35"/>
  <c r="A225" i="35"/>
  <c r="C225" i="35"/>
  <c r="D225" i="35"/>
  <c r="E225" i="35"/>
  <c r="F225" i="35"/>
  <c r="G225" i="35"/>
  <c r="H225" i="35"/>
  <c r="I225" i="35"/>
  <c r="J225" i="35"/>
  <c r="K225" i="35"/>
  <c r="L225" i="35"/>
  <c r="M225" i="35"/>
  <c r="O225" i="35"/>
  <c r="P225" i="35"/>
  <c r="Q225" i="35"/>
  <c r="R225" i="35"/>
  <c r="S225" i="35"/>
  <c r="T225" i="35"/>
  <c r="U225" i="35"/>
  <c r="V225" i="35"/>
  <c r="W225" i="35"/>
  <c r="X225" i="35"/>
  <c r="Y225" i="35"/>
  <c r="AA225" i="35"/>
  <c r="AB225" i="35"/>
  <c r="AC225" i="35"/>
  <c r="AD225" i="35"/>
  <c r="AE225" i="35"/>
  <c r="AF225" i="35"/>
  <c r="AG225" i="35"/>
  <c r="AH225" i="35"/>
  <c r="AI225" i="35"/>
  <c r="AJ225" i="35"/>
  <c r="AK225" i="35"/>
  <c r="AM225" i="35"/>
  <c r="AN225" i="35"/>
  <c r="AO225" i="35"/>
  <c r="AP225" i="35"/>
  <c r="AQ225" i="35"/>
  <c r="AR225" i="35"/>
  <c r="AS225" i="35"/>
  <c r="A226" i="35"/>
  <c r="C226" i="35"/>
  <c r="D226" i="35"/>
  <c r="E226" i="35"/>
  <c r="F226" i="35"/>
  <c r="G226" i="35"/>
  <c r="H226" i="35"/>
  <c r="I226" i="35"/>
  <c r="J226" i="35"/>
  <c r="K226" i="35"/>
  <c r="L226" i="35"/>
  <c r="M226" i="35"/>
  <c r="O226" i="35"/>
  <c r="P226" i="35"/>
  <c r="Q226" i="35"/>
  <c r="R226" i="35"/>
  <c r="S226" i="35"/>
  <c r="T226" i="35"/>
  <c r="U226" i="35"/>
  <c r="V226" i="35"/>
  <c r="W226" i="35"/>
  <c r="X226" i="35"/>
  <c r="Y226" i="35"/>
  <c r="AA226" i="35"/>
  <c r="AB226" i="35"/>
  <c r="AC226" i="35"/>
  <c r="AD226" i="35"/>
  <c r="AE226" i="35"/>
  <c r="AF226" i="35"/>
  <c r="AG226" i="35"/>
  <c r="AH226" i="35"/>
  <c r="AI226" i="35"/>
  <c r="AJ226" i="35"/>
  <c r="AK226" i="35"/>
  <c r="AM226" i="35"/>
  <c r="AN226" i="35"/>
  <c r="AO226" i="35"/>
  <c r="AP226" i="35"/>
  <c r="AQ226" i="35"/>
  <c r="AR226" i="35"/>
  <c r="AS226" i="35"/>
  <c r="A227" i="35"/>
  <c r="C227" i="35"/>
  <c r="D227" i="35"/>
  <c r="E227" i="35"/>
  <c r="F227" i="35"/>
  <c r="G227" i="35"/>
  <c r="H227" i="35"/>
  <c r="I227" i="35"/>
  <c r="J227" i="35"/>
  <c r="K227" i="35"/>
  <c r="L227" i="35"/>
  <c r="M227" i="35"/>
  <c r="O227" i="35"/>
  <c r="P227" i="35"/>
  <c r="Q227" i="35"/>
  <c r="R227" i="35"/>
  <c r="S227" i="35"/>
  <c r="T227" i="35"/>
  <c r="U227" i="35"/>
  <c r="V227" i="35"/>
  <c r="W227" i="35"/>
  <c r="X227" i="35"/>
  <c r="Y227" i="35"/>
  <c r="AA227" i="35"/>
  <c r="AB227" i="35"/>
  <c r="AC227" i="35"/>
  <c r="AD227" i="35"/>
  <c r="AE227" i="35"/>
  <c r="AF227" i="35"/>
  <c r="AG227" i="35"/>
  <c r="AH227" i="35"/>
  <c r="AI227" i="35"/>
  <c r="AJ227" i="35"/>
  <c r="AK227" i="35"/>
  <c r="AM227" i="35"/>
  <c r="AN227" i="35"/>
  <c r="AO227" i="35"/>
  <c r="AP227" i="35"/>
  <c r="AQ227" i="35"/>
  <c r="AR227" i="35"/>
  <c r="AS227" i="35"/>
  <c r="A228" i="35"/>
  <c r="C228" i="35"/>
  <c r="D228" i="35"/>
  <c r="E228" i="35"/>
  <c r="F228" i="35"/>
  <c r="G228" i="35"/>
  <c r="H228" i="35"/>
  <c r="I228" i="35"/>
  <c r="J228" i="35"/>
  <c r="K228" i="35"/>
  <c r="L228" i="35"/>
  <c r="M228" i="35"/>
  <c r="O228" i="35"/>
  <c r="P228" i="35"/>
  <c r="Q228" i="35"/>
  <c r="R228" i="35"/>
  <c r="S228" i="35"/>
  <c r="T228" i="35"/>
  <c r="U228" i="35"/>
  <c r="V228" i="35"/>
  <c r="W228" i="35"/>
  <c r="X228" i="35"/>
  <c r="Y228" i="35"/>
  <c r="AA228" i="35"/>
  <c r="AB228" i="35"/>
  <c r="AC228" i="35"/>
  <c r="AD228" i="35"/>
  <c r="AE228" i="35"/>
  <c r="AF228" i="35"/>
  <c r="AG228" i="35"/>
  <c r="AH228" i="35"/>
  <c r="AI228" i="35"/>
  <c r="AJ228" i="35"/>
  <c r="AK228" i="35"/>
  <c r="AM228" i="35"/>
  <c r="AN228" i="35"/>
  <c r="AO228" i="35"/>
  <c r="AP228" i="35"/>
  <c r="AQ228" i="35"/>
  <c r="AR228" i="35"/>
  <c r="AS228" i="35"/>
  <c r="A229" i="35"/>
  <c r="C229" i="35"/>
  <c r="D229" i="35"/>
  <c r="E229" i="35"/>
  <c r="F229" i="35"/>
  <c r="G229" i="35"/>
  <c r="H229" i="35"/>
  <c r="I229" i="35"/>
  <c r="J229" i="35"/>
  <c r="K229" i="35"/>
  <c r="L229" i="35"/>
  <c r="M229" i="35"/>
  <c r="O229" i="35"/>
  <c r="P229" i="35"/>
  <c r="Q229" i="35"/>
  <c r="R229" i="35"/>
  <c r="S229" i="35"/>
  <c r="T229" i="35"/>
  <c r="U229" i="35"/>
  <c r="V229" i="35"/>
  <c r="W229" i="35"/>
  <c r="X229" i="35"/>
  <c r="Y229" i="35"/>
  <c r="AA229" i="35"/>
  <c r="AB229" i="35"/>
  <c r="AC229" i="35"/>
  <c r="AD229" i="35"/>
  <c r="AE229" i="35"/>
  <c r="AF229" i="35"/>
  <c r="AG229" i="35"/>
  <c r="AH229" i="35"/>
  <c r="AI229" i="35"/>
  <c r="AJ229" i="35"/>
  <c r="AK229" i="35"/>
  <c r="AM229" i="35"/>
  <c r="AN229" i="35"/>
  <c r="AO229" i="35"/>
  <c r="AP229" i="35"/>
  <c r="AQ229" i="35"/>
  <c r="AR229" i="35"/>
  <c r="AS229" i="35"/>
  <c r="A230" i="35"/>
  <c r="C230" i="35"/>
  <c r="D230" i="35"/>
  <c r="E230" i="35"/>
  <c r="F230" i="35"/>
  <c r="G230" i="35"/>
  <c r="H230" i="35"/>
  <c r="I230" i="35"/>
  <c r="J230" i="35"/>
  <c r="K230" i="35"/>
  <c r="L230" i="35"/>
  <c r="M230" i="35"/>
  <c r="O230" i="35"/>
  <c r="P230" i="35"/>
  <c r="Q230" i="35"/>
  <c r="R230" i="35"/>
  <c r="S230" i="35"/>
  <c r="T230" i="35"/>
  <c r="U230" i="35"/>
  <c r="V230" i="35"/>
  <c r="W230" i="35"/>
  <c r="X230" i="35"/>
  <c r="Y230" i="35"/>
  <c r="AA230" i="35"/>
  <c r="AB230" i="35"/>
  <c r="AC230" i="35"/>
  <c r="AD230" i="35"/>
  <c r="AE230" i="35"/>
  <c r="AF230" i="35"/>
  <c r="AG230" i="35"/>
  <c r="AH230" i="35"/>
  <c r="AI230" i="35"/>
  <c r="AJ230" i="35"/>
  <c r="AK230" i="35"/>
  <c r="AM230" i="35"/>
  <c r="AN230" i="35"/>
  <c r="AO230" i="35"/>
  <c r="AP230" i="35"/>
  <c r="AQ230" i="35"/>
  <c r="AR230" i="35"/>
  <c r="AS230" i="35"/>
  <c r="A231" i="35"/>
  <c r="C231" i="35"/>
  <c r="D231" i="35"/>
  <c r="E231" i="35"/>
  <c r="F231" i="35"/>
  <c r="G231" i="35"/>
  <c r="H231" i="35"/>
  <c r="I231" i="35"/>
  <c r="J231" i="35"/>
  <c r="K231" i="35"/>
  <c r="L231" i="35"/>
  <c r="M231" i="35"/>
  <c r="O231" i="35"/>
  <c r="P231" i="35"/>
  <c r="Q231" i="35"/>
  <c r="R231" i="35"/>
  <c r="S231" i="35"/>
  <c r="T231" i="35"/>
  <c r="U231" i="35"/>
  <c r="V231" i="35"/>
  <c r="W231" i="35"/>
  <c r="X231" i="35"/>
  <c r="Y231" i="35"/>
  <c r="AA231" i="35"/>
  <c r="AB231" i="35"/>
  <c r="AC231" i="35"/>
  <c r="AD231" i="35"/>
  <c r="AE231" i="35"/>
  <c r="AF231" i="35"/>
  <c r="AG231" i="35"/>
  <c r="AH231" i="35"/>
  <c r="AI231" i="35"/>
  <c r="AJ231" i="35"/>
  <c r="AK231" i="35"/>
  <c r="AM231" i="35"/>
  <c r="AN231" i="35"/>
  <c r="AO231" i="35"/>
  <c r="AP231" i="35"/>
  <c r="AQ231" i="35"/>
  <c r="AR231" i="35"/>
  <c r="AS231" i="35"/>
  <c r="A232" i="35"/>
  <c r="C232" i="35"/>
  <c r="D232" i="35"/>
  <c r="E232" i="35"/>
  <c r="F232" i="35"/>
  <c r="G232" i="35"/>
  <c r="H232" i="35"/>
  <c r="I232" i="35"/>
  <c r="J232" i="35"/>
  <c r="K232" i="35"/>
  <c r="L232" i="35"/>
  <c r="M232" i="35"/>
  <c r="O232" i="35"/>
  <c r="P232" i="35"/>
  <c r="Q232" i="35"/>
  <c r="R232" i="35"/>
  <c r="S232" i="35"/>
  <c r="T232" i="35"/>
  <c r="U232" i="35"/>
  <c r="V232" i="35"/>
  <c r="W232" i="35"/>
  <c r="X232" i="35"/>
  <c r="Y232" i="35"/>
  <c r="AA232" i="35"/>
  <c r="AB232" i="35"/>
  <c r="AC232" i="35"/>
  <c r="AD232" i="35"/>
  <c r="AE232" i="35"/>
  <c r="AF232" i="35"/>
  <c r="AG232" i="35"/>
  <c r="AH232" i="35"/>
  <c r="AI232" i="35"/>
  <c r="AJ232" i="35"/>
  <c r="AK232" i="35"/>
  <c r="AM232" i="35"/>
  <c r="AN232" i="35"/>
  <c r="AO232" i="35"/>
  <c r="AP232" i="35"/>
  <c r="AQ232" i="35"/>
  <c r="AR232" i="35"/>
  <c r="AS232" i="35"/>
  <c r="A233" i="35"/>
  <c r="C233" i="35"/>
  <c r="D233" i="35"/>
  <c r="E233" i="35"/>
  <c r="F233" i="35"/>
  <c r="G233" i="35"/>
  <c r="H233" i="35"/>
  <c r="I233" i="35"/>
  <c r="J233" i="35"/>
  <c r="K233" i="35"/>
  <c r="L233" i="35"/>
  <c r="M233" i="35"/>
  <c r="O233" i="35"/>
  <c r="P233" i="35"/>
  <c r="Q233" i="35"/>
  <c r="R233" i="35"/>
  <c r="S233" i="35"/>
  <c r="T233" i="35"/>
  <c r="U233" i="35"/>
  <c r="V233" i="35"/>
  <c r="W233" i="35"/>
  <c r="X233" i="35"/>
  <c r="Y233" i="35"/>
  <c r="AA233" i="35"/>
  <c r="AB233" i="35"/>
  <c r="AC233" i="35"/>
  <c r="AD233" i="35"/>
  <c r="AE233" i="35"/>
  <c r="AF233" i="35"/>
  <c r="AG233" i="35"/>
  <c r="AH233" i="35"/>
  <c r="AI233" i="35"/>
  <c r="AJ233" i="35"/>
  <c r="AK233" i="35"/>
  <c r="AM233" i="35"/>
  <c r="AN233" i="35"/>
  <c r="AO233" i="35"/>
  <c r="AP233" i="35"/>
  <c r="AQ233" i="35"/>
  <c r="AR233" i="35"/>
  <c r="AS233" i="35"/>
  <c r="A234" i="35"/>
  <c r="C234" i="35"/>
  <c r="D234" i="35"/>
  <c r="E234" i="35"/>
  <c r="F234" i="35"/>
  <c r="G234" i="35"/>
  <c r="H234" i="35"/>
  <c r="I234" i="35"/>
  <c r="J234" i="35"/>
  <c r="K234" i="35"/>
  <c r="L234" i="35"/>
  <c r="M234" i="35"/>
  <c r="O234" i="35"/>
  <c r="P234" i="35"/>
  <c r="Q234" i="35"/>
  <c r="R234" i="35"/>
  <c r="S234" i="35"/>
  <c r="T234" i="35"/>
  <c r="U234" i="35"/>
  <c r="V234" i="35"/>
  <c r="W234" i="35"/>
  <c r="X234" i="35"/>
  <c r="Y234" i="35"/>
  <c r="AA234" i="35"/>
  <c r="AB234" i="35"/>
  <c r="AC234" i="35"/>
  <c r="AD234" i="35"/>
  <c r="AE234" i="35"/>
  <c r="AF234" i="35"/>
  <c r="AG234" i="35"/>
  <c r="AH234" i="35"/>
  <c r="AI234" i="35"/>
  <c r="AJ234" i="35"/>
  <c r="AK234" i="35"/>
  <c r="AM234" i="35"/>
  <c r="AN234" i="35"/>
  <c r="AO234" i="35"/>
  <c r="AP234" i="35"/>
  <c r="AQ234" i="35"/>
  <c r="AR234" i="35"/>
  <c r="AS234" i="35"/>
  <c r="A235" i="35"/>
  <c r="C235" i="35"/>
  <c r="D235" i="35"/>
  <c r="E235" i="35"/>
  <c r="F235" i="35"/>
  <c r="G235" i="35"/>
  <c r="H235" i="35"/>
  <c r="I235" i="35"/>
  <c r="J235" i="35"/>
  <c r="K235" i="35"/>
  <c r="L235" i="35"/>
  <c r="M235" i="35"/>
  <c r="O235" i="35"/>
  <c r="P235" i="35"/>
  <c r="Q235" i="35"/>
  <c r="R235" i="35"/>
  <c r="S235" i="35"/>
  <c r="T235" i="35"/>
  <c r="U235" i="35"/>
  <c r="V235" i="35"/>
  <c r="W235" i="35"/>
  <c r="X235" i="35"/>
  <c r="Y235" i="35"/>
  <c r="AA235" i="35"/>
  <c r="AB235" i="35"/>
  <c r="AC235" i="35"/>
  <c r="AD235" i="35"/>
  <c r="AE235" i="35"/>
  <c r="AF235" i="35"/>
  <c r="AG235" i="35"/>
  <c r="AH235" i="35"/>
  <c r="AI235" i="35"/>
  <c r="AJ235" i="35"/>
  <c r="AK235" i="35"/>
  <c r="AM235" i="35"/>
  <c r="AN235" i="35"/>
  <c r="AO235" i="35"/>
  <c r="AP235" i="35"/>
  <c r="AQ235" i="35"/>
  <c r="AR235" i="35"/>
  <c r="AS235" i="35"/>
  <c r="A236" i="35"/>
  <c r="C236" i="35"/>
  <c r="D236" i="35"/>
  <c r="E236" i="35"/>
  <c r="F236" i="35"/>
  <c r="G236" i="35"/>
  <c r="H236" i="35"/>
  <c r="I236" i="35"/>
  <c r="J236" i="35"/>
  <c r="K236" i="35"/>
  <c r="L236" i="35"/>
  <c r="M236" i="35"/>
  <c r="O236" i="35"/>
  <c r="P236" i="35"/>
  <c r="Q236" i="35"/>
  <c r="R236" i="35"/>
  <c r="S236" i="35"/>
  <c r="T236" i="35"/>
  <c r="U236" i="35"/>
  <c r="V236" i="35"/>
  <c r="W236" i="35"/>
  <c r="X236" i="35"/>
  <c r="Y236" i="35"/>
  <c r="AA236" i="35"/>
  <c r="AB236" i="35"/>
  <c r="AC236" i="35"/>
  <c r="AD236" i="35"/>
  <c r="AE236" i="35"/>
  <c r="AF236" i="35"/>
  <c r="AG236" i="35"/>
  <c r="AH236" i="35"/>
  <c r="AI236" i="35"/>
  <c r="AJ236" i="35"/>
  <c r="AK236" i="35"/>
  <c r="AM236" i="35"/>
  <c r="AN236" i="35"/>
  <c r="AO236" i="35"/>
  <c r="AP236" i="35"/>
  <c r="AQ236" i="35"/>
  <c r="AR236" i="35"/>
  <c r="AS236" i="35"/>
  <c r="A237" i="35"/>
  <c r="C237" i="35"/>
  <c r="D237" i="35"/>
  <c r="E237" i="35"/>
  <c r="F237" i="35"/>
  <c r="G237" i="35"/>
  <c r="H237" i="35"/>
  <c r="I237" i="35"/>
  <c r="J237" i="35"/>
  <c r="K237" i="35"/>
  <c r="L237" i="35"/>
  <c r="M237" i="35"/>
  <c r="O237" i="35"/>
  <c r="P237" i="35"/>
  <c r="Q237" i="35"/>
  <c r="R237" i="35"/>
  <c r="S237" i="35"/>
  <c r="T237" i="35"/>
  <c r="U237" i="35"/>
  <c r="V237" i="35"/>
  <c r="W237" i="35"/>
  <c r="X237" i="35"/>
  <c r="Y237" i="35"/>
  <c r="AA237" i="35"/>
  <c r="AB237" i="35"/>
  <c r="AC237" i="35"/>
  <c r="AD237" i="35"/>
  <c r="AE237" i="35"/>
  <c r="AF237" i="35"/>
  <c r="AG237" i="35"/>
  <c r="AH237" i="35"/>
  <c r="AI237" i="35"/>
  <c r="AJ237" i="35"/>
  <c r="AK237" i="35"/>
  <c r="AM237" i="35"/>
  <c r="AN237" i="35"/>
  <c r="AO237" i="35"/>
  <c r="AP237" i="35"/>
  <c r="AQ237" i="35"/>
  <c r="AR237" i="35"/>
  <c r="AS237" i="35"/>
  <c r="A238" i="35"/>
  <c r="C238" i="35"/>
  <c r="D238" i="35"/>
  <c r="E238" i="35"/>
  <c r="F238" i="35"/>
  <c r="G238" i="35"/>
  <c r="H238" i="35"/>
  <c r="I238" i="35"/>
  <c r="J238" i="35"/>
  <c r="K238" i="35"/>
  <c r="L238" i="35"/>
  <c r="M238" i="35"/>
  <c r="O238" i="35"/>
  <c r="P238" i="35"/>
  <c r="Q238" i="35"/>
  <c r="R238" i="35"/>
  <c r="S238" i="35"/>
  <c r="T238" i="35"/>
  <c r="U238" i="35"/>
  <c r="V238" i="35"/>
  <c r="W238" i="35"/>
  <c r="X238" i="35"/>
  <c r="Y238" i="35"/>
  <c r="AA238" i="35"/>
  <c r="AB238" i="35"/>
  <c r="AC238" i="35"/>
  <c r="AD238" i="35"/>
  <c r="AE238" i="35"/>
  <c r="AF238" i="35"/>
  <c r="AG238" i="35"/>
  <c r="AH238" i="35"/>
  <c r="AI238" i="35"/>
  <c r="AJ238" i="35"/>
  <c r="AK238" i="35"/>
  <c r="AM238" i="35"/>
  <c r="AN238" i="35"/>
  <c r="AO238" i="35"/>
  <c r="AP238" i="35"/>
  <c r="AQ238" i="35"/>
  <c r="AR238" i="35"/>
  <c r="AS238" i="35"/>
  <c r="A239" i="35"/>
  <c r="C239" i="35"/>
  <c r="D239" i="35"/>
  <c r="E239" i="35"/>
  <c r="F239" i="35"/>
  <c r="G239" i="35"/>
  <c r="H239" i="35"/>
  <c r="I239" i="35"/>
  <c r="J239" i="35"/>
  <c r="K239" i="35"/>
  <c r="L239" i="35"/>
  <c r="M239" i="35"/>
  <c r="O239" i="35"/>
  <c r="P239" i="35"/>
  <c r="Q239" i="35"/>
  <c r="R239" i="35"/>
  <c r="S239" i="35"/>
  <c r="T239" i="35"/>
  <c r="U239" i="35"/>
  <c r="V239" i="35"/>
  <c r="W239" i="35"/>
  <c r="X239" i="35"/>
  <c r="Y239" i="35"/>
  <c r="AA239" i="35"/>
  <c r="AB239" i="35"/>
  <c r="AC239" i="35"/>
  <c r="AD239" i="35"/>
  <c r="AE239" i="35"/>
  <c r="AF239" i="35"/>
  <c r="AG239" i="35"/>
  <c r="AH239" i="35"/>
  <c r="AI239" i="35"/>
  <c r="AJ239" i="35"/>
  <c r="AK239" i="35"/>
  <c r="AM239" i="35"/>
  <c r="AN239" i="35"/>
  <c r="AO239" i="35"/>
  <c r="AP239" i="35"/>
  <c r="AQ239" i="35"/>
  <c r="AR239" i="35"/>
  <c r="AS239" i="35"/>
  <c r="A240" i="35"/>
  <c r="C240" i="35"/>
  <c r="D240" i="35"/>
  <c r="E240" i="35"/>
  <c r="F240" i="35"/>
  <c r="G240" i="35"/>
  <c r="H240" i="35"/>
  <c r="I240" i="35"/>
  <c r="J240" i="35"/>
  <c r="K240" i="35"/>
  <c r="L240" i="35"/>
  <c r="M240" i="35"/>
  <c r="O240" i="35"/>
  <c r="P240" i="35"/>
  <c r="Q240" i="35"/>
  <c r="R240" i="35"/>
  <c r="S240" i="35"/>
  <c r="T240" i="35"/>
  <c r="U240" i="35"/>
  <c r="V240" i="35"/>
  <c r="W240" i="35"/>
  <c r="X240" i="35"/>
  <c r="Y240" i="35"/>
  <c r="AA240" i="35"/>
  <c r="AB240" i="35"/>
  <c r="AC240" i="35"/>
  <c r="AD240" i="35"/>
  <c r="AE240" i="35"/>
  <c r="AF240" i="35"/>
  <c r="AG240" i="35"/>
  <c r="AH240" i="35"/>
  <c r="AI240" i="35"/>
  <c r="AJ240" i="35"/>
  <c r="AK240" i="35"/>
  <c r="AM240" i="35"/>
  <c r="AN240" i="35"/>
  <c r="AO240" i="35"/>
  <c r="AP240" i="35"/>
  <c r="AQ240" i="35"/>
  <c r="AR240" i="35"/>
  <c r="AS240" i="35"/>
  <c r="A241" i="35"/>
  <c r="C241" i="35"/>
  <c r="D241" i="35"/>
  <c r="E241" i="35"/>
  <c r="F241" i="35"/>
  <c r="G241" i="35"/>
  <c r="H241" i="35"/>
  <c r="I241" i="35"/>
  <c r="J241" i="35"/>
  <c r="K241" i="35"/>
  <c r="L241" i="35"/>
  <c r="M241" i="35"/>
  <c r="O241" i="35"/>
  <c r="P241" i="35"/>
  <c r="Q241" i="35"/>
  <c r="R241" i="35"/>
  <c r="S241" i="35"/>
  <c r="T241" i="35"/>
  <c r="U241" i="35"/>
  <c r="V241" i="35"/>
  <c r="W241" i="35"/>
  <c r="X241" i="35"/>
  <c r="Y241" i="35"/>
  <c r="AA241" i="35"/>
  <c r="AB241" i="35"/>
  <c r="AC241" i="35"/>
  <c r="AD241" i="35"/>
  <c r="AE241" i="35"/>
  <c r="AF241" i="35"/>
  <c r="AG241" i="35"/>
  <c r="AH241" i="35"/>
  <c r="AI241" i="35"/>
  <c r="AJ241" i="35"/>
  <c r="AK241" i="35"/>
  <c r="AM241" i="35"/>
  <c r="AN241" i="35"/>
  <c r="AO241" i="35"/>
  <c r="AP241" i="35"/>
  <c r="AQ241" i="35"/>
  <c r="AR241" i="35"/>
  <c r="AS241" i="35"/>
  <c r="A242" i="35"/>
  <c r="C242" i="35"/>
  <c r="D242" i="35"/>
  <c r="E242" i="35"/>
  <c r="F242" i="35"/>
  <c r="G242" i="35"/>
  <c r="H242" i="35"/>
  <c r="I242" i="35"/>
  <c r="J242" i="35"/>
  <c r="K242" i="35"/>
  <c r="L242" i="35"/>
  <c r="M242" i="35"/>
  <c r="O242" i="35"/>
  <c r="P242" i="35"/>
  <c r="Q242" i="35"/>
  <c r="R242" i="35"/>
  <c r="S242" i="35"/>
  <c r="T242" i="35"/>
  <c r="U242" i="35"/>
  <c r="V242" i="35"/>
  <c r="W242" i="35"/>
  <c r="X242" i="35"/>
  <c r="Y242" i="35"/>
  <c r="AA242" i="35"/>
  <c r="AB242" i="35"/>
  <c r="AC242" i="35"/>
  <c r="AD242" i="35"/>
  <c r="AE242" i="35"/>
  <c r="AF242" i="35"/>
  <c r="AG242" i="35"/>
  <c r="AH242" i="35"/>
  <c r="AI242" i="35"/>
  <c r="AJ242" i="35"/>
  <c r="AK242" i="35"/>
  <c r="AM242" i="35"/>
  <c r="AN242" i="35"/>
  <c r="AO242" i="35"/>
  <c r="AP242" i="35"/>
  <c r="AQ242" i="35"/>
  <c r="AR242" i="35"/>
  <c r="AS242" i="35"/>
  <c r="A243" i="35"/>
  <c r="C243" i="35"/>
  <c r="D243" i="35"/>
  <c r="E243" i="35"/>
  <c r="F243" i="35"/>
  <c r="G243" i="35"/>
  <c r="H243" i="35"/>
  <c r="I243" i="35"/>
  <c r="J243" i="35"/>
  <c r="K243" i="35"/>
  <c r="L243" i="35"/>
  <c r="M243" i="35"/>
  <c r="O243" i="35"/>
  <c r="P243" i="35"/>
  <c r="Q243" i="35"/>
  <c r="R243" i="35"/>
  <c r="S243" i="35"/>
  <c r="T243" i="35"/>
  <c r="U243" i="35"/>
  <c r="V243" i="35"/>
  <c r="W243" i="35"/>
  <c r="X243" i="35"/>
  <c r="Y243" i="35"/>
  <c r="AA243" i="35"/>
  <c r="AB243" i="35"/>
  <c r="AC243" i="35"/>
  <c r="AD243" i="35"/>
  <c r="AE243" i="35"/>
  <c r="AF243" i="35"/>
  <c r="AG243" i="35"/>
  <c r="AH243" i="35"/>
  <c r="AI243" i="35"/>
  <c r="AJ243" i="35"/>
  <c r="AK243" i="35"/>
  <c r="AM243" i="35"/>
  <c r="AN243" i="35"/>
  <c r="AO243" i="35"/>
  <c r="AP243" i="35"/>
  <c r="AQ243" i="35"/>
  <c r="AR243" i="35"/>
  <c r="AS243" i="35"/>
  <c r="A244" i="35"/>
  <c r="C244" i="35"/>
  <c r="D244" i="35"/>
  <c r="E244" i="35"/>
  <c r="F244" i="35"/>
  <c r="G244" i="35"/>
  <c r="H244" i="35"/>
  <c r="I244" i="35"/>
  <c r="J244" i="35"/>
  <c r="K244" i="35"/>
  <c r="L244" i="35"/>
  <c r="M244" i="35"/>
  <c r="O244" i="35"/>
  <c r="P244" i="35"/>
  <c r="Q244" i="35"/>
  <c r="R244" i="35"/>
  <c r="S244" i="35"/>
  <c r="T244" i="35"/>
  <c r="U244" i="35"/>
  <c r="V244" i="35"/>
  <c r="W244" i="35"/>
  <c r="X244" i="35"/>
  <c r="Y244" i="35"/>
  <c r="AA244" i="35"/>
  <c r="AB244" i="35"/>
  <c r="AC244" i="35"/>
  <c r="AD244" i="35"/>
  <c r="AE244" i="35"/>
  <c r="AF244" i="35"/>
  <c r="AG244" i="35"/>
  <c r="AH244" i="35"/>
  <c r="AI244" i="35"/>
  <c r="AJ244" i="35"/>
  <c r="AK244" i="35"/>
  <c r="AM244" i="35"/>
  <c r="AN244" i="35"/>
  <c r="AO244" i="35"/>
  <c r="AP244" i="35"/>
  <c r="AQ244" i="35"/>
  <c r="AR244" i="35"/>
  <c r="AS244" i="35"/>
  <c r="A245" i="35"/>
  <c r="C245" i="35"/>
  <c r="D245" i="35"/>
  <c r="E245" i="35"/>
  <c r="F245" i="35"/>
  <c r="G245" i="35"/>
  <c r="H245" i="35"/>
  <c r="I245" i="35"/>
  <c r="J245" i="35"/>
  <c r="K245" i="35"/>
  <c r="L245" i="35"/>
  <c r="M245" i="35"/>
  <c r="O245" i="35"/>
  <c r="P245" i="35"/>
  <c r="Q245" i="35"/>
  <c r="R245" i="35"/>
  <c r="S245" i="35"/>
  <c r="T245" i="35"/>
  <c r="U245" i="35"/>
  <c r="V245" i="35"/>
  <c r="W245" i="35"/>
  <c r="X245" i="35"/>
  <c r="Y245" i="35"/>
  <c r="AA245" i="35"/>
  <c r="AB245" i="35"/>
  <c r="AC245" i="35"/>
  <c r="AD245" i="35"/>
  <c r="AE245" i="35"/>
  <c r="AF245" i="35"/>
  <c r="AG245" i="35"/>
  <c r="AH245" i="35"/>
  <c r="AI245" i="35"/>
  <c r="AJ245" i="35"/>
  <c r="AK245" i="35"/>
  <c r="AM245" i="35"/>
  <c r="AN245" i="35"/>
  <c r="AO245" i="35"/>
  <c r="AP245" i="35"/>
  <c r="AQ245" i="35"/>
  <c r="AR245" i="35"/>
  <c r="AS245" i="35"/>
  <c r="A246" i="35"/>
  <c r="C246" i="35"/>
  <c r="D246" i="35"/>
  <c r="E246" i="35"/>
  <c r="F246" i="35"/>
  <c r="G246" i="35"/>
  <c r="H246" i="35"/>
  <c r="I246" i="35"/>
  <c r="J246" i="35"/>
  <c r="K246" i="35"/>
  <c r="L246" i="35"/>
  <c r="M246" i="35"/>
  <c r="O246" i="35"/>
  <c r="P246" i="35"/>
  <c r="Q246" i="35"/>
  <c r="R246" i="35"/>
  <c r="S246" i="35"/>
  <c r="T246" i="35"/>
  <c r="U246" i="35"/>
  <c r="V246" i="35"/>
  <c r="W246" i="35"/>
  <c r="X246" i="35"/>
  <c r="Y246" i="35"/>
  <c r="AA246" i="35"/>
  <c r="AB246" i="35"/>
  <c r="AC246" i="35"/>
  <c r="AD246" i="35"/>
  <c r="AE246" i="35"/>
  <c r="AF246" i="35"/>
  <c r="AG246" i="35"/>
  <c r="AH246" i="35"/>
  <c r="AI246" i="35"/>
  <c r="AJ246" i="35"/>
  <c r="AK246" i="35"/>
  <c r="AM246" i="35"/>
  <c r="AN246" i="35"/>
  <c r="AO246" i="35"/>
  <c r="AP246" i="35"/>
  <c r="AQ246" i="35"/>
  <c r="AR246" i="35"/>
  <c r="AS246" i="35"/>
  <c r="A247" i="35"/>
  <c r="C247" i="35"/>
  <c r="D247" i="35"/>
  <c r="E247" i="35"/>
  <c r="F247" i="35"/>
  <c r="G247" i="35"/>
  <c r="H247" i="35"/>
  <c r="I247" i="35"/>
  <c r="J247" i="35"/>
  <c r="K247" i="35"/>
  <c r="L247" i="35"/>
  <c r="M247" i="35"/>
  <c r="O247" i="35"/>
  <c r="P247" i="35"/>
  <c r="Q247" i="35"/>
  <c r="R247" i="35"/>
  <c r="S247" i="35"/>
  <c r="T247" i="35"/>
  <c r="U247" i="35"/>
  <c r="V247" i="35"/>
  <c r="W247" i="35"/>
  <c r="X247" i="35"/>
  <c r="Y247" i="35"/>
  <c r="AA247" i="35"/>
  <c r="AB247" i="35"/>
  <c r="AC247" i="35"/>
  <c r="AD247" i="35"/>
  <c r="AE247" i="35"/>
  <c r="AF247" i="35"/>
  <c r="AG247" i="35"/>
  <c r="AH247" i="35"/>
  <c r="AI247" i="35"/>
  <c r="AJ247" i="35"/>
  <c r="AK247" i="35"/>
  <c r="AM247" i="35"/>
  <c r="AN247" i="35"/>
  <c r="AO247" i="35"/>
  <c r="AP247" i="35"/>
  <c r="AQ247" i="35"/>
  <c r="AR247" i="35"/>
  <c r="AS247" i="35"/>
  <c r="A248" i="35"/>
  <c r="C248" i="35"/>
  <c r="D248" i="35"/>
  <c r="E248" i="35"/>
  <c r="F248" i="35"/>
  <c r="G248" i="35"/>
  <c r="H248" i="35"/>
  <c r="I248" i="35"/>
  <c r="J248" i="35"/>
  <c r="K248" i="35"/>
  <c r="L248" i="35"/>
  <c r="M248" i="35"/>
  <c r="O248" i="35"/>
  <c r="P248" i="35"/>
  <c r="Q248" i="35"/>
  <c r="R248" i="35"/>
  <c r="S248" i="35"/>
  <c r="T248" i="35"/>
  <c r="U248" i="35"/>
  <c r="V248" i="35"/>
  <c r="W248" i="35"/>
  <c r="X248" i="35"/>
  <c r="Y248" i="35"/>
  <c r="AA248" i="35"/>
  <c r="AB248" i="35"/>
  <c r="AC248" i="35"/>
  <c r="AD248" i="35"/>
  <c r="AE248" i="35"/>
  <c r="AF248" i="35"/>
  <c r="AG248" i="35"/>
  <c r="AH248" i="35"/>
  <c r="AI248" i="35"/>
  <c r="AJ248" i="35"/>
  <c r="AK248" i="35"/>
  <c r="AM248" i="35"/>
  <c r="AN248" i="35"/>
  <c r="AO248" i="35"/>
  <c r="AP248" i="35"/>
  <c r="AQ248" i="35"/>
  <c r="AR248" i="35"/>
  <c r="AS248" i="35"/>
  <c r="A249" i="35"/>
  <c r="C249" i="35"/>
  <c r="D249" i="35"/>
  <c r="E249" i="35"/>
  <c r="F249" i="35"/>
  <c r="G249" i="35"/>
  <c r="H249" i="35"/>
  <c r="I249" i="35"/>
  <c r="J249" i="35"/>
  <c r="K249" i="35"/>
  <c r="L249" i="35"/>
  <c r="M249" i="35"/>
  <c r="O249" i="35"/>
  <c r="P249" i="35"/>
  <c r="Q249" i="35"/>
  <c r="R249" i="35"/>
  <c r="S249" i="35"/>
  <c r="T249" i="35"/>
  <c r="U249" i="35"/>
  <c r="V249" i="35"/>
  <c r="W249" i="35"/>
  <c r="X249" i="35"/>
  <c r="Y249" i="35"/>
  <c r="AA249" i="35"/>
  <c r="AB249" i="35"/>
  <c r="AC249" i="35"/>
  <c r="AD249" i="35"/>
  <c r="AE249" i="35"/>
  <c r="AF249" i="35"/>
  <c r="AG249" i="35"/>
  <c r="AH249" i="35"/>
  <c r="AI249" i="35"/>
  <c r="AJ249" i="35"/>
  <c r="AK249" i="35"/>
  <c r="AM249" i="35"/>
  <c r="AN249" i="35"/>
  <c r="AO249" i="35"/>
  <c r="AP249" i="35"/>
  <c r="AQ249" i="35"/>
  <c r="AR249" i="35"/>
  <c r="AS249" i="35"/>
  <c r="A250" i="35"/>
  <c r="C250" i="35"/>
  <c r="D250" i="35"/>
  <c r="E250" i="35"/>
  <c r="F250" i="35"/>
  <c r="G250" i="35"/>
  <c r="H250" i="35"/>
  <c r="I250" i="35"/>
  <c r="J250" i="35"/>
  <c r="K250" i="35"/>
  <c r="L250" i="35"/>
  <c r="M250" i="35"/>
  <c r="O250" i="35"/>
  <c r="P250" i="35"/>
  <c r="Q250" i="35"/>
  <c r="R250" i="35"/>
  <c r="S250" i="35"/>
  <c r="T250" i="35"/>
  <c r="U250" i="35"/>
  <c r="V250" i="35"/>
  <c r="W250" i="35"/>
  <c r="X250" i="35"/>
  <c r="Y250" i="35"/>
  <c r="AA250" i="35"/>
  <c r="AB250" i="35"/>
  <c r="AC250" i="35"/>
  <c r="AD250" i="35"/>
  <c r="AE250" i="35"/>
  <c r="AF250" i="35"/>
  <c r="AG250" i="35"/>
  <c r="AH250" i="35"/>
  <c r="AI250" i="35"/>
  <c r="AJ250" i="35"/>
  <c r="AK250" i="35"/>
  <c r="AM250" i="35"/>
  <c r="AN250" i="35"/>
  <c r="AO250" i="35"/>
  <c r="AP250" i="35"/>
  <c r="AQ250" i="35"/>
  <c r="AR250" i="35"/>
  <c r="AS250" i="35"/>
  <c r="A251" i="35"/>
  <c r="C251" i="35"/>
  <c r="D251" i="35"/>
  <c r="E251" i="35"/>
  <c r="F251" i="35"/>
  <c r="G251" i="35"/>
  <c r="H251" i="35"/>
  <c r="I251" i="35"/>
  <c r="J251" i="35"/>
  <c r="K251" i="35"/>
  <c r="L251" i="35"/>
  <c r="M251" i="35"/>
  <c r="O251" i="35"/>
  <c r="P251" i="35"/>
  <c r="Q251" i="35"/>
  <c r="R251" i="35"/>
  <c r="S251" i="35"/>
  <c r="T251" i="35"/>
  <c r="U251" i="35"/>
  <c r="V251" i="35"/>
  <c r="W251" i="35"/>
  <c r="X251" i="35"/>
  <c r="Y251" i="35"/>
  <c r="AA251" i="35"/>
  <c r="AB251" i="35"/>
  <c r="AC251" i="35"/>
  <c r="AD251" i="35"/>
  <c r="AE251" i="35"/>
  <c r="AF251" i="35"/>
  <c r="AG251" i="35"/>
  <c r="AH251" i="35"/>
  <c r="AI251" i="35"/>
  <c r="AJ251" i="35"/>
  <c r="AK251" i="35"/>
  <c r="AM251" i="35"/>
  <c r="AN251" i="35"/>
  <c r="AO251" i="35"/>
  <c r="AP251" i="35"/>
  <c r="AQ251" i="35"/>
  <c r="AR251" i="35"/>
  <c r="AS251" i="35"/>
  <c r="A252" i="35"/>
  <c r="C252" i="35"/>
  <c r="D252" i="35"/>
  <c r="E252" i="35"/>
  <c r="F252" i="35"/>
  <c r="G252" i="35"/>
  <c r="H252" i="35"/>
  <c r="I252" i="35"/>
  <c r="J252" i="35"/>
  <c r="K252" i="35"/>
  <c r="L252" i="35"/>
  <c r="M252" i="35"/>
  <c r="O252" i="35"/>
  <c r="P252" i="35"/>
  <c r="Q252" i="35"/>
  <c r="R252" i="35"/>
  <c r="S252" i="35"/>
  <c r="T252" i="35"/>
  <c r="U252" i="35"/>
  <c r="V252" i="35"/>
  <c r="W252" i="35"/>
  <c r="X252" i="35"/>
  <c r="Y252" i="35"/>
  <c r="AA252" i="35"/>
  <c r="AB252" i="35"/>
  <c r="AC252" i="35"/>
  <c r="AD252" i="35"/>
  <c r="AE252" i="35"/>
  <c r="AF252" i="35"/>
  <c r="AG252" i="35"/>
  <c r="AH252" i="35"/>
  <c r="AI252" i="35"/>
  <c r="AJ252" i="35"/>
  <c r="AK252" i="35"/>
  <c r="AM252" i="35"/>
  <c r="AN252" i="35"/>
  <c r="AO252" i="35"/>
  <c r="AP252" i="35"/>
  <c r="AQ252" i="35"/>
  <c r="AR252" i="35"/>
  <c r="AS252" i="35"/>
  <c r="A253" i="35"/>
  <c r="C253" i="35"/>
  <c r="D253" i="35"/>
  <c r="E253" i="35"/>
  <c r="F253" i="35"/>
  <c r="G253" i="35"/>
  <c r="H253" i="35"/>
  <c r="I253" i="35"/>
  <c r="J253" i="35"/>
  <c r="K253" i="35"/>
  <c r="L253" i="35"/>
  <c r="M253" i="35"/>
  <c r="O253" i="35"/>
  <c r="P253" i="35"/>
  <c r="Q253" i="35"/>
  <c r="R253" i="35"/>
  <c r="S253" i="35"/>
  <c r="T253" i="35"/>
  <c r="U253" i="35"/>
  <c r="V253" i="35"/>
  <c r="W253" i="35"/>
  <c r="X253" i="35"/>
  <c r="Y253" i="35"/>
  <c r="AA253" i="35"/>
  <c r="AB253" i="35"/>
  <c r="AC253" i="35"/>
  <c r="AD253" i="35"/>
  <c r="AE253" i="35"/>
  <c r="AF253" i="35"/>
  <c r="AG253" i="35"/>
  <c r="AH253" i="35"/>
  <c r="AI253" i="35"/>
  <c r="AJ253" i="35"/>
  <c r="AK253" i="35"/>
  <c r="AM253" i="35"/>
  <c r="AN253" i="35"/>
  <c r="AO253" i="35"/>
  <c r="AP253" i="35"/>
  <c r="AQ253" i="35"/>
  <c r="AR253" i="35"/>
  <c r="AS253" i="35"/>
  <c r="A254" i="35"/>
  <c r="C254" i="35"/>
  <c r="D254" i="35"/>
  <c r="E254" i="35"/>
  <c r="F254" i="35"/>
  <c r="G254" i="35"/>
  <c r="H254" i="35"/>
  <c r="I254" i="35"/>
  <c r="J254" i="35"/>
  <c r="K254" i="35"/>
  <c r="L254" i="35"/>
  <c r="M254" i="35"/>
  <c r="O254" i="35"/>
  <c r="P254" i="35"/>
  <c r="Q254" i="35"/>
  <c r="R254" i="35"/>
  <c r="S254" i="35"/>
  <c r="T254" i="35"/>
  <c r="U254" i="35"/>
  <c r="V254" i="35"/>
  <c r="W254" i="35"/>
  <c r="X254" i="35"/>
  <c r="Y254" i="35"/>
  <c r="AA254" i="35"/>
  <c r="AB254" i="35"/>
  <c r="AC254" i="35"/>
  <c r="AD254" i="35"/>
  <c r="AE254" i="35"/>
  <c r="AF254" i="35"/>
  <c r="AG254" i="35"/>
  <c r="AH254" i="35"/>
  <c r="AI254" i="35"/>
  <c r="AJ254" i="35"/>
  <c r="AK254" i="35"/>
  <c r="AM254" i="35"/>
  <c r="AN254" i="35"/>
  <c r="AO254" i="35"/>
  <c r="AP254" i="35"/>
  <c r="AQ254" i="35"/>
  <c r="AR254" i="35"/>
  <c r="AS254" i="35"/>
  <c r="A255" i="35"/>
  <c r="C255" i="35"/>
  <c r="D255" i="35"/>
  <c r="E255" i="35"/>
  <c r="F255" i="35"/>
  <c r="G255" i="35"/>
  <c r="H255" i="35"/>
  <c r="I255" i="35"/>
  <c r="J255" i="35"/>
  <c r="K255" i="35"/>
  <c r="L255" i="35"/>
  <c r="M255" i="35"/>
  <c r="O255" i="35"/>
  <c r="P255" i="35"/>
  <c r="Q255" i="35"/>
  <c r="R255" i="35"/>
  <c r="S255" i="35"/>
  <c r="T255" i="35"/>
  <c r="U255" i="35"/>
  <c r="V255" i="35"/>
  <c r="W255" i="35"/>
  <c r="X255" i="35"/>
  <c r="Y255" i="35"/>
  <c r="AA255" i="35"/>
  <c r="AB255" i="35"/>
  <c r="AC255" i="35"/>
  <c r="AD255" i="35"/>
  <c r="AE255" i="35"/>
  <c r="AF255" i="35"/>
  <c r="AG255" i="35"/>
  <c r="AH255" i="35"/>
  <c r="AI255" i="35"/>
  <c r="AJ255" i="35"/>
  <c r="AK255" i="35"/>
  <c r="AM255" i="35"/>
  <c r="AN255" i="35"/>
  <c r="AO255" i="35"/>
  <c r="AP255" i="35"/>
  <c r="AQ255" i="35"/>
  <c r="AR255" i="35"/>
  <c r="AS255" i="35"/>
  <c r="A256" i="35"/>
  <c r="C256" i="35"/>
  <c r="D256" i="35"/>
  <c r="E256" i="35"/>
  <c r="F256" i="35"/>
  <c r="G256" i="35"/>
  <c r="H256" i="35"/>
  <c r="I256" i="35"/>
  <c r="J256" i="35"/>
  <c r="K256" i="35"/>
  <c r="L256" i="35"/>
  <c r="M256" i="35"/>
  <c r="O256" i="35"/>
  <c r="P256" i="35"/>
  <c r="Q256" i="35"/>
  <c r="R256" i="35"/>
  <c r="S256" i="35"/>
  <c r="T256" i="35"/>
  <c r="U256" i="35"/>
  <c r="V256" i="35"/>
  <c r="W256" i="35"/>
  <c r="X256" i="35"/>
  <c r="Y256" i="35"/>
  <c r="AA256" i="35"/>
  <c r="AB256" i="35"/>
  <c r="AC256" i="35"/>
  <c r="AD256" i="35"/>
  <c r="AE256" i="35"/>
  <c r="AF256" i="35"/>
  <c r="AG256" i="35"/>
  <c r="AH256" i="35"/>
  <c r="AI256" i="35"/>
  <c r="AJ256" i="35"/>
  <c r="AK256" i="35"/>
  <c r="AM256" i="35"/>
  <c r="AN256" i="35"/>
  <c r="AO256" i="35"/>
  <c r="AP256" i="35"/>
  <c r="AQ256" i="35"/>
  <c r="AR256" i="35"/>
  <c r="AS256" i="35"/>
  <c r="A257" i="35"/>
  <c r="C257" i="35"/>
  <c r="D257" i="35"/>
  <c r="E257" i="35"/>
  <c r="F257" i="35"/>
  <c r="G257" i="35"/>
  <c r="H257" i="35"/>
  <c r="I257" i="35"/>
  <c r="J257" i="35"/>
  <c r="K257" i="35"/>
  <c r="L257" i="35"/>
  <c r="M257" i="35"/>
  <c r="O257" i="35"/>
  <c r="P257" i="35"/>
  <c r="Q257" i="35"/>
  <c r="R257" i="35"/>
  <c r="S257" i="35"/>
  <c r="T257" i="35"/>
  <c r="U257" i="35"/>
  <c r="V257" i="35"/>
  <c r="W257" i="35"/>
  <c r="X257" i="35"/>
  <c r="Y257" i="35"/>
  <c r="AA257" i="35"/>
  <c r="AB257" i="35"/>
  <c r="AC257" i="35"/>
  <c r="AD257" i="35"/>
  <c r="AE257" i="35"/>
  <c r="AF257" i="35"/>
  <c r="AG257" i="35"/>
  <c r="AH257" i="35"/>
  <c r="AI257" i="35"/>
  <c r="AJ257" i="35"/>
  <c r="AK257" i="35"/>
  <c r="AM257" i="35"/>
  <c r="AN257" i="35"/>
  <c r="AO257" i="35"/>
  <c r="AP257" i="35"/>
  <c r="AQ257" i="35"/>
  <c r="AR257" i="35"/>
  <c r="AS257" i="35"/>
  <c r="A258" i="35"/>
  <c r="C258" i="35"/>
  <c r="D258" i="35"/>
  <c r="E258" i="35"/>
  <c r="F258" i="35"/>
  <c r="G258" i="35"/>
  <c r="H258" i="35"/>
  <c r="I258" i="35"/>
  <c r="J258" i="35"/>
  <c r="K258" i="35"/>
  <c r="L258" i="35"/>
  <c r="M258" i="35"/>
  <c r="O258" i="35"/>
  <c r="P258" i="35"/>
  <c r="Q258" i="35"/>
  <c r="R258" i="35"/>
  <c r="S258" i="35"/>
  <c r="T258" i="35"/>
  <c r="U258" i="35"/>
  <c r="V258" i="35"/>
  <c r="W258" i="35"/>
  <c r="X258" i="35"/>
  <c r="Y258" i="35"/>
  <c r="AA258" i="35"/>
  <c r="AB258" i="35"/>
  <c r="AC258" i="35"/>
  <c r="AD258" i="35"/>
  <c r="AE258" i="35"/>
  <c r="AF258" i="35"/>
  <c r="AG258" i="35"/>
  <c r="AH258" i="35"/>
  <c r="AI258" i="35"/>
  <c r="AJ258" i="35"/>
  <c r="AK258" i="35"/>
  <c r="AM258" i="35"/>
  <c r="AN258" i="35"/>
  <c r="AO258" i="35"/>
  <c r="AP258" i="35"/>
  <c r="AQ258" i="35"/>
  <c r="AR258" i="35"/>
  <c r="AS258" i="35"/>
  <c r="A259" i="35"/>
  <c r="C259" i="35"/>
  <c r="D259" i="35"/>
  <c r="E259" i="35"/>
  <c r="F259" i="35"/>
  <c r="G259" i="35"/>
  <c r="H259" i="35"/>
  <c r="I259" i="35"/>
  <c r="J259" i="35"/>
  <c r="K259" i="35"/>
  <c r="L259" i="35"/>
  <c r="M259" i="35"/>
  <c r="O259" i="35"/>
  <c r="P259" i="35"/>
  <c r="Q259" i="35"/>
  <c r="R259" i="35"/>
  <c r="S259" i="35"/>
  <c r="T259" i="35"/>
  <c r="U259" i="35"/>
  <c r="V259" i="35"/>
  <c r="W259" i="35"/>
  <c r="X259" i="35"/>
  <c r="Y259" i="35"/>
  <c r="AA259" i="35"/>
  <c r="AB259" i="35"/>
  <c r="AC259" i="35"/>
  <c r="AD259" i="35"/>
  <c r="AE259" i="35"/>
  <c r="AF259" i="35"/>
  <c r="AG259" i="35"/>
  <c r="AH259" i="35"/>
  <c r="AI259" i="35"/>
  <c r="AJ259" i="35"/>
  <c r="AK259" i="35"/>
  <c r="AM259" i="35"/>
  <c r="AN259" i="35"/>
  <c r="AO259" i="35"/>
  <c r="AP259" i="35"/>
  <c r="AQ259" i="35"/>
  <c r="AR259" i="35"/>
  <c r="AS259" i="35"/>
  <c r="A260" i="35"/>
  <c r="C260" i="35"/>
  <c r="D260" i="35"/>
  <c r="E260" i="35"/>
  <c r="F260" i="35"/>
  <c r="G260" i="35"/>
  <c r="H260" i="35"/>
  <c r="I260" i="35"/>
  <c r="J260" i="35"/>
  <c r="K260" i="35"/>
  <c r="L260" i="35"/>
  <c r="M260" i="35"/>
  <c r="O260" i="35"/>
  <c r="P260" i="35"/>
  <c r="Q260" i="35"/>
  <c r="R260" i="35"/>
  <c r="S260" i="35"/>
  <c r="T260" i="35"/>
  <c r="U260" i="35"/>
  <c r="V260" i="35"/>
  <c r="W260" i="35"/>
  <c r="X260" i="35"/>
  <c r="Y260" i="35"/>
  <c r="AA260" i="35"/>
  <c r="AB260" i="35"/>
  <c r="AC260" i="35"/>
  <c r="AD260" i="35"/>
  <c r="AE260" i="35"/>
  <c r="AF260" i="35"/>
  <c r="AG260" i="35"/>
  <c r="AH260" i="35"/>
  <c r="AI260" i="35"/>
  <c r="AJ260" i="35"/>
  <c r="AK260" i="35"/>
  <c r="AM260" i="35"/>
  <c r="AN260" i="35"/>
  <c r="AO260" i="35"/>
  <c r="AP260" i="35"/>
  <c r="AQ260" i="35"/>
  <c r="AR260" i="35"/>
  <c r="AS260" i="35"/>
  <c r="A261" i="35"/>
  <c r="C261" i="35"/>
  <c r="D261" i="35"/>
  <c r="E261" i="35"/>
  <c r="F261" i="35"/>
  <c r="G261" i="35"/>
  <c r="H261" i="35"/>
  <c r="I261" i="35"/>
  <c r="J261" i="35"/>
  <c r="K261" i="35"/>
  <c r="L261" i="35"/>
  <c r="M261" i="35"/>
  <c r="O261" i="35"/>
  <c r="P261" i="35"/>
  <c r="Q261" i="35"/>
  <c r="R261" i="35"/>
  <c r="S261" i="35"/>
  <c r="T261" i="35"/>
  <c r="U261" i="35"/>
  <c r="V261" i="35"/>
  <c r="W261" i="35"/>
  <c r="X261" i="35"/>
  <c r="Y261" i="35"/>
  <c r="AA261" i="35"/>
  <c r="AB261" i="35"/>
  <c r="AC261" i="35"/>
  <c r="AD261" i="35"/>
  <c r="AE261" i="35"/>
  <c r="AF261" i="35"/>
  <c r="AG261" i="35"/>
  <c r="AH261" i="35"/>
  <c r="AI261" i="35"/>
  <c r="AJ261" i="35"/>
  <c r="AK261" i="35"/>
  <c r="AM261" i="35"/>
  <c r="AN261" i="35"/>
  <c r="AO261" i="35"/>
  <c r="AP261" i="35"/>
  <c r="AQ261" i="35"/>
  <c r="AR261" i="35"/>
  <c r="AS261" i="35"/>
  <c r="A262" i="35"/>
  <c r="C262" i="35"/>
  <c r="D262" i="35"/>
  <c r="E262" i="35"/>
  <c r="F262" i="35"/>
  <c r="G262" i="35"/>
  <c r="H262" i="35"/>
  <c r="I262" i="35"/>
  <c r="J262" i="35"/>
  <c r="K262" i="35"/>
  <c r="L262" i="35"/>
  <c r="M262" i="35"/>
  <c r="O262" i="35"/>
  <c r="P262" i="35"/>
  <c r="Q262" i="35"/>
  <c r="R262" i="35"/>
  <c r="S262" i="35"/>
  <c r="T262" i="35"/>
  <c r="U262" i="35"/>
  <c r="V262" i="35"/>
  <c r="W262" i="35"/>
  <c r="X262" i="35"/>
  <c r="Y262" i="35"/>
  <c r="AA262" i="35"/>
  <c r="AB262" i="35"/>
  <c r="AC262" i="35"/>
  <c r="AD262" i="35"/>
  <c r="AE262" i="35"/>
  <c r="AF262" i="35"/>
  <c r="AG262" i="35"/>
  <c r="AH262" i="35"/>
  <c r="AI262" i="35"/>
  <c r="AJ262" i="35"/>
  <c r="AK262" i="35"/>
  <c r="AM262" i="35"/>
  <c r="AN262" i="35"/>
  <c r="AO262" i="35"/>
  <c r="AP262" i="35"/>
  <c r="AQ262" i="35"/>
  <c r="AR262" i="35"/>
  <c r="AS262" i="35"/>
  <c r="A263" i="35"/>
  <c r="C263" i="35"/>
  <c r="D263" i="35"/>
  <c r="E263" i="35"/>
  <c r="F263" i="35"/>
  <c r="G263" i="35"/>
  <c r="H263" i="35"/>
  <c r="I263" i="35"/>
  <c r="J263" i="35"/>
  <c r="K263" i="35"/>
  <c r="L263" i="35"/>
  <c r="M263" i="35"/>
  <c r="O263" i="35"/>
  <c r="P263" i="35"/>
  <c r="Q263" i="35"/>
  <c r="R263" i="35"/>
  <c r="S263" i="35"/>
  <c r="T263" i="35"/>
  <c r="U263" i="35"/>
  <c r="V263" i="35"/>
  <c r="W263" i="35"/>
  <c r="X263" i="35"/>
  <c r="Y263" i="35"/>
  <c r="AA263" i="35"/>
  <c r="AB263" i="35"/>
  <c r="AC263" i="35"/>
  <c r="AD263" i="35"/>
  <c r="AE263" i="35"/>
  <c r="AF263" i="35"/>
  <c r="AG263" i="35"/>
  <c r="AH263" i="35"/>
  <c r="AI263" i="35"/>
  <c r="AJ263" i="35"/>
  <c r="AK263" i="35"/>
  <c r="AM263" i="35"/>
  <c r="AN263" i="35"/>
  <c r="AO263" i="35"/>
  <c r="AP263" i="35"/>
  <c r="AQ263" i="35"/>
  <c r="AR263" i="35"/>
  <c r="AS263" i="35"/>
  <c r="A264" i="35"/>
  <c r="C264" i="35"/>
  <c r="D264" i="35"/>
  <c r="E264" i="35"/>
  <c r="F264" i="35"/>
  <c r="G264" i="35"/>
  <c r="H264" i="35"/>
  <c r="I264" i="35"/>
  <c r="J264" i="35"/>
  <c r="K264" i="35"/>
  <c r="L264" i="35"/>
  <c r="M264" i="35"/>
  <c r="O264" i="35"/>
  <c r="P264" i="35"/>
  <c r="Q264" i="35"/>
  <c r="R264" i="35"/>
  <c r="S264" i="35"/>
  <c r="T264" i="35"/>
  <c r="U264" i="35"/>
  <c r="V264" i="35"/>
  <c r="W264" i="35"/>
  <c r="X264" i="35"/>
  <c r="Y264" i="35"/>
  <c r="AA264" i="35"/>
  <c r="AB264" i="35"/>
  <c r="AC264" i="35"/>
  <c r="AD264" i="35"/>
  <c r="AE264" i="35"/>
  <c r="AF264" i="35"/>
  <c r="AG264" i="35"/>
  <c r="AH264" i="35"/>
  <c r="AI264" i="35"/>
  <c r="AJ264" i="35"/>
  <c r="AK264" i="35"/>
  <c r="AM264" i="35"/>
  <c r="AN264" i="35"/>
  <c r="AO264" i="35"/>
  <c r="AP264" i="35"/>
  <c r="AQ264" i="35"/>
  <c r="AR264" i="35"/>
  <c r="AS264" i="35"/>
  <c r="A265" i="35"/>
  <c r="C265" i="35"/>
  <c r="D265" i="35"/>
  <c r="E265" i="35"/>
  <c r="F265" i="35"/>
  <c r="G265" i="35"/>
  <c r="H265" i="35"/>
  <c r="I265" i="35"/>
  <c r="J265" i="35"/>
  <c r="K265" i="35"/>
  <c r="L265" i="35"/>
  <c r="M265" i="35"/>
  <c r="O265" i="35"/>
  <c r="P265" i="35"/>
  <c r="Q265" i="35"/>
  <c r="R265" i="35"/>
  <c r="S265" i="35"/>
  <c r="T265" i="35"/>
  <c r="U265" i="35"/>
  <c r="V265" i="35"/>
  <c r="W265" i="35"/>
  <c r="X265" i="35"/>
  <c r="Y265" i="35"/>
  <c r="AA265" i="35"/>
  <c r="AB265" i="35"/>
  <c r="AC265" i="35"/>
  <c r="AD265" i="35"/>
  <c r="AE265" i="35"/>
  <c r="AF265" i="35"/>
  <c r="AG265" i="35"/>
  <c r="AH265" i="35"/>
  <c r="AI265" i="35"/>
  <c r="AJ265" i="35"/>
  <c r="AK265" i="35"/>
  <c r="AM265" i="35"/>
  <c r="AN265" i="35"/>
  <c r="AO265" i="35"/>
  <c r="AP265" i="35"/>
  <c r="AQ265" i="35"/>
  <c r="AR265" i="35"/>
  <c r="AS265" i="35"/>
  <c r="A266" i="35"/>
  <c r="C266" i="35"/>
  <c r="D266" i="35"/>
  <c r="E266" i="35"/>
  <c r="F266" i="35"/>
  <c r="G266" i="35"/>
  <c r="H266" i="35"/>
  <c r="I266" i="35"/>
  <c r="J266" i="35"/>
  <c r="K266" i="35"/>
  <c r="L266" i="35"/>
  <c r="M266" i="35"/>
  <c r="O266" i="35"/>
  <c r="P266" i="35"/>
  <c r="Q266" i="35"/>
  <c r="R266" i="35"/>
  <c r="S266" i="35"/>
  <c r="T266" i="35"/>
  <c r="U266" i="35"/>
  <c r="V266" i="35"/>
  <c r="W266" i="35"/>
  <c r="X266" i="35"/>
  <c r="Y266" i="35"/>
  <c r="AA266" i="35"/>
  <c r="AB266" i="35"/>
  <c r="AC266" i="35"/>
  <c r="AD266" i="35"/>
  <c r="AE266" i="35"/>
  <c r="AF266" i="35"/>
  <c r="AG266" i="35"/>
  <c r="AH266" i="35"/>
  <c r="AI266" i="35"/>
  <c r="AJ266" i="35"/>
  <c r="AK266" i="35"/>
  <c r="AM266" i="35"/>
  <c r="AN266" i="35"/>
  <c r="AO266" i="35"/>
  <c r="AP266" i="35"/>
  <c r="AQ266" i="35"/>
  <c r="AR266" i="35"/>
  <c r="AS266" i="35"/>
  <c r="M268" i="35"/>
  <c r="Y268" i="35"/>
  <c r="AK268" i="35"/>
  <c r="B270" i="35"/>
  <c r="C270" i="35"/>
  <c r="D270" i="35"/>
  <c r="E270" i="35"/>
  <c r="F270" i="35"/>
  <c r="G270" i="35"/>
  <c r="H270" i="35"/>
  <c r="I270" i="35"/>
  <c r="J270" i="35"/>
  <c r="K270" i="35"/>
  <c r="L270" i="35"/>
  <c r="M270" i="35"/>
  <c r="N270" i="35"/>
  <c r="O270" i="35"/>
  <c r="P270" i="35"/>
  <c r="Q270" i="35"/>
  <c r="R270" i="35"/>
  <c r="S270" i="35"/>
  <c r="T270" i="35"/>
  <c r="U270" i="35"/>
  <c r="V270" i="35"/>
  <c r="W270" i="35"/>
  <c r="X270" i="35"/>
  <c r="Y270" i="35"/>
  <c r="Z270" i="35"/>
  <c r="AA270" i="35"/>
  <c r="AB270" i="35"/>
  <c r="AC270" i="35"/>
  <c r="AD270" i="35"/>
  <c r="AE270" i="35"/>
  <c r="AF270" i="35"/>
  <c r="AG270" i="35"/>
  <c r="AH270" i="35"/>
  <c r="AI270" i="35"/>
  <c r="AJ270" i="35"/>
  <c r="AK270" i="35"/>
  <c r="A1" i="34"/>
  <c r="A2" i="34"/>
  <c r="A3" i="34"/>
  <c r="G9" i="34"/>
  <c r="O9" i="34"/>
  <c r="Z9" i="34"/>
  <c r="G10" i="34"/>
  <c r="O10" i="34"/>
  <c r="Z10" i="34"/>
  <c r="A12" i="34"/>
  <c r="C12" i="34"/>
  <c r="E12" i="34"/>
  <c r="F12" i="34"/>
  <c r="G12" i="34"/>
  <c r="H12" i="34"/>
  <c r="I12" i="34"/>
  <c r="J12" i="34"/>
  <c r="K12" i="34"/>
  <c r="M12" i="34"/>
  <c r="N12" i="34"/>
  <c r="O12" i="34"/>
  <c r="P12" i="34"/>
  <c r="R12" i="34"/>
  <c r="S12" i="34"/>
  <c r="T12" i="34"/>
  <c r="U12" i="34"/>
  <c r="V12" i="34"/>
  <c r="W12" i="34"/>
  <c r="Y12" i="34"/>
  <c r="Z12" i="34"/>
  <c r="AA12" i="34"/>
  <c r="AB12" i="34"/>
  <c r="AC12" i="34"/>
  <c r="AD12" i="34"/>
  <c r="AE12" i="34"/>
  <c r="AF12" i="34"/>
  <c r="A13" i="34"/>
  <c r="C13" i="34"/>
  <c r="E13" i="34"/>
  <c r="F13" i="34"/>
  <c r="G13" i="34"/>
  <c r="H13" i="34"/>
  <c r="I13" i="34"/>
  <c r="J13" i="34"/>
  <c r="K13" i="34"/>
  <c r="M13" i="34"/>
  <c r="N13" i="34"/>
  <c r="O13" i="34"/>
  <c r="P13" i="34"/>
  <c r="R13" i="34"/>
  <c r="S13" i="34"/>
  <c r="T13" i="34"/>
  <c r="U13" i="34"/>
  <c r="V13" i="34"/>
  <c r="W13" i="34"/>
  <c r="Y13" i="34"/>
  <c r="Z13" i="34"/>
  <c r="AA13" i="34"/>
  <c r="AB13" i="34"/>
  <c r="AC13" i="34"/>
  <c r="AD13" i="34"/>
  <c r="AE13" i="34"/>
  <c r="AF13" i="34"/>
  <c r="A14" i="34"/>
  <c r="C14" i="34"/>
  <c r="E14" i="34"/>
  <c r="F14" i="34"/>
  <c r="G14" i="34"/>
  <c r="H14" i="34"/>
  <c r="I14" i="34"/>
  <c r="J14" i="34"/>
  <c r="K14" i="34"/>
  <c r="M14" i="34"/>
  <c r="N14" i="34"/>
  <c r="O14" i="34"/>
  <c r="P14" i="34"/>
  <c r="R14" i="34"/>
  <c r="S14" i="34"/>
  <c r="T14" i="34"/>
  <c r="U14" i="34"/>
  <c r="V14" i="34"/>
  <c r="W14" i="34"/>
  <c r="Y14" i="34"/>
  <c r="Z14" i="34"/>
  <c r="AA14" i="34"/>
  <c r="AB14" i="34"/>
  <c r="AC14" i="34"/>
  <c r="AD14" i="34"/>
  <c r="AE14" i="34"/>
  <c r="AF14" i="34"/>
  <c r="A15" i="34"/>
  <c r="C15" i="34"/>
  <c r="E15" i="34"/>
  <c r="F15" i="34"/>
  <c r="G15" i="34"/>
  <c r="H15" i="34"/>
  <c r="I15" i="34"/>
  <c r="J15" i="34"/>
  <c r="K15" i="34"/>
  <c r="M15" i="34"/>
  <c r="N15" i="34"/>
  <c r="O15" i="34"/>
  <c r="P15" i="34"/>
  <c r="R15" i="34"/>
  <c r="S15" i="34"/>
  <c r="T15" i="34"/>
  <c r="U15" i="34"/>
  <c r="V15" i="34"/>
  <c r="W15" i="34"/>
  <c r="Y15" i="34"/>
  <c r="Z15" i="34"/>
  <c r="AA15" i="34"/>
  <c r="AB15" i="34"/>
  <c r="AC15" i="34"/>
  <c r="AD15" i="34"/>
  <c r="AE15" i="34"/>
  <c r="AF15" i="34"/>
  <c r="A16" i="34"/>
  <c r="C16" i="34"/>
  <c r="E16" i="34"/>
  <c r="F16" i="34"/>
  <c r="G16" i="34"/>
  <c r="H16" i="34"/>
  <c r="I16" i="34"/>
  <c r="J16" i="34"/>
  <c r="K16" i="34"/>
  <c r="M16" i="34"/>
  <c r="N16" i="34"/>
  <c r="O16" i="34"/>
  <c r="P16" i="34"/>
  <c r="R16" i="34"/>
  <c r="S16" i="34"/>
  <c r="T16" i="34"/>
  <c r="U16" i="34"/>
  <c r="V16" i="34"/>
  <c r="W16" i="34"/>
  <c r="Y16" i="34"/>
  <c r="Z16" i="34"/>
  <c r="AA16" i="34"/>
  <c r="AB16" i="34"/>
  <c r="AC16" i="34"/>
  <c r="AD16" i="34"/>
  <c r="AE16" i="34"/>
  <c r="AF16" i="34"/>
  <c r="A17" i="34"/>
  <c r="C17" i="34"/>
  <c r="E17" i="34"/>
  <c r="F17" i="34"/>
  <c r="G17" i="34"/>
  <c r="H17" i="34"/>
  <c r="I17" i="34"/>
  <c r="J17" i="34"/>
  <c r="K17" i="34"/>
  <c r="M17" i="34"/>
  <c r="N17" i="34"/>
  <c r="O17" i="34"/>
  <c r="P17" i="34"/>
  <c r="R17" i="34"/>
  <c r="S17" i="34"/>
  <c r="T17" i="34"/>
  <c r="U17" i="34"/>
  <c r="V17" i="34"/>
  <c r="W17" i="34"/>
  <c r="Y17" i="34"/>
  <c r="Z17" i="34"/>
  <c r="AA17" i="34"/>
  <c r="AB17" i="34"/>
  <c r="AC17" i="34"/>
  <c r="AD17" i="34"/>
  <c r="AE17" i="34"/>
  <c r="AF17" i="34"/>
  <c r="A18" i="34"/>
  <c r="C18" i="34"/>
  <c r="E18" i="34"/>
  <c r="F18" i="34"/>
  <c r="G18" i="34"/>
  <c r="H18" i="34"/>
  <c r="I18" i="34"/>
  <c r="J18" i="34"/>
  <c r="K18" i="34"/>
  <c r="M18" i="34"/>
  <c r="N18" i="34"/>
  <c r="O18" i="34"/>
  <c r="P18" i="34"/>
  <c r="R18" i="34"/>
  <c r="S18" i="34"/>
  <c r="T18" i="34"/>
  <c r="U18" i="34"/>
  <c r="V18" i="34"/>
  <c r="W18" i="34"/>
  <c r="Y18" i="34"/>
  <c r="Z18" i="34"/>
  <c r="AA18" i="34"/>
  <c r="AB18" i="34"/>
  <c r="AC18" i="34"/>
  <c r="AD18" i="34"/>
  <c r="AE18" i="34"/>
  <c r="AF18" i="34"/>
  <c r="A19" i="34"/>
  <c r="C19" i="34"/>
  <c r="E19" i="34"/>
  <c r="F19" i="34"/>
  <c r="G19" i="34"/>
  <c r="H19" i="34"/>
  <c r="I19" i="34"/>
  <c r="J19" i="34"/>
  <c r="K19" i="34"/>
  <c r="M19" i="34"/>
  <c r="N19" i="34"/>
  <c r="O19" i="34"/>
  <c r="P19" i="34"/>
  <c r="R19" i="34"/>
  <c r="S19" i="34"/>
  <c r="T19" i="34"/>
  <c r="U19" i="34"/>
  <c r="V19" i="34"/>
  <c r="W19" i="34"/>
  <c r="Y19" i="34"/>
  <c r="Z19" i="34"/>
  <c r="AA19" i="34"/>
  <c r="AB19" i="34"/>
  <c r="AC19" i="34"/>
  <c r="AD19" i="34"/>
  <c r="AE19" i="34"/>
  <c r="AF19" i="34"/>
  <c r="A20" i="34"/>
  <c r="C20" i="34"/>
  <c r="E20" i="34"/>
  <c r="F20" i="34"/>
  <c r="G20" i="34"/>
  <c r="H20" i="34"/>
  <c r="I20" i="34"/>
  <c r="J20" i="34"/>
  <c r="K20" i="34"/>
  <c r="M20" i="34"/>
  <c r="N20" i="34"/>
  <c r="O20" i="34"/>
  <c r="P20" i="34"/>
  <c r="R20" i="34"/>
  <c r="S20" i="34"/>
  <c r="T20" i="34"/>
  <c r="U20" i="34"/>
  <c r="V20" i="34"/>
  <c r="W20" i="34"/>
  <c r="Y20" i="34"/>
  <c r="Z20" i="34"/>
  <c r="AA20" i="34"/>
  <c r="AB20" i="34"/>
  <c r="AC20" i="34"/>
  <c r="AD20" i="34"/>
  <c r="AE20" i="34"/>
  <c r="AF20" i="34"/>
  <c r="A21" i="34"/>
  <c r="C21" i="34"/>
  <c r="E21" i="34"/>
  <c r="F21" i="34"/>
  <c r="G21" i="34"/>
  <c r="H21" i="34"/>
  <c r="I21" i="34"/>
  <c r="J21" i="34"/>
  <c r="K21" i="34"/>
  <c r="M21" i="34"/>
  <c r="N21" i="34"/>
  <c r="O21" i="34"/>
  <c r="P21" i="34"/>
  <c r="R21" i="34"/>
  <c r="S21" i="34"/>
  <c r="T21" i="34"/>
  <c r="U21" i="34"/>
  <c r="V21" i="34"/>
  <c r="W21" i="34"/>
  <c r="Y21" i="34"/>
  <c r="Z21" i="34"/>
  <c r="AA21" i="34"/>
  <c r="AB21" i="34"/>
  <c r="AC21" i="34"/>
  <c r="AD21" i="34"/>
  <c r="AE21" i="34"/>
  <c r="AF21" i="34"/>
  <c r="A22" i="34"/>
  <c r="C22" i="34"/>
  <c r="E22" i="34"/>
  <c r="F22" i="34"/>
  <c r="G22" i="34"/>
  <c r="H22" i="34"/>
  <c r="I22" i="34"/>
  <c r="J22" i="34"/>
  <c r="K22" i="34"/>
  <c r="M22" i="34"/>
  <c r="N22" i="34"/>
  <c r="O22" i="34"/>
  <c r="P22" i="34"/>
  <c r="R22" i="34"/>
  <c r="S22" i="34"/>
  <c r="T22" i="34"/>
  <c r="U22" i="34"/>
  <c r="V22" i="34"/>
  <c r="W22" i="34"/>
  <c r="Y22" i="34"/>
  <c r="Z22" i="34"/>
  <c r="AA22" i="34"/>
  <c r="AB22" i="34"/>
  <c r="AC22" i="34"/>
  <c r="AD22" i="34"/>
  <c r="AE22" i="34"/>
  <c r="AF22" i="34"/>
  <c r="A23" i="34"/>
  <c r="C23" i="34"/>
  <c r="E23" i="34"/>
  <c r="F23" i="34"/>
  <c r="G23" i="34"/>
  <c r="H23" i="34"/>
  <c r="I23" i="34"/>
  <c r="J23" i="34"/>
  <c r="K23" i="34"/>
  <c r="M23" i="34"/>
  <c r="N23" i="34"/>
  <c r="O23" i="34"/>
  <c r="P23" i="34"/>
  <c r="R23" i="34"/>
  <c r="S23" i="34"/>
  <c r="T23" i="34"/>
  <c r="U23" i="34"/>
  <c r="V23" i="34"/>
  <c r="W23" i="34"/>
  <c r="Y23" i="34"/>
  <c r="Z23" i="34"/>
  <c r="AA23" i="34"/>
  <c r="AB23" i="34"/>
  <c r="AC23" i="34"/>
  <c r="AD23" i="34"/>
  <c r="AE23" i="34"/>
  <c r="AF23" i="34"/>
  <c r="A24" i="34"/>
  <c r="C24" i="34"/>
  <c r="E24" i="34"/>
  <c r="F24" i="34"/>
  <c r="G24" i="34"/>
  <c r="H24" i="34"/>
  <c r="I24" i="34"/>
  <c r="J24" i="34"/>
  <c r="K24" i="34"/>
  <c r="M24" i="34"/>
  <c r="N24" i="34"/>
  <c r="O24" i="34"/>
  <c r="P24" i="34"/>
  <c r="R24" i="34"/>
  <c r="S24" i="34"/>
  <c r="T24" i="34"/>
  <c r="U24" i="34"/>
  <c r="V24" i="34"/>
  <c r="W24" i="34"/>
  <c r="Y24" i="34"/>
  <c r="Z24" i="34"/>
  <c r="AA24" i="34"/>
  <c r="AB24" i="34"/>
  <c r="AC24" i="34"/>
  <c r="AD24" i="34"/>
  <c r="AE24" i="34"/>
  <c r="AF24" i="34"/>
  <c r="A25" i="34"/>
  <c r="C25" i="34"/>
  <c r="E25" i="34"/>
  <c r="F25" i="34"/>
  <c r="G25" i="34"/>
  <c r="H25" i="34"/>
  <c r="I25" i="34"/>
  <c r="J25" i="34"/>
  <c r="K25" i="34"/>
  <c r="M25" i="34"/>
  <c r="N25" i="34"/>
  <c r="O25" i="34"/>
  <c r="P25" i="34"/>
  <c r="R25" i="34"/>
  <c r="S25" i="34"/>
  <c r="T25" i="34"/>
  <c r="U25" i="34"/>
  <c r="V25" i="34"/>
  <c r="W25" i="34"/>
  <c r="Y25" i="34"/>
  <c r="Z25" i="34"/>
  <c r="AA25" i="34"/>
  <c r="AB25" i="34"/>
  <c r="AC25" i="34"/>
  <c r="AD25" i="34"/>
  <c r="AE25" i="34"/>
  <c r="AF25" i="34"/>
  <c r="A26" i="34"/>
  <c r="C26" i="34"/>
  <c r="E26" i="34"/>
  <c r="F26" i="34"/>
  <c r="G26" i="34"/>
  <c r="H26" i="34"/>
  <c r="I26" i="34"/>
  <c r="J26" i="34"/>
  <c r="K26" i="34"/>
  <c r="M26" i="34"/>
  <c r="N26" i="34"/>
  <c r="O26" i="34"/>
  <c r="P26" i="34"/>
  <c r="R26" i="34"/>
  <c r="S26" i="34"/>
  <c r="T26" i="34"/>
  <c r="U26" i="34"/>
  <c r="V26" i="34"/>
  <c r="W26" i="34"/>
  <c r="Y26" i="34"/>
  <c r="Z26" i="34"/>
  <c r="AA26" i="34"/>
  <c r="AB26" i="34"/>
  <c r="AC26" i="34"/>
  <c r="AD26" i="34"/>
  <c r="AE26" i="34"/>
  <c r="AF26" i="34"/>
  <c r="A27" i="34"/>
  <c r="C27" i="34"/>
  <c r="E27" i="34"/>
  <c r="F27" i="34"/>
  <c r="G27" i="34"/>
  <c r="H27" i="34"/>
  <c r="I27" i="34"/>
  <c r="J27" i="34"/>
  <c r="K27" i="34"/>
  <c r="M27" i="34"/>
  <c r="N27" i="34"/>
  <c r="O27" i="34"/>
  <c r="P27" i="34"/>
  <c r="R27" i="34"/>
  <c r="S27" i="34"/>
  <c r="T27" i="34"/>
  <c r="U27" i="34"/>
  <c r="V27" i="34"/>
  <c r="W27" i="34"/>
  <c r="Y27" i="34"/>
  <c r="Z27" i="34"/>
  <c r="AA27" i="34"/>
  <c r="AB27" i="34"/>
  <c r="AC27" i="34"/>
  <c r="AD27" i="34"/>
  <c r="AE27" i="34"/>
  <c r="AF27" i="34"/>
  <c r="A28" i="34"/>
  <c r="C28" i="34"/>
  <c r="E28" i="34"/>
  <c r="F28" i="34"/>
  <c r="G28" i="34"/>
  <c r="H28" i="34"/>
  <c r="I28" i="34"/>
  <c r="J28" i="34"/>
  <c r="K28" i="34"/>
  <c r="M28" i="34"/>
  <c r="N28" i="34"/>
  <c r="O28" i="34"/>
  <c r="P28" i="34"/>
  <c r="R28" i="34"/>
  <c r="S28" i="34"/>
  <c r="T28" i="34"/>
  <c r="U28" i="34"/>
  <c r="V28" i="34"/>
  <c r="W28" i="34"/>
  <c r="Y28" i="34"/>
  <c r="Z28" i="34"/>
  <c r="AA28" i="34"/>
  <c r="AB28" i="34"/>
  <c r="AC28" i="34"/>
  <c r="AD28" i="34"/>
  <c r="AE28" i="34"/>
  <c r="AF28" i="34"/>
  <c r="A29" i="34"/>
  <c r="C29" i="34"/>
  <c r="E29" i="34"/>
  <c r="F29" i="34"/>
  <c r="G29" i="34"/>
  <c r="H29" i="34"/>
  <c r="I29" i="34"/>
  <c r="J29" i="34"/>
  <c r="K29" i="34"/>
  <c r="M29" i="34"/>
  <c r="N29" i="34"/>
  <c r="O29" i="34"/>
  <c r="P29" i="34"/>
  <c r="R29" i="34"/>
  <c r="S29" i="34"/>
  <c r="T29" i="34"/>
  <c r="U29" i="34"/>
  <c r="V29" i="34"/>
  <c r="W29" i="34"/>
  <c r="Y29" i="34"/>
  <c r="Z29" i="34"/>
  <c r="AA29" i="34"/>
  <c r="AB29" i="34"/>
  <c r="AC29" i="34"/>
  <c r="AD29" i="34"/>
  <c r="AE29" i="34"/>
  <c r="AF29" i="34"/>
  <c r="A30" i="34"/>
  <c r="C30" i="34"/>
  <c r="E30" i="34"/>
  <c r="F30" i="34"/>
  <c r="G30" i="34"/>
  <c r="H30" i="34"/>
  <c r="I30" i="34"/>
  <c r="J30" i="34"/>
  <c r="K30" i="34"/>
  <c r="M30" i="34"/>
  <c r="N30" i="34"/>
  <c r="O30" i="34"/>
  <c r="P30" i="34"/>
  <c r="R30" i="34"/>
  <c r="S30" i="34"/>
  <c r="T30" i="34"/>
  <c r="U30" i="34"/>
  <c r="V30" i="34"/>
  <c r="W30" i="34"/>
  <c r="Y30" i="34"/>
  <c r="Z30" i="34"/>
  <c r="AA30" i="34"/>
  <c r="AB30" i="34"/>
  <c r="AC30" i="34"/>
  <c r="AD30" i="34"/>
  <c r="AE30" i="34"/>
  <c r="AF30" i="34"/>
  <c r="A31" i="34"/>
  <c r="C31" i="34"/>
  <c r="E31" i="34"/>
  <c r="F31" i="34"/>
  <c r="G31" i="34"/>
  <c r="H31" i="34"/>
  <c r="I31" i="34"/>
  <c r="J31" i="34"/>
  <c r="K31" i="34"/>
  <c r="M31" i="34"/>
  <c r="N31" i="34"/>
  <c r="O31" i="34"/>
  <c r="P31" i="34"/>
  <c r="R31" i="34"/>
  <c r="S31" i="34"/>
  <c r="T31" i="34"/>
  <c r="U31" i="34"/>
  <c r="V31" i="34"/>
  <c r="W31" i="34"/>
  <c r="Y31" i="34"/>
  <c r="Z31" i="34"/>
  <c r="AA31" i="34"/>
  <c r="AB31" i="34"/>
  <c r="AC31" i="34"/>
  <c r="AD31" i="34"/>
  <c r="AE31" i="34"/>
  <c r="AF31" i="34"/>
  <c r="A32" i="34"/>
  <c r="C32" i="34"/>
  <c r="E32" i="34"/>
  <c r="F32" i="34"/>
  <c r="G32" i="34"/>
  <c r="H32" i="34"/>
  <c r="I32" i="34"/>
  <c r="J32" i="34"/>
  <c r="K32" i="34"/>
  <c r="M32" i="34"/>
  <c r="N32" i="34"/>
  <c r="O32" i="34"/>
  <c r="P32" i="34"/>
  <c r="R32" i="34"/>
  <c r="S32" i="34"/>
  <c r="T32" i="34"/>
  <c r="U32" i="34"/>
  <c r="V32" i="34"/>
  <c r="W32" i="34"/>
  <c r="Y32" i="34"/>
  <c r="Z32" i="34"/>
  <c r="AA32" i="34"/>
  <c r="AB32" i="34"/>
  <c r="AC32" i="34"/>
  <c r="AD32" i="34"/>
  <c r="AE32" i="34"/>
  <c r="AF32" i="34"/>
  <c r="A33" i="34"/>
  <c r="C33" i="34"/>
  <c r="E33" i="34"/>
  <c r="F33" i="34"/>
  <c r="G33" i="34"/>
  <c r="H33" i="34"/>
  <c r="I33" i="34"/>
  <c r="J33" i="34"/>
  <c r="K33" i="34"/>
  <c r="M33" i="34"/>
  <c r="N33" i="34"/>
  <c r="O33" i="34"/>
  <c r="P33" i="34"/>
  <c r="R33" i="34"/>
  <c r="S33" i="34"/>
  <c r="T33" i="34"/>
  <c r="U33" i="34"/>
  <c r="V33" i="34"/>
  <c r="W33" i="34"/>
  <c r="Y33" i="34"/>
  <c r="Z33" i="34"/>
  <c r="AA33" i="34"/>
  <c r="AB33" i="34"/>
  <c r="AC33" i="34"/>
  <c r="AD33" i="34"/>
  <c r="AE33" i="34"/>
  <c r="AF33" i="34"/>
  <c r="A34" i="34"/>
  <c r="C34" i="34"/>
  <c r="E34" i="34"/>
  <c r="F34" i="34"/>
  <c r="G34" i="34"/>
  <c r="H34" i="34"/>
  <c r="I34" i="34"/>
  <c r="J34" i="34"/>
  <c r="K34" i="34"/>
  <c r="M34" i="34"/>
  <c r="N34" i="34"/>
  <c r="O34" i="34"/>
  <c r="P34" i="34"/>
  <c r="R34" i="34"/>
  <c r="S34" i="34"/>
  <c r="T34" i="34"/>
  <c r="U34" i="34"/>
  <c r="V34" i="34"/>
  <c r="W34" i="34"/>
  <c r="Y34" i="34"/>
  <c r="Z34" i="34"/>
  <c r="AA34" i="34"/>
  <c r="AB34" i="34"/>
  <c r="AC34" i="34"/>
  <c r="AD34" i="34"/>
  <c r="AE34" i="34"/>
  <c r="AF34" i="34"/>
  <c r="A35" i="34"/>
  <c r="C35" i="34"/>
  <c r="E35" i="34"/>
  <c r="F35" i="34"/>
  <c r="G35" i="34"/>
  <c r="H35" i="34"/>
  <c r="I35" i="34"/>
  <c r="J35" i="34"/>
  <c r="K35" i="34"/>
  <c r="M35" i="34"/>
  <c r="N35" i="34"/>
  <c r="O35" i="34"/>
  <c r="P35" i="34"/>
  <c r="R35" i="34"/>
  <c r="S35" i="34"/>
  <c r="T35" i="34"/>
  <c r="U35" i="34"/>
  <c r="V35" i="34"/>
  <c r="W35" i="34"/>
  <c r="Y35" i="34"/>
  <c r="Z35" i="34"/>
  <c r="AA35" i="34"/>
  <c r="AB35" i="34"/>
  <c r="AC35" i="34"/>
  <c r="AD35" i="34"/>
  <c r="AE35" i="34"/>
  <c r="AF35" i="34"/>
  <c r="A36" i="34"/>
  <c r="C36" i="34"/>
  <c r="E36" i="34"/>
  <c r="F36" i="34"/>
  <c r="G36" i="34"/>
  <c r="H36" i="34"/>
  <c r="I36" i="34"/>
  <c r="J36" i="34"/>
  <c r="K36" i="34"/>
  <c r="M36" i="34"/>
  <c r="N36" i="34"/>
  <c r="O36" i="34"/>
  <c r="P36" i="34"/>
  <c r="R36" i="34"/>
  <c r="S36" i="34"/>
  <c r="T36" i="34"/>
  <c r="U36" i="34"/>
  <c r="V36" i="34"/>
  <c r="W36" i="34"/>
  <c r="Y36" i="34"/>
  <c r="Z36" i="34"/>
  <c r="AA36" i="34"/>
  <c r="AB36" i="34"/>
  <c r="AC36" i="34"/>
  <c r="AD36" i="34"/>
  <c r="AE36" i="34"/>
  <c r="AF36" i="34"/>
  <c r="A37" i="34"/>
  <c r="C37" i="34"/>
  <c r="E37" i="34"/>
  <c r="F37" i="34"/>
  <c r="G37" i="34"/>
  <c r="H37" i="34"/>
  <c r="I37" i="34"/>
  <c r="J37" i="34"/>
  <c r="K37" i="34"/>
  <c r="M37" i="34"/>
  <c r="N37" i="34"/>
  <c r="O37" i="34"/>
  <c r="P37" i="34"/>
  <c r="R37" i="34"/>
  <c r="S37" i="34"/>
  <c r="T37" i="34"/>
  <c r="U37" i="34"/>
  <c r="V37" i="34"/>
  <c r="W37" i="34"/>
  <c r="Y37" i="34"/>
  <c r="Z37" i="34"/>
  <c r="AA37" i="34"/>
  <c r="AB37" i="34"/>
  <c r="AC37" i="34"/>
  <c r="AD37" i="34"/>
  <c r="AE37" i="34"/>
  <c r="AF37" i="34"/>
  <c r="A38" i="34"/>
  <c r="C38" i="34"/>
  <c r="E38" i="34"/>
  <c r="F38" i="34"/>
  <c r="G38" i="34"/>
  <c r="H38" i="34"/>
  <c r="I38" i="34"/>
  <c r="J38" i="34"/>
  <c r="K38" i="34"/>
  <c r="M38" i="34"/>
  <c r="N38" i="34"/>
  <c r="O38" i="34"/>
  <c r="P38" i="34"/>
  <c r="R38" i="34"/>
  <c r="S38" i="34"/>
  <c r="T38" i="34"/>
  <c r="U38" i="34"/>
  <c r="V38" i="34"/>
  <c r="W38" i="34"/>
  <c r="Y38" i="34"/>
  <c r="Z38" i="34"/>
  <c r="AA38" i="34"/>
  <c r="AB38" i="34"/>
  <c r="AC38" i="34"/>
  <c r="AD38" i="34"/>
  <c r="AE38" i="34"/>
  <c r="AF38" i="34"/>
  <c r="A39" i="34"/>
  <c r="C39" i="34"/>
  <c r="E39" i="34"/>
  <c r="F39" i="34"/>
  <c r="G39" i="34"/>
  <c r="H39" i="34"/>
  <c r="I39" i="34"/>
  <c r="J39" i="34"/>
  <c r="K39" i="34"/>
  <c r="M39" i="34"/>
  <c r="N39" i="34"/>
  <c r="O39" i="34"/>
  <c r="P39" i="34"/>
  <c r="R39" i="34"/>
  <c r="S39" i="34"/>
  <c r="T39" i="34"/>
  <c r="U39" i="34"/>
  <c r="V39" i="34"/>
  <c r="W39" i="34"/>
  <c r="Y39" i="34"/>
  <c r="Z39" i="34"/>
  <c r="AA39" i="34"/>
  <c r="AB39" i="34"/>
  <c r="AC39" i="34"/>
  <c r="AD39" i="34"/>
  <c r="AE39" i="34"/>
  <c r="AF39" i="34"/>
  <c r="A40" i="34"/>
  <c r="C40" i="34"/>
  <c r="E40" i="34"/>
  <c r="F40" i="34"/>
  <c r="G40" i="34"/>
  <c r="H40" i="34"/>
  <c r="I40" i="34"/>
  <c r="J40" i="34"/>
  <c r="K40" i="34"/>
  <c r="M40" i="34"/>
  <c r="N40" i="34"/>
  <c r="O40" i="34"/>
  <c r="P40" i="34"/>
  <c r="R40" i="34"/>
  <c r="S40" i="34"/>
  <c r="T40" i="34"/>
  <c r="U40" i="34"/>
  <c r="V40" i="34"/>
  <c r="W40" i="34"/>
  <c r="Y40" i="34"/>
  <c r="Z40" i="34"/>
  <c r="AA40" i="34"/>
  <c r="AB40" i="34"/>
  <c r="AC40" i="34"/>
  <c r="AD40" i="34"/>
  <c r="AE40" i="34"/>
  <c r="AF40" i="34"/>
  <c r="A41" i="34"/>
  <c r="C41" i="34"/>
  <c r="E41" i="34"/>
  <c r="F41" i="34"/>
  <c r="G41" i="34"/>
  <c r="H41" i="34"/>
  <c r="I41" i="34"/>
  <c r="J41" i="34"/>
  <c r="K41" i="34"/>
  <c r="M41" i="34"/>
  <c r="N41" i="34"/>
  <c r="O41" i="34"/>
  <c r="P41" i="34"/>
  <c r="R41" i="34"/>
  <c r="S41" i="34"/>
  <c r="T41" i="34"/>
  <c r="U41" i="34"/>
  <c r="V41" i="34"/>
  <c r="W41" i="34"/>
  <c r="Y41" i="34"/>
  <c r="Z41" i="34"/>
  <c r="AA41" i="34"/>
  <c r="AB41" i="34"/>
  <c r="AC41" i="34"/>
  <c r="AD41" i="34"/>
  <c r="AE41" i="34"/>
  <c r="AF41" i="34"/>
  <c r="A42" i="34"/>
  <c r="C42" i="34"/>
  <c r="E42" i="34"/>
  <c r="F42" i="34"/>
  <c r="G42" i="34"/>
  <c r="H42" i="34"/>
  <c r="I42" i="34"/>
  <c r="J42" i="34"/>
  <c r="K42" i="34"/>
  <c r="M42" i="34"/>
  <c r="N42" i="34"/>
  <c r="O42" i="34"/>
  <c r="P42" i="34"/>
  <c r="R42" i="34"/>
  <c r="S42" i="34"/>
  <c r="T42" i="34"/>
  <c r="U42" i="34"/>
  <c r="V42" i="34"/>
  <c r="W42" i="34"/>
  <c r="Y42" i="34"/>
  <c r="Z42" i="34"/>
  <c r="AA42" i="34"/>
  <c r="AB42" i="34"/>
  <c r="AC42" i="34"/>
  <c r="AD42" i="34"/>
  <c r="AE42" i="34"/>
  <c r="AF42" i="34"/>
  <c r="A43" i="34"/>
  <c r="C43" i="34"/>
  <c r="E43" i="34"/>
  <c r="F43" i="34"/>
  <c r="G43" i="34"/>
  <c r="H43" i="34"/>
  <c r="I43" i="34"/>
  <c r="J43" i="34"/>
  <c r="K43" i="34"/>
  <c r="M43" i="34"/>
  <c r="N43" i="34"/>
  <c r="O43" i="34"/>
  <c r="P43" i="34"/>
  <c r="R43" i="34"/>
  <c r="S43" i="34"/>
  <c r="T43" i="34"/>
  <c r="U43" i="34"/>
  <c r="V43" i="34"/>
  <c r="W43" i="34"/>
  <c r="Y43" i="34"/>
  <c r="Z43" i="34"/>
  <c r="AA43" i="34"/>
  <c r="AB43" i="34"/>
  <c r="AC43" i="34"/>
  <c r="AD43" i="34"/>
  <c r="AE43" i="34"/>
  <c r="AF43" i="34"/>
  <c r="A44" i="34"/>
  <c r="C44" i="34"/>
  <c r="E44" i="34"/>
  <c r="F44" i="34"/>
  <c r="G44" i="34"/>
  <c r="H44" i="34"/>
  <c r="I44" i="34"/>
  <c r="J44" i="34"/>
  <c r="K44" i="34"/>
  <c r="M44" i="34"/>
  <c r="N44" i="34"/>
  <c r="O44" i="34"/>
  <c r="P44" i="34"/>
  <c r="R44" i="34"/>
  <c r="S44" i="34"/>
  <c r="T44" i="34"/>
  <c r="U44" i="34"/>
  <c r="V44" i="34"/>
  <c r="W44" i="34"/>
  <c r="Y44" i="34"/>
  <c r="Z44" i="34"/>
  <c r="AA44" i="34"/>
  <c r="AB44" i="34"/>
  <c r="AC44" i="34"/>
  <c r="AD44" i="34"/>
  <c r="AE44" i="34"/>
  <c r="AF44" i="34"/>
  <c r="A45" i="34"/>
  <c r="C45" i="34"/>
  <c r="E45" i="34"/>
  <c r="F45" i="34"/>
  <c r="G45" i="34"/>
  <c r="H45" i="34"/>
  <c r="I45" i="34"/>
  <c r="J45" i="34"/>
  <c r="K45" i="34"/>
  <c r="M45" i="34"/>
  <c r="N45" i="34"/>
  <c r="O45" i="34"/>
  <c r="P45" i="34"/>
  <c r="R45" i="34"/>
  <c r="S45" i="34"/>
  <c r="T45" i="34"/>
  <c r="U45" i="34"/>
  <c r="V45" i="34"/>
  <c r="W45" i="34"/>
  <c r="Y45" i="34"/>
  <c r="Z45" i="34"/>
  <c r="AA45" i="34"/>
  <c r="AB45" i="34"/>
  <c r="AC45" i="34"/>
  <c r="AD45" i="34"/>
  <c r="AE45" i="34"/>
  <c r="AF45" i="34"/>
  <c r="A46" i="34"/>
  <c r="C46" i="34"/>
  <c r="E46" i="34"/>
  <c r="F46" i="34"/>
  <c r="G46" i="34"/>
  <c r="H46" i="34"/>
  <c r="I46" i="34"/>
  <c r="J46" i="34"/>
  <c r="K46" i="34"/>
  <c r="M46" i="34"/>
  <c r="N46" i="34"/>
  <c r="O46" i="34"/>
  <c r="P46" i="34"/>
  <c r="R46" i="34"/>
  <c r="S46" i="34"/>
  <c r="T46" i="34"/>
  <c r="U46" i="34"/>
  <c r="V46" i="34"/>
  <c r="W46" i="34"/>
  <c r="Y46" i="34"/>
  <c r="Z46" i="34"/>
  <c r="AA46" i="34"/>
  <c r="AB46" i="34"/>
  <c r="AC46" i="34"/>
  <c r="AD46" i="34"/>
  <c r="AE46" i="34"/>
  <c r="AF46" i="34"/>
  <c r="A47" i="34"/>
  <c r="C47" i="34"/>
  <c r="E47" i="34"/>
  <c r="F47" i="34"/>
  <c r="G47" i="34"/>
  <c r="H47" i="34"/>
  <c r="I47" i="34"/>
  <c r="J47" i="34"/>
  <c r="K47" i="34"/>
  <c r="M47" i="34"/>
  <c r="N47" i="34"/>
  <c r="O47" i="34"/>
  <c r="P47" i="34"/>
  <c r="R47" i="34"/>
  <c r="S47" i="34"/>
  <c r="T47" i="34"/>
  <c r="U47" i="34"/>
  <c r="V47" i="34"/>
  <c r="W47" i="34"/>
  <c r="Y47" i="34"/>
  <c r="Z47" i="34"/>
  <c r="AA47" i="34"/>
  <c r="AB47" i="34"/>
  <c r="AC47" i="34"/>
  <c r="AD47" i="34"/>
  <c r="AE47" i="34"/>
  <c r="AF47" i="34"/>
  <c r="A48" i="34"/>
  <c r="C48" i="34"/>
  <c r="E48" i="34"/>
  <c r="F48" i="34"/>
  <c r="G48" i="34"/>
  <c r="H48" i="34"/>
  <c r="I48" i="34"/>
  <c r="J48" i="34"/>
  <c r="K48" i="34"/>
  <c r="M48" i="34"/>
  <c r="N48" i="34"/>
  <c r="O48" i="34"/>
  <c r="P48" i="34"/>
  <c r="R48" i="34"/>
  <c r="S48" i="34"/>
  <c r="T48" i="34"/>
  <c r="U48" i="34"/>
  <c r="V48" i="34"/>
  <c r="W48" i="34"/>
  <c r="Y48" i="34"/>
  <c r="Z48" i="34"/>
  <c r="AA48" i="34"/>
  <c r="AB48" i="34"/>
  <c r="AC48" i="34"/>
  <c r="AD48" i="34"/>
  <c r="AE48" i="34"/>
  <c r="AF48" i="34"/>
  <c r="A49" i="34"/>
  <c r="C49" i="34"/>
  <c r="E49" i="34"/>
  <c r="F49" i="34"/>
  <c r="G49" i="34"/>
  <c r="H49" i="34"/>
  <c r="I49" i="34"/>
  <c r="J49" i="34"/>
  <c r="K49" i="34"/>
  <c r="M49" i="34"/>
  <c r="N49" i="34"/>
  <c r="O49" i="34"/>
  <c r="P49" i="34"/>
  <c r="R49" i="34"/>
  <c r="S49" i="34"/>
  <c r="T49" i="34"/>
  <c r="U49" i="34"/>
  <c r="V49" i="34"/>
  <c r="W49" i="34"/>
  <c r="Y49" i="34"/>
  <c r="Z49" i="34"/>
  <c r="AA49" i="34"/>
  <c r="AB49" i="34"/>
  <c r="AC49" i="34"/>
  <c r="AD49" i="34"/>
  <c r="AE49" i="34"/>
  <c r="AF49" i="34"/>
  <c r="A50" i="34"/>
  <c r="C50" i="34"/>
  <c r="E50" i="34"/>
  <c r="F50" i="34"/>
  <c r="G50" i="34"/>
  <c r="H50" i="34"/>
  <c r="I50" i="34"/>
  <c r="J50" i="34"/>
  <c r="K50" i="34"/>
  <c r="M50" i="34"/>
  <c r="N50" i="34"/>
  <c r="O50" i="34"/>
  <c r="P50" i="34"/>
  <c r="R50" i="34"/>
  <c r="S50" i="34"/>
  <c r="T50" i="34"/>
  <c r="U50" i="34"/>
  <c r="V50" i="34"/>
  <c r="W50" i="34"/>
  <c r="Y50" i="34"/>
  <c r="Z50" i="34"/>
  <c r="AA50" i="34"/>
  <c r="AB50" i="34"/>
  <c r="AC50" i="34"/>
  <c r="AD50" i="34"/>
  <c r="AE50" i="34"/>
  <c r="AF50" i="34"/>
  <c r="A51" i="34"/>
  <c r="C51" i="34"/>
  <c r="E51" i="34"/>
  <c r="F51" i="34"/>
  <c r="G51" i="34"/>
  <c r="H51" i="34"/>
  <c r="I51" i="34"/>
  <c r="J51" i="34"/>
  <c r="K51" i="34"/>
  <c r="M51" i="34"/>
  <c r="N51" i="34"/>
  <c r="O51" i="34"/>
  <c r="P51" i="34"/>
  <c r="R51" i="34"/>
  <c r="S51" i="34"/>
  <c r="T51" i="34"/>
  <c r="U51" i="34"/>
  <c r="V51" i="34"/>
  <c r="W51" i="34"/>
  <c r="Y51" i="34"/>
  <c r="Z51" i="34"/>
  <c r="AA51" i="34"/>
  <c r="AB51" i="34"/>
  <c r="AC51" i="34"/>
  <c r="AD51" i="34"/>
  <c r="AE51" i="34"/>
  <c r="AF51" i="34"/>
  <c r="A52" i="34"/>
  <c r="C52" i="34"/>
  <c r="E52" i="34"/>
  <c r="F52" i="34"/>
  <c r="G52" i="34"/>
  <c r="H52" i="34"/>
  <c r="I52" i="34"/>
  <c r="J52" i="34"/>
  <c r="K52" i="34"/>
  <c r="M52" i="34"/>
  <c r="N52" i="34"/>
  <c r="O52" i="34"/>
  <c r="P52" i="34"/>
  <c r="R52" i="34"/>
  <c r="S52" i="34"/>
  <c r="T52" i="34"/>
  <c r="U52" i="34"/>
  <c r="V52" i="34"/>
  <c r="W52" i="34"/>
  <c r="Y52" i="34"/>
  <c r="Z52" i="34"/>
  <c r="AA52" i="34"/>
  <c r="AB52" i="34"/>
  <c r="AC52" i="34"/>
  <c r="AD52" i="34"/>
  <c r="AE52" i="34"/>
  <c r="AF52" i="34"/>
  <c r="A53" i="34"/>
  <c r="C53" i="34"/>
  <c r="E53" i="34"/>
  <c r="F53" i="34"/>
  <c r="G53" i="34"/>
  <c r="H53" i="34"/>
  <c r="I53" i="34"/>
  <c r="J53" i="34"/>
  <c r="K53" i="34"/>
  <c r="M53" i="34"/>
  <c r="N53" i="34"/>
  <c r="O53" i="34"/>
  <c r="P53" i="34"/>
  <c r="R53" i="34"/>
  <c r="S53" i="34"/>
  <c r="T53" i="34"/>
  <c r="U53" i="34"/>
  <c r="V53" i="34"/>
  <c r="W53" i="34"/>
  <c r="Y53" i="34"/>
  <c r="Z53" i="34"/>
  <c r="AA53" i="34"/>
  <c r="AB53" i="34"/>
  <c r="AC53" i="34"/>
  <c r="AD53" i="34"/>
  <c r="AE53" i="34"/>
  <c r="AF53" i="34"/>
  <c r="A54" i="34"/>
  <c r="C54" i="34"/>
  <c r="E54" i="34"/>
  <c r="F54" i="34"/>
  <c r="G54" i="34"/>
  <c r="H54" i="34"/>
  <c r="I54" i="34"/>
  <c r="J54" i="34"/>
  <c r="K54" i="34"/>
  <c r="M54" i="34"/>
  <c r="N54" i="34"/>
  <c r="O54" i="34"/>
  <c r="P54" i="34"/>
  <c r="R54" i="34"/>
  <c r="S54" i="34"/>
  <c r="T54" i="34"/>
  <c r="U54" i="34"/>
  <c r="V54" i="34"/>
  <c r="W54" i="34"/>
  <c r="Y54" i="34"/>
  <c r="Z54" i="34"/>
  <c r="AA54" i="34"/>
  <c r="AB54" i="34"/>
  <c r="AC54" i="34"/>
  <c r="AD54" i="34"/>
  <c r="AE54" i="34"/>
  <c r="AF54" i="34"/>
  <c r="A55" i="34"/>
  <c r="C55" i="34"/>
  <c r="E55" i="34"/>
  <c r="F55" i="34"/>
  <c r="G55" i="34"/>
  <c r="H55" i="34"/>
  <c r="I55" i="34"/>
  <c r="J55" i="34"/>
  <c r="K55" i="34"/>
  <c r="M55" i="34"/>
  <c r="N55" i="34"/>
  <c r="O55" i="34"/>
  <c r="P55" i="34"/>
  <c r="R55" i="34"/>
  <c r="S55" i="34"/>
  <c r="T55" i="34"/>
  <c r="U55" i="34"/>
  <c r="V55" i="34"/>
  <c r="W55" i="34"/>
  <c r="Y55" i="34"/>
  <c r="Z55" i="34"/>
  <c r="AA55" i="34"/>
  <c r="AB55" i="34"/>
  <c r="AC55" i="34"/>
  <c r="AD55" i="34"/>
  <c r="AE55" i="34"/>
  <c r="AF55" i="34"/>
  <c r="A56" i="34"/>
  <c r="C56" i="34"/>
  <c r="E56" i="34"/>
  <c r="F56" i="34"/>
  <c r="G56" i="34"/>
  <c r="H56" i="34"/>
  <c r="I56" i="34"/>
  <c r="J56" i="34"/>
  <c r="K56" i="34"/>
  <c r="M56" i="34"/>
  <c r="N56" i="34"/>
  <c r="O56" i="34"/>
  <c r="P56" i="34"/>
  <c r="R56" i="34"/>
  <c r="S56" i="34"/>
  <c r="T56" i="34"/>
  <c r="U56" i="34"/>
  <c r="V56" i="34"/>
  <c r="W56" i="34"/>
  <c r="Y56" i="34"/>
  <c r="Z56" i="34"/>
  <c r="AA56" i="34"/>
  <c r="AB56" i="34"/>
  <c r="AC56" i="34"/>
  <c r="AD56" i="34"/>
  <c r="AE56" i="34"/>
  <c r="AF56" i="34"/>
  <c r="A57" i="34"/>
  <c r="C57" i="34"/>
  <c r="E57" i="34"/>
  <c r="F57" i="34"/>
  <c r="G57" i="34"/>
  <c r="H57" i="34"/>
  <c r="I57" i="34"/>
  <c r="J57" i="34"/>
  <c r="K57" i="34"/>
  <c r="M57" i="34"/>
  <c r="N57" i="34"/>
  <c r="O57" i="34"/>
  <c r="P57" i="34"/>
  <c r="R57" i="34"/>
  <c r="S57" i="34"/>
  <c r="T57" i="34"/>
  <c r="U57" i="34"/>
  <c r="V57" i="34"/>
  <c r="W57" i="34"/>
  <c r="Y57" i="34"/>
  <c r="Z57" i="34"/>
  <c r="AA57" i="34"/>
  <c r="AB57" i="34"/>
  <c r="AC57" i="34"/>
  <c r="AD57" i="34"/>
  <c r="AE57" i="34"/>
  <c r="AF57" i="34"/>
  <c r="A58" i="34"/>
  <c r="C58" i="34"/>
  <c r="E58" i="34"/>
  <c r="F58" i="34"/>
  <c r="G58" i="34"/>
  <c r="H58" i="34"/>
  <c r="I58" i="34"/>
  <c r="J58" i="34"/>
  <c r="K58" i="34"/>
  <c r="M58" i="34"/>
  <c r="N58" i="34"/>
  <c r="O58" i="34"/>
  <c r="P58" i="34"/>
  <c r="R58" i="34"/>
  <c r="S58" i="34"/>
  <c r="T58" i="34"/>
  <c r="U58" i="34"/>
  <c r="V58" i="34"/>
  <c r="W58" i="34"/>
  <c r="Y58" i="34"/>
  <c r="Z58" i="34"/>
  <c r="AA58" i="34"/>
  <c r="AB58" i="34"/>
  <c r="AC58" i="34"/>
  <c r="AD58" i="34"/>
  <c r="AE58" i="34"/>
  <c r="AF58" i="34"/>
  <c r="A59" i="34"/>
  <c r="C59" i="34"/>
  <c r="E59" i="34"/>
  <c r="F59" i="34"/>
  <c r="G59" i="34"/>
  <c r="H59" i="34"/>
  <c r="I59" i="34"/>
  <c r="J59" i="34"/>
  <c r="K59" i="34"/>
  <c r="M59" i="34"/>
  <c r="N59" i="34"/>
  <c r="O59" i="34"/>
  <c r="P59" i="34"/>
  <c r="R59" i="34"/>
  <c r="S59" i="34"/>
  <c r="T59" i="34"/>
  <c r="U59" i="34"/>
  <c r="V59" i="34"/>
  <c r="W59" i="34"/>
  <c r="Y59" i="34"/>
  <c r="Z59" i="34"/>
  <c r="AA59" i="34"/>
  <c r="AB59" i="34"/>
  <c r="AC59" i="34"/>
  <c r="AD59" i="34"/>
  <c r="AE59" i="34"/>
  <c r="AF59" i="34"/>
  <c r="A60" i="34"/>
  <c r="C60" i="34"/>
  <c r="E60" i="34"/>
  <c r="F60" i="34"/>
  <c r="G60" i="34"/>
  <c r="H60" i="34"/>
  <c r="I60" i="34"/>
  <c r="J60" i="34"/>
  <c r="K60" i="34"/>
  <c r="M60" i="34"/>
  <c r="N60" i="34"/>
  <c r="O60" i="34"/>
  <c r="P60" i="34"/>
  <c r="R60" i="34"/>
  <c r="S60" i="34"/>
  <c r="T60" i="34"/>
  <c r="U60" i="34"/>
  <c r="V60" i="34"/>
  <c r="W60" i="34"/>
  <c r="Y60" i="34"/>
  <c r="Z60" i="34"/>
  <c r="AA60" i="34"/>
  <c r="AB60" i="34"/>
  <c r="AC60" i="34"/>
  <c r="AD60" i="34"/>
  <c r="AE60" i="34"/>
  <c r="AF60" i="34"/>
  <c r="A61" i="34"/>
  <c r="C61" i="34"/>
  <c r="E61" i="34"/>
  <c r="F61" i="34"/>
  <c r="G61" i="34"/>
  <c r="H61" i="34"/>
  <c r="I61" i="34"/>
  <c r="J61" i="34"/>
  <c r="K61" i="34"/>
  <c r="M61" i="34"/>
  <c r="N61" i="34"/>
  <c r="O61" i="34"/>
  <c r="P61" i="34"/>
  <c r="R61" i="34"/>
  <c r="S61" i="34"/>
  <c r="T61" i="34"/>
  <c r="U61" i="34"/>
  <c r="V61" i="34"/>
  <c r="W61" i="34"/>
  <c r="Y61" i="34"/>
  <c r="Z61" i="34"/>
  <c r="AA61" i="34"/>
  <c r="AB61" i="34"/>
  <c r="AC61" i="34"/>
  <c r="AD61" i="34"/>
  <c r="AE61" i="34"/>
  <c r="AF61" i="34"/>
  <c r="A62" i="34"/>
  <c r="C62" i="34"/>
  <c r="E62" i="34"/>
  <c r="F62" i="34"/>
  <c r="G62" i="34"/>
  <c r="H62" i="34"/>
  <c r="I62" i="34"/>
  <c r="J62" i="34"/>
  <c r="K62" i="34"/>
  <c r="M62" i="34"/>
  <c r="N62" i="34"/>
  <c r="O62" i="34"/>
  <c r="P62" i="34"/>
  <c r="R62" i="34"/>
  <c r="S62" i="34"/>
  <c r="T62" i="34"/>
  <c r="U62" i="34"/>
  <c r="V62" i="34"/>
  <c r="W62" i="34"/>
  <c r="Y62" i="34"/>
  <c r="Z62" i="34"/>
  <c r="AA62" i="34"/>
  <c r="AB62" i="34"/>
  <c r="AC62" i="34"/>
  <c r="AD62" i="34"/>
  <c r="AE62" i="34"/>
  <c r="AF62" i="34"/>
  <c r="A63" i="34"/>
  <c r="C63" i="34"/>
  <c r="E63" i="34"/>
  <c r="F63" i="34"/>
  <c r="G63" i="34"/>
  <c r="H63" i="34"/>
  <c r="I63" i="34"/>
  <c r="J63" i="34"/>
  <c r="K63" i="34"/>
  <c r="M63" i="34"/>
  <c r="N63" i="34"/>
  <c r="O63" i="34"/>
  <c r="P63" i="34"/>
  <c r="R63" i="34"/>
  <c r="S63" i="34"/>
  <c r="T63" i="34"/>
  <c r="U63" i="34"/>
  <c r="V63" i="34"/>
  <c r="W63" i="34"/>
  <c r="Y63" i="34"/>
  <c r="Z63" i="34"/>
  <c r="AA63" i="34"/>
  <c r="AB63" i="34"/>
  <c r="AC63" i="34"/>
  <c r="AD63" i="34"/>
  <c r="AE63" i="34"/>
  <c r="AF63" i="34"/>
  <c r="A64" i="34"/>
  <c r="C64" i="34"/>
  <c r="E64" i="34"/>
  <c r="F64" i="34"/>
  <c r="G64" i="34"/>
  <c r="H64" i="34"/>
  <c r="I64" i="34"/>
  <c r="J64" i="34"/>
  <c r="K64" i="34"/>
  <c r="M64" i="34"/>
  <c r="N64" i="34"/>
  <c r="O64" i="34"/>
  <c r="P64" i="34"/>
  <c r="R64" i="34"/>
  <c r="S64" i="34"/>
  <c r="T64" i="34"/>
  <c r="U64" i="34"/>
  <c r="V64" i="34"/>
  <c r="W64" i="34"/>
  <c r="Y64" i="34"/>
  <c r="Z64" i="34"/>
  <c r="AA64" i="34"/>
  <c r="AB64" i="34"/>
  <c r="AC64" i="34"/>
  <c r="AD64" i="34"/>
  <c r="AE64" i="34"/>
  <c r="AF64" i="34"/>
  <c r="A65" i="34"/>
  <c r="C65" i="34"/>
  <c r="E65" i="34"/>
  <c r="F65" i="34"/>
  <c r="G65" i="34"/>
  <c r="H65" i="34"/>
  <c r="I65" i="34"/>
  <c r="J65" i="34"/>
  <c r="K65" i="34"/>
  <c r="M65" i="34"/>
  <c r="N65" i="34"/>
  <c r="O65" i="34"/>
  <c r="P65" i="34"/>
  <c r="R65" i="34"/>
  <c r="S65" i="34"/>
  <c r="T65" i="34"/>
  <c r="U65" i="34"/>
  <c r="V65" i="34"/>
  <c r="W65" i="34"/>
  <c r="Y65" i="34"/>
  <c r="Z65" i="34"/>
  <c r="AA65" i="34"/>
  <c r="AB65" i="34"/>
  <c r="AC65" i="34"/>
  <c r="AD65" i="34"/>
  <c r="AE65" i="34"/>
  <c r="AF65" i="34"/>
  <c r="A66" i="34"/>
  <c r="C66" i="34"/>
  <c r="E66" i="34"/>
  <c r="F66" i="34"/>
  <c r="G66" i="34"/>
  <c r="H66" i="34"/>
  <c r="I66" i="34"/>
  <c r="J66" i="34"/>
  <c r="K66" i="34"/>
  <c r="M66" i="34"/>
  <c r="N66" i="34"/>
  <c r="O66" i="34"/>
  <c r="P66" i="34"/>
  <c r="R66" i="34"/>
  <c r="S66" i="34"/>
  <c r="T66" i="34"/>
  <c r="U66" i="34"/>
  <c r="V66" i="34"/>
  <c r="W66" i="34"/>
  <c r="Y66" i="34"/>
  <c r="Z66" i="34"/>
  <c r="AA66" i="34"/>
  <c r="AB66" i="34"/>
  <c r="AC66" i="34"/>
  <c r="AD66" i="34"/>
  <c r="AE66" i="34"/>
  <c r="AF66" i="34"/>
  <c r="A67" i="34"/>
  <c r="C67" i="34"/>
  <c r="E67" i="34"/>
  <c r="F67" i="34"/>
  <c r="G67" i="34"/>
  <c r="H67" i="34"/>
  <c r="I67" i="34"/>
  <c r="J67" i="34"/>
  <c r="K67" i="34"/>
  <c r="M67" i="34"/>
  <c r="N67" i="34"/>
  <c r="O67" i="34"/>
  <c r="P67" i="34"/>
  <c r="R67" i="34"/>
  <c r="S67" i="34"/>
  <c r="T67" i="34"/>
  <c r="U67" i="34"/>
  <c r="V67" i="34"/>
  <c r="W67" i="34"/>
  <c r="Y67" i="34"/>
  <c r="Z67" i="34"/>
  <c r="AA67" i="34"/>
  <c r="AB67" i="34"/>
  <c r="AC67" i="34"/>
  <c r="AD67" i="34"/>
  <c r="AE67" i="34"/>
  <c r="AF67" i="34"/>
  <c r="A68" i="34"/>
  <c r="C68" i="34"/>
  <c r="E68" i="34"/>
  <c r="F68" i="34"/>
  <c r="G68" i="34"/>
  <c r="H68" i="34"/>
  <c r="I68" i="34"/>
  <c r="J68" i="34"/>
  <c r="K68" i="34"/>
  <c r="M68" i="34"/>
  <c r="N68" i="34"/>
  <c r="O68" i="34"/>
  <c r="P68" i="34"/>
  <c r="R68" i="34"/>
  <c r="S68" i="34"/>
  <c r="T68" i="34"/>
  <c r="U68" i="34"/>
  <c r="V68" i="34"/>
  <c r="W68" i="34"/>
  <c r="Y68" i="34"/>
  <c r="Z68" i="34"/>
  <c r="AA68" i="34"/>
  <c r="AB68" i="34"/>
  <c r="AC68" i="34"/>
  <c r="AD68" i="34"/>
  <c r="AE68" i="34"/>
  <c r="AF68" i="34"/>
  <c r="A69" i="34"/>
  <c r="C69" i="34"/>
  <c r="E69" i="34"/>
  <c r="F69" i="34"/>
  <c r="G69" i="34"/>
  <c r="H69" i="34"/>
  <c r="I69" i="34"/>
  <c r="J69" i="34"/>
  <c r="K69" i="34"/>
  <c r="M69" i="34"/>
  <c r="N69" i="34"/>
  <c r="O69" i="34"/>
  <c r="P69" i="34"/>
  <c r="R69" i="34"/>
  <c r="S69" i="34"/>
  <c r="T69" i="34"/>
  <c r="U69" i="34"/>
  <c r="V69" i="34"/>
  <c r="W69" i="34"/>
  <c r="Y69" i="34"/>
  <c r="Z69" i="34"/>
  <c r="AA69" i="34"/>
  <c r="AB69" i="34"/>
  <c r="AC69" i="34"/>
  <c r="AD69" i="34"/>
  <c r="AE69" i="34"/>
  <c r="AF69" i="34"/>
  <c r="A70" i="34"/>
  <c r="C70" i="34"/>
  <c r="E70" i="34"/>
  <c r="F70" i="34"/>
  <c r="G70" i="34"/>
  <c r="H70" i="34"/>
  <c r="I70" i="34"/>
  <c r="J70" i="34"/>
  <c r="K70" i="34"/>
  <c r="M70" i="34"/>
  <c r="N70" i="34"/>
  <c r="O70" i="34"/>
  <c r="P70" i="34"/>
  <c r="R70" i="34"/>
  <c r="S70" i="34"/>
  <c r="T70" i="34"/>
  <c r="U70" i="34"/>
  <c r="V70" i="34"/>
  <c r="W70" i="34"/>
  <c r="Y70" i="34"/>
  <c r="Z70" i="34"/>
  <c r="AA70" i="34"/>
  <c r="AB70" i="34"/>
  <c r="AC70" i="34"/>
  <c r="AD70" i="34"/>
  <c r="AE70" i="34"/>
  <c r="AF70" i="34"/>
  <c r="A71" i="34"/>
  <c r="C71" i="34"/>
  <c r="E71" i="34"/>
  <c r="F71" i="34"/>
  <c r="G71" i="34"/>
  <c r="H71" i="34"/>
  <c r="I71" i="34"/>
  <c r="J71" i="34"/>
  <c r="K71" i="34"/>
  <c r="M71" i="34"/>
  <c r="N71" i="34"/>
  <c r="O71" i="34"/>
  <c r="P71" i="34"/>
  <c r="R71" i="34"/>
  <c r="S71" i="34"/>
  <c r="T71" i="34"/>
  <c r="U71" i="34"/>
  <c r="V71" i="34"/>
  <c r="W71" i="34"/>
  <c r="Y71" i="34"/>
  <c r="Z71" i="34"/>
  <c r="AA71" i="34"/>
  <c r="AB71" i="34"/>
  <c r="AC71" i="34"/>
  <c r="AD71" i="34"/>
  <c r="AE71" i="34"/>
  <c r="AF71" i="34"/>
  <c r="A72" i="34"/>
  <c r="C72" i="34"/>
  <c r="E72" i="34"/>
  <c r="F72" i="34"/>
  <c r="G72" i="34"/>
  <c r="H72" i="34"/>
  <c r="I72" i="34"/>
  <c r="J72" i="34"/>
  <c r="K72" i="34"/>
  <c r="M72" i="34"/>
  <c r="N72" i="34"/>
  <c r="O72" i="34"/>
  <c r="P72" i="34"/>
  <c r="R72" i="34"/>
  <c r="S72" i="34"/>
  <c r="T72" i="34"/>
  <c r="U72" i="34"/>
  <c r="V72" i="34"/>
  <c r="W72" i="34"/>
  <c r="Y72" i="34"/>
  <c r="Z72" i="34"/>
  <c r="AA72" i="34"/>
  <c r="AB72" i="34"/>
  <c r="AC72" i="34"/>
  <c r="AD72" i="34"/>
  <c r="AE72" i="34"/>
  <c r="AF72" i="34"/>
  <c r="A73" i="34"/>
  <c r="C73" i="34"/>
  <c r="E73" i="34"/>
  <c r="F73" i="34"/>
  <c r="G73" i="34"/>
  <c r="H73" i="34"/>
  <c r="I73" i="34"/>
  <c r="J73" i="34"/>
  <c r="K73" i="34"/>
  <c r="M73" i="34"/>
  <c r="N73" i="34"/>
  <c r="O73" i="34"/>
  <c r="P73" i="34"/>
  <c r="R73" i="34"/>
  <c r="S73" i="34"/>
  <c r="T73" i="34"/>
  <c r="U73" i="34"/>
  <c r="V73" i="34"/>
  <c r="W73" i="34"/>
  <c r="Y73" i="34"/>
  <c r="Z73" i="34"/>
  <c r="AA73" i="34"/>
  <c r="AB73" i="34"/>
  <c r="AC73" i="34"/>
  <c r="AD73" i="34"/>
  <c r="AE73" i="34"/>
  <c r="AF73" i="34"/>
  <c r="A74" i="34"/>
  <c r="C74" i="34"/>
  <c r="E74" i="34"/>
  <c r="F74" i="34"/>
  <c r="G74" i="34"/>
  <c r="H74" i="34"/>
  <c r="I74" i="34"/>
  <c r="J74" i="34"/>
  <c r="K74" i="34"/>
  <c r="M74" i="34"/>
  <c r="N74" i="34"/>
  <c r="O74" i="34"/>
  <c r="P74" i="34"/>
  <c r="R74" i="34"/>
  <c r="S74" i="34"/>
  <c r="T74" i="34"/>
  <c r="U74" i="34"/>
  <c r="V74" i="34"/>
  <c r="W74" i="34"/>
  <c r="Y74" i="34"/>
  <c r="Z74" i="34"/>
  <c r="AA74" i="34"/>
  <c r="AB74" i="34"/>
  <c r="AC74" i="34"/>
  <c r="AD74" i="34"/>
  <c r="AE74" i="34"/>
  <c r="AF74" i="34"/>
  <c r="A75" i="34"/>
  <c r="C75" i="34"/>
  <c r="E75" i="34"/>
  <c r="F75" i="34"/>
  <c r="G75" i="34"/>
  <c r="H75" i="34"/>
  <c r="I75" i="34"/>
  <c r="J75" i="34"/>
  <c r="K75" i="34"/>
  <c r="M75" i="34"/>
  <c r="N75" i="34"/>
  <c r="O75" i="34"/>
  <c r="P75" i="34"/>
  <c r="R75" i="34"/>
  <c r="S75" i="34"/>
  <c r="T75" i="34"/>
  <c r="U75" i="34"/>
  <c r="V75" i="34"/>
  <c r="W75" i="34"/>
  <c r="Y75" i="34"/>
  <c r="Z75" i="34"/>
  <c r="AA75" i="34"/>
  <c r="AB75" i="34"/>
  <c r="AC75" i="34"/>
  <c r="AD75" i="34"/>
  <c r="AE75" i="34"/>
  <c r="AF75" i="34"/>
  <c r="A76" i="34"/>
  <c r="C76" i="34"/>
  <c r="E76" i="34"/>
  <c r="F76" i="34"/>
  <c r="G76" i="34"/>
  <c r="H76" i="34"/>
  <c r="I76" i="34"/>
  <c r="J76" i="34"/>
  <c r="K76" i="34"/>
  <c r="M76" i="34"/>
  <c r="N76" i="34"/>
  <c r="O76" i="34"/>
  <c r="P76" i="34"/>
  <c r="R76" i="34"/>
  <c r="S76" i="34"/>
  <c r="T76" i="34"/>
  <c r="U76" i="34"/>
  <c r="V76" i="34"/>
  <c r="W76" i="34"/>
  <c r="Y76" i="34"/>
  <c r="Z76" i="34"/>
  <c r="AA76" i="34"/>
  <c r="AB76" i="34"/>
  <c r="AC76" i="34"/>
  <c r="AD76" i="34"/>
  <c r="AE76" i="34"/>
  <c r="AF76" i="34"/>
  <c r="A77" i="34"/>
  <c r="C77" i="34"/>
  <c r="E77" i="34"/>
  <c r="F77" i="34"/>
  <c r="G77" i="34"/>
  <c r="H77" i="34"/>
  <c r="I77" i="34"/>
  <c r="J77" i="34"/>
  <c r="K77" i="34"/>
  <c r="M77" i="34"/>
  <c r="N77" i="34"/>
  <c r="O77" i="34"/>
  <c r="P77" i="34"/>
  <c r="R77" i="34"/>
  <c r="S77" i="34"/>
  <c r="T77" i="34"/>
  <c r="U77" i="34"/>
  <c r="V77" i="34"/>
  <c r="W77" i="34"/>
  <c r="Y77" i="34"/>
  <c r="Z77" i="34"/>
  <c r="AA77" i="34"/>
  <c r="AB77" i="34"/>
  <c r="AC77" i="34"/>
  <c r="AD77" i="34"/>
  <c r="AE77" i="34"/>
  <c r="AF77" i="34"/>
  <c r="A78" i="34"/>
  <c r="C78" i="34"/>
  <c r="E78" i="34"/>
  <c r="F78" i="34"/>
  <c r="G78" i="34"/>
  <c r="H78" i="34"/>
  <c r="I78" i="34"/>
  <c r="J78" i="34"/>
  <c r="K78" i="34"/>
  <c r="M78" i="34"/>
  <c r="N78" i="34"/>
  <c r="O78" i="34"/>
  <c r="P78" i="34"/>
  <c r="R78" i="34"/>
  <c r="S78" i="34"/>
  <c r="T78" i="34"/>
  <c r="U78" i="34"/>
  <c r="V78" i="34"/>
  <c r="W78" i="34"/>
  <c r="Y78" i="34"/>
  <c r="Z78" i="34"/>
  <c r="AA78" i="34"/>
  <c r="AB78" i="34"/>
  <c r="AC78" i="34"/>
  <c r="AD78" i="34"/>
  <c r="AE78" i="34"/>
  <c r="AF78" i="34"/>
  <c r="A79" i="34"/>
  <c r="C79" i="34"/>
  <c r="E79" i="34"/>
  <c r="F79" i="34"/>
  <c r="G79" i="34"/>
  <c r="H79" i="34"/>
  <c r="I79" i="34"/>
  <c r="J79" i="34"/>
  <c r="K79" i="34"/>
  <c r="M79" i="34"/>
  <c r="N79" i="34"/>
  <c r="O79" i="34"/>
  <c r="P79" i="34"/>
  <c r="R79" i="34"/>
  <c r="S79" i="34"/>
  <c r="T79" i="34"/>
  <c r="U79" i="34"/>
  <c r="V79" i="34"/>
  <c r="W79" i="34"/>
  <c r="Y79" i="34"/>
  <c r="Z79" i="34"/>
  <c r="AA79" i="34"/>
  <c r="AB79" i="34"/>
  <c r="AC79" i="34"/>
  <c r="AD79" i="34"/>
  <c r="AE79" i="34"/>
  <c r="AF79" i="34"/>
  <c r="A80" i="34"/>
  <c r="C80" i="34"/>
  <c r="E80" i="34"/>
  <c r="F80" i="34"/>
  <c r="G80" i="34"/>
  <c r="H80" i="34"/>
  <c r="I80" i="34"/>
  <c r="J80" i="34"/>
  <c r="K80" i="34"/>
  <c r="M80" i="34"/>
  <c r="N80" i="34"/>
  <c r="O80" i="34"/>
  <c r="P80" i="34"/>
  <c r="R80" i="34"/>
  <c r="S80" i="34"/>
  <c r="T80" i="34"/>
  <c r="U80" i="34"/>
  <c r="V80" i="34"/>
  <c r="W80" i="34"/>
  <c r="Y80" i="34"/>
  <c r="Z80" i="34"/>
  <c r="AA80" i="34"/>
  <c r="AB80" i="34"/>
  <c r="AC80" i="34"/>
  <c r="AD80" i="34"/>
  <c r="AE80" i="34"/>
  <c r="AF80" i="34"/>
  <c r="A81" i="34"/>
  <c r="C81" i="34"/>
  <c r="E81" i="34"/>
  <c r="F81" i="34"/>
  <c r="G81" i="34"/>
  <c r="H81" i="34"/>
  <c r="I81" i="34"/>
  <c r="J81" i="34"/>
  <c r="K81" i="34"/>
  <c r="M81" i="34"/>
  <c r="N81" i="34"/>
  <c r="O81" i="34"/>
  <c r="P81" i="34"/>
  <c r="R81" i="34"/>
  <c r="S81" i="34"/>
  <c r="T81" i="34"/>
  <c r="U81" i="34"/>
  <c r="V81" i="34"/>
  <c r="W81" i="34"/>
  <c r="Y81" i="34"/>
  <c r="Z81" i="34"/>
  <c r="AA81" i="34"/>
  <c r="AB81" i="34"/>
  <c r="AC81" i="34"/>
  <c r="AD81" i="34"/>
  <c r="AE81" i="34"/>
  <c r="AF81" i="34"/>
  <c r="A82" i="34"/>
  <c r="C82" i="34"/>
  <c r="E82" i="34"/>
  <c r="F82" i="34"/>
  <c r="G82" i="34"/>
  <c r="H82" i="34"/>
  <c r="I82" i="34"/>
  <c r="J82" i="34"/>
  <c r="K82" i="34"/>
  <c r="M82" i="34"/>
  <c r="N82" i="34"/>
  <c r="O82" i="34"/>
  <c r="P82" i="34"/>
  <c r="R82" i="34"/>
  <c r="S82" i="34"/>
  <c r="T82" i="34"/>
  <c r="U82" i="34"/>
  <c r="V82" i="34"/>
  <c r="W82" i="34"/>
  <c r="Y82" i="34"/>
  <c r="Z82" i="34"/>
  <c r="AA82" i="34"/>
  <c r="AB82" i="34"/>
  <c r="AC82" i="34"/>
  <c r="AD82" i="34"/>
  <c r="AE82" i="34"/>
  <c r="AF82" i="34"/>
  <c r="A83" i="34"/>
  <c r="C83" i="34"/>
  <c r="E83" i="34"/>
  <c r="F83" i="34"/>
  <c r="G83" i="34"/>
  <c r="H83" i="34"/>
  <c r="I83" i="34"/>
  <c r="J83" i="34"/>
  <c r="K83" i="34"/>
  <c r="M83" i="34"/>
  <c r="N83" i="34"/>
  <c r="O83" i="34"/>
  <c r="P83" i="34"/>
  <c r="R83" i="34"/>
  <c r="S83" i="34"/>
  <c r="T83" i="34"/>
  <c r="U83" i="34"/>
  <c r="V83" i="34"/>
  <c r="W83" i="34"/>
  <c r="Y83" i="34"/>
  <c r="Z83" i="34"/>
  <c r="AA83" i="34"/>
  <c r="AB83" i="34"/>
  <c r="AC83" i="34"/>
  <c r="AD83" i="34"/>
  <c r="AE83" i="34"/>
  <c r="AF83" i="34"/>
  <c r="A84" i="34"/>
  <c r="C84" i="34"/>
  <c r="E84" i="34"/>
  <c r="F84" i="34"/>
  <c r="G84" i="34"/>
  <c r="H84" i="34"/>
  <c r="I84" i="34"/>
  <c r="J84" i="34"/>
  <c r="K84" i="34"/>
  <c r="M84" i="34"/>
  <c r="N84" i="34"/>
  <c r="O84" i="34"/>
  <c r="P84" i="34"/>
  <c r="R84" i="34"/>
  <c r="S84" i="34"/>
  <c r="T84" i="34"/>
  <c r="U84" i="34"/>
  <c r="V84" i="34"/>
  <c r="W84" i="34"/>
  <c r="Y84" i="34"/>
  <c r="Z84" i="34"/>
  <c r="AA84" i="34"/>
  <c r="AB84" i="34"/>
  <c r="AC84" i="34"/>
  <c r="AD84" i="34"/>
  <c r="AE84" i="34"/>
  <c r="AF84" i="34"/>
  <c r="A85" i="34"/>
  <c r="C85" i="34"/>
  <c r="E85" i="34"/>
  <c r="F85" i="34"/>
  <c r="G85" i="34"/>
  <c r="H85" i="34"/>
  <c r="I85" i="34"/>
  <c r="J85" i="34"/>
  <c r="K85" i="34"/>
  <c r="M85" i="34"/>
  <c r="N85" i="34"/>
  <c r="O85" i="34"/>
  <c r="P85" i="34"/>
  <c r="R85" i="34"/>
  <c r="S85" i="34"/>
  <c r="T85" i="34"/>
  <c r="U85" i="34"/>
  <c r="V85" i="34"/>
  <c r="W85" i="34"/>
  <c r="Y85" i="34"/>
  <c r="Z85" i="34"/>
  <c r="AA85" i="34"/>
  <c r="AB85" i="34"/>
  <c r="AC85" i="34"/>
  <c r="AD85" i="34"/>
  <c r="AE85" i="34"/>
  <c r="AF85" i="34"/>
  <c r="A86" i="34"/>
  <c r="C86" i="34"/>
  <c r="E86" i="34"/>
  <c r="F86" i="34"/>
  <c r="G86" i="34"/>
  <c r="H86" i="34"/>
  <c r="I86" i="34"/>
  <c r="J86" i="34"/>
  <c r="K86" i="34"/>
  <c r="M86" i="34"/>
  <c r="N86" i="34"/>
  <c r="O86" i="34"/>
  <c r="P86" i="34"/>
  <c r="R86" i="34"/>
  <c r="S86" i="34"/>
  <c r="T86" i="34"/>
  <c r="U86" i="34"/>
  <c r="V86" i="34"/>
  <c r="W86" i="34"/>
  <c r="Y86" i="34"/>
  <c r="Z86" i="34"/>
  <c r="AA86" i="34"/>
  <c r="AB86" i="34"/>
  <c r="AC86" i="34"/>
  <c r="AD86" i="34"/>
  <c r="AE86" i="34"/>
  <c r="AF86" i="34"/>
  <c r="A87" i="34"/>
  <c r="C87" i="34"/>
  <c r="E87" i="34"/>
  <c r="F87" i="34"/>
  <c r="G87" i="34"/>
  <c r="H87" i="34"/>
  <c r="I87" i="34"/>
  <c r="J87" i="34"/>
  <c r="K87" i="34"/>
  <c r="M87" i="34"/>
  <c r="N87" i="34"/>
  <c r="O87" i="34"/>
  <c r="P87" i="34"/>
  <c r="R87" i="34"/>
  <c r="S87" i="34"/>
  <c r="T87" i="34"/>
  <c r="U87" i="34"/>
  <c r="V87" i="34"/>
  <c r="W87" i="34"/>
  <c r="Y87" i="34"/>
  <c r="Z87" i="34"/>
  <c r="AA87" i="34"/>
  <c r="AB87" i="34"/>
  <c r="AC87" i="34"/>
  <c r="AD87" i="34"/>
  <c r="AE87" i="34"/>
  <c r="AF87" i="34"/>
  <c r="A88" i="34"/>
  <c r="C88" i="34"/>
  <c r="E88" i="34"/>
  <c r="F88" i="34"/>
  <c r="G88" i="34"/>
  <c r="H88" i="34"/>
  <c r="I88" i="34"/>
  <c r="J88" i="34"/>
  <c r="K88" i="34"/>
  <c r="M88" i="34"/>
  <c r="N88" i="34"/>
  <c r="O88" i="34"/>
  <c r="P88" i="34"/>
  <c r="R88" i="34"/>
  <c r="S88" i="34"/>
  <c r="T88" i="34"/>
  <c r="U88" i="34"/>
  <c r="V88" i="34"/>
  <c r="W88" i="34"/>
  <c r="Y88" i="34"/>
  <c r="Z88" i="34"/>
  <c r="AA88" i="34"/>
  <c r="AB88" i="34"/>
  <c r="AC88" i="34"/>
  <c r="AD88" i="34"/>
  <c r="AE88" i="34"/>
  <c r="AF88" i="34"/>
  <c r="A89" i="34"/>
  <c r="C89" i="34"/>
  <c r="E89" i="34"/>
  <c r="F89" i="34"/>
  <c r="G89" i="34"/>
  <c r="H89" i="34"/>
  <c r="I89" i="34"/>
  <c r="J89" i="34"/>
  <c r="K89" i="34"/>
  <c r="M89" i="34"/>
  <c r="N89" i="34"/>
  <c r="O89" i="34"/>
  <c r="P89" i="34"/>
  <c r="R89" i="34"/>
  <c r="S89" i="34"/>
  <c r="T89" i="34"/>
  <c r="U89" i="34"/>
  <c r="V89" i="34"/>
  <c r="W89" i="34"/>
  <c r="Y89" i="34"/>
  <c r="Z89" i="34"/>
  <c r="AA89" i="34"/>
  <c r="AB89" i="34"/>
  <c r="AC89" i="34"/>
  <c r="AD89" i="34"/>
  <c r="AE89" i="34"/>
  <c r="AF89" i="34"/>
  <c r="A90" i="34"/>
  <c r="C90" i="34"/>
  <c r="E90" i="34"/>
  <c r="F90" i="34"/>
  <c r="G90" i="34"/>
  <c r="H90" i="34"/>
  <c r="I90" i="34"/>
  <c r="J90" i="34"/>
  <c r="K90" i="34"/>
  <c r="M90" i="34"/>
  <c r="N90" i="34"/>
  <c r="O90" i="34"/>
  <c r="P90" i="34"/>
  <c r="R90" i="34"/>
  <c r="S90" i="34"/>
  <c r="T90" i="34"/>
  <c r="U90" i="34"/>
  <c r="V90" i="34"/>
  <c r="W90" i="34"/>
  <c r="Y90" i="34"/>
  <c r="Z90" i="34"/>
  <c r="AA90" i="34"/>
  <c r="AB90" i="34"/>
  <c r="AC90" i="34"/>
  <c r="AD90" i="34"/>
  <c r="AE90" i="34"/>
  <c r="AF90" i="34"/>
  <c r="A91" i="34"/>
  <c r="C91" i="34"/>
  <c r="E91" i="34"/>
  <c r="F91" i="34"/>
  <c r="G91" i="34"/>
  <c r="H91" i="34"/>
  <c r="I91" i="34"/>
  <c r="J91" i="34"/>
  <c r="K91" i="34"/>
  <c r="M91" i="34"/>
  <c r="N91" i="34"/>
  <c r="O91" i="34"/>
  <c r="P91" i="34"/>
  <c r="R91" i="34"/>
  <c r="S91" i="34"/>
  <c r="T91" i="34"/>
  <c r="U91" i="34"/>
  <c r="V91" i="34"/>
  <c r="W91" i="34"/>
  <c r="Y91" i="34"/>
  <c r="Z91" i="34"/>
  <c r="AA91" i="34"/>
  <c r="AB91" i="34"/>
  <c r="AC91" i="34"/>
  <c r="AD91" i="34"/>
  <c r="AE91" i="34"/>
  <c r="AF91" i="34"/>
  <c r="A92" i="34"/>
  <c r="C92" i="34"/>
  <c r="E92" i="34"/>
  <c r="F92" i="34"/>
  <c r="G92" i="34"/>
  <c r="H92" i="34"/>
  <c r="I92" i="34"/>
  <c r="J92" i="34"/>
  <c r="K92" i="34"/>
  <c r="M92" i="34"/>
  <c r="N92" i="34"/>
  <c r="O92" i="34"/>
  <c r="P92" i="34"/>
  <c r="R92" i="34"/>
  <c r="S92" i="34"/>
  <c r="T92" i="34"/>
  <c r="U92" i="34"/>
  <c r="V92" i="34"/>
  <c r="W92" i="34"/>
  <c r="Y92" i="34"/>
  <c r="Z92" i="34"/>
  <c r="AA92" i="34"/>
  <c r="AB92" i="34"/>
  <c r="AC92" i="34"/>
  <c r="AD92" i="34"/>
  <c r="AE92" i="34"/>
  <c r="AF92" i="34"/>
  <c r="A93" i="34"/>
  <c r="C93" i="34"/>
  <c r="E93" i="34"/>
  <c r="F93" i="34"/>
  <c r="G93" i="34"/>
  <c r="H93" i="34"/>
  <c r="I93" i="34"/>
  <c r="J93" i="34"/>
  <c r="K93" i="34"/>
  <c r="M93" i="34"/>
  <c r="N93" i="34"/>
  <c r="O93" i="34"/>
  <c r="P93" i="34"/>
  <c r="R93" i="34"/>
  <c r="S93" i="34"/>
  <c r="T93" i="34"/>
  <c r="U93" i="34"/>
  <c r="V93" i="34"/>
  <c r="W93" i="34"/>
  <c r="Y93" i="34"/>
  <c r="Z93" i="34"/>
  <c r="AA93" i="34"/>
  <c r="AB93" i="34"/>
  <c r="AC93" i="34"/>
  <c r="AD93" i="34"/>
  <c r="AE93" i="34"/>
  <c r="AF93" i="34"/>
  <c r="A94" i="34"/>
  <c r="C94" i="34"/>
  <c r="E94" i="34"/>
  <c r="F94" i="34"/>
  <c r="G94" i="34"/>
  <c r="H94" i="34"/>
  <c r="I94" i="34"/>
  <c r="J94" i="34"/>
  <c r="K94" i="34"/>
  <c r="M94" i="34"/>
  <c r="N94" i="34"/>
  <c r="O94" i="34"/>
  <c r="P94" i="34"/>
  <c r="R94" i="34"/>
  <c r="S94" i="34"/>
  <c r="T94" i="34"/>
  <c r="U94" i="34"/>
  <c r="V94" i="34"/>
  <c r="W94" i="34"/>
  <c r="Y94" i="34"/>
  <c r="Z94" i="34"/>
  <c r="AA94" i="34"/>
  <c r="AB94" i="34"/>
  <c r="AC94" i="34"/>
  <c r="AD94" i="34"/>
  <c r="AE94" i="34"/>
  <c r="AF94" i="34"/>
  <c r="A95" i="34"/>
  <c r="C95" i="34"/>
  <c r="E95" i="34"/>
  <c r="F95" i="34"/>
  <c r="G95" i="34"/>
  <c r="H95" i="34"/>
  <c r="I95" i="34"/>
  <c r="J95" i="34"/>
  <c r="K95" i="34"/>
  <c r="M95" i="34"/>
  <c r="N95" i="34"/>
  <c r="O95" i="34"/>
  <c r="P95" i="34"/>
  <c r="R95" i="34"/>
  <c r="S95" i="34"/>
  <c r="T95" i="34"/>
  <c r="U95" i="34"/>
  <c r="V95" i="34"/>
  <c r="W95" i="34"/>
  <c r="Y95" i="34"/>
  <c r="Z95" i="34"/>
  <c r="AA95" i="34"/>
  <c r="AB95" i="34"/>
  <c r="AC95" i="34"/>
  <c r="AD95" i="34"/>
  <c r="AE95" i="34"/>
  <c r="AF95" i="34"/>
  <c r="A96" i="34"/>
  <c r="C96" i="34"/>
  <c r="E96" i="34"/>
  <c r="F96" i="34"/>
  <c r="G96" i="34"/>
  <c r="H96" i="34"/>
  <c r="I96" i="34"/>
  <c r="J96" i="34"/>
  <c r="K96" i="34"/>
  <c r="M96" i="34"/>
  <c r="N96" i="34"/>
  <c r="O96" i="34"/>
  <c r="P96" i="34"/>
  <c r="R96" i="34"/>
  <c r="S96" i="34"/>
  <c r="T96" i="34"/>
  <c r="U96" i="34"/>
  <c r="V96" i="34"/>
  <c r="W96" i="34"/>
  <c r="Y96" i="34"/>
  <c r="Z96" i="34"/>
  <c r="AA96" i="34"/>
  <c r="AB96" i="34"/>
  <c r="AC96" i="34"/>
  <c r="AD96" i="34"/>
  <c r="AE96" i="34"/>
  <c r="AF96" i="34"/>
  <c r="A97" i="34"/>
  <c r="C97" i="34"/>
  <c r="E97" i="34"/>
  <c r="F97" i="34"/>
  <c r="G97" i="34"/>
  <c r="H97" i="34"/>
  <c r="I97" i="34"/>
  <c r="J97" i="34"/>
  <c r="K97" i="34"/>
  <c r="M97" i="34"/>
  <c r="N97" i="34"/>
  <c r="O97" i="34"/>
  <c r="P97" i="34"/>
  <c r="R97" i="34"/>
  <c r="S97" i="34"/>
  <c r="T97" i="34"/>
  <c r="U97" i="34"/>
  <c r="V97" i="34"/>
  <c r="W97" i="34"/>
  <c r="Y97" i="34"/>
  <c r="Z97" i="34"/>
  <c r="AA97" i="34"/>
  <c r="AB97" i="34"/>
  <c r="AC97" i="34"/>
  <c r="AD97" i="34"/>
  <c r="AE97" i="34"/>
  <c r="AF97" i="34"/>
  <c r="A98" i="34"/>
  <c r="C98" i="34"/>
  <c r="E98" i="34"/>
  <c r="F98" i="34"/>
  <c r="G98" i="34"/>
  <c r="H98" i="34"/>
  <c r="I98" i="34"/>
  <c r="J98" i="34"/>
  <c r="K98" i="34"/>
  <c r="M98" i="34"/>
  <c r="N98" i="34"/>
  <c r="O98" i="34"/>
  <c r="P98" i="34"/>
  <c r="R98" i="34"/>
  <c r="S98" i="34"/>
  <c r="T98" i="34"/>
  <c r="U98" i="34"/>
  <c r="V98" i="34"/>
  <c r="W98" i="34"/>
  <c r="Y98" i="34"/>
  <c r="Z98" i="34"/>
  <c r="AA98" i="34"/>
  <c r="AB98" i="34"/>
  <c r="AC98" i="34"/>
  <c r="AD98" i="34"/>
  <c r="AE98" i="34"/>
  <c r="AF98" i="34"/>
  <c r="A99" i="34"/>
  <c r="C99" i="34"/>
  <c r="E99" i="34"/>
  <c r="F99" i="34"/>
  <c r="G99" i="34"/>
  <c r="H99" i="34"/>
  <c r="I99" i="34"/>
  <c r="J99" i="34"/>
  <c r="K99" i="34"/>
  <c r="M99" i="34"/>
  <c r="N99" i="34"/>
  <c r="O99" i="34"/>
  <c r="P99" i="34"/>
  <c r="R99" i="34"/>
  <c r="S99" i="34"/>
  <c r="T99" i="34"/>
  <c r="U99" i="34"/>
  <c r="V99" i="34"/>
  <c r="W99" i="34"/>
  <c r="Y99" i="34"/>
  <c r="Z99" i="34"/>
  <c r="AA99" i="34"/>
  <c r="AB99" i="34"/>
  <c r="AC99" i="34"/>
  <c r="AD99" i="34"/>
  <c r="AE99" i="34"/>
  <c r="AF99" i="34"/>
  <c r="A100" i="34"/>
  <c r="C100" i="34"/>
  <c r="E100" i="34"/>
  <c r="F100" i="34"/>
  <c r="G100" i="34"/>
  <c r="H100" i="34"/>
  <c r="I100" i="34"/>
  <c r="J100" i="34"/>
  <c r="K100" i="34"/>
  <c r="M100" i="34"/>
  <c r="N100" i="34"/>
  <c r="O100" i="34"/>
  <c r="P100" i="34"/>
  <c r="R100" i="34"/>
  <c r="S100" i="34"/>
  <c r="T100" i="34"/>
  <c r="U100" i="34"/>
  <c r="V100" i="34"/>
  <c r="W100" i="34"/>
  <c r="Y100" i="34"/>
  <c r="Z100" i="34"/>
  <c r="AA100" i="34"/>
  <c r="AB100" i="34"/>
  <c r="AC100" i="34"/>
  <c r="AD100" i="34"/>
  <c r="AE100" i="34"/>
  <c r="AF100" i="34"/>
  <c r="A101" i="34"/>
  <c r="C101" i="34"/>
  <c r="E101" i="34"/>
  <c r="F101" i="34"/>
  <c r="G101" i="34"/>
  <c r="H101" i="34"/>
  <c r="I101" i="34"/>
  <c r="J101" i="34"/>
  <c r="K101" i="34"/>
  <c r="M101" i="34"/>
  <c r="N101" i="34"/>
  <c r="O101" i="34"/>
  <c r="P101" i="34"/>
  <c r="R101" i="34"/>
  <c r="S101" i="34"/>
  <c r="T101" i="34"/>
  <c r="U101" i="34"/>
  <c r="V101" i="34"/>
  <c r="W101" i="34"/>
  <c r="Y101" i="34"/>
  <c r="Z101" i="34"/>
  <c r="AA101" i="34"/>
  <c r="AB101" i="34"/>
  <c r="AC101" i="34"/>
  <c r="AD101" i="34"/>
  <c r="AE101" i="34"/>
  <c r="AF101" i="34"/>
  <c r="A102" i="34"/>
  <c r="C102" i="34"/>
  <c r="E102" i="34"/>
  <c r="F102" i="34"/>
  <c r="G102" i="34"/>
  <c r="H102" i="34"/>
  <c r="I102" i="34"/>
  <c r="J102" i="34"/>
  <c r="K102" i="34"/>
  <c r="M102" i="34"/>
  <c r="N102" i="34"/>
  <c r="O102" i="34"/>
  <c r="P102" i="34"/>
  <c r="R102" i="34"/>
  <c r="S102" i="34"/>
  <c r="T102" i="34"/>
  <c r="U102" i="34"/>
  <c r="V102" i="34"/>
  <c r="W102" i="34"/>
  <c r="Y102" i="34"/>
  <c r="Z102" i="34"/>
  <c r="AA102" i="34"/>
  <c r="AB102" i="34"/>
  <c r="AC102" i="34"/>
  <c r="AD102" i="34"/>
  <c r="AE102" i="34"/>
  <c r="AF102" i="34"/>
  <c r="A103" i="34"/>
  <c r="C103" i="34"/>
  <c r="E103" i="34"/>
  <c r="F103" i="34"/>
  <c r="G103" i="34"/>
  <c r="H103" i="34"/>
  <c r="I103" i="34"/>
  <c r="J103" i="34"/>
  <c r="K103" i="34"/>
  <c r="M103" i="34"/>
  <c r="N103" i="34"/>
  <c r="O103" i="34"/>
  <c r="P103" i="34"/>
  <c r="R103" i="34"/>
  <c r="S103" i="34"/>
  <c r="T103" i="34"/>
  <c r="U103" i="34"/>
  <c r="V103" i="34"/>
  <c r="W103" i="34"/>
  <c r="Y103" i="34"/>
  <c r="Z103" i="34"/>
  <c r="AA103" i="34"/>
  <c r="AB103" i="34"/>
  <c r="AC103" i="34"/>
  <c r="AD103" i="34"/>
  <c r="AE103" i="34"/>
  <c r="AF103" i="34"/>
  <c r="A104" i="34"/>
  <c r="C104" i="34"/>
  <c r="E104" i="34"/>
  <c r="F104" i="34"/>
  <c r="G104" i="34"/>
  <c r="H104" i="34"/>
  <c r="I104" i="34"/>
  <c r="J104" i="34"/>
  <c r="K104" i="34"/>
  <c r="M104" i="34"/>
  <c r="N104" i="34"/>
  <c r="O104" i="34"/>
  <c r="P104" i="34"/>
  <c r="R104" i="34"/>
  <c r="S104" i="34"/>
  <c r="T104" i="34"/>
  <c r="U104" i="34"/>
  <c r="V104" i="34"/>
  <c r="W104" i="34"/>
  <c r="Y104" i="34"/>
  <c r="Z104" i="34"/>
  <c r="AA104" i="34"/>
  <c r="AB104" i="34"/>
  <c r="AC104" i="34"/>
  <c r="AD104" i="34"/>
  <c r="AE104" i="34"/>
  <c r="AF104" i="34"/>
  <c r="A105" i="34"/>
  <c r="C105" i="34"/>
  <c r="E105" i="34"/>
  <c r="F105" i="34"/>
  <c r="G105" i="34"/>
  <c r="H105" i="34"/>
  <c r="I105" i="34"/>
  <c r="J105" i="34"/>
  <c r="K105" i="34"/>
  <c r="M105" i="34"/>
  <c r="N105" i="34"/>
  <c r="O105" i="34"/>
  <c r="P105" i="34"/>
  <c r="R105" i="34"/>
  <c r="S105" i="34"/>
  <c r="T105" i="34"/>
  <c r="U105" i="34"/>
  <c r="V105" i="34"/>
  <c r="W105" i="34"/>
  <c r="Y105" i="34"/>
  <c r="Z105" i="34"/>
  <c r="AA105" i="34"/>
  <c r="AB105" i="34"/>
  <c r="AC105" i="34"/>
  <c r="AD105" i="34"/>
  <c r="AE105" i="34"/>
  <c r="AF105" i="34"/>
  <c r="A106" i="34"/>
  <c r="C106" i="34"/>
  <c r="E106" i="34"/>
  <c r="F106" i="34"/>
  <c r="G106" i="34"/>
  <c r="H106" i="34"/>
  <c r="I106" i="34"/>
  <c r="J106" i="34"/>
  <c r="K106" i="34"/>
  <c r="M106" i="34"/>
  <c r="N106" i="34"/>
  <c r="O106" i="34"/>
  <c r="P106" i="34"/>
  <c r="R106" i="34"/>
  <c r="S106" i="34"/>
  <c r="T106" i="34"/>
  <c r="U106" i="34"/>
  <c r="V106" i="34"/>
  <c r="W106" i="34"/>
  <c r="Y106" i="34"/>
  <c r="Z106" i="34"/>
  <c r="AA106" i="34"/>
  <c r="AB106" i="34"/>
  <c r="AC106" i="34"/>
  <c r="AD106" i="34"/>
  <c r="AE106" i="34"/>
  <c r="AF106" i="34"/>
  <c r="A107" i="34"/>
  <c r="C107" i="34"/>
  <c r="E107" i="34"/>
  <c r="F107" i="34"/>
  <c r="G107" i="34"/>
  <c r="H107" i="34"/>
  <c r="I107" i="34"/>
  <c r="J107" i="34"/>
  <c r="K107" i="34"/>
  <c r="M107" i="34"/>
  <c r="N107" i="34"/>
  <c r="O107" i="34"/>
  <c r="P107" i="34"/>
  <c r="R107" i="34"/>
  <c r="S107" i="34"/>
  <c r="T107" i="34"/>
  <c r="U107" i="34"/>
  <c r="V107" i="34"/>
  <c r="W107" i="34"/>
  <c r="Y107" i="34"/>
  <c r="Z107" i="34"/>
  <c r="AA107" i="34"/>
  <c r="AB107" i="34"/>
  <c r="AC107" i="34"/>
  <c r="AD107" i="34"/>
  <c r="AE107" i="34"/>
  <c r="AF107" i="34"/>
  <c r="A108" i="34"/>
  <c r="C108" i="34"/>
  <c r="E108" i="34"/>
  <c r="F108" i="34"/>
  <c r="G108" i="34"/>
  <c r="H108" i="34"/>
  <c r="I108" i="34"/>
  <c r="J108" i="34"/>
  <c r="K108" i="34"/>
  <c r="M108" i="34"/>
  <c r="N108" i="34"/>
  <c r="O108" i="34"/>
  <c r="P108" i="34"/>
  <c r="R108" i="34"/>
  <c r="S108" i="34"/>
  <c r="T108" i="34"/>
  <c r="U108" i="34"/>
  <c r="V108" i="34"/>
  <c r="W108" i="34"/>
  <c r="Y108" i="34"/>
  <c r="Z108" i="34"/>
  <c r="AA108" i="34"/>
  <c r="AB108" i="34"/>
  <c r="AC108" i="34"/>
  <c r="AD108" i="34"/>
  <c r="AE108" i="34"/>
  <c r="AF108" i="34"/>
  <c r="A109" i="34"/>
  <c r="C109" i="34"/>
  <c r="E109" i="34"/>
  <c r="F109" i="34"/>
  <c r="G109" i="34"/>
  <c r="H109" i="34"/>
  <c r="I109" i="34"/>
  <c r="J109" i="34"/>
  <c r="K109" i="34"/>
  <c r="M109" i="34"/>
  <c r="N109" i="34"/>
  <c r="O109" i="34"/>
  <c r="P109" i="34"/>
  <c r="R109" i="34"/>
  <c r="S109" i="34"/>
  <c r="T109" i="34"/>
  <c r="U109" i="34"/>
  <c r="V109" i="34"/>
  <c r="W109" i="34"/>
  <c r="Y109" i="34"/>
  <c r="Z109" i="34"/>
  <c r="AA109" i="34"/>
  <c r="AB109" i="34"/>
  <c r="AC109" i="34"/>
  <c r="AD109" i="34"/>
  <c r="AE109" i="34"/>
  <c r="AF109" i="34"/>
  <c r="A110" i="34"/>
  <c r="C110" i="34"/>
  <c r="E110" i="34"/>
  <c r="F110" i="34"/>
  <c r="G110" i="34"/>
  <c r="H110" i="34"/>
  <c r="I110" i="34"/>
  <c r="J110" i="34"/>
  <c r="K110" i="34"/>
  <c r="M110" i="34"/>
  <c r="N110" i="34"/>
  <c r="O110" i="34"/>
  <c r="P110" i="34"/>
  <c r="R110" i="34"/>
  <c r="S110" i="34"/>
  <c r="T110" i="34"/>
  <c r="U110" i="34"/>
  <c r="V110" i="34"/>
  <c r="W110" i="34"/>
  <c r="Y110" i="34"/>
  <c r="Z110" i="34"/>
  <c r="AA110" i="34"/>
  <c r="AB110" i="34"/>
  <c r="AC110" i="34"/>
  <c r="AD110" i="34"/>
  <c r="AE110" i="34"/>
  <c r="AF110" i="34"/>
  <c r="A111" i="34"/>
  <c r="C111" i="34"/>
  <c r="E111" i="34"/>
  <c r="F111" i="34"/>
  <c r="G111" i="34"/>
  <c r="H111" i="34"/>
  <c r="I111" i="34"/>
  <c r="J111" i="34"/>
  <c r="K111" i="34"/>
  <c r="M111" i="34"/>
  <c r="N111" i="34"/>
  <c r="O111" i="34"/>
  <c r="P111" i="34"/>
  <c r="R111" i="34"/>
  <c r="S111" i="34"/>
  <c r="T111" i="34"/>
  <c r="U111" i="34"/>
  <c r="V111" i="34"/>
  <c r="W111" i="34"/>
  <c r="Y111" i="34"/>
  <c r="Z111" i="34"/>
  <c r="AA111" i="34"/>
  <c r="AB111" i="34"/>
  <c r="AC111" i="34"/>
  <c r="AD111" i="34"/>
  <c r="AE111" i="34"/>
  <c r="AF111" i="34"/>
  <c r="A112" i="34"/>
  <c r="C112" i="34"/>
  <c r="E112" i="34"/>
  <c r="F112" i="34"/>
  <c r="G112" i="34"/>
  <c r="H112" i="34"/>
  <c r="I112" i="34"/>
  <c r="J112" i="34"/>
  <c r="K112" i="34"/>
  <c r="M112" i="34"/>
  <c r="N112" i="34"/>
  <c r="O112" i="34"/>
  <c r="P112" i="34"/>
  <c r="R112" i="34"/>
  <c r="S112" i="34"/>
  <c r="T112" i="34"/>
  <c r="U112" i="34"/>
  <c r="V112" i="34"/>
  <c r="W112" i="34"/>
  <c r="Y112" i="34"/>
  <c r="Z112" i="34"/>
  <c r="AA112" i="34"/>
  <c r="AB112" i="34"/>
  <c r="AC112" i="34"/>
  <c r="AD112" i="34"/>
  <c r="AE112" i="34"/>
  <c r="AF112" i="34"/>
  <c r="A113" i="34"/>
  <c r="C113" i="34"/>
  <c r="E113" i="34"/>
  <c r="F113" i="34"/>
  <c r="G113" i="34"/>
  <c r="H113" i="34"/>
  <c r="I113" i="34"/>
  <c r="J113" i="34"/>
  <c r="K113" i="34"/>
  <c r="M113" i="34"/>
  <c r="N113" i="34"/>
  <c r="O113" i="34"/>
  <c r="P113" i="34"/>
  <c r="R113" i="34"/>
  <c r="S113" i="34"/>
  <c r="T113" i="34"/>
  <c r="U113" i="34"/>
  <c r="V113" i="34"/>
  <c r="W113" i="34"/>
  <c r="Y113" i="34"/>
  <c r="Z113" i="34"/>
  <c r="AA113" i="34"/>
  <c r="AB113" i="34"/>
  <c r="AC113" i="34"/>
  <c r="AD113" i="34"/>
  <c r="AE113" i="34"/>
  <c r="AF113" i="34"/>
  <c r="A114" i="34"/>
  <c r="C114" i="34"/>
  <c r="E114" i="34"/>
  <c r="F114" i="34"/>
  <c r="G114" i="34"/>
  <c r="H114" i="34"/>
  <c r="I114" i="34"/>
  <c r="J114" i="34"/>
  <c r="K114" i="34"/>
  <c r="M114" i="34"/>
  <c r="N114" i="34"/>
  <c r="O114" i="34"/>
  <c r="P114" i="34"/>
  <c r="R114" i="34"/>
  <c r="S114" i="34"/>
  <c r="T114" i="34"/>
  <c r="U114" i="34"/>
  <c r="V114" i="34"/>
  <c r="W114" i="34"/>
  <c r="Y114" i="34"/>
  <c r="Z114" i="34"/>
  <c r="AA114" i="34"/>
  <c r="AB114" i="34"/>
  <c r="AC114" i="34"/>
  <c r="AD114" i="34"/>
  <c r="AE114" i="34"/>
  <c r="AF114" i="34"/>
  <c r="A115" i="34"/>
  <c r="C115" i="34"/>
  <c r="E115" i="34"/>
  <c r="F115" i="34"/>
  <c r="G115" i="34"/>
  <c r="H115" i="34"/>
  <c r="I115" i="34"/>
  <c r="J115" i="34"/>
  <c r="K115" i="34"/>
  <c r="M115" i="34"/>
  <c r="N115" i="34"/>
  <c r="O115" i="34"/>
  <c r="P115" i="34"/>
  <c r="R115" i="34"/>
  <c r="S115" i="34"/>
  <c r="T115" i="34"/>
  <c r="U115" i="34"/>
  <c r="V115" i="34"/>
  <c r="W115" i="34"/>
  <c r="Y115" i="34"/>
  <c r="Z115" i="34"/>
  <c r="AA115" i="34"/>
  <c r="AB115" i="34"/>
  <c r="AC115" i="34"/>
  <c r="AD115" i="34"/>
  <c r="AE115" i="34"/>
  <c r="AF115" i="34"/>
  <c r="A116" i="34"/>
  <c r="C116" i="34"/>
  <c r="E116" i="34"/>
  <c r="F116" i="34"/>
  <c r="G116" i="34"/>
  <c r="H116" i="34"/>
  <c r="I116" i="34"/>
  <c r="J116" i="34"/>
  <c r="K116" i="34"/>
  <c r="M116" i="34"/>
  <c r="N116" i="34"/>
  <c r="O116" i="34"/>
  <c r="P116" i="34"/>
  <c r="R116" i="34"/>
  <c r="S116" i="34"/>
  <c r="T116" i="34"/>
  <c r="U116" i="34"/>
  <c r="V116" i="34"/>
  <c r="W116" i="34"/>
  <c r="Y116" i="34"/>
  <c r="Z116" i="34"/>
  <c r="AA116" i="34"/>
  <c r="AB116" i="34"/>
  <c r="AC116" i="34"/>
  <c r="AD116" i="34"/>
  <c r="AE116" i="34"/>
  <c r="AF116" i="34"/>
  <c r="A117" i="34"/>
  <c r="C117" i="34"/>
  <c r="E117" i="34"/>
  <c r="F117" i="34"/>
  <c r="G117" i="34"/>
  <c r="H117" i="34"/>
  <c r="I117" i="34"/>
  <c r="J117" i="34"/>
  <c r="K117" i="34"/>
  <c r="M117" i="34"/>
  <c r="N117" i="34"/>
  <c r="O117" i="34"/>
  <c r="P117" i="34"/>
  <c r="R117" i="34"/>
  <c r="S117" i="34"/>
  <c r="T117" i="34"/>
  <c r="U117" i="34"/>
  <c r="V117" i="34"/>
  <c r="W117" i="34"/>
  <c r="Y117" i="34"/>
  <c r="Z117" i="34"/>
  <c r="AA117" i="34"/>
  <c r="AB117" i="34"/>
  <c r="AC117" i="34"/>
  <c r="AD117" i="34"/>
  <c r="AE117" i="34"/>
  <c r="AF117" i="34"/>
  <c r="A118" i="34"/>
  <c r="C118" i="34"/>
  <c r="E118" i="34"/>
  <c r="F118" i="34"/>
  <c r="G118" i="34"/>
  <c r="H118" i="34"/>
  <c r="I118" i="34"/>
  <c r="J118" i="34"/>
  <c r="K118" i="34"/>
  <c r="M118" i="34"/>
  <c r="N118" i="34"/>
  <c r="O118" i="34"/>
  <c r="P118" i="34"/>
  <c r="R118" i="34"/>
  <c r="S118" i="34"/>
  <c r="T118" i="34"/>
  <c r="U118" i="34"/>
  <c r="V118" i="34"/>
  <c r="W118" i="34"/>
  <c r="Y118" i="34"/>
  <c r="Z118" i="34"/>
  <c r="AA118" i="34"/>
  <c r="AB118" i="34"/>
  <c r="AC118" i="34"/>
  <c r="AD118" i="34"/>
  <c r="AE118" i="34"/>
  <c r="AF118" i="34"/>
  <c r="A119" i="34"/>
  <c r="C119" i="34"/>
  <c r="E119" i="34"/>
  <c r="F119" i="34"/>
  <c r="G119" i="34"/>
  <c r="H119" i="34"/>
  <c r="I119" i="34"/>
  <c r="J119" i="34"/>
  <c r="K119" i="34"/>
  <c r="M119" i="34"/>
  <c r="N119" i="34"/>
  <c r="O119" i="34"/>
  <c r="P119" i="34"/>
  <c r="R119" i="34"/>
  <c r="S119" i="34"/>
  <c r="T119" i="34"/>
  <c r="U119" i="34"/>
  <c r="V119" i="34"/>
  <c r="W119" i="34"/>
  <c r="Y119" i="34"/>
  <c r="Z119" i="34"/>
  <c r="AA119" i="34"/>
  <c r="AB119" i="34"/>
  <c r="AC119" i="34"/>
  <c r="AD119" i="34"/>
  <c r="AE119" i="34"/>
  <c r="AF119" i="34"/>
  <c r="A120" i="34"/>
  <c r="C120" i="34"/>
  <c r="E120" i="34"/>
  <c r="F120" i="34"/>
  <c r="G120" i="34"/>
  <c r="H120" i="34"/>
  <c r="I120" i="34"/>
  <c r="J120" i="34"/>
  <c r="K120" i="34"/>
  <c r="M120" i="34"/>
  <c r="N120" i="34"/>
  <c r="O120" i="34"/>
  <c r="P120" i="34"/>
  <c r="R120" i="34"/>
  <c r="S120" i="34"/>
  <c r="T120" i="34"/>
  <c r="U120" i="34"/>
  <c r="V120" i="34"/>
  <c r="W120" i="34"/>
  <c r="Y120" i="34"/>
  <c r="Z120" i="34"/>
  <c r="AA120" i="34"/>
  <c r="AB120" i="34"/>
  <c r="AC120" i="34"/>
  <c r="AD120" i="34"/>
  <c r="AE120" i="34"/>
  <c r="AF120" i="34"/>
  <c r="A121" i="34"/>
  <c r="C121" i="34"/>
  <c r="E121" i="34"/>
  <c r="F121" i="34"/>
  <c r="G121" i="34"/>
  <c r="H121" i="34"/>
  <c r="I121" i="34"/>
  <c r="J121" i="34"/>
  <c r="K121" i="34"/>
  <c r="M121" i="34"/>
  <c r="N121" i="34"/>
  <c r="O121" i="34"/>
  <c r="P121" i="34"/>
  <c r="R121" i="34"/>
  <c r="S121" i="34"/>
  <c r="T121" i="34"/>
  <c r="U121" i="34"/>
  <c r="V121" i="34"/>
  <c r="W121" i="34"/>
  <c r="Y121" i="34"/>
  <c r="Z121" i="34"/>
  <c r="AA121" i="34"/>
  <c r="AB121" i="34"/>
  <c r="AC121" i="34"/>
  <c r="AD121" i="34"/>
  <c r="AE121" i="34"/>
  <c r="AF121" i="34"/>
  <c r="A122" i="34"/>
  <c r="C122" i="34"/>
  <c r="E122" i="34"/>
  <c r="F122" i="34"/>
  <c r="G122" i="34"/>
  <c r="H122" i="34"/>
  <c r="I122" i="34"/>
  <c r="J122" i="34"/>
  <c r="K122" i="34"/>
  <c r="M122" i="34"/>
  <c r="N122" i="34"/>
  <c r="O122" i="34"/>
  <c r="P122" i="34"/>
  <c r="R122" i="34"/>
  <c r="S122" i="34"/>
  <c r="T122" i="34"/>
  <c r="U122" i="34"/>
  <c r="V122" i="34"/>
  <c r="W122" i="34"/>
  <c r="Y122" i="34"/>
  <c r="Z122" i="34"/>
  <c r="AA122" i="34"/>
  <c r="AB122" i="34"/>
  <c r="AC122" i="34"/>
  <c r="AD122" i="34"/>
  <c r="AE122" i="34"/>
  <c r="AF122" i="34"/>
  <c r="A123" i="34"/>
  <c r="C123" i="34"/>
  <c r="E123" i="34"/>
  <c r="F123" i="34"/>
  <c r="G123" i="34"/>
  <c r="H123" i="34"/>
  <c r="I123" i="34"/>
  <c r="J123" i="34"/>
  <c r="K123" i="34"/>
  <c r="M123" i="34"/>
  <c r="N123" i="34"/>
  <c r="O123" i="34"/>
  <c r="P123" i="34"/>
  <c r="R123" i="34"/>
  <c r="S123" i="34"/>
  <c r="T123" i="34"/>
  <c r="U123" i="34"/>
  <c r="V123" i="34"/>
  <c r="W123" i="34"/>
  <c r="Y123" i="34"/>
  <c r="Z123" i="34"/>
  <c r="AA123" i="34"/>
  <c r="AB123" i="34"/>
  <c r="AC123" i="34"/>
  <c r="AD123" i="34"/>
  <c r="AE123" i="34"/>
  <c r="AF123" i="34"/>
  <c r="A124" i="34"/>
  <c r="C124" i="34"/>
  <c r="E124" i="34"/>
  <c r="F124" i="34"/>
  <c r="G124" i="34"/>
  <c r="H124" i="34"/>
  <c r="I124" i="34"/>
  <c r="J124" i="34"/>
  <c r="K124" i="34"/>
  <c r="M124" i="34"/>
  <c r="N124" i="34"/>
  <c r="O124" i="34"/>
  <c r="P124" i="34"/>
  <c r="R124" i="34"/>
  <c r="S124" i="34"/>
  <c r="T124" i="34"/>
  <c r="U124" i="34"/>
  <c r="V124" i="34"/>
  <c r="W124" i="34"/>
  <c r="Y124" i="34"/>
  <c r="Z124" i="34"/>
  <c r="AA124" i="34"/>
  <c r="AB124" i="34"/>
  <c r="AC124" i="34"/>
  <c r="AD124" i="34"/>
  <c r="AE124" i="34"/>
  <c r="AF124" i="34"/>
  <c r="A125" i="34"/>
  <c r="C125" i="34"/>
  <c r="E125" i="34"/>
  <c r="F125" i="34"/>
  <c r="G125" i="34"/>
  <c r="H125" i="34"/>
  <c r="I125" i="34"/>
  <c r="J125" i="34"/>
  <c r="K125" i="34"/>
  <c r="M125" i="34"/>
  <c r="N125" i="34"/>
  <c r="O125" i="34"/>
  <c r="P125" i="34"/>
  <c r="R125" i="34"/>
  <c r="S125" i="34"/>
  <c r="T125" i="34"/>
  <c r="U125" i="34"/>
  <c r="V125" i="34"/>
  <c r="W125" i="34"/>
  <c r="Y125" i="34"/>
  <c r="Z125" i="34"/>
  <c r="AA125" i="34"/>
  <c r="AB125" i="34"/>
  <c r="AC125" i="34"/>
  <c r="AD125" i="34"/>
  <c r="AE125" i="34"/>
  <c r="AF125" i="34"/>
  <c r="A126" i="34"/>
  <c r="C126" i="34"/>
  <c r="E126" i="34"/>
  <c r="F126" i="34"/>
  <c r="G126" i="34"/>
  <c r="H126" i="34"/>
  <c r="I126" i="34"/>
  <c r="J126" i="34"/>
  <c r="K126" i="34"/>
  <c r="M126" i="34"/>
  <c r="N126" i="34"/>
  <c r="O126" i="34"/>
  <c r="P126" i="34"/>
  <c r="R126" i="34"/>
  <c r="S126" i="34"/>
  <c r="T126" i="34"/>
  <c r="U126" i="34"/>
  <c r="V126" i="34"/>
  <c r="W126" i="34"/>
  <c r="Y126" i="34"/>
  <c r="Z126" i="34"/>
  <c r="AA126" i="34"/>
  <c r="AB126" i="34"/>
  <c r="AC126" i="34"/>
  <c r="AD126" i="34"/>
  <c r="AE126" i="34"/>
  <c r="AF126" i="34"/>
  <c r="A127" i="34"/>
  <c r="C127" i="34"/>
  <c r="E127" i="34"/>
  <c r="F127" i="34"/>
  <c r="G127" i="34"/>
  <c r="H127" i="34"/>
  <c r="I127" i="34"/>
  <c r="J127" i="34"/>
  <c r="K127" i="34"/>
  <c r="M127" i="34"/>
  <c r="N127" i="34"/>
  <c r="O127" i="34"/>
  <c r="P127" i="34"/>
  <c r="R127" i="34"/>
  <c r="S127" i="34"/>
  <c r="T127" i="34"/>
  <c r="U127" i="34"/>
  <c r="V127" i="34"/>
  <c r="W127" i="34"/>
  <c r="Y127" i="34"/>
  <c r="Z127" i="34"/>
  <c r="AA127" i="34"/>
  <c r="AB127" i="34"/>
  <c r="AC127" i="34"/>
  <c r="AD127" i="34"/>
  <c r="AE127" i="34"/>
  <c r="AF127" i="34"/>
  <c r="A128" i="34"/>
  <c r="C128" i="34"/>
  <c r="E128" i="34"/>
  <c r="F128" i="34"/>
  <c r="G128" i="34"/>
  <c r="H128" i="34"/>
  <c r="I128" i="34"/>
  <c r="J128" i="34"/>
  <c r="K128" i="34"/>
  <c r="M128" i="34"/>
  <c r="N128" i="34"/>
  <c r="O128" i="34"/>
  <c r="P128" i="34"/>
  <c r="R128" i="34"/>
  <c r="S128" i="34"/>
  <c r="T128" i="34"/>
  <c r="U128" i="34"/>
  <c r="V128" i="34"/>
  <c r="W128" i="34"/>
  <c r="Y128" i="34"/>
  <c r="Z128" i="34"/>
  <c r="AA128" i="34"/>
  <c r="AB128" i="34"/>
  <c r="AC128" i="34"/>
  <c r="AD128" i="34"/>
  <c r="AE128" i="34"/>
  <c r="AF128" i="34"/>
  <c r="A129" i="34"/>
  <c r="C129" i="34"/>
  <c r="E129" i="34"/>
  <c r="F129" i="34"/>
  <c r="G129" i="34"/>
  <c r="H129" i="34"/>
  <c r="I129" i="34"/>
  <c r="J129" i="34"/>
  <c r="K129" i="34"/>
  <c r="M129" i="34"/>
  <c r="N129" i="34"/>
  <c r="O129" i="34"/>
  <c r="P129" i="34"/>
  <c r="R129" i="34"/>
  <c r="S129" i="34"/>
  <c r="T129" i="34"/>
  <c r="U129" i="34"/>
  <c r="V129" i="34"/>
  <c r="W129" i="34"/>
  <c r="Y129" i="34"/>
  <c r="Z129" i="34"/>
  <c r="AA129" i="34"/>
  <c r="AB129" i="34"/>
  <c r="AC129" i="34"/>
  <c r="AD129" i="34"/>
  <c r="AE129" i="34"/>
  <c r="AF129" i="34"/>
  <c r="A130" i="34"/>
  <c r="C130" i="34"/>
  <c r="E130" i="34"/>
  <c r="F130" i="34"/>
  <c r="G130" i="34"/>
  <c r="H130" i="34"/>
  <c r="I130" i="34"/>
  <c r="J130" i="34"/>
  <c r="K130" i="34"/>
  <c r="M130" i="34"/>
  <c r="N130" i="34"/>
  <c r="O130" i="34"/>
  <c r="P130" i="34"/>
  <c r="R130" i="34"/>
  <c r="S130" i="34"/>
  <c r="T130" i="34"/>
  <c r="U130" i="34"/>
  <c r="V130" i="34"/>
  <c r="W130" i="34"/>
  <c r="Y130" i="34"/>
  <c r="Z130" i="34"/>
  <c r="AA130" i="34"/>
  <c r="AB130" i="34"/>
  <c r="AC130" i="34"/>
  <c r="AD130" i="34"/>
  <c r="AE130" i="34"/>
  <c r="AF130" i="34"/>
  <c r="A131" i="34"/>
  <c r="C131" i="34"/>
  <c r="E131" i="34"/>
  <c r="F131" i="34"/>
  <c r="G131" i="34"/>
  <c r="H131" i="34"/>
  <c r="I131" i="34"/>
  <c r="J131" i="34"/>
  <c r="K131" i="34"/>
  <c r="M131" i="34"/>
  <c r="N131" i="34"/>
  <c r="O131" i="34"/>
  <c r="P131" i="34"/>
  <c r="R131" i="34"/>
  <c r="S131" i="34"/>
  <c r="T131" i="34"/>
  <c r="U131" i="34"/>
  <c r="V131" i="34"/>
  <c r="W131" i="34"/>
  <c r="Y131" i="34"/>
  <c r="Z131" i="34"/>
  <c r="AA131" i="34"/>
  <c r="AB131" i="34"/>
  <c r="AC131" i="34"/>
  <c r="AD131" i="34"/>
  <c r="AE131" i="34"/>
  <c r="AF131" i="34"/>
  <c r="A132" i="34"/>
  <c r="C132" i="34"/>
  <c r="E132" i="34"/>
  <c r="F132" i="34"/>
  <c r="G132" i="34"/>
  <c r="H132" i="34"/>
  <c r="I132" i="34"/>
  <c r="J132" i="34"/>
  <c r="K132" i="34"/>
  <c r="M132" i="34"/>
  <c r="N132" i="34"/>
  <c r="O132" i="34"/>
  <c r="P132" i="34"/>
  <c r="R132" i="34"/>
  <c r="S132" i="34"/>
  <c r="T132" i="34"/>
  <c r="U132" i="34"/>
  <c r="V132" i="34"/>
  <c r="W132" i="34"/>
  <c r="Y132" i="34"/>
  <c r="Z132" i="34"/>
  <c r="AA132" i="34"/>
  <c r="AB132" i="34"/>
  <c r="AC132" i="34"/>
  <c r="AD132" i="34"/>
  <c r="AE132" i="34"/>
  <c r="AF132" i="34"/>
  <c r="A133" i="34"/>
  <c r="C133" i="34"/>
  <c r="E133" i="34"/>
  <c r="F133" i="34"/>
  <c r="G133" i="34"/>
  <c r="H133" i="34"/>
  <c r="I133" i="34"/>
  <c r="J133" i="34"/>
  <c r="K133" i="34"/>
  <c r="M133" i="34"/>
  <c r="N133" i="34"/>
  <c r="O133" i="34"/>
  <c r="P133" i="34"/>
  <c r="R133" i="34"/>
  <c r="S133" i="34"/>
  <c r="T133" i="34"/>
  <c r="U133" i="34"/>
  <c r="V133" i="34"/>
  <c r="W133" i="34"/>
  <c r="Y133" i="34"/>
  <c r="Z133" i="34"/>
  <c r="AA133" i="34"/>
  <c r="AB133" i="34"/>
  <c r="AC133" i="34"/>
  <c r="AD133" i="34"/>
  <c r="AE133" i="34"/>
  <c r="AF133" i="34"/>
  <c r="A134" i="34"/>
  <c r="C134" i="34"/>
  <c r="E134" i="34"/>
  <c r="F134" i="34"/>
  <c r="G134" i="34"/>
  <c r="H134" i="34"/>
  <c r="I134" i="34"/>
  <c r="J134" i="34"/>
  <c r="K134" i="34"/>
  <c r="M134" i="34"/>
  <c r="N134" i="34"/>
  <c r="O134" i="34"/>
  <c r="P134" i="34"/>
  <c r="R134" i="34"/>
  <c r="S134" i="34"/>
  <c r="T134" i="34"/>
  <c r="U134" i="34"/>
  <c r="V134" i="34"/>
  <c r="W134" i="34"/>
  <c r="Y134" i="34"/>
  <c r="Z134" i="34"/>
  <c r="AA134" i="34"/>
  <c r="AB134" i="34"/>
  <c r="AC134" i="34"/>
  <c r="AD134" i="34"/>
  <c r="AE134" i="34"/>
  <c r="AF134" i="34"/>
  <c r="A135" i="34"/>
  <c r="C135" i="34"/>
  <c r="E135" i="34"/>
  <c r="F135" i="34"/>
  <c r="G135" i="34"/>
  <c r="H135" i="34"/>
  <c r="I135" i="34"/>
  <c r="J135" i="34"/>
  <c r="K135" i="34"/>
  <c r="M135" i="34"/>
  <c r="N135" i="34"/>
  <c r="O135" i="34"/>
  <c r="P135" i="34"/>
  <c r="R135" i="34"/>
  <c r="S135" i="34"/>
  <c r="T135" i="34"/>
  <c r="U135" i="34"/>
  <c r="V135" i="34"/>
  <c r="W135" i="34"/>
  <c r="Y135" i="34"/>
  <c r="Z135" i="34"/>
  <c r="AA135" i="34"/>
  <c r="AB135" i="34"/>
  <c r="AC135" i="34"/>
  <c r="AD135" i="34"/>
  <c r="AE135" i="34"/>
  <c r="AF135" i="34"/>
  <c r="A136" i="34"/>
  <c r="C136" i="34"/>
  <c r="E136" i="34"/>
  <c r="F136" i="34"/>
  <c r="G136" i="34"/>
  <c r="H136" i="34"/>
  <c r="I136" i="34"/>
  <c r="J136" i="34"/>
  <c r="K136" i="34"/>
  <c r="M136" i="34"/>
  <c r="N136" i="34"/>
  <c r="O136" i="34"/>
  <c r="P136" i="34"/>
  <c r="R136" i="34"/>
  <c r="S136" i="34"/>
  <c r="T136" i="34"/>
  <c r="U136" i="34"/>
  <c r="V136" i="34"/>
  <c r="W136" i="34"/>
  <c r="Y136" i="34"/>
  <c r="Z136" i="34"/>
  <c r="AA136" i="34"/>
  <c r="AB136" i="34"/>
  <c r="AC136" i="34"/>
  <c r="AD136" i="34"/>
  <c r="AE136" i="34"/>
  <c r="AF136" i="34"/>
  <c r="A137" i="34"/>
  <c r="C137" i="34"/>
  <c r="E137" i="34"/>
  <c r="F137" i="34"/>
  <c r="G137" i="34"/>
  <c r="H137" i="34"/>
  <c r="I137" i="34"/>
  <c r="J137" i="34"/>
  <c r="K137" i="34"/>
  <c r="M137" i="34"/>
  <c r="N137" i="34"/>
  <c r="O137" i="34"/>
  <c r="P137" i="34"/>
  <c r="R137" i="34"/>
  <c r="S137" i="34"/>
  <c r="T137" i="34"/>
  <c r="U137" i="34"/>
  <c r="V137" i="34"/>
  <c r="W137" i="34"/>
  <c r="Y137" i="34"/>
  <c r="Z137" i="34"/>
  <c r="AA137" i="34"/>
  <c r="AB137" i="34"/>
  <c r="AC137" i="34"/>
  <c r="AD137" i="34"/>
  <c r="AE137" i="34"/>
  <c r="AF137" i="34"/>
  <c r="A138" i="34"/>
  <c r="C138" i="34"/>
  <c r="E138" i="34"/>
  <c r="F138" i="34"/>
  <c r="G138" i="34"/>
  <c r="H138" i="34"/>
  <c r="I138" i="34"/>
  <c r="J138" i="34"/>
  <c r="K138" i="34"/>
  <c r="M138" i="34"/>
  <c r="N138" i="34"/>
  <c r="O138" i="34"/>
  <c r="P138" i="34"/>
  <c r="R138" i="34"/>
  <c r="S138" i="34"/>
  <c r="T138" i="34"/>
  <c r="U138" i="34"/>
  <c r="V138" i="34"/>
  <c r="W138" i="34"/>
  <c r="Y138" i="34"/>
  <c r="Z138" i="34"/>
  <c r="AA138" i="34"/>
  <c r="AB138" i="34"/>
  <c r="AC138" i="34"/>
  <c r="AD138" i="34"/>
  <c r="AE138" i="34"/>
  <c r="AF138" i="34"/>
  <c r="A139" i="34"/>
  <c r="C139" i="34"/>
  <c r="E139" i="34"/>
  <c r="F139" i="34"/>
  <c r="G139" i="34"/>
  <c r="H139" i="34"/>
  <c r="I139" i="34"/>
  <c r="J139" i="34"/>
  <c r="K139" i="34"/>
  <c r="M139" i="34"/>
  <c r="N139" i="34"/>
  <c r="O139" i="34"/>
  <c r="P139" i="34"/>
  <c r="R139" i="34"/>
  <c r="S139" i="34"/>
  <c r="T139" i="34"/>
  <c r="U139" i="34"/>
  <c r="V139" i="34"/>
  <c r="W139" i="34"/>
  <c r="Y139" i="34"/>
  <c r="Z139" i="34"/>
  <c r="AA139" i="34"/>
  <c r="AB139" i="34"/>
  <c r="AC139" i="34"/>
  <c r="AD139" i="34"/>
  <c r="AE139" i="34"/>
  <c r="AF139" i="34"/>
  <c r="A140" i="34"/>
  <c r="C140" i="34"/>
  <c r="E140" i="34"/>
  <c r="F140" i="34"/>
  <c r="G140" i="34"/>
  <c r="H140" i="34"/>
  <c r="I140" i="34"/>
  <c r="J140" i="34"/>
  <c r="K140" i="34"/>
  <c r="M140" i="34"/>
  <c r="N140" i="34"/>
  <c r="O140" i="34"/>
  <c r="P140" i="34"/>
  <c r="R140" i="34"/>
  <c r="S140" i="34"/>
  <c r="T140" i="34"/>
  <c r="U140" i="34"/>
  <c r="V140" i="34"/>
  <c r="W140" i="34"/>
  <c r="Y140" i="34"/>
  <c r="Z140" i="34"/>
  <c r="AA140" i="34"/>
  <c r="AB140" i="34"/>
  <c r="AC140" i="34"/>
  <c r="AD140" i="34"/>
  <c r="AE140" i="34"/>
  <c r="AF140" i="34"/>
  <c r="A141" i="34"/>
  <c r="C141" i="34"/>
  <c r="E141" i="34"/>
  <c r="F141" i="34"/>
  <c r="G141" i="34"/>
  <c r="H141" i="34"/>
  <c r="I141" i="34"/>
  <c r="J141" i="34"/>
  <c r="K141" i="34"/>
  <c r="M141" i="34"/>
  <c r="N141" i="34"/>
  <c r="O141" i="34"/>
  <c r="P141" i="34"/>
  <c r="R141" i="34"/>
  <c r="S141" i="34"/>
  <c r="T141" i="34"/>
  <c r="U141" i="34"/>
  <c r="V141" i="34"/>
  <c r="W141" i="34"/>
  <c r="Y141" i="34"/>
  <c r="Z141" i="34"/>
  <c r="AA141" i="34"/>
  <c r="AB141" i="34"/>
  <c r="AC141" i="34"/>
  <c r="AD141" i="34"/>
  <c r="AE141" i="34"/>
  <c r="AF141" i="34"/>
  <c r="A142" i="34"/>
  <c r="C142" i="34"/>
  <c r="E142" i="34"/>
  <c r="F142" i="34"/>
  <c r="G142" i="34"/>
  <c r="H142" i="34"/>
  <c r="I142" i="34"/>
  <c r="J142" i="34"/>
  <c r="K142" i="34"/>
  <c r="M142" i="34"/>
  <c r="N142" i="34"/>
  <c r="O142" i="34"/>
  <c r="P142" i="34"/>
  <c r="R142" i="34"/>
  <c r="S142" i="34"/>
  <c r="T142" i="34"/>
  <c r="U142" i="34"/>
  <c r="V142" i="34"/>
  <c r="W142" i="34"/>
  <c r="Y142" i="34"/>
  <c r="Z142" i="34"/>
  <c r="AA142" i="34"/>
  <c r="AB142" i="34"/>
  <c r="AC142" i="34"/>
  <c r="AD142" i="34"/>
  <c r="AE142" i="34"/>
  <c r="AF142" i="34"/>
  <c r="A143" i="34"/>
  <c r="C143" i="34"/>
  <c r="E143" i="34"/>
  <c r="F143" i="34"/>
  <c r="G143" i="34"/>
  <c r="H143" i="34"/>
  <c r="I143" i="34"/>
  <c r="J143" i="34"/>
  <c r="K143" i="34"/>
  <c r="M143" i="34"/>
  <c r="N143" i="34"/>
  <c r="O143" i="34"/>
  <c r="P143" i="34"/>
  <c r="R143" i="34"/>
  <c r="S143" i="34"/>
  <c r="T143" i="34"/>
  <c r="U143" i="34"/>
  <c r="V143" i="34"/>
  <c r="W143" i="34"/>
  <c r="Y143" i="34"/>
  <c r="Z143" i="34"/>
  <c r="AA143" i="34"/>
  <c r="AB143" i="34"/>
  <c r="AC143" i="34"/>
  <c r="AD143" i="34"/>
  <c r="AE143" i="34"/>
  <c r="AF143" i="34"/>
  <c r="A144" i="34"/>
  <c r="C144" i="34"/>
  <c r="E144" i="34"/>
  <c r="F144" i="34"/>
  <c r="G144" i="34"/>
  <c r="H144" i="34"/>
  <c r="I144" i="34"/>
  <c r="J144" i="34"/>
  <c r="K144" i="34"/>
  <c r="M144" i="34"/>
  <c r="N144" i="34"/>
  <c r="O144" i="34"/>
  <c r="P144" i="34"/>
  <c r="R144" i="34"/>
  <c r="S144" i="34"/>
  <c r="T144" i="34"/>
  <c r="U144" i="34"/>
  <c r="V144" i="34"/>
  <c r="W144" i="34"/>
  <c r="Y144" i="34"/>
  <c r="Z144" i="34"/>
  <c r="AA144" i="34"/>
  <c r="AB144" i="34"/>
  <c r="AC144" i="34"/>
  <c r="AD144" i="34"/>
  <c r="AE144" i="34"/>
  <c r="AF144" i="34"/>
  <c r="A145" i="34"/>
  <c r="C145" i="34"/>
  <c r="E145" i="34"/>
  <c r="F145" i="34"/>
  <c r="G145" i="34"/>
  <c r="H145" i="34"/>
  <c r="I145" i="34"/>
  <c r="J145" i="34"/>
  <c r="K145" i="34"/>
  <c r="M145" i="34"/>
  <c r="N145" i="34"/>
  <c r="O145" i="34"/>
  <c r="P145" i="34"/>
  <c r="R145" i="34"/>
  <c r="S145" i="34"/>
  <c r="T145" i="34"/>
  <c r="U145" i="34"/>
  <c r="V145" i="34"/>
  <c r="W145" i="34"/>
  <c r="Y145" i="34"/>
  <c r="Z145" i="34"/>
  <c r="AA145" i="34"/>
  <c r="AB145" i="34"/>
  <c r="AC145" i="34"/>
  <c r="AD145" i="34"/>
  <c r="AE145" i="34"/>
  <c r="AF145" i="34"/>
  <c r="A146" i="34"/>
  <c r="C146" i="34"/>
  <c r="E146" i="34"/>
  <c r="F146" i="34"/>
  <c r="G146" i="34"/>
  <c r="H146" i="34"/>
  <c r="I146" i="34"/>
  <c r="J146" i="34"/>
  <c r="K146" i="34"/>
  <c r="M146" i="34"/>
  <c r="N146" i="34"/>
  <c r="O146" i="34"/>
  <c r="P146" i="34"/>
  <c r="R146" i="34"/>
  <c r="S146" i="34"/>
  <c r="T146" i="34"/>
  <c r="U146" i="34"/>
  <c r="V146" i="34"/>
  <c r="W146" i="34"/>
  <c r="Y146" i="34"/>
  <c r="Z146" i="34"/>
  <c r="AA146" i="34"/>
  <c r="AB146" i="34"/>
  <c r="AC146" i="34"/>
  <c r="AD146" i="34"/>
  <c r="AE146" i="34"/>
  <c r="AF146" i="34"/>
  <c r="A147" i="34"/>
  <c r="C147" i="34"/>
  <c r="E147" i="34"/>
  <c r="F147" i="34"/>
  <c r="G147" i="34"/>
  <c r="H147" i="34"/>
  <c r="I147" i="34"/>
  <c r="J147" i="34"/>
  <c r="K147" i="34"/>
  <c r="M147" i="34"/>
  <c r="N147" i="34"/>
  <c r="O147" i="34"/>
  <c r="P147" i="34"/>
  <c r="R147" i="34"/>
  <c r="S147" i="34"/>
  <c r="T147" i="34"/>
  <c r="U147" i="34"/>
  <c r="V147" i="34"/>
  <c r="W147" i="34"/>
  <c r="Y147" i="34"/>
  <c r="Z147" i="34"/>
  <c r="AA147" i="34"/>
  <c r="AB147" i="34"/>
  <c r="AC147" i="34"/>
  <c r="AD147" i="34"/>
  <c r="AE147" i="34"/>
  <c r="AF147" i="34"/>
  <c r="A148" i="34"/>
  <c r="C148" i="34"/>
  <c r="E148" i="34"/>
  <c r="F148" i="34"/>
  <c r="G148" i="34"/>
  <c r="H148" i="34"/>
  <c r="I148" i="34"/>
  <c r="J148" i="34"/>
  <c r="K148" i="34"/>
  <c r="M148" i="34"/>
  <c r="N148" i="34"/>
  <c r="O148" i="34"/>
  <c r="P148" i="34"/>
  <c r="R148" i="34"/>
  <c r="S148" i="34"/>
  <c r="T148" i="34"/>
  <c r="U148" i="34"/>
  <c r="V148" i="34"/>
  <c r="W148" i="34"/>
  <c r="Y148" i="34"/>
  <c r="Z148" i="34"/>
  <c r="AA148" i="34"/>
  <c r="AB148" i="34"/>
  <c r="AC148" i="34"/>
  <c r="AD148" i="34"/>
  <c r="AE148" i="34"/>
  <c r="AF148" i="34"/>
  <c r="A149" i="34"/>
  <c r="C149" i="34"/>
  <c r="E149" i="34"/>
  <c r="F149" i="34"/>
  <c r="G149" i="34"/>
  <c r="H149" i="34"/>
  <c r="I149" i="34"/>
  <c r="J149" i="34"/>
  <c r="K149" i="34"/>
  <c r="M149" i="34"/>
  <c r="N149" i="34"/>
  <c r="O149" i="34"/>
  <c r="P149" i="34"/>
  <c r="R149" i="34"/>
  <c r="S149" i="34"/>
  <c r="T149" i="34"/>
  <c r="U149" i="34"/>
  <c r="V149" i="34"/>
  <c r="W149" i="34"/>
  <c r="Y149" i="34"/>
  <c r="Z149" i="34"/>
  <c r="AA149" i="34"/>
  <c r="AB149" i="34"/>
  <c r="AC149" i="34"/>
  <c r="AD149" i="34"/>
  <c r="AE149" i="34"/>
  <c r="AF149" i="34"/>
  <c r="A150" i="34"/>
  <c r="C150" i="34"/>
  <c r="E150" i="34"/>
  <c r="F150" i="34"/>
  <c r="G150" i="34"/>
  <c r="H150" i="34"/>
  <c r="I150" i="34"/>
  <c r="J150" i="34"/>
  <c r="K150" i="34"/>
  <c r="M150" i="34"/>
  <c r="N150" i="34"/>
  <c r="O150" i="34"/>
  <c r="P150" i="34"/>
  <c r="R150" i="34"/>
  <c r="S150" i="34"/>
  <c r="T150" i="34"/>
  <c r="U150" i="34"/>
  <c r="V150" i="34"/>
  <c r="W150" i="34"/>
  <c r="Y150" i="34"/>
  <c r="Z150" i="34"/>
  <c r="AA150" i="34"/>
  <c r="AB150" i="34"/>
  <c r="AC150" i="34"/>
  <c r="AD150" i="34"/>
  <c r="AE150" i="34"/>
  <c r="AF150" i="34"/>
  <c r="A151" i="34"/>
  <c r="C151" i="34"/>
  <c r="E151" i="34"/>
  <c r="F151" i="34"/>
  <c r="G151" i="34"/>
  <c r="H151" i="34"/>
  <c r="I151" i="34"/>
  <c r="J151" i="34"/>
  <c r="K151" i="34"/>
  <c r="M151" i="34"/>
  <c r="N151" i="34"/>
  <c r="O151" i="34"/>
  <c r="P151" i="34"/>
  <c r="R151" i="34"/>
  <c r="S151" i="34"/>
  <c r="T151" i="34"/>
  <c r="U151" i="34"/>
  <c r="V151" i="34"/>
  <c r="W151" i="34"/>
  <c r="Y151" i="34"/>
  <c r="Z151" i="34"/>
  <c r="AA151" i="34"/>
  <c r="AB151" i="34"/>
  <c r="AC151" i="34"/>
  <c r="AD151" i="34"/>
  <c r="AE151" i="34"/>
  <c r="AF151" i="34"/>
  <c r="A152" i="34"/>
  <c r="C152" i="34"/>
  <c r="E152" i="34"/>
  <c r="F152" i="34"/>
  <c r="G152" i="34"/>
  <c r="H152" i="34"/>
  <c r="I152" i="34"/>
  <c r="J152" i="34"/>
  <c r="K152" i="34"/>
  <c r="M152" i="34"/>
  <c r="N152" i="34"/>
  <c r="O152" i="34"/>
  <c r="P152" i="34"/>
  <c r="R152" i="34"/>
  <c r="S152" i="34"/>
  <c r="T152" i="34"/>
  <c r="U152" i="34"/>
  <c r="V152" i="34"/>
  <c r="W152" i="34"/>
  <c r="Y152" i="34"/>
  <c r="Z152" i="34"/>
  <c r="AA152" i="34"/>
  <c r="AB152" i="34"/>
  <c r="AC152" i="34"/>
  <c r="AD152" i="34"/>
  <c r="AE152" i="34"/>
  <c r="AF152" i="34"/>
  <c r="A153" i="34"/>
  <c r="C153" i="34"/>
  <c r="E153" i="34"/>
  <c r="F153" i="34"/>
  <c r="G153" i="34"/>
  <c r="H153" i="34"/>
  <c r="I153" i="34"/>
  <c r="J153" i="34"/>
  <c r="K153" i="34"/>
  <c r="M153" i="34"/>
  <c r="N153" i="34"/>
  <c r="O153" i="34"/>
  <c r="P153" i="34"/>
  <c r="R153" i="34"/>
  <c r="S153" i="34"/>
  <c r="T153" i="34"/>
  <c r="U153" i="34"/>
  <c r="V153" i="34"/>
  <c r="W153" i="34"/>
  <c r="Y153" i="34"/>
  <c r="Z153" i="34"/>
  <c r="AA153" i="34"/>
  <c r="AB153" i="34"/>
  <c r="AC153" i="34"/>
  <c r="AD153" i="34"/>
  <c r="AE153" i="34"/>
  <c r="AF153" i="34"/>
  <c r="A154" i="34"/>
  <c r="C154" i="34"/>
  <c r="E154" i="34"/>
  <c r="F154" i="34"/>
  <c r="G154" i="34"/>
  <c r="H154" i="34"/>
  <c r="I154" i="34"/>
  <c r="J154" i="34"/>
  <c r="K154" i="34"/>
  <c r="M154" i="34"/>
  <c r="N154" i="34"/>
  <c r="O154" i="34"/>
  <c r="P154" i="34"/>
  <c r="R154" i="34"/>
  <c r="S154" i="34"/>
  <c r="T154" i="34"/>
  <c r="U154" i="34"/>
  <c r="V154" i="34"/>
  <c r="W154" i="34"/>
  <c r="Y154" i="34"/>
  <c r="Z154" i="34"/>
  <c r="AA154" i="34"/>
  <c r="AB154" i="34"/>
  <c r="AC154" i="34"/>
  <c r="AD154" i="34"/>
  <c r="AE154" i="34"/>
  <c r="AF154" i="34"/>
  <c r="A155" i="34"/>
  <c r="C155" i="34"/>
  <c r="E155" i="34"/>
  <c r="F155" i="34"/>
  <c r="G155" i="34"/>
  <c r="H155" i="34"/>
  <c r="I155" i="34"/>
  <c r="J155" i="34"/>
  <c r="K155" i="34"/>
  <c r="M155" i="34"/>
  <c r="N155" i="34"/>
  <c r="O155" i="34"/>
  <c r="P155" i="34"/>
  <c r="R155" i="34"/>
  <c r="S155" i="34"/>
  <c r="T155" i="34"/>
  <c r="U155" i="34"/>
  <c r="V155" i="34"/>
  <c r="W155" i="34"/>
  <c r="Y155" i="34"/>
  <c r="Z155" i="34"/>
  <c r="AA155" i="34"/>
  <c r="AB155" i="34"/>
  <c r="AC155" i="34"/>
  <c r="AD155" i="34"/>
  <c r="AE155" i="34"/>
  <c r="AF155" i="34"/>
  <c r="A156" i="34"/>
  <c r="C156" i="34"/>
  <c r="E156" i="34"/>
  <c r="F156" i="34"/>
  <c r="G156" i="34"/>
  <c r="H156" i="34"/>
  <c r="I156" i="34"/>
  <c r="J156" i="34"/>
  <c r="K156" i="34"/>
  <c r="M156" i="34"/>
  <c r="N156" i="34"/>
  <c r="O156" i="34"/>
  <c r="P156" i="34"/>
  <c r="R156" i="34"/>
  <c r="S156" i="34"/>
  <c r="T156" i="34"/>
  <c r="U156" i="34"/>
  <c r="V156" i="34"/>
  <c r="W156" i="34"/>
  <c r="Y156" i="34"/>
  <c r="Z156" i="34"/>
  <c r="AA156" i="34"/>
  <c r="AB156" i="34"/>
  <c r="AC156" i="34"/>
  <c r="AD156" i="34"/>
  <c r="AE156" i="34"/>
  <c r="AF156" i="34"/>
  <c r="A157" i="34"/>
  <c r="C157" i="34"/>
  <c r="E157" i="34"/>
  <c r="F157" i="34"/>
  <c r="G157" i="34"/>
  <c r="H157" i="34"/>
  <c r="I157" i="34"/>
  <c r="J157" i="34"/>
  <c r="K157" i="34"/>
  <c r="M157" i="34"/>
  <c r="N157" i="34"/>
  <c r="O157" i="34"/>
  <c r="P157" i="34"/>
  <c r="R157" i="34"/>
  <c r="S157" i="34"/>
  <c r="T157" i="34"/>
  <c r="U157" i="34"/>
  <c r="V157" i="34"/>
  <c r="W157" i="34"/>
  <c r="Y157" i="34"/>
  <c r="Z157" i="34"/>
  <c r="AA157" i="34"/>
  <c r="AB157" i="34"/>
  <c r="AC157" i="34"/>
  <c r="AD157" i="34"/>
  <c r="AE157" i="34"/>
  <c r="AF157" i="34"/>
  <c r="A158" i="34"/>
  <c r="C158" i="34"/>
  <c r="E158" i="34"/>
  <c r="F158" i="34"/>
  <c r="G158" i="34"/>
  <c r="H158" i="34"/>
  <c r="I158" i="34"/>
  <c r="J158" i="34"/>
  <c r="K158" i="34"/>
  <c r="M158" i="34"/>
  <c r="N158" i="34"/>
  <c r="O158" i="34"/>
  <c r="P158" i="34"/>
  <c r="R158" i="34"/>
  <c r="S158" i="34"/>
  <c r="T158" i="34"/>
  <c r="U158" i="34"/>
  <c r="V158" i="34"/>
  <c r="W158" i="34"/>
  <c r="Y158" i="34"/>
  <c r="Z158" i="34"/>
  <c r="AA158" i="34"/>
  <c r="AB158" i="34"/>
  <c r="AC158" i="34"/>
  <c r="AD158" i="34"/>
  <c r="AE158" i="34"/>
  <c r="AF158" i="34"/>
  <c r="A159" i="34"/>
  <c r="C159" i="34"/>
  <c r="E159" i="34"/>
  <c r="F159" i="34"/>
  <c r="G159" i="34"/>
  <c r="H159" i="34"/>
  <c r="I159" i="34"/>
  <c r="J159" i="34"/>
  <c r="K159" i="34"/>
  <c r="M159" i="34"/>
  <c r="N159" i="34"/>
  <c r="O159" i="34"/>
  <c r="P159" i="34"/>
  <c r="R159" i="34"/>
  <c r="S159" i="34"/>
  <c r="T159" i="34"/>
  <c r="U159" i="34"/>
  <c r="V159" i="34"/>
  <c r="W159" i="34"/>
  <c r="Y159" i="34"/>
  <c r="Z159" i="34"/>
  <c r="AA159" i="34"/>
  <c r="AB159" i="34"/>
  <c r="AC159" i="34"/>
  <c r="AD159" i="34"/>
  <c r="AE159" i="34"/>
  <c r="AF159" i="34"/>
  <c r="A160" i="34"/>
  <c r="C160" i="34"/>
  <c r="E160" i="34"/>
  <c r="F160" i="34"/>
  <c r="G160" i="34"/>
  <c r="H160" i="34"/>
  <c r="I160" i="34"/>
  <c r="J160" i="34"/>
  <c r="K160" i="34"/>
  <c r="M160" i="34"/>
  <c r="N160" i="34"/>
  <c r="O160" i="34"/>
  <c r="P160" i="34"/>
  <c r="R160" i="34"/>
  <c r="S160" i="34"/>
  <c r="T160" i="34"/>
  <c r="U160" i="34"/>
  <c r="V160" i="34"/>
  <c r="W160" i="34"/>
  <c r="Y160" i="34"/>
  <c r="Z160" i="34"/>
  <c r="AA160" i="34"/>
  <c r="AB160" i="34"/>
  <c r="AC160" i="34"/>
  <c r="AD160" i="34"/>
  <c r="AE160" i="34"/>
  <c r="AF160" i="34"/>
  <c r="A161" i="34"/>
  <c r="C161" i="34"/>
  <c r="E161" i="34"/>
  <c r="F161" i="34"/>
  <c r="G161" i="34"/>
  <c r="H161" i="34"/>
  <c r="I161" i="34"/>
  <c r="J161" i="34"/>
  <c r="K161" i="34"/>
  <c r="M161" i="34"/>
  <c r="N161" i="34"/>
  <c r="O161" i="34"/>
  <c r="P161" i="34"/>
  <c r="R161" i="34"/>
  <c r="S161" i="34"/>
  <c r="T161" i="34"/>
  <c r="U161" i="34"/>
  <c r="V161" i="34"/>
  <c r="W161" i="34"/>
  <c r="Y161" i="34"/>
  <c r="Z161" i="34"/>
  <c r="AA161" i="34"/>
  <c r="AB161" i="34"/>
  <c r="AC161" i="34"/>
  <c r="AD161" i="34"/>
  <c r="AE161" i="34"/>
  <c r="AF161" i="34"/>
  <c r="A162" i="34"/>
  <c r="C162" i="34"/>
  <c r="E162" i="34"/>
  <c r="F162" i="34"/>
  <c r="G162" i="34"/>
  <c r="H162" i="34"/>
  <c r="I162" i="34"/>
  <c r="J162" i="34"/>
  <c r="K162" i="34"/>
  <c r="M162" i="34"/>
  <c r="N162" i="34"/>
  <c r="O162" i="34"/>
  <c r="P162" i="34"/>
  <c r="R162" i="34"/>
  <c r="S162" i="34"/>
  <c r="T162" i="34"/>
  <c r="U162" i="34"/>
  <c r="V162" i="34"/>
  <c r="W162" i="34"/>
  <c r="Y162" i="34"/>
  <c r="Z162" i="34"/>
  <c r="AA162" i="34"/>
  <c r="AB162" i="34"/>
  <c r="AC162" i="34"/>
  <c r="AD162" i="34"/>
  <c r="AE162" i="34"/>
  <c r="AF162" i="34"/>
  <c r="A163" i="34"/>
  <c r="C163" i="34"/>
  <c r="E163" i="34"/>
  <c r="F163" i="34"/>
  <c r="G163" i="34"/>
  <c r="H163" i="34"/>
  <c r="I163" i="34"/>
  <c r="J163" i="34"/>
  <c r="K163" i="34"/>
  <c r="M163" i="34"/>
  <c r="N163" i="34"/>
  <c r="O163" i="34"/>
  <c r="P163" i="34"/>
  <c r="R163" i="34"/>
  <c r="S163" i="34"/>
  <c r="T163" i="34"/>
  <c r="U163" i="34"/>
  <c r="V163" i="34"/>
  <c r="W163" i="34"/>
  <c r="Y163" i="34"/>
  <c r="Z163" i="34"/>
  <c r="AA163" i="34"/>
  <c r="AB163" i="34"/>
  <c r="AC163" i="34"/>
  <c r="AD163" i="34"/>
  <c r="AE163" i="34"/>
  <c r="AF163" i="34"/>
  <c r="A164" i="34"/>
  <c r="C164" i="34"/>
  <c r="E164" i="34"/>
  <c r="F164" i="34"/>
  <c r="G164" i="34"/>
  <c r="H164" i="34"/>
  <c r="I164" i="34"/>
  <c r="J164" i="34"/>
  <c r="K164" i="34"/>
  <c r="M164" i="34"/>
  <c r="N164" i="34"/>
  <c r="O164" i="34"/>
  <c r="P164" i="34"/>
  <c r="R164" i="34"/>
  <c r="S164" i="34"/>
  <c r="T164" i="34"/>
  <c r="U164" i="34"/>
  <c r="V164" i="34"/>
  <c r="W164" i="34"/>
  <c r="Y164" i="34"/>
  <c r="Z164" i="34"/>
  <c r="AA164" i="34"/>
  <c r="AB164" i="34"/>
  <c r="AC164" i="34"/>
  <c r="AD164" i="34"/>
  <c r="AE164" i="34"/>
  <c r="AF164" i="34"/>
  <c r="A165" i="34"/>
  <c r="C165" i="34"/>
  <c r="E165" i="34"/>
  <c r="F165" i="34"/>
  <c r="G165" i="34"/>
  <c r="A166" i="34"/>
  <c r="C166" i="34"/>
  <c r="E166" i="34"/>
  <c r="F166" i="34"/>
  <c r="G166" i="34"/>
  <c r="H166" i="34"/>
  <c r="I166" i="34"/>
  <c r="J166" i="34"/>
  <c r="K166" i="34"/>
  <c r="M166" i="34"/>
  <c r="N166" i="34"/>
  <c r="O166" i="34"/>
  <c r="P166" i="34"/>
  <c r="R166" i="34"/>
  <c r="S166" i="34"/>
  <c r="T166" i="34"/>
  <c r="U166" i="34"/>
  <c r="V166" i="34"/>
  <c r="W166" i="34"/>
  <c r="Y166" i="34"/>
  <c r="Z166" i="34"/>
  <c r="AA166" i="34"/>
  <c r="AB166" i="34"/>
  <c r="AC166" i="34"/>
  <c r="AD166" i="34"/>
  <c r="AE166" i="34"/>
  <c r="AF166" i="34"/>
  <c r="A167" i="34"/>
  <c r="C167" i="34"/>
  <c r="E167" i="34"/>
  <c r="F167" i="34"/>
  <c r="G167" i="34"/>
  <c r="H167" i="34"/>
  <c r="I167" i="34"/>
  <c r="J167" i="34"/>
  <c r="K167" i="34"/>
  <c r="M167" i="34"/>
  <c r="N167" i="34"/>
  <c r="O167" i="34"/>
  <c r="P167" i="34"/>
  <c r="R167" i="34"/>
  <c r="S167" i="34"/>
  <c r="T167" i="34"/>
  <c r="U167" i="34"/>
  <c r="V167" i="34"/>
  <c r="W167" i="34"/>
  <c r="Y167" i="34"/>
  <c r="Z167" i="34"/>
  <c r="AA167" i="34"/>
  <c r="AB167" i="34"/>
  <c r="AC167" i="34"/>
  <c r="AD167" i="34"/>
  <c r="AE167" i="34"/>
  <c r="AF167" i="34"/>
  <c r="A168" i="34"/>
  <c r="C168" i="34"/>
  <c r="E168" i="34"/>
  <c r="F168" i="34"/>
  <c r="G168" i="34"/>
  <c r="H168" i="34"/>
  <c r="I168" i="34"/>
  <c r="J168" i="34"/>
  <c r="K168" i="34"/>
  <c r="M168" i="34"/>
  <c r="N168" i="34"/>
  <c r="O168" i="34"/>
  <c r="P168" i="34"/>
  <c r="R168" i="34"/>
  <c r="S168" i="34"/>
  <c r="T168" i="34"/>
  <c r="U168" i="34"/>
  <c r="V168" i="34"/>
  <c r="W168" i="34"/>
  <c r="Y168" i="34"/>
  <c r="Z168" i="34"/>
  <c r="AA168" i="34"/>
  <c r="AB168" i="34"/>
  <c r="AC168" i="34"/>
  <c r="AD168" i="34"/>
  <c r="AE168" i="34"/>
  <c r="AF168" i="34"/>
  <c r="A169" i="34"/>
  <c r="C169" i="34"/>
  <c r="E169" i="34"/>
  <c r="F169" i="34"/>
  <c r="G169" i="34"/>
  <c r="H169" i="34"/>
  <c r="I169" i="34"/>
  <c r="J169" i="34"/>
  <c r="K169" i="34"/>
  <c r="M169" i="34"/>
  <c r="N169" i="34"/>
  <c r="O169" i="34"/>
  <c r="P169" i="34"/>
  <c r="R169" i="34"/>
  <c r="S169" i="34"/>
  <c r="T169" i="34"/>
  <c r="U169" i="34"/>
  <c r="V169" i="34"/>
  <c r="W169" i="34"/>
  <c r="Y169" i="34"/>
  <c r="Z169" i="34"/>
  <c r="AA169" i="34"/>
  <c r="AB169" i="34"/>
  <c r="AC169" i="34"/>
  <c r="AD169" i="34"/>
  <c r="AE169" i="34"/>
  <c r="AF169" i="34"/>
  <c r="A170" i="34"/>
  <c r="C170" i="34"/>
  <c r="E170" i="34"/>
  <c r="F170" i="34"/>
  <c r="G170" i="34"/>
  <c r="H170" i="34"/>
  <c r="I170" i="34"/>
  <c r="J170" i="34"/>
  <c r="K170" i="34"/>
  <c r="M170" i="34"/>
  <c r="N170" i="34"/>
  <c r="O170" i="34"/>
  <c r="P170" i="34"/>
  <c r="R170" i="34"/>
  <c r="S170" i="34"/>
  <c r="T170" i="34"/>
  <c r="U170" i="34"/>
  <c r="V170" i="34"/>
  <c r="W170" i="34"/>
  <c r="Y170" i="34"/>
  <c r="Z170" i="34"/>
  <c r="AA170" i="34"/>
  <c r="AB170" i="34"/>
  <c r="AC170" i="34"/>
  <c r="AD170" i="34"/>
  <c r="AE170" i="34"/>
  <c r="AF170" i="34"/>
  <c r="A171" i="34"/>
  <c r="C171" i="34"/>
  <c r="E171" i="34"/>
  <c r="F171" i="34"/>
  <c r="G171" i="34"/>
  <c r="H171" i="34"/>
  <c r="I171" i="34"/>
  <c r="J171" i="34"/>
  <c r="K171" i="34"/>
  <c r="M171" i="34"/>
  <c r="N171" i="34"/>
  <c r="O171" i="34"/>
  <c r="P171" i="34"/>
  <c r="R171" i="34"/>
  <c r="S171" i="34"/>
  <c r="T171" i="34"/>
  <c r="U171" i="34"/>
  <c r="V171" i="34"/>
  <c r="W171" i="34"/>
  <c r="Y171" i="34"/>
  <c r="Z171" i="34"/>
  <c r="AA171" i="34"/>
  <c r="AB171" i="34"/>
  <c r="AC171" i="34"/>
  <c r="AD171" i="34"/>
  <c r="AE171" i="34"/>
  <c r="AF171" i="34"/>
  <c r="A172" i="34"/>
  <c r="C172" i="34"/>
  <c r="E172" i="34"/>
  <c r="F172" i="34"/>
  <c r="G172" i="34"/>
  <c r="H172" i="34"/>
  <c r="I172" i="34"/>
  <c r="J172" i="34"/>
  <c r="K172" i="34"/>
  <c r="M172" i="34"/>
  <c r="N172" i="34"/>
  <c r="O172" i="34"/>
  <c r="P172" i="34"/>
  <c r="R172" i="34"/>
  <c r="S172" i="34"/>
  <c r="T172" i="34"/>
  <c r="U172" i="34"/>
  <c r="V172" i="34"/>
  <c r="W172" i="34"/>
  <c r="Y172" i="34"/>
  <c r="Z172" i="34"/>
  <c r="AA172" i="34"/>
  <c r="AB172" i="34"/>
  <c r="AC172" i="34"/>
  <c r="AD172" i="34"/>
  <c r="AE172" i="34"/>
  <c r="AF172" i="34"/>
  <c r="A173" i="34"/>
  <c r="C173" i="34"/>
  <c r="E173" i="34"/>
  <c r="F173" i="34"/>
  <c r="G173" i="34"/>
  <c r="H173" i="34"/>
  <c r="I173" i="34"/>
  <c r="J173" i="34"/>
  <c r="K173" i="34"/>
  <c r="M173" i="34"/>
  <c r="N173" i="34"/>
  <c r="O173" i="34"/>
  <c r="P173" i="34"/>
  <c r="R173" i="34"/>
  <c r="S173" i="34"/>
  <c r="T173" i="34"/>
  <c r="U173" i="34"/>
  <c r="V173" i="34"/>
  <c r="W173" i="34"/>
  <c r="Y173" i="34"/>
  <c r="Z173" i="34"/>
  <c r="AA173" i="34"/>
  <c r="AB173" i="34"/>
  <c r="AC173" i="34"/>
  <c r="AD173" i="34"/>
  <c r="AE173" i="34"/>
  <c r="AF173" i="34"/>
  <c r="A174" i="34"/>
  <c r="C174" i="34"/>
  <c r="E174" i="34"/>
  <c r="F174" i="34"/>
  <c r="G174" i="34"/>
  <c r="H174" i="34"/>
  <c r="I174" i="34"/>
  <c r="J174" i="34"/>
  <c r="K174" i="34"/>
  <c r="M174" i="34"/>
  <c r="N174" i="34"/>
  <c r="O174" i="34"/>
  <c r="P174" i="34"/>
  <c r="R174" i="34"/>
  <c r="S174" i="34"/>
  <c r="T174" i="34"/>
  <c r="U174" i="34"/>
  <c r="V174" i="34"/>
  <c r="W174" i="34"/>
  <c r="Y174" i="34"/>
  <c r="Z174" i="34"/>
  <c r="AA174" i="34"/>
  <c r="AB174" i="34"/>
  <c r="AC174" i="34"/>
  <c r="AD174" i="34"/>
  <c r="AE174" i="34"/>
  <c r="AF174" i="34"/>
  <c r="A175" i="34"/>
  <c r="C175" i="34"/>
  <c r="E175" i="34"/>
  <c r="F175" i="34"/>
  <c r="G175" i="34"/>
  <c r="H175" i="34"/>
  <c r="I175" i="34"/>
  <c r="J175" i="34"/>
  <c r="K175" i="34"/>
  <c r="M175" i="34"/>
  <c r="N175" i="34"/>
  <c r="O175" i="34"/>
  <c r="P175" i="34"/>
  <c r="R175" i="34"/>
  <c r="S175" i="34"/>
  <c r="T175" i="34"/>
  <c r="U175" i="34"/>
  <c r="V175" i="34"/>
  <c r="W175" i="34"/>
  <c r="Y175" i="34"/>
  <c r="Z175" i="34"/>
  <c r="AA175" i="34"/>
  <c r="AB175" i="34"/>
  <c r="AC175" i="34"/>
  <c r="AD175" i="34"/>
  <c r="AE175" i="34"/>
  <c r="AF175" i="34"/>
  <c r="A176" i="34"/>
  <c r="C176" i="34"/>
  <c r="E176" i="34"/>
  <c r="F176" i="34"/>
  <c r="G176" i="34"/>
  <c r="H176" i="34"/>
  <c r="I176" i="34"/>
  <c r="J176" i="34"/>
  <c r="K176" i="34"/>
  <c r="M176" i="34"/>
  <c r="N176" i="34"/>
  <c r="O176" i="34"/>
  <c r="P176" i="34"/>
  <c r="R176" i="34"/>
  <c r="S176" i="34"/>
  <c r="T176" i="34"/>
  <c r="U176" i="34"/>
  <c r="V176" i="34"/>
  <c r="W176" i="34"/>
  <c r="Y176" i="34"/>
  <c r="Z176" i="34"/>
  <c r="AA176" i="34"/>
  <c r="AB176" i="34"/>
  <c r="AC176" i="34"/>
  <c r="AD176" i="34"/>
  <c r="AE176" i="34"/>
  <c r="AF176" i="34"/>
  <c r="A177" i="34"/>
  <c r="C177" i="34"/>
  <c r="E177" i="34"/>
  <c r="F177" i="34"/>
  <c r="G177" i="34"/>
  <c r="H177" i="34"/>
  <c r="I177" i="34"/>
  <c r="J177" i="34"/>
  <c r="K177" i="34"/>
  <c r="M177" i="34"/>
  <c r="N177" i="34"/>
  <c r="O177" i="34"/>
  <c r="P177" i="34"/>
  <c r="R177" i="34"/>
  <c r="S177" i="34"/>
  <c r="T177" i="34"/>
  <c r="U177" i="34"/>
  <c r="V177" i="34"/>
  <c r="W177" i="34"/>
  <c r="Y177" i="34"/>
  <c r="Z177" i="34"/>
  <c r="AA177" i="34"/>
  <c r="AB177" i="34"/>
  <c r="AC177" i="34"/>
  <c r="AD177" i="34"/>
  <c r="AE177" i="34"/>
  <c r="AF177" i="34"/>
  <c r="A178" i="34"/>
  <c r="C178" i="34"/>
  <c r="E178" i="34"/>
  <c r="F178" i="34"/>
  <c r="G178" i="34"/>
  <c r="H178" i="34"/>
  <c r="I178" i="34"/>
  <c r="J178" i="34"/>
  <c r="K178" i="34"/>
  <c r="M178" i="34"/>
  <c r="N178" i="34"/>
  <c r="O178" i="34"/>
  <c r="P178" i="34"/>
  <c r="R178" i="34"/>
  <c r="S178" i="34"/>
  <c r="T178" i="34"/>
  <c r="U178" i="34"/>
  <c r="V178" i="34"/>
  <c r="W178" i="34"/>
  <c r="Y178" i="34"/>
  <c r="Z178" i="34"/>
  <c r="AA178" i="34"/>
  <c r="AB178" i="34"/>
  <c r="AC178" i="34"/>
  <c r="AD178" i="34"/>
  <c r="AE178" i="34"/>
  <c r="AF178" i="34"/>
  <c r="A179" i="34"/>
  <c r="C179" i="34"/>
  <c r="E179" i="34"/>
  <c r="F179" i="34"/>
  <c r="G179" i="34"/>
  <c r="H179" i="34"/>
  <c r="I179" i="34"/>
  <c r="J179" i="34"/>
  <c r="K179" i="34"/>
  <c r="M179" i="34"/>
  <c r="N179" i="34"/>
  <c r="O179" i="34"/>
  <c r="P179" i="34"/>
  <c r="R179" i="34"/>
  <c r="S179" i="34"/>
  <c r="T179" i="34"/>
  <c r="U179" i="34"/>
  <c r="V179" i="34"/>
  <c r="W179" i="34"/>
  <c r="Y179" i="34"/>
  <c r="Z179" i="34"/>
  <c r="AA179" i="34"/>
  <c r="AB179" i="34"/>
  <c r="AC179" i="34"/>
  <c r="AD179" i="34"/>
  <c r="AE179" i="34"/>
  <c r="AF179" i="34"/>
  <c r="A180" i="34"/>
  <c r="C180" i="34"/>
  <c r="E180" i="34"/>
  <c r="F180" i="34"/>
  <c r="G180" i="34"/>
  <c r="H180" i="34"/>
  <c r="I180" i="34"/>
  <c r="J180" i="34"/>
  <c r="K180" i="34"/>
  <c r="M180" i="34"/>
  <c r="N180" i="34"/>
  <c r="O180" i="34"/>
  <c r="P180" i="34"/>
  <c r="R180" i="34"/>
  <c r="S180" i="34"/>
  <c r="T180" i="34"/>
  <c r="U180" i="34"/>
  <c r="V180" i="34"/>
  <c r="W180" i="34"/>
  <c r="Y180" i="34"/>
  <c r="Z180" i="34"/>
  <c r="AA180" i="34"/>
  <c r="AB180" i="34"/>
  <c r="AC180" i="34"/>
  <c r="AD180" i="34"/>
  <c r="AE180" i="34"/>
  <c r="AF180" i="34"/>
  <c r="A181" i="34"/>
  <c r="C181" i="34"/>
  <c r="E181" i="34"/>
  <c r="F181" i="34"/>
  <c r="G181" i="34"/>
  <c r="H181" i="34"/>
  <c r="I181" i="34"/>
  <c r="J181" i="34"/>
  <c r="K181" i="34"/>
  <c r="M181" i="34"/>
  <c r="N181" i="34"/>
  <c r="O181" i="34"/>
  <c r="P181" i="34"/>
  <c r="R181" i="34"/>
  <c r="S181" i="34"/>
  <c r="T181" i="34"/>
  <c r="U181" i="34"/>
  <c r="V181" i="34"/>
  <c r="W181" i="34"/>
  <c r="Y181" i="34"/>
  <c r="Z181" i="34"/>
  <c r="AA181" i="34"/>
  <c r="AB181" i="34"/>
  <c r="AC181" i="34"/>
  <c r="AD181" i="34"/>
  <c r="AE181" i="34"/>
  <c r="AF181" i="34"/>
  <c r="A182" i="34"/>
  <c r="C182" i="34"/>
  <c r="E182" i="34"/>
  <c r="F182" i="34"/>
  <c r="G182" i="34"/>
  <c r="H182" i="34"/>
  <c r="I182" i="34"/>
  <c r="J182" i="34"/>
  <c r="K182" i="34"/>
  <c r="M182" i="34"/>
  <c r="N182" i="34"/>
  <c r="O182" i="34"/>
  <c r="P182" i="34"/>
  <c r="R182" i="34"/>
  <c r="S182" i="34"/>
  <c r="T182" i="34"/>
  <c r="U182" i="34"/>
  <c r="V182" i="34"/>
  <c r="W182" i="34"/>
  <c r="Y182" i="34"/>
  <c r="Z182" i="34"/>
  <c r="AA182" i="34"/>
  <c r="AB182" i="34"/>
  <c r="AC182" i="34"/>
  <c r="AD182" i="34"/>
  <c r="AE182" i="34"/>
  <c r="AF182" i="34"/>
  <c r="A183" i="34"/>
  <c r="C183" i="34"/>
  <c r="E183" i="34"/>
  <c r="F183" i="34"/>
  <c r="G183" i="34"/>
  <c r="H183" i="34"/>
  <c r="I183" i="34"/>
  <c r="J183" i="34"/>
  <c r="K183" i="34"/>
  <c r="M183" i="34"/>
  <c r="N183" i="34"/>
  <c r="O183" i="34"/>
  <c r="P183" i="34"/>
  <c r="R183" i="34"/>
  <c r="S183" i="34"/>
  <c r="T183" i="34"/>
  <c r="U183" i="34"/>
  <c r="V183" i="34"/>
  <c r="W183" i="34"/>
  <c r="Y183" i="34"/>
  <c r="Z183" i="34"/>
  <c r="AA183" i="34"/>
  <c r="AB183" i="34"/>
  <c r="AC183" i="34"/>
  <c r="AD183" i="34"/>
  <c r="AE183" i="34"/>
  <c r="AF183" i="34"/>
  <c r="A184" i="34"/>
  <c r="C184" i="34"/>
  <c r="E184" i="34"/>
  <c r="F184" i="34"/>
  <c r="G184" i="34"/>
  <c r="H184" i="34"/>
  <c r="I184" i="34"/>
  <c r="J184" i="34"/>
  <c r="K184" i="34"/>
  <c r="M184" i="34"/>
  <c r="N184" i="34"/>
  <c r="O184" i="34"/>
  <c r="P184" i="34"/>
  <c r="R184" i="34"/>
  <c r="S184" i="34"/>
  <c r="T184" i="34"/>
  <c r="U184" i="34"/>
  <c r="V184" i="34"/>
  <c r="W184" i="34"/>
  <c r="Y184" i="34"/>
  <c r="Z184" i="34"/>
  <c r="AA184" i="34"/>
  <c r="AB184" i="34"/>
  <c r="AC184" i="34"/>
  <c r="AD184" i="34"/>
  <c r="AE184" i="34"/>
  <c r="AF184" i="34"/>
  <c r="A185" i="34"/>
  <c r="C185" i="34"/>
  <c r="E185" i="34"/>
  <c r="F185" i="34"/>
  <c r="G185" i="34"/>
  <c r="H185" i="34"/>
  <c r="I185" i="34"/>
  <c r="J185" i="34"/>
  <c r="K185" i="34"/>
  <c r="M185" i="34"/>
  <c r="N185" i="34"/>
  <c r="O185" i="34"/>
  <c r="P185" i="34"/>
  <c r="R185" i="34"/>
  <c r="S185" i="34"/>
  <c r="T185" i="34"/>
  <c r="U185" i="34"/>
  <c r="V185" i="34"/>
  <c r="W185" i="34"/>
  <c r="Y185" i="34"/>
  <c r="Z185" i="34"/>
  <c r="AA185" i="34"/>
  <c r="AB185" i="34"/>
  <c r="AC185" i="34"/>
  <c r="AD185" i="34"/>
  <c r="AE185" i="34"/>
  <c r="AF185" i="34"/>
  <c r="A186" i="34"/>
  <c r="C186" i="34"/>
  <c r="E186" i="34"/>
  <c r="F186" i="34"/>
  <c r="G186" i="34"/>
  <c r="H186" i="34"/>
  <c r="I186" i="34"/>
  <c r="J186" i="34"/>
  <c r="K186" i="34"/>
  <c r="M186" i="34"/>
  <c r="N186" i="34"/>
  <c r="O186" i="34"/>
  <c r="P186" i="34"/>
  <c r="R186" i="34"/>
  <c r="S186" i="34"/>
  <c r="T186" i="34"/>
  <c r="U186" i="34"/>
  <c r="V186" i="34"/>
  <c r="W186" i="34"/>
  <c r="Y186" i="34"/>
  <c r="Z186" i="34"/>
  <c r="AA186" i="34"/>
  <c r="AB186" i="34"/>
  <c r="AC186" i="34"/>
  <c r="AD186" i="34"/>
  <c r="AE186" i="34"/>
  <c r="AF186" i="34"/>
  <c r="A187" i="34"/>
  <c r="C187" i="34"/>
  <c r="E187" i="34"/>
  <c r="F187" i="34"/>
  <c r="G187" i="34"/>
  <c r="H187" i="34"/>
  <c r="I187" i="34"/>
  <c r="J187" i="34"/>
  <c r="K187" i="34"/>
  <c r="M187" i="34"/>
  <c r="N187" i="34"/>
  <c r="O187" i="34"/>
  <c r="P187" i="34"/>
  <c r="R187" i="34"/>
  <c r="S187" i="34"/>
  <c r="T187" i="34"/>
  <c r="U187" i="34"/>
  <c r="V187" i="34"/>
  <c r="W187" i="34"/>
  <c r="Y187" i="34"/>
  <c r="Z187" i="34"/>
  <c r="AA187" i="34"/>
  <c r="AB187" i="34"/>
  <c r="AC187" i="34"/>
  <c r="AD187" i="34"/>
  <c r="AE187" i="34"/>
  <c r="AF187" i="34"/>
  <c r="A188" i="34"/>
  <c r="C188" i="34"/>
  <c r="E188" i="34"/>
  <c r="F188" i="34"/>
  <c r="G188" i="34"/>
  <c r="H188" i="34"/>
  <c r="I188" i="34"/>
  <c r="J188" i="34"/>
  <c r="K188" i="34"/>
  <c r="M188" i="34"/>
  <c r="N188" i="34"/>
  <c r="O188" i="34"/>
  <c r="P188" i="34"/>
  <c r="R188" i="34"/>
  <c r="S188" i="34"/>
  <c r="T188" i="34"/>
  <c r="U188" i="34"/>
  <c r="V188" i="34"/>
  <c r="W188" i="34"/>
  <c r="Y188" i="34"/>
  <c r="Z188" i="34"/>
  <c r="AA188" i="34"/>
  <c r="AB188" i="34"/>
  <c r="AC188" i="34"/>
  <c r="AD188" i="34"/>
  <c r="AE188" i="34"/>
  <c r="AF188" i="34"/>
  <c r="A189" i="34"/>
  <c r="C189" i="34"/>
  <c r="E189" i="34"/>
  <c r="F189" i="34"/>
  <c r="G189" i="34"/>
  <c r="H189" i="34"/>
  <c r="I189" i="34"/>
  <c r="J189" i="34"/>
  <c r="K189" i="34"/>
  <c r="M189" i="34"/>
  <c r="N189" i="34"/>
  <c r="O189" i="34"/>
  <c r="P189" i="34"/>
  <c r="R189" i="34"/>
  <c r="S189" i="34"/>
  <c r="T189" i="34"/>
  <c r="U189" i="34"/>
  <c r="V189" i="34"/>
  <c r="W189" i="34"/>
  <c r="Y189" i="34"/>
  <c r="Z189" i="34"/>
  <c r="AA189" i="34"/>
  <c r="AB189" i="34"/>
  <c r="AC189" i="34"/>
  <c r="AD189" i="34"/>
  <c r="AE189" i="34"/>
  <c r="AF189" i="34"/>
  <c r="A190" i="34"/>
  <c r="C190" i="34"/>
  <c r="E190" i="34"/>
  <c r="F190" i="34"/>
  <c r="G190" i="34"/>
  <c r="H190" i="34"/>
  <c r="I190" i="34"/>
  <c r="J190" i="34"/>
  <c r="K190" i="34"/>
  <c r="M190" i="34"/>
  <c r="N190" i="34"/>
  <c r="O190" i="34"/>
  <c r="P190" i="34"/>
  <c r="R190" i="34"/>
  <c r="S190" i="34"/>
  <c r="T190" i="34"/>
  <c r="U190" i="34"/>
  <c r="V190" i="34"/>
  <c r="W190" i="34"/>
  <c r="Y190" i="34"/>
  <c r="Z190" i="34"/>
  <c r="AA190" i="34"/>
  <c r="AB190" i="34"/>
  <c r="AC190" i="34"/>
  <c r="AD190" i="34"/>
  <c r="AE190" i="34"/>
  <c r="AF190" i="34"/>
  <c r="A191" i="34"/>
  <c r="C191" i="34"/>
  <c r="E191" i="34"/>
  <c r="F191" i="34"/>
  <c r="G191" i="34"/>
  <c r="H191" i="34"/>
  <c r="I191" i="34"/>
  <c r="J191" i="34"/>
  <c r="K191" i="34"/>
  <c r="M191" i="34"/>
  <c r="N191" i="34"/>
  <c r="O191" i="34"/>
  <c r="P191" i="34"/>
  <c r="R191" i="34"/>
  <c r="S191" i="34"/>
  <c r="T191" i="34"/>
  <c r="U191" i="34"/>
  <c r="V191" i="34"/>
  <c r="W191" i="34"/>
  <c r="Y191" i="34"/>
  <c r="Z191" i="34"/>
  <c r="AA191" i="34"/>
  <c r="AB191" i="34"/>
  <c r="AC191" i="34"/>
  <c r="AD191" i="34"/>
  <c r="AE191" i="34"/>
  <c r="AF191" i="34"/>
  <c r="A192" i="34"/>
  <c r="C192" i="34"/>
  <c r="E192" i="34"/>
  <c r="F192" i="34"/>
  <c r="G192" i="34"/>
  <c r="H192" i="34"/>
  <c r="I192" i="34"/>
  <c r="J192" i="34"/>
  <c r="K192" i="34"/>
  <c r="M192" i="34"/>
  <c r="N192" i="34"/>
  <c r="O192" i="34"/>
  <c r="P192" i="34"/>
  <c r="R192" i="34"/>
  <c r="S192" i="34"/>
  <c r="T192" i="34"/>
  <c r="U192" i="34"/>
  <c r="V192" i="34"/>
  <c r="W192" i="34"/>
  <c r="Y192" i="34"/>
  <c r="Z192" i="34"/>
  <c r="AA192" i="34"/>
  <c r="AB192" i="34"/>
  <c r="AC192" i="34"/>
  <c r="AD192" i="34"/>
  <c r="AE192" i="34"/>
  <c r="AF192" i="34"/>
  <c r="A193" i="34"/>
  <c r="C193" i="34"/>
  <c r="E193" i="34"/>
  <c r="F193" i="34"/>
  <c r="G193" i="34"/>
  <c r="H193" i="34"/>
  <c r="I193" i="34"/>
  <c r="J193" i="34"/>
  <c r="K193" i="34"/>
  <c r="M193" i="34"/>
  <c r="N193" i="34"/>
  <c r="O193" i="34"/>
  <c r="P193" i="34"/>
  <c r="R193" i="34"/>
  <c r="S193" i="34"/>
  <c r="T193" i="34"/>
  <c r="U193" i="34"/>
  <c r="V193" i="34"/>
  <c r="W193" i="34"/>
  <c r="Y193" i="34"/>
  <c r="Z193" i="34"/>
  <c r="AA193" i="34"/>
  <c r="AB193" i="34"/>
  <c r="AC193" i="34"/>
  <c r="AD193" i="34"/>
  <c r="AE193" i="34"/>
  <c r="AF193" i="34"/>
  <c r="A194" i="34"/>
  <c r="C194" i="34"/>
  <c r="E194" i="34"/>
  <c r="F194" i="34"/>
  <c r="G194" i="34"/>
  <c r="H194" i="34"/>
  <c r="I194" i="34"/>
  <c r="J194" i="34"/>
  <c r="K194" i="34"/>
  <c r="M194" i="34"/>
  <c r="N194" i="34"/>
  <c r="O194" i="34"/>
  <c r="P194" i="34"/>
  <c r="R194" i="34"/>
  <c r="S194" i="34"/>
  <c r="T194" i="34"/>
  <c r="U194" i="34"/>
  <c r="V194" i="34"/>
  <c r="W194" i="34"/>
  <c r="Y194" i="34"/>
  <c r="Z194" i="34"/>
  <c r="AA194" i="34"/>
  <c r="AB194" i="34"/>
  <c r="AC194" i="34"/>
  <c r="AD194" i="34"/>
  <c r="AE194" i="34"/>
  <c r="AF194" i="34"/>
  <c r="A195" i="34"/>
  <c r="C195" i="34"/>
  <c r="E195" i="34"/>
  <c r="F195" i="34"/>
  <c r="G195" i="34"/>
  <c r="H195" i="34"/>
  <c r="I195" i="34"/>
  <c r="J195" i="34"/>
  <c r="K195" i="34"/>
  <c r="M195" i="34"/>
  <c r="N195" i="34"/>
  <c r="O195" i="34"/>
  <c r="P195" i="34"/>
  <c r="R195" i="34"/>
  <c r="S195" i="34"/>
  <c r="T195" i="34"/>
  <c r="U195" i="34"/>
  <c r="V195" i="34"/>
  <c r="W195" i="34"/>
  <c r="Y195" i="34"/>
  <c r="Z195" i="34"/>
  <c r="AA195" i="34"/>
  <c r="AB195" i="34"/>
  <c r="AC195" i="34"/>
  <c r="AD195" i="34"/>
  <c r="AE195" i="34"/>
  <c r="AF195" i="34"/>
  <c r="A196" i="34"/>
  <c r="C196" i="34"/>
  <c r="E196" i="34"/>
  <c r="F196" i="34"/>
  <c r="G196" i="34"/>
  <c r="H196" i="34"/>
  <c r="I196" i="34"/>
  <c r="J196" i="34"/>
  <c r="K196" i="34"/>
  <c r="M196" i="34"/>
  <c r="N196" i="34"/>
  <c r="O196" i="34"/>
  <c r="P196" i="34"/>
  <c r="R196" i="34"/>
  <c r="S196" i="34"/>
  <c r="T196" i="34"/>
  <c r="U196" i="34"/>
  <c r="V196" i="34"/>
  <c r="W196" i="34"/>
  <c r="Y196" i="34"/>
  <c r="Z196" i="34"/>
  <c r="AA196" i="34"/>
  <c r="AB196" i="34"/>
  <c r="AC196" i="34"/>
  <c r="AD196" i="34"/>
  <c r="AE196" i="34"/>
  <c r="AF196" i="34"/>
  <c r="A197" i="34"/>
  <c r="C197" i="34"/>
  <c r="E197" i="34"/>
  <c r="F197" i="34"/>
  <c r="G197" i="34"/>
  <c r="H197" i="34"/>
  <c r="I197" i="34"/>
  <c r="J197" i="34"/>
  <c r="K197" i="34"/>
  <c r="M197" i="34"/>
  <c r="N197" i="34"/>
  <c r="O197" i="34"/>
  <c r="P197" i="34"/>
  <c r="R197" i="34"/>
  <c r="S197" i="34"/>
  <c r="T197" i="34"/>
  <c r="U197" i="34"/>
  <c r="V197" i="34"/>
  <c r="W197" i="34"/>
  <c r="Y197" i="34"/>
  <c r="Z197" i="34"/>
  <c r="AA197" i="34"/>
  <c r="AB197" i="34"/>
  <c r="AC197" i="34"/>
  <c r="AD197" i="34"/>
  <c r="AE197" i="34"/>
  <c r="AF197" i="34"/>
  <c r="A198" i="34"/>
  <c r="C198" i="34"/>
  <c r="E198" i="34"/>
  <c r="F198" i="34"/>
  <c r="G198" i="34"/>
  <c r="H198" i="34"/>
  <c r="I198" i="34"/>
  <c r="J198" i="34"/>
  <c r="K198" i="34"/>
  <c r="M198" i="34"/>
  <c r="N198" i="34"/>
  <c r="O198" i="34"/>
  <c r="P198" i="34"/>
  <c r="R198" i="34"/>
  <c r="S198" i="34"/>
  <c r="T198" i="34"/>
  <c r="U198" i="34"/>
  <c r="V198" i="34"/>
  <c r="W198" i="34"/>
  <c r="Y198" i="34"/>
  <c r="Z198" i="34"/>
  <c r="AA198" i="34"/>
  <c r="AB198" i="34"/>
  <c r="AC198" i="34"/>
  <c r="AD198" i="34"/>
  <c r="AE198" i="34"/>
  <c r="AF198" i="34"/>
  <c r="A199" i="34"/>
  <c r="C199" i="34"/>
  <c r="E199" i="34"/>
  <c r="F199" i="34"/>
  <c r="G199" i="34"/>
  <c r="H199" i="34"/>
  <c r="I199" i="34"/>
  <c r="J199" i="34"/>
  <c r="K199" i="34"/>
  <c r="M199" i="34"/>
  <c r="N199" i="34"/>
  <c r="O199" i="34"/>
  <c r="P199" i="34"/>
  <c r="R199" i="34"/>
  <c r="S199" i="34"/>
  <c r="T199" i="34"/>
  <c r="U199" i="34"/>
  <c r="V199" i="34"/>
  <c r="W199" i="34"/>
  <c r="Y199" i="34"/>
  <c r="Z199" i="34"/>
  <c r="AA199" i="34"/>
  <c r="AB199" i="34"/>
  <c r="AC199" i="34"/>
  <c r="AD199" i="34"/>
  <c r="AE199" i="34"/>
  <c r="AF199" i="34"/>
  <c r="A200" i="34"/>
  <c r="C200" i="34"/>
  <c r="E200" i="34"/>
  <c r="F200" i="34"/>
  <c r="G200" i="34"/>
  <c r="H200" i="34"/>
  <c r="I200" i="34"/>
  <c r="J200" i="34"/>
  <c r="K200" i="34"/>
  <c r="M200" i="34"/>
  <c r="N200" i="34"/>
  <c r="O200" i="34"/>
  <c r="P200" i="34"/>
  <c r="R200" i="34"/>
  <c r="S200" i="34"/>
  <c r="T200" i="34"/>
  <c r="U200" i="34"/>
  <c r="V200" i="34"/>
  <c r="W200" i="34"/>
  <c r="Y200" i="34"/>
  <c r="Z200" i="34"/>
  <c r="AA200" i="34"/>
  <c r="AB200" i="34"/>
  <c r="AC200" i="34"/>
  <c r="AD200" i="34"/>
  <c r="AE200" i="34"/>
  <c r="AF200" i="34"/>
  <c r="A201" i="34"/>
  <c r="C201" i="34"/>
  <c r="E201" i="34"/>
  <c r="F201" i="34"/>
  <c r="G201" i="34"/>
  <c r="H201" i="34"/>
  <c r="I201" i="34"/>
  <c r="J201" i="34"/>
  <c r="K201" i="34"/>
  <c r="M201" i="34"/>
  <c r="N201" i="34"/>
  <c r="O201" i="34"/>
  <c r="P201" i="34"/>
  <c r="R201" i="34"/>
  <c r="S201" i="34"/>
  <c r="T201" i="34"/>
  <c r="U201" i="34"/>
  <c r="V201" i="34"/>
  <c r="W201" i="34"/>
  <c r="Y201" i="34"/>
  <c r="Z201" i="34"/>
  <c r="AA201" i="34"/>
  <c r="AB201" i="34"/>
  <c r="AC201" i="34"/>
  <c r="AD201" i="34"/>
  <c r="AE201" i="34"/>
  <c r="AF201" i="34"/>
  <c r="A202" i="34"/>
  <c r="C202" i="34"/>
  <c r="E202" i="34"/>
  <c r="F202" i="34"/>
  <c r="G202" i="34"/>
  <c r="H202" i="34"/>
  <c r="I202" i="34"/>
  <c r="J202" i="34"/>
  <c r="K202" i="34"/>
  <c r="M202" i="34"/>
  <c r="N202" i="34"/>
  <c r="O202" i="34"/>
  <c r="P202" i="34"/>
  <c r="R202" i="34"/>
  <c r="S202" i="34"/>
  <c r="T202" i="34"/>
  <c r="U202" i="34"/>
  <c r="V202" i="34"/>
  <c r="W202" i="34"/>
  <c r="Y202" i="34"/>
  <c r="Z202" i="34"/>
  <c r="AA202" i="34"/>
  <c r="AB202" i="34"/>
  <c r="AC202" i="34"/>
  <c r="AD202" i="34"/>
  <c r="AE202" i="34"/>
  <c r="AF202" i="34"/>
  <c r="A203" i="34"/>
  <c r="C203" i="34"/>
  <c r="E203" i="34"/>
  <c r="F203" i="34"/>
  <c r="G203" i="34"/>
  <c r="H203" i="34"/>
  <c r="I203" i="34"/>
  <c r="J203" i="34"/>
  <c r="K203" i="34"/>
  <c r="M203" i="34"/>
  <c r="N203" i="34"/>
  <c r="O203" i="34"/>
  <c r="P203" i="34"/>
  <c r="R203" i="34"/>
  <c r="S203" i="34"/>
  <c r="T203" i="34"/>
  <c r="U203" i="34"/>
  <c r="V203" i="34"/>
  <c r="W203" i="34"/>
  <c r="Y203" i="34"/>
  <c r="Z203" i="34"/>
  <c r="AA203" i="34"/>
  <c r="AB203" i="34"/>
  <c r="AC203" i="34"/>
  <c r="AD203" i="34"/>
  <c r="AE203" i="34"/>
  <c r="AF203" i="34"/>
  <c r="A204" i="34"/>
  <c r="C204" i="34"/>
  <c r="E204" i="34"/>
  <c r="F204" i="34"/>
  <c r="G204" i="34"/>
  <c r="H204" i="34"/>
  <c r="I204" i="34"/>
  <c r="J204" i="34"/>
  <c r="K204" i="34"/>
  <c r="M204" i="34"/>
  <c r="N204" i="34"/>
  <c r="O204" i="34"/>
  <c r="P204" i="34"/>
  <c r="R204" i="34"/>
  <c r="S204" i="34"/>
  <c r="T204" i="34"/>
  <c r="U204" i="34"/>
  <c r="V204" i="34"/>
  <c r="W204" i="34"/>
  <c r="Y204" i="34"/>
  <c r="Z204" i="34"/>
  <c r="AA204" i="34"/>
  <c r="AB204" i="34"/>
  <c r="AC204" i="34"/>
  <c r="AD204" i="34"/>
  <c r="AE204" i="34"/>
  <c r="AF204" i="34"/>
  <c r="A205" i="34"/>
  <c r="C205" i="34"/>
  <c r="E205" i="34"/>
  <c r="F205" i="34"/>
  <c r="G205" i="34"/>
  <c r="H205" i="34"/>
  <c r="I205" i="34"/>
  <c r="J205" i="34"/>
  <c r="K205" i="34"/>
  <c r="M205" i="34"/>
  <c r="N205" i="34"/>
  <c r="O205" i="34"/>
  <c r="P205" i="34"/>
  <c r="R205" i="34"/>
  <c r="S205" i="34"/>
  <c r="T205" i="34"/>
  <c r="U205" i="34"/>
  <c r="V205" i="34"/>
  <c r="W205" i="34"/>
  <c r="Y205" i="34"/>
  <c r="Z205" i="34"/>
  <c r="AA205" i="34"/>
  <c r="AB205" i="34"/>
  <c r="AC205" i="34"/>
  <c r="AD205" i="34"/>
  <c r="AE205" i="34"/>
  <c r="AF205" i="34"/>
  <c r="A206" i="34"/>
  <c r="C206" i="34"/>
  <c r="E206" i="34"/>
  <c r="F206" i="34"/>
  <c r="G206" i="34"/>
  <c r="H206" i="34"/>
  <c r="I206" i="34"/>
  <c r="J206" i="34"/>
  <c r="K206" i="34"/>
  <c r="M206" i="34"/>
  <c r="N206" i="34"/>
  <c r="O206" i="34"/>
  <c r="P206" i="34"/>
  <c r="R206" i="34"/>
  <c r="S206" i="34"/>
  <c r="T206" i="34"/>
  <c r="U206" i="34"/>
  <c r="V206" i="34"/>
  <c r="W206" i="34"/>
  <c r="Y206" i="34"/>
  <c r="Z206" i="34"/>
  <c r="AA206" i="34"/>
  <c r="AB206" i="34"/>
  <c r="AC206" i="34"/>
  <c r="AD206" i="34"/>
  <c r="AE206" i="34"/>
  <c r="AF206" i="34"/>
  <c r="A207" i="34"/>
  <c r="C207" i="34"/>
  <c r="E207" i="34"/>
  <c r="F207" i="34"/>
  <c r="G207" i="34"/>
  <c r="H207" i="34"/>
  <c r="I207" i="34"/>
  <c r="J207" i="34"/>
  <c r="K207" i="34"/>
  <c r="M207" i="34"/>
  <c r="N207" i="34"/>
  <c r="O207" i="34"/>
  <c r="P207" i="34"/>
  <c r="R207" i="34"/>
  <c r="S207" i="34"/>
  <c r="T207" i="34"/>
  <c r="U207" i="34"/>
  <c r="V207" i="34"/>
  <c r="W207" i="34"/>
  <c r="Y207" i="34"/>
  <c r="Z207" i="34"/>
  <c r="AA207" i="34"/>
  <c r="AB207" i="34"/>
  <c r="AC207" i="34"/>
  <c r="AD207" i="34"/>
  <c r="AE207" i="34"/>
  <c r="AF207" i="34"/>
  <c r="A208" i="34"/>
  <c r="C208" i="34"/>
  <c r="E208" i="34"/>
  <c r="F208" i="34"/>
  <c r="G208" i="34"/>
  <c r="H208" i="34"/>
  <c r="I208" i="34"/>
  <c r="J208" i="34"/>
  <c r="K208" i="34"/>
  <c r="M208" i="34"/>
  <c r="N208" i="34"/>
  <c r="O208" i="34"/>
  <c r="P208" i="34"/>
  <c r="R208" i="34"/>
  <c r="S208" i="34"/>
  <c r="T208" i="34"/>
  <c r="U208" i="34"/>
  <c r="V208" i="34"/>
  <c r="W208" i="34"/>
  <c r="Y208" i="34"/>
  <c r="Z208" i="34"/>
  <c r="AA208" i="34"/>
  <c r="AB208" i="34"/>
  <c r="AC208" i="34"/>
  <c r="AD208" i="34"/>
  <c r="AE208" i="34"/>
  <c r="AF208" i="34"/>
  <c r="A209" i="34"/>
  <c r="C209" i="34"/>
  <c r="E209" i="34"/>
  <c r="F209" i="34"/>
  <c r="G209" i="34"/>
  <c r="H209" i="34"/>
  <c r="I209" i="34"/>
  <c r="J209" i="34"/>
  <c r="K209" i="34"/>
  <c r="M209" i="34"/>
  <c r="N209" i="34"/>
  <c r="O209" i="34"/>
  <c r="P209" i="34"/>
  <c r="R209" i="34"/>
  <c r="S209" i="34"/>
  <c r="T209" i="34"/>
  <c r="U209" i="34"/>
  <c r="V209" i="34"/>
  <c r="W209" i="34"/>
  <c r="Y209" i="34"/>
  <c r="Z209" i="34"/>
  <c r="AA209" i="34"/>
  <c r="AB209" i="34"/>
  <c r="AC209" i="34"/>
  <c r="AD209" i="34"/>
  <c r="AE209" i="34"/>
  <c r="AF209" i="34"/>
  <c r="A210" i="34"/>
  <c r="C210" i="34"/>
  <c r="E210" i="34"/>
  <c r="F210" i="34"/>
  <c r="G210" i="34"/>
  <c r="H210" i="34"/>
  <c r="I210" i="34"/>
  <c r="J210" i="34"/>
  <c r="K210" i="34"/>
  <c r="M210" i="34"/>
  <c r="N210" i="34"/>
  <c r="O210" i="34"/>
  <c r="P210" i="34"/>
  <c r="R210" i="34"/>
  <c r="S210" i="34"/>
  <c r="T210" i="34"/>
  <c r="U210" i="34"/>
  <c r="V210" i="34"/>
  <c r="W210" i="34"/>
  <c r="Y210" i="34"/>
  <c r="Z210" i="34"/>
  <c r="AA210" i="34"/>
  <c r="AB210" i="34"/>
  <c r="AC210" i="34"/>
  <c r="AD210" i="34"/>
  <c r="AE210" i="34"/>
  <c r="AF210" i="34"/>
  <c r="A211" i="34"/>
  <c r="C211" i="34"/>
  <c r="E211" i="34"/>
  <c r="F211" i="34"/>
  <c r="G211" i="34"/>
  <c r="H211" i="34"/>
  <c r="I211" i="34"/>
  <c r="J211" i="34"/>
  <c r="K211" i="34"/>
  <c r="M211" i="34"/>
  <c r="N211" i="34"/>
  <c r="O211" i="34"/>
  <c r="P211" i="34"/>
  <c r="R211" i="34"/>
  <c r="S211" i="34"/>
  <c r="T211" i="34"/>
  <c r="U211" i="34"/>
  <c r="V211" i="34"/>
  <c r="W211" i="34"/>
  <c r="Y211" i="34"/>
  <c r="Z211" i="34"/>
  <c r="AA211" i="34"/>
  <c r="AB211" i="34"/>
  <c r="AC211" i="34"/>
  <c r="AD211" i="34"/>
  <c r="AE211" i="34"/>
  <c r="AF211" i="34"/>
  <c r="A212" i="34"/>
  <c r="C212" i="34"/>
  <c r="E212" i="34"/>
  <c r="F212" i="34"/>
  <c r="G212" i="34"/>
  <c r="H212" i="34"/>
  <c r="I212" i="34"/>
  <c r="J212" i="34"/>
  <c r="K212" i="34"/>
  <c r="M212" i="34"/>
  <c r="N212" i="34"/>
  <c r="O212" i="34"/>
  <c r="P212" i="34"/>
  <c r="R212" i="34"/>
  <c r="S212" i="34"/>
  <c r="T212" i="34"/>
  <c r="U212" i="34"/>
  <c r="V212" i="34"/>
  <c r="W212" i="34"/>
  <c r="Y212" i="34"/>
  <c r="Z212" i="34"/>
  <c r="AA212" i="34"/>
  <c r="AB212" i="34"/>
  <c r="AC212" i="34"/>
  <c r="AD212" i="34"/>
  <c r="AE212" i="34"/>
  <c r="AF212" i="34"/>
  <c r="A213" i="34"/>
  <c r="C213" i="34"/>
  <c r="E213" i="34"/>
  <c r="F213" i="34"/>
  <c r="G213" i="34"/>
  <c r="H213" i="34"/>
  <c r="I213" i="34"/>
  <c r="J213" i="34"/>
  <c r="K213" i="34"/>
  <c r="M213" i="34"/>
  <c r="N213" i="34"/>
  <c r="O213" i="34"/>
  <c r="P213" i="34"/>
  <c r="R213" i="34"/>
  <c r="S213" i="34"/>
  <c r="T213" i="34"/>
  <c r="U213" i="34"/>
  <c r="V213" i="34"/>
  <c r="W213" i="34"/>
  <c r="Y213" i="34"/>
  <c r="Z213" i="34"/>
  <c r="AA213" i="34"/>
  <c r="AB213" i="34"/>
  <c r="AC213" i="34"/>
  <c r="AD213" i="34"/>
  <c r="AE213" i="34"/>
  <c r="AF213" i="34"/>
  <c r="A214" i="34"/>
  <c r="C214" i="34"/>
  <c r="E214" i="34"/>
  <c r="F214" i="34"/>
  <c r="G214" i="34"/>
  <c r="H214" i="34"/>
  <c r="I214" i="34"/>
  <c r="J214" i="34"/>
  <c r="K214" i="34"/>
  <c r="M214" i="34"/>
  <c r="N214" i="34"/>
  <c r="O214" i="34"/>
  <c r="P214" i="34"/>
  <c r="R214" i="34"/>
  <c r="S214" i="34"/>
  <c r="T214" i="34"/>
  <c r="U214" i="34"/>
  <c r="V214" i="34"/>
  <c r="W214" i="34"/>
  <c r="Y214" i="34"/>
  <c r="Z214" i="34"/>
  <c r="AA214" i="34"/>
  <c r="AB214" i="34"/>
  <c r="AC214" i="34"/>
  <c r="AD214" i="34"/>
  <c r="AE214" i="34"/>
  <c r="AF214" i="34"/>
  <c r="A215" i="34"/>
  <c r="C215" i="34"/>
  <c r="E215" i="34"/>
  <c r="F215" i="34"/>
  <c r="G215" i="34"/>
  <c r="H215" i="34"/>
  <c r="I215" i="34"/>
  <c r="J215" i="34"/>
  <c r="K215" i="34"/>
  <c r="M215" i="34"/>
  <c r="N215" i="34"/>
  <c r="O215" i="34"/>
  <c r="P215" i="34"/>
  <c r="R215" i="34"/>
  <c r="S215" i="34"/>
  <c r="T215" i="34"/>
  <c r="U215" i="34"/>
  <c r="V215" i="34"/>
  <c r="W215" i="34"/>
  <c r="Y215" i="34"/>
  <c r="Z215" i="34"/>
  <c r="AA215" i="34"/>
  <c r="AB215" i="34"/>
  <c r="AC215" i="34"/>
  <c r="AD215" i="34"/>
  <c r="AE215" i="34"/>
  <c r="AF215" i="34"/>
  <c r="A216" i="34"/>
  <c r="C216" i="34"/>
  <c r="E216" i="34"/>
  <c r="F216" i="34"/>
  <c r="G216" i="34"/>
  <c r="H216" i="34"/>
  <c r="I216" i="34"/>
  <c r="J216" i="34"/>
  <c r="K216" i="34"/>
  <c r="M216" i="34"/>
  <c r="N216" i="34"/>
  <c r="O216" i="34"/>
  <c r="P216" i="34"/>
  <c r="R216" i="34"/>
  <c r="S216" i="34"/>
  <c r="T216" i="34"/>
  <c r="U216" i="34"/>
  <c r="V216" i="34"/>
  <c r="W216" i="34"/>
  <c r="Y216" i="34"/>
  <c r="Z216" i="34"/>
  <c r="AA216" i="34"/>
  <c r="AB216" i="34"/>
  <c r="AC216" i="34"/>
  <c r="AD216" i="34"/>
  <c r="AE216" i="34"/>
  <c r="AF216" i="34"/>
  <c r="A217" i="34"/>
  <c r="C217" i="34"/>
  <c r="E217" i="34"/>
  <c r="F217" i="34"/>
  <c r="G217" i="34"/>
  <c r="H217" i="34"/>
  <c r="I217" i="34"/>
  <c r="J217" i="34"/>
  <c r="K217" i="34"/>
  <c r="M217" i="34"/>
  <c r="N217" i="34"/>
  <c r="O217" i="34"/>
  <c r="P217" i="34"/>
  <c r="R217" i="34"/>
  <c r="S217" i="34"/>
  <c r="T217" i="34"/>
  <c r="U217" i="34"/>
  <c r="V217" i="34"/>
  <c r="W217" i="34"/>
  <c r="Y217" i="34"/>
  <c r="Z217" i="34"/>
  <c r="AA217" i="34"/>
  <c r="AB217" i="34"/>
  <c r="AC217" i="34"/>
  <c r="AD217" i="34"/>
  <c r="AE217" i="34"/>
  <c r="AF217" i="34"/>
  <c r="A218" i="34"/>
  <c r="C218" i="34"/>
  <c r="E218" i="34"/>
  <c r="F218" i="34"/>
  <c r="G218" i="34"/>
  <c r="H218" i="34"/>
  <c r="I218" i="34"/>
  <c r="J218" i="34"/>
  <c r="K218" i="34"/>
  <c r="M218" i="34"/>
  <c r="N218" i="34"/>
  <c r="O218" i="34"/>
  <c r="P218" i="34"/>
  <c r="R218" i="34"/>
  <c r="S218" i="34"/>
  <c r="T218" i="34"/>
  <c r="U218" i="34"/>
  <c r="V218" i="34"/>
  <c r="W218" i="34"/>
  <c r="Y218" i="34"/>
  <c r="Z218" i="34"/>
  <c r="AA218" i="34"/>
  <c r="AB218" i="34"/>
  <c r="AC218" i="34"/>
  <c r="AD218" i="34"/>
  <c r="AE218" i="34"/>
  <c r="AF218" i="34"/>
  <c r="A219" i="34"/>
  <c r="C219" i="34"/>
  <c r="E219" i="34"/>
  <c r="F219" i="34"/>
  <c r="G219" i="34"/>
  <c r="H219" i="34"/>
  <c r="I219" i="34"/>
  <c r="J219" i="34"/>
  <c r="K219" i="34"/>
  <c r="M219" i="34"/>
  <c r="N219" i="34"/>
  <c r="O219" i="34"/>
  <c r="P219" i="34"/>
  <c r="R219" i="34"/>
  <c r="S219" i="34"/>
  <c r="T219" i="34"/>
  <c r="U219" i="34"/>
  <c r="V219" i="34"/>
  <c r="W219" i="34"/>
  <c r="Y219" i="34"/>
  <c r="Z219" i="34"/>
  <c r="AA219" i="34"/>
  <c r="AB219" i="34"/>
  <c r="AC219" i="34"/>
  <c r="AD219" i="34"/>
  <c r="AE219" i="34"/>
  <c r="AF219" i="34"/>
  <c r="A220" i="34"/>
  <c r="C220" i="34"/>
  <c r="E220" i="34"/>
  <c r="F220" i="34"/>
  <c r="G220" i="34"/>
  <c r="H220" i="34"/>
  <c r="I220" i="34"/>
  <c r="J220" i="34"/>
  <c r="K220" i="34"/>
  <c r="M220" i="34"/>
  <c r="N220" i="34"/>
  <c r="O220" i="34"/>
  <c r="P220" i="34"/>
  <c r="R220" i="34"/>
  <c r="S220" i="34"/>
  <c r="T220" i="34"/>
  <c r="U220" i="34"/>
  <c r="V220" i="34"/>
  <c r="W220" i="34"/>
  <c r="Y220" i="34"/>
  <c r="Z220" i="34"/>
  <c r="AA220" i="34"/>
  <c r="AB220" i="34"/>
  <c r="AC220" i="34"/>
  <c r="AD220" i="34"/>
  <c r="AE220" i="34"/>
  <c r="AF220" i="34"/>
  <c r="A221" i="34"/>
  <c r="C221" i="34"/>
  <c r="E221" i="34"/>
  <c r="F221" i="34"/>
  <c r="G221" i="34"/>
  <c r="H221" i="34"/>
  <c r="I221" i="34"/>
  <c r="J221" i="34"/>
  <c r="K221" i="34"/>
  <c r="M221" i="34"/>
  <c r="N221" i="34"/>
  <c r="O221" i="34"/>
  <c r="P221" i="34"/>
  <c r="R221" i="34"/>
  <c r="S221" i="34"/>
  <c r="T221" i="34"/>
  <c r="U221" i="34"/>
  <c r="V221" i="34"/>
  <c r="W221" i="34"/>
  <c r="Y221" i="34"/>
  <c r="Z221" i="34"/>
  <c r="AA221" i="34"/>
  <c r="AB221" i="34"/>
  <c r="AC221" i="34"/>
  <c r="AD221" i="34"/>
  <c r="AE221" i="34"/>
  <c r="AF221" i="34"/>
  <c r="A222" i="34"/>
  <c r="C222" i="34"/>
  <c r="E222" i="34"/>
  <c r="F222" i="34"/>
  <c r="G222" i="34"/>
  <c r="H222" i="34"/>
  <c r="I222" i="34"/>
  <c r="J222" i="34"/>
  <c r="K222" i="34"/>
  <c r="M222" i="34"/>
  <c r="N222" i="34"/>
  <c r="O222" i="34"/>
  <c r="P222" i="34"/>
  <c r="R222" i="34"/>
  <c r="S222" i="34"/>
  <c r="T222" i="34"/>
  <c r="U222" i="34"/>
  <c r="V222" i="34"/>
  <c r="W222" i="34"/>
  <c r="Y222" i="34"/>
  <c r="Z222" i="34"/>
  <c r="AA222" i="34"/>
  <c r="AB222" i="34"/>
  <c r="AC222" i="34"/>
  <c r="AD222" i="34"/>
  <c r="AE222" i="34"/>
  <c r="AF222" i="34"/>
  <c r="A223" i="34"/>
  <c r="C223" i="34"/>
  <c r="E223" i="34"/>
  <c r="F223" i="34"/>
  <c r="G223" i="34"/>
  <c r="H223" i="34"/>
  <c r="I223" i="34"/>
  <c r="J223" i="34"/>
  <c r="K223" i="34"/>
  <c r="M223" i="34"/>
  <c r="N223" i="34"/>
  <c r="O223" i="34"/>
  <c r="P223" i="34"/>
  <c r="R223" i="34"/>
  <c r="S223" i="34"/>
  <c r="T223" i="34"/>
  <c r="U223" i="34"/>
  <c r="V223" i="34"/>
  <c r="W223" i="34"/>
  <c r="Y223" i="34"/>
  <c r="Z223" i="34"/>
  <c r="AA223" i="34"/>
  <c r="AB223" i="34"/>
  <c r="AC223" i="34"/>
  <c r="AD223" i="34"/>
  <c r="AE223" i="34"/>
  <c r="AF223" i="34"/>
  <c r="A224" i="34"/>
  <c r="C224" i="34"/>
  <c r="E224" i="34"/>
  <c r="F224" i="34"/>
  <c r="G224" i="34"/>
  <c r="H224" i="34"/>
  <c r="I224" i="34"/>
  <c r="J224" i="34"/>
  <c r="K224" i="34"/>
  <c r="M224" i="34"/>
  <c r="N224" i="34"/>
  <c r="O224" i="34"/>
  <c r="P224" i="34"/>
  <c r="R224" i="34"/>
  <c r="S224" i="34"/>
  <c r="T224" i="34"/>
  <c r="U224" i="34"/>
  <c r="V224" i="34"/>
  <c r="W224" i="34"/>
  <c r="Y224" i="34"/>
  <c r="Z224" i="34"/>
  <c r="AA224" i="34"/>
  <c r="AB224" i="34"/>
  <c r="AC224" i="34"/>
  <c r="AD224" i="34"/>
  <c r="AE224" i="34"/>
  <c r="AF224" i="34"/>
  <c r="A225" i="34"/>
  <c r="C225" i="34"/>
  <c r="E225" i="34"/>
  <c r="F225" i="34"/>
  <c r="G225" i="34"/>
  <c r="H225" i="34"/>
  <c r="I225" i="34"/>
  <c r="J225" i="34"/>
  <c r="K225" i="34"/>
  <c r="M225" i="34"/>
  <c r="N225" i="34"/>
  <c r="O225" i="34"/>
  <c r="P225" i="34"/>
  <c r="R225" i="34"/>
  <c r="S225" i="34"/>
  <c r="T225" i="34"/>
  <c r="U225" i="34"/>
  <c r="V225" i="34"/>
  <c r="W225" i="34"/>
  <c r="Y225" i="34"/>
  <c r="Z225" i="34"/>
  <c r="AA225" i="34"/>
  <c r="AB225" i="34"/>
  <c r="AC225" i="34"/>
  <c r="AD225" i="34"/>
  <c r="AE225" i="34"/>
  <c r="AF225" i="34"/>
  <c r="A226" i="34"/>
  <c r="C226" i="34"/>
  <c r="E226" i="34"/>
  <c r="F226" i="34"/>
  <c r="G226" i="34"/>
  <c r="H226" i="34"/>
  <c r="I226" i="34"/>
  <c r="J226" i="34"/>
  <c r="K226" i="34"/>
  <c r="M226" i="34"/>
  <c r="N226" i="34"/>
  <c r="O226" i="34"/>
  <c r="P226" i="34"/>
  <c r="R226" i="34"/>
  <c r="S226" i="34"/>
  <c r="T226" i="34"/>
  <c r="U226" i="34"/>
  <c r="V226" i="34"/>
  <c r="W226" i="34"/>
  <c r="Y226" i="34"/>
  <c r="Z226" i="34"/>
  <c r="AA226" i="34"/>
  <c r="AB226" i="34"/>
  <c r="AC226" i="34"/>
  <c r="AD226" i="34"/>
  <c r="AE226" i="34"/>
  <c r="AF226" i="34"/>
  <c r="A227" i="34"/>
  <c r="C227" i="34"/>
  <c r="E227" i="34"/>
  <c r="F227" i="34"/>
  <c r="G227" i="34"/>
  <c r="H227" i="34"/>
  <c r="I227" i="34"/>
  <c r="J227" i="34"/>
  <c r="K227" i="34"/>
  <c r="M227" i="34"/>
  <c r="N227" i="34"/>
  <c r="O227" i="34"/>
  <c r="P227" i="34"/>
  <c r="R227" i="34"/>
  <c r="S227" i="34"/>
  <c r="T227" i="34"/>
  <c r="U227" i="34"/>
  <c r="V227" i="34"/>
  <c r="W227" i="34"/>
  <c r="Y227" i="34"/>
  <c r="Z227" i="34"/>
  <c r="AA227" i="34"/>
  <c r="AB227" i="34"/>
  <c r="AC227" i="34"/>
  <c r="AD227" i="34"/>
  <c r="AE227" i="34"/>
  <c r="AF227" i="34"/>
  <c r="A228" i="34"/>
  <c r="C228" i="34"/>
  <c r="E228" i="34"/>
  <c r="F228" i="34"/>
  <c r="G228" i="34"/>
  <c r="H228" i="34"/>
  <c r="I228" i="34"/>
  <c r="J228" i="34"/>
  <c r="K228" i="34"/>
  <c r="M228" i="34"/>
  <c r="N228" i="34"/>
  <c r="O228" i="34"/>
  <c r="P228" i="34"/>
  <c r="R228" i="34"/>
  <c r="S228" i="34"/>
  <c r="T228" i="34"/>
  <c r="U228" i="34"/>
  <c r="V228" i="34"/>
  <c r="W228" i="34"/>
  <c r="Y228" i="34"/>
  <c r="Z228" i="34"/>
  <c r="AA228" i="34"/>
  <c r="AB228" i="34"/>
  <c r="AC228" i="34"/>
  <c r="AD228" i="34"/>
  <c r="AE228" i="34"/>
  <c r="AF228" i="34"/>
  <c r="A229" i="34"/>
  <c r="C229" i="34"/>
  <c r="E229" i="34"/>
  <c r="F229" i="34"/>
  <c r="G229" i="34"/>
  <c r="H229" i="34"/>
  <c r="I229" i="34"/>
  <c r="J229" i="34"/>
  <c r="K229" i="34"/>
  <c r="M229" i="34"/>
  <c r="N229" i="34"/>
  <c r="O229" i="34"/>
  <c r="P229" i="34"/>
  <c r="R229" i="34"/>
  <c r="S229" i="34"/>
  <c r="T229" i="34"/>
  <c r="U229" i="34"/>
  <c r="V229" i="34"/>
  <c r="W229" i="34"/>
  <c r="Y229" i="34"/>
  <c r="Z229" i="34"/>
  <c r="AA229" i="34"/>
  <c r="AB229" i="34"/>
  <c r="AC229" i="34"/>
  <c r="AD229" i="34"/>
  <c r="AE229" i="34"/>
  <c r="AF229" i="34"/>
  <c r="A230" i="34"/>
  <c r="C230" i="34"/>
  <c r="E230" i="34"/>
  <c r="F230" i="34"/>
  <c r="G230" i="34"/>
  <c r="H230" i="34"/>
  <c r="I230" i="34"/>
  <c r="J230" i="34"/>
  <c r="K230" i="34"/>
  <c r="M230" i="34"/>
  <c r="N230" i="34"/>
  <c r="O230" i="34"/>
  <c r="P230" i="34"/>
  <c r="R230" i="34"/>
  <c r="S230" i="34"/>
  <c r="T230" i="34"/>
  <c r="U230" i="34"/>
  <c r="V230" i="34"/>
  <c r="W230" i="34"/>
  <c r="Y230" i="34"/>
  <c r="Z230" i="34"/>
  <c r="AA230" i="34"/>
  <c r="AB230" i="34"/>
  <c r="AC230" i="34"/>
  <c r="AD230" i="34"/>
  <c r="AE230" i="34"/>
  <c r="AF230" i="34"/>
  <c r="A231" i="34"/>
  <c r="C231" i="34"/>
  <c r="E231" i="34"/>
  <c r="F231" i="34"/>
  <c r="G231" i="34"/>
  <c r="H231" i="34"/>
  <c r="I231" i="34"/>
  <c r="J231" i="34"/>
  <c r="K231" i="34"/>
  <c r="M231" i="34"/>
  <c r="N231" i="34"/>
  <c r="O231" i="34"/>
  <c r="P231" i="34"/>
  <c r="R231" i="34"/>
  <c r="S231" i="34"/>
  <c r="T231" i="34"/>
  <c r="U231" i="34"/>
  <c r="V231" i="34"/>
  <c r="W231" i="34"/>
  <c r="Y231" i="34"/>
  <c r="Z231" i="34"/>
  <c r="AA231" i="34"/>
  <c r="AB231" i="34"/>
  <c r="AC231" i="34"/>
  <c r="AD231" i="34"/>
  <c r="AE231" i="34"/>
  <c r="AF231" i="34"/>
  <c r="A232" i="34"/>
  <c r="C232" i="34"/>
  <c r="E232" i="34"/>
  <c r="F232" i="34"/>
  <c r="G232" i="34"/>
  <c r="H232" i="34"/>
  <c r="I232" i="34"/>
  <c r="J232" i="34"/>
  <c r="K232" i="34"/>
  <c r="M232" i="34"/>
  <c r="N232" i="34"/>
  <c r="O232" i="34"/>
  <c r="P232" i="34"/>
  <c r="R232" i="34"/>
  <c r="S232" i="34"/>
  <c r="T232" i="34"/>
  <c r="U232" i="34"/>
  <c r="V232" i="34"/>
  <c r="W232" i="34"/>
  <c r="Y232" i="34"/>
  <c r="Z232" i="34"/>
  <c r="AA232" i="34"/>
  <c r="AB232" i="34"/>
  <c r="AC232" i="34"/>
  <c r="AD232" i="34"/>
  <c r="AE232" i="34"/>
  <c r="AF232" i="34"/>
  <c r="A233" i="34"/>
  <c r="C233" i="34"/>
  <c r="E233" i="34"/>
  <c r="F233" i="34"/>
  <c r="G233" i="34"/>
  <c r="H233" i="34"/>
  <c r="I233" i="34"/>
  <c r="J233" i="34"/>
  <c r="K233" i="34"/>
  <c r="M233" i="34"/>
  <c r="N233" i="34"/>
  <c r="O233" i="34"/>
  <c r="P233" i="34"/>
  <c r="R233" i="34"/>
  <c r="S233" i="34"/>
  <c r="T233" i="34"/>
  <c r="U233" i="34"/>
  <c r="V233" i="34"/>
  <c r="W233" i="34"/>
  <c r="Y233" i="34"/>
  <c r="Z233" i="34"/>
  <c r="AA233" i="34"/>
  <c r="AB233" i="34"/>
  <c r="AC233" i="34"/>
  <c r="AD233" i="34"/>
  <c r="AE233" i="34"/>
  <c r="AF233" i="34"/>
  <c r="A234" i="34"/>
  <c r="C234" i="34"/>
  <c r="E234" i="34"/>
  <c r="F234" i="34"/>
  <c r="G234" i="34"/>
  <c r="H234" i="34"/>
  <c r="I234" i="34"/>
  <c r="J234" i="34"/>
  <c r="K234" i="34"/>
  <c r="M234" i="34"/>
  <c r="N234" i="34"/>
  <c r="O234" i="34"/>
  <c r="P234" i="34"/>
  <c r="R234" i="34"/>
  <c r="S234" i="34"/>
  <c r="T234" i="34"/>
  <c r="U234" i="34"/>
  <c r="V234" i="34"/>
  <c r="W234" i="34"/>
  <c r="Y234" i="34"/>
  <c r="Z234" i="34"/>
  <c r="AA234" i="34"/>
  <c r="AB234" i="34"/>
  <c r="AC234" i="34"/>
  <c r="AD234" i="34"/>
  <c r="AE234" i="34"/>
  <c r="AF234" i="34"/>
  <c r="A235" i="34"/>
  <c r="C235" i="34"/>
  <c r="E235" i="34"/>
  <c r="F235" i="34"/>
  <c r="G235" i="34"/>
  <c r="H235" i="34"/>
  <c r="I235" i="34"/>
  <c r="J235" i="34"/>
  <c r="K235" i="34"/>
  <c r="M235" i="34"/>
  <c r="N235" i="34"/>
  <c r="O235" i="34"/>
  <c r="P235" i="34"/>
  <c r="R235" i="34"/>
  <c r="S235" i="34"/>
  <c r="T235" i="34"/>
  <c r="U235" i="34"/>
  <c r="V235" i="34"/>
  <c r="W235" i="34"/>
  <c r="Y235" i="34"/>
  <c r="Z235" i="34"/>
  <c r="AA235" i="34"/>
  <c r="AB235" i="34"/>
  <c r="AC235" i="34"/>
  <c r="AD235" i="34"/>
  <c r="AE235" i="34"/>
  <c r="AF235" i="34"/>
  <c r="A236" i="34"/>
  <c r="C236" i="34"/>
  <c r="E236" i="34"/>
  <c r="F236" i="34"/>
  <c r="G236" i="34"/>
  <c r="H236" i="34"/>
  <c r="I236" i="34"/>
  <c r="J236" i="34"/>
  <c r="K236" i="34"/>
  <c r="M236" i="34"/>
  <c r="N236" i="34"/>
  <c r="O236" i="34"/>
  <c r="P236" i="34"/>
  <c r="R236" i="34"/>
  <c r="S236" i="34"/>
  <c r="T236" i="34"/>
  <c r="U236" i="34"/>
  <c r="V236" i="34"/>
  <c r="W236" i="34"/>
  <c r="Y236" i="34"/>
  <c r="Z236" i="34"/>
  <c r="AA236" i="34"/>
  <c r="AB236" i="34"/>
  <c r="AC236" i="34"/>
  <c r="AD236" i="34"/>
  <c r="AE236" i="34"/>
  <c r="AF236" i="34"/>
  <c r="A237" i="34"/>
  <c r="C237" i="34"/>
  <c r="E237" i="34"/>
  <c r="F237" i="34"/>
  <c r="G237" i="34"/>
  <c r="H237" i="34"/>
  <c r="I237" i="34"/>
  <c r="J237" i="34"/>
  <c r="K237" i="34"/>
  <c r="M237" i="34"/>
  <c r="N237" i="34"/>
  <c r="O237" i="34"/>
  <c r="P237" i="34"/>
  <c r="R237" i="34"/>
  <c r="S237" i="34"/>
  <c r="T237" i="34"/>
  <c r="U237" i="34"/>
  <c r="V237" i="34"/>
  <c r="W237" i="34"/>
  <c r="Y237" i="34"/>
  <c r="Z237" i="34"/>
  <c r="AA237" i="34"/>
  <c r="AB237" i="34"/>
  <c r="AC237" i="34"/>
  <c r="AD237" i="34"/>
  <c r="AE237" i="34"/>
  <c r="AF237" i="34"/>
  <c r="A238" i="34"/>
  <c r="C238" i="34"/>
  <c r="E238" i="34"/>
  <c r="F238" i="34"/>
  <c r="G238" i="34"/>
  <c r="H238" i="34"/>
  <c r="I238" i="34"/>
  <c r="J238" i="34"/>
  <c r="K238" i="34"/>
  <c r="M238" i="34"/>
  <c r="N238" i="34"/>
  <c r="O238" i="34"/>
  <c r="P238" i="34"/>
  <c r="R238" i="34"/>
  <c r="S238" i="34"/>
  <c r="T238" i="34"/>
  <c r="U238" i="34"/>
  <c r="V238" i="34"/>
  <c r="W238" i="34"/>
  <c r="Y238" i="34"/>
  <c r="Z238" i="34"/>
  <c r="AA238" i="34"/>
  <c r="AB238" i="34"/>
  <c r="AC238" i="34"/>
  <c r="AD238" i="34"/>
  <c r="AE238" i="34"/>
  <c r="AF238" i="34"/>
  <c r="A239" i="34"/>
  <c r="C239" i="34"/>
  <c r="E239" i="34"/>
  <c r="F239" i="34"/>
  <c r="G239" i="34"/>
  <c r="H239" i="34"/>
  <c r="I239" i="34"/>
  <c r="J239" i="34"/>
  <c r="K239" i="34"/>
  <c r="M239" i="34"/>
  <c r="N239" i="34"/>
  <c r="O239" i="34"/>
  <c r="P239" i="34"/>
  <c r="R239" i="34"/>
  <c r="S239" i="34"/>
  <c r="T239" i="34"/>
  <c r="U239" i="34"/>
  <c r="V239" i="34"/>
  <c r="W239" i="34"/>
  <c r="Y239" i="34"/>
  <c r="Z239" i="34"/>
  <c r="AA239" i="34"/>
  <c r="AB239" i="34"/>
  <c r="AC239" i="34"/>
  <c r="AD239" i="34"/>
  <c r="AE239" i="34"/>
  <c r="AF239" i="34"/>
  <c r="A240" i="34"/>
  <c r="C240" i="34"/>
  <c r="E240" i="34"/>
  <c r="F240" i="34"/>
  <c r="G240" i="34"/>
  <c r="H240" i="34"/>
  <c r="I240" i="34"/>
  <c r="J240" i="34"/>
  <c r="K240" i="34"/>
  <c r="M240" i="34"/>
  <c r="N240" i="34"/>
  <c r="O240" i="34"/>
  <c r="P240" i="34"/>
  <c r="R240" i="34"/>
  <c r="S240" i="34"/>
  <c r="T240" i="34"/>
  <c r="U240" i="34"/>
  <c r="V240" i="34"/>
  <c r="W240" i="34"/>
  <c r="Y240" i="34"/>
  <c r="Z240" i="34"/>
  <c r="AA240" i="34"/>
  <c r="AB240" i="34"/>
  <c r="AC240" i="34"/>
  <c r="AD240" i="34"/>
  <c r="AE240" i="34"/>
  <c r="AF240" i="34"/>
  <c r="A241" i="34"/>
  <c r="C241" i="34"/>
  <c r="E241" i="34"/>
  <c r="F241" i="34"/>
  <c r="G241" i="34"/>
  <c r="H241" i="34"/>
  <c r="I241" i="34"/>
  <c r="J241" i="34"/>
  <c r="K241" i="34"/>
  <c r="M241" i="34"/>
  <c r="N241" i="34"/>
  <c r="O241" i="34"/>
  <c r="P241" i="34"/>
  <c r="R241" i="34"/>
  <c r="S241" i="34"/>
  <c r="T241" i="34"/>
  <c r="U241" i="34"/>
  <c r="V241" i="34"/>
  <c r="W241" i="34"/>
  <c r="Y241" i="34"/>
  <c r="Z241" i="34"/>
  <c r="AA241" i="34"/>
  <c r="AB241" i="34"/>
  <c r="AC241" i="34"/>
  <c r="AD241" i="34"/>
  <c r="AE241" i="34"/>
  <c r="AF241" i="34"/>
  <c r="A242" i="34"/>
  <c r="C242" i="34"/>
  <c r="E242" i="34"/>
  <c r="F242" i="34"/>
  <c r="G242" i="34"/>
  <c r="H242" i="34"/>
  <c r="I242" i="34"/>
  <c r="J242" i="34"/>
  <c r="K242" i="34"/>
  <c r="M242" i="34"/>
  <c r="N242" i="34"/>
  <c r="O242" i="34"/>
  <c r="P242" i="34"/>
  <c r="R242" i="34"/>
  <c r="S242" i="34"/>
  <c r="T242" i="34"/>
  <c r="U242" i="34"/>
  <c r="V242" i="34"/>
  <c r="W242" i="34"/>
  <c r="Y242" i="34"/>
  <c r="Z242" i="34"/>
  <c r="AA242" i="34"/>
  <c r="AB242" i="34"/>
  <c r="AC242" i="34"/>
  <c r="AD242" i="34"/>
  <c r="AE242" i="34"/>
  <c r="AF242" i="34"/>
  <c r="A243" i="34"/>
  <c r="C243" i="34"/>
  <c r="E243" i="34"/>
  <c r="F243" i="34"/>
  <c r="G243" i="34"/>
  <c r="H243" i="34"/>
  <c r="I243" i="34"/>
  <c r="J243" i="34"/>
  <c r="K243" i="34"/>
  <c r="M243" i="34"/>
  <c r="N243" i="34"/>
  <c r="O243" i="34"/>
  <c r="P243" i="34"/>
  <c r="R243" i="34"/>
  <c r="S243" i="34"/>
  <c r="T243" i="34"/>
  <c r="U243" i="34"/>
  <c r="V243" i="34"/>
  <c r="W243" i="34"/>
  <c r="Y243" i="34"/>
  <c r="Z243" i="34"/>
  <c r="AA243" i="34"/>
  <c r="AB243" i="34"/>
  <c r="AC243" i="34"/>
  <c r="AD243" i="34"/>
  <c r="AE243" i="34"/>
  <c r="AF243" i="34"/>
  <c r="A244" i="34"/>
  <c r="C244" i="34"/>
  <c r="E244" i="34"/>
  <c r="F244" i="34"/>
  <c r="G244" i="34"/>
  <c r="H244" i="34"/>
  <c r="I244" i="34"/>
  <c r="J244" i="34"/>
  <c r="K244" i="34"/>
  <c r="M244" i="34"/>
  <c r="N244" i="34"/>
  <c r="O244" i="34"/>
  <c r="P244" i="34"/>
  <c r="R244" i="34"/>
  <c r="S244" i="34"/>
  <c r="T244" i="34"/>
  <c r="U244" i="34"/>
  <c r="V244" i="34"/>
  <c r="W244" i="34"/>
  <c r="Y244" i="34"/>
  <c r="Z244" i="34"/>
  <c r="AA244" i="34"/>
  <c r="AB244" i="34"/>
  <c r="AC244" i="34"/>
  <c r="AD244" i="34"/>
  <c r="AE244" i="34"/>
  <c r="AF244" i="34"/>
  <c r="A245" i="34"/>
  <c r="C245" i="34"/>
  <c r="E245" i="34"/>
  <c r="F245" i="34"/>
  <c r="G245" i="34"/>
  <c r="H245" i="34"/>
  <c r="I245" i="34"/>
  <c r="J245" i="34"/>
  <c r="K245" i="34"/>
  <c r="M245" i="34"/>
  <c r="N245" i="34"/>
  <c r="O245" i="34"/>
  <c r="P245" i="34"/>
  <c r="R245" i="34"/>
  <c r="S245" i="34"/>
  <c r="T245" i="34"/>
  <c r="U245" i="34"/>
  <c r="V245" i="34"/>
  <c r="W245" i="34"/>
  <c r="Y245" i="34"/>
  <c r="Z245" i="34"/>
  <c r="AA245" i="34"/>
  <c r="AB245" i="34"/>
  <c r="AC245" i="34"/>
  <c r="AD245" i="34"/>
  <c r="AE245" i="34"/>
  <c r="AF245" i="34"/>
  <c r="A246" i="34"/>
  <c r="C246" i="34"/>
  <c r="E246" i="34"/>
  <c r="F246" i="34"/>
  <c r="G246" i="34"/>
  <c r="H246" i="34"/>
  <c r="I246" i="34"/>
  <c r="J246" i="34"/>
  <c r="K246" i="34"/>
  <c r="M246" i="34"/>
  <c r="N246" i="34"/>
  <c r="O246" i="34"/>
  <c r="P246" i="34"/>
  <c r="R246" i="34"/>
  <c r="S246" i="34"/>
  <c r="T246" i="34"/>
  <c r="U246" i="34"/>
  <c r="V246" i="34"/>
  <c r="W246" i="34"/>
  <c r="Y246" i="34"/>
  <c r="Z246" i="34"/>
  <c r="AA246" i="34"/>
  <c r="AB246" i="34"/>
  <c r="AC246" i="34"/>
  <c r="AD246" i="34"/>
  <c r="AE246" i="34"/>
  <c r="AF246" i="34"/>
  <c r="A247" i="34"/>
  <c r="C247" i="34"/>
  <c r="E247" i="34"/>
  <c r="F247" i="34"/>
  <c r="G247" i="34"/>
  <c r="H247" i="34"/>
  <c r="I247" i="34"/>
  <c r="J247" i="34"/>
  <c r="K247" i="34"/>
  <c r="M247" i="34"/>
  <c r="N247" i="34"/>
  <c r="O247" i="34"/>
  <c r="P247" i="34"/>
  <c r="R247" i="34"/>
  <c r="S247" i="34"/>
  <c r="T247" i="34"/>
  <c r="U247" i="34"/>
  <c r="V247" i="34"/>
  <c r="W247" i="34"/>
  <c r="Y247" i="34"/>
  <c r="Z247" i="34"/>
  <c r="AA247" i="34"/>
  <c r="AB247" i="34"/>
  <c r="AC247" i="34"/>
  <c r="AD247" i="34"/>
  <c r="AE247" i="34"/>
  <c r="AF247" i="34"/>
  <c r="A248" i="34"/>
  <c r="C248" i="34"/>
  <c r="E248" i="34"/>
  <c r="F248" i="34"/>
  <c r="G248" i="34"/>
  <c r="H248" i="34"/>
  <c r="I248" i="34"/>
  <c r="J248" i="34"/>
  <c r="K248" i="34"/>
  <c r="M248" i="34"/>
  <c r="N248" i="34"/>
  <c r="O248" i="34"/>
  <c r="P248" i="34"/>
  <c r="R248" i="34"/>
  <c r="S248" i="34"/>
  <c r="T248" i="34"/>
  <c r="U248" i="34"/>
  <c r="V248" i="34"/>
  <c r="W248" i="34"/>
  <c r="Y248" i="34"/>
  <c r="Z248" i="34"/>
  <c r="AA248" i="34"/>
  <c r="AB248" i="34"/>
  <c r="AC248" i="34"/>
  <c r="AD248" i="34"/>
  <c r="AE248" i="34"/>
  <c r="AF248" i="34"/>
  <c r="A249" i="34"/>
  <c r="C249" i="34"/>
  <c r="E249" i="34"/>
  <c r="F249" i="34"/>
  <c r="G249" i="34"/>
  <c r="H249" i="34"/>
  <c r="I249" i="34"/>
  <c r="J249" i="34"/>
  <c r="K249" i="34"/>
  <c r="M249" i="34"/>
  <c r="N249" i="34"/>
  <c r="O249" i="34"/>
  <c r="P249" i="34"/>
  <c r="R249" i="34"/>
  <c r="S249" i="34"/>
  <c r="T249" i="34"/>
  <c r="U249" i="34"/>
  <c r="V249" i="34"/>
  <c r="W249" i="34"/>
  <c r="Y249" i="34"/>
  <c r="Z249" i="34"/>
  <c r="AA249" i="34"/>
  <c r="AB249" i="34"/>
  <c r="AC249" i="34"/>
  <c r="AD249" i="34"/>
  <c r="AE249" i="34"/>
  <c r="AF249" i="34"/>
  <c r="A250" i="34"/>
  <c r="C250" i="34"/>
  <c r="E250" i="34"/>
  <c r="F250" i="34"/>
  <c r="G250" i="34"/>
  <c r="H250" i="34"/>
  <c r="I250" i="34"/>
  <c r="J250" i="34"/>
  <c r="K250" i="34"/>
  <c r="M250" i="34"/>
  <c r="N250" i="34"/>
  <c r="O250" i="34"/>
  <c r="P250" i="34"/>
  <c r="R250" i="34"/>
  <c r="S250" i="34"/>
  <c r="T250" i="34"/>
  <c r="U250" i="34"/>
  <c r="V250" i="34"/>
  <c r="W250" i="34"/>
  <c r="Y250" i="34"/>
  <c r="Z250" i="34"/>
  <c r="AA250" i="34"/>
  <c r="AB250" i="34"/>
  <c r="AC250" i="34"/>
  <c r="AD250" i="34"/>
  <c r="AE250" i="34"/>
  <c r="AF250" i="34"/>
  <c r="A251" i="34"/>
  <c r="C251" i="34"/>
  <c r="E251" i="34"/>
  <c r="F251" i="34"/>
  <c r="G251" i="34"/>
  <c r="H251" i="34"/>
  <c r="I251" i="34"/>
  <c r="J251" i="34"/>
  <c r="K251" i="34"/>
  <c r="M251" i="34"/>
  <c r="N251" i="34"/>
  <c r="O251" i="34"/>
  <c r="P251" i="34"/>
  <c r="R251" i="34"/>
  <c r="S251" i="34"/>
  <c r="T251" i="34"/>
  <c r="U251" i="34"/>
  <c r="V251" i="34"/>
  <c r="W251" i="34"/>
  <c r="Y251" i="34"/>
  <c r="Z251" i="34"/>
  <c r="AA251" i="34"/>
  <c r="AB251" i="34"/>
  <c r="AC251" i="34"/>
  <c r="AD251" i="34"/>
  <c r="AE251" i="34"/>
  <c r="AF251" i="34"/>
  <c r="A252" i="34"/>
  <c r="C252" i="34"/>
  <c r="E252" i="34"/>
  <c r="F252" i="34"/>
  <c r="G252" i="34"/>
  <c r="H252" i="34"/>
  <c r="I252" i="34"/>
  <c r="J252" i="34"/>
  <c r="K252" i="34"/>
  <c r="M252" i="34"/>
  <c r="N252" i="34"/>
  <c r="O252" i="34"/>
  <c r="P252" i="34"/>
  <c r="R252" i="34"/>
  <c r="S252" i="34"/>
  <c r="T252" i="34"/>
  <c r="U252" i="34"/>
  <c r="V252" i="34"/>
  <c r="W252" i="34"/>
  <c r="Y252" i="34"/>
  <c r="Z252" i="34"/>
  <c r="AA252" i="34"/>
  <c r="AB252" i="34"/>
  <c r="AC252" i="34"/>
  <c r="AD252" i="34"/>
  <c r="AE252" i="34"/>
  <c r="AF252" i="34"/>
  <c r="A253" i="34"/>
  <c r="C253" i="34"/>
  <c r="E253" i="34"/>
  <c r="F253" i="34"/>
  <c r="G253" i="34"/>
  <c r="H253" i="34"/>
  <c r="I253" i="34"/>
  <c r="J253" i="34"/>
  <c r="K253" i="34"/>
  <c r="M253" i="34"/>
  <c r="N253" i="34"/>
  <c r="O253" i="34"/>
  <c r="P253" i="34"/>
  <c r="R253" i="34"/>
  <c r="S253" i="34"/>
  <c r="T253" i="34"/>
  <c r="U253" i="34"/>
  <c r="V253" i="34"/>
  <c r="W253" i="34"/>
  <c r="Y253" i="34"/>
  <c r="Z253" i="34"/>
  <c r="AA253" i="34"/>
  <c r="AB253" i="34"/>
  <c r="AC253" i="34"/>
  <c r="AD253" i="34"/>
  <c r="AE253" i="34"/>
  <c r="AF253" i="34"/>
  <c r="A254" i="34"/>
  <c r="C254" i="34"/>
  <c r="E254" i="34"/>
  <c r="F254" i="34"/>
  <c r="G254" i="34"/>
  <c r="H254" i="34"/>
  <c r="I254" i="34"/>
  <c r="J254" i="34"/>
  <c r="K254" i="34"/>
  <c r="M254" i="34"/>
  <c r="N254" i="34"/>
  <c r="O254" i="34"/>
  <c r="P254" i="34"/>
  <c r="R254" i="34"/>
  <c r="S254" i="34"/>
  <c r="T254" i="34"/>
  <c r="U254" i="34"/>
  <c r="V254" i="34"/>
  <c r="W254" i="34"/>
  <c r="Y254" i="34"/>
  <c r="Z254" i="34"/>
  <c r="AA254" i="34"/>
  <c r="AB254" i="34"/>
  <c r="AC254" i="34"/>
  <c r="AD254" i="34"/>
  <c r="AE254" i="34"/>
  <c r="AF254" i="34"/>
  <c r="A255" i="34"/>
  <c r="C255" i="34"/>
  <c r="E255" i="34"/>
  <c r="F255" i="34"/>
  <c r="G255" i="34"/>
  <c r="H255" i="34"/>
  <c r="I255" i="34"/>
  <c r="J255" i="34"/>
  <c r="K255" i="34"/>
  <c r="M255" i="34"/>
  <c r="N255" i="34"/>
  <c r="O255" i="34"/>
  <c r="P255" i="34"/>
  <c r="R255" i="34"/>
  <c r="S255" i="34"/>
  <c r="T255" i="34"/>
  <c r="U255" i="34"/>
  <c r="V255" i="34"/>
  <c r="W255" i="34"/>
  <c r="Y255" i="34"/>
  <c r="Z255" i="34"/>
  <c r="AA255" i="34"/>
  <c r="AB255" i="34"/>
  <c r="AC255" i="34"/>
  <c r="AD255" i="34"/>
  <c r="AE255" i="34"/>
  <c r="AF255" i="34"/>
  <c r="A256" i="34"/>
  <c r="C256" i="34"/>
  <c r="E256" i="34"/>
  <c r="F256" i="34"/>
  <c r="G256" i="34"/>
  <c r="H256" i="34"/>
  <c r="I256" i="34"/>
  <c r="J256" i="34"/>
  <c r="K256" i="34"/>
  <c r="M256" i="34"/>
  <c r="N256" i="34"/>
  <c r="O256" i="34"/>
  <c r="P256" i="34"/>
  <c r="R256" i="34"/>
  <c r="S256" i="34"/>
  <c r="T256" i="34"/>
  <c r="U256" i="34"/>
  <c r="V256" i="34"/>
  <c r="W256" i="34"/>
  <c r="Y256" i="34"/>
  <c r="Z256" i="34"/>
  <c r="AA256" i="34"/>
  <c r="AB256" i="34"/>
  <c r="AC256" i="34"/>
  <c r="AD256" i="34"/>
  <c r="AE256" i="34"/>
  <c r="AF256" i="34"/>
  <c r="A257" i="34"/>
  <c r="C257" i="34"/>
  <c r="E257" i="34"/>
  <c r="F257" i="34"/>
  <c r="G257" i="34"/>
  <c r="H257" i="34"/>
  <c r="I257" i="34"/>
  <c r="J257" i="34"/>
  <c r="K257" i="34"/>
  <c r="M257" i="34"/>
  <c r="N257" i="34"/>
  <c r="O257" i="34"/>
  <c r="P257" i="34"/>
  <c r="R257" i="34"/>
  <c r="S257" i="34"/>
  <c r="T257" i="34"/>
  <c r="U257" i="34"/>
  <c r="V257" i="34"/>
  <c r="W257" i="34"/>
  <c r="Y257" i="34"/>
  <c r="Z257" i="34"/>
  <c r="AA257" i="34"/>
  <c r="AB257" i="34"/>
  <c r="AC257" i="34"/>
  <c r="AD257" i="34"/>
  <c r="AE257" i="34"/>
  <c r="AF257" i="34"/>
  <c r="A258" i="34"/>
  <c r="C258" i="34"/>
  <c r="E258" i="34"/>
  <c r="F258" i="34"/>
  <c r="G258" i="34"/>
  <c r="H258" i="34"/>
  <c r="I258" i="34"/>
  <c r="J258" i="34"/>
  <c r="K258" i="34"/>
  <c r="M258" i="34"/>
  <c r="N258" i="34"/>
  <c r="O258" i="34"/>
  <c r="P258" i="34"/>
  <c r="R258" i="34"/>
  <c r="S258" i="34"/>
  <c r="T258" i="34"/>
  <c r="U258" i="34"/>
  <c r="V258" i="34"/>
  <c r="W258" i="34"/>
  <c r="Y258" i="34"/>
  <c r="Z258" i="34"/>
  <c r="AA258" i="34"/>
  <c r="AB258" i="34"/>
  <c r="AC258" i="34"/>
  <c r="AD258" i="34"/>
  <c r="AE258" i="34"/>
  <c r="AF258" i="34"/>
  <c r="A259" i="34"/>
  <c r="C259" i="34"/>
  <c r="E259" i="34"/>
  <c r="F259" i="34"/>
  <c r="G259" i="34"/>
  <c r="H259" i="34"/>
  <c r="I259" i="34"/>
  <c r="J259" i="34"/>
  <c r="K259" i="34"/>
  <c r="M259" i="34"/>
  <c r="N259" i="34"/>
  <c r="O259" i="34"/>
  <c r="P259" i="34"/>
  <c r="R259" i="34"/>
  <c r="S259" i="34"/>
  <c r="T259" i="34"/>
  <c r="U259" i="34"/>
  <c r="V259" i="34"/>
  <c r="W259" i="34"/>
  <c r="Y259" i="34"/>
  <c r="Z259" i="34"/>
  <c r="AA259" i="34"/>
  <c r="AB259" i="34"/>
  <c r="AC259" i="34"/>
  <c r="AD259" i="34"/>
  <c r="AE259" i="34"/>
  <c r="AF259" i="34"/>
  <c r="A260" i="34"/>
  <c r="C260" i="34"/>
  <c r="E260" i="34"/>
  <c r="F260" i="34"/>
  <c r="G260" i="34"/>
  <c r="H260" i="34"/>
  <c r="I260" i="34"/>
  <c r="J260" i="34"/>
  <c r="K260" i="34"/>
  <c r="M260" i="34"/>
  <c r="N260" i="34"/>
  <c r="O260" i="34"/>
  <c r="P260" i="34"/>
  <c r="R260" i="34"/>
  <c r="S260" i="34"/>
  <c r="T260" i="34"/>
  <c r="U260" i="34"/>
  <c r="V260" i="34"/>
  <c r="W260" i="34"/>
  <c r="Y260" i="34"/>
  <c r="Z260" i="34"/>
  <c r="AA260" i="34"/>
  <c r="AB260" i="34"/>
  <c r="AC260" i="34"/>
  <c r="AD260" i="34"/>
  <c r="AE260" i="34"/>
  <c r="AF260" i="34"/>
  <c r="A261" i="34"/>
  <c r="C261" i="34"/>
  <c r="E261" i="34"/>
  <c r="F261" i="34"/>
  <c r="G261" i="34"/>
  <c r="H261" i="34"/>
  <c r="I261" i="34"/>
  <c r="J261" i="34"/>
  <c r="K261" i="34"/>
  <c r="M261" i="34"/>
  <c r="N261" i="34"/>
  <c r="O261" i="34"/>
  <c r="P261" i="34"/>
  <c r="R261" i="34"/>
  <c r="S261" i="34"/>
  <c r="T261" i="34"/>
  <c r="U261" i="34"/>
  <c r="V261" i="34"/>
  <c r="W261" i="34"/>
  <c r="Y261" i="34"/>
  <c r="Z261" i="34"/>
  <c r="AA261" i="34"/>
  <c r="AB261" i="34"/>
  <c r="AC261" i="34"/>
  <c r="AD261" i="34"/>
  <c r="AE261" i="34"/>
  <c r="AF261" i="34"/>
  <c r="A262" i="34"/>
  <c r="C262" i="34"/>
  <c r="E262" i="34"/>
  <c r="F262" i="34"/>
  <c r="G262" i="34"/>
  <c r="H262" i="34"/>
  <c r="I262" i="34"/>
  <c r="J262" i="34"/>
  <c r="K262" i="34"/>
  <c r="M262" i="34"/>
  <c r="N262" i="34"/>
  <c r="O262" i="34"/>
  <c r="P262" i="34"/>
  <c r="R262" i="34"/>
  <c r="S262" i="34"/>
  <c r="T262" i="34"/>
  <c r="U262" i="34"/>
  <c r="V262" i="34"/>
  <c r="W262" i="34"/>
  <c r="Y262" i="34"/>
  <c r="Z262" i="34"/>
  <c r="AA262" i="34"/>
  <c r="AB262" i="34"/>
  <c r="AC262" i="34"/>
  <c r="AD262" i="34"/>
  <c r="AE262" i="34"/>
  <c r="AF262" i="34"/>
  <c r="A263" i="34"/>
  <c r="C263" i="34"/>
  <c r="E263" i="34"/>
  <c r="F263" i="34"/>
  <c r="G263" i="34"/>
  <c r="H263" i="34"/>
  <c r="I263" i="34"/>
  <c r="J263" i="34"/>
  <c r="K263" i="34"/>
  <c r="M263" i="34"/>
  <c r="N263" i="34"/>
  <c r="O263" i="34"/>
  <c r="P263" i="34"/>
  <c r="R263" i="34"/>
  <c r="S263" i="34"/>
  <c r="T263" i="34"/>
  <c r="U263" i="34"/>
  <c r="V263" i="34"/>
  <c r="W263" i="34"/>
  <c r="Y263" i="34"/>
  <c r="Z263" i="34"/>
  <c r="AA263" i="34"/>
  <c r="AB263" i="34"/>
  <c r="AC263" i="34"/>
  <c r="AD263" i="34"/>
  <c r="AE263" i="34"/>
  <c r="AF263" i="34"/>
  <c r="A264" i="34"/>
  <c r="C264" i="34"/>
  <c r="E264" i="34"/>
  <c r="F264" i="34"/>
  <c r="G264" i="34"/>
  <c r="H264" i="34"/>
  <c r="I264" i="34"/>
  <c r="J264" i="34"/>
  <c r="K264" i="34"/>
  <c r="M264" i="34"/>
  <c r="N264" i="34"/>
  <c r="O264" i="34"/>
  <c r="P264" i="34"/>
  <c r="R264" i="34"/>
  <c r="S264" i="34"/>
  <c r="T264" i="34"/>
  <c r="U264" i="34"/>
  <c r="V264" i="34"/>
  <c r="W264" i="34"/>
  <c r="Y264" i="34"/>
  <c r="Z264" i="34"/>
  <c r="AA264" i="34"/>
  <c r="AB264" i="34"/>
  <c r="AC264" i="34"/>
  <c r="AD264" i="34"/>
  <c r="AE264" i="34"/>
  <c r="AF264" i="34"/>
  <c r="A265" i="34"/>
  <c r="C265" i="34"/>
  <c r="E265" i="34"/>
  <c r="F265" i="34"/>
  <c r="G265" i="34"/>
  <c r="H265" i="34"/>
  <c r="I265" i="34"/>
  <c r="J265" i="34"/>
  <c r="K265" i="34"/>
  <c r="M265" i="34"/>
  <c r="N265" i="34"/>
  <c r="O265" i="34"/>
  <c r="P265" i="34"/>
  <c r="R265" i="34"/>
  <c r="S265" i="34"/>
  <c r="T265" i="34"/>
  <c r="U265" i="34"/>
  <c r="V265" i="34"/>
  <c r="W265" i="34"/>
  <c r="Y265" i="34"/>
  <c r="Z265" i="34"/>
  <c r="AA265" i="34"/>
  <c r="AB265" i="34"/>
  <c r="AC265" i="34"/>
  <c r="AD265" i="34"/>
  <c r="AE265" i="34"/>
  <c r="AF265" i="34"/>
  <c r="A266" i="34"/>
  <c r="C266" i="34"/>
  <c r="E266" i="34"/>
  <c r="F266" i="34"/>
  <c r="G266" i="34"/>
  <c r="H266" i="34"/>
  <c r="I266" i="34"/>
  <c r="J266" i="34"/>
  <c r="K266" i="34"/>
  <c r="M266" i="34"/>
  <c r="N266" i="34"/>
  <c r="O266" i="34"/>
  <c r="P266" i="34"/>
  <c r="R266" i="34"/>
  <c r="S266" i="34"/>
  <c r="T266" i="34"/>
  <c r="U266" i="34"/>
  <c r="V266" i="34"/>
  <c r="W266" i="34"/>
  <c r="Y266" i="34"/>
  <c r="Z266" i="34"/>
  <c r="AA266" i="34"/>
  <c r="AB266" i="34"/>
  <c r="AC266" i="34"/>
  <c r="AD266" i="34"/>
  <c r="AE266" i="34"/>
  <c r="AF266" i="34"/>
  <c r="W268" i="34"/>
  <c r="AF268" i="34"/>
  <c r="B270" i="34"/>
  <c r="C270" i="34"/>
  <c r="D270" i="34"/>
  <c r="E270" i="34"/>
  <c r="F270" i="34"/>
  <c r="G270" i="34"/>
  <c r="H270" i="34"/>
  <c r="I270" i="34"/>
  <c r="J270" i="34"/>
  <c r="K270" i="34"/>
  <c r="L270" i="34"/>
  <c r="M270" i="34"/>
  <c r="N270" i="34"/>
  <c r="O270" i="34"/>
  <c r="P270" i="34"/>
  <c r="Q270" i="34"/>
  <c r="R270" i="34"/>
  <c r="S270" i="34"/>
  <c r="T270" i="34"/>
  <c r="U270" i="34"/>
  <c r="V270" i="34"/>
  <c r="W270" i="34"/>
  <c r="X270" i="34"/>
  <c r="Y270" i="34"/>
  <c r="Z270" i="34"/>
  <c r="AA270" i="34"/>
  <c r="AB270" i="34"/>
  <c r="AC270" i="34"/>
  <c r="AD270" i="34"/>
  <c r="AE270" i="34"/>
  <c r="AF270" i="34"/>
  <c r="A1" i="2"/>
  <c r="I1" i="2"/>
  <c r="N1" i="2"/>
  <c r="A2" i="2"/>
  <c r="I2" i="2"/>
  <c r="N2" i="2"/>
  <c r="A3" i="2"/>
  <c r="I3" i="2"/>
  <c r="N3" i="2"/>
  <c r="I4" i="2"/>
  <c r="N4" i="2"/>
  <c r="I5" i="2"/>
  <c r="C7" i="2"/>
  <c r="D7" i="2"/>
  <c r="E7" i="2"/>
  <c r="S7" i="2"/>
  <c r="T7" i="2"/>
  <c r="U7" i="2"/>
  <c r="S8" i="2"/>
  <c r="T8" i="2"/>
  <c r="U8" i="2"/>
  <c r="V8" i="2"/>
  <c r="AE8" i="2"/>
  <c r="AF8" i="2"/>
  <c r="AG8" i="2"/>
  <c r="C9" i="2"/>
  <c r="D9" i="2"/>
  <c r="E9" i="2"/>
  <c r="S9" i="2"/>
  <c r="T9" i="2"/>
  <c r="U9" i="2"/>
  <c r="V9" i="2"/>
  <c r="AA9" i="2"/>
  <c r="AE9" i="2"/>
  <c r="AF9" i="2"/>
  <c r="AG9" i="2"/>
  <c r="S10" i="2"/>
  <c r="T10" i="2"/>
  <c r="U10" i="2"/>
  <c r="V10" i="2"/>
  <c r="AE10" i="2"/>
  <c r="AF10" i="2"/>
  <c r="AG10" i="2"/>
  <c r="S11" i="2"/>
  <c r="T11" i="2"/>
  <c r="U11" i="2"/>
  <c r="V11" i="2"/>
  <c r="AB11" i="2"/>
  <c r="AE11" i="2"/>
  <c r="AF11" i="2"/>
  <c r="AG11" i="2"/>
  <c r="S12" i="2"/>
  <c r="T12" i="2"/>
  <c r="U12" i="2"/>
  <c r="V12" i="2"/>
  <c r="Y12" i="2"/>
  <c r="AE12" i="2"/>
  <c r="AF12" i="2"/>
  <c r="AG12" i="2"/>
  <c r="S13" i="2"/>
  <c r="T13" i="2"/>
  <c r="U13" i="2"/>
  <c r="V13" i="2"/>
  <c r="AB13" i="2"/>
  <c r="D14" i="2"/>
  <c r="E14" i="2"/>
  <c r="F14" i="2"/>
  <c r="S14" i="2"/>
  <c r="T14" i="2"/>
  <c r="U14" i="2"/>
  <c r="V14" i="2"/>
  <c r="AB14" i="2"/>
  <c r="AG14" i="2"/>
  <c r="C15" i="2"/>
  <c r="D15" i="2"/>
  <c r="E15" i="2"/>
  <c r="AB15" i="2"/>
  <c r="C16" i="2"/>
  <c r="D16" i="2"/>
  <c r="E16" i="2"/>
  <c r="F16" i="2"/>
  <c r="Q16" i="2"/>
  <c r="S16" i="2"/>
  <c r="T16" i="2"/>
  <c r="U16" i="2"/>
  <c r="V16" i="2"/>
  <c r="C17" i="2"/>
  <c r="D17" i="2"/>
  <c r="E17" i="2"/>
  <c r="F17" i="2"/>
  <c r="S17" i="2"/>
  <c r="T17" i="2"/>
  <c r="U17" i="2"/>
  <c r="AD17" i="2"/>
  <c r="S18" i="2"/>
  <c r="T18" i="2"/>
  <c r="U18" i="2"/>
  <c r="AA18" i="2"/>
  <c r="S19" i="2"/>
  <c r="T19" i="2"/>
  <c r="U19" i="2"/>
  <c r="S20" i="2"/>
  <c r="T20" i="2"/>
  <c r="U20" i="2"/>
  <c r="V20" i="2"/>
  <c r="AB20" i="2"/>
  <c r="AE20" i="2"/>
  <c r="S21" i="2"/>
  <c r="T21" i="2"/>
  <c r="U21" i="2"/>
  <c r="V21" i="2"/>
  <c r="Y21" i="2"/>
  <c r="AB22" i="2"/>
  <c r="S23" i="2"/>
  <c r="T23" i="2"/>
  <c r="U23" i="2"/>
  <c r="V23" i="2"/>
  <c r="AB23" i="2"/>
  <c r="F24" i="2"/>
  <c r="S24" i="2"/>
  <c r="T24" i="2"/>
  <c r="U24" i="2"/>
  <c r="V24" i="2"/>
  <c r="AB24" i="2"/>
  <c r="F25" i="2"/>
  <c r="S25" i="2"/>
  <c r="T25" i="2"/>
  <c r="U25" i="2"/>
  <c r="V25" i="2"/>
  <c r="F26" i="2"/>
  <c r="S26" i="2"/>
  <c r="T26" i="2"/>
  <c r="U26" i="2"/>
  <c r="V26" i="2"/>
  <c r="S27" i="2"/>
  <c r="T27" i="2"/>
  <c r="U27" i="2"/>
  <c r="AA27" i="2"/>
  <c r="AB27" i="2"/>
  <c r="S28" i="2"/>
  <c r="T28" i="2"/>
  <c r="U28" i="2"/>
  <c r="S29" i="2"/>
  <c r="T29" i="2"/>
  <c r="U29" i="2"/>
  <c r="AB29" i="2"/>
  <c r="S30" i="2"/>
  <c r="T30" i="2"/>
  <c r="U30" i="2"/>
  <c r="V30" i="2"/>
  <c r="Y30" i="2"/>
  <c r="S31" i="2"/>
  <c r="T31" i="2"/>
  <c r="U31" i="2"/>
  <c r="V31" i="2"/>
  <c r="AB31" i="2"/>
  <c r="AB32" i="2"/>
  <c r="S33" i="2"/>
  <c r="T33" i="2"/>
  <c r="U33" i="2"/>
  <c r="V33" i="2"/>
  <c r="S34" i="2"/>
  <c r="T34" i="2"/>
  <c r="U34" i="2"/>
  <c r="V34" i="2"/>
  <c r="S35" i="2"/>
  <c r="T35" i="2"/>
  <c r="U35" i="2"/>
  <c r="S36" i="2"/>
  <c r="T36" i="2"/>
  <c r="U36" i="2"/>
  <c r="V36" i="2"/>
  <c r="AA36" i="2"/>
  <c r="AB36" i="2"/>
  <c r="P38" i="2"/>
  <c r="S38" i="2"/>
  <c r="T38" i="2"/>
  <c r="U38" i="2"/>
  <c r="V38" i="2"/>
  <c r="AB38" i="2"/>
  <c r="S39" i="2"/>
  <c r="T39" i="2"/>
  <c r="U39" i="2"/>
  <c r="Y39" i="2"/>
  <c r="S40" i="2"/>
  <c r="T40" i="2"/>
  <c r="U40" i="2"/>
  <c r="AB40" i="2"/>
  <c r="M41" i="2"/>
  <c r="S41" i="2"/>
  <c r="T41" i="2"/>
  <c r="U41" i="2"/>
  <c r="V41" i="2"/>
  <c r="AB41" i="2"/>
  <c r="E42" i="2"/>
  <c r="B43" i="2"/>
  <c r="E43" i="2"/>
  <c r="S43" i="2"/>
  <c r="T43" i="2"/>
  <c r="U43" i="2"/>
  <c r="B44" i="2"/>
  <c r="E44" i="2"/>
  <c r="S44" i="2"/>
  <c r="T44" i="2"/>
  <c r="U44" i="2"/>
  <c r="E45" i="2"/>
  <c r="S45" i="2"/>
  <c r="T45" i="2"/>
  <c r="U45" i="2"/>
  <c r="AA45" i="2"/>
  <c r="AB45" i="2"/>
  <c r="S46" i="2"/>
  <c r="T46" i="2"/>
  <c r="U46" i="2"/>
  <c r="V46" i="2"/>
  <c r="AB47" i="2"/>
  <c r="S48" i="2"/>
  <c r="T48" i="2"/>
  <c r="U48" i="2"/>
  <c r="V48" i="2"/>
  <c r="Y48" i="2"/>
  <c r="S49" i="2"/>
  <c r="T49" i="2"/>
  <c r="U49" i="2"/>
  <c r="V49" i="2"/>
  <c r="AB49" i="2"/>
  <c r="J50" i="2"/>
  <c r="AB50" i="2"/>
  <c r="J51" i="2"/>
  <c r="J52" i="2"/>
  <c r="J54" i="2"/>
  <c r="S54" i="2"/>
  <c r="T54" i="2"/>
  <c r="U54" i="2"/>
  <c r="V54" i="2"/>
  <c r="AA54" i="2"/>
  <c r="AB54" i="2"/>
  <c r="A55" i="2"/>
  <c r="D55" i="2"/>
  <c r="F55" i="2"/>
  <c r="J55" i="2"/>
  <c r="O55" i="2"/>
  <c r="P55" i="2"/>
  <c r="R55" i="2"/>
  <c r="S55" i="2"/>
  <c r="U55" i="2"/>
  <c r="V55" i="2"/>
  <c r="J56" i="2"/>
  <c r="AB56" i="2"/>
  <c r="P57" i="2"/>
  <c r="S57" i="2"/>
  <c r="U57" i="2"/>
  <c r="V57" i="2"/>
  <c r="Y57" i="2"/>
  <c r="J58" i="2"/>
  <c r="O58" i="2"/>
  <c r="P58" i="2"/>
  <c r="R58" i="2"/>
  <c r="S58" i="2"/>
  <c r="U58" i="2"/>
  <c r="V58" i="2"/>
  <c r="AB58" i="2"/>
  <c r="C59" i="2"/>
  <c r="D59" i="2"/>
  <c r="E59" i="2"/>
  <c r="G59" i="2"/>
  <c r="J59" i="2"/>
  <c r="C60" i="2"/>
  <c r="D60" i="2"/>
  <c r="E60" i="2"/>
  <c r="G60" i="2"/>
  <c r="J60" i="2"/>
  <c r="O60" i="2"/>
  <c r="S60" i="2"/>
  <c r="U60" i="2"/>
  <c r="V60" i="2"/>
  <c r="C61" i="2"/>
  <c r="D61" i="2"/>
  <c r="E61" i="2"/>
  <c r="G61" i="2"/>
  <c r="O61" i="2"/>
  <c r="P61" i="2"/>
  <c r="R61" i="2"/>
  <c r="S61" i="2"/>
  <c r="U61" i="2"/>
  <c r="V61" i="2"/>
  <c r="C62" i="2"/>
  <c r="D62" i="2"/>
  <c r="E62" i="2"/>
  <c r="G62" i="2"/>
  <c r="C63" i="2"/>
  <c r="D63" i="2"/>
  <c r="E63" i="2"/>
  <c r="G63" i="2"/>
  <c r="C64" i="2"/>
  <c r="D64" i="2"/>
  <c r="E64" i="2"/>
  <c r="G64" i="2"/>
  <c r="R64" i="2"/>
  <c r="V64" i="2"/>
  <c r="AB64" i="2"/>
  <c r="C65" i="2"/>
  <c r="D65" i="2"/>
  <c r="E65" i="2"/>
  <c r="G65" i="2"/>
  <c r="R65" i="2"/>
  <c r="AA65" i="2"/>
  <c r="G66" i="2"/>
  <c r="R66" i="2"/>
  <c r="G67" i="2"/>
  <c r="C68" i="2"/>
  <c r="D68" i="2"/>
  <c r="E68" i="2"/>
  <c r="G68" i="2"/>
  <c r="Z68" i="2"/>
  <c r="AA68" i="2"/>
  <c r="AB68" i="2"/>
  <c r="C69" i="2"/>
  <c r="D69" i="2"/>
  <c r="E69" i="2"/>
  <c r="G69" i="2"/>
  <c r="Z69" i="2"/>
  <c r="AA69" i="2"/>
  <c r="AB69" i="2"/>
  <c r="AD69" i="2"/>
  <c r="D70" i="2"/>
  <c r="E70" i="2"/>
  <c r="G70" i="2"/>
  <c r="T70" i="2"/>
  <c r="U70" i="2"/>
  <c r="V70" i="2"/>
  <c r="Z70" i="2"/>
  <c r="AA70" i="2"/>
  <c r="AB70" i="2"/>
  <c r="B71" i="2"/>
  <c r="C71" i="2"/>
  <c r="D71" i="2"/>
  <c r="E71" i="2"/>
  <c r="G71" i="2"/>
  <c r="Z71" i="2"/>
  <c r="AA71" i="2"/>
  <c r="AB71" i="2"/>
  <c r="C72" i="2"/>
  <c r="D72" i="2"/>
  <c r="E72" i="2"/>
  <c r="G72" i="2"/>
  <c r="Z72" i="2"/>
  <c r="AA72" i="2"/>
  <c r="AB72" i="2"/>
  <c r="G73" i="2"/>
  <c r="N73" i="2"/>
  <c r="T73" i="2"/>
  <c r="U73" i="2"/>
  <c r="V73" i="2"/>
  <c r="AB73" i="2"/>
  <c r="G74" i="2"/>
  <c r="N74" i="2"/>
  <c r="T74" i="2"/>
  <c r="U74" i="2"/>
  <c r="V74" i="2"/>
  <c r="Z74" i="2"/>
  <c r="AA74" i="2"/>
  <c r="AB74" i="2"/>
  <c r="C75" i="2"/>
  <c r="D75" i="2"/>
  <c r="E75" i="2"/>
  <c r="G75" i="2"/>
  <c r="N75" i="2"/>
  <c r="T75" i="2"/>
  <c r="U75" i="2"/>
  <c r="V75" i="2"/>
  <c r="AB75" i="2"/>
  <c r="C76" i="2"/>
  <c r="D76" i="2"/>
  <c r="E76" i="2"/>
  <c r="G76" i="2"/>
  <c r="N76" i="2"/>
  <c r="T76" i="2"/>
  <c r="U76" i="2"/>
  <c r="V76" i="2"/>
  <c r="AB76" i="2"/>
  <c r="C77" i="2"/>
  <c r="D77" i="2"/>
  <c r="E77" i="2"/>
  <c r="V77" i="2"/>
  <c r="L78" i="2"/>
  <c r="V79" i="2"/>
  <c r="Z79" i="2"/>
  <c r="AA79" i="2"/>
  <c r="F80" i="2"/>
  <c r="V80" i="2"/>
  <c r="Z80" i="2"/>
  <c r="AA80" i="2"/>
  <c r="V81" i="2"/>
  <c r="C82" i="2"/>
  <c r="I82" i="2"/>
  <c r="V82" i="2"/>
  <c r="C83" i="2"/>
  <c r="F83" i="2"/>
  <c r="V83" i="2"/>
  <c r="C84" i="2"/>
  <c r="E84" i="2"/>
  <c r="F84" i="2"/>
  <c r="V84" i="2"/>
  <c r="C85" i="2"/>
  <c r="F85" i="2"/>
  <c r="J85" i="2"/>
  <c r="K85" i="2"/>
  <c r="L85" i="2"/>
  <c r="V85" i="2"/>
  <c r="C86" i="2"/>
  <c r="F86" i="2"/>
  <c r="J86" i="2"/>
  <c r="L86" i="2"/>
  <c r="V86" i="2"/>
  <c r="J87" i="2"/>
  <c r="L87" i="2"/>
  <c r="V87" i="2"/>
  <c r="Y87" i="2"/>
  <c r="J88" i="2"/>
  <c r="K88" i="2"/>
  <c r="L88" i="2"/>
  <c r="V88" i="2"/>
  <c r="V89" i="2"/>
  <c r="V90" i="2"/>
  <c r="F91" i="2"/>
  <c r="J91" i="2"/>
  <c r="K91" i="2"/>
  <c r="L91" i="2"/>
  <c r="V91" i="2"/>
  <c r="J92" i="2"/>
  <c r="K92" i="2"/>
  <c r="L92" i="2"/>
  <c r="V92" i="2"/>
  <c r="J93" i="2"/>
  <c r="K93" i="2"/>
  <c r="L93" i="2"/>
  <c r="V93" i="2"/>
  <c r="J94" i="2"/>
  <c r="K94" i="2"/>
  <c r="L94" i="2"/>
  <c r="V94" i="2"/>
  <c r="AB94" i="2"/>
  <c r="J95" i="2"/>
  <c r="K95" i="2"/>
  <c r="L95" i="2"/>
  <c r="V95" i="2"/>
  <c r="AB95" i="2"/>
  <c r="V96" i="2"/>
  <c r="AB96" i="2"/>
  <c r="V97" i="2"/>
  <c r="AB97" i="2"/>
  <c r="L98" i="2"/>
  <c r="V98" i="2"/>
  <c r="V99" i="2"/>
  <c r="AA99" i="2"/>
  <c r="AB99" i="2"/>
  <c r="F100" i="2"/>
  <c r="K100" i="2"/>
  <c r="L100" i="2"/>
  <c r="V100" i="2"/>
  <c r="AA100" i="2"/>
  <c r="AB100" i="2"/>
  <c r="F101" i="2"/>
  <c r="V101" i="2"/>
  <c r="AA101" i="2"/>
  <c r="AB101" i="2"/>
  <c r="F102" i="2"/>
  <c r="AA102" i="2"/>
  <c r="AB102" i="2"/>
  <c r="F103" i="2"/>
  <c r="V103" i="2"/>
  <c r="AB103" i="2"/>
  <c r="F104" i="2"/>
  <c r="L104" i="2"/>
  <c r="V104" i="2"/>
  <c r="AB104" i="2"/>
  <c r="V107" i="2"/>
  <c r="L109" i="2"/>
  <c r="L111" i="2"/>
  <c r="R111" i="2"/>
  <c r="S111" i="2"/>
  <c r="T111" i="2"/>
  <c r="U111" i="2"/>
  <c r="V111" i="2"/>
  <c r="V112" i="2"/>
  <c r="V113" i="2"/>
  <c r="A1" i="59"/>
  <c r="A2" i="59"/>
  <c r="A3" i="59"/>
  <c r="A12" i="59"/>
  <c r="C12" i="59"/>
  <c r="E12" i="59"/>
  <c r="F12" i="59"/>
  <c r="G12" i="59"/>
  <c r="H12" i="59"/>
  <c r="I12" i="59"/>
  <c r="J12" i="59"/>
  <c r="K12" i="59"/>
  <c r="L12" i="59"/>
  <c r="M12" i="59"/>
  <c r="A13" i="59"/>
  <c r="C13" i="59"/>
  <c r="D13" i="59"/>
  <c r="E13" i="59"/>
  <c r="F13" i="59"/>
  <c r="G13" i="59"/>
  <c r="H13" i="59"/>
  <c r="I13" i="59"/>
  <c r="J13" i="59"/>
  <c r="K13" i="59"/>
  <c r="L13" i="59"/>
  <c r="M13" i="59"/>
  <c r="A14" i="59"/>
  <c r="C14" i="59"/>
  <c r="D14" i="59"/>
  <c r="E14" i="59"/>
  <c r="F14" i="59"/>
  <c r="G14" i="59"/>
  <c r="H14" i="59"/>
  <c r="I14" i="59"/>
  <c r="J14" i="59"/>
  <c r="K14" i="59"/>
  <c r="L14" i="59"/>
  <c r="M14" i="59"/>
  <c r="A15" i="59"/>
  <c r="C15" i="59"/>
  <c r="D15" i="59"/>
  <c r="E15" i="59"/>
  <c r="F15" i="59"/>
  <c r="G15" i="59"/>
  <c r="H15" i="59"/>
  <c r="I15" i="59"/>
  <c r="J15" i="59"/>
  <c r="K15" i="59"/>
  <c r="L15" i="59"/>
  <c r="M15" i="59"/>
  <c r="A16" i="59"/>
  <c r="C16" i="59"/>
  <c r="D16" i="59"/>
  <c r="E16" i="59"/>
  <c r="F16" i="59"/>
  <c r="G16" i="59"/>
  <c r="H16" i="59"/>
  <c r="I16" i="59"/>
  <c r="J16" i="59"/>
  <c r="K16" i="59"/>
  <c r="L16" i="59"/>
  <c r="M16" i="59"/>
  <c r="A17" i="59"/>
  <c r="C17" i="59"/>
  <c r="D17" i="59"/>
  <c r="E17" i="59"/>
  <c r="F17" i="59"/>
  <c r="G17" i="59"/>
  <c r="H17" i="59"/>
  <c r="I17" i="59"/>
  <c r="J17" i="59"/>
  <c r="K17" i="59"/>
  <c r="L17" i="59"/>
  <c r="M17" i="59"/>
  <c r="A18" i="59"/>
  <c r="C18" i="59"/>
  <c r="D18" i="59"/>
  <c r="E18" i="59"/>
  <c r="F18" i="59"/>
  <c r="G18" i="59"/>
  <c r="H18" i="59"/>
  <c r="I18" i="59"/>
  <c r="J18" i="59"/>
  <c r="K18" i="59"/>
  <c r="L18" i="59"/>
  <c r="M18" i="59"/>
  <c r="A19" i="59"/>
  <c r="C19" i="59"/>
  <c r="D19" i="59"/>
  <c r="E19" i="59"/>
  <c r="F19" i="59"/>
  <c r="G19" i="59"/>
  <c r="H19" i="59"/>
  <c r="I19" i="59"/>
  <c r="J19" i="59"/>
  <c r="K19" i="59"/>
  <c r="L19" i="59"/>
  <c r="M19" i="59"/>
  <c r="A20" i="59"/>
  <c r="C20" i="59"/>
  <c r="D20" i="59"/>
  <c r="E20" i="59"/>
  <c r="F20" i="59"/>
  <c r="G20" i="59"/>
  <c r="H20" i="59"/>
  <c r="I20" i="59"/>
  <c r="J20" i="59"/>
  <c r="K20" i="59"/>
  <c r="L20" i="59"/>
  <c r="M20" i="59"/>
  <c r="A21" i="59"/>
  <c r="C21" i="59"/>
  <c r="D21" i="59"/>
  <c r="E21" i="59"/>
  <c r="F21" i="59"/>
  <c r="G21" i="59"/>
  <c r="H21" i="59"/>
  <c r="I21" i="59"/>
  <c r="J21" i="59"/>
  <c r="K21" i="59"/>
  <c r="L21" i="59"/>
  <c r="M21" i="59"/>
  <c r="A22" i="59"/>
  <c r="C22" i="59"/>
  <c r="D22" i="59"/>
  <c r="E22" i="59"/>
  <c r="F22" i="59"/>
  <c r="G22" i="59"/>
  <c r="H22" i="59"/>
  <c r="I22" i="59"/>
  <c r="J22" i="59"/>
  <c r="K22" i="59"/>
  <c r="L22" i="59"/>
  <c r="M22" i="59"/>
  <c r="A23" i="59"/>
  <c r="C23" i="59"/>
  <c r="D23" i="59"/>
  <c r="E23" i="59"/>
  <c r="F23" i="59"/>
  <c r="G23" i="59"/>
  <c r="H23" i="59"/>
  <c r="I23" i="59"/>
  <c r="J23" i="59"/>
  <c r="K23" i="59"/>
  <c r="L23" i="59"/>
  <c r="M23" i="59"/>
  <c r="A24" i="59"/>
  <c r="C24" i="59"/>
  <c r="D24" i="59"/>
  <c r="E24" i="59"/>
  <c r="F24" i="59"/>
  <c r="G24" i="59"/>
  <c r="H24" i="59"/>
  <c r="I24" i="59"/>
  <c r="J24" i="59"/>
  <c r="K24" i="59"/>
  <c r="L24" i="59"/>
  <c r="M24" i="59"/>
  <c r="A25" i="59"/>
  <c r="C25" i="59"/>
  <c r="D25" i="59"/>
  <c r="E25" i="59"/>
  <c r="F25" i="59"/>
  <c r="G25" i="59"/>
  <c r="H25" i="59"/>
  <c r="I25" i="59"/>
  <c r="J25" i="59"/>
  <c r="K25" i="59"/>
  <c r="L25" i="59"/>
  <c r="M25" i="59"/>
  <c r="A26" i="59"/>
  <c r="C26" i="59"/>
  <c r="D26" i="59"/>
  <c r="E26" i="59"/>
  <c r="F26" i="59"/>
  <c r="G26" i="59"/>
  <c r="H26" i="59"/>
  <c r="I26" i="59"/>
  <c r="J26" i="59"/>
  <c r="K26" i="59"/>
  <c r="L26" i="59"/>
  <c r="M26" i="59"/>
  <c r="A27" i="59"/>
  <c r="C27" i="59"/>
  <c r="D27" i="59"/>
  <c r="E27" i="59"/>
  <c r="F27" i="59"/>
  <c r="G27" i="59"/>
  <c r="H27" i="59"/>
  <c r="I27" i="59"/>
  <c r="J27" i="59"/>
  <c r="K27" i="59"/>
  <c r="L27" i="59"/>
  <c r="M27" i="59"/>
  <c r="A28" i="59"/>
  <c r="C28" i="59"/>
  <c r="D28" i="59"/>
  <c r="E28" i="59"/>
  <c r="F28" i="59"/>
  <c r="G28" i="59"/>
  <c r="H28" i="59"/>
  <c r="I28" i="59"/>
  <c r="J28" i="59"/>
  <c r="K28" i="59"/>
  <c r="L28" i="59"/>
  <c r="M28" i="59"/>
  <c r="A29" i="59"/>
  <c r="C29" i="59"/>
  <c r="D29" i="59"/>
  <c r="E29" i="59"/>
  <c r="F29" i="59"/>
  <c r="G29" i="59"/>
  <c r="H29" i="59"/>
  <c r="I29" i="59"/>
  <c r="J29" i="59"/>
  <c r="K29" i="59"/>
  <c r="L29" i="59"/>
  <c r="M29" i="59"/>
  <c r="A30" i="59"/>
  <c r="C30" i="59"/>
  <c r="D30" i="59"/>
  <c r="E30" i="59"/>
  <c r="F30" i="59"/>
  <c r="G30" i="59"/>
  <c r="H30" i="59"/>
  <c r="I30" i="59"/>
  <c r="J30" i="59"/>
  <c r="K30" i="59"/>
  <c r="L30" i="59"/>
  <c r="M30" i="59"/>
  <c r="A31" i="59"/>
  <c r="C31" i="59"/>
  <c r="D31" i="59"/>
  <c r="E31" i="59"/>
  <c r="F31" i="59"/>
  <c r="G31" i="59"/>
  <c r="H31" i="59"/>
  <c r="I31" i="59"/>
  <c r="J31" i="59"/>
  <c r="K31" i="59"/>
  <c r="L31" i="59"/>
  <c r="M31" i="59"/>
  <c r="A32" i="59"/>
  <c r="C32" i="59"/>
  <c r="D32" i="59"/>
  <c r="E32" i="59"/>
  <c r="F32" i="59"/>
  <c r="G32" i="59"/>
  <c r="H32" i="59"/>
  <c r="I32" i="59"/>
  <c r="J32" i="59"/>
  <c r="K32" i="59"/>
  <c r="L32" i="59"/>
  <c r="M32" i="59"/>
  <c r="A33" i="59"/>
  <c r="C33" i="59"/>
  <c r="D33" i="59"/>
  <c r="E33" i="59"/>
  <c r="F33" i="59"/>
  <c r="G33" i="59"/>
  <c r="H33" i="59"/>
  <c r="I33" i="59"/>
  <c r="J33" i="59"/>
  <c r="K33" i="59"/>
  <c r="L33" i="59"/>
  <c r="M33" i="59"/>
  <c r="A34" i="59"/>
  <c r="C34" i="59"/>
  <c r="D34" i="59"/>
  <c r="E34" i="59"/>
  <c r="F34" i="59"/>
  <c r="G34" i="59"/>
  <c r="H34" i="59"/>
  <c r="I34" i="59"/>
  <c r="J34" i="59"/>
  <c r="K34" i="59"/>
  <c r="L34" i="59"/>
  <c r="M34" i="59"/>
  <c r="A35" i="59"/>
  <c r="C35" i="59"/>
  <c r="D35" i="59"/>
  <c r="E35" i="59"/>
  <c r="F35" i="59"/>
  <c r="G35" i="59"/>
  <c r="H35" i="59"/>
  <c r="I35" i="59"/>
  <c r="J35" i="59"/>
  <c r="K35" i="59"/>
  <c r="L35" i="59"/>
  <c r="M35" i="59"/>
  <c r="A36" i="59"/>
  <c r="C36" i="59"/>
  <c r="D36" i="59"/>
  <c r="E36" i="59"/>
  <c r="F36" i="59"/>
  <c r="G36" i="59"/>
  <c r="H36" i="59"/>
  <c r="I36" i="59"/>
  <c r="J36" i="59"/>
  <c r="K36" i="59"/>
  <c r="L36" i="59"/>
  <c r="M36" i="59"/>
  <c r="A37" i="59"/>
  <c r="C37" i="59"/>
  <c r="D37" i="59"/>
  <c r="E37" i="59"/>
  <c r="F37" i="59"/>
  <c r="G37" i="59"/>
  <c r="H37" i="59"/>
  <c r="I37" i="59"/>
  <c r="J37" i="59"/>
  <c r="K37" i="59"/>
  <c r="L37" i="59"/>
  <c r="M37" i="59"/>
  <c r="A38" i="59"/>
  <c r="C38" i="59"/>
  <c r="D38" i="59"/>
  <c r="E38" i="59"/>
  <c r="F38" i="59"/>
  <c r="G38" i="59"/>
  <c r="H38" i="59"/>
  <c r="I38" i="59"/>
  <c r="J38" i="59"/>
  <c r="K38" i="59"/>
  <c r="L38" i="59"/>
  <c r="M38" i="59"/>
  <c r="A39" i="59"/>
  <c r="C39" i="59"/>
  <c r="D39" i="59"/>
  <c r="E39" i="59"/>
  <c r="F39" i="59"/>
  <c r="G39" i="59"/>
  <c r="H39" i="59"/>
  <c r="I39" i="59"/>
  <c r="J39" i="59"/>
  <c r="K39" i="59"/>
  <c r="L39" i="59"/>
  <c r="M39" i="59"/>
  <c r="A40" i="59"/>
  <c r="C40" i="59"/>
  <c r="D40" i="59"/>
  <c r="E40" i="59"/>
  <c r="F40" i="59"/>
  <c r="G40" i="59"/>
  <c r="H40" i="59"/>
  <c r="I40" i="59"/>
  <c r="J40" i="59"/>
  <c r="K40" i="59"/>
  <c r="L40" i="59"/>
  <c r="M40" i="59"/>
  <c r="A41" i="59"/>
  <c r="C41" i="59"/>
  <c r="D41" i="59"/>
  <c r="E41" i="59"/>
  <c r="F41" i="59"/>
  <c r="G41" i="59"/>
  <c r="H41" i="59"/>
  <c r="I41" i="59"/>
  <c r="J41" i="59"/>
  <c r="K41" i="59"/>
  <c r="L41" i="59"/>
  <c r="M41" i="59"/>
  <c r="A42" i="59"/>
  <c r="C42" i="59"/>
  <c r="D42" i="59"/>
  <c r="E42" i="59"/>
  <c r="F42" i="59"/>
  <c r="G42" i="59"/>
  <c r="H42" i="59"/>
  <c r="I42" i="59"/>
  <c r="J42" i="59"/>
  <c r="K42" i="59"/>
  <c r="L42" i="59"/>
  <c r="M42" i="59"/>
  <c r="A43" i="59"/>
  <c r="C43" i="59"/>
  <c r="D43" i="59"/>
  <c r="E43" i="59"/>
  <c r="F43" i="59"/>
  <c r="G43" i="59"/>
  <c r="H43" i="59"/>
  <c r="I43" i="59"/>
  <c r="J43" i="59"/>
  <c r="K43" i="59"/>
  <c r="L43" i="59"/>
  <c r="M43" i="59"/>
  <c r="A44" i="59"/>
  <c r="C44" i="59"/>
  <c r="D44" i="59"/>
  <c r="E44" i="59"/>
  <c r="F44" i="59"/>
  <c r="G44" i="59"/>
  <c r="H44" i="59"/>
  <c r="I44" i="59"/>
  <c r="J44" i="59"/>
  <c r="K44" i="59"/>
  <c r="L44" i="59"/>
  <c r="M44" i="59"/>
  <c r="A45" i="59"/>
  <c r="C45" i="59"/>
  <c r="D45" i="59"/>
  <c r="E45" i="59"/>
  <c r="F45" i="59"/>
  <c r="G45" i="59"/>
  <c r="H45" i="59"/>
  <c r="I45" i="59"/>
  <c r="J45" i="59"/>
  <c r="K45" i="59"/>
  <c r="L45" i="59"/>
  <c r="M45" i="59"/>
  <c r="A46" i="59"/>
  <c r="C46" i="59"/>
  <c r="D46" i="59"/>
  <c r="E46" i="59"/>
  <c r="F46" i="59"/>
  <c r="G46" i="59"/>
  <c r="H46" i="59"/>
  <c r="I46" i="59"/>
  <c r="J46" i="59"/>
  <c r="K46" i="59"/>
  <c r="L46" i="59"/>
  <c r="M46" i="59"/>
  <c r="A47" i="59"/>
  <c r="C47" i="59"/>
  <c r="D47" i="59"/>
  <c r="E47" i="59"/>
  <c r="F47" i="59"/>
  <c r="G47" i="59"/>
  <c r="H47" i="59"/>
  <c r="I47" i="59"/>
  <c r="J47" i="59"/>
  <c r="K47" i="59"/>
  <c r="L47" i="59"/>
  <c r="M47" i="59"/>
  <c r="A48" i="59"/>
  <c r="C48" i="59"/>
  <c r="D48" i="59"/>
  <c r="E48" i="59"/>
  <c r="F48" i="59"/>
  <c r="G48" i="59"/>
  <c r="H48" i="59"/>
  <c r="I48" i="59"/>
  <c r="J48" i="59"/>
  <c r="K48" i="59"/>
  <c r="L48" i="59"/>
  <c r="M48" i="59"/>
  <c r="A49" i="59"/>
  <c r="C49" i="59"/>
  <c r="D49" i="59"/>
  <c r="E49" i="59"/>
  <c r="F49" i="59"/>
  <c r="G49" i="59"/>
  <c r="H49" i="59"/>
  <c r="I49" i="59"/>
  <c r="J49" i="59"/>
  <c r="K49" i="59"/>
  <c r="L49" i="59"/>
  <c r="M49" i="59"/>
  <c r="A50" i="59"/>
  <c r="C50" i="59"/>
  <c r="D50" i="59"/>
  <c r="E50" i="59"/>
  <c r="F50" i="59"/>
  <c r="G50" i="59"/>
  <c r="H50" i="59"/>
  <c r="I50" i="59"/>
  <c r="J50" i="59"/>
  <c r="K50" i="59"/>
  <c r="L50" i="59"/>
  <c r="M50" i="59"/>
  <c r="A51" i="59"/>
  <c r="C51" i="59"/>
  <c r="D51" i="59"/>
  <c r="E51" i="59"/>
  <c r="F51" i="59"/>
  <c r="G51" i="59"/>
  <c r="H51" i="59"/>
  <c r="I51" i="59"/>
  <c r="J51" i="59"/>
  <c r="K51" i="59"/>
  <c r="L51" i="59"/>
  <c r="M51" i="59"/>
  <c r="A52" i="59"/>
  <c r="C52" i="59"/>
  <c r="D52" i="59"/>
  <c r="E52" i="59"/>
  <c r="F52" i="59"/>
  <c r="G52" i="59"/>
  <c r="H52" i="59"/>
  <c r="I52" i="59"/>
  <c r="J52" i="59"/>
  <c r="K52" i="59"/>
  <c r="L52" i="59"/>
  <c r="M52" i="59"/>
  <c r="A53" i="59"/>
  <c r="C53" i="59"/>
  <c r="D53" i="59"/>
  <c r="E53" i="59"/>
  <c r="F53" i="59"/>
  <c r="G53" i="59"/>
  <c r="H53" i="59"/>
  <c r="I53" i="59"/>
  <c r="J53" i="59"/>
  <c r="K53" i="59"/>
  <c r="L53" i="59"/>
  <c r="M53" i="59"/>
  <c r="A54" i="59"/>
  <c r="C54" i="59"/>
  <c r="D54" i="59"/>
  <c r="E54" i="59"/>
  <c r="F54" i="59"/>
  <c r="G54" i="59"/>
  <c r="H54" i="59"/>
  <c r="I54" i="59"/>
  <c r="J54" i="59"/>
  <c r="K54" i="59"/>
  <c r="L54" i="59"/>
  <c r="M54" i="59"/>
  <c r="A55" i="59"/>
  <c r="C55" i="59"/>
  <c r="D55" i="59"/>
  <c r="E55" i="59"/>
  <c r="F55" i="59"/>
  <c r="G55" i="59"/>
  <c r="H55" i="59"/>
  <c r="I55" i="59"/>
  <c r="J55" i="59"/>
  <c r="K55" i="59"/>
  <c r="L55" i="59"/>
  <c r="M55" i="59"/>
  <c r="A56" i="59"/>
  <c r="C56" i="59"/>
  <c r="D56" i="59"/>
  <c r="E56" i="59"/>
  <c r="F56" i="59"/>
  <c r="G56" i="59"/>
  <c r="H56" i="59"/>
  <c r="I56" i="59"/>
  <c r="J56" i="59"/>
  <c r="K56" i="59"/>
  <c r="L56" i="59"/>
  <c r="M56" i="59"/>
  <c r="A57" i="59"/>
  <c r="C57" i="59"/>
  <c r="D57" i="59"/>
  <c r="E57" i="59"/>
  <c r="F57" i="59"/>
  <c r="G57" i="59"/>
  <c r="H57" i="59"/>
  <c r="I57" i="59"/>
  <c r="J57" i="59"/>
  <c r="K57" i="59"/>
  <c r="L57" i="59"/>
  <c r="M57" i="59"/>
  <c r="A58" i="59"/>
  <c r="C58" i="59"/>
  <c r="D58" i="59"/>
  <c r="E58" i="59"/>
  <c r="F58" i="59"/>
  <c r="G58" i="59"/>
  <c r="H58" i="59"/>
  <c r="I58" i="59"/>
  <c r="J58" i="59"/>
  <c r="K58" i="59"/>
  <c r="L58" i="59"/>
  <c r="M58" i="59"/>
  <c r="A59" i="59"/>
  <c r="C59" i="59"/>
  <c r="D59" i="59"/>
  <c r="E59" i="59"/>
  <c r="F59" i="59"/>
  <c r="G59" i="59"/>
  <c r="H59" i="59"/>
  <c r="I59" i="59"/>
  <c r="J59" i="59"/>
  <c r="K59" i="59"/>
  <c r="L59" i="59"/>
  <c r="M59" i="59"/>
  <c r="A60" i="59"/>
  <c r="C60" i="59"/>
  <c r="D60" i="59"/>
  <c r="E60" i="59"/>
  <c r="F60" i="59"/>
  <c r="G60" i="59"/>
  <c r="H60" i="59"/>
  <c r="I60" i="59"/>
  <c r="J60" i="59"/>
  <c r="K60" i="59"/>
  <c r="L60" i="59"/>
  <c r="M60" i="59"/>
  <c r="A61" i="59"/>
  <c r="C61" i="59"/>
  <c r="D61" i="59"/>
  <c r="E61" i="59"/>
  <c r="F61" i="59"/>
  <c r="G61" i="59"/>
  <c r="H61" i="59"/>
  <c r="I61" i="59"/>
  <c r="J61" i="59"/>
  <c r="K61" i="59"/>
  <c r="L61" i="59"/>
  <c r="M61" i="59"/>
  <c r="A62" i="59"/>
  <c r="C62" i="59"/>
  <c r="D62" i="59"/>
  <c r="E62" i="59"/>
  <c r="F62" i="59"/>
  <c r="G62" i="59"/>
  <c r="H62" i="59"/>
  <c r="I62" i="59"/>
  <c r="J62" i="59"/>
  <c r="K62" i="59"/>
  <c r="L62" i="59"/>
  <c r="M62" i="59"/>
  <c r="A63" i="59"/>
  <c r="C63" i="59"/>
  <c r="D63" i="59"/>
  <c r="E63" i="59"/>
  <c r="F63" i="59"/>
  <c r="G63" i="59"/>
  <c r="H63" i="59"/>
  <c r="I63" i="59"/>
  <c r="J63" i="59"/>
  <c r="K63" i="59"/>
  <c r="L63" i="59"/>
  <c r="M63" i="59"/>
  <c r="A64" i="59"/>
  <c r="C64" i="59"/>
  <c r="D64" i="59"/>
  <c r="E64" i="59"/>
  <c r="F64" i="59"/>
  <c r="G64" i="59"/>
  <c r="H64" i="59"/>
  <c r="I64" i="59"/>
  <c r="J64" i="59"/>
  <c r="K64" i="59"/>
  <c r="L64" i="59"/>
  <c r="M64" i="59"/>
  <c r="A65" i="59"/>
  <c r="C65" i="59"/>
  <c r="D65" i="59"/>
  <c r="E65" i="59"/>
  <c r="F65" i="59"/>
  <c r="G65" i="59"/>
  <c r="H65" i="59"/>
  <c r="I65" i="59"/>
  <c r="J65" i="59"/>
  <c r="K65" i="59"/>
  <c r="L65" i="59"/>
  <c r="M65" i="59"/>
  <c r="A66" i="59"/>
  <c r="C66" i="59"/>
  <c r="D66" i="59"/>
  <c r="E66" i="59"/>
  <c r="F66" i="59"/>
  <c r="G66" i="59"/>
  <c r="H66" i="59"/>
  <c r="I66" i="59"/>
  <c r="J66" i="59"/>
  <c r="K66" i="59"/>
  <c r="L66" i="59"/>
  <c r="M66" i="59"/>
  <c r="A67" i="59"/>
  <c r="C67" i="59"/>
  <c r="D67" i="59"/>
  <c r="E67" i="59"/>
  <c r="F67" i="59"/>
  <c r="G67" i="59"/>
  <c r="H67" i="59"/>
  <c r="I67" i="59"/>
  <c r="J67" i="59"/>
  <c r="K67" i="59"/>
  <c r="L67" i="59"/>
  <c r="M67" i="59"/>
  <c r="A68" i="59"/>
  <c r="C68" i="59"/>
  <c r="D68" i="59"/>
  <c r="E68" i="59"/>
  <c r="F68" i="59"/>
  <c r="G68" i="59"/>
  <c r="H68" i="59"/>
  <c r="I68" i="59"/>
  <c r="J68" i="59"/>
  <c r="K68" i="59"/>
  <c r="L68" i="59"/>
  <c r="M68" i="59"/>
  <c r="A69" i="59"/>
  <c r="C69" i="59"/>
  <c r="D69" i="59"/>
  <c r="E69" i="59"/>
  <c r="F69" i="59"/>
  <c r="G69" i="59"/>
  <c r="H69" i="59"/>
  <c r="I69" i="59"/>
  <c r="J69" i="59"/>
  <c r="K69" i="59"/>
  <c r="L69" i="59"/>
  <c r="M69" i="59"/>
  <c r="A70" i="59"/>
  <c r="C70" i="59"/>
  <c r="D70" i="59"/>
  <c r="E70" i="59"/>
  <c r="F70" i="59"/>
  <c r="G70" i="59"/>
  <c r="H70" i="59"/>
  <c r="I70" i="59"/>
  <c r="J70" i="59"/>
  <c r="K70" i="59"/>
  <c r="L70" i="59"/>
  <c r="M70" i="59"/>
  <c r="A71" i="59"/>
  <c r="C71" i="59"/>
  <c r="D71" i="59"/>
  <c r="E71" i="59"/>
  <c r="F71" i="59"/>
  <c r="G71" i="59"/>
  <c r="H71" i="59"/>
  <c r="I71" i="59"/>
  <c r="J71" i="59"/>
  <c r="K71" i="59"/>
  <c r="L71" i="59"/>
  <c r="M71" i="59"/>
  <c r="A72" i="59"/>
  <c r="C72" i="59"/>
  <c r="D72" i="59"/>
  <c r="E72" i="59"/>
  <c r="F72" i="59"/>
  <c r="G72" i="59"/>
  <c r="H72" i="59"/>
  <c r="I72" i="59"/>
  <c r="J72" i="59"/>
  <c r="K72" i="59"/>
  <c r="L72" i="59"/>
  <c r="M72" i="59"/>
  <c r="A73" i="59"/>
  <c r="C73" i="59"/>
  <c r="D73" i="59"/>
  <c r="E73" i="59"/>
  <c r="F73" i="59"/>
  <c r="G73" i="59"/>
  <c r="H73" i="59"/>
  <c r="I73" i="59"/>
  <c r="J73" i="59"/>
  <c r="K73" i="59"/>
  <c r="L73" i="59"/>
  <c r="M73" i="59"/>
  <c r="A74" i="59"/>
  <c r="C74" i="59"/>
  <c r="D74" i="59"/>
  <c r="E74" i="59"/>
  <c r="F74" i="59"/>
  <c r="G74" i="59"/>
  <c r="H74" i="59"/>
  <c r="I74" i="59"/>
  <c r="J74" i="59"/>
  <c r="K74" i="59"/>
  <c r="L74" i="59"/>
  <c r="M74" i="59"/>
  <c r="A75" i="59"/>
  <c r="C75" i="59"/>
  <c r="D75" i="59"/>
  <c r="E75" i="59"/>
  <c r="F75" i="59"/>
  <c r="G75" i="59"/>
  <c r="H75" i="59"/>
  <c r="I75" i="59"/>
  <c r="J75" i="59"/>
  <c r="K75" i="59"/>
  <c r="L75" i="59"/>
  <c r="M75" i="59"/>
  <c r="A76" i="59"/>
  <c r="C76" i="59"/>
  <c r="D76" i="59"/>
  <c r="E76" i="59"/>
  <c r="F76" i="59"/>
  <c r="G76" i="59"/>
  <c r="H76" i="59"/>
  <c r="I76" i="59"/>
  <c r="J76" i="59"/>
  <c r="K76" i="59"/>
  <c r="L76" i="59"/>
  <c r="M76" i="59"/>
  <c r="A77" i="59"/>
  <c r="C77" i="59"/>
  <c r="D77" i="59"/>
  <c r="E77" i="59"/>
  <c r="F77" i="59"/>
  <c r="G77" i="59"/>
  <c r="H77" i="59"/>
  <c r="I77" i="59"/>
  <c r="J77" i="59"/>
  <c r="K77" i="59"/>
  <c r="L77" i="59"/>
  <c r="M77" i="59"/>
  <c r="A78" i="59"/>
  <c r="C78" i="59"/>
  <c r="D78" i="59"/>
  <c r="E78" i="59"/>
  <c r="F78" i="59"/>
  <c r="G78" i="59"/>
  <c r="H78" i="59"/>
  <c r="I78" i="59"/>
  <c r="J78" i="59"/>
  <c r="K78" i="59"/>
  <c r="L78" i="59"/>
  <c r="M78" i="59"/>
  <c r="A79" i="59"/>
  <c r="C79" i="59"/>
  <c r="D79" i="59"/>
  <c r="E79" i="59"/>
  <c r="F79" i="59"/>
  <c r="G79" i="59"/>
  <c r="H79" i="59"/>
  <c r="I79" i="59"/>
  <c r="J79" i="59"/>
  <c r="K79" i="59"/>
  <c r="L79" i="59"/>
  <c r="M79" i="59"/>
  <c r="A80" i="59"/>
  <c r="C80" i="59"/>
  <c r="D80" i="59"/>
  <c r="E80" i="59"/>
  <c r="F80" i="59"/>
  <c r="G80" i="59"/>
  <c r="H80" i="59"/>
  <c r="I80" i="59"/>
  <c r="J80" i="59"/>
  <c r="K80" i="59"/>
  <c r="L80" i="59"/>
  <c r="M80" i="59"/>
  <c r="A81" i="59"/>
  <c r="C81" i="59"/>
  <c r="D81" i="59"/>
  <c r="E81" i="59"/>
  <c r="F81" i="59"/>
  <c r="G81" i="59"/>
  <c r="H81" i="59"/>
  <c r="I81" i="59"/>
  <c r="J81" i="59"/>
  <c r="K81" i="59"/>
  <c r="L81" i="59"/>
  <c r="M81" i="59"/>
  <c r="A82" i="59"/>
  <c r="C82" i="59"/>
  <c r="D82" i="59"/>
  <c r="E82" i="59"/>
  <c r="F82" i="59"/>
  <c r="G82" i="59"/>
  <c r="H82" i="59"/>
  <c r="I82" i="59"/>
  <c r="J82" i="59"/>
  <c r="K82" i="59"/>
  <c r="L82" i="59"/>
  <c r="M82" i="59"/>
  <c r="A83" i="59"/>
  <c r="C83" i="59"/>
  <c r="D83" i="59"/>
  <c r="E83" i="59"/>
  <c r="F83" i="59"/>
  <c r="G83" i="59"/>
  <c r="H83" i="59"/>
  <c r="I83" i="59"/>
  <c r="J83" i="59"/>
  <c r="K83" i="59"/>
  <c r="L83" i="59"/>
  <c r="M83" i="59"/>
  <c r="A84" i="59"/>
  <c r="C84" i="59"/>
  <c r="D84" i="59"/>
  <c r="E84" i="59"/>
  <c r="F84" i="59"/>
  <c r="G84" i="59"/>
  <c r="H84" i="59"/>
  <c r="I84" i="59"/>
  <c r="J84" i="59"/>
  <c r="K84" i="59"/>
  <c r="L84" i="59"/>
  <c r="M84" i="59"/>
  <c r="A85" i="59"/>
  <c r="C85" i="59"/>
  <c r="D85" i="59"/>
  <c r="E85" i="59"/>
  <c r="F85" i="59"/>
  <c r="G85" i="59"/>
  <c r="H85" i="59"/>
  <c r="I85" i="59"/>
  <c r="J85" i="59"/>
  <c r="K85" i="59"/>
  <c r="L85" i="59"/>
  <c r="M85" i="59"/>
  <c r="A86" i="59"/>
  <c r="C86" i="59"/>
  <c r="D86" i="59"/>
  <c r="E86" i="59"/>
  <c r="F86" i="59"/>
  <c r="G86" i="59"/>
  <c r="H86" i="59"/>
  <c r="I86" i="59"/>
  <c r="J86" i="59"/>
  <c r="K86" i="59"/>
  <c r="L86" i="59"/>
  <c r="M86" i="59"/>
  <c r="A87" i="59"/>
  <c r="C87" i="59"/>
  <c r="D87" i="59"/>
  <c r="E87" i="59"/>
  <c r="F87" i="59"/>
  <c r="G87" i="59"/>
  <c r="H87" i="59"/>
  <c r="I87" i="59"/>
  <c r="J87" i="59"/>
  <c r="K87" i="59"/>
  <c r="L87" i="59"/>
  <c r="M87" i="59"/>
  <c r="A88" i="59"/>
  <c r="C88" i="59"/>
  <c r="D88" i="59"/>
  <c r="E88" i="59"/>
  <c r="F88" i="59"/>
  <c r="G88" i="59"/>
  <c r="H88" i="59"/>
  <c r="I88" i="59"/>
  <c r="J88" i="59"/>
  <c r="K88" i="59"/>
  <c r="L88" i="59"/>
  <c r="M88" i="59"/>
  <c r="A89" i="59"/>
  <c r="C89" i="59"/>
  <c r="D89" i="59"/>
  <c r="E89" i="59"/>
  <c r="F89" i="59"/>
  <c r="G89" i="59"/>
  <c r="H89" i="59"/>
  <c r="I89" i="59"/>
  <c r="J89" i="59"/>
  <c r="K89" i="59"/>
  <c r="L89" i="59"/>
  <c r="M89" i="59"/>
  <c r="A90" i="59"/>
  <c r="C90" i="59"/>
  <c r="D90" i="59"/>
  <c r="E90" i="59"/>
  <c r="F90" i="59"/>
  <c r="G90" i="59"/>
  <c r="H90" i="59"/>
  <c r="I90" i="59"/>
  <c r="J90" i="59"/>
  <c r="K90" i="59"/>
  <c r="L90" i="59"/>
  <c r="M90" i="59"/>
  <c r="A91" i="59"/>
  <c r="C91" i="59"/>
  <c r="D91" i="59"/>
  <c r="E91" i="59"/>
  <c r="F91" i="59"/>
  <c r="G91" i="59"/>
  <c r="H91" i="59"/>
  <c r="I91" i="59"/>
  <c r="J91" i="59"/>
  <c r="K91" i="59"/>
  <c r="L91" i="59"/>
  <c r="M91" i="59"/>
  <c r="A92" i="59"/>
  <c r="C92" i="59"/>
  <c r="D92" i="59"/>
  <c r="E92" i="59"/>
  <c r="F92" i="59"/>
  <c r="G92" i="59"/>
  <c r="H92" i="59"/>
  <c r="I92" i="59"/>
  <c r="J92" i="59"/>
  <c r="K92" i="59"/>
  <c r="L92" i="59"/>
  <c r="M92" i="59"/>
  <c r="A93" i="59"/>
  <c r="C93" i="59"/>
  <c r="D93" i="59"/>
  <c r="E93" i="59"/>
  <c r="F93" i="59"/>
  <c r="G93" i="59"/>
  <c r="H93" i="59"/>
  <c r="I93" i="59"/>
  <c r="J93" i="59"/>
  <c r="K93" i="59"/>
  <c r="L93" i="59"/>
  <c r="M93" i="59"/>
  <c r="A94" i="59"/>
  <c r="C94" i="59"/>
  <c r="D94" i="59"/>
  <c r="E94" i="59"/>
  <c r="F94" i="59"/>
  <c r="G94" i="59"/>
  <c r="H94" i="59"/>
  <c r="I94" i="59"/>
  <c r="J94" i="59"/>
  <c r="K94" i="59"/>
  <c r="L94" i="59"/>
  <c r="M94" i="59"/>
  <c r="A95" i="59"/>
  <c r="C95" i="59"/>
  <c r="D95" i="59"/>
  <c r="E95" i="59"/>
  <c r="F95" i="59"/>
  <c r="G95" i="59"/>
  <c r="H95" i="59"/>
  <c r="I95" i="59"/>
  <c r="J95" i="59"/>
  <c r="K95" i="59"/>
  <c r="L95" i="59"/>
  <c r="M95" i="59"/>
  <c r="A96" i="59"/>
  <c r="C96" i="59"/>
  <c r="D96" i="59"/>
  <c r="E96" i="59"/>
  <c r="F96" i="59"/>
  <c r="G96" i="59"/>
  <c r="H96" i="59"/>
  <c r="I96" i="59"/>
  <c r="J96" i="59"/>
  <c r="K96" i="59"/>
  <c r="L96" i="59"/>
  <c r="M96" i="59"/>
  <c r="A97" i="59"/>
  <c r="C97" i="59"/>
  <c r="D97" i="59"/>
  <c r="E97" i="59"/>
  <c r="F97" i="59"/>
  <c r="G97" i="59"/>
  <c r="H97" i="59"/>
  <c r="I97" i="59"/>
  <c r="J97" i="59"/>
  <c r="K97" i="59"/>
  <c r="L97" i="59"/>
  <c r="M97" i="59"/>
  <c r="A98" i="59"/>
  <c r="C98" i="59"/>
  <c r="D98" i="59"/>
  <c r="E98" i="59"/>
  <c r="F98" i="59"/>
  <c r="G98" i="59"/>
  <c r="H98" i="59"/>
  <c r="I98" i="59"/>
  <c r="J98" i="59"/>
  <c r="K98" i="59"/>
  <c r="L98" i="59"/>
  <c r="M98" i="59"/>
  <c r="A99" i="59"/>
  <c r="C99" i="59"/>
  <c r="D99" i="59"/>
  <c r="E99" i="59"/>
  <c r="F99" i="59"/>
  <c r="G99" i="59"/>
  <c r="H99" i="59"/>
  <c r="I99" i="59"/>
  <c r="J99" i="59"/>
  <c r="K99" i="59"/>
  <c r="L99" i="59"/>
  <c r="M99" i="59"/>
  <c r="A100" i="59"/>
  <c r="C100" i="59"/>
  <c r="D100" i="59"/>
  <c r="E100" i="59"/>
  <c r="F100" i="59"/>
  <c r="G100" i="59"/>
  <c r="H100" i="59"/>
  <c r="I100" i="59"/>
  <c r="J100" i="59"/>
  <c r="K100" i="59"/>
  <c r="L100" i="59"/>
  <c r="M100" i="59"/>
  <c r="A101" i="59"/>
  <c r="C101" i="59"/>
  <c r="D101" i="59"/>
  <c r="E101" i="59"/>
  <c r="F101" i="59"/>
  <c r="G101" i="59"/>
  <c r="H101" i="59"/>
  <c r="I101" i="59"/>
  <c r="J101" i="59"/>
  <c r="K101" i="59"/>
  <c r="L101" i="59"/>
  <c r="M101" i="59"/>
  <c r="A102" i="59"/>
  <c r="C102" i="59"/>
  <c r="D102" i="59"/>
  <c r="E102" i="59"/>
  <c r="F102" i="59"/>
  <c r="G102" i="59"/>
  <c r="H102" i="59"/>
  <c r="I102" i="59"/>
  <c r="J102" i="59"/>
  <c r="K102" i="59"/>
  <c r="L102" i="59"/>
  <c r="M102" i="59"/>
  <c r="A103" i="59"/>
  <c r="C103" i="59"/>
  <c r="D103" i="59"/>
  <c r="E103" i="59"/>
  <c r="F103" i="59"/>
  <c r="G103" i="59"/>
  <c r="H103" i="59"/>
  <c r="I103" i="59"/>
  <c r="J103" i="59"/>
  <c r="K103" i="59"/>
  <c r="L103" i="59"/>
  <c r="M103" i="59"/>
  <c r="A104" i="59"/>
  <c r="C104" i="59"/>
  <c r="D104" i="59"/>
  <c r="E104" i="59"/>
  <c r="F104" i="59"/>
  <c r="G104" i="59"/>
  <c r="H104" i="59"/>
  <c r="I104" i="59"/>
  <c r="J104" i="59"/>
  <c r="K104" i="59"/>
  <c r="L104" i="59"/>
  <c r="M104" i="59"/>
  <c r="A105" i="59"/>
  <c r="C105" i="59"/>
  <c r="D105" i="59"/>
  <c r="E105" i="59"/>
  <c r="F105" i="59"/>
  <c r="G105" i="59"/>
  <c r="H105" i="59"/>
  <c r="I105" i="59"/>
  <c r="J105" i="59"/>
  <c r="K105" i="59"/>
  <c r="L105" i="59"/>
  <c r="M105" i="59"/>
  <c r="A106" i="59"/>
  <c r="C106" i="59"/>
  <c r="D106" i="59"/>
  <c r="E106" i="59"/>
  <c r="F106" i="59"/>
  <c r="G106" i="59"/>
  <c r="H106" i="59"/>
  <c r="I106" i="59"/>
  <c r="J106" i="59"/>
  <c r="K106" i="59"/>
  <c r="L106" i="59"/>
  <c r="M106" i="59"/>
  <c r="A107" i="59"/>
  <c r="C107" i="59"/>
  <c r="D107" i="59"/>
  <c r="E107" i="59"/>
  <c r="F107" i="59"/>
  <c r="G107" i="59"/>
  <c r="H107" i="59"/>
  <c r="I107" i="59"/>
  <c r="J107" i="59"/>
  <c r="K107" i="59"/>
  <c r="L107" i="59"/>
  <c r="M107" i="59"/>
  <c r="A108" i="59"/>
  <c r="C108" i="59"/>
  <c r="D108" i="59"/>
  <c r="E108" i="59"/>
  <c r="F108" i="59"/>
  <c r="G108" i="59"/>
  <c r="H108" i="59"/>
  <c r="I108" i="59"/>
  <c r="J108" i="59"/>
  <c r="K108" i="59"/>
  <c r="L108" i="59"/>
  <c r="M108" i="59"/>
  <c r="A109" i="59"/>
  <c r="C109" i="59"/>
  <c r="D109" i="59"/>
  <c r="E109" i="59"/>
  <c r="F109" i="59"/>
  <c r="G109" i="59"/>
  <c r="H109" i="59"/>
  <c r="I109" i="59"/>
  <c r="J109" i="59"/>
  <c r="K109" i="59"/>
  <c r="L109" i="59"/>
  <c r="M109" i="59"/>
  <c r="A110" i="59"/>
  <c r="C110" i="59"/>
  <c r="D110" i="59"/>
  <c r="E110" i="59"/>
  <c r="F110" i="59"/>
  <c r="G110" i="59"/>
  <c r="H110" i="59"/>
  <c r="I110" i="59"/>
  <c r="J110" i="59"/>
  <c r="K110" i="59"/>
  <c r="L110" i="59"/>
  <c r="M110" i="59"/>
  <c r="A111" i="59"/>
  <c r="C111" i="59"/>
  <c r="D111" i="59"/>
  <c r="E111" i="59"/>
  <c r="F111" i="59"/>
  <c r="G111" i="59"/>
  <c r="H111" i="59"/>
  <c r="I111" i="59"/>
  <c r="J111" i="59"/>
  <c r="K111" i="59"/>
  <c r="L111" i="59"/>
  <c r="M111" i="59"/>
  <c r="A112" i="59"/>
  <c r="C112" i="59"/>
  <c r="D112" i="59"/>
  <c r="E112" i="59"/>
  <c r="F112" i="59"/>
  <c r="G112" i="59"/>
  <c r="H112" i="59"/>
  <c r="I112" i="59"/>
  <c r="J112" i="59"/>
  <c r="K112" i="59"/>
  <c r="L112" i="59"/>
  <c r="M112" i="59"/>
  <c r="A113" i="59"/>
  <c r="C113" i="59"/>
  <c r="D113" i="59"/>
  <c r="E113" i="59"/>
  <c r="F113" i="59"/>
  <c r="G113" i="59"/>
  <c r="H113" i="59"/>
  <c r="I113" i="59"/>
  <c r="J113" i="59"/>
  <c r="K113" i="59"/>
  <c r="L113" i="59"/>
  <c r="M113" i="59"/>
  <c r="A114" i="59"/>
  <c r="C114" i="59"/>
  <c r="D114" i="59"/>
  <c r="E114" i="59"/>
  <c r="F114" i="59"/>
  <c r="G114" i="59"/>
  <c r="H114" i="59"/>
  <c r="I114" i="59"/>
  <c r="J114" i="59"/>
  <c r="K114" i="59"/>
  <c r="L114" i="59"/>
  <c r="M114" i="59"/>
  <c r="A115" i="59"/>
  <c r="C115" i="59"/>
  <c r="D115" i="59"/>
  <c r="E115" i="59"/>
  <c r="F115" i="59"/>
  <c r="G115" i="59"/>
  <c r="H115" i="59"/>
  <c r="I115" i="59"/>
  <c r="J115" i="59"/>
  <c r="K115" i="59"/>
  <c r="L115" i="59"/>
  <c r="M115" i="59"/>
  <c r="A116" i="59"/>
  <c r="C116" i="59"/>
  <c r="D116" i="59"/>
  <c r="E116" i="59"/>
  <c r="F116" i="59"/>
  <c r="G116" i="59"/>
  <c r="H116" i="59"/>
  <c r="I116" i="59"/>
  <c r="J116" i="59"/>
  <c r="K116" i="59"/>
  <c r="L116" i="59"/>
  <c r="M116" i="59"/>
  <c r="A117" i="59"/>
  <c r="C117" i="59"/>
  <c r="D117" i="59"/>
  <c r="E117" i="59"/>
  <c r="F117" i="59"/>
  <c r="G117" i="59"/>
  <c r="H117" i="59"/>
  <c r="I117" i="59"/>
  <c r="J117" i="59"/>
  <c r="K117" i="59"/>
  <c r="L117" i="59"/>
  <c r="M117" i="59"/>
  <c r="A118" i="59"/>
  <c r="C118" i="59"/>
  <c r="D118" i="59"/>
  <c r="E118" i="59"/>
  <c r="F118" i="59"/>
  <c r="G118" i="59"/>
  <c r="H118" i="59"/>
  <c r="I118" i="59"/>
  <c r="J118" i="59"/>
  <c r="K118" i="59"/>
  <c r="L118" i="59"/>
  <c r="M118" i="59"/>
  <c r="A119" i="59"/>
  <c r="C119" i="59"/>
  <c r="D119" i="59"/>
  <c r="E119" i="59"/>
  <c r="F119" i="59"/>
  <c r="G119" i="59"/>
  <c r="H119" i="59"/>
  <c r="I119" i="59"/>
  <c r="J119" i="59"/>
  <c r="K119" i="59"/>
  <c r="L119" i="59"/>
  <c r="M119" i="59"/>
  <c r="A120" i="59"/>
  <c r="C120" i="59"/>
  <c r="D120" i="59"/>
  <c r="E120" i="59"/>
  <c r="F120" i="59"/>
  <c r="G120" i="59"/>
  <c r="H120" i="59"/>
  <c r="I120" i="59"/>
  <c r="J120" i="59"/>
  <c r="K120" i="59"/>
  <c r="L120" i="59"/>
  <c r="M120" i="59"/>
  <c r="A121" i="59"/>
  <c r="C121" i="59"/>
  <c r="D121" i="59"/>
  <c r="E121" i="59"/>
  <c r="F121" i="59"/>
  <c r="G121" i="59"/>
  <c r="H121" i="59"/>
  <c r="I121" i="59"/>
  <c r="J121" i="59"/>
  <c r="K121" i="59"/>
  <c r="L121" i="59"/>
  <c r="M121" i="59"/>
  <c r="A122" i="59"/>
  <c r="C122" i="59"/>
  <c r="D122" i="59"/>
  <c r="E122" i="59"/>
  <c r="F122" i="59"/>
  <c r="G122" i="59"/>
  <c r="H122" i="59"/>
  <c r="I122" i="59"/>
  <c r="J122" i="59"/>
  <c r="K122" i="59"/>
  <c r="L122" i="59"/>
  <c r="M122" i="59"/>
  <c r="A123" i="59"/>
  <c r="C123" i="59"/>
  <c r="D123" i="59"/>
  <c r="E123" i="59"/>
  <c r="F123" i="59"/>
  <c r="G123" i="59"/>
  <c r="H123" i="59"/>
  <c r="I123" i="59"/>
  <c r="J123" i="59"/>
  <c r="K123" i="59"/>
  <c r="L123" i="59"/>
  <c r="M123" i="59"/>
  <c r="A124" i="59"/>
  <c r="C124" i="59"/>
  <c r="D124" i="59"/>
  <c r="E124" i="59"/>
  <c r="F124" i="59"/>
  <c r="G124" i="59"/>
  <c r="H124" i="59"/>
  <c r="I124" i="59"/>
  <c r="J124" i="59"/>
  <c r="K124" i="59"/>
  <c r="L124" i="59"/>
  <c r="M124" i="59"/>
  <c r="A125" i="59"/>
  <c r="C125" i="59"/>
  <c r="D125" i="59"/>
  <c r="E125" i="59"/>
  <c r="F125" i="59"/>
  <c r="G125" i="59"/>
  <c r="H125" i="59"/>
  <c r="I125" i="59"/>
  <c r="J125" i="59"/>
  <c r="K125" i="59"/>
  <c r="L125" i="59"/>
  <c r="M125" i="59"/>
  <c r="A126" i="59"/>
  <c r="C126" i="59"/>
  <c r="D126" i="59"/>
  <c r="E126" i="59"/>
  <c r="F126" i="59"/>
  <c r="G126" i="59"/>
  <c r="H126" i="59"/>
  <c r="I126" i="59"/>
  <c r="J126" i="59"/>
  <c r="K126" i="59"/>
  <c r="L126" i="59"/>
  <c r="M126" i="59"/>
  <c r="A127" i="59"/>
  <c r="C127" i="59"/>
  <c r="D127" i="59"/>
  <c r="E127" i="59"/>
  <c r="F127" i="59"/>
  <c r="G127" i="59"/>
  <c r="H127" i="59"/>
  <c r="I127" i="59"/>
  <c r="J127" i="59"/>
  <c r="K127" i="59"/>
  <c r="L127" i="59"/>
  <c r="M127" i="59"/>
  <c r="A128" i="59"/>
  <c r="C128" i="59"/>
  <c r="D128" i="59"/>
  <c r="E128" i="59"/>
  <c r="F128" i="59"/>
  <c r="G128" i="59"/>
  <c r="H128" i="59"/>
  <c r="I128" i="59"/>
  <c r="J128" i="59"/>
  <c r="K128" i="59"/>
  <c r="L128" i="59"/>
  <c r="M128" i="59"/>
  <c r="A129" i="59"/>
  <c r="C129" i="59"/>
  <c r="D129" i="59"/>
  <c r="E129" i="59"/>
  <c r="F129" i="59"/>
  <c r="G129" i="59"/>
  <c r="H129" i="59"/>
  <c r="I129" i="59"/>
  <c r="J129" i="59"/>
  <c r="K129" i="59"/>
  <c r="L129" i="59"/>
  <c r="M129" i="59"/>
  <c r="A130" i="59"/>
  <c r="C130" i="59"/>
  <c r="D130" i="59"/>
  <c r="E130" i="59"/>
  <c r="F130" i="59"/>
  <c r="G130" i="59"/>
  <c r="H130" i="59"/>
  <c r="I130" i="59"/>
  <c r="J130" i="59"/>
  <c r="K130" i="59"/>
  <c r="L130" i="59"/>
  <c r="M130" i="59"/>
  <c r="A131" i="59"/>
  <c r="C131" i="59"/>
  <c r="D131" i="59"/>
  <c r="E131" i="59"/>
  <c r="F131" i="59"/>
  <c r="G131" i="59"/>
  <c r="H131" i="59"/>
  <c r="I131" i="59"/>
  <c r="J131" i="59"/>
  <c r="K131" i="59"/>
  <c r="L131" i="59"/>
  <c r="M131" i="59"/>
  <c r="A132" i="59"/>
  <c r="C132" i="59"/>
  <c r="D132" i="59"/>
  <c r="E132" i="59"/>
  <c r="F132" i="59"/>
  <c r="G132" i="59"/>
  <c r="H132" i="59"/>
  <c r="I132" i="59"/>
  <c r="J132" i="59"/>
  <c r="K132" i="59"/>
  <c r="L132" i="59"/>
  <c r="M132" i="59"/>
  <c r="A133" i="59"/>
  <c r="C133" i="59"/>
  <c r="D133" i="59"/>
  <c r="E133" i="59"/>
  <c r="F133" i="59"/>
  <c r="G133" i="59"/>
  <c r="H133" i="59"/>
  <c r="I133" i="59"/>
  <c r="J133" i="59"/>
  <c r="K133" i="59"/>
  <c r="L133" i="59"/>
  <c r="M133" i="59"/>
  <c r="A134" i="59"/>
  <c r="C134" i="59"/>
  <c r="D134" i="59"/>
  <c r="E134" i="59"/>
  <c r="F134" i="59"/>
  <c r="G134" i="59"/>
  <c r="H134" i="59"/>
  <c r="I134" i="59"/>
  <c r="J134" i="59"/>
  <c r="K134" i="59"/>
  <c r="L134" i="59"/>
  <c r="M134" i="59"/>
  <c r="A135" i="59"/>
  <c r="C135" i="59"/>
  <c r="D135" i="59"/>
  <c r="E135" i="59"/>
  <c r="F135" i="59"/>
  <c r="G135" i="59"/>
  <c r="H135" i="59"/>
  <c r="I135" i="59"/>
  <c r="J135" i="59"/>
  <c r="K135" i="59"/>
  <c r="L135" i="59"/>
  <c r="M135" i="59"/>
  <c r="A136" i="59"/>
  <c r="C136" i="59"/>
  <c r="D136" i="59"/>
  <c r="E136" i="59"/>
  <c r="F136" i="59"/>
  <c r="G136" i="59"/>
  <c r="H136" i="59"/>
  <c r="I136" i="59"/>
  <c r="J136" i="59"/>
  <c r="K136" i="59"/>
  <c r="L136" i="59"/>
  <c r="M136" i="59"/>
  <c r="A137" i="59"/>
  <c r="C137" i="59"/>
  <c r="D137" i="59"/>
  <c r="E137" i="59"/>
  <c r="F137" i="59"/>
  <c r="G137" i="59"/>
  <c r="H137" i="59"/>
  <c r="I137" i="59"/>
  <c r="J137" i="59"/>
  <c r="K137" i="59"/>
  <c r="L137" i="59"/>
  <c r="M137" i="59"/>
  <c r="A138" i="59"/>
  <c r="C138" i="59"/>
  <c r="D138" i="59"/>
  <c r="E138" i="59"/>
  <c r="F138" i="59"/>
  <c r="G138" i="59"/>
  <c r="H138" i="59"/>
  <c r="I138" i="59"/>
  <c r="J138" i="59"/>
  <c r="K138" i="59"/>
  <c r="L138" i="59"/>
  <c r="M138" i="59"/>
  <c r="A139" i="59"/>
  <c r="C139" i="59"/>
  <c r="D139" i="59"/>
  <c r="E139" i="59"/>
  <c r="F139" i="59"/>
  <c r="G139" i="59"/>
  <c r="H139" i="59"/>
  <c r="I139" i="59"/>
  <c r="J139" i="59"/>
  <c r="K139" i="59"/>
  <c r="L139" i="59"/>
  <c r="M139" i="59"/>
  <c r="A140" i="59"/>
  <c r="C140" i="59"/>
  <c r="D140" i="59"/>
  <c r="E140" i="59"/>
  <c r="F140" i="59"/>
  <c r="G140" i="59"/>
  <c r="H140" i="59"/>
  <c r="I140" i="59"/>
  <c r="J140" i="59"/>
  <c r="K140" i="59"/>
  <c r="L140" i="59"/>
  <c r="M140" i="59"/>
  <c r="A141" i="59"/>
  <c r="C141" i="59"/>
  <c r="D141" i="59"/>
  <c r="E141" i="59"/>
  <c r="F141" i="59"/>
  <c r="G141" i="59"/>
  <c r="H141" i="59"/>
  <c r="I141" i="59"/>
  <c r="J141" i="59"/>
  <c r="K141" i="59"/>
  <c r="L141" i="59"/>
  <c r="M141" i="59"/>
  <c r="A142" i="59"/>
  <c r="C142" i="59"/>
  <c r="D142" i="59"/>
  <c r="E142" i="59"/>
  <c r="F142" i="59"/>
  <c r="G142" i="59"/>
  <c r="H142" i="59"/>
  <c r="I142" i="59"/>
  <c r="J142" i="59"/>
  <c r="K142" i="59"/>
  <c r="L142" i="59"/>
  <c r="M142" i="59"/>
  <c r="A143" i="59"/>
  <c r="C143" i="59"/>
  <c r="D143" i="59"/>
  <c r="E143" i="59"/>
  <c r="F143" i="59"/>
  <c r="G143" i="59"/>
  <c r="H143" i="59"/>
  <c r="I143" i="59"/>
  <c r="J143" i="59"/>
  <c r="K143" i="59"/>
  <c r="L143" i="59"/>
  <c r="M143" i="59"/>
  <c r="A144" i="59"/>
  <c r="C144" i="59"/>
  <c r="D144" i="59"/>
  <c r="E144" i="59"/>
  <c r="F144" i="59"/>
  <c r="G144" i="59"/>
  <c r="H144" i="59"/>
  <c r="I144" i="59"/>
  <c r="J144" i="59"/>
  <c r="K144" i="59"/>
  <c r="L144" i="59"/>
  <c r="M144" i="59"/>
  <c r="A145" i="59"/>
  <c r="C145" i="59"/>
  <c r="D145" i="59"/>
  <c r="E145" i="59"/>
  <c r="F145" i="59"/>
  <c r="G145" i="59"/>
  <c r="H145" i="59"/>
  <c r="I145" i="59"/>
  <c r="J145" i="59"/>
  <c r="K145" i="59"/>
  <c r="L145" i="59"/>
  <c r="M145" i="59"/>
  <c r="A146" i="59"/>
  <c r="C146" i="59"/>
  <c r="D146" i="59"/>
  <c r="E146" i="59"/>
  <c r="F146" i="59"/>
  <c r="G146" i="59"/>
  <c r="H146" i="59"/>
  <c r="I146" i="59"/>
  <c r="J146" i="59"/>
  <c r="K146" i="59"/>
  <c r="L146" i="59"/>
  <c r="M146" i="59"/>
  <c r="A147" i="59"/>
  <c r="C147" i="59"/>
  <c r="D147" i="59"/>
  <c r="E147" i="59"/>
  <c r="F147" i="59"/>
  <c r="G147" i="59"/>
  <c r="H147" i="59"/>
  <c r="I147" i="59"/>
  <c r="J147" i="59"/>
  <c r="K147" i="59"/>
  <c r="L147" i="59"/>
  <c r="M147" i="59"/>
  <c r="A148" i="59"/>
  <c r="C148" i="59"/>
  <c r="D148" i="59"/>
  <c r="E148" i="59"/>
  <c r="F148" i="59"/>
  <c r="G148" i="59"/>
  <c r="H148" i="59"/>
  <c r="I148" i="59"/>
  <c r="J148" i="59"/>
  <c r="K148" i="59"/>
  <c r="L148" i="59"/>
  <c r="M148" i="59"/>
  <c r="A149" i="59"/>
  <c r="C149" i="59"/>
  <c r="D149" i="59"/>
  <c r="E149" i="59"/>
  <c r="F149" i="59"/>
  <c r="G149" i="59"/>
  <c r="H149" i="59"/>
  <c r="I149" i="59"/>
  <c r="J149" i="59"/>
  <c r="K149" i="59"/>
  <c r="L149" i="59"/>
  <c r="M149" i="59"/>
  <c r="A150" i="59"/>
  <c r="C150" i="59"/>
  <c r="D150" i="59"/>
  <c r="E150" i="59"/>
  <c r="F150" i="59"/>
  <c r="G150" i="59"/>
  <c r="H150" i="59"/>
  <c r="I150" i="59"/>
  <c r="J150" i="59"/>
  <c r="K150" i="59"/>
  <c r="L150" i="59"/>
  <c r="M150" i="59"/>
  <c r="A151" i="59"/>
  <c r="C151" i="59"/>
  <c r="D151" i="59"/>
  <c r="E151" i="59"/>
  <c r="F151" i="59"/>
  <c r="G151" i="59"/>
  <c r="H151" i="59"/>
  <c r="I151" i="59"/>
  <c r="J151" i="59"/>
  <c r="K151" i="59"/>
  <c r="L151" i="59"/>
  <c r="M151" i="59"/>
  <c r="A152" i="59"/>
  <c r="C152" i="59"/>
  <c r="D152" i="59"/>
  <c r="E152" i="59"/>
  <c r="F152" i="59"/>
  <c r="G152" i="59"/>
  <c r="H152" i="59"/>
  <c r="I152" i="59"/>
  <c r="J152" i="59"/>
  <c r="K152" i="59"/>
  <c r="L152" i="59"/>
  <c r="M152" i="59"/>
  <c r="A153" i="59"/>
  <c r="C153" i="59"/>
  <c r="D153" i="59"/>
  <c r="E153" i="59"/>
  <c r="F153" i="59"/>
  <c r="G153" i="59"/>
  <c r="H153" i="59"/>
  <c r="I153" i="59"/>
  <c r="J153" i="59"/>
  <c r="K153" i="59"/>
  <c r="L153" i="59"/>
  <c r="M153" i="59"/>
  <c r="A154" i="59"/>
  <c r="C154" i="59"/>
  <c r="D154" i="59"/>
  <c r="E154" i="59"/>
  <c r="F154" i="59"/>
  <c r="G154" i="59"/>
  <c r="H154" i="59"/>
  <c r="I154" i="59"/>
  <c r="J154" i="59"/>
  <c r="K154" i="59"/>
  <c r="L154" i="59"/>
  <c r="M154" i="59"/>
  <c r="A155" i="59"/>
  <c r="C155" i="59"/>
  <c r="D155" i="59"/>
  <c r="E155" i="59"/>
  <c r="F155" i="59"/>
  <c r="G155" i="59"/>
  <c r="H155" i="59"/>
  <c r="I155" i="59"/>
  <c r="J155" i="59"/>
  <c r="K155" i="59"/>
  <c r="L155" i="59"/>
  <c r="M155" i="59"/>
  <c r="A156" i="59"/>
  <c r="C156" i="59"/>
  <c r="D156" i="59"/>
  <c r="E156" i="59"/>
  <c r="F156" i="59"/>
  <c r="G156" i="59"/>
  <c r="H156" i="59"/>
  <c r="I156" i="59"/>
  <c r="J156" i="59"/>
  <c r="K156" i="59"/>
  <c r="L156" i="59"/>
  <c r="M156" i="59"/>
  <c r="A157" i="59"/>
  <c r="C157" i="59"/>
  <c r="D157" i="59"/>
  <c r="E157" i="59"/>
  <c r="F157" i="59"/>
  <c r="G157" i="59"/>
  <c r="H157" i="59"/>
  <c r="I157" i="59"/>
  <c r="J157" i="59"/>
  <c r="K157" i="59"/>
  <c r="L157" i="59"/>
  <c r="M157" i="59"/>
  <c r="A158" i="59"/>
  <c r="C158" i="59"/>
  <c r="D158" i="59"/>
  <c r="E158" i="59"/>
  <c r="F158" i="59"/>
  <c r="G158" i="59"/>
  <c r="H158" i="59"/>
  <c r="I158" i="59"/>
  <c r="J158" i="59"/>
  <c r="K158" i="59"/>
  <c r="L158" i="59"/>
  <c r="M158" i="59"/>
  <c r="A159" i="59"/>
  <c r="C159" i="59"/>
  <c r="D159" i="59"/>
  <c r="E159" i="59"/>
  <c r="F159" i="59"/>
  <c r="G159" i="59"/>
  <c r="H159" i="59"/>
  <c r="I159" i="59"/>
  <c r="J159" i="59"/>
  <c r="K159" i="59"/>
  <c r="L159" i="59"/>
  <c r="M159" i="59"/>
  <c r="A160" i="59"/>
  <c r="C160" i="59"/>
  <c r="D160" i="59"/>
  <c r="E160" i="59"/>
  <c r="F160" i="59"/>
  <c r="G160" i="59"/>
  <c r="H160" i="59"/>
  <c r="I160" i="59"/>
  <c r="J160" i="59"/>
  <c r="K160" i="59"/>
  <c r="L160" i="59"/>
  <c r="M160" i="59"/>
  <c r="A161" i="59"/>
  <c r="C161" i="59"/>
  <c r="D161" i="59"/>
  <c r="E161" i="59"/>
  <c r="F161" i="59"/>
  <c r="G161" i="59"/>
  <c r="H161" i="59"/>
  <c r="I161" i="59"/>
  <c r="J161" i="59"/>
  <c r="K161" i="59"/>
  <c r="L161" i="59"/>
  <c r="M161" i="59"/>
  <c r="A162" i="59"/>
  <c r="C162" i="59"/>
  <c r="D162" i="59"/>
  <c r="E162" i="59"/>
  <c r="F162" i="59"/>
  <c r="G162" i="59"/>
  <c r="H162" i="59"/>
  <c r="I162" i="59"/>
  <c r="J162" i="59"/>
  <c r="K162" i="59"/>
  <c r="L162" i="59"/>
  <c r="M162" i="59"/>
  <c r="A163" i="59"/>
  <c r="C163" i="59"/>
  <c r="D163" i="59"/>
  <c r="E163" i="59"/>
  <c r="F163" i="59"/>
  <c r="G163" i="59"/>
  <c r="H163" i="59"/>
  <c r="I163" i="59"/>
  <c r="J163" i="59"/>
  <c r="K163" i="59"/>
  <c r="L163" i="59"/>
  <c r="M163" i="59"/>
  <c r="A164" i="59"/>
  <c r="C164" i="59"/>
  <c r="D164" i="59"/>
  <c r="E164" i="59"/>
  <c r="F164" i="59"/>
  <c r="G164" i="59"/>
  <c r="H164" i="59"/>
  <c r="I164" i="59"/>
  <c r="J164" i="59"/>
  <c r="K164" i="59"/>
  <c r="L164" i="59"/>
  <c r="M164" i="59"/>
  <c r="A165" i="59"/>
  <c r="C165" i="59"/>
  <c r="D165" i="59"/>
  <c r="E165" i="59"/>
  <c r="F165" i="59"/>
  <c r="G165" i="59"/>
  <c r="H165" i="59"/>
  <c r="I165" i="59"/>
  <c r="J165" i="59"/>
  <c r="K165" i="59"/>
  <c r="L165" i="59"/>
  <c r="M165" i="59"/>
  <c r="A166" i="59"/>
  <c r="C166" i="59"/>
  <c r="D166" i="59"/>
  <c r="E166" i="59"/>
  <c r="F166" i="59"/>
  <c r="G166" i="59"/>
  <c r="H166" i="59"/>
  <c r="I166" i="59"/>
  <c r="J166" i="59"/>
  <c r="K166" i="59"/>
  <c r="L166" i="59"/>
  <c r="M166" i="59"/>
  <c r="A167" i="59"/>
  <c r="C167" i="59"/>
  <c r="D167" i="59"/>
  <c r="E167" i="59"/>
  <c r="F167" i="59"/>
  <c r="G167" i="59"/>
  <c r="H167" i="59"/>
  <c r="I167" i="59"/>
  <c r="J167" i="59"/>
  <c r="K167" i="59"/>
  <c r="L167" i="59"/>
  <c r="M167" i="59"/>
  <c r="A168" i="59"/>
  <c r="C168" i="59"/>
  <c r="D168" i="59"/>
  <c r="E168" i="59"/>
  <c r="F168" i="59"/>
  <c r="G168" i="59"/>
  <c r="H168" i="59"/>
  <c r="I168" i="59"/>
  <c r="J168" i="59"/>
  <c r="K168" i="59"/>
  <c r="L168" i="59"/>
  <c r="M168" i="59"/>
  <c r="A169" i="59"/>
  <c r="C169" i="59"/>
  <c r="D169" i="59"/>
  <c r="E169" i="59"/>
  <c r="F169" i="59"/>
  <c r="G169" i="59"/>
  <c r="H169" i="59"/>
  <c r="I169" i="59"/>
  <c r="J169" i="59"/>
  <c r="K169" i="59"/>
  <c r="L169" i="59"/>
  <c r="M169" i="59"/>
  <c r="A170" i="59"/>
  <c r="C170" i="59"/>
  <c r="D170" i="59"/>
  <c r="E170" i="59"/>
  <c r="F170" i="59"/>
  <c r="G170" i="59"/>
  <c r="H170" i="59"/>
  <c r="I170" i="59"/>
  <c r="J170" i="59"/>
  <c r="K170" i="59"/>
  <c r="L170" i="59"/>
  <c r="M170" i="59"/>
  <c r="A171" i="59"/>
  <c r="C171" i="59"/>
  <c r="D171" i="59"/>
  <c r="E171" i="59"/>
  <c r="F171" i="59"/>
  <c r="G171" i="59"/>
  <c r="H171" i="59"/>
  <c r="I171" i="59"/>
  <c r="J171" i="59"/>
  <c r="K171" i="59"/>
  <c r="L171" i="59"/>
  <c r="M171" i="59"/>
  <c r="A172" i="59"/>
  <c r="C172" i="59"/>
  <c r="D172" i="59"/>
  <c r="E172" i="59"/>
  <c r="F172" i="59"/>
  <c r="G172" i="59"/>
  <c r="H172" i="59"/>
  <c r="I172" i="59"/>
  <c r="J172" i="59"/>
  <c r="K172" i="59"/>
  <c r="L172" i="59"/>
  <c r="M172" i="59"/>
  <c r="A173" i="59"/>
  <c r="C173" i="59"/>
  <c r="D173" i="59"/>
  <c r="E173" i="59"/>
  <c r="F173" i="59"/>
  <c r="G173" i="59"/>
  <c r="H173" i="59"/>
  <c r="I173" i="59"/>
  <c r="J173" i="59"/>
  <c r="K173" i="59"/>
  <c r="L173" i="59"/>
  <c r="M173" i="59"/>
  <c r="A174" i="59"/>
  <c r="C174" i="59"/>
  <c r="D174" i="59"/>
  <c r="E174" i="59"/>
  <c r="F174" i="59"/>
  <c r="G174" i="59"/>
  <c r="H174" i="59"/>
  <c r="I174" i="59"/>
  <c r="J174" i="59"/>
  <c r="K174" i="59"/>
  <c r="L174" i="59"/>
  <c r="M174" i="59"/>
  <c r="A175" i="59"/>
  <c r="C175" i="59"/>
  <c r="D175" i="59"/>
  <c r="E175" i="59"/>
  <c r="F175" i="59"/>
  <c r="G175" i="59"/>
  <c r="H175" i="59"/>
  <c r="I175" i="59"/>
  <c r="J175" i="59"/>
  <c r="K175" i="59"/>
  <c r="L175" i="59"/>
  <c r="M175" i="59"/>
  <c r="A176" i="59"/>
  <c r="C176" i="59"/>
  <c r="D176" i="59"/>
  <c r="E176" i="59"/>
  <c r="F176" i="59"/>
  <c r="G176" i="59"/>
  <c r="H176" i="59"/>
  <c r="I176" i="59"/>
  <c r="J176" i="59"/>
  <c r="K176" i="59"/>
  <c r="L176" i="59"/>
  <c r="M176" i="59"/>
  <c r="A177" i="59"/>
  <c r="C177" i="59"/>
  <c r="D177" i="59"/>
  <c r="E177" i="59"/>
  <c r="F177" i="59"/>
  <c r="G177" i="59"/>
  <c r="H177" i="59"/>
  <c r="I177" i="59"/>
  <c r="J177" i="59"/>
  <c r="K177" i="59"/>
  <c r="L177" i="59"/>
  <c r="M177" i="59"/>
  <c r="A178" i="59"/>
  <c r="C178" i="59"/>
  <c r="D178" i="59"/>
  <c r="E178" i="59"/>
  <c r="F178" i="59"/>
  <c r="G178" i="59"/>
  <c r="H178" i="59"/>
  <c r="I178" i="59"/>
  <c r="J178" i="59"/>
  <c r="K178" i="59"/>
  <c r="L178" i="59"/>
  <c r="M178" i="59"/>
  <c r="A179" i="59"/>
  <c r="C179" i="59"/>
  <c r="D179" i="59"/>
  <c r="E179" i="59"/>
  <c r="F179" i="59"/>
  <c r="G179" i="59"/>
  <c r="H179" i="59"/>
  <c r="I179" i="59"/>
  <c r="J179" i="59"/>
  <c r="K179" i="59"/>
  <c r="L179" i="59"/>
  <c r="M179" i="59"/>
  <c r="A180" i="59"/>
  <c r="C180" i="59"/>
  <c r="D180" i="59"/>
  <c r="E180" i="59"/>
  <c r="F180" i="59"/>
  <c r="G180" i="59"/>
  <c r="H180" i="59"/>
  <c r="I180" i="59"/>
  <c r="J180" i="59"/>
  <c r="K180" i="59"/>
  <c r="L180" i="59"/>
  <c r="M180" i="59"/>
  <c r="A181" i="59"/>
  <c r="C181" i="59"/>
  <c r="D181" i="59"/>
  <c r="E181" i="59"/>
  <c r="F181" i="59"/>
  <c r="G181" i="59"/>
  <c r="H181" i="59"/>
  <c r="I181" i="59"/>
  <c r="J181" i="59"/>
  <c r="K181" i="59"/>
  <c r="L181" i="59"/>
  <c r="M181" i="59"/>
  <c r="A182" i="59"/>
  <c r="C182" i="59"/>
  <c r="D182" i="59"/>
  <c r="E182" i="59"/>
  <c r="F182" i="59"/>
  <c r="G182" i="59"/>
  <c r="H182" i="59"/>
  <c r="I182" i="59"/>
  <c r="J182" i="59"/>
  <c r="K182" i="59"/>
  <c r="L182" i="59"/>
  <c r="M182" i="59"/>
  <c r="A183" i="59"/>
  <c r="C183" i="59"/>
  <c r="D183" i="59"/>
  <c r="E183" i="59"/>
  <c r="F183" i="59"/>
  <c r="G183" i="59"/>
  <c r="H183" i="59"/>
  <c r="I183" i="59"/>
  <c r="J183" i="59"/>
  <c r="K183" i="59"/>
  <c r="L183" i="59"/>
  <c r="M183" i="59"/>
  <c r="A184" i="59"/>
  <c r="C184" i="59"/>
  <c r="D184" i="59"/>
  <c r="E184" i="59"/>
  <c r="F184" i="59"/>
  <c r="G184" i="59"/>
  <c r="H184" i="59"/>
  <c r="I184" i="59"/>
  <c r="J184" i="59"/>
  <c r="K184" i="59"/>
  <c r="L184" i="59"/>
  <c r="M184" i="59"/>
  <c r="A185" i="59"/>
  <c r="C185" i="59"/>
  <c r="D185" i="59"/>
  <c r="E185" i="59"/>
  <c r="F185" i="59"/>
  <c r="G185" i="59"/>
  <c r="H185" i="59"/>
  <c r="I185" i="59"/>
  <c r="J185" i="59"/>
  <c r="K185" i="59"/>
  <c r="L185" i="59"/>
  <c r="M185" i="59"/>
  <c r="A186" i="59"/>
  <c r="C186" i="59"/>
  <c r="D186" i="59"/>
  <c r="E186" i="59"/>
  <c r="F186" i="59"/>
  <c r="G186" i="59"/>
  <c r="H186" i="59"/>
  <c r="I186" i="59"/>
  <c r="J186" i="59"/>
  <c r="K186" i="59"/>
  <c r="L186" i="59"/>
  <c r="M186" i="59"/>
  <c r="A187" i="59"/>
  <c r="C187" i="59"/>
  <c r="D187" i="59"/>
  <c r="E187" i="59"/>
  <c r="F187" i="59"/>
  <c r="G187" i="59"/>
  <c r="H187" i="59"/>
  <c r="I187" i="59"/>
  <c r="J187" i="59"/>
  <c r="K187" i="59"/>
  <c r="L187" i="59"/>
  <c r="M187" i="59"/>
  <c r="A188" i="59"/>
  <c r="C188" i="59"/>
  <c r="D188" i="59"/>
  <c r="E188" i="59"/>
  <c r="F188" i="59"/>
  <c r="G188" i="59"/>
  <c r="H188" i="59"/>
  <c r="I188" i="59"/>
  <c r="J188" i="59"/>
  <c r="K188" i="59"/>
  <c r="L188" i="59"/>
  <c r="M188" i="59"/>
  <c r="A189" i="59"/>
  <c r="C189" i="59"/>
  <c r="D189" i="59"/>
  <c r="E189" i="59"/>
  <c r="F189" i="59"/>
  <c r="G189" i="59"/>
  <c r="H189" i="59"/>
  <c r="I189" i="59"/>
  <c r="J189" i="59"/>
  <c r="K189" i="59"/>
  <c r="L189" i="59"/>
  <c r="M189" i="59"/>
  <c r="A190" i="59"/>
  <c r="C190" i="59"/>
  <c r="D190" i="59"/>
  <c r="E190" i="59"/>
  <c r="F190" i="59"/>
  <c r="G190" i="59"/>
  <c r="H190" i="59"/>
  <c r="I190" i="59"/>
  <c r="J190" i="59"/>
  <c r="K190" i="59"/>
  <c r="L190" i="59"/>
  <c r="M190" i="59"/>
  <c r="A191" i="59"/>
  <c r="C191" i="59"/>
  <c r="D191" i="59"/>
  <c r="E191" i="59"/>
  <c r="F191" i="59"/>
  <c r="G191" i="59"/>
  <c r="H191" i="59"/>
  <c r="I191" i="59"/>
  <c r="J191" i="59"/>
  <c r="K191" i="59"/>
  <c r="L191" i="59"/>
  <c r="M191" i="59"/>
  <c r="A192" i="59"/>
  <c r="C192" i="59"/>
  <c r="D192" i="59"/>
  <c r="E192" i="59"/>
  <c r="F192" i="59"/>
  <c r="G192" i="59"/>
  <c r="H192" i="59"/>
  <c r="I192" i="59"/>
  <c r="J192" i="59"/>
  <c r="K192" i="59"/>
  <c r="L192" i="59"/>
  <c r="M192" i="59"/>
  <c r="A193" i="59"/>
  <c r="C193" i="59"/>
  <c r="D193" i="59"/>
  <c r="E193" i="59"/>
  <c r="F193" i="59"/>
  <c r="G193" i="59"/>
  <c r="H193" i="59"/>
  <c r="I193" i="59"/>
  <c r="J193" i="59"/>
  <c r="K193" i="59"/>
  <c r="L193" i="59"/>
  <c r="M193" i="59"/>
  <c r="A194" i="59"/>
  <c r="C194" i="59"/>
  <c r="D194" i="59"/>
  <c r="E194" i="59"/>
  <c r="F194" i="59"/>
  <c r="G194" i="59"/>
  <c r="H194" i="59"/>
  <c r="I194" i="59"/>
  <c r="J194" i="59"/>
  <c r="K194" i="59"/>
  <c r="L194" i="59"/>
  <c r="M194" i="59"/>
  <c r="A195" i="59"/>
  <c r="C195" i="59"/>
  <c r="D195" i="59"/>
  <c r="E195" i="59"/>
  <c r="F195" i="59"/>
  <c r="G195" i="59"/>
  <c r="H195" i="59"/>
  <c r="I195" i="59"/>
  <c r="J195" i="59"/>
  <c r="K195" i="59"/>
  <c r="L195" i="59"/>
  <c r="M195" i="59"/>
  <c r="A196" i="59"/>
  <c r="C196" i="59"/>
  <c r="D196" i="59"/>
  <c r="E196" i="59"/>
  <c r="F196" i="59"/>
  <c r="G196" i="59"/>
  <c r="H196" i="59"/>
  <c r="I196" i="59"/>
  <c r="J196" i="59"/>
  <c r="K196" i="59"/>
  <c r="L196" i="59"/>
  <c r="M196" i="59"/>
  <c r="A197" i="59"/>
  <c r="C197" i="59"/>
  <c r="D197" i="59"/>
  <c r="E197" i="59"/>
  <c r="F197" i="59"/>
  <c r="G197" i="59"/>
  <c r="H197" i="59"/>
  <c r="I197" i="59"/>
  <c r="J197" i="59"/>
  <c r="K197" i="59"/>
  <c r="L197" i="59"/>
  <c r="M197" i="59"/>
  <c r="A198" i="59"/>
  <c r="C198" i="59"/>
  <c r="D198" i="59"/>
  <c r="E198" i="59"/>
  <c r="F198" i="59"/>
  <c r="G198" i="59"/>
  <c r="H198" i="59"/>
  <c r="I198" i="59"/>
  <c r="J198" i="59"/>
  <c r="K198" i="59"/>
  <c r="L198" i="59"/>
  <c r="M198" i="59"/>
  <c r="A199" i="59"/>
  <c r="C199" i="59"/>
  <c r="D199" i="59"/>
  <c r="E199" i="59"/>
  <c r="F199" i="59"/>
  <c r="G199" i="59"/>
  <c r="H199" i="59"/>
  <c r="I199" i="59"/>
  <c r="J199" i="59"/>
  <c r="K199" i="59"/>
  <c r="L199" i="59"/>
  <c r="M199" i="59"/>
  <c r="A200" i="59"/>
  <c r="C200" i="59"/>
  <c r="D200" i="59"/>
  <c r="E200" i="59"/>
  <c r="F200" i="59"/>
  <c r="G200" i="59"/>
  <c r="H200" i="59"/>
  <c r="I200" i="59"/>
  <c r="J200" i="59"/>
  <c r="K200" i="59"/>
  <c r="L200" i="59"/>
  <c r="M200" i="59"/>
  <c r="A201" i="59"/>
  <c r="C201" i="59"/>
  <c r="D201" i="59"/>
  <c r="E201" i="59"/>
  <c r="F201" i="59"/>
  <c r="G201" i="59"/>
  <c r="H201" i="59"/>
  <c r="I201" i="59"/>
  <c r="J201" i="59"/>
  <c r="K201" i="59"/>
  <c r="L201" i="59"/>
  <c r="M201" i="59"/>
  <c r="A202" i="59"/>
  <c r="C202" i="59"/>
  <c r="D202" i="59"/>
  <c r="E202" i="59"/>
  <c r="F202" i="59"/>
  <c r="G202" i="59"/>
  <c r="H202" i="59"/>
  <c r="I202" i="59"/>
  <c r="J202" i="59"/>
  <c r="K202" i="59"/>
  <c r="L202" i="59"/>
  <c r="M202" i="59"/>
  <c r="A203" i="59"/>
  <c r="C203" i="59"/>
  <c r="D203" i="59"/>
  <c r="E203" i="59"/>
  <c r="F203" i="59"/>
  <c r="G203" i="59"/>
  <c r="H203" i="59"/>
  <c r="I203" i="59"/>
  <c r="J203" i="59"/>
  <c r="K203" i="59"/>
  <c r="L203" i="59"/>
  <c r="M203" i="59"/>
  <c r="A204" i="59"/>
  <c r="C204" i="59"/>
  <c r="D204" i="59"/>
  <c r="E204" i="59"/>
  <c r="F204" i="59"/>
  <c r="G204" i="59"/>
  <c r="H204" i="59"/>
  <c r="I204" i="59"/>
  <c r="J204" i="59"/>
  <c r="K204" i="59"/>
  <c r="L204" i="59"/>
  <c r="M204" i="59"/>
  <c r="A205" i="59"/>
  <c r="C205" i="59"/>
  <c r="D205" i="59"/>
  <c r="E205" i="59"/>
  <c r="F205" i="59"/>
  <c r="G205" i="59"/>
  <c r="H205" i="59"/>
  <c r="I205" i="59"/>
  <c r="J205" i="59"/>
  <c r="K205" i="59"/>
  <c r="L205" i="59"/>
  <c r="M205" i="59"/>
  <c r="A206" i="59"/>
  <c r="C206" i="59"/>
  <c r="D206" i="59"/>
  <c r="E206" i="59"/>
  <c r="F206" i="59"/>
  <c r="G206" i="59"/>
  <c r="H206" i="59"/>
  <c r="I206" i="59"/>
  <c r="J206" i="59"/>
  <c r="K206" i="59"/>
  <c r="L206" i="59"/>
  <c r="M206" i="59"/>
  <c r="A207" i="59"/>
  <c r="C207" i="59"/>
  <c r="D207" i="59"/>
  <c r="E207" i="59"/>
  <c r="F207" i="59"/>
  <c r="G207" i="59"/>
  <c r="H207" i="59"/>
  <c r="I207" i="59"/>
  <c r="J207" i="59"/>
  <c r="K207" i="59"/>
  <c r="L207" i="59"/>
  <c r="M207" i="59"/>
  <c r="A208" i="59"/>
  <c r="C208" i="59"/>
  <c r="D208" i="59"/>
  <c r="E208" i="59"/>
  <c r="F208" i="59"/>
  <c r="G208" i="59"/>
  <c r="H208" i="59"/>
  <c r="I208" i="59"/>
  <c r="J208" i="59"/>
  <c r="K208" i="59"/>
  <c r="L208" i="59"/>
  <c r="M208" i="59"/>
  <c r="A209" i="59"/>
  <c r="C209" i="59"/>
  <c r="D209" i="59"/>
  <c r="E209" i="59"/>
  <c r="F209" i="59"/>
  <c r="G209" i="59"/>
  <c r="H209" i="59"/>
  <c r="I209" i="59"/>
  <c r="J209" i="59"/>
  <c r="K209" i="59"/>
  <c r="L209" i="59"/>
  <c r="M209" i="59"/>
  <c r="A210" i="59"/>
  <c r="C210" i="59"/>
  <c r="D210" i="59"/>
  <c r="E210" i="59"/>
  <c r="F210" i="59"/>
  <c r="G210" i="59"/>
  <c r="H210" i="59"/>
  <c r="I210" i="59"/>
  <c r="J210" i="59"/>
  <c r="K210" i="59"/>
  <c r="L210" i="59"/>
  <c r="M210" i="59"/>
  <c r="A211" i="59"/>
  <c r="C211" i="59"/>
  <c r="D211" i="59"/>
  <c r="E211" i="59"/>
  <c r="F211" i="59"/>
  <c r="G211" i="59"/>
  <c r="H211" i="59"/>
  <c r="I211" i="59"/>
  <c r="J211" i="59"/>
  <c r="K211" i="59"/>
  <c r="L211" i="59"/>
  <c r="M211" i="59"/>
  <c r="A212" i="59"/>
  <c r="C212" i="59"/>
  <c r="D212" i="59"/>
  <c r="E212" i="59"/>
  <c r="F212" i="59"/>
  <c r="G212" i="59"/>
  <c r="H212" i="59"/>
  <c r="I212" i="59"/>
  <c r="J212" i="59"/>
  <c r="K212" i="59"/>
  <c r="L212" i="59"/>
  <c r="M212" i="59"/>
  <c r="A213" i="59"/>
  <c r="C213" i="59"/>
  <c r="D213" i="59"/>
  <c r="E213" i="59"/>
  <c r="F213" i="59"/>
  <c r="G213" i="59"/>
  <c r="H213" i="59"/>
  <c r="I213" i="59"/>
  <c r="J213" i="59"/>
  <c r="K213" i="59"/>
  <c r="L213" i="59"/>
  <c r="M213" i="59"/>
  <c r="A214" i="59"/>
  <c r="C214" i="59"/>
  <c r="D214" i="59"/>
  <c r="E214" i="59"/>
  <c r="F214" i="59"/>
  <c r="G214" i="59"/>
  <c r="H214" i="59"/>
  <c r="I214" i="59"/>
  <c r="J214" i="59"/>
  <c r="K214" i="59"/>
  <c r="L214" i="59"/>
  <c r="M214" i="59"/>
  <c r="A215" i="59"/>
  <c r="C215" i="59"/>
  <c r="D215" i="59"/>
  <c r="E215" i="59"/>
  <c r="F215" i="59"/>
  <c r="G215" i="59"/>
  <c r="H215" i="59"/>
  <c r="I215" i="59"/>
  <c r="J215" i="59"/>
  <c r="K215" i="59"/>
  <c r="L215" i="59"/>
  <c r="M215" i="59"/>
  <c r="A216" i="59"/>
  <c r="C216" i="59"/>
  <c r="D216" i="59"/>
  <c r="E216" i="59"/>
  <c r="F216" i="59"/>
  <c r="G216" i="59"/>
  <c r="H216" i="59"/>
  <c r="I216" i="59"/>
  <c r="J216" i="59"/>
  <c r="K216" i="59"/>
  <c r="L216" i="59"/>
  <c r="M216" i="59"/>
  <c r="A217" i="59"/>
  <c r="C217" i="59"/>
  <c r="D217" i="59"/>
  <c r="E217" i="59"/>
  <c r="F217" i="59"/>
  <c r="G217" i="59"/>
  <c r="H217" i="59"/>
  <c r="I217" i="59"/>
  <c r="J217" i="59"/>
  <c r="K217" i="59"/>
  <c r="L217" i="59"/>
  <c r="M217" i="59"/>
  <c r="A218" i="59"/>
  <c r="C218" i="59"/>
  <c r="D218" i="59"/>
  <c r="E218" i="59"/>
  <c r="F218" i="59"/>
  <c r="G218" i="59"/>
  <c r="H218" i="59"/>
  <c r="I218" i="59"/>
  <c r="J218" i="59"/>
  <c r="K218" i="59"/>
  <c r="L218" i="59"/>
  <c r="M218" i="59"/>
  <c r="A219" i="59"/>
  <c r="C219" i="59"/>
  <c r="D219" i="59"/>
  <c r="E219" i="59"/>
  <c r="F219" i="59"/>
  <c r="G219" i="59"/>
  <c r="H219" i="59"/>
  <c r="I219" i="59"/>
  <c r="J219" i="59"/>
  <c r="K219" i="59"/>
  <c r="L219" i="59"/>
  <c r="M219" i="59"/>
  <c r="A220" i="59"/>
  <c r="C220" i="59"/>
  <c r="D220" i="59"/>
  <c r="E220" i="59"/>
  <c r="F220" i="59"/>
  <c r="G220" i="59"/>
  <c r="H220" i="59"/>
  <c r="I220" i="59"/>
  <c r="J220" i="59"/>
  <c r="K220" i="59"/>
  <c r="L220" i="59"/>
  <c r="M220" i="59"/>
  <c r="A221" i="59"/>
  <c r="C221" i="59"/>
  <c r="D221" i="59"/>
  <c r="E221" i="59"/>
  <c r="F221" i="59"/>
  <c r="G221" i="59"/>
  <c r="H221" i="59"/>
  <c r="I221" i="59"/>
  <c r="J221" i="59"/>
  <c r="K221" i="59"/>
  <c r="L221" i="59"/>
  <c r="M221" i="59"/>
  <c r="A222" i="59"/>
  <c r="C222" i="59"/>
  <c r="D222" i="59"/>
  <c r="E222" i="59"/>
  <c r="F222" i="59"/>
  <c r="G222" i="59"/>
  <c r="H222" i="59"/>
  <c r="I222" i="59"/>
  <c r="J222" i="59"/>
  <c r="K222" i="59"/>
  <c r="L222" i="59"/>
  <c r="M222" i="59"/>
  <c r="A223" i="59"/>
  <c r="C223" i="59"/>
  <c r="D223" i="59"/>
  <c r="E223" i="59"/>
  <c r="F223" i="59"/>
  <c r="G223" i="59"/>
  <c r="H223" i="59"/>
  <c r="I223" i="59"/>
  <c r="J223" i="59"/>
  <c r="K223" i="59"/>
  <c r="L223" i="59"/>
  <c r="M223" i="59"/>
  <c r="A224" i="59"/>
  <c r="C224" i="59"/>
  <c r="D224" i="59"/>
  <c r="E224" i="59"/>
  <c r="F224" i="59"/>
  <c r="G224" i="59"/>
  <c r="H224" i="59"/>
  <c r="I224" i="59"/>
  <c r="J224" i="59"/>
  <c r="K224" i="59"/>
  <c r="L224" i="59"/>
  <c r="M224" i="59"/>
  <c r="A225" i="59"/>
  <c r="C225" i="59"/>
  <c r="D225" i="59"/>
  <c r="E225" i="59"/>
  <c r="F225" i="59"/>
  <c r="G225" i="59"/>
  <c r="H225" i="59"/>
  <c r="I225" i="59"/>
  <c r="J225" i="59"/>
  <c r="K225" i="59"/>
  <c r="L225" i="59"/>
  <c r="M225" i="59"/>
  <c r="A226" i="59"/>
  <c r="C226" i="59"/>
  <c r="D226" i="59"/>
  <c r="E226" i="59"/>
  <c r="F226" i="59"/>
  <c r="G226" i="59"/>
  <c r="H226" i="59"/>
  <c r="I226" i="59"/>
  <c r="J226" i="59"/>
  <c r="K226" i="59"/>
  <c r="L226" i="59"/>
  <c r="M226" i="59"/>
  <c r="A227" i="59"/>
  <c r="C227" i="59"/>
  <c r="D227" i="59"/>
  <c r="E227" i="59"/>
  <c r="F227" i="59"/>
  <c r="G227" i="59"/>
  <c r="H227" i="59"/>
  <c r="I227" i="59"/>
  <c r="J227" i="59"/>
  <c r="K227" i="59"/>
  <c r="L227" i="59"/>
  <c r="M227" i="59"/>
  <c r="A228" i="59"/>
  <c r="C228" i="59"/>
  <c r="D228" i="59"/>
  <c r="E228" i="59"/>
  <c r="F228" i="59"/>
  <c r="G228" i="59"/>
  <c r="H228" i="59"/>
  <c r="I228" i="59"/>
  <c r="J228" i="59"/>
  <c r="K228" i="59"/>
  <c r="L228" i="59"/>
  <c r="M228" i="59"/>
  <c r="A229" i="59"/>
  <c r="C229" i="59"/>
  <c r="D229" i="59"/>
  <c r="E229" i="59"/>
  <c r="F229" i="59"/>
  <c r="G229" i="59"/>
  <c r="H229" i="59"/>
  <c r="I229" i="59"/>
  <c r="J229" i="59"/>
  <c r="K229" i="59"/>
  <c r="L229" i="59"/>
  <c r="M229" i="59"/>
  <c r="A230" i="59"/>
  <c r="C230" i="59"/>
  <c r="D230" i="59"/>
  <c r="E230" i="59"/>
  <c r="F230" i="59"/>
  <c r="G230" i="59"/>
  <c r="H230" i="59"/>
  <c r="I230" i="59"/>
  <c r="J230" i="59"/>
  <c r="K230" i="59"/>
  <c r="L230" i="59"/>
  <c r="M230" i="59"/>
  <c r="A231" i="59"/>
  <c r="C231" i="59"/>
  <c r="D231" i="59"/>
  <c r="E231" i="59"/>
  <c r="F231" i="59"/>
  <c r="G231" i="59"/>
  <c r="H231" i="59"/>
  <c r="I231" i="59"/>
  <c r="J231" i="59"/>
  <c r="K231" i="59"/>
  <c r="L231" i="59"/>
  <c r="M231" i="59"/>
  <c r="A232" i="59"/>
  <c r="C232" i="59"/>
  <c r="D232" i="59"/>
  <c r="E232" i="59"/>
  <c r="F232" i="59"/>
  <c r="G232" i="59"/>
  <c r="H232" i="59"/>
  <c r="I232" i="59"/>
  <c r="J232" i="59"/>
  <c r="K232" i="59"/>
  <c r="L232" i="59"/>
  <c r="M232" i="59"/>
  <c r="A233" i="59"/>
  <c r="C233" i="59"/>
  <c r="D233" i="59"/>
  <c r="E233" i="59"/>
  <c r="F233" i="59"/>
  <c r="G233" i="59"/>
  <c r="H233" i="59"/>
  <c r="I233" i="59"/>
  <c r="J233" i="59"/>
  <c r="K233" i="59"/>
  <c r="L233" i="59"/>
  <c r="M233" i="59"/>
  <c r="A234" i="59"/>
  <c r="C234" i="59"/>
  <c r="D234" i="59"/>
  <c r="E234" i="59"/>
  <c r="F234" i="59"/>
  <c r="G234" i="59"/>
  <c r="H234" i="59"/>
  <c r="I234" i="59"/>
  <c r="J234" i="59"/>
  <c r="K234" i="59"/>
  <c r="L234" i="59"/>
  <c r="M234" i="59"/>
  <c r="A235" i="59"/>
  <c r="C235" i="59"/>
  <c r="D235" i="59"/>
  <c r="E235" i="59"/>
  <c r="F235" i="59"/>
  <c r="G235" i="59"/>
  <c r="H235" i="59"/>
  <c r="I235" i="59"/>
  <c r="J235" i="59"/>
  <c r="K235" i="59"/>
  <c r="L235" i="59"/>
  <c r="M235" i="59"/>
  <c r="A236" i="59"/>
  <c r="C236" i="59"/>
  <c r="D236" i="59"/>
  <c r="E236" i="59"/>
  <c r="F236" i="59"/>
  <c r="G236" i="59"/>
  <c r="H236" i="59"/>
  <c r="I236" i="59"/>
  <c r="J236" i="59"/>
  <c r="K236" i="59"/>
  <c r="L236" i="59"/>
  <c r="M236" i="59"/>
  <c r="A237" i="59"/>
  <c r="C237" i="59"/>
  <c r="D237" i="59"/>
  <c r="E237" i="59"/>
  <c r="F237" i="59"/>
  <c r="G237" i="59"/>
  <c r="H237" i="59"/>
  <c r="I237" i="59"/>
  <c r="J237" i="59"/>
  <c r="K237" i="59"/>
  <c r="L237" i="59"/>
  <c r="M237" i="59"/>
  <c r="A238" i="59"/>
  <c r="C238" i="59"/>
  <c r="D238" i="59"/>
  <c r="E238" i="59"/>
  <c r="F238" i="59"/>
  <c r="G238" i="59"/>
  <c r="H238" i="59"/>
  <c r="I238" i="59"/>
  <c r="J238" i="59"/>
  <c r="K238" i="59"/>
  <c r="L238" i="59"/>
  <c r="M238" i="59"/>
  <c r="A239" i="59"/>
  <c r="C239" i="59"/>
  <c r="D239" i="59"/>
  <c r="E239" i="59"/>
  <c r="F239" i="59"/>
  <c r="G239" i="59"/>
  <c r="H239" i="59"/>
  <c r="I239" i="59"/>
  <c r="J239" i="59"/>
  <c r="K239" i="59"/>
  <c r="L239" i="59"/>
  <c r="M239" i="59"/>
  <c r="A240" i="59"/>
  <c r="C240" i="59"/>
  <c r="D240" i="59"/>
  <c r="E240" i="59"/>
  <c r="F240" i="59"/>
  <c r="G240" i="59"/>
  <c r="H240" i="59"/>
  <c r="I240" i="59"/>
  <c r="J240" i="59"/>
  <c r="K240" i="59"/>
  <c r="L240" i="59"/>
  <c r="M240" i="59"/>
  <c r="A241" i="59"/>
  <c r="C241" i="59"/>
  <c r="D241" i="59"/>
  <c r="E241" i="59"/>
  <c r="F241" i="59"/>
  <c r="G241" i="59"/>
  <c r="H241" i="59"/>
  <c r="I241" i="59"/>
  <c r="J241" i="59"/>
  <c r="K241" i="59"/>
  <c r="L241" i="59"/>
  <c r="M241" i="59"/>
  <c r="A242" i="59"/>
  <c r="C242" i="59"/>
  <c r="D242" i="59"/>
  <c r="E242" i="59"/>
  <c r="F242" i="59"/>
  <c r="G242" i="59"/>
  <c r="H242" i="59"/>
  <c r="I242" i="59"/>
  <c r="J242" i="59"/>
  <c r="K242" i="59"/>
  <c r="L242" i="59"/>
  <c r="M242" i="59"/>
  <c r="A243" i="59"/>
  <c r="C243" i="59"/>
  <c r="D243" i="59"/>
  <c r="E243" i="59"/>
  <c r="F243" i="59"/>
  <c r="G243" i="59"/>
  <c r="H243" i="59"/>
  <c r="I243" i="59"/>
  <c r="J243" i="59"/>
  <c r="K243" i="59"/>
  <c r="L243" i="59"/>
  <c r="M243" i="59"/>
  <c r="A244" i="59"/>
  <c r="C244" i="59"/>
  <c r="D244" i="59"/>
  <c r="E244" i="59"/>
  <c r="F244" i="59"/>
  <c r="G244" i="59"/>
  <c r="H244" i="59"/>
  <c r="I244" i="59"/>
  <c r="J244" i="59"/>
  <c r="K244" i="59"/>
  <c r="L244" i="59"/>
  <c r="M244" i="59"/>
  <c r="A245" i="59"/>
  <c r="C245" i="59"/>
  <c r="D245" i="59"/>
  <c r="E245" i="59"/>
  <c r="F245" i="59"/>
  <c r="G245" i="59"/>
  <c r="H245" i="59"/>
  <c r="I245" i="59"/>
  <c r="J245" i="59"/>
  <c r="K245" i="59"/>
  <c r="L245" i="59"/>
  <c r="M245" i="59"/>
  <c r="A246" i="59"/>
  <c r="C246" i="59"/>
  <c r="D246" i="59"/>
  <c r="E246" i="59"/>
  <c r="F246" i="59"/>
  <c r="G246" i="59"/>
  <c r="H246" i="59"/>
  <c r="I246" i="59"/>
  <c r="J246" i="59"/>
  <c r="K246" i="59"/>
  <c r="L246" i="59"/>
  <c r="M246" i="59"/>
  <c r="A247" i="59"/>
  <c r="C247" i="59"/>
  <c r="D247" i="59"/>
  <c r="E247" i="59"/>
  <c r="F247" i="59"/>
  <c r="G247" i="59"/>
  <c r="H247" i="59"/>
  <c r="I247" i="59"/>
  <c r="J247" i="59"/>
  <c r="K247" i="59"/>
  <c r="L247" i="59"/>
  <c r="M247" i="59"/>
  <c r="A248" i="59"/>
  <c r="C248" i="59"/>
  <c r="D248" i="59"/>
  <c r="E248" i="59"/>
  <c r="F248" i="59"/>
  <c r="G248" i="59"/>
  <c r="H248" i="59"/>
  <c r="I248" i="59"/>
  <c r="J248" i="59"/>
  <c r="K248" i="59"/>
  <c r="L248" i="59"/>
  <c r="M248" i="59"/>
  <c r="A249" i="59"/>
  <c r="C249" i="59"/>
  <c r="D249" i="59"/>
  <c r="E249" i="59"/>
  <c r="F249" i="59"/>
  <c r="G249" i="59"/>
  <c r="H249" i="59"/>
  <c r="I249" i="59"/>
  <c r="J249" i="59"/>
  <c r="K249" i="59"/>
  <c r="L249" i="59"/>
  <c r="M249" i="59"/>
  <c r="A250" i="59"/>
  <c r="C250" i="59"/>
  <c r="D250" i="59"/>
  <c r="E250" i="59"/>
  <c r="F250" i="59"/>
  <c r="G250" i="59"/>
  <c r="H250" i="59"/>
  <c r="I250" i="59"/>
  <c r="J250" i="59"/>
  <c r="K250" i="59"/>
  <c r="L250" i="59"/>
  <c r="M250" i="59"/>
  <c r="A251" i="59"/>
  <c r="C251" i="59"/>
  <c r="D251" i="59"/>
  <c r="E251" i="59"/>
  <c r="F251" i="59"/>
  <c r="G251" i="59"/>
  <c r="H251" i="59"/>
  <c r="I251" i="59"/>
  <c r="J251" i="59"/>
  <c r="K251" i="59"/>
  <c r="L251" i="59"/>
  <c r="M251" i="59"/>
  <c r="A252" i="59"/>
  <c r="C252" i="59"/>
  <c r="D252" i="59"/>
  <c r="E252" i="59"/>
  <c r="F252" i="59"/>
  <c r="G252" i="59"/>
  <c r="H252" i="59"/>
  <c r="I252" i="59"/>
  <c r="J252" i="59"/>
  <c r="K252" i="59"/>
  <c r="L252" i="59"/>
  <c r="M252" i="59"/>
  <c r="A253" i="59"/>
  <c r="C253" i="59"/>
  <c r="D253" i="59"/>
  <c r="E253" i="59"/>
  <c r="F253" i="59"/>
  <c r="G253" i="59"/>
  <c r="H253" i="59"/>
  <c r="I253" i="59"/>
  <c r="J253" i="59"/>
  <c r="K253" i="59"/>
  <c r="L253" i="59"/>
  <c r="M253" i="59"/>
  <c r="A254" i="59"/>
  <c r="C254" i="59"/>
  <c r="D254" i="59"/>
  <c r="E254" i="59"/>
  <c r="F254" i="59"/>
  <c r="G254" i="59"/>
  <c r="H254" i="59"/>
  <c r="I254" i="59"/>
  <c r="J254" i="59"/>
  <c r="K254" i="59"/>
  <c r="L254" i="59"/>
  <c r="M254" i="59"/>
  <c r="A255" i="59"/>
  <c r="C255" i="59"/>
  <c r="D255" i="59"/>
  <c r="E255" i="59"/>
  <c r="F255" i="59"/>
  <c r="G255" i="59"/>
  <c r="H255" i="59"/>
  <c r="I255" i="59"/>
  <c r="J255" i="59"/>
  <c r="K255" i="59"/>
  <c r="L255" i="59"/>
  <c r="M255" i="59"/>
  <c r="A256" i="59"/>
  <c r="C256" i="59"/>
  <c r="D256" i="59"/>
  <c r="E256" i="59"/>
  <c r="F256" i="59"/>
  <c r="G256" i="59"/>
  <c r="H256" i="59"/>
  <c r="I256" i="59"/>
  <c r="J256" i="59"/>
  <c r="K256" i="59"/>
  <c r="L256" i="59"/>
  <c r="M256" i="59"/>
  <c r="A257" i="59"/>
  <c r="C257" i="59"/>
  <c r="D257" i="59"/>
  <c r="E257" i="59"/>
  <c r="F257" i="59"/>
  <c r="G257" i="59"/>
  <c r="H257" i="59"/>
  <c r="I257" i="59"/>
  <c r="J257" i="59"/>
  <c r="K257" i="59"/>
  <c r="L257" i="59"/>
  <c r="M257" i="59"/>
  <c r="A258" i="59"/>
  <c r="C258" i="59"/>
  <c r="D258" i="59"/>
  <c r="E258" i="59"/>
  <c r="F258" i="59"/>
  <c r="G258" i="59"/>
  <c r="H258" i="59"/>
  <c r="I258" i="59"/>
  <c r="J258" i="59"/>
  <c r="K258" i="59"/>
  <c r="L258" i="59"/>
  <c r="M258" i="59"/>
  <c r="A259" i="59"/>
  <c r="C259" i="59"/>
  <c r="D259" i="59"/>
  <c r="E259" i="59"/>
  <c r="F259" i="59"/>
  <c r="G259" i="59"/>
  <c r="H259" i="59"/>
  <c r="I259" i="59"/>
  <c r="J259" i="59"/>
  <c r="K259" i="59"/>
  <c r="L259" i="59"/>
  <c r="M259" i="59"/>
  <c r="A260" i="59"/>
  <c r="C260" i="59"/>
  <c r="D260" i="59"/>
  <c r="E260" i="59"/>
  <c r="F260" i="59"/>
  <c r="G260" i="59"/>
  <c r="H260" i="59"/>
  <c r="I260" i="59"/>
  <c r="J260" i="59"/>
  <c r="K260" i="59"/>
  <c r="L260" i="59"/>
  <c r="M260" i="59"/>
  <c r="A261" i="59"/>
  <c r="C261" i="59"/>
  <c r="D261" i="59"/>
  <c r="E261" i="59"/>
  <c r="F261" i="59"/>
  <c r="G261" i="59"/>
  <c r="H261" i="59"/>
  <c r="I261" i="59"/>
  <c r="J261" i="59"/>
  <c r="K261" i="59"/>
  <c r="L261" i="59"/>
  <c r="M261" i="59"/>
  <c r="A262" i="59"/>
  <c r="C262" i="59"/>
  <c r="D262" i="59"/>
  <c r="E262" i="59"/>
  <c r="F262" i="59"/>
  <c r="G262" i="59"/>
  <c r="H262" i="59"/>
  <c r="I262" i="59"/>
  <c r="J262" i="59"/>
  <c r="K262" i="59"/>
  <c r="L262" i="59"/>
  <c r="M262" i="59"/>
  <c r="A263" i="59"/>
  <c r="C263" i="59"/>
  <c r="D263" i="59"/>
  <c r="E263" i="59"/>
  <c r="F263" i="59"/>
  <c r="G263" i="59"/>
  <c r="H263" i="59"/>
  <c r="I263" i="59"/>
  <c r="J263" i="59"/>
  <c r="K263" i="59"/>
  <c r="L263" i="59"/>
  <c r="M263" i="59"/>
  <c r="A264" i="59"/>
  <c r="C264" i="59"/>
  <c r="D264" i="59"/>
  <c r="E264" i="59"/>
  <c r="F264" i="59"/>
  <c r="G264" i="59"/>
  <c r="H264" i="59"/>
  <c r="I264" i="59"/>
  <c r="J264" i="59"/>
  <c r="K264" i="59"/>
  <c r="L264" i="59"/>
  <c r="M264" i="59"/>
  <c r="A265" i="59"/>
  <c r="C265" i="59"/>
  <c r="D265" i="59"/>
  <c r="E265" i="59"/>
  <c r="F265" i="59"/>
  <c r="G265" i="59"/>
  <c r="H265" i="59"/>
  <c r="I265" i="59"/>
  <c r="J265" i="59"/>
  <c r="K265" i="59"/>
  <c r="L265" i="59"/>
  <c r="M265" i="59"/>
  <c r="A266" i="59"/>
  <c r="C266" i="59"/>
  <c r="D266" i="59"/>
  <c r="E266" i="59"/>
  <c r="F266" i="59"/>
  <c r="G266" i="59"/>
  <c r="H266" i="59"/>
  <c r="I266" i="59"/>
  <c r="J266" i="59"/>
  <c r="K266" i="59"/>
  <c r="L266" i="59"/>
  <c r="M266" i="59"/>
  <c r="A267" i="59"/>
  <c r="M268" i="59"/>
  <c r="B270" i="59"/>
  <c r="C270" i="59"/>
  <c r="D270" i="59"/>
  <c r="E270" i="59"/>
  <c r="F270" i="59"/>
  <c r="G270" i="59"/>
  <c r="H270" i="59"/>
  <c r="I270" i="59"/>
  <c r="J270" i="59"/>
  <c r="K270" i="59"/>
  <c r="L270" i="59"/>
  <c r="M270" i="59"/>
  <c r="A2" i="19"/>
  <c r="A3" i="19"/>
  <c r="H6" i="19"/>
  <c r="I6" i="19"/>
  <c r="J6" i="19"/>
  <c r="K6" i="19"/>
  <c r="L6" i="19"/>
  <c r="M6" i="19"/>
  <c r="N6" i="19"/>
  <c r="O6" i="19"/>
  <c r="P6" i="19"/>
  <c r="Q6" i="19"/>
  <c r="R6" i="19"/>
  <c r="S6" i="19"/>
  <c r="T6" i="19"/>
  <c r="U6" i="19"/>
  <c r="V6" i="19"/>
  <c r="W6" i="19"/>
  <c r="X6" i="19"/>
  <c r="Y6" i="19"/>
  <c r="Z6" i="19"/>
  <c r="AA6" i="19"/>
  <c r="AB6" i="19"/>
  <c r="AC6" i="19"/>
  <c r="G7" i="19"/>
  <c r="H7" i="19"/>
  <c r="I7" i="19"/>
  <c r="J7" i="19"/>
  <c r="K7" i="19"/>
  <c r="L7" i="19"/>
  <c r="M7" i="19"/>
  <c r="N7" i="19"/>
  <c r="O7" i="19"/>
  <c r="P7" i="19"/>
  <c r="Q7" i="19"/>
  <c r="R7" i="19"/>
  <c r="S7" i="19"/>
  <c r="T7" i="19"/>
  <c r="U7" i="19"/>
  <c r="V7" i="19"/>
  <c r="W7" i="19"/>
  <c r="X7" i="19"/>
  <c r="Y7" i="19"/>
  <c r="Z7" i="19"/>
  <c r="AA7" i="19"/>
  <c r="AB7" i="19"/>
  <c r="AC7" i="19"/>
  <c r="AF8" i="19"/>
  <c r="G9" i="19"/>
  <c r="H9" i="19"/>
  <c r="I9" i="19"/>
  <c r="J9" i="19"/>
  <c r="K9" i="19"/>
  <c r="L9" i="19"/>
  <c r="M9" i="19"/>
  <c r="N9" i="19"/>
  <c r="O9" i="19"/>
  <c r="P9" i="19"/>
  <c r="Q9" i="19"/>
  <c r="R9" i="19"/>
  <c r="S9" i="19"/>
  <c r="T9" i="19"/>
  <c r="U9" i="19"/>
  <c r="V9" i="19"/>
  <c r="W9" i="19"/>
  <c r="X9" i="19"/>
  <c r="Y9" i="19"/>
  <c r="Z9" i="19"/>
  <c r="AA9" i="19"/>
  <c r="AB9" i="19"/>
  <c r="AC9" i="19"/>
  <c r="AF9" i="19"/>
  <c r="G10" i="19"/>
  <c r="H10" i="19"/>
  <c r="I10" i="19"/>
  <c r="J10" i="19"/>
  <c r="K10" i="19"/>
  <c r="L10" i="19"/>
  <c r="M10" i="19"/>
  <c r="N10" i="19"/>
  <c r="O10" i="19"/>
  <c r="P10" i="19"/>
  <c r="Q10" i="19"/>
  <c r="R10" i="19"/>
  <c r="S10" i="19"/>
  <c r="T10" i="19"/>
  <c r="U10" i="19"/>
  <c r="V10" i="19"/>
  <c r="W10" i="19"/>
  <c r="X10" i="19"/>
  <c r="Y10" i="19"/>
  <c r="Z10" i="19"/>
  <c r="AA10" i="19"/>
  <c r="AB10" i="19"/>
  <c r="AC10" i="19"/>
  <c r="AF10" i="19"/>
  <c r="G11" i="19"/>
  <c r="H11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X11" i="19"/>
  <c r="Y11" i="19"/>
  <c r="Z11" i="19"/>
  <c r="AA11" i="19"/>
  <c r="AB11" i="19"/>
  <c r="AC11" i="19"/>
  <c r="AF11" i="19"/>
  <c r="AF12" i="19"/>
  <c r="G13" i="19"/>
  <c r="H13" i="19"/>
  <c r="I13" i="19"/>
  <c r="J13" i="19"/>
  <c r="K13" i="19"/>
  <c r="L13" i="19"/>
  <c r="M13" i="19"/>
  <c r="N13" i="19"/>
  <c r="O13" i="19"/>
  <c r="P13" i="19"/>
  <c r="Q13" i="19"/>
  <c r="R13" i="19"/>
  <c r="S13" i="19"/>
  <c r="T13" i="19"/>
  <c r="U13" i="19"/>
  <c r="V13" i="19"/>
  <c r="W13" i="19"/>
  <c r="X13" i="19"/>
  <c r="Y13" i="19"/>
  <c r="Z13" i="19"/>
  <c r="AA13" i="19"/>
  <c r="AB13" i="19"/>
  <c r="AC13" i="19"/>
  <c r="AF13" i="19"/>
  <c r="G14" i="19"/>
  <c r="H14" i="19"/>
  <c r="I14" i="19"/>
  <c r="J14" i="19"/>
  <c r="K14" i="19"/>
  <c r="L14" i="19"/>
  <c r="M14" i="19"/>
  <c r="N14" i="19"/>
  <c r="O14" i="19"/>
  <c r="P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AF14" i="19"/>
  <c r="F15" i="19"/>
  <c r="G15" i="19"/>
  <c r="H15" i="19"/>
  <c r="I15" i="19"/>
  <c r="J15" i="19"/>
  <c r="K15" i="19"/>
  <c r="L15" i="19"/>
  <c r="M15" i="19"/>
  <c r="N15" i="19"/>
  <c r="O15" i="19"/>
  <c r="P15" i="19"/>
  <c r="Q15" i="19"/>
  <c r="R15" i="19"/>
  <c r="S15" i="19"/>
  <c r="T15" i="19"/>
  <c r="U15" i="19"/>
  <c r="V15" i="19"/>
  <c r="W15" i="19"/>
  <c r="X15" i="19"/>
  <c r="Y15" i="19"/>
  <c r="Z15" i="19"/>
  <c r="AA15" i="19"/>
  <c r="AB15" i="19"/>
  <c r="AC15" i="19"/>
  <c r="AF15" i="19"/>
  <c r="G16" i="19"/>
  <c r="H16" i="19"/>
  <c r="I16" i="19"/>
  <c r="J16" i="19"/>
  <c r="K16" i="19"/>
  <c r="L16" i="19"/>
  <c r="M16" i="19"/>
  <c r="N16" i="19"/>
  <c r="O16" i="19"/>
  <c r="P16" i="19"/>
  <c r="Q16" i="19"/>
  <c r="R16" i="19"/>
  <c r="S16" i="19"/>
  <c r="T16" i="19"/>
  <c r="U16" i="19"/>
  <c r="V16" i="19"/>
  <c r="W16" i="19"/>
  <c r="X16" i="19"/>
  <c r="Y16" i="19"/>
  <c r="Z16" i="19"/>
  <c r="AA16" i="19"/>
  <c r="AB16" i="19"/>
  <c r="AC16" i="19"/>
  <c r="AF16" i="19"/>
  <c r="G17" i="19"/>
  <c r="H17" i="19"/>
  <c r="I17" i="19"/>
  <c r="J17" i="19"/>
  <c r="K17" i="19"/>
  <c r="L17" i="19"/>
  <c r="M17" i="19"/>
  <c r="N17" i="19"/>
  <c r="O17" i="19"/>
  <c r="P17" i="19"/>
  <c r="Q17" i="19"/>
  <c r="R17" i="19"/>
  <c r="S17" i="19"/>
  <c r="T17" i="19"/>
  <c r="U17" i="19"/>
  <c r="V17" i="19"/>
  <c r="W17" i="19"/>
  <c r="X17" i="19"/>
  <c r="Y17" i="19"/>
  <c r="Z17" i="19"/>
  <c r="AA17" i="19"/>
  <c r="AB17" i="19"/>
  <c r="AC17" i="19"/>
  <c r="AF17" i="19"/>
  <c r="F18" i="19"/>
  <c r="G18" i="19"/>
  <c r="H18" i="19"/>
  <c r="I18" i="19"/>
  <c r="J18" i="19"/>
  <c r="K18" i="19"/>
  <c r="L18" i="19"/>
  <c r="M18" i="19"/>
  <c r="N18" i="19"/>
  <c r="O18" i="19"/>
  <c r="P18" i="19"/>
  <c r="Q18" i="19"/>
  <c r="R18" i="19"/>
  <c r="S18" i="19"/>
  <c r="T18" i="19"/>
  <c r="U18" i="19"/>
  <c r="V18" i="19"/>
  <c r="W18" i="19"/>
  <c r="X18" i="19"/>
  <c r="Y18" i="19"/>
  <c r="Z18" i="19"/>
  <c r="AA18" i="19"/>
  <c r="AB18" i="19"/>
  <c r="AC18" i="19"/>
  <c r="AF18" i="19"/>
  <c r="AF19" i="19"/>
  <c r="AF20" i="19"/>
  <c r="G21" i="19"/>
  <c r="H21" i="19"/>
  <c r="I21" i="19"/>
  <c r="J21" i="19"/>
  <c r="K21" i="19"/>
  <c r="L21" i="19"/>
  <c r="M21" i="19"/>
  <c r="N21" i="19"/>
  <c r="O21" i="19"/>
  <c r="P21" i="19"/>
  <c r="Q21" i="19"/>
  <c r="R21" i="19"/>
  <c r="S21" i="19"/>
  <c r="T21" i="19"/>
  <c r="U21" i="19"/>
  <c r="V21" i="19"/>
  <c r="W21" i="19"/>
  <c r="X21" i="19"/>
  <c r="Y21" i="19"/>
  <c r="Z21" i="19"/>
  <c r="AA21" i="19"/>
  <c r="AB21" i="19"/>
  <c r="AC21" i="19"/>
  <c r="AF21" i="19"/>
  <c r="G22" i="19"/>
  <c r="H22" i="19"/>
  <c r="I22" i="19"/>
  <c r="J22" i="19"/>
  <c r="K22" i="19"/>
  <c r="L22" i="19"/>
  <c r="M22" i="19"/>
  <c r="N22" i="19"/>
  <c r="O22" i="19"/>
  <c r="P22" i="19"/>
  <c r="Q22" i="19"/>
  <c r="R22" i="19"/>
  <c r="S22" i="19"/>
  <c r="T22" i="19"/>
  <c r="U22" i="19"/>
  <c r="V22" i="19"/>
  <c r="W22" i="19"/>
  <c r="X22" i="19"/>
  <c r="Y22" i="19"/>
  <c r="Z22" i="19"/>
  <c r="AA22" i="19"/>
  <c r="AB22" i="19"/>
  <c r="AC22" i="19"/>
  <c r="AF22" i="19"/>
  <c r="G23" i="19"/>
  <c r="H23" i="19"/>
  <c r="I23" i="19"/>
  <c r="J23" i="19"/>
  <c r="K23" i="19"/>
  <c r="L23" i="19"/>
  <c r="M23" i="19"/>
  <c r="N23" i="19"/>
  <c r="O23" i="19"/>
  <c r="P23" i="19"/>
  <c r="Q23" i="19"/>
  <c r="R23" i="19"/>
  <c r="S23" i="19"/>
  <c r="T23" i="19"/>
  <c r="U23" i="19"/>
  <c r="V23" i="19"/>
  <c r="W23" i="19"/>
  <c r="X23" i="19"/>
  <c r="Y23" i="19"/>
  <c r="Z23" i="19"/>
  <c r="AA23" i="19"/>
  <c r="AB23" i="19"/>
  <c r="AC23" i="19"/>
  <c r="AF23" i="19"/>
  <c r="G24" i="19"/>
  <c r="H24" i="19"/>
  <c r="I24" i="19"/>
  <c r="J24" i="19"/>
  <c r="K24" i="19"/>
  <c r="L24" i="19"/>
  <c r="M24" i="19"/>
  <c r="N24" i="19"/>
  <c r="O24" i="19"/>
  <c r="P24" i="19"/>
  <c r="Q24" i="19"/>
  <c r="R24" i="19"/>
  <c r="S24" i="19"/>
  <c r="T24" i="19"/>
  <c r="U24" i="19"/>
  <c r="V24" i="19"/>
  <c r="W24" i="19"/>
  <c r="X24" i="19"/>
  <c r="Y24" i="19"/>
  <c r="Z24" i="19"/>
  <c r="AA24" i="19"/>
  <c r="AB24" i="19"/>
  <c r="AC24" i="19"/>
  <c r="AF24" i="19"/>
  <c r="F25" i="19"/>
  <c r="G25" i="19"/>
  <c r="H25" i="19"/>
  <c r="I25" i="19"/>
  <c r="J25" i="19"/>
  <c r="K25" i="19"/>
  <c r="L25" i="19"/>
  <c r="M25" i="19"/>
  <c r="N25" i="19"/>
  <c r="O25" i="19"/>
  <c r="P25" i="19"/>
  <c r="Q25" i="19"/>
  <c r="R25" i="19"/>
  <c r="S25" i="19"/>
  <c r="T25" i="19"/>
  <c r="U25" i="19"/>
  <c r="V25" i="19"/>
  <c r="W25" i="19"/>
  <c r="X25" i="19"/>
  <c r="Y25" i="19"/>
  <c r="Z25" i="19"/>
  <c r="AA25" i="19"/>
  <c r="AB25" i="19"/>
  <c r="AC25" i="19"/>
  <c r="AF25" i="19"/>
  <c r="AF26" i="19"/>
  <c r="AF27" i="19"/>
  <c r="G28" i="19"/>
  <c r="H28" i="19"/>
  <c r="I28" i="19"/>
  <c r="J28" i="19"/>
  <c r="K28" i="19"/>
  <c r="L28" i="19"/>
  <c r="M28" i="19"/>
  <c r="N28" i="19"/>
  <c r="O28" i="19"/>
  <c r="P28" i="19"/>
  <c r="Q28" i="19"/>
  <c r="R28" i="19"/>
  <c r="S28" i="19"/>
  <c r="T28" i="19"/>
  <c r="U28" i="19"/>
  <c r="V28" i="19"/>
  <c r="W28" i="19"/>
  <c r="X28" i="19"/>
  <c r="Y28" i="19"/>
  <c r="Z28" i="19"/>
  <c r="AA28" i="19"/>
  <c r="AB28" i="19"/>
  <c r="AC28" i="19"/>
  <c r="AF28" i="19"/>
  <c r="G29" i="19"/>
  <c r="H29" i="19"/>
  <c r="I29" i="19"/>
  <c r="J29" i="19"/>
  <c r="K29" i="19"/>
  <c r="L29" i="19"/>
  <c r="M29" i="19"/>
  <c r="N29" i="19"/>
  <c r="O29" i="19"/>
  <c r="P29" i="19"/>
  <c r="Q29" i="19"/>
  <c r="R29" i="19"/>
  <c r="S29" i="19"/>
  <c r="T29" i="19"/>
  <c r="U29" i="19"/>
  <c r="V29" i="19"/>
  <c r="W29" i="19"/>
  <c r="X29" i="19"/>
  <c r="Y29" i="19"/>
  <c r="Z29" i="19"/>
  <c r="AA29" i="19"/>
  <c r="AB29" i="19"/>
  <c r="AC29" i="19"/>
  <c r="AF29" i="19"/>
  <c r="G30" i="19"/>
  <c r="H30" i="19"/>
  <c r="I30" i="19"/>
  <c r="J30" i="19"/>
  <c r="K30" i="19"/>
  <c r="L30" i="19"/>
  <c r="M30" i="19"/>
  <c r="N30" i="19"/>
  <c r="O30" i="19"/>
  <c r="P30" i="19"/>
  <c r="Q30" i="19"/>
  <c r="R30" i="19"/>
  <c r="S30" i="19"/>
  <c r="T30" i="19"/>
  <c r="U30" i="19"/>
  <c r="V30" i="19"/>
  <c r="W30" i="19"/>
  <c r="X30" i="19"/>
  <c r="Y30" i="19"/>
  <c r="Z30" i="19"/>
  <c r="AA30" i="19"/>
  <c r="AB30" i="19"/>
  <c r="AC30" i="19"/>
  <c r="AF30" i="19"/>
  <c r="G31" i="19"/>
  <c r="H31" i="19"/>
  <c r="I31" i="19"/>
  <c r="J31" i="19"/>
  <c r="K31" i="19"/>
  <c r="L31" i="19"/>
  <c r="M31" i="19"/>
  <c r="N31" i="19"/>
  <c r="O31" i="19"/>
  <c r="P31" i="19"/>
  <c r="Q31" i="19"/>
  <c r="R31" i="19"/>
  <c r="S31" i="19"/>
  <c r="T31" i="19"/>
  <c r="U31" i="19"/>
  <c r="V31" i="19"/>
  <c r="W31" i="19"/>
  <c r="X31" i="19"/>
  <c r="Y31" i="19"/>
  <c r="Z31" i="19"/>
  <c r="AA31" i="19"/>
  <c r="AB31" i="19"/>
  <c r="AC31" i="19"/>
  <c r="AF31" i="19"/>
  <c r="F32" i="19"/>
  <c r="G32" i="19"/>
  <c r="H32" i="19"/>
  <c r="I32" i="19"/>
  <c r="J32" i="19"/>
  <c r="K32" i="19"/>
  <c r="L32" i="19"/>
  <c r="M32" i="19"/>
  <c r="N32" i="19"/>
  <c r="O32" i="19"/>
  <c r="P32" i="19"/>
  <c r="Q32" i="19"/>
  <c r="R32" i="19"/>
  <c r="S32" i="19"/>
  <c r="T32" i="19"/>
  <c r="U32" i="19"/>
  <c r="V32" i="19"/>
  <c r="W32" i="19"/>
  <c r="X32" i="19"/>
  <c r="Y32" i="19"/>
  <c r="Z32" i="19"/>
  <c r="AA32" i="19"/>
  <c r="AB32" i="19"/>
  <c r="AC32" i="19"/>
  <c r="AF32" i="19"/>
  <c r="AF33" i="19"/>
  <c r="F34" i="19"/>
  <c r="G34" i="19"/>
  <c r="H34" i="19"/>
  <c r="I34" i="19"/>
  <c r="J34" i="19"/>
  <c r="K34" i="19"/>
  <c r="L34" i="19"/>
  <c r="M34" i="19"/>
  <c r="N34" i="19"/>
  <c r="O34" i="19"/>
  <c r="P34" i="19"/>
  <c r="Q34" i="19"/>
  <c r="R34" i="19"/>
  <c r="S34" i="19"/>
  <c r="T34" i="19"/>
  <c r="U34" i="19"/>
  <c r="V34" i="19"/>
  <c r="W34" i="19"/>
  <c r="X34" i="19"/>
  <c r="Y34" i="19"/>
  <c r="Z34" i="19"/>
  <c r="AA34" i="19"/>
  <c r="AB34" i="19"/>
  <c r="AC34" i="19"/>
  <c r="AF34" i="19"/>
  <c r="AF35" i="19"/>
  <c r="F36" i="19"/>
  <c r="G36" i="19"/>
  <c r="H36" i="19"/>
  <c r="I36" i="19"/>
  <c r="J36" i="19"/>
  <c r="K36" i="19"/>
  <c r="L36" i="19"/>
  <c r="M36" i="19"/>
  <c r="N36" i="19"/>
  <c r="O36" i="19"/>
  <c r="P36" i="19"/>
  <c r="Q36" i="19"/>
  <c r="R36" i="19"/>
  <c r="S36" i="19"/>
  <c r="T36" i="19"/>
  <c r="U36" i="19"/>
  <c r="V36" i="19"/>
  <c r="W36" i="19"/>
  <c r="X36" i="19"/>
  <c r="Y36" i="19"/>
  <c r="Z36" i="19"/>
  <c r="AA36" i="19"/>
  <c r="AB36" i="19"/>
  <c r="AC36" i="19"/>
  <c r="AF36" i="19"/>
  <c r="G38" i="19"/>
  <c r="H38" i="19"/>
  <c r="I38" i="19"/>
  <c r="J38" i="19"/>
  <c r="K38" i="19"/>
  <c r="L38" i="19"/>
  <c r="M38" i="19"/>
  <c r="N38" i="19"/>
  <c r="O38" i="19"/>
  <c r="P38" i="19"/>
  <c r="Q38" i="19"/>
  <c r="R38" i="19"/>
  <c r="S38" i="19"/>
  <c r="T38" i="19"/>
  <c r="U38" i="19"/>
  <c r="V38" i="19"/>
  <c r="W38" i="19"/>
  <c r="X38" i="19"/>
  <c r="Y38" i="19"/>
  <c r="Z38" i="19"/>
  <c r="AA38" i="19"/>
  <c r="AB38" i="19"/>
  <c r="AC38" i="19"/>
  <c r="AD38" i="19"/>
  <c r="G39" i="19"/>
  <c r="H39" i="19"/>
  <c r="I39" i="19"/>
  <c r="J39" i="19"/>
  <c r="K39" i="19"/>
  <c r="L39" i="19"/>
  <c r="M39" i="19"/>
  <c r="N39" i="19"/>
  <c r="O39" i="19"/>
  <c r="P39" i="19"/>
  <c r="Q39" i="19"/>
  <c r="R39" i="19"/>
  <c r="S39" i="19"/>
  <c r="T39" i="19"/>
  <c r="U39" i="19"/>
  <c r="V39" i="19"/>
  <c r="W39" i="19"/>
  <c r="X39" i="19"/>
  <c r="Y39" i="19"/>
  <c r="Z39" i="19"/>
  <c r="AA39" i="19"/>
  <c r="AB39" i="19"/>
  <c r="AC39" i="19"/>
  <c r="AD39" i="19"/>
  <c r="G40" i="19"/>
  <c r="H40" i="19"/>
  <c r="I40" i="19"/>
  <c r="J40" i="19"/>
  <c r="K40" i="19"/>
  <c r="L40" i="19"/>
  <c r="M40" i="19"/>
  <c r="N40" i="19"/>
  <c r="O40" i="19"/>
  <c r="P40" i="19"/>
  <c r="Q40" i="19"/>
  <c r="R40" i="19"/>
  <c r="S40" i="19"/>
  <c r="T40" i="19"/>
  <c r="U40" i="19"/>
  <c r="V40" i="19"/>
  <c r="W40" i="19"/>
  <c r="X40" i="19"/>
  <c r="Y40" i="19"/>
  <c r="Z40" i="19"/>
  <c r="AA40" i="19"/>
  <c r="AB40" i="19"/>
  <c r="AC40" i="19"/>
  <c r="AD40" i="19"/>
  <c r="G41" i="19"/>
  <c r="H41" i="19"/>
  <c r="I41" i="19"/>
  <c r="J41" i="19"/>
  <c r="K41" i="19"/>
  <c r="L41" i="19"/>
  <c r="M41" i="19"/>
  <c r="N41" i="19"/>
  <c r="O41" i="19"/>
  <c r="P41" i="19"/>
  <c r="Q41" i="19"/>
  <c r="R41" i="19"/>
  <c r="S41" i="19"/>
  <c r="T41" i="19"/>
  <c r="U41" i="19"/>
  <c r="V41" i="19"/>
  <c r="W41" i="19"/>
  <c r="X41" i="19"/>
  <c r="Y41" i="19"/>
  <c r="Z41" i="19"/>
  <c r="AA41" i="19"/>
  <c r="AB41" i="19"/>
  <c r="AC41" i="19"/>
  <c r="AD41" i="19"/>
  <c r="AE41" i="19"/>
  <c r="G43" i="19"/>
  <c r="H43" i="19"/>
  <c r="I43" i="19"/>
  <c r="J43" i="19"/>
  <c r="K43" i="19"/>
  <c r="L43" i="19"/>
  <c r="M43" i="19"/>
  <c r="N43" i="19"/>
  <c r="O43" i="19"/>
  <c r="P43" i="19"/>
  <c r="Q43" i="19"/>
  <c r="R43" i="19"/>
  <c r="S43" i="19"/>
  <c r="T43" i="19"/>
  <c r="U43" i="19"/>
  <c r="V43" i="19"/>
  <c r="W43" i="19"/>
  <c r="X43" i="19"/>
  <c r="Y43" i="19"/>
  <c r="Z43" i="19"/>
  <c r="AA43" i="19"/>
  <c r="AB43" i="19"/>
  <c r="AC43" i="19"/>
  <c r="AD43" i="19"/>
  <c r="G44" i="19"/>
  <c r="H44" i="19"/>
  <c r="I44" i="19"/>
  <c r="J44" i="19"/>
  <c r="K44" i="19"/>
  <c r="L44" i="19"/>
  <c r="M44" i="19"/>
  <c r="N44" i="19"/>
  <c r="O44" i="19"/>
  <c r="P44" i="19"/>
  <c r="Q44" i="19"/>
  <c r="R44" i="19"/>
  <c r="S44" i="19"/>
  <c r="T44" i="19"/>
  <c r="U44" i="19"/>
  <c r="V44" i="19"/>
  <c r="W44" i="19"/>
  <c r="X44" i="19"/>
  <c r="Y44" i="19"/>
  <c r="Z44" i="19"/>
  <c r="AA44" i="19"/>
  <c r="AB44" i="19"/>
  <c r="AC44" i="19"/>
  <c r="AD44" i="19"/>
  <c r="G45" i="19"/>
  <c r="H45" i="19"/>
  <c r="I45" i="19"/>
  <c r="J45" i="19"/>
  <c r="K45" i="19"/>
  <c r="L45" i="19"/>
  <c r="M45" i="19"/>
  <c r="N45" i="19"/>
  <c r="O45" i="19"/>
  <c r="P45" i="19"/>
  <c r="Q45" i="19"/>
  <c r="R45" i="19"/>
  <c r="S45" i="19"/>
  <c r="T45" i="19"/>
  <c r="U45" i="19"/>
  <c r="V45" i="19"/>
  <c r="W45" i="19"/>
  <c r="X45" i="19"/>
  <c r="Y45" i="19"/>
  <c r="Z45" i="19"/>
  <c r="AA45" i="19"/>
  <c r="AB45" i="19"/>
  <c r="AC45" i="19"/>
  <c r="AD45" i="19"/>
  <c r="G46" i="19"/>
  <c r="H46" i="19"/>
  <c r="I46" i="19"/>
  <c r="J46" i="19"/>
  <c r="K46" i="19"/>
  <c r="L46" i="19"/>
  <c r="M46" i="19"/>
  <c r="N46" i="19"/>
  <c r="O46" i="19"/>
  <c r="P46" i="19"/>
  <c r="Q46" i="19"/>
  <c r="R46" i="19"/>
  <c r="S46" i="19"/>
  <c r="T46" i="19"/>
  <c r="U46" i="19"/>
  <c r="V46" i="19"/>
  <c r="W46" i="19"/>
  <c r="X46" i="19"/>
  <c r="Y46" i="19"/>
  <c r="Z46" i="19"/>
  <c r="AA46" i="19"/>
  <c r="AB46" i="19"/>
  <c r="AC46" i="19"/>
  <c r="AD46" i="19"/>
  <c r="AE46" i="19"/>
  <c r="G48" i="19"/>
  <c r="H48" i="19"/>
  <c r="I48" i="19"/>
  <c r="J48" i="19"/>
  <c r="K48" i="19"/>
  <c r="L48" i="19"/>
  <c r="M48" i="19"/>
  <c r="N48" i="19"/>
  <c r="O48" i="19"/>
  <c r="P48" i="19"/>
  <c r="Q48" i="19"/>
  <c r="R48" i="19"/>
  <c r="S48" i="19"/>
  <c r="T48" i="19"/>
  <c r="U48" i="19"/>
  <c r="V48" i="19"/>
  <c r="W48" i="19"/>
  <c r="X48" i="19"/>
  <c r="Y48" i="19"/>
  <c r="Z48" i="19"/>
  <c r="AA48" i="19"/>
  <c r="AB48" i="19"/>
  <c r="AC48" i="19"/>
  <c r="AD48" i="19"/>
  <c r="AE48" i="19"/>
  <c r="G50" i="19"/>
  <c r="H50" i="19"/>
  <c r="I50" i="19"/>
  <c r="J50" i="19"/>
  <c r="K50" i="19"/>
  <c r="L50" i="19"/>
  <c r="M50" i="19"/>
  <c r="N50" i="19"/>
  <c r="O50" i="19"/>
  <c r="P50" i="19"/>
  <c r="Q50" i="19"/>
  <c r="R50" i="19"/>
  <c r="S50" i="19"/>
  <c r="T50" i="19"/>
  <c r="U50" i="19"/>
  <c r="V50" i="19"/>
  <c r="W50" i="19"/>
  <c r="X50" i="19"/>
  <c r="Y50" i="19"/>
  <c r="Z50" i="19"/>
  <c r="AA50" i="19"/>
  <c r="AB50" i="19"/>
  <c r="AC50" i="19"/>
  <c r="AD50" i="19"/>
  <c r="AE50" i="19"/>
  <c r="G52" i="19"/>
  <c r="H52" i="19"/>
  <c r="I52" i="19"/>
  <c r="J52" i="19"/>
  <c r="K52" i="19"/>
  <c r="L52" i="19"/>
  <c r="M52" i="19"/>
  <c r="N52" i="19"/>
  <c r="O52" i="19"/>
  <c r="P52" i="19"/>
  <c r="Q52" i="19"/>
  <c r="R52" i="19"/>
  <c r="S52" i="19"/>
  <c r="T52" i="19"/>
  <c r="U52" i="19"/>
  <c r="V52" i="19"/>
  <c r="W52" i="19"/>
  <c r="X52" i="19"/>
  <c r="Y52" i="19"/>
  <c r="Z52" i="19"/>
  <c r="AA52" i="19"/>
  <c r="AB52" i="19"/>
  <c r="AC52" i="19"/>
  <c r="AD52" i="19"/>
  <c r="G53" i="19"/>
  <c r="H53" i="19"/>
  <c r="I53" i="19"/>
  <c r="J53" i="19"/>
  <c r="K53" i="19"/>
  <c r="L53" i="19"/>
  <c r="M53" i="19"/>
  <c r="N53" i="19"/>
  <c r="O53" i="19"/>
  <c r="P53" i="19"/>
  <c r="Q53" i="19"/>
  <c r="R53" i="19"/>
  <c r="S53" i="19"/>
  <c r="T53" i="19"/>
  <c r="U53" i="19"/>
  <c r="V53" i="19"/>
  <c r="W53" i="19"/>
  <c r="X53" i="19"/>
  <c r="Y53" i="19"/>
  <c r="Z53" i="19"/>
  <c r="AA53" i="19"/>
  <c r="AB53" i="19"/>
  <c r="AC53" i="19"/>
  <c r="AD53" i="19"/>
  <c r="G54" i="19"/>
  <c r="H54" i="19"/>
  <c r="I54" i="19"/>
  <c r="J54" i="19"/>
  <c r="K54" i="19"/>
  <c r="L54" i="19"/>
  <c r="M54" i="19"/>
  <c r="N54" i="19"/>
  <c r="O54" i="19"/>
  <c r="P54" i="19"/>
  <c r="Q54" i="19"/>
  <c r="R54" i="19"/>
  <c r="S54" i="19"/>
  <c r="T54" i="19"/>
  <c r="U54" i="19"/>
  <c r="V54" i="19"/>
  <c r="W54" i="19"/>
  <c r="X54" i="19"/>
  <c r="Y54" i="19"/>
  <c r="Z54" i="19"/>
  <c r="AA54" i="19"/>
  <c r="AB54" i="19"/>
  <c r="AC54" i="19"/>
  <c r="AD54" i="19"/>
  <c r="G55" i="19"/>
  <c r="H55" i="19"/>
  <c r="I55" i="19"/>
  <c r="J55" i="19"/>
  <c r="K55" i="19"/>
  <c r="L55" i="19"/>
  <c r="M55" i="19"/>
  <c r="N55" i="19"/>
  <c r="O55" i="19"/>
  <c r="P55" i="19"/>
  <c r="Q55" i="19"/>
  <c r="R55" i="19"/>
  <c r="S55" i="19"/>
  <c r="T55" i="19"/>
  <c r="U55" i="19"/>
  <c r="V55" i="19"/>
  <c r="W55" i="19"/>
  <c r="X55" i="19"/>
  <c r="Y55" i="19"/>
  <c r="Z55" i="19"/>
  <c r="AA55" i="19"/>
  <c r="AB55" i="19"/>
  <c r="AC55" i="19"/>
  <c r="AD55" i="19"/>
  <c r="G56" i="19"/>
  <c r="H56" i="19"/>
  <c r="I56" i="19"/>
  <c r="J56" i="19"/>
  <c r="K56" i="19"/>
  <c r="L56" i="19"/>
  <c r="M56" i="19"/>
  <c r="N56" i="19"/>
  <c r="O56" i="19"/>
  <c r="P56" i="19"/>
  <c r="Q56" i="19"/>
  <c r="R56" i="19"/>
  <c r="S56" i="19"/>
  <c r="T56" i="19"/>
  <c r="U56" i="19"/>
  <c r="V56" i="19"/>
  <c r="W56" i="19"/>
  <c r="X56" i="19"/>
  <c r="Y56" i="19"/>
  <c r="Z56" i="19"/>
  <c r="AA56" i="19"/>
  <c r="AB56" i="19"/>
  <c r="AC56" i="19"/>
  <c r="AD56" i="19"/>
  <c r="AE56" i="19"/>
  <c r="G58" i="19"/>
  <c r="H58" i="19"/>
  <c r="I58" i="19"/>
  <c r="J58" i="19"/>
  <c r="K58" i="19"/>
  <c r="L58" i="19"/>
  <c r="M58" i="19"/>
  <c r="N58" i="19"/>
  <c r="O58" i="19"/>
  <c r="P58" i="19"/>
  <c r="Q58" i="19"/>
  <c r="R58" i="19"/>
  <c r="S58" i="19"/>
  <c r="T58" i="19"/>
  <c r="U58" i="19"/>
  <c r="V58" i="19"/>
  <c r="W58" i="19"/>
  <c r="X58" i="19"/>
  <c r="Y58" i="19"/>
  <c r="Z58" i="19"/>
  <c r="AA58" i="19"/>
  <c r="AB58" i="19"/>
  <c r="AC58" i="19"/>
  <c r="AD58" i="19"/>
  <c r="AE58" i="19"/>
  <c r="G59" i="19"/>
  <c r="H59" i="19"/>
  <c r="I59" i="19"/>
  <c r="J59" i="19"/>
  <c r="K59" i="19"/>
  <c r="L59" i="19"/>
  <c r="M59" i="19"/>
  <c r="N59" i="19"/>
  <c r="O59" i="19"/>
  <c r="P59" i="19"/>
  <c r="Q59" i="19"/>
  <c r="R59" i="19"/>
  <c r="S59" i="19"/>
  <c r="T59" i="19"/>
  <c r="U59" i="19"/>
  <c r="V59" i="19"/>
  <c r="W59" i="19"/>
  <c r="X59" i="19"/>
  <c r="Y59" i="19"/>
  <c r="Z59" i="19"/>
  <c r="AA59" i="19"/>
  <c r="AB59" i="19"/>
  <c r="AC59" i="19"/>
  <c r="AD59" i="19"/>
  <c r="G60" i="19"/>
  <c r="H60" i="19"/>
  <c r="I60" i="19"/>
  <c r="J60" i="19"/>
  <c r="K60" i="19"/>
  <c r="L60" i="19"/>
  <c r="M60" i="19"/>
  <c r="N60" i="19"/>
  <c r="O60" i="19"/>
  <c r="P60" i="19"/>
  <c r="Q60" i="19"/>
  <c r="R60" i="19"/>
  <c r="S60" i="19"/>
  <c r="T60" i="19"/>
  <c r="U60" i="19"/>
  <c r="V60" i="19"/>
  <c r="W60" i="19"/>
  <c r="X60" i="19"/>
  <c r="Y60" i="19"/>
  <c r="Z60" i="19"/>
  <c r="AA60" i="19"/>
  <c r="AB60" i="19"/>
  <c r="AC60" i="19"/>
  <c r="AD60" i="19"/>
  <c r="G61" i="19"/>
  <c r="H61" i="19"/>
  <c r="I61" i="19"/>
  <c r="J61" i="19"/>
  <c r="K61" i="19"/>
  <c r="L61" i="19"/>
  <c r="M61" i="19"/>
  <c r="N61" i="19"/>
  <c r="O61" i="19"/>
  <c r="P61" i="19"/>
  <c r="Q61" i="19"/>
  <c r="R61" i="19"/>
  <c r="S61" i="19"/>
  <c r="T61" i="19"/>
  <c r="U61" i="19"/>
  <c r="V61" i="19"/>
  <c r="W61" i="19"/>
  <c r="X61" i="19"/>
  <c r="Y61" i="19"/>
  <c r="Z61" i="19"/>
  <c r="AA61" i="19"/>
  <c r="AB61" i="19"/>
  <c r="AC61" i="19"/>
  <c r="AD61" i="19"/>
  <c r="G62" i="19"/>
  <c r="H62" i="19"/>
  <c r="I62" i="19"/>
  <c r="J62" i="19"/>
  <c r="K62" i="19"/>
  <c r="L62" i="19"/>
  <c r="M62" i="19"/>
  <c r="N62" i="19"/>
  <c r="O62" i="19"/>
  <c r="P62" i="19"/>
  <c r="Q62" i="19"/>
  <c r="R62" i="19"/>
  <c r="S62" i="19"/>
  <c r="T62" i="19"/>
  <c r="U62" i="19"/>
  <c r="V62" i="19"/>
  <c r="W62" i="19"/>
  <c r="X62" i="19"/>
  <c r="Y62" i="19"/>
  <c r="Z62" i="19"/>
  <c r="AA62" i="19"/>
  <c r="AB62" i="19"/>
  <c r="AC62" i="19"/>
  <c r="AD62" i="19"/>
  <c r="AE62" i="19"/>
  <c r="G64" i="19"/>
  <c r="H64" i="19"/>
  <c r="I64" i="19"/>
  <c r="J64" i="19"/>
  <c r="K64" i="19"/>
  <c r="L64" i="19"/>
  <c r="M64" i="19"/>
  <c r="N64" i="19"/>
  <c r="O64" i="19"/>
  <c r="P64" i="19"/>
  <c r="Q64" i="19"/>
  <c r="R64" i="19"/>
  <c r="S64" i="19"/>
  <c r="T64" i="19"/>
  <c r="U64" i="19"/>
  <c r="V64" i="19"/>
  <c r="W64" i="19"/>
  <c r="X64" i="19"/>
  <c r="Y64" i="19"/>
  <c r="Z64" i="19"/>
  <c r="AA64" i="19"/>
  <c r="AB64" i="19"/>
  <c r="AC64" i="19"/>
  <c r="AD64" i="19"/>
  <c r="G66" i="19"/>
  <c r="H66" i="19"/>
  <c r="I66" i="19"/>
  <c r="J66" i="19"/>
  <c r="K66" i="19"/>
  <c r="L66" i="19"/>
  <c r="M66" i="19"/>
  <c r="N66" i="19"/>
  <c r="O66" i="19"/>
  <c r="P66" i="19"/>
  <c r="Q66" i="19"/>
  <c r="R66" i="19"/>
  <c r="S66" i="19"/>
  <c r="T66" i="19"/>
  <c r="U66" i="19"/>
  <c r="V66" i="19"/>
  <c r="W66" i="19"/>
  <c r="X66" i="19"/>
  <c r="Y66" i="19"/>
  <c r="Z66" i="19"/>
  <c r="AA66" i="19"/>
  <c r="AB66" i="19"/>
  <c r="AC66" i="19"/>
  <c r="AD66" i="19"/>
  <c r="G67" i="19"/>
  <c r="H67" i="19"/>
  <c r="I67" i="19"/>
  <c r="J67" i="19"/>
  <c r="K67" i="19"/>
  <c r="L67" i="19"/>
  <c r="M67" i="19"/>
  <c r="N67" i="19"/>
  <c r="O67" i="19"/>
  <c r="P67" i="19"/>
  <c r="Q67" i="19"/>
  <c r="R67" i="19"/>
  <c r="S67" i="19"/>
  <c r="T67" i="19"/>
  <c r="U67" i="19"/>
  <c r="V67" i="19"/>
  <c r="W67" i="19"/>
  <c r="X67" i="19"/>
  <c r="Y67" i="19"/>
  <c r="Z67" i="19"/>
  <c r="AA67" i="19"/>
  <c r="AB67" i="19"/>
  <c r="AC67" i="19"/>
  <c r="AD67" i="19"/>
  <c r="G68" i="19"/>
  <c r="H68" i="19"/>
  <c r="I68" i="19"/>
  <c r="J68" i="19"/>
  <c r="K68" i="19"/>
  <c r="L68" i="19"/>
  <c r="M68" i="19"/>
  <c r="N68" i="19"/>
  <c r="O68" i="19"/>
  <c r="P68" i="19"/>
  <c r="Q68" i="19"/>
  <c r="R68" i="19"/>
  <c r="S68" i="19"/>
  <c r="T68" i="19"/>
  <c r="U68" i="19"/>
  <c r="V68" i="19"/>
  <c r="W68" i="19"/>
  <c r="X68" i="19"/>
  <c r="Y68" i="19"/>
  <c r="Z68" i="19"/>
  <c r="AA68" i="19"/>
  <c r="AB68" i="19"/>
  <c r="AC68" i="19"/>
  <c r="AD68" i="19"/>
  <c r="G69" i="19"/>
  <c r="H69" i="19"/>
  <c r="I69" i="19"/>
  <c r="J69" i="19"/>
  <c r="K69" i="19"/>
  <c r="L69" i="19"/>
  <c r="M69" i="19"/>
  <c r="N69" i="19"/>
  <c r="O69" i="19"/>
  <c r="P69" i="19"/>
  <c r="Q69" i="19"/>
  <c r="R69" i="19"/>
  <c r="S69" i="19"/>
  <c r="T69" i="19"/>
  <c r="U69" i="19"/>
  <c r="V69" i="19"/>
  <c r="W69" i="19"/>
  <c r="X69" i="19"/>
  <c r="Y69" i="19"/>
  <c r="Z69" i="19"/>
  <c r="AA69" i="19"/>
  <c r="AB69" i="19"/>
  <c r="AC69" i="19"/>
  <c r="AD69" i="19"/>
  <c r="G70" i="19"/>
  <c r="H70" i="19"/>
  <c r="I70" i="19"/>
  <c r="J70" i="19"/>
  <c r="K70" i="19"/>
  <c r="L70" i="19"/>
  <c r="M70" i="19"/>
  <c r="N70" i="19"/>
  <c r="O70" i="19"/>
  <c r="P70" i="19"/>
  <c r="Q70" i="19"/>
  <c r="R70" i="19"/>
  <c r="S70" i="19"/>
  <c r="T70" i="19"/>
  <c r="U70" i="19"/>
  <c r="V70" i="19"/>
  <c r="W70" i="19"/>
  <c r="X70" i="19"/>
  <c r="Y70" i="19"/>
  <c r="Z70" i="19"/>
  <c r="AA70" i="19"/>
  <c r="AB70" i="19"/>
  <c r="AC70" i="19"/>
  <c r="AD70" i="19"/>
  <c r="G71" i="19"/>
  <c r="H71" i="19"/>
  <c r="I71" i="19"/>
  <c r="J71" i="19"/>
  <c r="K71" i="19"/>
  <c r="L71" i="19"/>
  <c r="M71" i="19"/>
  <c r="N71" i="19"/>
  <c r="O71" i="19"/>
  <c r="P71" i="19"/>
  <c r="Q71" i="19"/>
  <c r="R71" i="19"/>
  <c r="S71" i="19"/>
  <c r="T71" i="19"/>
  <c r="U71" i="19"/>
  <c r="V71" i="19"/>
  <c r="W71" i="19"/>
  <c r="X71" i="19"/>
  <c r="Y71" i="19"/>
  <c r="Z71" i="19"/>
  <c r="AA71" i="19"/>
  <c r="AB71" i="19"/>
  <c r="AC71" i="19"/>
  <c r="AD71" i="19"/>
  <c r="G72" i="19"/>
  <c r="H72" i="19"/>
  <c r="I72" i="19"/>
  <c r="J72" i="19"/>
  <c r="K72" i="19"/>
  <c r="L72" i="19"/>
  <c r="M72" i="19"/>
  <c r="N72" i="19"/>
  <c r="O72" i="19"/>
  <c r="P72" i="19"/>
  <c r="Q72" i="19"/>
  <c r="R72" i="19"/>
  <c r="S72" i="19"/>
  <c r="T72" i="19"/>
  <c r="U72" i="19"/>
  <c r="V72" i="19"/>
  <c r="W72" i="19"/>
  <c r="X72" i="19"/>
  <c r="Y72" i="19"/>
  <c r="Z72" i="19"/>
  <c r="AA72" i="19"/>
  <c r="AB72" i="19"/>
  <c r="AC72" i="19"/>
  <c r="AD72" i="19"/>
  <c r="G73" i="19"/>
  <c r="H73" i="19"/>
  <c r="I73" i="19"/>
  <c r="J73" i="19"/>
  <c r="K73" i="19"/>
  <c r="L73" i="19"/>
  <c r="M73" i="19"/>
  <c r="N73" i="19"/>
  <c r="O73" i="19"/>
  <c r="P73" i="19"/>
  <c r="Q73" i="19"/>
  <c r="R73" i="19"/>
  <c r="S73" i="19"/>
  <c r="T73" i="19"/>
  <c r="U73" i="19"/>
  <c r="V73" i="19"/>
  <c r="W73" i="19"/>
  <c r="X73" i="19"/>
  <c r="Y73" i="19"/>
  <c r="Z73" i="19"/>
  <c r="AA73" i="19"/>
  <c r="AB73" i="19"/>
  <c r="AC73" i="19"/>
  <c r="AD73" i="19"/>
  <c r="G76" i="19"/>
  <c r="H76" i="19"/>
  <c r="I76" i="19"/>
  <c r="J76" i="19"/>
  <c r="K76" i="19"/>
  <c r="L76" i="19"/>
  <c r="M76" i="19"/>
  <c r="N76" i="19"/>
  <c r="O76" i="19"/>
  <c r="P76" i="19"/>
  <c r="Q76" i="19"/>
  <c r="R76" i="19"/>
  <c r="S76" i="19"/>
  <c r="T76" i="19"/>
  <c r="U76" i="19"/>
  <c r="V76" i="19"/>
  <c r="W76" i="19"/>
  <c r="X76" i="19"/>
  <c r="Y76" i="19"/>
  <c r="Z76" i="19"/>
  <c r="AA76" i="19"/>
  <c r="AB76" i="19"/>
  <c r="AC76" i="19"/>
  <c r="AD76" i="19"/>
  <c r="G77" i="19"/>
  <c r="H77" i="19"/>
  <c r="I77" i="19"/>
  <c r="J77" i="19"/>
  <c r="K77" i="19"/>
  <c r="L77" i="19"/>
  <c r="M77" i="19"/>
  <c r="N77" i="19"/>
  <c r="O77" i="19"/>
  <c r="P77" i="19"/>
  <c r="Q77" i="19"/>
  <c r="R77" i="19"/>
  <c r="S77" i="19"/>
  <c r="T77" i="19"/>
  <c r="U77" i="19"/>
  <c r="V77" i="19"/>
  <c r="W77" i="19"/>
  <c r="X77" i="19"/>
  <c r="Y77" i="19"/>
  <c r="Z77" i="19"/>
  <c r="AA77" i="19"/>
  <c r="AB77" i="19"/>
  <c r="AC77" i="19"/>
  <c r="AD77" i="19"/>
  <c r="G78" i="19"/>
  <c r="H78" i="19"/>
  <c r="I78" i="19"/>
  <c r="J78" i="19"/>
  <c r="K78" i="19"/>
  <c r="L78" i="19"/>
  <c r="M78" i="19"/>
  <c r="N78" i="19"/>
  <c r="O78" i="19"/>
  <c r="P78" i="19"/>
  <c r="Q78" i="19"/>
  <c r="R78" i="19"/>
  <c r="S78" i="19"/>
  <c r="T78" i="19"/>
  <c r="U78" i="19"/>
  <c r="V78" i="19"/>
  <c r="W78" i="19"/>
  <c r="X78" i="19"/>
  <c r="Y78" i="19"/>
  <c r="Z78" i="19"/>
  <c r="AA78" i="19"/>
  <c r="AB78" i="19"/>
  <c r="AC78" i="19"/>
  <c r="AD78" i="19"/>
  <c r="G79" i="19"/>
  <c r="H79" i="19"/>
  <c r="I79" i="19"/>
  <c r="J79" i="19"/>
  <c r="K79" i="19"/>
  <c r="L79" i="19"/>
  <c r="M79" i="19"/>
  <c r="N79" i="19"/>
  <c r="O79" i="19"/>
  <c r="P79" i="19"/>
  <c r="Q79" i="19"/>
  <c r="R79" i="19"/>
  <c r="S79" i="19"/>
  <c r="T79" i="19"/>
  <c r="U79" i="19"/>
  <c r="V79" i="19"/>
  <c r="W79" i="19"/>
  <c r="X79" i="19"/>
  <c r="Y79" i="19"/>
  <c r="Z79" i="19"/>
  <c r="AA79" i="19"/>
  <c r="AB79" i="19"/>
  <c r="AC79" i="19"/>
  <c r="AD79" i="19"/>
  <c r="G80" i="19"/>
  <c r="H80" i="19"/>
  <c r="I80" i="19"/>
  <c r="J80" i="19"/>
  <c r="K80" i="19"/>
  <c r="L80" i="19"/>
  <c r="M80" i="19"/>
  <c r="N80" i="19"/>
  <c r="O80" i="19"/>
  <c r="P80" i="19"/>
  <c r="Q80" i="19"/>
  <c r="R80" i="19"/>
  <c r="S80" i="19"/>
  <c r="T80" i="19"/>
  <c r="U80" i="19"/>
  <c r="V80" i="19"/>
  <c r="W80" i="19"/>
  <c r="X80" i="19"/>
  <c r="Y80" i="19"/>
  <c r="Z80" i="19"/>
  <c r="AA80" i="19"/>
  <c r="AB80" i="19"/>
  <c r="AC80" i="19"/>
  <c r="AD80" i="19"/>
  <c r="G81" i="19"/>
  <c r="H81" i="19"/>
  <c r="I81" i="19"/>
  <c r="J81" i="19"/>
  <c r="K81" i="19"/>
  <c r="L81" i="19"/>
  <c r="M81" i="19"/>
  <c r="N81" i="19"/>
  <c r="O81" i="19"/>
  <c r="P81" i="19"/>
  <c r="Q81" i="19"/>
  <c r="R81" i="19"/>
  <c r="S81" i="19"/>
  <c r="T81" i="19"/>
  <c r="U81" i="19"/>
  <c r="V81" i="19"/>
  <c r="W81" i="19"/>
  <c r="X81" i="19"/>
  <c r="Y81" i="19"/>
  <c r="Z81" i="19"/>
  <c r="AA81" i="19"/>
  <c r="AB81" i="19"/>
  <c r="AC81" i="19"/>
  <c r="AD81" i="19"/>
  <c r="G82" i="19"/>
  <c r="H82" i="19"/>
  <c r="I82" i="19"/>
  <c r="J82" i="19"/>
  <c r="K82" i="19"/>
  <c r="L82" i="19"/>
  <c r="M82" i="19"/>
  <c r="N82" i="19"/>
  <c r="O82" i="19"/>
  <c r="P82" i="19"/>
  <c r="Q82" i="19"/>
  <c r="R82" i="19"/>
  <c r="S82" i="19"/>
  <c r="T82" i="19"/>
  <c r="U82" i="19"/>
  <c r="V82" i="19"/>
  <c r="W82" i="19"/>
  <c r="X82" i="19"/>
  <c r="Y82" i="19"/>
  <c r="Z82" i="19"/>
  <c r="AA82" i="19"/>
  <c r="AB82" i="19"/>
  <c r="AC82" i="19"/>
  <c r="AD82" i="19"/>
  <c r="G83" i="19"/>
  <c r="H83" i="19"/>
  <c r="I83" i="19"/>
  <c r="J83" i="19"/>
  <c r="K83" i="19"/>
  <c r="L83" i="19"/>
  <c r="M83" i="19"/>
  <c r="N83" i="19"/>
  <c r="O83" i="19"/>
  <c r="P83" i="19"/>
  <c r="Q83" i="19"/>
  <c r="R83" i="19"/>
  <c r="S83" i="19"/>
  <c r="T83" i="19"/>
  <c r="U83" i="19"/>
  <c r="V83" i="19"/>
  <c r="W83" i="19"/>
  <c r="X83" i="19"/>
  <c r="Y83" i="19"/>
  <c r="Z83" i="19"/>
  <c r="AA83" i="19"/>
  <c r="AB83" i="19"/>
  <c r="AC83" i="19"/>
  <c r="AD83" i="19"/>
  <c r="G84" i="19"/>
  <c r="H84" i="19"/>
  <c r="I84" i="19"/>
  <c r="J84" i="19"/>
  <c r="K84" i="19"/>
  <c r="L84" i="19"/>
  <c r="M84" i="19"/>
  <c r="N84" i="19"/>
  <c r="O84" i="19"/>
  <c r="P84" i="19"/>
  <c r="Q84" i="19"/>
  <c r="R84" i="19"/>
  <c r="S84" i="19"/>
  <c r="T84" i="19"/>
  <c r="U84" i="19"/>
  <c r="V84" i="19"/>
  <c r="W84" i="19"/>
  <c r="X84" i="19"/>
  <c r="Y84" i="19"/>
  <c r="Z84" i="19"/>
  <c r="AA84" i="19"/>
  <c r="AB84" i="19"/>
  <c r="AC84" i="19"/>
  <c r="AD84" i="19"/>
  <c r="G85" i="19"/>
  <c r="H85" i="19"/>
  <c r="I85" i="19"/>
  <c r="J85" i="19"/>
  <c r="K85" i="19"/>
  <c r="L85" i="19"/>
  <c r="M85" i="19"/>
  <c r="N85" i="19"/>
  <c r="O85" i="19"/>
  <c r="P85" i="19"/>
  <c r="Q85" i="19"/>
  <c r="R85" i="19"/>
  <c r="S85" i="19"/>
  <c r="T85" i="19"/>
  <c r="U85" i="19"/>
  <c r="V85" i="19"/>
  <c r="W85" i="19"/>
  <c r="X85" i="19"/>
  <c r="Y85" i="19"/>
  <c r="Z85" i="19"/>
  <c r="AA85" i="19"/>
  <c r="AB85" i="19"/>
  <c r="AC85" i="19"/>
  <c r="AD85" i="19"/>
  <c r="G86" i="19"/>
  <c r="H86" i="19"/>
  <c r="I86" i="19"/>
  <c r="J86" i="19"/>
  <c r="K86" i="19"/>
  <c r="L86" i="19"/>
  <c r="M86" i="19"/>
  <c r="N86" i="19"/>
  <c r="O86" i="19"/>
  <c r="P86" i="19"/>
  <c r="Q86" i="19"/>
  <c r="R86" i="19"/>
  <c r="S86" i="19"/>
  <c r="T86" i="19"/>
  <c r="U86" i="19"/>
  <c r="V86" i="19"/>
  <c r="W86" i="19"/>
  <c r="X86" i="19"/>
  <c r="Y86" i="19"/>
  <c r="Z86" i="19"/>
  <c r="AA86" i="19"/>
  <c r="AB86" i="19"/>
  <c r="AC86" i="19"/>
  <c r="AD86" i="19"/>
  <c r="G87" i="19"/>
  <c r="H87" i="19"/>
  <c r="I87" i="19"/>
  <c r="J87" i="19"/>
  <c r="K87" i="19"/>
  <c r="L87" i="19"/>
  <c r="M87" i="19"/>
  <c r="N87" i="19"/>
  <c r="O87" i="19"/>
  <c r="P87" i="19"/>
  <c r="Q87" i="19"/>
  <c r="R87" i="19"/>
  <c r="S87" i="19"/>
  <c r="T87" i="19"/>
  <c r="U87" i="19"/>
  <c r="V87" i="19"/>
  <c r="W87" i="19"/>
  <c r="X87" i="19"/>
  <c r="Y87" i="19"/>
  <c r="Z87" i="19"/>
  <c r="AA87" i="19"/>
  <c r="AB87" i="19"/>
  <c r="AC87" i="19"/>
  <c r="AD87" i="19"/>
  <c r="G88" i="19"/>
  <c r="H88" i="19"/>
  <c r="I88" i="19"/>
  <c r="J88" i="19"/>
  <c r="K88" i="19"/>
  <c r="L88" i="19"/>
  <c r="M88" i="19"/>
  <c r="N88" i="19"/>
  <c r="O88" i="19"/>
  <c r="P88" i="19"/>
  <c r="Q88" i="19"/>
  <c r="R88" i="19"/>
  <c r="S88" i="19"/>
  <c r="T88" i="19"/>
  <c r="U88" i="19"/>
  <c r="V88" i="19"/>
  <c r="W88" i="19"/>
  <c r="X88" i="19"/>
  <c r="Y88" i="19"/>
  <c r="Z88" i="19"/>
  <c r="AA88" i="19"/>
  <c r="AB88" i="19"/>
  <c r="AC88" i="19"/>
  <c r="AD88" i="19"/>
  <c r="G89" i="19"/>
  <c r="H89" i="19"/>
  <c r="I89" i="19"/>
  <c r="J89" i="19"/>
  <c r="K89" i="19"/>
  <c r="L89" i="19"/>
  <c r="M89" i="19"/>
  <c r="N89" i="19"/>
  <c r="O89" i="19"/>
  <c r="P89" i="19"/>
  <c r="Q89" i="19"/>
  <c r="R89" i="19"/>
  <c r="S89" i="19"/>
  <c r="T89" i="19"/>
  <c r="U89" i="19"/>
  <c r="V89" i="19"/>
  <c r="W89" i="19"/>
  <c r="X89" i="19"/>
  <c r="Y89" i="19"/>
  <c r="Z89" i="19"/>
  <c r="AA89" i="19"/>
  <c r="AB89" i="19"/>
  <c r="AC89" i="19"/>
  <c r="AD89" i="19"/>
  <c r="G90" i="19"/>
  <c r="H90" i="19"/>
  <c r="I90" i="19"/>
  <c r="J90" i="19"/>
  <c r="K90" i="19"/>
  <c r="L90" i="19"/>
  <c r="M90" i="19"/>
  <c r="N90" i="19"/>
  <c r="O90" i="19"/>
  <c r="P90" i="19"/>
  <c r="Q90" i="19"/>
  <c r="R90" i="19"/>
  <c r="S90" i="19"/>
  <c r="T90" i="19"/>
  <c r="U90" i="19"/>
  <c r="V90" i="19"/>
  <c r="W90" i="19"/>
  <c r="X90" i="19"/>
  <c r="Y90" i="19"/>
  <c r="Z90" i="19"/>
  <c r="AA90" i="19"/>
  <c r="AB90" i="19"/>
  <c r="AC90" i="19"/>
  <c r="AD90" i="19"/>
  <c r="G91" i="19"/>
  <c r="H91" i="19"/>
  <c r="I91" i="19"/>
  <c r="J91" i="19"/>
  <c r="K91" i="19"/>
  <c r="L91" i="19"/>
  <c r="M91" i="19"/>
  <c r="N91" i="19"/>
  <c r="O91" i="19"/>
  <c r="P91" i="19"/>
  <c r="Q91" i="19"/>
  <c r="R91" i="19"/>
  <c r="S91" i="19"/>
  <c r="T91" i="19"/>
  <c r="U91" i="19"/>
  <c r="V91" i="19"/>
  <c r="W91" i="19"/>
  <c r="X91" i="19"/>
  <c r="Y91" i="19"/>
  <c r="Z91" i="19"/>
  <c r="AA91" i="19"/>
  <c r="AB91" i="19"/>
  <c r="AC91" i="19"/>
  <c r="AD91" i="19"/>
  <c r="G92" i="19"/>
  <c r="H92" i="19"/>
  <c r="I92" i="19"/>
  <c r="J92" i="19"/>
  <c r="K92" i="19"/>
  <c r="L92" i="19"/>
  <c r="M92" i="19"/>
  <c r="N92" i="19"/>
  <c r="O92" i="19"/>
  <c r="P92" i="19"/>
  <c r="Q92" i="19"/>
  <c r="R92" i="19"/>
  <c r="S92" i="19"/>
  <c r="T92" i="19"/>
  <c r="U92" i="19"/>
  <c r="V92" i="19"/>
  <c r="W92" i="19"/>
  <c r="X92" i="19"/>
  <c r="Y92" i="19"/>
  <c r="Z92" i="19"/>
  <c r="AA92" i="19"/>
  <c r="AB92" i="19"/>
  <c r="AC92" i="19"/>
  <c r="AD92" i="19"/>
  <c r="G93" i="19"/>
  <c r="H93" i="19"/>
  <c r="I93" i="19"/>
  <c r="J93" i="19"/>
  <c r="K93" i="19"/>
  <c r="L93" i="19"/>
  <c r="M93" i="19"/>
  <c r="N93" i="19"/>
  <c r="O93" i="19"/>
  <c r="P93" i="19"/>
  <c r="Q93" i="19"/>
  <c r="R93" i="19"/>
  <c r="S93" i="19"/>
  <c r="T93" i="19"/>
  <c r="U93" i="19"/>
  <c r="V93" i="19"/>
  <c r="W93" i="19"/>
  <c r="X93" i="19"/>
  <c r="Y93" i="19"/>
  <c r="Z93" i="19"/>
  <c r="AA93" i="19"/>
  <c r="AB93" i="19"/>
  <c r="AC93" i="19"/>
  <c r="AD93" i="19"/>
  <c r="G94" i="19"/>
  <c r="H94" i="19"/>
  <c r="I94" i="19"/>
  <c r="J94" i="19"/>
  <c r="K94" i="19"/>
  <c r="L94" i="19"/>
  <c r="M94" i="19"/>
  <c r="N94" i="19"/>
  <c r="O94" i="19"/>
  <c r="P94" i="19"/>
  <c r="Q94" i="19"/>
  <c r="R94" i="19"/>
  <c r="S94" i="19"/>
  <c r="T94" i="19"/>
  <c r="U94" i="19"/>
  <c r="V94" i="19"/>
  <c r="W94" i="19"/>
  <c r="X94" i="19"/>
  <c r="Y94" i="19"/>
  <c r="Z94" i="19"/>
  <c r="AA94" i="19"/>
  <c r="AB94" i="19"/>
  <c r="AC94" i="19"/>
  <c r="AD94" i="19"/>
  <c r="G95" i="19"/>
  <c r="H95" i="19"/>
  <c r="I95" i="19"/>
  <c r="J95" i="19"/>
  <c r="K95" i="19"/>
  <c r="L95" i="19"/>
  <c r="M95" i="19"/>
  <c r="N95" i="19"/>
  <c r="O95" i="19"/>
  <c r="P95" i="19"/>
  <c r="Q95" i="19"/>
  <c r="R95" i="19"/>
  <c r="S95" i="19"/>
  <c r="T95" i="19"/>
  <c r="U95" i="19"/>
  <c r="V95" i="19"/>
  <c r="W95" i="19"/>
  <c r="X95" i="19"/>
  <c r="Y95" i="19"/>
  <c r="Z95" i="19"/>
  <c r="AA95" i="19"/>
  <c r="AB95" i="19"/>
  <c r="AC95" i="19"/>
  <c r="AD95" i="19"/>
  <c r="G96" i="19"/>
  <c r="H96" i="19"/>
  <c r="I96" i="19"/>
  <c r="J96" i="19"/>
  <c r="K96" i="19"/>
  <c r="L96" i="19"/>
  <c r="M96" i="19"/>
  <c r="N96" i="19"/>
  <c r="O96" i="19"/>
  <c r="P96" i="19"/>
  <c r="Q96" i="19"/>
  <c r="R96" i="19"/>
  <c r="S96" i="19"/>
  <c r="T96" i="19"/>
  <c r="U96" i="19"/>
  <c r="V96" i="19"/>
  <c r="W96" i="19"/>
  <c r="X96" i="19"/>
  <c r="Y96" i="19"/>
  <c r="Z96" i="19"/>
  <c r="AA96" i="19"/>
  <c r="AB96" i="19"/>
  <c r="AC96" i="19"/>
  <c r="AD96" i="19"/>
  <c r="G97" i="19"/>
  <c r="H97" i="19"/>
  <c r="I97" i="19"/>
  <c r="J97" i="19"/>
  <c r="K97" i="19"/>
  <c r="L97" i="19"/>
  <c r="M97" i="19"/>
  <c r="N97" i="19"/>
  <c r="O97" i="19"/>
  <c r="P97" i="19"/>
  <c r="Q97" i="19"/>
  <c r="R97" i="19"/>
  <c r="S97" i="19"/>
  <c r="T97" i="19"/>
  <c r="U97" i="19"/>
  <c r="V97" i="19"/>
  <c r="W97" i="19"/>
  <c r="X97" i="19"/>
  <c r="Y97" i="19"/>
  <c r="Z97" i="19"/>
  <c r="AA97" i="19"/>
  <c r="AB97" i="19"/>
  <c r="AC97" i="19"/>
  <c r="AD97" i="19"/>
  <c r="G98" i="19"/>
  <c r="H98" i="19"/>
  <c r="I98" i="19"/>
  <c r="J98" i="19"/>
  <c r="K98" i="19"/>
  <c r="L98" i="19"/>
  <c r="M98" i="19"/>
  <c r="N98" i="19"/>
  <c r="O98" i="19"/>
  <c r="P98" i="19"/>
  <c r="Q98" i="19"/>
  <c r="R98" i="19"/>
  <c r="S98" i="19"/>
  <c r="T98" i="19"/>
  <c r="U98" i="19"/>
  <c r="V98" i="19"/>
  <c r="W98" i="19"/>
  <c r="X98" i="19"/>
  <c r="Y98" i="19"/>
  <c r="Z98" i="19"/>
  <c r="AA98" i="19"/>
  <c r="AB98" i="19"/>
  <c r="AC98" i="19"/>
  <c r="AD98" i="19"/>
  <c r="G99" i="19"/>
  <c r="H99" i="19"/>
  <c r="I99" i="19"/>
  <c r="J99" i="19"/>
  <c r="K99" i="19"/>
  <c r="L99" i="19"/>
  <c r="M99" i="19"/>
  <c r="N99" i="19"/>
  <c r="O99" i="19"/>
  <c r="P99" i="19"/>
  <c r="Q99" i="19"/>
  <c r="R99" i="19"/>
  <c r="S99" i="19"/>
  <c r="T99" i="19"/>
  <c r="U99" i="19"/>
  <c r="V99" i="19"/>
  <c r="W99" i="19"/>
  <c r="X99" i="19"/>
  <c r="Y99" i="19"/>
  <c r="Z99" i="19"/>
  <c r="AA99" i="19"/>
  <c r="AB99" i="19"/>
  <c r="AC99" i="19"/>
  <c r="AD99" i="19"/>
  <c r="G100" i="19"/>
  <c r="H100" i="19"/>
  <c r="I100" i="19"/>
  <c r="J100" i="19"/>
  <c r="K100" i="19"/>
  <c r="L100" i="19"/>
  <c r="M100" i="19"/>
  <c r="N100" i="19"/>
  <c r="O100" i="19"/>
  <c r="P100" i="19"/>
  <c r="Q100" i="19"/>
  <c r="R100" i="19"/>
  <c r="S100" i="19"/>
  <c r="T100" i="19"/>
  <c r="U100" i="19"/>
  <c r="V100" i="19"/>
  <c r="W100" i="19"/>
  <c r="X100" i="19"/>
  <c r="Y100" i="19"/>
  <c r="Z100" i="19"/>
  <c r="AA100" i="19"/>
  <c r="AB100" i="19"/>
  <c r="AC100" i="19"/>
  <c r="AD100" i="19"/>
  <c r="G102" i="19"/>
  <c r="H102" i="19"/>
  <c r="I102" i="19"/>
  <c r="J102" i="19"/>
  <c r="K102" i="19"/>
  <c r="L102" i="19"/>
  <c r="M102" i="19"/>
  <c r="N102" i="19"/>
  <c r="O102" i="19"/>
  <c r="P102" i="19"/>
  <c r="Q102" i="19"/>
  <c r="R102" i="19"/>
  <c r="S102" i="19"/>
  <c r="T102" i="19"/>
  <c r="U102" i="19"/>
  <c r="V102" i="19"/>
  <c r="W102" i="19"/>
  <c r="X102" i="19"/>
  <c r="Y102" i="19"/>
  <c r="Z102" i="19"/>
  <c r="AA102" i="19"/>
  <c r="AB102" i="19"/>
  <c r="AC102" i="19"/>
  <c r="H103" i="19"/>
  <c r="I103" i="19"/>
  <c r="J103" i="19"/>
  <c r="K103" i="19"/>
  <c r="L103" i="19"/>
  <c r="M103" i="19"/>
  <c r="N103" i="19"/>
  <c r="O103" i="19"/>
  <c r="P103" i="19"/>
  <c r="Q103" i="19"/>
  <c r="R103" i="19"/>
  <c r="S103" i="19"/>
  <c r="T103" i="19"/>
  <c r="U103" i="19"/>
  <c r="V103" i="19"/>
  <c r="W103" i="19"/>
  <c r="X103" i="19"/>
  <c r="Y103" i="19"/>
  <c r="Z103" i="19"/>
  <c r="AA103" i="19"/>
  <c r="AB103" i="19"/>
  <c r="AC103" i="19"/>
  <c r="G104" i="19"/>
  <c r="H104" i="19"/>
  <c r="I104" i="19"/>
  <c r="J104" i="19"/>
  <c r="K104" i="19"/>
  <c r="L104" i="19"/>
  <c r="M104" i="19"/>
  <c r="N104" i="19"/>
  <c r="O104" i="19"/>
  <c r="P104" i="19"/>
  <c r="Q104" i="19"/>
  <c r="R104" i="19"/>
  <c r="S104" i="19"/>
  <c r="T104" i="19"/>
  <c r="U104" i="19"/>
  <c r="V104" i="19"/>
  <c r="W104" i="19"/>
  <c r="X104" i="19"/>
  <c r="Y104" i="19"/>
  <c r="Z104" i="19"/>
  <c r="AA104" i="19"/>
  <c r="AB104" i="19"/>
  <c r="AC104" i="19"/>
  <c r="A1" i="6"/>
  <c r="A2" i="6"/>
  <c r="A3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AB8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B9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B10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B11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B12" i="6"/>
  <c r="AB13" i="6"/>
  <c r="AB14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B15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B16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B17" i="6"/>
  <c r="B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B18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B19" i="6"/>
  <c r="AB20" i="6"/>
  <c r="AB21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B22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B23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B24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B25" i="6"/>
  <c r="B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B26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B27" i="6"/>
  <c r="AB28" i="6"/>
  <c r="AB29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B30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B31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B32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B33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B34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B35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B36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B37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B38" i="6"/>
  <c r="AB39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B40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B42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B43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B45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B46" i="6"/>
  <c r="AB47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B48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B49" i="6"/>
  <c r="AB50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B51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B52" i="6"/>
  <c r="AB53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B54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B55" i="6"/>
  <c r="AB56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B57" i="6"/>
  <c r="AB58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B59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B60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B61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B62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B63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B64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B65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B68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B69" i="6"/>
  <c r="AB70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B72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B73" i="6"/>
  <c r="AB74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B75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B76" i="6"/>
  <c r="AB77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B78" i="6"/>
  <c r="AB79" i="6"/>
  <c r="I81" i="6"/>
  <c r="H6" i="66"/>
  <c r="I6" i="66"/>
  <c r="J6" i="66"/>
  <c r="K6" i="66"/>
  <c r="L6" i="66"/>
  <c r="M6" i="66"/>
  <c r="N6" i="66"/>
  <c r="O6" i="66"/>
  <c r="P6" i="66"/>
  <c r="Q6" i="66"/>
  <c r="R6" i="66"/>
  <c r="S6" i="66"/>
  <c r="T6" i="66"/>
  <c r="U6" i="66"/>
  <c r="V6" i="66"/>
  <c r="W6" i="66"/>
  <c r="X6" i="66"/>
  <c r="Y6" i="66"/>
  <c r="Z6" i="66"/>
  <c r="AA6" i="66"/>
  <c r="AB6" i="66"/>
  <c r="AC6" i="66"/>
  <c r="G7" i="66"/>
  <c r="H7" i="66"/>
  <c r="I7" i="66"/>
  <c r="J7" i="66"/>
  <c r="K7" i="66"/>
  <c r="L7" i="66"/>
  <c r="M7" i="66"/>
  <c r="N7" i="66"/>
  <c r="O7" i="66"/>
  <c r="P7" i="66"/>
  <c r="Q7" i="66"/>
  <c r="R7" i="66"/>
  <c r="S7" i="66"/>
  <c r="T7" i="66"/>
  <c r="U7" i="66"/>
  <c r="V7" i="66"/>
  <c r="W7" i="66"/>
  <c r="X7" i="66"/>
  <c r="Y7" i="66"/>
  <c r="Z7" i="66"/>
  <c r="AA7" i="66"/>
  <c r="AB7" i="66"/>
  <c r="AC7" i="66"/>
  <c r="G9" i="66"/>
  <c r="H9" i="66"/>
  <c r="I9" i="66"/>
  <c r="J9" i="66"/>
  <c r="K9" i="66"/>
  <c r="L9" i="66"/>
  <c r="M9" i="66"/>
  <c r="N9" i="66"/>
  <c r="O9" i="66"/>
  <c r="P9" i="66"/>
  <c r="Q9" i="66"/>
  <c r="R9" i="66"/>
  <c r="S9" i="66"/>
  <c r="T9" i="66"/>
  <c r="U9" i="66"/>
  <c r="V9" i="66"/>
  <c r="W9" i="66"/>
  <c r="X9" i="66"/>
  <c r="Y9" i="66"/>
  <c r="Z9" i="66"/>
  <c r="AA9" i="66"/>
  <c r="AB9" i="66"/>
  <c r="AC9" i="66"/>
  <c r="G10" i="66"/>
  <c r="H10" i="66"/>
  <c r="I10" i="66"/>
  <c r="J10" i="66"/>
  <c r="K10" i="66"/>
  <c r="L10" i="66"/>
  <c r="M10" i="66"/>
  <c r="N10" i="66"/>
  <c r="O10" i="66"/>
  <c r="P10" i="66"/>
  <c r="Q10" i="66"/>
  <c r="R10" i="66"/>
  <c r="S10" i="66"/>
  <c r="T10" i="66"/>
  <c r="U10" i="66"/>
  <c r="V10" i="66"/>
  <c r="W10" i="66"/>
  <c r="X10" i="66"/>
  <c r="Y10" i="66"/>
  <c r="Z10" i="66"/>
  <c r="AA10" i="66"/>
  <c r="AB10" i="66"/>
  <c r="AC10" i="66"/>
  <c r="G11" i="66"/>
  <c r="H11" i="66"/>
  <c r="I11" i="66"/>
  <c r="J11" i="66"/>
  <c r="K11" i="66"/>
  <c r="L11" i="66"/>
  <c r="M11" i="66"/>
  <c r="N11" i="66"/>
  <c r="O11" i="66"/>
  <c r="P11" i="66"/>
  <c r="Q11" i="66"/>
  <c r="R11" i="66"/>
  <c r="S11" i="66"/>
  <c r="T11" i="66"/>
  <c r="U11" i="66"/>
  <c r="V11" i="66"/>
  <c r="W11" i="66"/>
  <c r="X11" i="66"/>
  <c r="Y11" i="66"/>
  <c r="Z11" i="66"/>
  <c r="AA11" i="66"/>
  <c r="AB11" i="66"/>
  <c r="AC11" i="66"/>
  <c r="G12" i="66"/>
  <c r="H12" i="66"/>
  <c r="I12" i="66"/>
  <c r="J12" i="66"/>
  <c r="K12" i="66"/>
  <c r="L12" i="66"/>
  <c r="M12" i="66"/>
  <c r="N12" i="66"/>
  <c r="O12" i="66"/>
  <c r="P12" i="66"/>
  <c r="Q12" i="66"/>
  <c r="R12" i="66"/>
  <c r="S12" i="66"/>
  <c r="T12" i="66"/>
  <c r="U12" i="66"/>
  <c r="V12" i="66"/>
  <c r="W12" i="66"/>
  <c r="X12" i="66"/>
  <c r="Y12" i="66"/>
  <c r="Z12" i="66"/>
  <c r="AA12" i="66"/>
  <c r="AB12" i="66"/>
  <c r="AC12" i="66"/>
  <c r="G13" i="66"/>
  <c r="H13" i="66"/>
  <c r="I13" i="66"/>
  <c r="J13" i="66"/>
  <c r="K13" i="66"/>
  <c r="L13" i="66"/>
  <c r="M13" i="66"/>
  <c r="N13" i="66"/>
  <c r="O13" i="66"/>
  <c r="P13" i="66"/>
  <c r="Q13" i="66"/>
  <c r="R13" i="66"/>
  <c r="S13" i="66"/>
  <c r="T13" i="66"/>
  <c r="U13" i="66"/>
  <c r="V13" i="66"/>
  <c r="W13" i="66"/>
  <c r="X13" i="66"/>
  <c r="Y13" i="66"/>
  <c r="Z13" i="66"/>
  <c r="AA13" i="66"/>
  <c r="AB13" i="66"/>
  <c r="AC13" i="66"/>
  <c r="G14" i="66"/>
  <c r="H14" i="66"/>
  <c r="I14" i="66"/>
  <c r="J14" i="66"/>
  <c r="K14" i="66"/>
  <c r="L14" i="66"/>
  <c r="M14" i="66"/>
  <c r="N14" i="66"/>
  <c r="O14" i="66"/>
  <c r="P14" i="66"/>
  <c r="Q14" i="66"/>
  <c r="R14" i="66"/>
  <c r="S14" i="66"/>
  <c r="T14" i="66"/>
  <c r="U14" i="66"/>
  <c r="V14" i="66"/>
  <c r="W14" i="66"/>
  <c r="X14" i="66"/>
  <c r="Y14" i="66"/>
  <c r="Z14" i="66"/>
  <c r="AA14" i="66"/>
  <c r="AB14" i="66"/>
  <c r="AC14" i="66"/>
  <c r="G15" i="66"/>
  <c r="H15" i="66"/>
  <c r="I15" i="66"/>
  <c r="J15" i="66"/>
  <c r="K15" i="66"/>
  <c r="L15" i="66"/>
  <c r="M15" i="66"/>
  <c r="N15" i="66"/>
  <c r="O15" i="66"/>
  <c r="P15" i="66"/>
  <c r="Q15" i="66"/>
  <c r="R15" i="66"/>
  <c r="S15" i="66"/>
  <c r="T15" i="66"/>
  <c r="U15" i="66"/>
  <c r="V15" i="66"/>
  <c r="W15" i="66"/>
  <c r="X15" i="66"/>
  <c r="Y15" i="66"/>
  <c r="Z15" i="66"/>
  <c r="AA15" i="66"/>
  <c r="AB15" i="66"/>
  <c r="AC15" i="66"/>
  <c r="G16" i="66"/>
  <c r="H16" i="66"/>
  <c r="I16" i="66"/>
  <c r="J16" i="66"/>
  <c r="K16" i="66"/>
  <c r="L16" i="66"/>
  <c r="M16" i="66"/>
  <c r="N16" i="66"/>
  <c r="O16" i="66"/>
  <c r="P16" i="66"/>
  <c r="Q16" i="66"/>
  <c r="R16" i="66"/>
  <c r="S16" i="66"/>
  <c r="T16" i="66"/>
  <c r="U16" i="66"/>
  <c r="V16" i="66"/>
  <c r="W16" i="66"/>
  <c r="X16" i="66"/>
  <c r="Y16" i="66"/>
  <c r="Z16" i="66"/>
  <c r="AA16" i="66"/>
  <c r="AB16" i="66"/>
  <c r="AC16" i="66"/>
  <c r="G17" i="66"/>
  <c r="H17" i="66"/>
  <c r="I17" i="66"/>
  <c r="J17" i="66"/>
  <c r="K17" i="66"/>
  <c r="L17" i="66"/>
  <c r="M17" i="66"/>
  <c r="N17" i="66"/>
  <c r="O17" i="66"/>
  <c r="P17" i="66"/>
  <c r="Q17" i="66"/>
  <c r="R17" i="66"/>
  <c r="S17" i="66"/>
  <c r="T17" i="66"/>
  <c r="U17" i="66"/>
  <c r="V17" i="66"/>
  <c r="W17" i="66"/>
  <c r="X17" i="66"/>
  <c r="Y17" i="66"/>
  <c r="Z17" i="66"/>
  <c r="AA17" i="66"/>
  <c r="AB17" i="66"/>
  <c r="AC17" i="66"/>
  <c r="G18" i="66"/>
  <c r="H18" i="66"/>
  <c r="I18" i="66"/>
  <c r="J18" i="66"/>
  <c r="K18" i="66"/>
  <c r="L18" i="66"/>
  <c r="M18" i="66"/>
  <c r="N18" i="66"/>
  <c r="O18" i="66"/>
  <c r="P18" i="66"/>
  <c r="Q18" i="66"/>
  <c r="R18" i="66"/>
  <c r="S18" i="66"/>
  <c r="T18" i="66"/>
  <c r="U18" i="66"/>
  <c r="V18" i="66"/>
  <c r="W18" i="66"/>
  <c r="X18" i="66"/>
  <c r="Y18" i="66"/>
  <c r="Z18" i="66"/>
  <c r="AA18" i="66"/>
  <c r="AB18" i="66"/>
  <c r="AC18" i="66"/>
  <c r="G21" i="66"/>
  <c r="H21" i="66"/>
  <c r="I21" i="66"/>
  <c r="J21" i="66"/>
  <c r="K21" i="66"/>
  <c r="L21" i="66"/>
  <c r="M21" i="66"/>
  <c r="N21" i="66"/>
  <c r="O21" i="66"/>
  <c r="P21" i="66"/>
  <c r="Q21" i="66"/>
  <c r="R21" i="66"/>
  <c r="S21" i="66"/>
  <c r="T21" i="66"/>
  <c r="U21" i="66"/>
  <c r="V21" i="66"/>
  <c r="W21" i="66"/>
  <c r="X21" i="66"/>
  <c r="Y21" i="66"/>
  <c r="Z21" i="66"/>
  <c r="AA21" i="66"/>
  <c r="AB21" i="66"/>
  <c r="AC21" i="66"/>
  <c r="G22" i="66"/>
  <c r="H22" i="66"/>
  <c r="I22" i="66"/>
  <c r="J22" i="66"/>
  <c r="K22" i="66"/>
  <c r="L22" i="66"/>
  <c r="M22" i="66"/>
  <c r="N22" i="66"/>
  <c r="O22" i="66"/>
  <c r="P22" i="66"/>
  <c r="Q22" i="66"/>
  <c r="R22" i="66"/>
  <c r="S22" i="66"/>
  <c r="T22" i="66"/>
  <c r="U22" i="66"/>
  <c r="V22" i="66"/>
  <c r="W22" i="66"/>
  <c r="X22" i="66"/>
  <c r="Y22" i="66"/>
  <c r="Z22" i="66"/>
  <c r="AA22" i="66"/>
  <c r="AB22" i="66"/>
  <c r="AC22" i="66"/>
  <c r="G23" i="66"/>
  <c r="H23" i="66"/>
  <c r="I23" i="66"/>
  <c r="J23" i="66"/>
  <c r="K23" i="66"/>
  <c r="L23" i="66"/>
  <c r="M23" i="66"/>
  <c r="N23" i="66"/>
  <c r="O23" i="66"/>
  <c r="P23" i="66"/>
  <c r="Q23" i="66"/>
  <c r="R23" i="66"/>
  <c r="S23" i="66"/>
  <c r="T23" i="66"/>
  <c r="U23" i="66"/>
  <c r="V23" i="66"/>
  <c r="W23" i="66"/>
  <c r="X23" i="66"/>
  <c r="Y23" i="66"/>
  <c r="Z23" i="66"/>
  <c r="AA23" i="66"/>
  <c r="AB23" i="66"/>
  <c r="AC23" i="66"/>
  <c r="G24" i="66"/>
  <c r="H24" i="66"/>
  <c r="I24" i="66"/>
  <c r="J24" i="66"/>
  <c r="K24" i="66"/>
  <c r="L24" i="66"/>
  <c r="M24" i="66"/>
  <c r="N24" i="66"/>
  <c r="O24" i="66"/>
  <c r="P24" i="66"/>
  <c r="Q24" i="66"/>
  <c r="R24" i="66"/>
  <c r="S24" i="66"/>
  <c r="T24" i="66"/>
  <c r="U24" i="66"/>
  <c r="V24" i="66"/>
  <c r="W24" i="66"/>
  <c r="X24" i="66"/>
  <c r="Y24" i="66"/>
  <c r="Z24" i="66"/>
  <c r="AA24" i="66"/>
  <c r="AB24" i="66"/>
  <c r="AC24" i="66"/>
  <c r="G25" i="66"/>
  <c r="H25" i="66"/>
  <c r="I25" i="66"/>
  <c r="J25" i="66"/>
  <c r="K25" i="66"/>
  <c r="L25" i="66"/>
  <c r="M25" i="66"/>
  <c r="N25" i="66"/>
  <c r="O25" i="66"/>
  <c r="P25" i="66"/>
  <c r="Q25" i="66"/>
  <c r="R25" i="66"/>
  <c r="S25" i="66"/>
  <c r="T25" i="66"/>
  <c r="U25" i="66"/>
  <c r="V25" i="66"/>
  <c r="W25" i="66"/>
  <c r="X25" i="66"/>
  <c r="Y25" i="66"/>
  <c r="Z25" i="66"/>
  <c r="AA25" i="66"/>
  <c r="AB25" i="66"/>
  <c r="AC25" i="66"/>
  <c r="G28" i="66"/>
  <c r="H28" i="66"/>
  <c r="I28" i="66"/>
  <c r="J28" i="66"/>
  <c r="K28" i="66"/>
  <c r="L28" i="66"/>
  <c r="M28" i="66"/>
  <c r="N28" i="66"/>
  <c r="O28" i="66"/>
  <c r="P28" i="66"/>
  <c r="Q28" i="66"/>
  <c r="R28" i="66"/>
  <c r="S28" i="66"/>
  <c r="T28" i="66"/>
  <c r="U28" i="66"/>
  <c r="V28" i="66"/>
  <c r="W28" i="66"/>
  <c r="X28" i="66"/>
  <c r="Y28" i="66"/>
  <c r="Z28" i="66"/>
  <c r="AA28" i="66"/>
  <c r="AB28" i="66"/>
  <c r="AC28" i="66"/>
  <c r="G29" i="66"/>
  <c r="H29" i="66"/>
  <c r="I29" i="66"/>
  <c r="J29" i="66"/>
  <c r="K29" i="66"/>
  <c r="L29" i="66"/>
  <c r="M29" i="66"/>
  <c r="N29" i="66"/>
  <c r="O29" i="66"/>
  <c r="P29" i="66"/>
  <c r="Q29" i="66"/>
  <c r="R29" i="66"/>
  <c r="S29" i="66"/>
  <c r="T29" i="66"/>
  <c r="U29" i="66"/>
  <c r="V29" i="66"/>
  <c r="W29" i="66"/>
  <c r="X29" i="66"/>
  <c r="Y29" i="66"/>
  <c r="Z29" i="66"/>
  <c r="AA29" i="66"/>
  <c r="AB29" i="66"/>
  <c r="AC29" i="66"/>
  <c r="G30" i="66"/>
  <c r="H30" i="66"/>
  <c r="I30" i="66"/>
  <c r="J30" i="66"/>
  <c r="K30" i="66"/>
  <c r="L30" i="66"/>
  <c r="M30" i="66"/>
  <c r="N30" i="66"/>
  <c r="O30" i="66"/>
  <c r="P30" i="66"/>
  <c r="Q30" i="66"/>
  <c r="R30" i="66"/>
  <c r="S30" i="66"/>
  <c r="T30" i="66"/>
  <c r="U30" i="66"/>
  <c r="V30" i="66"/>
  <c r="W30" i="66"/>
  <c r="X30" i="66"/>
  <c r="Y30" i="66"/>
  <c r="Z30" i="66"/>
  <c r="AA30" i="66"/>
  <c r="AB30" i="66"/>
  <c r="AC30" i="66"/>
  <c r="G31" i="66"/>
  <c r="H31" i="66"/>
  <c r="I31" i="66"/>
  <c r="J31" i="66"/>
  <c r="K31" i="66"/>
  <c r="L31" i="66"/>
  <c r="M31" i="66"/>
  <c r="N31" i="66"/>
  <c r="O31" i="66"/>
  <c r="P31" i="66"/>
  <c r="Q31" i="66"/>
  <c r="R31" i="66"/>
  <c r="S31" i="66"/>
  <c r="T31" i="66"/>
  <c r="U31" i="66"/>
  <c r="V31" i="66"/>
  <c r="W31" i="66"/>
  <c r="X31" i="66"/>
  <c r="Y31" i="66"/>
  <c r="Z31" i="66"/>
  <c r="AA31" i="66"/>
  <c r="AB31" i="66"/>
  <c r="AC31" i="66"/>
  <c r="G32" i="66"/>
  <c r="H32" i="66"/>
  <c r="I32" i="66"/>
  <c r="J32" i="66"/>
  <c r="K32" i="66"/>
  <c r="L32" i="66"/>
  <c r="M32" i="66"/>
  <c r="N32" i="66"/>
  <c r="O32" i="66"/>
  <c r="P32" i="66"/>
  <c r="Q32" i="66"/>
  <c r="R32" i="66"/>
  <c r="S32" i="66"/>
  <c r="T32" i="66"/>
  <c r="U32" i="66"/>
  <c r="V32" i="66"/>
  <c r="W32" i="66"/>
  <c r="X32" i="66"/>
  <c r="Y32" i="66"/>
  <c r="Z32" i="66"/>
  <c r="AA32" i="66"/>
  <c r="AB32" i="66"/>
  <c r="AC32" i="66"/>
  <c r="G34" i="66"/>
  <c r="H34" i="66"/>
  <c r="I34" i="66"/>
  <c r="J34" i="66"/>
  <c r="K34" i="66"/>
  <c r="L34" i="66"/>
  <c r="M34" i="66"/>
  <c r="N34" i="66"/>
  <c r="O34" i="66"/>
  <c r="P34" i="66"/>
  <c r="Q34" i="66"/>
  <c r="R34" i="66"/>
  <c r="S34" i="66"/>
  <c r="T34" i="66"/>
  <c r="U34" i="66"/>
  <c r="V34" i="66"/>
  <c r="W34" i="66"/>
  <c r="X34" i="66"/>
  <c r="Y34" i="66"/>
  <c r="Z34" i="66"/>
  <c r="AA34" i="66"/>
  <c r="AB34" i="66"/>
  <c r="AC34" i="66"/>
  <c r="G38" i="66"/>
  <c r="H38" i="66"/>
  <c r="I38" i="66"/>
  <c r="J38" i="66"/>
  <c r="K38" i="66"/>
  <c r="L38" i="66"/>
  <c r="M38" i="66"/>
  <c r="N38" i="66"/>
  <c r="O38" i="66"/>
  <c r="P38" i="66"/>
  <c r="Q38" i="66"/>
  <c r="R38" i="66"/>
  <c r="S38" i="66"/>
  <c r="T38" i="66"/>
  <c r="U38" i="66"/>
  <c r="V38" i="66"/>
  <c r="W38" i="66"/>
  <c r="X38" i="66"/>
  <c r="Y38" i="66"/>
  <c r="Z38" i="66"/>
  <c r="AA38" i="66"/>
  <c r="AB38" i="66"/>
  <c r="AC38" i="66"/>
  <c r="AD38" i="66"/>
  <c r="G39" i="66"/>
  <c r="H39" i="66"/>
  <c r="I39" i="66"/>
  <c r="J39" i="66"/>
  <c r="K39" i="66"/>
  <c r="L39" i="66"/>
  <c r="M39" i="66"/>
  <c r="N39" i="66"/>
  <c r="O39" i="66"/>
  <c r="P39" i="66"/>
  <c r="Q39" i="66"/>
  <c r="R39" i="66"/>
  <c r="S39" i="66"/>
  <c r="T39" i="66"/>
  <c r="U39" i="66"/>
  <c r="V39" i="66"/>
  <c r="W39" i="66"/>
  <c r="X39" i="66"/>
  <c r="Y39" i="66"/>
  <c r="Z39" i="66"/>
  <c r="AA39" i="66"/>
  <c r="AB39" i="66"/>
  <c r="AC39" i="66"/>
  <c r="G40" i="66"/>
  <c r="H40" i="66"/>
  <c r="I40" i="66"/>
  <c r="J40" i="66"/>
  <c r="K40" i="66"/>
  <c r="L40" i="66"/>
  <c r="M40" i="66"/>
  <c r="N40" i="66"/>
  <c r="O40" i="66"/>
  <c r="P40" i="66"/>
  <c r="Q40" i="66"/>
  <c r="R40" i="66"/>
  <c r="S40" i="66"/>
  <c r="T40" i="66"/>
  <c r="U40" i="66"/>
  <c r="V40" i="66"/>
  <c r="W40" i="66"/>
  <c r="X40" i="66"/>
  <c r="Y40" i="66"/>
  <c r="Z40" i="66"/>
  <c r="AA40" i="66"/>
  <c r="AB40" i="66"/>
  <c r="AC40" i="66"/>
  <c r="G41" i="66"/>
  <c r="H41" i="66"/>
  <c r="I41" i="66"/>
  <c r="J41" i="66"/>
  <c r="K41" i="66"/>
  <c r="L41" i="66"/>
  <c r="M41" i="66"/>
  <c r="N41" i="66"/>
  <c r="O41" i="66"/>
  <c r="P41" i="66"/>
  <c r="Q41" i="66"/>
  <c r="R41" i="66"/>
  <c r="S41" i="66"/>
  <c r="T41" i="66"/>
  <c r="U41" i="66"/>
  <c r="V41" i="66"/>
  <c r="W41" i="66"/>
  <c r="X41" i="66"/>
  <c r="Y41" i="66"/>
  <c r="Z41" i="66"/>
  <c r="AA41" i="66"/>
  <c r="AB41" i="66"/>
  <c r="AC41" i="66"/>
  <c r="G43" i="66"/>
  <c r="H43" i="66"/>
  <c r="I43" i="66"/>
  <c r="J43" i="66"/>
  <c r="K43" i="66"/>
  <c r="L43" i="66"/>
  <c r="M43" i="66"/>
  <c r="N43" i="66"/>
  <c r="O43" i="66"/>
  <c r="P43" i="66"/>
  <c r="Q43" i="66"/>
  <c r="R43" i="66"/>
  <c r="S43" i="66"/>
  <c r="T43" i="66"/>
  <c r="U43" i="66"/>
  <c r="V43" i="66"/>
  <c r="W43" i="66"/>
  <c r="X43" i="66"/>
  <c r="Y43" i="66"/>
  <c r="Z43" i="66"/>
  <c r="AA43" i="66"/>
  <c r="AB43" i="66"/>
  <c r="AC43" i="66"/>
  <c r="G44" i="66"/>
  <c r="H44" i="66"/>
  <c r="I44" i="66"/>
  <c r="J44" i="66"/>
  <c r="K44" i="66"/>
  <c r="L44" i="66"/>
  <c r="M44" i="66"/>
  <c r="N44" i="66"/>
  <c r="O44" i="66"/>
  <c r="P44" i="66"/>
  <c r="Q44" i="66"/>
  <c r="R44" i="66"/>
  <c r="S44" i="66"/>
  <c r="T44" i="66"/>
  <c r="U44" i="66"/>
  <c r="V44" i="66"/>
  <c r="W44" i="66"/>
  <c r="X44" i="66"/>
  <c r="Y44" i="66"/>
  <c r="Z44" i="66"/>
  <c r="AA44" i="66"/>
  <c r="AB44" i="66"/>
  <c r="AC44" i="66"/>
  <c r="G45" i="66"/>
  <c r="H45" i="66"/>
  <c r="I45" i="66"/>
  <c r="J45" i="66"/>
  <c r="K45" i="66"/>
  <c r="L45" i="66"/>
  <c r="M45" i="66"/>
  <c r="N45" i="66"/>
  <c r="O45" i="66"/>
  <c r="P45" i="66"/>
  <c r="Q45" i="66"/>
  <c r="R45" i="66"/>
  <c r="S45" i="66"/>
  <c r="T45" i="66"/>
  <c r="U45" i="66"/>
  <c r="V45" i="66"/>
  <c r="W45" i="66"/>
  <c r="X45" i="66"/>
  <c r="Y45" i="66"/>
  <c r="Z45" i="66"/>
  <c r="AA45" i="66"/>
  <c r="AB45" i="66"/>
  <c r="AC45" i="66"/>
  <c r="G46" i="66"/>
  <c r="H46" i="66"/>
  <c r="I46" i="66"/>
  <c r="J46" i="66"/>
  <c r="K46" i="66"/>
  <c r="L46" i="66"/>
  <c r="M46" i="66"/>
  <c r="N46" i="66"/>
  <c r="O46" i="66"/>
  <c r="P46" i="66"/>
  <c r="Q46" i="66"/>
  <c r="R46" i="66"/>
  <c r="S46" i="66"/>
  <c r="T46" i="66"/>
  <c r="U46" i="66"/>
  <c r="V46" i="66"/>
  <c r="W46" i="66"/>
  <c r="X46" i="66"/>
  <c r="Y46" i="66"/>
  <c r="Z46" i="66"/>
  <c r="AA46" i="66"/>
  <c r="AB46" i="66"/>
  <c r="AC46" i="66"/>
  <c r="G48" i="66"/>
  <c r="H48" i="66"/>
  <c r="I48" i="66"/>
  <c r="J48" i="66"/>
  <c r="K48" i="66"/>
  <c r="L48" i="66"/>
  <c r="M48" i="66"/>
  <c r="N48" i="66"/>
  <c r="O48" i="66"/>
  <c r="P48" i="66"/>
  <c r="Q48" i="66"/>
  <c r="R48" i="66"/>
  <c r="S48" i="66"/>
  <c r="T48" i="66"/>
  <c r="U48" i="66"/>
  <c r="V48" i="66"/>
  <c r="W48" i="66"/>
  <c r="X48" i="66"/>
  <c r="Y48" i="66"/>
  <c r="Z48" i="66"/>
  <c r="AA48" i="66"/>
  <c r="AB48" i="66"/>
  <c r="AC48" i="66"/>
  <c r="G50" i="66"/>
  <c r="H50" i="66"/>
  <c r="I50" i="66"/>
  <c r="J50" i="66"/>
  <c r="K50" i="66"/>
  <c r="L50" i="66"/>
  <c r="M50" i="66"/>
  <c r="N50" i="66"/>
  <c r="O50" i="66"/>
  <c r="P50" i="66"/>
  <c r="Q50" i="66"/>
  <c r="R50" i="66"/>
  <c r="S50" i="66"/>
  <c r="T50" i="66"/>
  <c r="U50" i="66"/>
  <c r="V50" i="66"/>
  <c r="W50" i="66"/>
  <c r="X50" i="66"/>
  <c r="Y50" i="66"/>
  <c r="Z50" i="66"/>
  <c r="AA50" i="66"/>
  <c r="AB50" i="66"/>
  <c r="AC50" i="66"/>
  <c r="G52" i="66"/>
  <c r="H52" i="66"/>
  <c r="I52" i="66"/>
  <c r="J52" i="66"/>
  <c r="K52" i="66"/>
  <c r="L52" i="66"/>
  <c r="M52" i="66"/>
  <c r="N52" i="66"/>
  <c r="O52" i="66"/>
  <c r="P52" i="66"/>
  <c r="Q52" i="66"/>
  <c r="R52" i="66"/>
  <c r="S52" i="66"/>
  <c r="T52" i="66"/>
  <c r="U52" i="66"/>
  <c r="V52" i="66"/>
  <c r="W52" i="66"/>
  <c r="X52" i="66"/>
  <c r="Y52" i="66"/>
  <c r="Z52" i="66"/>
  <c r="AA52" i="66"/>
  <c r="AB52" i="66"/>
  <c r="AC52" i="66"/>
  <c r="G53" i="66"/>
  <c r="H53" i="66"/>
  <c r="I53" i="66"/>
  <c r="J53" i="66"/>
  <c r="K53" i="66"/>
  <c r="L53" i="66"/>
  <c r="M53" i="66"/>
  <c r="N53" i="66"/>
  <c r="O53" i="66"/>
  <c r="P53" i="66"/>
  <c r="Q53" i="66"/>
  <c r="R53" i="66"/>
  <c r="S53" i="66"/>
  <c r="T53" i="66"/>
  <c r="U53" i="66"/>
  <c r="V53" i="66"/>
  <c r="W53" i="66"/>
  <c r="X53" i="66"/>
  <c r="Y53" i="66"/>
  <c r="Z53" i="66"/>
  <c r="AA53" i="66"/>
  <c r="AB53" i="66"/>
  <c r="AC53" i="66"/>
  <c r="G54" i="66"/>
  <c r="H54" i="66"/>
  <c r="I54" i="66"/>
  <c r="J54" i="66"/>
  <c r="K54" i="66"/>
  <c r="L54" i="66"/>
  <c r="M54" i="66"/>
  <c r="N54" i="66"/>
  <c r="O54" i="66"/>
  <c r="P54" i="66"/>
  <c r="Q54" i="66"/>
  <c r="R54" i="66"/>
  <c r="S54" i="66"/>
  <c r="T54" i="66"/>
  <c r="U54" i="66"/>
  <c r="V54" i="66"/>
  <c r="W54" i="66"/>
  <c r="X54" i="66"/>
  <c r="Y54" i="66"/>
  <c r="Z54" i="66"/>
  <c r="AA54" i="66"/>
  <c r="AB54" i="66"/>
  <c r="AC54" i="66"/>
  <c r="G55" i="66"/>
  <c r="H55" i="66"/>
  <c r="I55" i="66"/>
  <c r="J55" i="66"/>
  <c r="K55" i="66"/>
  <c r="L55" i="66"/>
  <c r="M55" i="66"/>
  <c r="N55" i="66"/>
  <c r="O55" i="66"/>
  <c r="P55" i="66"/>
  <c r="Q55" i="66"/>
  <c r="R55" i="66"/>
  <c r="S55" i="66"/>
  <c r="T55" i="66"/>
  <c r="U55" i="66"/>
  <c r="V55" i="66"/>
  <c r="W55" i="66"/>
  <c r="X55" i="66"/>
  <c r="Y55" i="66"/>
  <c r="Z55" i="66"/>
  <c r="AA55" i="66"/>
  <c r="AB55" i="66"/>
  <c r="AC55" i="66"/>
  <c r="G56" i="66"/>
  <c r="H56" i="66"/>
  <c r="I56" i="66"/>
  <c r="J56" i="66"/>
  <c r="K56" i="66"/>
  <c r="L56" i="66"/>
  <c r="M56" i="66"/>
  <c r="N56" i="66"/>
  <c r="O56" i="66"/>
  <c r="P56" i="66"/>
  <c r="Q56" i="66"/>
  <c r="R56" i="66"/>
  <c r="S56" i="66"/>
  <c r="T56" i="66"/>
  <c r="U56" i="66"/>
  <c r="V56" i="66"/>
  <c r="W56" i="66"/>
  <c r="X56" i="66"/>
  <c r="Y56" i="66"/>
  <c r="Z56" i="66"/>
  <c r="AA56" i="66"/>
  <c r="AB56" i="66"/>
  <c r="AC56" i="66"/>
  <c r="G58" i="66"/>
  <c r="H58" i="66"/>
  <c r="I58" i="66"/>
  <c r="J58" i="66"/>
  <c r="K58" i="66"/>
  <c r="L58" i="66"/>
  <c r="M58" i="66"/>
  <c r="N58" i="66"/>
  <c r="O58" i="66"/>
  <c r="P58" i="66"/>
  <c r="Q58" i="66"/>
  <c r="R58" i="66"/>
  <c r="S58" i="66"/>
  <c r="T58" i="66"/>
  <c r="U58" i="66"/>
  <c r="V58" i="66"/>
  <c r="W58" i="66"/>
  <c r="X58" i="66"/>
  <c r="Y58" i="66"/>
  <c r="Z58" i="66"/>
  <c r="AA58" i="66"/>
  <c r="AB58" i="66"/>
  <c r="AC58" i="66"/>
  <c r="G59" i="66"/>
  <c r="H59" i="66"/>
  <c r="I59" i="66"/>
  <c r="J59" i="66"/>
  <c r="K59" i="66"/>
  <c r="L59" i="66"/>
  <c r="M59" i="66"/>
  <c r="N59" i="66"/>
  <c r="O59" i="66"/>
  <c r="P59" i="66"/>
  <c r="Q59" i="66"/>
  <c r="R59" i="66"/>
  <c r="S59" i="66"/>
  <c r="T59" i="66"/>
  <c r="U59" i="66"/>
  <c r="V59" i="66"/>
  <c r="W59" i="66"/>
  <c r="X59" i="66"/>
  <c r="Y59" i="66"/>
  <c r="Z59" i="66"/>
  <c r="AA59" i="66"/>
  <c r="AB59" i="66"/>
  <c r="AC59" i="66"/>
  <c r="G60" i="66"/>
  <c r="H60" i="66"/>
  <c r="I60" i="66"/>
  <c r="J60" i="66"/>
  <c r="K60" i="66"/>
  <c r="L60" i="66"/>
  <c r="M60" i="66"/>
  <c r="N60" i="66"/>
  <c r="O60" i="66"/>
  <c r="P60" i="66"/>
  <c r="Q60" i="66"/>
  <c r="R60" i="66"/>
  <c r="S60" i="66"/>
  <c r="T60" i="66"/>
  <c r="U60" i="66"/>
  <c r="V60" i="66"/>
  <c r="W60" i="66"/>
  <c r="X60" i="66"/>
  <c r="Y60" i="66"/>
  <c r="Z60" i="66"/>
  <c r="AA60" i="66"/>
  <c r="AB60" i="66"/>
  <c r="AC60" i="66"/>
  <c r="G61" i="66"/>
  <c r="H61" i="66"/>
  <c r="I61" i="66"/>
  <c r="J61" i="66"/>
  <c r="K61" i="66"/>
  <c r="L61" i="66"/>
  <c r="M61" i="66"/>
  <c r="N61" i="66"/>
  <c r="O61" i="66"/>
  <c r="P61" i="66"/>
  <c r="Q61" i="66"/>
  <c r="R61" i="66"/>
  <c r="S61" i="66"/>
  <c r="T61" i="66"/>
  <c r="U61" i="66"/>
  <c r="V61" i="66"/>
  <c r="W61" i="66"/>
  <c r="X61" i="66"/>
  <c r="Y61" i="66"/>
  <c r="Z61" i="66"/>
  <c r="AA61" i="66"/>
  <c r="AB61" i="66"/>
  <c r="AC61" i="66"/>
  <c r="G62" i="66"/>
  <c r="H62" i="66"/>
  <c r="I62" i="66"/>
  <c r="J62" i="66"/>
  <c r="K62" i="66"/>
  <c r="L62" i="66"/>
  <c r="M62" i="66"/>
  <c r="N62" i="66"/>
  <c r="O62" i="66"/>
  <c r="P62" i="66"/>
  <c r="Q62" i="66"/>
  <c r="R62" i="66"/>
  <c r="S62" i="66"/>
  <c r="T62" i="66"/>
  <c r="U62" i="66"/>
  <c r="V62" i="66"/>
  <c r="W62" i="66"/>
  <c r="X62" i="66"/>
  <c r="Y62" i="66"/>
  <c r="Z62" i="66"/>
  <c r="AA62" i="66"/>
  <c r="AB62" i="66"/>
  <c r="AC62" i="66"/>
  <c r="F69" i="66"/>
  <c r="G69" i="66"/>
  <c r="H69" i="66"/>
  <c r="I69" i="66"/>
  <c r="J69" i="66"/>
  <c r="K69" i="66"/>
  <c r="L69" i="66"/>
  <c r="M69" i="66"/>
  <c r="N69" i="66"/>
  <c r="O69" i="66"/>
  <c r="P69" i="66"/>
  <c r="Q69" i="66"/>
  <c r="R69" i="66"/>
  <c r="S69" i="66"/>
  <c r="T69" i="66"/>
  <c r="U69" i="66"/>
  <c r="V69" i="66"/>
  <c r="W69" i="66"/>
  <c r="X69" i="66"/>
  <c r="Y69" i="66"/>
  <c r="Z69" i="66"/>
  <c r="AA69" i="66"/>
  <c r="AB69" i="66"/>
  <c r="AC69" i="66"/>
  <c r="F70" i="66"/>
  <c r="G70" i="66"/>
  <c r="H70" i="66"/>
  <c r="I70" i="66"/>
  <c r="J70" i="66"/>
  <c r="K70" i="66"/>
  <c r="L70" i="66"/>
  <c r="M70" i="66"/>
  <c r="N70" i="66"/>
  <c r="O70" i="66"/>
  <c r="P70" i="66"/>
  <c r="Q70" i="66"/>
  <c r="R70" i="66"/>
  <c r="S70" i="66"/>
  <c r="T70" i="66"/>
  <c r="U70" i="66"/>
  <c r="V70" i="66"/>
  <c r="W70" i="66"/>
  <c r="X70" i="66"/>
  <c r="Y70" i="66"/>
  <c r="Z70" i="66"/>
  <c r="AA70" i="66"/>
  <c r="AB70" i="66"/>
  <c r="AC70" i="66"/>
  <c r="F73" i="66"/>
  <c r="G73" i="66"/>
  <c r="H73" i="66"/>
  <c r="I73" i="66"/>
  <c r="J73" i="66"/>
  <c r="K73" i="66"/>
  <c r="L73" i="66"/>
  <c r="M73" i="66"/>
  <c r="N73" i="66"/>
  <c r="O73" i="66"/>
  <c r="P73" i="66"/>
  <c r="Q73" i="66"/>
  <c r="R73" i="66"/>
  <c r="S73" i="66"/>
  <c r="T73" i="66"/>
  <c r="U73" i="66"/>
  <c r="V73" i="66"/>
  <c r="W73" i="66"/>
  <c r="X73" i="66"/>
  <c r="Y73" i="66"/>
  <c r="Z73" i="66"/>
  <c r="AA73" i="66"/>
  <c r="AB73" i="66"/>
  <c r="AC73" i="66"/>
  <c r="F74" i="66"/>
  <c r="G74" i="66"/>
  <c r="H74" i="66"/>
  <c r="I74" i="66"/>
  <c r="J74" i="66"/>
  <c r="K74" i="66"/>
  <c r="L74" i="66"/>
  <c r="M74" i="66"/>
  <c r="N74" i="66"/>
  <c r="O74" i="66"/>
  <c r="P74" i="66"/>
  <c r="Q74" i="66"/>
  <c r="R74" i="66"/>
  <c r="S74" i="66"/>
  <c r="T74" i="66"/>
  <c r="U74" i="66"/>
  <c r="V74" i="66"/>
  <c r="W74" i="66"/>
  <c r="X74" i="66"/>
  <c r="Y74" i="66"/>
  <c r="Z74" i="66"/>
  <c r="AA74" i="66"/>
  <c r="AB74" i="66"/>
  <c r="AC74" i="66"/>
  <c r="F75" i="66"/>
  <c r="G75" i="66"/>
  <c r="H75" i="66"/>
  <c r="I75" i="66"/>
  <c r="J75" i="66"/>
  <c r="K75" i="66"/>
  <c r="L75" i="66"/>
  <c r="M75" i="66"/>
  <c r="N75" i="66"/>
  <c r="O75" i="66"/>
  <c r="P75" i="66"/>
  <c r="Q75" i="66"/>
  <c r="R75" i="66"/>
  <c r="S75" i="66"/>
  <c r="T75" i="66"/>
  <c r="U75" i="66"/>
  <c r="V75" i="66"/>
  <c r="W75" i="66"/>
  <c r="X75" i="66"/>
  <c r="Y75" i="66"/>
  <c r="Z75" i="66"/>
  <c r="AA75" i="66"/>
  <c r="AB75" i="66"/>
  <c r="AC75" i="66"/>
  <c r="F78" i="66"/>
  <c r="G78" i="66"/>
  <c r="H78" i="66"/>
  <c r="I78" i="66"/>
  <c r="J78" i="66"/>
  <c r="K78" i="66"/>
  <c r="L78" i="66"/>
  <c r="M78" i="66"/>
  <c r="N78" i="66"/>
  <c r="O78" i="66"/>
  <c r="P78" i="66"/>
  <c r="Q78" i="66"/>
  <c r="R78" i="66"/>
  <c r="S78" i="66"/>
  <c r="T78" i="66"/>
  <c r="U78" i="66"/>
  <c r="V78" i="66"/>
  <c r="W78" i="66"/>
  <c r="X78" i="66"/>
  <c r="Y78" i="66"/>
  <c r="Z78" i="66"/>
  <c r="AA78" i="66"/>
  <c r="AB78" i="66"/>
  <c r="AC78" i="66"/>
  <c r="F80" i="66"/>
  <c r="G80" i="66"/>
  <c r="H80" i="66"/>
  <c r="I80" i="66"/>
  <c r="J80" i="66"/>
  <c r="K80" i="66"/>
  <c r="L80" i="66"/>
  <c r="M80" i="66"/>
  <c r="N80" i="66"/>
  <c r="O80" i="66"/>
  <c r="P80" i="66"/>
  <c r="Q80" i="66"/>
  <c r="R80" i="66"/>
  <c r="S80" i="66"/>
  <c r="T80" i="66"/>
  <c r="U80" i="66"/>
  <c r="V80" i="66"/>
  <c r="W80" i="66"/>
  <c r="X80" i="66"/>
  <c r="Y80" i="66"/>
  <c r="Z80" i="66"/>
  <c r="AA80" i="66"/>
  <c r="AB80" i="66"/>
  <c r="AC80" i="66"/>
  <c r="F85" i="66"/>
  <c r="G85" i="66"/>
  <c r="H85" i="66"/>
  <c r="I85" i="66"/>
  <c r="J85" i="66"/>
  <c r="K85" i="66"/>
  <c r="L85" i="66"/>
  <c r="M85" i="66"/>
  <c r="N85" i="66"/>
  <c r="O85" i="66"/>
  <c r="P85" i="66"/>
  <c r="Q85" i="66"/>
  <c r="R85" i="66"/>
  <c r="S85" i="66"/>
  <c r="T85" i="66"/>
  <c r="U85" i="66"/>
  <c r="V85" i="66"/>
  <c r="W85" i="66"/>
  <c r="X85" i="66"/>
  <c r="Y85" i="66"/>
  <c r="Z85" i="66"/>
  <c r="AA85" i="66"/>
  <c r="AB85" i="66"/>
  <c r="AC85" i="66"/>
  <c r="F86" i="66"/>
  <c r="K86" i="66"/>
  <c r="L86" i="66"/>
  <c r="M86" i="66"/>
  <c r="N86" i="66"/>
  <c r="O86" i="66"/>
  <c r="P86" i="66"/>
  <c r="Q86" i="66"/>
  <c r="R86" i="66"/>
  <c r="S86" i="66"/>
  <c r="T86" i="66"/>
  <c r="U86" i="66"/>
  <c r="V86" i="66"/>
  <c r="W86" i="66"/>
  <c r="X86" i="66"/>
  <c r="Y86" i="66"/>
  <c r="Z86" i="66"/>
  <c r="AA86" i="66"/>
  <c r="AB86" i="66"/>
  <c r="AC86" i="66"/>
  <c r="A1" i="15"/>
  <c r="A2" i="15"/>
  <c r="A3" i="15"/>
  <c r="D6" i="15"/>
  <c r="E6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D7" i="15"/>
  <c r="E7" i="15"/>
  <c r="F7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AB8" i="15"/>
  <c r="D9" i="15"/>
  <c r="E9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B9" i="15"/>
  <c r="AB10" i="15"/>
  <c r="AB11" i="15"/>
  <c r="D12" i="15"/>
  <c r="E12" i="15"/>
  <c r="F12" i="15"/>
  <c r="G12" i="15"/>
  <c r="H12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W12" i="15"/>
  <c r="X12" i="15"/>
  <c r="Y12" i="15"/>
  <c r="Z12" i="15"/>
  <c r="AB12" i="15"/>
  <c r="D13" i="15"/>
  <c r="E13" i="15"/>
  <c r="F13" i="15"/>
  <c r="G13" i="15"/>
  <c r="H13" i="15"/>
  <c r="I13" i="15"/>
  <c r="J13" i="15"/>
  <c r="K13" i="15"/>
  <c r="L13" i="15"/>
  <c r="M13" i="15"/>
  <c r="N13" i="15"/>
  <c r="O13" i="15"/>
  <c r="P13" i="15"/>
  <c r="Q13" i="15"/>
  <c r="R13" i="15"/>
  <c r="S13" i="15"/>
  <c r="T13" i="15"/>
  <c r="U13" i="15"/>
  <c r="V13" i="15"/>
  <c r="W13" i="15"/>
  <c r="X13" i="15"/>
  <c r="Y13" i="15"/>
  <c r="Z13" i="15"/>
  <c r="AA13" i="15"/>
  <c r="AB13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B14" i="15"/>
  <c r="AB15" i="15"/>
  <c r="A16" i="15"/>
  <c r="D16" i="15"/>
  <c r="E16" i="15"/>
  <c r="F16" i="15"/>
  <c r="G16" i="15"/>
  <c r="H16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V16" i="15"/>
  <c r="W16" i="15"/>
  <c r="X16" i="15"/>
  <c r="Y16" i="15"/>
  <c r="AB16" i="15"/>
  <c r="AB17" i="15"/>
  <c r="AB18" i="15"/>
  <c r="D19" i="15"/>
  <c r="E19" i="15"/>
  <c r="F19" i="15"/>
  <c r="G19" i="15"/>
  <c r="H19" i="15"/>
  <c r="I19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W19" i="15"/>
  <c r="X19" i="15"/>
  <c r="Y19" i="15"/>
  <c r="Z19" i="15"/>
  <c r="AB19" i="15"/>
  <c r="D20" i="15"/>
  <c r="E20" i="15"/>
  <c r="F20" i="15"/>
  <c r="G20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X20" i="15"/>
  <c r="Y20" i="15"/>
  <c r="Z20" i="15"/>
  <c r="AA20" i="15"/>
  <c r="AB20" i="15"/>
  <c r="D21" i="15"/>
  <c r="E21" i="15"/>
  <c r="F21" i="15"/>
  <c r="G21" i="15"/>
  <c r="H21" i="15"/>
  <c r="I21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W21" i="15"/>
  <c r="X21" i="15"/>
  <c r="Y21" i="15"/>
  <c r="Z21" i="15"/>
  <c r="AB21" i="15"/>
  <c r="D23" i="15"/>
  <c r="E23" i="15"/>
  <c r="F23" i="15"/>
  <c r="G23" i="15"/>
  <c r="H23" i="15"/>
  <c r="I23" i="15"/>
  <c r="J23" i="15"/>
  <c r="K23" i="15"/>
  <c r="L23" i="15"/>
  <c r="M23" i="15"/>
  <c r="N23" i="15"/>
  <c r="O23" i="15"/>
  <c r="P23" i="15"/>
  <c r="Q23" i="15"/>
  <c r="R23" i="15"/>
  <c r="S23" i="15"/>
  <c r="T23" i="15"/>
  <c r="U23" i="15"/>
  <c r="V23" i="15"/>
  <c r="W23" i="15"/>
  <c r="X23" i="15"/>
  <c r="Y23" i="15"/>
  <c r="C26" i="15"/>
  <c r="G26" i="15"/>
  <c r="K26" i="15"/>
  <c r="O26" i="15"/>
  <c r="S26" i="15"/>
  <c r="W26" i="15"/>
  <c r="F27" i="15"/>
  <c r="J27" i="15"/>
  <c r="N27" i="15"/>
  <c r="R27" i="15"/>
  <c r="V27" i="15"/>
  <c r="Z27" i="15"/>
  <c r="F28" i="15"/>
  <c r="J28" i="15"/>
  <c r="N28" i="15"/>
  <c r="R28" i="15"/>
  <c r="V28" i="15"/>
  <c r="Z28" i="15"/>
  <c r="F29" i="15"/>
  <c r="J29" i="15"/>
  <c r="N29" i="15"/>
  <c r="R29" i="15"/>
  <c r="V29" i="15"/>
  <c r="Z29" i="15"/>
  <c r="F30" i="15"/>
  <c r="J30" i="15"/>
  <c r="N30" i="15"/>
  <c r="R30" i="15"/>
  <c r="V30" i="15"/>
  <c r="Z30" i="15"/>
  <c r="F31" i="15"/>
  <c r="J31" i="15"/>
  <c r="N31" i="15"/>
  <c r="R31" i="15"/>
  <c r="V31" i="15"/>
  <c r="Z31" i="15"/>
  <c r="C32" i="15"/>
  <c r="F32" i="15"/>
  <c r="G32" i="15"/>
  <c r="J32" i="15"/>
  <c r="K32" i="15"/>
  <c r="N32" i="15"/>
  <c r="O32" i="15"/>
  <c r="R32" i="15"/>
  <c r="S32" i="15"/>
  <c r="V32" i="15"/>
  <c r="W32" i="15"/>
  <c r="Z32" i="15"/>
  <c r="A35" i="15"/>
  <c r="B35" i="15"/>
  <c r="C35" i="15"/>
  <c r="D35" i="15"/>
  <c r="E35" i="15"/>
  <c r="F35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Y35" i="15"/>
  <c r="Z35" i="15"/>
  <c r="AL35" i="15"/>
  <c r="AN35" i="15"/>
  <c r="AP35" i="15"/>
  <c r="AR35" i="15"/>
  <c r="AT35" i="15"/>
  <c r="AU35" i="15"/>
  <c r="AV35" i="15"/>
  <c r="AZ35" i="15"/>
  <c r="BC35" i="15"/>
  <c r="BD35" i="15"/>
  <c r="BF35" i="15"/>
  <c r="A36" i="15"/>
  <c r="B36" i="15"/>
  <c r="C36" i="15"/>
  <c r="D36" i="15"/>
  <c r="E36" i="15"/>
  <c r="F36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X36" i="15"/>
  <c r="Y36" i="15"/>
  <c r="Z36" i="15"/>
  <c r="AA36" i="15"/>
  <c r="AB36" i="15"/>
  <c r="AC36" i="15"/>
  <c r="AD36" i="15"/>
  <c r="AE36" i="15"/>
  <c r="AF36" i="15"/>
  <c r="AG36" i="15"/>
  <c r="AH36" i="15"/>
  <c r="AI36" i="15"/>
  <c r="AL36" i="15"/>
  <c r="AN36" i="15"/>
  <c r="AP36" i="15"/>
  <c r="AR36" i="15"/>
  <c r="AT36" i="15"/>
  <c r="AU36" i="15"/>
  <c r="AV36" i="15"/>
  <c r="AY36" i="15"/>
  <c r="AZ36" i="15"/>
  <c r="BA36" i="15"/>
  <c r="BC36" i="15"/>
  <c r="BD36" i="15"/>
  <c r="BE36" i="15"/>
  <c r="BF36" i="15"/>
  <c r="A37" i="15"/>
  <c r="B37" i="15"/>
  <c r="C37" i="15"/>
  <c r="D37" i="15"/>
  <c r="E37" i="15"/>
  <c r="F37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X37" i="15"/>
  <c r="Y37" i="15"/>
  <c r="Z37" i="15"/>
  <c r="AL37" i="15"/>
  <c r="AN37" i="15"/>
  <c r="AP37" i="15"/>
  <c r="AR37" i="15"/>
  <c r="AT37" i="15"/>
  <c r="AU37" i="15"/>
  <c r="AV37" i="15"/>
  <c r="AY37" i="15"/>
  <c r="AZ37" i="15"/>
  <c r="BA37" i="15"/>
  <c r="BC37" i="15"/>
  <c r="BD37" i="15"/>
  <c r="BE37" i="15"/>
  <c r="BF37" i="15"/>
  <c r="A38" i="15"/>
  <c r="B38" i="15"/>
  <c r="C38" i="15"/>
  <c r="D38" i="15"/>
  <c r="E38" i="15"/>
  <c r="F38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W38" i="15"/>
  <c r="X38" i="15"/>
  <c r="Y38" i="15"/>
  <c r="Z38" i="15"/>
  <c r="AA38" i="15"/>
  <c r="AB38" i="15"/>
  <c r="AC38" i="15"/>
  <c r="AD38" i="15"/>
  <c r="AE38" i="15"/>
  <c r="AF38" i="15"/>
  <c r="AG38" i="15"/>
  <c r="AH38" i="15"/>
  <c r="AI38" i="15"/>
  <c r="AL38" i="15"/>
  <c r="AN38" i="15"/>
  <c r="AP38" i="15"/>
  <c r="AR38" i="15"/>
  <c r="AT38" i="15"/>
  <c r="AU38" i="15"/>
  <c r="AV38" i="15"/>
  <c r="AY38" i="15"/>
  <c r="AZ38" i="15"/>
  <c r="BA38" i="15"/>
  <c r="BC38" i="15"/>
  <c r="BD38" i="15"/>
  <c r="BE38" i="15"/>
  <c r="BF38" i="15"/>
  <c r="A39" i="15"/>
  <c r="B39" i="15"/>
  <c r="C39" i="15"/>
  <c r="D39" i="15"/>
  <c r="E39" i="15"/>
  <c r="F39" i="15"/>
  <c r="G39" i="15"/>
  <c r="H39" i="15"/>
  <c r="I39" i="15"/>
  <c r="J39" i="15"/>
  <c r="K39" i="15"/>
  <c r="L39" i="15"/>
  <c r="M39" i="15"/>
  <c r="N39" i="15"/>
  <c r="O39" i="15"/>
  <c r="P39" i="15"/>
  <c r="Q39" i="15"/>
  <c r="R39" i="15"/>
  <c r="S39" i="15"/>
  <c r="T39" i="15"/>
  <c r="U39" i="15"/>
  <c r="V39" i="15"/>
  <c r="W39" i="15"/>
  <c r="X39" i="15"/>
  <c r="Y39" i="15"/>
  <c r="Z39" i="15"/>
  <c r="AL39" i="15"/>
  <c r="AN39" i="15"/>
  <c r="AP39" i="15"/>
  <c r="AR39" i="15"/>
  <c r="AT39" i="15"/>
  <c r="AU39" i="15"/>
  <c r="AV39" i="15"/>
  <c r="AY39" i="15"/>
  <c r="AZ39" i="15"/>
  <c r="BA39" i="15"/>
  <c r="BC39" i="15"/>
  <c r="BD39" i="15"/>
  <c r="BE39" i="15"/>
  <c r="BF39" i="15"/>
  <c r="A40" i="15"/>
  <c r="B40" i="15"/>
  <c r="C40" i="15"/>
  <c r="D40" i="15"/>
  <c r="E40" i="15"/>
  <c r="F40" i="15"/>
  <c r="G40" i="15"/>
  <c r="H40" i="15"/>
  <c r="I40" i="15"/>
  <c r="J40" i="15"/>
  <c r="K40" i="15"/>
  <c r="L40" i="15"/>
  <c r="M40" i="15"/>
  <c r="N40" i="15"/>
  <c r="O40" i="15"/>
  <c r="P40" i="15"/>
  <c r="Q40" i="15"/>
  <c r="R40" i="15"/>
  <c r="S40" i="15"/>
  <c r="T40" i="15"/>
  <c r="U40" i="15"/>
  <c r="V40" i="15"/>
  <c r="W40" i="15"/>
  <c r="X40" i="15"/>
  <c r="Y40" i="15"/>
  <c r="Z40" i="15"/>
  <c r="AA40" i="15"/>
  <c r="AB40" i="15"/>
  <c r="AC40" i="15"/>
  <c r="AD40" i="15"/>
  <c r="AE40" i="15"/>
  <c r="AF40" i="15"/>
  <c r="AG40" i="15"/>
  <c r="AH40" i="15"/>
  <c r="AI40" i="15"/>
  <c r="AL40" i="15"/>
  <c r="AN40" i="15"/>
  <c r="AP40" i="15"/>
  <c r="AR40" i="15"/>
  <c r="AT40" i="15"/>
  <c r="AU40" i="15"/>
  <c r="AV40" i="15"/>
  <c r="AY40" i="15"/>
  <c r="AZ40" i="15"/>
  <c r="BA40" i="15"/>
  <c r="BC40" i="15"/>
  <c r="BD40" i="15"/>
  <c r="BE40" i="15"/>
  <c r="BF40" i="15"/>
  <c r="A41" i="15"/>
  <c r="B41" i="15"/>
  <c r="C41" i="15"/>
  <c r="D41" i="15"/>
  <c r="E41" i="15"/>
  <c r="F41" i="15"/>
  <c r="G41" i="15"/>
  <c r="H41" i="15"/>
  <c r="I41" i="15"/>
  <c r="J41" i="15"/>
  <c r="K41" i="15"/>
  <c r="L41" i="15"/>
  <c r="M41" i="15"/>
  <c r="N41" i="15"/>
  <c r="O41" i="15"/>
  <c r="P41" i="15"/>
  <c r="Q41" i="15"/>
  <c r="R41" i="15"/>
  <c r="S41" i="15"/>
  <c r="T41" i="15"/>
  <c r="U41" i="15"/>
  <c r="V41" i="15"/>
  <c r="W41" i="15"/>
  <c r="X41" i="15"/>
  <c r="Y41" i="15"/>
  <c r="Z41" i="15"/>
  <c r="AL41" i="15"/>
  <c r="AN41" i="15"/>
  <c r="AP41" i="15"/>
  <c r="AR41" i="15"/>
  <c r="AT41" i="15"/>
  <c r="AU41" i="15"/>
  <c r="AV41" i="15"/>
  <c r="AZ41" i="15"/>
  <c r="BA41" i="15"/>
  <c r="BC41" i="15"/>
  <c r="BD41" i="15"/>
  <c r="BE41" i="15"/>
  <c r="BF41" i="15"/>
  <c r="A42" i="15"/>
  <c r="B42" i="15"/>
  <c r="C42" i="15"/>
  <c r="D42" i="15"/>
  <c r="E42" i="15"/>
  <c r="F42" i="15"/>
  <c r="G42" i="15"/>
  <c r="H42" i="15"/>
  <c r="I42" i="15"/>
  <c r="J42" i="15"/>
  <c r="K42" i="15"/>
  <c r="L42" i="15"/>
  <c r="M42" i="15"/>
  <c r="N42" i="15"/>
  <c r="O42" i="15"/>
  <c r="P42" i="15"/>
  <c r="Q42" i="15"/>
  <c r="R42" i="15"/>
  <c r="S42" i="15"/>
  <c r="T42" i="15"/>
  <c r="U42" i="15"/>
  <c r="V42" i="15"/>
  <c r="W42" i="15"/>
  <c r="X42" i="15"/>
  <c r="Y42" i="15"/>
  <c r="Z42" i="15"/>
  <c r="AA42" i="15"/>
  <c r="AB42" i="15"/>
  <c r="AC42" i="15"/>
  <c r="AD42" i="15"/>
  <c r="AE42" i="15"/>
  <c r="AF42" i="15"/>
  <c r="AG42" i="15"/>
  <c r="AH42" i="15"/>
  <c r="AI42" i="15"/>
  <c r="AL42" i="15"/>
  <c r="AN42" i="15"/>
  <c r="AP42" i="15"/>
  <c r="AR42" i="15"/>
  <c r="AT42" i="15"/>
  <c r="AU42" i="15"/>
  <c r="AV42" i="15"/>
  <c r="AZ42" i="15"/>
  <c r="BA42" i="15"/>
  <c r="BC42" i="15"/>
  <c r="BD42" i="15"/>
  <c r="BE42" i="15"/>
  <c r="BF42" i="15"/>
  <c r="A43" i="15"/>
  <c r="B43" i="15"/>
  <c r="C43" i="15"/>
  <c r="D43" i="15"/>
  <c r="E43" i="15"/>
  <c r="F43" i="15"/>
  <c r="G43" i="15"/>
  <c r="H43" i="15"/>
  <c r="I43" i="15"/>
  <c r="J43" i="15"/>
  <c r="K43" i="15"/>
  <c r="L43" i="15"/>
  <c r="M43" i="15"/>
  <c r="N43" i="15"/>
  <c r="O43" i="15"/>
  <c r="P43" i="15"/>
  <c r="Q43" i="15"/>
  <c r="R43" i="15"/>
  <c r="S43" i="15"/>
  <c r="T43" i="15"/>
  <c r="U43" i="15"/>
  <c r="V43" i="15"/>
  <c r="W43" i="15"/>
  <c r="X43" i="15"/>
  <c r="Y43" i="15"/>
  <c r="Z43" i="15"/>
  <c r="AL43" i="15"/>
  <c r="AN43" i="15"/>
  <c r="AP43" i="15"/>
  <c r="AR43" i="15"/>
  <c r="AT43" i="15"/>
  <c r="AU43" i="15"/>
  <c r="AV43" i="15"/>
  <c r="AY43" i="15"/>
  <c r="AZ43" i="15"/>
  <c r="BA43" i="15"/>
  <c r="BC43" i="15"/>
  <c r="BD43" i="15"/>
  <c r="BE43" i="15"/>
  <c r="BF43" i="15"/>
  <c r="A44" i="15"/>
  <c r="B44" i="15"/>
  <c r="C44" i="15"/>
  <c r="D44" i="15"/>
  <c r="E44" i="15"/>
  <c r="F44" i="15"/>
  <c r="G44" i="15"/>
  <c r="H44" i="15"/>
  <c r="I44" i="15"/>
  <c r="J44" i="15"/>
  <c r="K44" i="15"/>
  <c r="L44" i="15"/>
  <c r="M44" i="15"/>
  <c r="N44" i="15"/>
  <c r="O44" i="15"/>
  <c r="P44" i="15"/>
  <c r="Q44" i="15"/>
  <c r="R44" i="15"/>
  <c r="S44" i="15"/>
  <c r="T44" i="15"/>
  <c r="U44" i="15"/>
  <c r="V44" i="15"/>
  <c r="W44" i="15"/>
  <c r="X44" i="15"/>
  <c r="Y44" i="15"/>
  <c r="Z44" i="15"/>
  <c r="AA44" i="15"/>
  <c r="AB44" i="15"/>
  <c r="AC44" i="15"/>
  <c r="AD44" i="15"/>
  <c r="AE44" i="15"/>
  <c r="AF44" i="15"/>
  <c r="AG44" i="15"/>
  <c r="AH44" i="15"/>
  <c r="AI44" i="15"/>
  <c r="AL44" i="15"/>
  <c r="AN44" i="15"/>
  <c r="AP44" i="15"/>
  <c r="AR44" i="15"/>
  <c r="AT44" i="15"/>
  <c r="AU44" i="15"/>
  <c r="AV44" i="15"/>
  <c r="AY44" i="15"/>
  <c r="AZ44" i="15"/>
  <c r="BA44" i="15"/>
  <c r="BC44" i="15"/>
  <c r="BD44" i="15"/>
  <c r="BE44" i="15"/>
  <c r="BF44" i="15"/>
  <c r="A45" i="15"/>
  <c r="B45" i="15"/>
  <c r="C45" i="15"/>
  <c r="D45" i="15"/>
  <c r="E45" i="15"/>
  <c r="F45" i="15"/>
  <c r="G45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V45" i="15"/>
  <c r="W45" i="15"/>
  <c r="X45" i="15"/>
  <c r="Y45" i="15"/>
  <c r="Z45" i="15"/>
  <c r="AL45" i="15"/>
  <c r="AN45" i="15"/>
  <c r="AP45" i="15"/>
  <c r="AR45" i="15"/>
  <c r="AT45" i="15"/>
  <c r="AU45" i="15"/>
  <c r="AV45" i="15"/>
  <c r="AY45" i="15"/>
  <c r="AZ45" i="15"/>
  <c r="BA45" i="15"/>
  <c r="BC45" i="15"/>
  <c r="BD45" i="15"/>
  <c r="BE45" i="15"/>
  <c r="BF45" i="15"/>
  <c r="A46" i="15"/>
  <c r="B46" i="15"/>
  <c r="C46" i="15"/>
  <c r="D46" i="15"/>
  <c r="E46" i="15"/>
  <c r="F46" i="15"/>
  <c r="G46" i="15"/>
  <c r="H46" i="15"/>
  <c r="I46" i="15"/>
  <c r="J46" i="15"/>
  <c r="K46" i="15"/>
  <c r="L46" i="15"/>
  <c r="M46" i="15"/>
  <c r="N46" i="15"/>
  <c r="O46" i="15"/>
  <c r="P46" i="15"/>
  <c r="Q46" i="15"/>
  <c r="R46" i="15"/>
  <c r="S46" i="15"/>
  <c r="T46" i="15"/>
  <c r="U46" i="15"/>
  <c r="V46" i="15"/>
  <c r="W46" i="15"/>
  <c r="X46" i="15"/>
  <c r="Y46" i="15"/>
  <c r="Z46" i="15"/>
  <c r="AA46" i="15"/>
  <c r="AB46" i="15"/>
  <c r="AC46" i="15"/>
  <c r="AD46" i="15"/>
  <c r="AE46" i="15"/>
  <c r="AF46" i="15"/>
  <c r="AG46" i="15"/>
  <c r="AH46" i="15"/>
  <c r="AI46" i="15"/>
  <c r="AL46" i="15"/>
  <c r="AN46" i="15"/>
  <c r="AP46" i="15"/>
  <c r="AR46" i="15"/>
  <c r="AT46" i="15"/>
  <c r="AU46" i="15"/>
  <c r="AV46" i="15"/>
  <c r="AY46" i="15"/>
  <c r="AZ46" i="15"/>
  <c r="BA46" i="15"/>
  <c r="BC46" i="15"/>
  <c r="BD46" i="15"/>
  <c r="BE46" i="15"/>
  <c r="BF46" i="15"/>
  <c r="A47" i="15"/>
  <c r="B47" i="15"/>
  <c r="C47" i="15"/>
  <c r="D47" i="15"/>
  <c r="E47" i="15"/>
  <c r="F47" i="15"/>
  <c r="G47" i="15"/>
  <c r="H47" i="15"/>
  <c r="I47" i="15"/>
  <c r="J47" i="15"/>
  <c r="K47" i="15"/>
  <c r="L47" i="15"/>
  <c r="M47" i="15"/>
  <c r="N47" i="15"/>
  <c r="O47" i="15"/>
  <c r="P47" i="15"/>
  <c r="Q47" i="15"/>
  <c r="R47" i="15"/>
  <c r="S47" i="15"/>
  <c r="T47" i="15"/>
  <c r="U47" i="15"/>
  <c r="V47" i="15"/>
  <c r="W47" i="15"/>
  <c r="X47" i="15"/>
  <c r="Y47" i="15"/>
  <c r="Z47" i="15"/>
  <c r="AL47" i="15"/>
  <c r="AN47" i="15"/>
  <c r="AP47" i="15"/>
  <c r="AR47" i="15"/>
  <c r="AT47" i="15"/>
  <c r="AU47" i="15"/>
  <c r="AV47" i="15"/>
  <c r="AY47" i="15"/>
  <c r="AZ47" i="15"/>
  <c r="BA47" i="15"/>
  <c r="BC47" i="15"/>
  <c r="BD47" i="15"/>
  <c r="BE47" i="15"/>
  <c r="BF47" i="15"/>
  <c r="A48" i="15"/>
  <c r="B48" i="15"/>
  <c r="C48" i="15"/>
  <c r="D48" i="15"/>
  <c r="E48" i="15"/>
  <c r="F48" i="15"/>
  <c r="G48" i="15"/>
  <c r="H48" i="15"/>
  <c r="I48" i="15"/>
  <c r="J48" i="15"/>
  <c r="K48" i="15"/>
  <c r="L48" i="15"/>
  <c r="M48" i="15"/>
  <c r="N48" i="15"/>
  <c r="O48" i="15"/>
  <c r="P48" i="15"/>
  <c r="Q48" i="15"/>
  <c r="R48" i="15"/>
  <c r="S48" i="15"/>
  <c r="T48" i="15"/>
  <c r="U48" i="15"/>
  <c r="V48" i="15"/>
  <c r="W48" i="15"/>
  <c r="X48" i="15"/>
  <c r="Y48" i="15"/>
  <c r="Z48" i="15"/>
  <c r="AA48" i="15"/>
  <c r="AB48" i="15"/>
  <c r="AC48" i="15"/>
  <c r="AD48" i="15"/>
  <c r="AE48" i="15"/>
  <c r="AF48" i="15"/>
  <c r="AG48" i="15"/>
  <c r="AH48" i="15"/>
  <c r="AI48" i="15"/>
  <c r="AL48" i="15"/>
  <c r="AN48" i="15"/>
  <c r="AP48" i="15"/>
  <c r="AR48" i="15"/>
  <c r="AT48" i="15"/>
  <c r="AU48" i="15"/>
  <c r="AV48" i="15"/>
  <c r="AY48" i="15"/>
  <c r="AZ48" i="15"/>
  <c r="BA48" i="15"/>
  <c r="BC48" i="15"/>
  <c r="BD48" i="15"/>
  <c r="BE48" i="15"/>
  <c r="BF48" i="15"/>
  <c r="A49" i="15"/>
  <c r="B49" i="15"/>
  <c r="C49" i="15"/>
  <c r="D49" i="15"/>
  <c r="E49" i="15"/>
  <c r="F49" i="15"/>
  <c r="G49" i="15"/>
  <c r="H49" i="15"/>
  <c r="I49" i="15"/>
  <c r="J49" i="15"/>
  <c r="K49" i="15"/>
  <c r="L49" i="15"/>
  <c r="M49" i="15"/>
  <c r="N49" i="15"/>
  <c r="O49" i="15"/>
  <c r="P49" i="15"/>
  <c r="Q49" i="15"/>
  <c r="R49" i="15"/>
  <c r="S49" i="15"/>
  <c r="T49" i="15"/>
  <c r="U49" i="15"/>
  <c r="V49" i="15"/>
  <c r="W49" i="15"/>
  <c r="X49" i="15"/>
  <c r="Y49" i="15"/>
  <c r="Z49" i="15"/>
  <c r="AL49" i="15"/>
  <c r="AN49" i="15"/>
  <c r="AP49" i="15"/>
  <c r="AR49" i="15"/>
  <c r="AT49" i="15"/>
  <c r="AU49" i="15"/>
  <c r="AV49" i="15"/>
  <c r="AY49" i="15"/>
  <c r="AZ49" i="15"/>
  <c r="BA49" i="15"/>
  <c r="BC49" i="15"/>
  <c r="BD49" i="15"/>
  <c r="BE49" i="15"/>
  <c r="BF49" i="15"/>
  <c r="A50" i="15"/>
  <c r="B50" i="15"/>
  <c r="C50" i="15"/>
  <c r="D50" i="15"/>
  <c r="E50" i="15"/>
  <c r="F50" i="15"/>
  <c r="G50" i="15"/>
  <c r="H50" i="15"/>
  <c r="I50" i="15"/>
  <c r="J50" i="15"/>
  <c r="K50" i="15"/>
  <c r="L50" i="15"/>
  <c r="M50" i="15"/>
  <c r="N50" i="15"/>
  <c r="O50" i="15"/>
  <c r="P50" i="15"/>
  <c r="Q50" i="15"/>
  <c r="R50" i="15"/>
  <c r="S50" i="15"/>
  <c r="T50" i="15"/>
  <c r="U50" i="15"/>
  <c r="V50" i="15"/>
  <c r="W50" i="15"/>
  <c r="X50" i="15"/>
  <c r="Y50" i="15"/>
  <c r="Z50" i="15"/>
  <c r="AA50" i="15"/>
  <c r="AB50" i="15"/>
  <c r="AC50" i="15"/>
  <c r="AD50" i="15"/>
  <c r="AE50" i="15"/>
  <c r="AF50" i="15"/>
  <c r="AG50" i="15"/>
  <c r="AH50" i="15"/>
  <c r="AI50" i="15"/>
  <c r="AL50" i="15"/>
  <c r="AN50" i="15"/>
  <c r="AP50" i="15"/>
  <c r="AR50" i="15"/>
  <c r="AT50" i="15"/>
  <c r="AU50" i="15"/>
  <c r="AV50" i="15"/>
  <c r="AY50" i="15"/>
  <c r="AZ50" i="15"/>
  <c r="BA50" i="15"/>
  <c r="BC50" i="15"/>
  <c r="BD50" i="15"/>
  <c r="BE50" i="15"/>
  <c r="BF50" i="15"/>
  <c r="A51" i="15"/>
  <c r="B51" i="15"/>
  <c r="C51" i="15"/>
  <c r="D51" i="15"/>
  <c r="E51" i="15"/>
  <c r="F51" i="15"/>
  <c r="G51" i="15"/>
  <c r="H51" i="15"/>
  <c r="I51" i="15"/>
  <c r="J51" i="15"/>
  <c r="K51" i="15"/>
  <c r="L51" i="15"/>
  <c r="M51" i="15"/>
  <c r="N51" i="15"/>
  <c r="O51" i="15"/>
  <c r="P51" i="15"/>
  <c r="Q51" i="15"/>
  <c r="R51" i="15"/>
  <c r="S51" i="15"/>
  <c r="T51" i="15"/>
  <c r="U51" i="15"/>
  <c r="V51" i="15"/>
  <c r="W51" i="15"/>
  <c r="X51" i="15"/>
  <c r="Y51" i="15"/>
  <c r="Z51" i="15"/>
  <c r="AL51" i="15"/>
  <c r="AN51" i="15"/>
  <c r="AP51" i="15"/>
  <c r="AR51" i="15"/>
  <c r="AT51" i="15"/>
  <c r="AU51" i="15"/>
  <c r="AV51" i="15"/>
  <c r="AY51" i="15"/>
  <c r="AZ51" i="15"/>
  <c r="BA51" i="15"/>
  <c r="BC51" i="15"/>
  <c r="BD51" i="15"/>
  <c r="BE51" i="15"/>
  <c r="BF51" i="15"/>
  <c r="A52" i="15"/>
  <c r="B52" i="15"/>
  <c r="C52" i="15"/>
  <c r="D52" i="15"/>
  <c r="E52" i="15"/>
  <c r="F52" i="15"/>
  <c r="G52" i="15"/>
  <c r="H52" i="15"/>
  <c r="I52" i="15"/>
  <c r="J52" i="15"/>
  <c r="K52" i="15"/>
  <c r="L52" i="15"/>
  <c r="M52" i="15"/>
  <c r="N52" i="15"/>
  <c r="O52" i="15"/>
  <c r="P52" i="15"/>
  <c r="Q52" i="15"/>
  <c r="R52" i="15"/>
  <c r="S52" i="15"/>
  <c r="T52" i="15"/>
  <c r="U52" i="15"/>
  <c r="V52" i="15"/>
  <c r="W52" i="15"/>
  <c r="X52" i="15"/>
  <c r="Y52" i="15"/>
  <c r="Z52" i="15"/>
  <c r="AA52" i="15"/>
  <c r="AB52" i="15"/>
  <c r="AC52" i="15"/>
  <c r="AD52" i="15"/>
  <c r="AE52" i="15"/>
  <c r="AF52" i="15"/>
  <c r="AG52" i="15"/>
  <c r="AH52" i="15"/>
  <c r="AI52" i="15"/>
  <c r="AL52" i="15"/>
  <c r="AN52" i="15"/>
  <c r="AP52" i="15"/>
  <c r="AR52" i="15"/>
  <c r="AT52" i="15"/>
  <c r="AU52" i="15"/>
  <c r="AV52" i="15"/>
  <c r="AY52" i="15"/>
  <c r="AZ52" i="15"/>
  <c r="BA52" i="15"/>
  <c r="BC52" i="15"/>
  <c r="BD52" i="15"/>
  <c r="BE52" i="15"/>
  <c r="BF52" i="15"/>
  <c r="A53" i="15"/>
  <c r="B53" i="15"/>
  <c r="C53" i="15"/>
  <c r="D53" i="15"/>
  <c r="E53" i="15"/>
  <c r="F53" i="15"/>
  <c r="G53" i="15"/>
  <c r="H53" i="15"/>
  <c r="I53" i="15"/>
  <c r="J53" i="15"/>
  <c r="K53" i="15"/>
  <c r="L53" i="15"/>
  <c r="M53" i="15"/>
  <c r="N53" i="15"/>
  <c r="O53" i="15"/>
  <c r="P53" i="15"/>
  <c r="Q53" i="15"/>
  <c r="R53" i="15"/>
  <c r="S53" i="15"/>
  <c r="T53" i="15"/>
  <c r="U53" i="15"/>
  <c r="V53" i="15"/>
  <c r="W53" i="15"/>
  <c r="X53" i="15"/>
  <c r="Y53" i="15"/>
  <c r="Z53" i="15"/>
  <c r="AL53" i="15"/>
  <c r="AN53" i="15"/>
  <c r="AP53" i="15"/>
  <c r="AR53" i="15"/>
  <c r="AT53" i="15"/>
  <c r="AU53" i="15"/>
  <c r="AV53" i="15"/>
  <c r="AY53" i="15"/>
  <c r="AZ53" i="15"/>
  <c r="BA53" i="15"/>
  <c r="BC53" i="15"/>
  <c r="BD53" i="15"/>
  <c r="BE53" i="15"/>
  <c r="BF53" i="15"/>
  <c r="A54" i="15"/>
  <c r="B54" i="15"/>
  <c r="C54" i="15"/>
  <c r="D54" i="15"/>
  <c r="E54" i="15"/>
  <c r="F54" i="15"/>
  <c r="G54" i="15"/>
  <c r="H54" i="15"/>
  <c r="I54" i="15"/>
  <c r="J54" i="15"/>
  <c r="K54" i="15"/>
  <c r="L54" i="15"/>
  <c r="M54" i="15"/>
  <c r="N54" i="15"/>
  <c r="O54" i="15"/>
  <c r="P54" i="15"/>
  <c r="Q54" i="15"/>
  <c r="R54" i="15"/>
  <c r="S54" i="15"/>
  <c r="T54" i="15"/>
  <c r="U54" i="15"/>
  <c r="V54" i="15"/>
  <c r="W54" i="15"/>
  <c r="X54" i="15"/>
  <c r="Y54" i="15"/>
  <c r="Z54" i="15"/>
  <c r="AA54" i="15"/>
  <c r="AB54" i="15"/>
  <c r="AC54" i="15"/>
  <c r="AD54" i="15"/>
  <c r="AE54" i="15"/>
  <c r="AF54" i="15"/>
  <c r="AG54" i="15"/>
  <c r="AH54" i="15"/>
  <c r="AI54" i="15"/>
  <c r="AL54" i="15"/>
  <c r="AN54" i="15"/>
  <c r="AP54" i="15"/>
  <c r="AR54" i="15"/>
  <c r="AT54" i="15"/>
  <c r="AU54" i="15"/>
  <c r="AV54" i="15"/>
  <c r="AY54" i="15"/>
  <c r="AZ54" i="15"/>
  <c r="BA54" i="15"/>
  <c r="BC54" i="15"/>
  <c r="BD54" i="15"/>
  <c r="BE54" i="15"/>
  <c r="BF54" i="15"/>
  <c r="A55" i="15"/>
  <c r="B55" i="15"/>
  <c r="C55" i="15"/>
  <c r="D55" i="15"/>
  <c r="E55" i="15"/>
  <c r="F55" i="15"/>
  <c r="G55" i="15"/>
  <c r="H55" i="15"/>
  <c r="I55" i="15"/>
  <c r="J55" i="15"/>
  <c r="K55" i="15"/>
  <c r="L55" i="15"/>
  <c r="M55" i="15"/>
  <c r="N55" i="15"/>
  <c r="O55" i="15"/>
  <c r="P55" i="15"/>
  <c r="Q55" i="15"/>
  <c r="R55" i="15"/>
  <c r="S55" i="15"/>
  <c r="T55" i="15"/>
  <c r="U55" i="15"/>
  <c r="V55" i="15"/>
  <c r="W55" i="15"/>
  <c r="X55" i="15"/>
  <c r="Y55" i="15"/>
  <c r="Z55" i="15"/>
  <c r="AL55" i="15"/>
  <c r="AN55" i="15"/>
  <c r="AP55" i="15"/>
  <c r="AR55" i="15"/>
  <c r="AT55" i="15"/>
  <c r="AU55" i="15"/>
  <c r="AV55" i="15"/>
  <c r="AY55" i="15"/>
  <c r="AZ55" i="15"/>
  <c r="BA55" i="15"/>
  <c r="BC55" i="15"/>
  <c r="BD55" i="15"/>
  <c r="BE55" i="15"/>
  <c r="BF55" i="15"/>
  <c r="A56" i="15"/>
  <c r="B56" i="15"/>
  <c r="C56" i="15"/>
  <c r="D56" i="15"/>
  <c r="E56" i="15"/>
  <c r="F56" i="15"/>
  <c r="G56" i="15"/>
  <c r="H56" i="15"/>
  <c r="I56" i="15"/>
  <c r="J56" i="15"/>
  <c r="K56" i="15"/>
  <c r="L56" i="15"/>
  <c r="M56" i="15"/>
  <c r="N56" i="15"/>
  <c r="O56" i="15"/>
  <c r="P56" i="15"/>
  <c r="Q56" i="15"/>
  <c r="R56" i="15"/>
  <c r="S56" i="15"/>
  <c r="T56" i="15"/>
  <c r="U56" i="15"/>
  <c r="V56" i="15"/>
  <c r="W56" i="15"/>
  <c r="X56" i="15"/>
  <c r="Y56" i="15"/>
  <c r="Z56" i="15"/>
  <c r="AA56" i="15"/>
  <c r="AB56" i="15"/>
  <c r="AC56" i="15"/>
  <c r="AD56" i="15"/>
  <c r="AE56" i="15"/>
  <c r="AF56" i="15"/>
  <c r="AG56" i="15"/>
  <c r="AH56" i="15"/>
  <c r="AI56" i="15"/>
  <c r="AL56" i="15"/>
  <c r="AN56" i="15"/>
  <c r="AP56" i="15"/>
  <c r="AR56" i="15"/>
  <c r="AT56" i="15"/>
  <c r="AU56" i="15"/>
  <c r="AV56" i="15"/>
  <c r="AZ56" i="15"/>
  <c r="BA56" i="15"/>
  <c r="BC56" i="15"/>
  <c r="BD56" i="15"/>
  <c r="BE56" i="15"/>
  <c r="BF56" i="15"/>
  <c r="A57" i="15"/>
  <c r="B57" i="15"/>
  <c r="C57" i="15"/>
  <c r="D57" i="15"/>
  <c r="E57" i="15"/>
  <c r="F57" i="15"/>
  <c r="G57" i="15"/>
  <c r="H57" i="15"/>
  <c r="I57" i="15"/>
  <c r="J57" i="15"/>
  <c r="K57" i="15"/>
  <c r="L57" i="15"/>
  <c r="M57" i="15"/>
  <c r="N57" i="15"/>
  <c r="O57" i="15"/>
  <c r="P57" i="15"/>
  <c r="Q57" i="15"/>
  <c r="R57" i="15"/>
  <c r="S57" i="15"/>
  <c r="T57" i="15"/>
  <c r="U57" i="15"/>
  <c r="V57" i="15"/>
  <c r="W57" i="15"/>
  <c r="X57" i="15"/>
  <c r="Y57" i="15"/>
  <c r="Z57" i="15"/>
  <c r="AL57" i="15"/>
  <c r="AN57" i="15"/>
  <c r="AP57" i="15"/>
  <c r="AR57" i="15"/>
  <c r="AT57" i="15"/>
  <c r="AU57" i="15"/>
  <c r="AV57" i="15"/>
  <c r="AZ57" i="15"/>
  <c r="BA57" i="15"/>
  <c r="BC57" i="15"/>
  <c r="BD57" i="15"/>
  <c r="BE57" i="15"/>
  <c r="BF57" i="15"/>
  <c r="A58" i="15"/>
  <c r="B58" i="15"/>
  <c r="C58" i="15"/>
  <c r="D58" i="15"/>
  <c r="E58" i="15"/>
  <c r="F58" i="15"/>
  <c r="G58" i="15"/>
  <c r="H58" i="15"/>
  <c r="I58" i="15"/>
  <c r="J58" i="15"/>
  <c r="K58" i="15"/>
  <c r="L58" i="15"/>
  <c r="M58" i="15"/>
  <c r="N58" i="15"/>
  <c r="O58" i="15"/>
  <c r="P58" i="15"/>
  <c r="Q58" i="15"/>
  <c r="R58" i="15"/>
  <c r="S58" i="15"/>
  <c r="T58" i="15"/>
  <c r="U58" i="15"/>
  <c r="V58" i="15"/>
  <c r="W58" i="15"/>
  <c r="X58" i="15"/>
  <c r="Y58" i="15"/>
  <c r="Z58" i="15"/>
  <c r="AA58" i="15"/>
  <c r="AB58" i="15"/>
  <c r="AC58" i="15"/>
  <c r="AD58" i="15"/>
  <c r="AE58" i="15"/>
  <c r="AF58" i="15"/>
  <c r="AG58" i="15"/>
  <c r="AH58" i="15"/>
  <c r="AI58" i="15"/>
  <c r="AL58" i="15"/>
  <c r="AN58" i="15"/>
  <c r="AP58" i="15"/>
  <c r="AR58" i="15"/>
  <c r="AT58" i="15"/>
  <c r="AU58" i="15"/>
  <c r="AV58" i="15"/>
  <c r="AZ58" i="15"/>
  <c r="BA58" i="15"/>
  <c r="BC58" i="15"/>
  <c r="BD58" i="15"/>
  <c r="BE58" i="15"/>
  <c r="BF58" i="15"/>
  <c r="A59" i="15"/>
  <c r="B59" i="15"/>
  <c r="C59" i="15"/>
  <c r="D59" i="15"/>
  <c r="E59" i="15"/>
  <c r="F59" i="15"/>
  <c r="G59" i="15"/>
  <c r="H59" i="15"/>
  <c r="I59" i="15"/>
  <c r="J59" i="15"/>
  <c r="K59" i="15"/>
  <c r="L59" i="15"/>
  <c r="M59" i="15"/>
  <c r="N59" i="15"/>
  <c r="O59" i="15"/>
  <c r="P59" i="15"/>
  <c r="Q59" i="15"/>
  <c r="R59" i="15"/>
  <c r="S59" i="15"/>
  <c r="T59" i="15"/>
  <c r="U59" i="15"/>
  <c r="V59" i="15"/>
  <c r="W59" i="15"/>
  <c r="X59" i="15"/>
  <c r="Y59" i="15"/>
  <c r="Z59" i="15"/>
  <c r="AL59" i="15"/>
  <c r="AN59" i="15"/>
  <c r="AP59" i="15"/>
  <c r="AR59" i="15"/>
  <c r="AT59" i="15"/>
  <c r="AU59" i="15"/>
  <c r="AV59" i="15"/>
  <c r="AZ59" i="15"/>
  <c r="BA59" i="15"/>
  <c r="BC59" i="15"/>
  <c r="BD59" i="15"/>
  <c r="BE59" i="15"/>
  <c r="BF59" i="15"/>
  <c r="A60" i="15"/>
  <c r="B60" i="15"/>
  <c r="C60" i="15"/>
  <c r="D60" i="15"/>
  <c r="E60" i="15"/>
  <c r="F60" i="15"/>
  <c r="G60" i="15"/>
  <c r="H60" i="15"/>
  <c r="I60" i="15"/>
  <c r="J60" i="15"/>
  <c r="K60" i="15"/>
  <c r="L60" i="15"/>
  <c r="M60" i="15"/>
  <c r="N60" i="15"/>
  <c r="O60" i="15"/>
  <c r="P60" i="15"/>
  <c r="Q60" i="15"/>
  <c r="R60" i="15"/>
  <c r="S60" i="15"/>
  <c r="T60" i="15"/>
  <c r="U60" i="15"/>
  <c r="V60" i="15"/>
  <c r="W60" i="15"/>
  <c r="X60" i="15"/>
  <c r="Y60" i="15"/>
  <c r="Z60" i="15"/>
  <c r="AA60" i="15"/>
  <c r="AB60" i="15"/>
  <c r="AC60" i="15"/>
  <c r="AD60" i="15"/>
  <c r="AE60" i="15"/>
  <c r="AF60" i="15"/>
  <c r="AG60" i="15"/>
  <c r="AH60" i="15"/>
  <c r="AI60" i="15"/>
  <c r="AL60" i="15"/>
  <c r="AN60" i="15"/>
  <c r="AP60" i="15"/>
  <c r="AR60" i="15"/>
  <c r="AT60" i="15"/>
  <c r="AU60" i="15"/>
  <c r="AV60" i="15"/>
  <c r="AZ60" i="15"/>
  <c r="BA60" i="15"/>
  <c r="BC60" i="15"/>
  <c r="BD60" i="15"/>
  <c r="BE60" i="15"/>
  <c r="BF60" i="15"/>
  <c r="A61" i="15"/>
  <c r="B61" i="15"/>
  <c r="C61" i="15"/>
  <c r="D61" i="15"/>
  <c r="E61" i="15"/>
  <c r="F61" i="15"/>
  <c r="G61" i="15"/>
  <c r="H61" i="15"/>
  <c r="I61" i="15"/>
  <c r="J61" i="15"/>
  <c r="K61" i="15"/>
  <c r="L61" i="15"/>
  <c r="M61" i="15"/>
  <c r="N61" i="15"/>
  <c r="O61" i="15"/>
  <c r="P61" i="15"/>
  <c r="Q61" i="15"/>
  <c r="R61" i="15"/>
  <c r="S61" i="15"/>
  <c r="T61" i="15"/>
  <c r="U61" i="15"/>
  <c r="V61" i="15"/>
  <c r="W61" i="15"/>
  <c r="X61" i="15"/>
  <c r="Y61" i="15"/>
  <c r="Z61" i="15"/>
  <c r="AL61" i="15"/>
  <c r="AN61" i="15"/>
  <c r="AP61" i="15"/>
  <c r="AR61" i="15"/>
  <c r="AT61" i="15"/>
  <c r="AU61" i="15"/>
  <c r="AV61" i="15"/>
  <c r="AZ61" i="15"/>
  <c r="BA61" i="15"/>
  <c r="BC61" i="15"/>
  <c r="BD61" i="15"/>
  <c r="BE61" i="15"/>
  <c r="BF61" i="15"/>
  <c r="A62" i="15"/>
  <c r="B62" i="15"/>
  <c r="C62" i="15"/>
  <c r="D62" i="15"/>
  <c r="E62" i="15"/>
  <c r="F62" i="15"/>
  <c r="G62" i="15"/>
  <c r="H62" i="15"/>
  <c r="I62" i="15"/>
  <c r="J62" i="15"/>
  <c r="K62" i="15"/>
  <c r="L62" i="15"/>
  <c r="M62" i="15"/>
  <c r="N62" i="15"/>
  <c r="O62" i="15"/>
  <c r="P62" i="15"/>
  <c r="Q62" i="15"/>
  <c r="R62" i="15"/>
  <c r="S62" i="15"/>
  <c r="T62" i="15"/>
  <c r="U62" i="15"/>
  <c r="V62" i="15"/>
  <c r="W62" i="15"/>
  <c r="X62" i="15"/>
  <c r="Y62" i="15"/>
  <c r="Z62" i="15"/>
  <c r="AA62" i="15"/>
  <c r="AB62" i="15"/>
  <c r="AC62" i="15"/>
  <c r="AD62" i="15"/>
  <c r="AE62" i="15"/>
  <c r="AF62" i="15"/>
  <c r="AG62" i="15"/>
  <c r="AH62" i="15"/>
  <c r="AI62" i="15"/>
  <c r="AL62" i="15"/>
  <c r="AN62" i="15"/>
  <c r="AP62" i="15"/>
  <c r="AR62" i="15"/>
  <c r="AT62" i="15"/>
  <c r="AU62" i="15"/>
  <c r="AV62" i="15"/>
  <c r="AY62" i="15"/>
  <c r="AZ62" i="15"/>
  <c r="BA62" i="15"/>
  <c r="BC62" i="15"/>
  <c r="BD62" i="15"/>
  <c r="BE62" i="15"/>
  <c r="BF62" i="15"/>
  <c r="A63" i="15"/>
  <c r="B63" i="15"/>
  <c r="C63" i="15"/>
  <c r="D63" i="15"/>
  <c r="E63" i="15"/>
  <c r="F63" i="15"/>
  <c r="G63" i="15"/>
  <c r="H63" i="15"/>
  <c r="I63" i="15"/>
  <c r="J63" i="15"/>
  <c r="K63" i="15"/>
  <c r="L63" i="15"/>
  <c r="M63" i="15"/>
  <c r="N63" i="15"/>
  <c r="O63" i="15"/>
  <c r="P63" i="15"/>
  <c r="Q63" i="15"/>
  <c r="R63" i="15"/>
  <c r="S63" i="15"/>
  <c r="T63" i="15"/>
  <c r="U63" i="15"/>
  <c r="V63" i="15"/>
  <c r="W63" i="15"/>
  <c r="X63" i="15"/>
  <c r="Y63" i="15"/>
  <c r="Z63" i="15"/>
  <c r="AL63" i="15"/>
  <c r="AN63" i="15"/>
  <c r="AP63" i="15"/>
  <c r="AR63" i="15"/>
  <c r="AT63" i="15"/>
  <c r="AU63" i="15"/>
  <c r="AV63" i="15"/>
  <c r="AZ63" i="15"/>
  <c r="BA63" i="15"/>
  <c r="BC63" i="15"/>
  <c r="BD63" i="15"/>
  <c r="BE63" i="15"/>
  <c r="BF63" i="15"/>
  <c r="A64" i="15"/>
  <c r="B64" i="15"/>
  <c r="C64" i="15"/>
  <c r="D64" i="15"/>
  <c r="E64" i="15"/>
  <c r="F64" i="15"/>
  <c r="G64" i="15"/>
  <c r="H64" i="15"/>
  <c r="I64" i="15"/>
  <c r="J64" i="15"/>
  <c r="K64" i="15"/>
  <c r="L64" i="15"/>
  <c r="M64" i="15"/>
  <c r="N64" i="15"/>
  <c r="O64" i="15"/>
  <c r="P64" i="15"/>
  <c r="Q64" i="15"/>
  <c r="R64" i="15"/>
  <c r="S64" i="15"/>
  <c r="T64" i="15"/>
  <c r="U64" i="15"/>
  <c r="V64" i="15"/>
  <c r="W64" i="15"/>
  <c r="X64" i="15"/>
  <c r="Y64" i="15"/>
  <c r="Z64" i="15"/>
  <c r="AA64" i="15"/>
  <c r="AB64" i="15"/>
  <c r="AC64" i="15"/>
  <c r="AD64" i="15"/>
  <c r="AE64" i="15"/>
  <c r="AF64" i="15"/>
  <c r="AG64" i="15"/>
  <c r="AH64" i="15"/>
  <c r="AI64" i="15"/>
  <c r="AL64" i="15"/>
  <c r="AN64" i="15"/>
  <c r="AP64" i="15"/>
  <c r="AR64" i="15"/>
  <c r="AT64" i="15"/>
  <c r="AU64" i="15"/>
  <c r="AV64" i="15"/>
  <c r="AZ64" i="15"/>
  <c r="BA64" i="15"/>
  <c r="BC64" i="15"/>
  <c r="BD64" i="15"/>
  <c r="BE64" i="15"/>
  <c r="BF64" i="15"/>
  <c r="A65" i="15"/>
  <c r="B65" i="15"/>
  <c r="C65" i="15"/>
  <c r="D65" i="15"/>
  <c r="E65" i="15"/>
  <c r="F65" i="15"/>
  <c r="G65" i="15"/>
  <c r="H65" i="15"/>
  <c r="I65" i="15"/>
  <c r="J65" i="15"/>
  <c r="K65" i="15"/>
  <c r="L65" i="15"/>
  <c r="M65" i="15"/>
  <c r="N65" i="15"/>
  <c r="O65" i="15"/>
  <c r="P65" i="15"/>
  <c r="Q65" i="15"/>
  <c r="R65" i="15"/>
  <c r="S65" i="15"/>
  <c r="T65" i="15"/>
  <c r="U65" i="15"/>
  <c r="V65" i="15"/>
  <c r="W65" i="15"/>
  <c r="X65" i="15"/>
  <c r="Y65" i="15"/>
  <c r="Z65" i="15"/>
  <c r="AL65" i="15"/>
  <c r="AN65" i="15"/>
  <c r="AP65" i="15"/>
  <c r="AR65" i="15"/>
  <c r="AT65" i="15"/>
  <c r="AU65" i="15"/>
  <c r="AV65" i="15"/>
  <c r="AZ65" i="15"/>
  <c r="BA65" i="15"/>
  <c r="BC65" i="15"/>
  <c r="BD65" i="15"/>
  <c r="BE65" i="15"/>
  <c r="BF65" i="15"/>
  <c r="A66" i="15"/>
  <c r="B66" i="15"/>
  <c r="C66" i="15"/>
  <c r="D66" i="15"/>
  <c r="E66" i="15"/>
  <c r="F66" i="15"/>
  <c r="G66" i="15"/>
  <c r="H66" i="15"/>
  <c r="I66" i="15"/>
  <c r="J66" i="15"/>
  <c r="K66" i="15"/>
  <c r="L66" i="15"/>
  <c r="M66" i="15"/>
  <c r="N66" i="15"/>
  <c r="O66" i="15"/>
  <c r="P66" i="15"/>
  <c r="Q66" i="15"/>
  <c r="R66" i="15"/>
  <c r="S66" i="15"/>
  <c r="T66" i="15"/>
  <c r="U66" i="15"/>
  <c r="V66" i="15"/>
  <c r="W66" i="15"/>
  <c r="X66" i="15"/>
  <c r="Y66" i="15"/>
  <c r="Z66" i="15"/>
  <c r="AA66" i="15"/>
  <c r="AB66" i="15"/>
  <c r="AC66" i="15"/>
  <c r="AD66" i="15"/>
  <c r="AE66" i="15"/>
  <c r="AF66" i="15"/>
  <c r="AG66" i="15"/>
  <c r="AH66" i="15"/>
  <c r="AI66" i="15"/>
  <c r="AL66" i="15"/>
  <c r="AN66" i="15"/>
  <c r="AP66" i="15"/>
  <c r="AR66" i="15"/>
  <c r="AT66" i="15"/>
  <c r="AU66" i="15"/>
  <c r="AV66" i="15"/>
  <c r="AZ66" i="15"/>
  <c r="BA66" i="15"/>
  <c r="BC66" i="15"/>
  <c r="BD66" i="15"/>
  <c r="BE66" i="15"/>
  <c r="BF66" i="15"/>
  <c r="A67" i="15"/>
  <c r="B67" i="15"/>
  <c r="C67" i="15"/>
  <c r="D67" i="15"/>
  <c r="E67" i="15"/>
  <c r="F67" i="15"/>
  <c r="G67" i="15"/>
  <c r="H67" i="15"/>
  <c r="I67" i="15"/>
  <c r="J67" i="15"/>
  <c r="K67" i="15"/>
  <c r="L67" i="15"/>
  <c r="M67" i="15"/>
  <c r="N67" i="15"/>
  <c r="O67" i="15"/>
  <c r="P67" i="15"/>
  <c r="Q67" i="15"/>
  <c r="R67" i="15"/>
  <c r="S67" i="15"/>
  <c r="T67" i="15"/>
  <c r="U67" i="15"/>
  <c r="V67" i="15"/>
  <c r="W67" i="15"/>
  <c r="X67" i="15"/>
  <c r="Y67" i="15"/>
  <c r="Z67" i="15"/>
  <c r="AL67" i="15"/>
  <c r="AN67" i="15"/>
  <c r="AP67" i="15"/>
  <c r="AR67" i="15"/>
  <c r="AT67" i="15"/>
  <c r="AU67" i="15"/>
  <c r="AV67" i="15"/>
  <c r="AZ67" i="15"/>
  <c r="BA67" i="15"/>
  <c r="BC67" i="15"/>
  <c r="BD67" i="15"/>
  <c r="BE67" i="15"/>
  <c r="BF67" i="15"/>
  <c r="A68" i="15"/>
  <c r="B68" i="15"/>
  <c r="C68" i="15"/>
  <c r="D68" i="15"/>
  <c r="E68" i="15"/>
  <c r="F68" i="15"/>
  <c r="G68" i="15"/>
  <c r="H68" i="15"/>
  <c r="I68" i="15"/>
  <c r="J68" i="15"/>
  <c r="K68" i="15"/>
  <c r="L68" i="15"/>
  <c r="M68" i="15"/>
  <c r="N68" i="15"/>
  <c r="O68" i="15"/>
  <c r="P68" i="15"/>
  <c r="Q68" i="15"/>
  <c r="R68" i="15"/>
  <c r="S68" i="15"/>
  <c r="T68" i="15"/>
  <c r="U68" i="15"/>
  <c r="V68" i="15"/>
  <c r="W68" i="15"/>
  <c r="X68" i="15"/>
  <c r="Y68" i="15"/>
  <c r="Z68" i="15"/>
  <c r="AA68" i="15"/>
  <c r="AB68" i="15"/>
  <c r="AC68" i="15"/>
  <c r="AD68" i="15"/>
  <c r="AE68" i="15"/>
  <c r="AF68" i="15"/>
  <c r="AG68" i="15"/>
  <c r="AH68" i="15"/>
  <c r="AI68" i="15"/>
  <c r="AL68" i="15"/>
  <c r="AN68" i="15"/>
  <c r="AP68" i="15"/>
  <c r="AR68" i="15"/>
  <c r="AT68" i="15"/>
  <c r="AU68" i="15"/>
  <c r="AV68" i="15"/>
  <c r="AZ68" i="15"/>
  <c r="BA68" i="15"/>
  <c r="BC68" i="15"/>
  <c r="BD68" i="15"/>
  <c r="BE68" i="15"/>
  <c r="BF68" i="15"/>
  <c r="A69" i="15"/>
  <c r="B69" i="15"/>
  <c r="C69" i="15"/>
  <c r="D69" i="15"/>
  <c r="E69" i="15"/>
  <c r="F69" i="15"/>
  <c r="G69" i="15"/>
  <c r="H69" i="15"/>
  <c r="I69" i="15"/>
  <c r="J69" i="15"/>
  <c r="K69" i="15"/>
  <c r="L69" i="15"/>
  <c r="M69" i="15"/>
  <c r="N69" i="15"/>
  <c r="O69" i="15"/>
  <c r="P69" i="15"/>
  <c r="Q69" i="15"/>
  <c r="R69" i="15"/>
  <c r="S69" i="15"/>
  <c r="T69" i="15"/>
  <c r="U69" i="15"/>
  <c r="V69" i="15"/>
  <c r="W69" i="15"/>
  <c r="X69" i="15"/>
  <c r="Y69" i="15"/>
  <c r="Z69" i="15"/>
  <c r="AL69" i="15"/>
  <c r="AN69" i="15"/>
  <c r="AP69" i="15"/>
  <c r="AR69" i="15"/>
  <c r="AT69" i="15"/>
  <c r="AU69" i="15"/>
  <c r="AV69" i="15"/>
  <c r="AZ69" i="15"/>
  <c r="BA69" i="15"/>
  <c r="BC69" i="15"/>
  <c r="BD69" i="15"/>
  <c r="BE69" i="15"/>
  <c r="BF69" i="15"/>
  <c r="A70" i="15"/>
  <c r="B70" i="15"/>
  <c r="C70" i="15"/>
  <c r="D70" i="15"/>
  <c r="E70" i="15"/>
  <c r="F70" i="15"/>
  <c r="G70" i="15"/>
  <c r="H70" i="15"/>
  <c r="I70" i="15"/>
  <c r="J70" i="15"/>
  <c r="K70" i="15"/>
  <c r="L70" i="15"/>
  <c r="M70" i="15"/>
  <c r="N70" i="15"/>
  <c r="O70" i="15"/>
  <c r="P70" i="15"/>
  <c r="Q70" i="15"/>
  <c r="R70" i="15"/>
  <c r="S70" i="15"/>
  <c r="T70" i="15"/>
  <c r="U70" i="15"/>
  <c r="V70" i="15"/>
  <c r="W70" i="15"/>
  <c r="X70" i="15"/>
  <c r="Y70" i="15"/>
  <c r="Z70" i="15"/>
  <c r="AA70" i="15"/>
  <c r="AB70" i="15"/>
  <c r="AC70" i="15"/>
  <c r="AD70" i="15"/>
  <c r="AE70" i="15"/>
  <c r="AF70" i="15"/>
  <c r="AG70" i="15"/>
  <c r="AH70" i="15"/>
  <c r="AI70" i="15"/>
  <c r="AL70" i="15"/>
  <c r="AN70" i="15"/>
  <c r="AP70" i="15"/>
  <c r="AR70" i="15"/>
  <c r="AT70" i="15"/>
  <c r="AU70" i="15"/>
  <c r="AV70" i="15"/>
  <c r="AZ70" i="15"/>
  <c r="BA70" i="15"/>
  <c r="BC70" i="15"/>
  <c r="BD70" i="15"/>
  <c r="BE70" i="15"/>
  <c r="BF70" i="15"/>
  <c r="A71" i="15"/>
  <c r="B71" i="15"/>
  <c r="C71" i="15"/>
  <c r="D71" i="15"/>
  <c r="E71" i="15"/>
  <c r="F71" i="15"/>
  <c r="G71" i="15"/>
  <c r="H71" i="15"/>
  <c r="I71" i="15"/>
  <c r="J71" i="15"/>
  <c r="K71" i="15"/>
  <c r="L71" i="15"/>
  <c r="M71" i="15"/>
  <c r="N71" i="15"/>
  <c r="O71" i="15"/>
  <c r="P71" i="15"/>
  <c r="Q71" i="15"/>
  <c r="R71" i="15"/>
  <c r="S71" i="15"/>
  <c r="T71" i="15"/>
  <c r="U71" i="15"/>
  <c r="V71" i="15"/>
  <c r="W71" i="15"/>
  <c r="X71" i="15"/>
  <c r="Y71" i="15"/>
  <c r="Z71" i="15"/>
  <c r="AL71" i="15"/>
  <c r="AN71" i="15"/>
  <c r="AP71" i="15"/>
  <c r="AR71" i="15"/>
  <c r="AT71" i="15"/>
  <c r="AU71" i="15"/>
  <c r="AV71" i="15"/>
  <c r="AZ71" i="15"/>
  <c r="BA71" i="15"/>
  <c r="BC71" i="15"/>
  <c r="BD71" i="15"/>
  <c r="BE71" i="15"/>
  <c r="BF71" i="15"/>
  <c r="A72" i="15"/>
  <c r="B72" i="15"/>
  <c r="C72" i="15"/>
  <c r="D72" i="15"/>
  <c r="E72" i="15"/>
  <c r="F72" i="15"/>
  <c r="G72" i="15"/>
  <c r="H72" i="15"/>
  <c r="I72" i="15"/>
  <c r="J72" i="15"/>
  <c r="K72" i="15"/>
  <c r="L72" i="15"/>
  <c r="M72" i="15"/>
  <c r="N72" i="15"/>
  <c r="O72" i="15"/>
  <c r="P72" i="15"/>
  <c r="Q72" i="15"/>
  <c r="R72" i="15"/>
  <c r="S72" i="15"/>
  <c r="T72" i="15"/>
  <c r="U72" i="15"/>
  <c r="V72" i="15"/>
  <c r="W72" i="15"/>
  <c r="X72" i="15"/>
  <c r="Y72" i="15"/>
  <c r="Z72" i="15"/>
  <c r="AA72" i="15"/>
  <c r="AB72" i="15"/>
  <c r="AC72" i="15"/>
  <c r="AD72" i="15"/>
  <c r="AE72" i="15"/>
  <c r="AF72" i="15"/>
  <c r="AG72" i="15"/>
  <c r="AH72" i="15"/>
  <c r="AI72" i="15"/>
  <c r="AL72" i="15"/>
  <c r="AN72" i="15"/>
  <c r="AP72" i="15"/>
  <c r="AR72" i="15"/>
  <c r="AT72" i="15"/>
  <c r="AU72" i="15"/>
  <c r="AV72" i="15"/>
  <c r="AZ72" i="15"/>
  <c r="BA72" i="15"/>
  <c r="BC72" i="15"/>
  <c r="BD72" i="15"/>
  <c r="BE72" i="15"/>
  <c r="BF72" i="15"/>
  <c r="A73" i="15"/>
  <c r="B73" i="15"/>
  <c r="C73" i="15"/>
  <c r="D73" i="15"/>
  <c r="E73" i="15"/>
  <c r="F73" i="15"/>
  <c r="G73" i="15"/>
  <c r="H73" i="15"/>
  <c r="I73" i="15"/>
  <c r="J73" i="15"/>
  <c r="K73" i="15"/>
  <c r="L73" i="15"/>
  <c r="M73" i="15"/>
  <c r="N73" i="15"/>
  <c r="O73" i="15"/>
  <c r="P73" i="15"/>
  <c r="Q73" i="15"/>
  <c r="R73" i="15"/>
  <c r="S73" i="15"/>
  <c r="T73" i="15"/>
  <c r="U73" i="15"/>
  <c r="V73" i="15"/>
  <c r="W73" i="15"/>
  <c r="X73" i="15"/>
  <c r="Y73" i="15"/>
  <c r="Z73" i="15"/>
  <c r="AL73" i="15"/>
  <c r="AN73" i="15"/>
  <c r="AP73" i="15"/>
  <c r="AR73" i="15"/>
  <c r="AT73" i="15"/>
  <c r="AU73" i="15"/>
  <c r="AV73" i="15"/>
  <c r="AZ73" i="15"/>
  <c r="BA73" i="15"/>
  <c r="BC73" i="15"/>
  <c r="BD73" i="15"/>
  <c r="BE73" i="15"/>
  <c r="BF73" i="15"/>
  <c r="A74" i="15"/>
  <c r="B74" i="15"/>
  <c r="C74" i="15"/>
  <c r="D74" i="15"/>
  <c r="E74" i="15"/>
  <c r="F74" i="15"/>
  <c r="G74" i="15"/>
  <c r="H74" i="15"/>
  <c r="I74" i="15"/>
  <c r="J74" i="15"/>
  <c r="K74" i="15"/>
  <c r="L74" i="15"/>
  <c r="M74" i="15"/>
  <c r="N74" i="15"/>
  <c r="O74" i="15"/>
  <c r="P74" i="15"/>
  <c r="Q74" i="15"/>
  <c r="R74" i="15"/>
  <c r="S74" i="15"/>
  <c r="T74" i="15"/>
  <c r="U74" i="15"/>
  <c r="V74" i="15"/>
  <c r="W74" i="15"/>
  <c r="X74" i="15"/>
  <c r="Y74" i="15"/>
  <c r="Z74" i="15"/>
  <c r="AA74" i="15"/>
  <c r="AB74" i="15"/>
  <c r="AC74" i="15"/>
  <c r="AD74" i="15"/>
  <c r="AE74" i="15"/>
  <c r="AF74" i="15"/>
  <c r="AG74" i="15"/>
  <c r="AH74" i="15"/>
  <c r="AI74" i="15"/>
  <c r="AL74" i="15"/>
  <c r="AN74" i="15"/>
  <c r="AP74" i="15"/>
  <c r="AR74" i="15"/>
  <c r="AT74" i="15"/>
  <c r="AU74" i="15"/>
  <c r="AV74" i="15"/>
  <c r="AZ74" i="15"/>
  <c r="BA74" i="15"/>
  <c r="BC74" i="15"/>
  <c r="BD74" i="15"/>
  <c r="BE74" i="15"/>
  <c r="BF74" i="15"/>
  <c r="D75" i="15"/>
  <c r="E75" i="15"/>
  <c r="H75" i="15"/>
  <c r="I75" i="15"/>
  <c r="L75" i="15"/>
  <c r="M75" i="15"/>
  <c r="P75" i="15"/>
  <c r="Q75" i="15"/>
  <c r="T75" i="15"/>
  <c r="U75" i="15"/>
  <c r="X75" i="15"/>
  <c r="Y75" i="15"/>
  <c r="AA75" i="15"/>
  <c r="AB75" i="15"/>
  <c r="AC75" i="15"/>
  <c r="AD75" i="15"/>
  <c r="AE75" i="15"/>
  <c r="AF75" i="15"/>
  <c r="AG75" i="15"/>
  <c r="AH75" i="15"/>
  <c r="AI75" i="15"/>
  <c r="AK75" i="15"/>
  <c r="AL75" i="15"/>
  <c r="AM75" i="15"/>
  <c r="AN75" i="15"/>
  <c r="AO75" i="15"/>
  <c r="AP75" i="15"/>
  <c r="AQ75" i="15"/>
  <c r="AR75" i="15"/>
  <c r="AS75" i="15"/>
  <c r="AT75" i="15"/>
  <c r="AU75" i="15"/>
  <c r="AV75" i="15"/>
  <c r="AX75" i="15"/>
  <c r="AY75" i="15"/>
  <c r="AZ75" i="15"/>
  <c r="BA75" i="15"/>
  <c r="BB75" i="15"/>
  <c r="BC75" i="15"/>
  <c r="BD75" i="15"/>
  <c r="BE75" i="15"/>
  <c r="BF75" i="15"/>
  <c r="C77" i="15"/>
  <c r="D77" i="15"/>
  <c r="E77" i="15"/>
  <c r="F77" i="15"/>
  <c r="G77" i="15"/>
  <c r="H77" i="15"/>
  <c r="I77" i="15"/>
  <c r="J77" i="15"/>
  <c r="K77" i="15"/>
  <c r="L77" i="15"/>
  <c r="M77" i="15"/>
  <c r="N77" i="15"/>
  <c r="O77" i="15"/>
  <c r="P77" i="15"/>
  <c r="Q77" i="15"/>
  <c r="R77" i="15"/>
  <c r="S77" i="15"/>
  <c r="T77" i="15"/>
  <c r="U77" i="15"/>
  <c r="V77" i="15"/>
  <c r="W77" i="15"/>
  <c r="X77" i="15"/>
  <c r="Y77" i="15"/>
  <c r="Z77" i="15"/>
  <c r="AA77" i="15"/>
  <c r="AB77" i="15"/>
  <c r="AC77" i="15"/>
  <c r="AD77" i="15"/>
  <c r="AE77" i="15"/>
  <c r="AF77" i="15"/>
  <c r="AG77" i="15"/>
  <c r="AH77" i="15"/>
  <c r="AI77" i="15"/>
  <c r="BC78" i="15"/>
  <c r="D79" i="15"/>
  <c r="E79" i="15"/>
  <c r="F79" i="15"/>
  <c r="G79" i="15"/>
  <c r="H79" i="15"/>
  <c r="I79" i="15"/>
  <c r="J79" i="15"/>
  <c r="K79" i="15"/>
  <c r="L79" i="15"/>
  <c r="M79" i="15"/>
  <c r="N79" i="15"/>
  <c r="O79" i="15"/>
  <c r="P79" i="15"/>
  <c r="Q79" i="15"/>
  <c r="R79" i="15"/>
  <c r="S79" i="15"/>
  <c r="T79" i="15"/>
  <c r="U79" i="15"/>
  <c r="V79" i="15"/>
  <c r="W79" i="15"/>
  <c r="X79" i="15"/>
  <c r="Y79" i="15"/>
  <c r="Z79" i="15"/>
  <c r="AA79" i="15"/>
  <c r="AB79" i="15"/>
  <c r="AC79" i="15"/>
  <c r="AD79" i="15"/>
  <c r="AE79" i="15"/>
  <c r="AF79" i="15"/>
  <c r="AG79" i="15"/>
  <c r="AH79" i="15"/>
  <c r="A1" i="18"/>
  <c r="A2" i="18"/>
  <c r="A3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G10" i="18"/>
  <c r="H10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G12" i="18"/>
  <c r="H12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G16" i="18"/>
  <c r="H16" i="18"/>
  <c r="I16" i="18"/>
  <c r="J16" i="18"/>
  <c r="K16" i="18"/>
  <c r="L16" i="18"/>
  <c r="M16" i="18"/>
  <c r="N16" i="18"/>
  <c r="O16" i="18"/>
  <c r="G17" i="18"/>
  <c r="H17" i="18"/>
  <c r="I17" i="18"/>
  <c r="J17" i="18"/>
  <c r="K17" i="18"/>
  <c r="L17" i="18"/>
  <c r="M17" i="18"/>
  <c r="N17" i="18"/>
  <c r="O17" i="18"/>
  <c r="G18" i="18"/>
  <c r="H18" i="18"/>
  <c r="I18" i="18"/>
  <c r="J18" i="18"/>
  <c r="K18" i="18"/>
  <c r="L18" i="18"/>
  <c r="M18" i="18"/>
  <c r="N18" i="18"/>
  <c r="O18" i="18"/>
  <c r="G19" i="18"/>
  <c r="H19" i="18"/>
  <c r="I19" i="18"/>
  <c r="J19" i="18"/>
  <c r="K19" i="18"/>
  <c r="L19" i="18"/>
  <c r="M19" i="18"/>
  <c r="N19" i="18"/>
  <c r="O19" i="18"/>
  <c r="G20" i="18"/>
  <c r="H20" i="18"/>
  <c r="I20" i="18"/>
  <c r="J20" i="18"/>
  <c r="K20" i="18"/>
  <c r="L20" i="18"/>
  <c r="M20" i="18"/>
  <c r="N20" i="18"/>
  <c r="O20" i="18"/>
  <c r="G21" i="18"/>
  <c r="H21" i="18"/>
  <c r="I21" i="18"/>
  <c r="J21" i="18"/>
  <c r="K21" i="18"/>
  <c r="L21" i="18"/>
  <c r="M21" i="18"/>
  <c r="N21" i="18"/>
  <c r="O21" i="18"/>
  <c r="D26" i="18"/>
  <c r="E26" i="18"/>
  <c r="G26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D27" i="18"/>
  <c r="E27" i="18"/>
  <c r="G27" i="18"/>
  <c r="H27" i="18"/>
  <c r="I27" i="18"/>
  <c r="J27" i="18"/>
  <c r="K27" i="18"/>
  <c r="L27" i="18"/>
  <c r="M27" i="18"/>
  <c r="N27" i="18"/>
  <c r="O27" i="18"/>
  <c r="P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D28" i="18"/>
  <c r="E28" i="18"/>
  <c r="G28" i="18"/>
  <c r="H28" i="18"/>
  <c r="I28" i="18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E29" i="18"/>
  <c r="G29" i="18"/>
  <c r="H29" i="18"/>
  <c r="I29" i="18"/>
  <c r="J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G30" i="18"/>
  <c r="H30" i="18"/>
  <c r="I30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H32" i="18"/>
  <c r="I32" i="18"/>
  <c r="J32" i="18"/>
  <c r="K32" i="18"/>
  <c r="L32" i="18"/>
  <c r="M32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G33" i="18"/>
  <c r="H33" i="18"/>
  <c r="I33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G35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D40" i="18"/>
  <c r="E40" i="18"/>
  <c r="G40" i="18"/>
  <c r="H40" i="18"/>
  <c r="I40" i="18"/>
  <c r="J40" i="18"/>
  <c r="K40" i="18"/>
  <c r="L40" i="18"/>
  <c r="M40" i="18"/>
  <c r="N40" i="18"/>
  <c r="O40" i="18"/>
  <c r="P40" i="18"/>
  <c r="Q40" i="18"/>
  <c r="R40" i="18"/>
  <c r="S40" i="18"/>
  <c r="T40" i="18"/>
  <c r="U40" i="18"/>
  <c r="V40" i="18"/>
  <c r="W40" i="18"/>
  <c r="X40" i="18"/>
  <c r="Y40" i="18"/>
  <c r="Z40" i="18"/>
  <c r="AA40" i="18"/>
  <c r="AB40" i="18"/>
  <c r="AC40" i="18"/>
  <c r="D41" i="18"/>
  <c r="E41" i="18"/>
  <c r="G41" i="18"/>
  <c r="H41" i="18"/>
  <c r="I41" i="18"/>
  <c r="J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Z41" i="18"/>
  <c r="AA41" i="18"/>
  <c r="AB41" i="18"/>
  <c r="AC41" i="18"/>
  <c r="D42" i="18"/>
  <c r="E42" i="18"/>
  <c r="G42" i="18"/>
  <c r="H42" i="18"/>
  <c r="I42" i="18"/>
  <c r="J42" i="18"/>
  <c r="K42" i="18"/>
  <c r="L42" i="18"/>
  <c r="M42" i="18"/>
  <c r="N42" i="18"/>
  <c r="O42" i="18"/>
  <c r="P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/>
  <c r="E43" i="18"/>
  <c r="G43" i="18"/>
  <c r="H43" i="18"/>
  <c r="I43" i="18"/>
  <c r="J43" i="18"/>
  <c r="K43" i="18"/>
  <c r="L43" i="18"/>
  <c r="M43" i="18"/>
  <c r="N43" i="18"/>
  <c r="O43" i="18"/>
  <c r="P43" i="18"/>
  <c r="Q43" i="18"/>
  <c r="R43" i="18"/>
  <c r="S43" i="18"/>
  <c r="T43" i="18"/>
  <c r="U43" i="18"/>
  <c r="V43" i="18"/>
  <c r="W43" i="18"/>
  <c r="X43" i="18"/>
  <c r="Y43" i="18"/>
  <c r="Z43" i="18"/>
  <c r="AA43" i="18"/>
  <c r="AB43" i="18"/>
  <c r="AC43" i="18"/>
  <c r="G44" i="18"/>
  <c r="H44" i="18"/>
  <c r="I44" i="18"/>
  <c r="J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Z44" i="18"/>
  <c r="AA44" i="18"/>
  <c r="AB44" i="18"/>
  <c r="H46" i="18"/>
  <c r="I46" i="18"/>
  <c r="J46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X46" i="18"/>
  <c r="Y46" i="18"/>
  <c r="Z46" i="18"/>
  <c r="AA46" i="18"/>
  <c r="AB46" i="18"/>
  <c r="G47" i="18"/>
  <c r="H47" i="18"/>
  <c r="I47" i="18"/>
  <c r="J47" i="18"/>
  <c r="K47" i="18"/>
  <c r="L47" i="18"/>
  <c r="M47" i="18"/>
  <c r="N47" i="18"/>
  <c r="O47" i="18"/>
  <c r="P47" i="18"/>
  <c r="Q47" i="18"/>
  <c r="R47" i="18"/>
  <c r="S47" i="18"/>
  <c r="T47" i="18"/>
  <c r="U47" i="18"/>
  <c r="V47" i="18"/>
  <c r="W47" i="18"/>
  <c r="X47" i="18"/>
  <c r="Y47" i="18"/>
  <c r="Z47" i="18"/>
  <c r="AA47" i="18"/>
  <c r="AB47" i="18"/>
  <c r="AC47" i="18"/>
  <c r="G48" i="18"/>
  <c r="H48" i="18"/>
  <c r="I48" i="18"/>
  <c r="J48" i="18"/>
  <c r="K48" i="18"/>
  <c r="L48" i="18"/>
  <c r="M48" i="18"/>
  <c r="N48" i="18"/>
  <c r="O48" i="18"/>
  <c r="P48" i="18"/>
  <c r="Q48" i="18"/>
  <c r="R48" i="18"/>
  <c r="S48" i="18"/>
  <c r="T48" i="18"/>
  <c r="U48" i="18"/>
  <c r="V48" i="18"/>
  <c r="W48" i="18"/>
  <c r="X48" i="18"/>
  <c r="Y48" i="18"/>
  <c r="Z48" i="18"/>
  <c r="AA48" i="18"/>
  <c r="AB48" i="18"/>
  <c r="AC48" i="18"/>
  <c r="G49" i="18"/>
  <c r="H49" i="18"/>
  <c r="I49" i="18"/>
  <c r="J49" i="18"/>
  <c r="K49" i="18"/>
  <c r="L49" i="18"/>
  <c r="M49" i="18"/>
  <c r="N49" i="18"/>
  <c r="O49" i="18"/>
  <c r="P49" i="18"/>
  <c r="Q49" i="18"/>
  <c r="R49" i="18"/>
  <c r="S49" i="18"/>
  <c r="T49" i="18"/>
  <c r="U49" i="18"/>
  <c r="V49" i="18"/>
  <c r="W49" i="18"/>
  <c r="X49" i="18"/>
  <c r="Y49" i="18"/>
  <c r="Z49" i="18"/>
  <c r="AA49" i="18"/>
  <c r="AB49" i="18"/>
  <c r="D54" i="18"/>
  <c r="E54" i="18"/>
  <c r="G54" i="18"/>
  <c r="H54" i="18"/>
  <c r="I54" i="18"/>
  <c r="J54" i="18"/>
  <c r="K54" i="18"/>
  <c r="L54" i="18"/>
  <c r="M54" i="18"/>
  <c r="N54" i="18"/>
  <c r="O54" i="18"/>
  <c r="P54" i="18"/>
  <c r="Q54" i="18"/>
  <c r="R54" i="18"/>
  <c r="S54" i="18"/>
  <c r="T54" i="18"/>
  <c r="U54" i="18"/>
  <c r="V54" i="18"/>
  <c r="W54" i="18"/>
  <c r="X54" i="18"/>
  <c r="Y54" i="18"/>
  <c r="Z54" i="18"/>
  <c r="AA54" i="18"/>
  <c r="AB54" i="18"/>
  <c r="AC54" i="18"/>
  <c r="D55" i="18"/>
  <c r="E55" i="18"/>
  <c r="G55" i="18"/>
  <c r="H55" i="18"/>
  <c r="I55" i="18"/>
  <c r="J55" i="18"/>
  <c r="K55" i="18"/>
  <c r="L55" i="18"/>
  <c r="M55" i="18"/>
  <c r="N55" i="18"/>
  <c r="O55" i="18"/>
  <c r="P55" i="18"/>
  <c r="Q55" i="18"/>
  <c r="R55" i="18"/>
  <c r="S55" i="18"/>
  <c r="T55" i="18"/>
  <c r="U55" i="18"/>
  <c r="V55" i="18"/>
  <c r="W55" i="18"/>
  <c r="X55" i="18"/>
  <c r="Y55" i="18"/>
  <c r="Z55" i="18"/>
  <c r="AA55" i="18"/>
  <c r="AB55" i="18"/>
  <c r="AC55" i="18"/>
  <c r="D56" i="18"/>
  <c r="E56" i="18"/>
  <c r="G56" i="18"/>
  <c r="H56" i="18"/>
  <c r="I56" i="18"/>
  <c r="J56" i="18"/>
  <c r="K56" i="18"/>
  <c r="L56" i="18"/>
  <c r="M56" i="18"/>
  <c r="N56" i="18"/>
  <c r="O56" i="18"/>
  <c r="P56" i="18"/>
  <c r="Q56" i="18"/>
  <c r="R56" i="18"/>
  <c r="S56" i="18"/>
  <c r="T56" i="18"/>
  <c r="U56" i="18"/>
  <c r="V56" i="18"/>
  <c r="W56" i="18"/>
  <c r="X56" i="18"/>
  <c r="Y56" i="18"/>
  <c r="Z56" i="18"/>
  <c r="AA56" i="18"/>
  <c r="AB56" i="18"/>
  <c r="AC56" i="18"/>
  <c r="E57" i="18"/>
  <c r="G57" i="18"/>
  <c r="H57" i="18"/>
  <c r="I57" i="18"/>
  <c r="J57" i="18"/>
  <c r="K57" i="18"/>
  <c r="L57" i="18"/>
  <c r="M57" i="18"/>
  <c r="N57" i="18"/>
  <c r="O57" i="18"/>
  <c r="P57" i="18"/>
  <c r="Q57" i="18"/>
  <c r="R57" i="18"/>
  <c r="S57" i="18"/>
  <c r="T57" i="18"/>
  <c r="U57" i="18"/>
  <c r="V57" i="18"/>
  <c r="W57" i="18"/>
  <c r="X57" i="18"/>
  <c r="Y57" i="18"/>
  <c r="Z57" i="18"/>
  <c r="AA57" i="18"/>
  <c r="AB57" i="18"/>
  <c r="AC57" i="18"/>
  <c r="G58" i="18"/>
  <c r="H58" i="18"/>
  <c r="I58" i="18"/>
  <c r="J58" i="18"/>
  <c r="K58" i="18"/>
  <c r="L58" i="18"/>
  <c r="M58" i="18"/>
  <c r="N58" i="18"/>
  <c r="O58" i="18"/>
  <c r="P58" i="18"/>
  <c r="Q58" i="18"/>
  <c r="R58" i="18"/>
  <c r="S58" i="18"/>
  <c r="T58" i="18"/>
  <c r="U58" i="18"/>
  <c r="V58" i="18"/>
  <c r="W58" i="18"/>
  <c r="X58" i="18"/>
  <c r="Y58" i="18"/>
  <c r="Z58" i="18"/>
  <c r="AA58" i="18"/>
  <c r="AB58" i="18"/>
  <c r="H60" i="18"/>
  <c r="I60" i="18"/>
  <c r="J60" i="18"/>
  <c r="K60" i="18"/>
  <c r="L60" i="18"/>
  <c r="M60" i="18"/>
  <c r="N60" i="18"/>
  <c r="O60" i="18"/>
  <c r="P60" i="18"/>
  <c r="Q60" i="18"/>
  <c r="R60" i="18"/>
  <c r="S60" i="18"/>
  <c r="T60" i="18"/>
  <c r="U60" i="18"/>
  <c r="V60" i="18"/>
  <c r="W60" i="18"/>
  <c r="X60" i="18"/>
  <c r="Y60" i="18"/>
  <c r="Z60" i="18"/>
  <c r="AA60" i="18"/>
  <c r="AB60" i="18"/>
  <c r="G61" i="18"/>
  <c r="H61" i="18"/>
  <c r="I61" i="18"/>
  <c r="J61" i="18"/>
  <c r="K61" i="18"/>
  <c r="L61" i="18"/>
  <c r="M61" i="18"/>
  <c r="N61" i="18"/>
  <c r="O61" i="18"/>
  <c r="P61" i="18"/>
  <c r="Q61" i="18"/>
  <c r="R61" i="18"/>
  <c r="S61" i="18"/>
  <c r="T61" i="18"/>
  <c r="U61" i="18"/>
  <c r="V61" i="18"/>
  <c r="W61" i="18"/>
  <c r="X61" i="18"/>
  <c r="Y61" i="18"/>
  <c r="Z61" i="18"/>
  <c r="AA61" i="18"/>
  <c r="AB61" i="18"/>
  <c r="AC61" i="18"/>
  <c r="G62" i="18"/>
  <c r="H62" i="18"/>
  <c r="I62" i="18"/>
  <c r="J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X62" i="18"/>
  <c r="Y62" i="18"/>
  <c r="Z62" i="18"/>
  <c r="AA62" i="18"/>
  <c r="AB62" i="18"/>
  <c r="AC62" i="18"/>
  <c r="G63" i="18"/>
  <c r="H63" i="18"/>
  <c r="I63" i="18"/>
  <c r="J63" i="18"/>
  <c r="K63" i="18"/>
  <c r="L63" i="18"/>
  <c r="M63" i="18"/>
  <c r="N63" i="18"/>
  <c r="O63" i="18"/>
  <c r="P63" i="18"/>
  <c r="Q63" i="18"/>
  <c r="R63" i="18"/>
  <c r="S63" i="18"/>
  <c r="T63" i="18"/>
  <c r="U63" i="18"/>
  <c r="V63" i="18"/>
  <c r="W63" i="18"/>
  <c r="X63" i="18"/>
  <c r="Y63" i="18"/>
  <c r="Z63" i="18"/>
  <c r="AA63" i="18"/>
  <c r="AB63" i="18"/>
  <c r="A1" i="30"/>
  <c r="A2" i="30"/>
  <c r="A3" i="30"/>
  <c r="F6" i="30"/>
  <c r="G6" i="30"/>
  <c r="H6" i="30"/>
  <c r="I6" i="30"/>
  <c r="J6" i="30"/>
  <c r="K6" i="30"/>
  <c r="L6" i="30"/>
  <c r="M6" i="30"/>
  <c r="N6" i="30"/>
  <c r="O6" i="30"/>
  <c r="P6" i="30"/>
  <c r="Q6" i="30"/>
  <c r="R6" i="30"/>
  <c r="S6" i="30"/>
  <c r="T6" i="30"/>
  <c r="U6" i="30"/>
  <c r="V6" i="30"/>
  <c r="W6" i="30"/>
  <c r="X6" i="30"/>
  <c r="Y6" i="30"/>
  <c r="Z6" i="30"/>
  <c r="AA6" i="30"/>
  <c r="AB6" i="30"/>
  <c r="AC6" i="30"/>
  <c r="AD6" i="30"/>
  <c r="AE6" i="30"/>
  <c r="AF6" i="30"/>
  <c r="AG6" i="30"/>
  <c r="AH6" i="30"/>
  <c r="AI6" i="30"/>
  <c r="AJ6" i="30"/>
  <c r="AK6" i="30"/>
  <c r="AL6" i="30"/>
  <c r="AM6" i="30"/>
  <c r="AN6" i="30"/>
  <c r="AO6" i="30"/>
  <c r="AP6" i="30"/>
  <c r="AQ6" i="30"/>
  <c r="AR6" i="30"/>
  <c r="AS6" i="30"/>
  <c r="AT6" i="30"/>
  <c r="AU6" i="30"/>
  <c r="AV6" i="30"/>
  <c r="AW6" i="30"/>
  <c r="AX6" i="30"/>
  <c r="AY6" i="30"/>
  <c r="E7" i="30"/>
  <c r="F7" i="30"/>
  <c r="G7" i="30"/>
  <c r="H7" i="30"/>
  <c r="I7" i="30"/>
  <c r="J7" i="30"/>
  <c r="K7" i="30"/>
  <c r="L7" i="30"/>
  <c r="M7" i="30"/>
  <c r="N7" i="30"/>
  <c r="O7" i="30"/>
  <c r="P7" i="30"/>
  <c r="Q7" i="30"/>
  <c r="R7" i="30"/>
  <c r="S7" i="30"/>
  <c r="T7" i="30"/>
  <c r="U7" i="30"/>
  <c r="V7" i="30"/>
  <c r="W7" i="30"/>
  <c r="X7" i="30"/>
  <c r="Y7" i="30"/>
  <c r="Z7" i="30"/>
  <c r="AA7" i="30"/>
  <c r="AB7" i="30"/>
  <c r="AC7" i="30"/>
  <c r="AD7" i="30"/>
  <c r="AE7" i="30"/>
  <c r="AF7" i="30"/>
  <c r="AG7" i="30"/>
  <c r="AH7" i="30"/>
  <c r="AI7" i="30"/>
  <c r="AJ7" i="30"/>
  <c r="AK7" i="30"/>
  <c r="AL7" i="30"/>
  <c r="AM7" i="30"/>
  <c r="AN7" i="30"/>
  <c r="AO7" i="30"/>
  <c r="AP7" i="30"/>
  <c r="AQ7" i="30"/>
  <c r="AR7" i="30"/>
  <c r="AS7" i="30"/>
  <c r="AT7" i="30"/>
  <c r="AU7" i="30"/>
  <c r="AV7" i="30"/>
  <c r="AW7" i="30"/>
  <c r="AX7" i="30"/>
  <c r="AY7" i="30"/>
  <c r="A9" i="30"/>
  <c r="C9" i="30"/>
  <c r="E9" i="30"/>
  <c r="F9" i="30"/>
  <c r="G9" i="30"/>
  <c r="H9" i="30"/>
  <c r="I9" i="30"/>
  <c r="J9" i="30"/>
  <c r="K9" i="30"/>
  <c r="L9" i="30"/>
  <c r="M9" i="30"/>
  <c r="N9" i="30"/>
  <c r="O9" i="30"/>
  <c r="P9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K9" i="30"/>
  <c r="AO9" i="30"/>
  <c r="AS9" i="30"/>
  <c r="AW9" i="30"/>
  <c r="BA9" i="30"/>
  <c r="A10" i="30"/>
  <c r="C10" i="30"/>
  <c r="BA10" i="30"/>
  <c r="A11" i="30"/>
  <c r="C11" i="30"/>
  <c r="BA11" i="30"/>
  <c r="A12" i="30"/>
  <c r="C12" i="30"/>
  <c r="BA12" i="30"/>
  <c r="A13" i="30"/>
  <c r="C13" i="30"/>
  <c r="BA13" i="30"/>
  <c r="A14" i="30"/>
  <c r="C14" i="30"/>
  <c r="BA14" i="30"/>
  <c r="A15" i="30"/>
  <c r="C15" i="30"/>
  <c r="E15" i="30"/>
  <c r="F15" i="30"/>
  <c r="G15" i="30"/>
  <c r="H15" i="30"/>
  <c r="I15" i="30"/>
  <c r="J15" i="30"/>
  <c r="K15" i="30"/>
  <c r="L15" i="30"/>
  <c r="M15" i="30"/>
  <c r="N15" i="30"/>
  <c r="O15" i="30"/>
  <c r="P15" i="30"/>
  <c r="Q15" i="30"/>
  <c r="R15" i="30"/>
  <c r="S15" i="30"/>
  <c r="T15" i="30"/>
  <c r="U15" i="30"/>
  <c r="V15" i="30"/>
  <c r="W15" i="30"/>
  <c r="X15" i="30"/>
  <c r="Y15" i="30"/>
  <c r="Z15" i="30"/>
  <c r="AA15" i="30"/>
  <c r="AB15" i="30"/>
  <c r="AC15" i="30"/>
  <c r="AD15" i="30"/>
  <c r="AE15" i="30"/>
  <c r="AF15" i="30"/>
  <c r="AG15" i="30"/>
  <c r="AH15" i="30"/>
  <c r="AI15" i="30"/>
  <c r="AJ15" i="30"/>
  <c r="AK15" i="30"/>
  <c r="AL15" i="30"/>
  <c r="AM15" i="30"/>
  <c r="AN15" i="30"/>
  <c r="AO15" i="30"/>
  <c r="AP15" i="30"/>
  <c r="AQ15" i="30"/>
  <c r="AR15" i="30"/>
  <c r="AS15" i="30"/>
  <c r="AT15" i="30"/>
  <c r="AU15" i="30"/>
  <c r="AV15" i="30"/>
  <c r="AW15" i="30"/>
  <c r="AX15" i="30"/>
  <c r="AY15" i="30"/>
  <c r="BA15" i="30"/>
  <c r="A17" i="30"/>
  <c r="C17" i="30"/>
  <c r="E17" i="30"/>
  <c r="F17" i="30"/>
  <c r="G17" i="30"/>
  <c r="H17" i="30"/>
  <c r="I17" i="30"/>
  <c r="J17" i="30"/>
  <c r="K17" i="30"/>
  <c r="L17" i="30"/>
  <c r="M17" i="30"/>
  <c r="N17" i="30"/>
  <c r="O17" i="30"/>
  <c r="P17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AC17" i="30"/>
  <c r="AD17" i="30"/>
  <c r="AE17" i="30"/>
  <c r="AF17" i="30"/>
  <c r="AG17" i="30"/>
  <c r="AH17" i="30"/>
  <c r="AI17" i="30"/>
  <c r="AJ17" i="30"/>
  <c r="AK17" i="30"/>
  <c r="AL17" i="30"/>
  <c r="AM17" i="30"/>
  <c r="AN17" i="30"/>
  <c r="AO17" i="30"/>
  <c r="AP17" i="30"/>
  <c r="AQ17" i="30"/>
  <c r="AR17" i="30"/>
  <c r="AS17" i="30"/>
  <c r="AT17" i="30"/>
  <c r="AU17" i="30"/>
  <c r="AV17" i="30"/>
  <c r="AW17" i="30"/>
  <c r="BA17" i="30"/>
  <c r="A18" i="30"/>
  <c r="C18" i="30"/>
  <c r="BA18" i="30"/>
  <c r="A19" i="30"/>
  <c r="C19" i="30"/>
  <c r="BA19" i="30"/>
  <c r="A20" i="30"/>
  <c r="C20" i="30"/>
  <c r="BA20" i="30"/>
  <c r="A21" i="30"/>
  <c r="C21" i="30"/>
  <c r="BA21" i="30"/>
  <c r="A22" i="30"/>
  <c r="C22" i="30"/>
  <c r="E22" i="30"/>
  <c r="F22" i="30"/>
  <c r="G22" i="30"/>
  <c r="H22" i="30"/>
  <c r="I22" i="30"/>
  <c r="J22" i="30"/>
  <c r="K22" i="30"/>
  <c r="L22" i="30"/>
  <c r="M22" i="30"/>
  <c r="N22" i="30"/>
  <c r="O22" i="30"/>
  <c r="P22" i="30"/>
  <c r="Q22" i="30"/>
  <c r="R22" i="30"/>
  <c r="S22" i="30"/>
  <c r="T22" i="30"/>
  <c r="U22" i="30"/>
  <c r="V22" i="30"/>
  <c r="W22" i="30"/>
  <c r="X22" i="30"/>
  <c r="Y22" i="30"/>
  <c r="Z22" i="30"/>
  <c r="AA22" i="30"/>
  <c r="AB22" i="30"/>
  <c r="AC22" i="30"/>
  <c r="AD22" i="30"/>
  <c r="AE22" i="30"/>
  <c r="AF22" i="30"/>
  <c r="AG22" i="30"/>
  <c r="AH22" i="30"/>
  <c r="AI22" i="30"/>
  <c r="AJ22" i="30"/>
  <c r="AK22" i="30"/>
  <c r="AL22" i="30"/>
  <c r="AM22" i="30"/>
  <c r="AN22" i="30"/>
  <c r="AO22" i="30"/>
  <c r="AP22" i="30"/>
  <c r="AQ22" i="30"/>
  <c r="AR22" i="30"/>
  <c r="AS22" i="30"/>
  <c r="AT22" i="30"/>
  <c r="AU22" i="30"/>
  <c r="AV22" i="30"/>
  <c r="AW22" i="30"/>
  <c r="AX22" i="30"/>
  <c r="AY22" i="30"/>
  <c r="BA22" i="30"/>
  <c r="A24" i="30"/>
  <c r="C24" i="30"/>
  <c r="E24" i="30"/>
  <c r="F24" i="30"/>
  <c r="G24" i="30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AP24" i="30"/>
  <c r="AQ24" i="30"/>
  <c r="AR24" i="30"/>
  <c r="AS24" i="30"/>
  <c r="AT24" i="30"/>
  <c r="AU24" i="30"/>
  <c r="AV24" i="30"/>
  <c r="AW24" i="30"/>
  <c r="AX24" i="30"/>
  <c r="AY24" i="30"/>
  <c r="BA24" i="30"/>
  <c r="A25" i="30"/>
  <c r="C25" i="30"/>
  <c r="AJ25" i="30"/>
  <c r="BA25" i="30"/>
  <c r="A26" i="30"/>
  <c r="C26" i="30"/>
  <c r="AJ26" i="30"/>
  <c r="BA26" i="30"/>
  <c r="A27" i="30"/>
  <c r="C27" i="30"/>
  <c r="E27" i="30"/>
  <c r="F27" i="30"/>
  <c r="G27" i="30"/>
  <c r="H27" i="30"/>
  <c r="I27" i="30"/>
  <c r="J27" i="30"/>
  <c r="K27" i="30"/>
  <c r="L27" i="30"/>
  <c r="M27" i="30"/>
  <c r="N27" i="30"/>
  <c r="O27" i="30"/>
  <c r="P27" i="30"/>
  <c r="Q27" i="30"/>
  <c r="R27" i="30"/>
  <c r="S27" i="30"/>
  <c r="T27" i="30"/>
  <c r="U27" i="30"/>
  <c r="V27" i="30"/>
  <c r="W27" i="30"/>
  <c r="X27" i="30"/>
  <c r="Y27" i="30"/>
  <c r="Z27" i="30"/>
  <c r="AA27" i="30"/>
  <c r="AB27" i="30"/>
  <c r="AJ27" i="30"/>
  <c r="BA27" i="30"/>
  <c r="A28" i="30"/>
  <c r="C28" i="30"/>
  <c r="E28" i="30"/>
  <c r="F28" i="30"/>
  <c r="G28" i="30"/>
  <c r="H28" i="30"/>
  <c r="I28" i="30"/>
  <c r="J28" i="30"/>
  <c r="K28" i="30"/>
  <c r="L28" i="30"/>
  <c r="M28" i="30"/>
  <c r="N28" i="30"/>
  <c r="O28" i="30"/>
  <c r="P28" i="30"/>
  <c r="Q28" i="30"/>
  <c r="R28" i="30"/>
  <c r="S28" i="30"/>
  <c r="T28" i="30"/>
  <c r="U28" i="30"/>
  <c r="V28" i="30"/>
  <c r="W28" i="30"/>
  <c r="X28" i="30"/>
  <c r="Y28" i="30"/>
  <c r="Z28" i="30"/>
  <c r="AA28" i="30"/>
  <c r="AB28" i="30"/>
  <c r="AJ28" i="30"/>
  <c r="BA28" i="30"/>
  <c r="A29" i="30"/>
  <c r="C29" i="30"/>
  <c r="E29" i="30"/>
  <c r="F29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AP29" i="30"/>
  <c r="AQ29" i="30"/>
  <c r="AR29" i="30"/>
  <c r="AS29" i="30"/>
  <c r="AT29" i="30"/>
  <c r="AU29" i="30"/>
  <c r="AV29" i="30"/>
  <c r="AW29" i="30"/>
  <c r="AX29" i="30"/>
  <c r="AY29" i="30"/>
  <c r="BA29" i="30"/>
  <c r="A31" i="30"/>
  <c r="C31" i="30"/>
  <c r="E31" i="30"/>
  <c r="F31" i="30"/>
  <c r="G31" i="30"/>
  <c r="H31" i="30"/>
  <c r="I31" i="30"/>
  <c r="J31" i="30"/>
  <c r="K31" i="30"/>
  <c r="L31" i="30"/>
  <c r="M31" i="30"/>
  <c r="N31" i="30"/>
  <c r="O31" i="30"/>
  <c r="P31" i="30"/>
  <c r="Q31" i="30"/>
  <c r="R31" i="30"/>
  <c r="S31" i="30"/>
  <c r="T31" i="30"/>
  <c r="U31" i="30"/>
  <c r="V31" i="30"/>
  <c r="W31" i="30"/>
  <c r="X31" i="30"/>
  <c r="Y31" i="30"/>
  <c r="Z31" i="30"/>
  <c r="AA31" i="30"/>
  <c r="AB31" i="30"/>
  <c r="AJ31" i="30"/>
  <c r="BA31" i="30"/>
  <c r="A32" i="30"/>
  <c r="C32" i="30"/>
  <c r="AJ32" i="30"/>
  <c r="BA32" i="30"/>
  <c r="A33" i="30"/>
  <c r="C33" i="30"/>
  <c r="AJ33" i="30"/>
  <c r="BA33" i="30"/>
  <c r="A34" i="30"/>
  <c r="C34" i="30"/>
  <c r="E34" i="30"/>
  <c r="F34" i="30"/>
  <c r="G34" i="30"/>
  <c r="H34" i="30"/>
  <c r="I34" i="30"/>
  <c r="J34" i="30"/>
  <c r="K34" i="30"/>
  <c r="L34" i="30"/>
  <c r="M34" i="30"/>
  <c r="N34" i="30"/>
  <c r="O34" i="30"/>
  <c r="P34" i="30"/>
  <c r="Q34" i="30"/>
  <c r="R34" i="30"/>
  <c r="S34" i="30"/>
  <c r="T34" i="30"/>
  <c r="U34" i="30"/>
  <c r="V34" i="30"/>
  <c r="W34" i="30"/>
  <c r="X34" i="30"/>
  <c r="Y34" i="30"/>
  <c r="Z34" i="30"/>
  <c r="AA34" i="30"/>
  <c r="AB34" i="30"/>
  <c r="AC34" i="30"/>
  <c r="AD34" i="30"/>
  <c r="AE34" i="30"/>
  <c r="AF34" i="30"/>
  <c r="AG34" i="30"/>
  <c r="AH34" i="30"/>
  <c r="AI34" i="30"/>
  <c r="AJ34" i="30"/>
  <c r="AK34" i="30"/>
  <c r="AL34" i="30"/>
  <c r="AM34" i="30"/>
  <c r="AN34" i="30"/>
  <c r="AO34" i="30"/>
  <c r="AP34" i="30"/>
  <c r="AQ34" i="30"/>
  <c r="AR34" i="30"/>
  <c r="AS34" i="30"/>
  <c r="AT34" i="30"/>
  <c r="AU34" i="30"/>
  <c r="AV34" i="30"/>
  <c r="AW34" i="30"/>
  <c r="AX34" i="30"/>
  <c r="AY34" i="30"/>
  <c r="BA34" i="30"/>
  <c r="E35" i="30"/>
  <c r="F35" i="30"/>
  <c r="G35" i="30"/>
  <c r="H35" i="30"/>
  <c r="I35" i="30"/>
  <c r="J35" i="30"/>
  <c r="K35" i="30"/>
  <c r="L35" i="30"/>
  <c r="M35" i="30"/>
  <c r="N35" i="30"/>
  <c r="O35" i="30"/>
  <c r="P35" i="30"/>
  <c r="Q35" i="30"/>
  <c r="R35" i="30"/>
  <c r="S35" i="30"/>
  <c r="T35" i="30"/>
  <c r="U35" i="30"/>
  <c r="V35" i="30"/>
  <c r="W35" i="30"/>
  <c r="X35" i="30"/>
  <c r="Y35" i="30"/>
  <c r="Z35" i="30"/>
  <c r="AA35" i="30"/>
  <c r="AB35" i="30"/>
  <c r="AC35" i="30"/>
  <c r="AD35" i="30"/>
  <c r="AE35" i="30"/>
  <c r="AF35" i="30"/>
  <c r="A36" i="30"/>
  <c r="C36" i="30"/>
  <c r="E36" i="30"/>
  <c r="F36" i="30"/>
  <c r="G36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I36" i="30"/>
  <c r="AJ36" i="30"/>
  <c r="AK36" i="30"/>
  <c r="AL36" i="30"/>
  <c r="AM36" i="30"/>
  <c r="AN36" i="30"/>
  <c r="AO36" i="30"/>
  <c r="AP36" i="30"/>
  <c r="AQ36" i="30"/>
  <c r="AR36" i="30"/>
  <c r="AS36" i="30"/>
  <c r="AT36" i="30"/>
  <c r="AU36" i="30"/>
  <c r="AV36" i="30"/>
  <c r="AW36" i="30"/>
  <c r="BA36" i="30"/>
  <c r="A37" i="30"/>
  <c r="C37" i="30"/>
  <c r="F37" i="30"/>
  <c r="G37" i="30"/>
  <c r="H37" i="30"/>
  <c r="I37" i="30"/>
  <c r="J37" i="30"/>
  <c r="K37" i="30"/>
  <c r="L37" i="30"/>
  <c r="M37" i="30"/>
  <c r="N37" i="30"/>
  <c r="O37" i="30"/>
  <c r="P37" i="30"/>
  <c r="Q37" i="30"/>
  <c r="R37" i="30"/>
  <c r="S37" i="30"/>
  <c r="T37" i="30"/>
  <c r="U37" i="30"/>
  <c r="V37" i="30"/>
  <c r="W37" i="30"/>
  <c r="X37" i="30"/>
  <c r="Y37" i="30"/>
  <c r="Z37" i="30"/>
  <c r="AA37" i="30"/>
  <c r="AB37" i="30"/>
  <c r="AC37" i="30"/>
  <c r="AD37" i="30"/>
  <c r="AE37" i="30"/>
  <c r="AF37" i="30"/>
  <c r="AG37" i="30"/>
  <c r="AH37" i="30"/>
  <c r="AI37" i="30"/>
  <c r="AJ37" i="30"/>
  <c r="AK37" i="30"/>
  <c r="AL37" i="30"/>
  <c r="AM37" i="30"/>
  <c r="AN37" i="30"/>
  <c r="AO37" i="30"/>
  <c r="AP37" i="30"/>
  <c r="AQ37" i="30"/>
  <c r="AR37" i="30"/>
  <c r="AS37" i="30"/>
  <c r="AT37" i="30"/>
  <c r="AU37" i="30"/>
  <c r="AV37" i="30"/>
  <c r="AW37" i="30"/>
  <c r="BA37" i="30"/>
  <c r="A38" i="30"/>
  <c r="C38" i="30"/>
  <c r="F38" i="30"/>
  <c r="G38" i="30"/>
  <c r="H38" i="30"/>
  <c r="I38" i="30"/>
  <c r="J38" i="30"/>
  <c r="K38" i="30"/>
  <c r="L38" i="30"/>
  <c r="M38" i="30"/>
  <c r="N38" i="30"/>
  <c r="O38" i="30"/>
  <c r="P38" i="30"/>
  <c r="Q38" i="30"/>
  <c r="R38" i="30"/>
  <c r="S38" i="30"/>
  <c r="T38" i="30"/>
  <c r="U38" i="30"/>
  <c r="V38" i="30"/>
  <c r="W38" i="30"/>
  <c r="X38" i="30"/>
  <c r="Y38" i="30"/>
  <c r="Z38" i="30"/>
  <c r="AA38" i="30"/>
  <c r="AB38" i="30"/>
  <c r="AC38" i="30"/>
  <c r="AD38" i="30"/>
  <c r="AE38" i="30"/>
  <c r="AF38" i="30"/>
  <c r="AG38" i="30"/>
  <c r="AH38" i="30"/>
  <c r="AI38" i="30"/>
  <c r="AJ38" i="30"/>
  <c r="AK38" i="30"/>
  <c r="AL38" i="30"/>
  <c r="AM38" i="30"/>
  <c r="AN38" i="30"/>
  <c r="AO38" i="30"/>
  <c r="AP38" i="30"/>
  <c r="AQ38" i="30"/>
  <c r="AR38" i="30"/>
  <c r="AS38" i="30"/>
  <c r="AT38" i="30"/>
  <c r="AU38" i="30"/>
  <c r="AV38" i="30"/>
  <c r="AW38" i="30"/>
  <c r="BA38" i="30"/>
  <c r="A39" i="30"/>
  <c r="C39" i="30"/>
  <c r="E39" i="30"/>
  <c r="F39" i="30"/>
  <c r="G39" i="30"/>
  <c r="H39" i="30"/>
  <c r="I39" i="30"/>
  <c r="J39" i="30"/>
  <c r="K39" i="30"/>
  <c r="L39" i="30"/>
  <c r="M39" i="30"/>
  <c r="N39" i="30"/>
  <c r="O39" i="30"/>
  <c r="P39" i="30"/>
  <c r="Q39" i="30"/>
  <c r="R39" i="30"/>
  <c r="S39" i="30"/>
  <c r="T39" i="30"/>
  <c r="U39" i="30"/>
  <c r="V39" i="30"/>
  <c r="W39" i="30"/>
  <c r="X39" i="30"/>
  <c r="Y39" i="30"/>
  <c r="Z39" i="30"/>
  <c r="AA39" i="30"/>
  <c r="AB39" i="30"/>
  <c r="AC39" i="30"/>
  <c r="AD39" i="30"/>
  <c r="AE39" i="30"/>
  <c r="AF39" i="30"/>
  <c r="AG39" i="30"/>
  <c r="AH39" i="30"/>
  <c r="AI39" i="30"/>
  <c r="AJ39" i="30"/>
  <c r="AK39" i="30"/>
  <c r="AL39" i="30"/>
  <c r="AM39" i="30"/>
  <c r="AN39" i="30"/>
  <c r="AO39" i="30"/>
  <c r="AP39" i="30"/>
  <c r="AQ39" i="30"/>
  <c r="AR39" i="30"/>
  <c r="AS39" i="30"/>
  <c r="AT39" i="30"/>
  <c r="AU39" i="30"/>
  <c r="AV39" i="30"/>
  <c r="AW39" i="30"/>
  <c r="AX39" i="30"/>
  <c r="AY39" i="30"/>
  <c r="BA39" i="30"/>
  <c r="A41" i="30"/>
  <c r="C41" i="30"/>
  <c r="AW41" i="30"/>
  <c r="BA41" i="30"/>
  <c r="A42" i="30"/>
  <c r="C42" i="30"/>
  <c r="AW42" i="30"/>
  <c r="BA42" i="30"/>
  <c r="A43" i="30"/>
  <c r="C43" i="30"/>
  <c r="AW43" i="30"/>
  <c r="BA43" i="30"/>
  <c r="A44" i="30"/>
  <c r="C44" i="30"/>
  <c r="E44" i="30"/>
  <c r="F44" i="30"/>
  <c r="G44" i="30"/>
  <c r="H44" i="30"/>
  <c r="I44" i="30"/>
  <c r="J44" i="30"/>
  <c r="K44" i="30"/>
  <c r="L44" i="30"/>
  <c r="M44" i="30"/>
  <c r="N44" i="30"/>
  <c r="O44" i="30"/>
  <c r="P44" i="30"/>
  <c r="Q44" i="30"/>
  <c r="R44" i="30"/>
  <c r="S44" i="30"/>
  <c r="T44" i="30"/>
  <c r="U44" i="30"/>
  <c r="V44" i="30"/>
  <c r="W44" i="30"/>
  <c r="X44" i="30"/>
  <c r="Y44" i="30"/>
  <c r="Z44" i="30"/>
  <c r="AA44" i="30"/>
  <c r="AB44" i="30"/>
  <c r="AC44" i="30"/>
  <c r="AD44" i="30"/>
  <c r="AE44" i="30"/>
  <c r="AF44" i="30"/>
  <c r="AG44" i="30"/>
  <c r="AH44" i="30"/>
  <c r="AI44" i="30"/>
  <c r="AJ44" i="30"/>
  <c r="AK44" i="30"/>
  <c r="AL44" i="30"/>
  <c r="AM44" i="30"/>
  <c r="AN44" i="30"/>
  <c r="AO44" i="30"/>
  <c r="AP44" i="30"/>
  <c r="AQ44" i="30"/>
  <c r="AR44" i="30"/>
  <c r="AS44" i="30"/>
  <c r="AT44" i="30"/>
  <c r="AU44" i="30"/>
  <c r="AV44" i="30"/>
  <c r="AW44" i="30"/>
  <c r="AX44" i="30"/>
  <c r="AY44" i="30"/>
  <c r="BA44" i="30"/>
  <c r="C46" i="30"/>
  <c r="E46" i="30"/>
  <c r="F46" i="30"/>
  <c r="G46" i="30"/>
  <c r="H46" i="30"/>
  <c r="I46" i="30"/>
  <c r="J46" i="30"/>
  <c r="K46" i="30"/>
  <c r="L46" i="30"/>
  <c r="M46" i="30"/>
  <c r="N46" i="30"/>
  <c r="O46" i="30"/>
  <c r="P46" i="30"/>
  <c r="Q46" i="30"/>
  <c r="R46" i="30"/>
  <c r="S46" i="30"/>
  <c r="T46" i="30"/>
  <c r="U46" i="30"/>
  <c r="V46" i="30"/>
  <c r="W46" i="30"/>
  <c r="X46" i="30"/>
  <c r="Y46" i="30"/>
  <c r="Z46" i="30"/>
  <c r="AA46" i="30"/>
  <c r="AB46" i="30"/>
  <c r="AC46" i="30"/>
  <c r="AD46" i="30"/>
  <c r="AE46" i="30"/>
  <c r="AF46" i="30"/>
  <c r="AG46" i="30"/>
  <c r="AH46" i="30"/>
  <c r="AI46" i="30"/>
  <c r="AJ46" i="30"/>
  <c r="AK46" i="30"/>
  <c r="AL46" i="30"/>
  <c r="AM46" i="30"/>
  <c r="AN46" i="30"/>
  <c r="AO46" i="30"/>
  <c r="AP46" i="30"/>
  <c r="AQ46" i="30"/>
  <c r="AR46" i="30"/>
  <c r="AS46" i="30"/>
  <c r="AT46" i="30"/>
  <c r="AU46" i="30"/>
  <c r="AV46" i="30"/>
  <c r="AW46" i="30"/>
  <c r="AX46" i="30"/>
  <c r="AY46" i="30"/>
  <c r="BA46" i="30"/>
  <c r="BC46" i="30"/>
  <c r="E49" i="30"/>
  <c r="F49" i="30"/>
  <c r="G49" i="30"/>
  <c r="H49" i="30"/>
  <c r="I49" i="30"/>
  <c r="J49" i="30"/>
  <c r="K49" i="30"/>
  <c r="L49" i="30"/>
  <c r="M49" i="30"/>
  <c r="N49" i="30"/>
  <c r="O49" i="30"/>
  <c r="P49" i="30"/>
  <c r="Q49" i="30"/>
  <c r="R49" i="30"/>
  <c r="S49" i="30"/>
  <c r="T49" i="30"/>
  <c r="U49" i="30"/>
  <c r="V49" i="30"/>
  <c r="W49" i="30"/>
  <c r="X49" i="30"/>
  <c r="Y49" i="30"/>
  <c r="Z49" i="30"/>
  <c r="AA49" i="30"/>
  <c r="AB49" i="30"/>
  <c r="AC49" i="30"/>
  <c r="AD49" i="30"/>
  <c r="AE49" i="30"/>
  <c r="AF49" i="30"/>
  <c r="AG49" i="30"/>
  <c r="AH49" i="30"/>
  <c r="AI49" i="30"/>
  <c r="AJ49" i="30"/>
  <c r="AK49" i="30"/>
  <c r="AL49" i="30"/>
  <c r="AM49" i="30"/>
  <c r="AN49" i="30"/>
  <c r="AO49" i="30"/>
  <c r="AP49" i="30"/>
  <c r="AQ49" i="30"/>
  <c r="AR49" i="30"/>
  <c r="AS49" i="30"/>
  <c r="AT49" i="30"/>
  <c r="AU49" i="30"/>
  <c r="AV49" i="30"/>
  <c r="AW49" i="30"/>
  <c r="AX49" i="30"/>
  <c r="AY49" i="30"/>
  <c r="E50" i="30"/>
  <c r="F50" i="30"/>
  <c r="G50" i="30"/>
  <c r="H50" i="30"/>
  <c r="I50" i="30"/>
  <c r="J50" i="30"/>
  <c r="K50" i="30"/>
  <c r="L50" i="30"/>
  <c r="M50" i="30"/>
  <c r="N50" i="30"/>
  <c r="O50" i="30"/>
  <c r="P50" i="30"/>
  <c r="Q50" i="30"/>
  <c r="R50" i="30"/>
  <c r="S50" i="30"/>
  <c r="T50" i="30"/>
  <c r="U50" i="30"/>
  <c r="V50" i="30"/>
  <c r="W50" i="30"/>
  <c r="X50" i="30"/>
  <c r="Y50" i="30"/>
  <c r="Z50" i="30"/>
  <c r="AA50" i="30"/>
  <c r="AB50" i="30"/>
  <c r="AC50" i="30"/>
  <c r="AD50" i="30"/>
  <c r="AE50" i="30"/>
  <c r="AF50" i="30"/>
  <c r="AG50" i="30"/>
  <c r="AH50" i="30"/>
  <c r="AI50" i="30"/>
  <c r="AJ50" i="30"/>
  <c r="AK50" i="30"/>
  <c r="AL50" i="30"/>
  <c r="AM50" i="30"/>
  <c r="AN50" i="30"/>
  <c r="AO50" i="30"/>
  <c r="AP50" i="30"/>
  <c r="AQ50" i="30"/>
  <c r="AR50" i="30"/>
  <c r="AS50" i="30"/>
  <c r="AT50" i="30"/>
  <c r="AU50" i="30"/>
  <c r="AV50" i="30"/>
  <c r="AW50" i="30"/>
  <c r="AX50" i="30"/>
  <c r="AY50" i="30"/>
  <c r="BB50" i="30"/>
  <c r="BA51" i="30"/>
  <c r="BB51" i="30"/>
  <c r="E52" i="30"/>
  <c r="F52" i="30"/>
  <c r="G52" i="30"/>
  <c r="H52" i="30"/>
  <c r="I52" i="30"/>
  <c r="J52" i="30"/>
  <c r="K52" i="30"/>
  <c r="L52" i="30"/>
  <c r="M52" i="30"/>
  <c r="N52" i="30"/>
  <c r="O52" i="30"/>
  <c r="P52" i="30"/>
  <c r="Q52" i="30"/>
  <c r="R52" i="30"/>
  <c r="S52" i="30"/>
  <c r="T52" i="30"/>
  <c r="U52" i="30"/>
  <c r="V52" i="30"/>
  <c r="W52" i="30"/>
  <c r="X52" i="30"/>
  <c r="Y52" i="30"/>
  <c r="Z52" i="30"/>
  <c r="AA52" i="30"/>
  <c r="AB52" i="30"/>
  <c r="AC52" i="30"/>
  <c r="AD52" i="30"/>
  <c r="AE52" i="30"/>
  <c r="AF52" i="30"/>
  <c r="AG52" i="30"/>
  <c r="AH52" i="30"/>
  <c r="AI52" i="30"/>
  <c r="AJ52" i="30"/>
  <c r="AK52" i="30"/>
  <c r="AL52" i="30"/>
  <c r="AM52" i="30"/>
  <c r="AN52" i="30"/>
  <c r="AO52" i="30"/>
  <c r="AP52" i="30"/>
  <c r="AQ52" i="30"/>
  <c r="AR52" i="30"/>
  <c r="AS52" i="30"/>
  <c r="AT52" i="30"/>
  <c r="AU52" i="30"/>
  <c r="AV52" i="30"/>
  <c r="AW52" i="30"/>
  <c r="AX52" i="30"/>
  <c r="AY52" i="30"/>
  <c r="BB52" i="30"/>
  <c r="BB53" i="30"/>
  <c r="E54" i="30"/>
  <c r="F54" i="30"/>
  <c r="G54" i="30"/>
  <c r="H54" i="30"/>
  <c r="I54" i="30"/>
  <c r="J54" i="30"/>
  <c r="K54" i="30"/>
  <c r="L54" i="30"/>
  <c r="M54" i="30"/>
  <c r="N54" i="30"/>
  <c r="O54" i="30"/>
  <c r="P54" i="30"/>
  <c r="Q54" i="30"/>
  <c r="R54" i="30"/>
  <c r="S54" i="30"/>
  <c r="T54" i="30"/>
  <c r="U54" i="30"/>
  <c r="V54" i="30"/>
  <c r="W54" i="30"/>
  <c r="X54" i="30"/>
  <c r="Y54" i="30"/>
  <c r="Z54" i="30"/>
  <c r="AA54" i="30"/>
  <c r="AB54" i="30"/>
  <c r="AC54" i="30"/>
  <c r="AD54" i="30"/>
  <c r="AE54" i="30"/>
  <c r="AF54" i="30"/>
  <c r="AG54" i="30"/>
  <c r="AH54" i="30"/>
  <c r="AI54" i="30"/>
  <c r="AJ54" i="30"/>
  <c r="AK54" i="30"/>
  <c r="AL54" i="30"/>
  <c r="AM54" i="30"/>
  <c r="AN54" i="30"/>
  <c r="AO54" i="30"/>
  <c r="AP54" i="30"/>
  <c r="AQ54" i="30"/>
  <c r="AR54" i="30"/>
  <c r="AS54" i="30"/>
  <c r="AT54" i="30"/>
  <c r="AU54" i="30"/>
  <c r="AV54" i="30"/>
  <c r="AW54" i="30"/>
  <c r="AX54" i="30"/>
  <c r="AY54" i="30"/>
  <c r="BA54" i="30"/>
  <c r="BB54" i="30"/>
  <c r="E55" i="30"/>
  <c r="F55" i="30"/>
  <c r="G55" i="30"/>
  <c r="H55" i="30"/>
  <c r="I55" i="30"/>
  <c r="J55" i="30"/>
  <c r="K55" i="30"/>
  <c r="L55" i="30"/>
  <c r="M55" i="30"/>
  <c r="N55" i="30"/>
  <c r="O55" i="30"/>
  <c r="P55" i="30"/>
  <c r="Q55" i="30"/>
  <c r="R55" i="30"/>
  <c r="S55" i="30"/>
  <c r="T55" i="30"/>
  <c r="U55" i="30"/>
  <c r="V55" i="30"/>
  <c r="W55" i="30"/>
  <c r="X55" i="30"/>
  <c r="Y55" i="30"/>
  <c r="Z55" i="30"/>
  <c r="AA55" i="30"/>
  <c r="AB55" i="30"/>
  <c r="AC55" i="30"/>
  <c r="AD55" i="30"/>
  <c r="AE55" i="30"/>
  <c r="AF55" i="30"/>
  <c r="AG55" i="30"/>
  <c r="AH55" i="30"/>
  <c r="AI55" i="30"/>
  <c r="AJ55" i="30"/>
  <c r="AK55" i="30"/>
  <c r="AL55" i="30"/>
  <c r="AM55" i="30"/>
  <c r="AN55" i="30"/>
  <c r="AO55" i="30"/>
  <c r="AP55" i="30"/>
  <c r="AQ55" i="30"/>
  <c r="AR55" i="30"/>
  <c r="AS55" i="30"/>
  <c r="AT55" i="30"/>
  <c r="AU55" i="30"/>
  <c r="AV55" i="30"/>
  <c r="AW55" i="30"/>
  <c r="AX55" i="30"/>
  <c r="AY55" i="30"/>
  <c r="BB55" i="30"/>
  <c r="E61" i="30"/>
  <c r="F61" i="30"/>
  <c r="G61" i="30"/>
  <c r="H61" i="30"/>
  <c r="I61" i="30"/>
  <c r="J61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D61" i="30"/>
  <c r="AE61" i="30"/>
  <c r="AF61" i="30"/>
  <c r="AG61" i="30"/>
  <c r="AH61" i="30"/>
  <c r="AI61" i="30"/>
  <c r="AJ61" i="30"/>
  <c r="AK61" i="30"/>
  <c r="AL61" i="30"/>
  <c r="AM61" i="30"/>
  <c r="AN61" i="30"/>
  <c r="AO61" i="30"/>
  <c r="AP61" i="30"/>
  <c r="AQ61" i="30"/>
  <c r="AR61" i="30"/>
  <c r="AS61" i="30"/>
  <c r="AT61" i="30"/>
  <c r="AU61" i="30"/>
  <c r="AV61" i="30"/>
  <c r="AW61" i="30"/>
  <c r="AX61" i="30"/>
  <c r="AY61" i="30"/>
  <c r="AZ61" i="30"/>
  <c r="BA64" i="30"/>
  <c r="BA65" i="30"/>
  <c r="BA66" i="30"/>
  <c r="BA67" i="30"/>
  <c r="BA68" i="30"/>
  <c r="BA69" i="30"/>
  <c r="E70" i="30"/>
  <c r="F70" i="30"/>
  <c r="G70" i="30"/>
  <c r="H70" i="30"/>
  <c r="I70" i="30"/>
  <c r="J70" i="30"/>
  <c r="K70" i="30"/>
  <c r="L70" i="30"/>
  <c r="M70" i="30"/>
  <c r="N70" i="30"/>
  <c r="O70" i="30"/>
  <c r="P70" i="30"/>
  <c r="Q70" i="30"/>
  <c r="R70" i="30"/>
  <c r="S70" i="30"/>
  <c r="T70" i="30"/>
  <c r="U70" i="30"/>
  <c r="V70" i="30"/>
  <c r="W70" i="30"/>
  <c r="X70" i="30"/>
  <c r="Y70" i="30"/>
  <c r="Z70" i="30"/>
  <c r="AA70" i="30"/>
  <c r="AB70" i="30"/>
  <c r="AC70" i="30"/>
  <c r="AD70" i="30"/>
  <c r="AE70" i="30"/>
  <c r="AF70" i="30"/>
  <c r="AG70" i="30"/>
  <c r="AH70" i="30"/>
  <c r="AI70" i="30"/>
  <c r="AJ70" i="30"/>
  <c r="AK70" i="30"/>
  <c r="AL70" i="30"/>
  <c r="AM70" i="30"/>
  <c r="AN70" i="30"/>
  <c r="AO70" i="30"/>
  <c r="AP70" i="30"/>
  <c r="AQ70" i="30"/>
  <c r="AR70" i="30"/>
  <c r="AS70" i="30"/>
  <c r="AT70" i="30"/>
  <c r="AU70" i="30"/>
  <c r="AV70" i="30"/>
  <c r="AW70" i="30"/>
  <c r="AX70" i="30"/>
  <c r="AY70" i="30"/>
  <c r="AZ70" i="30"/>
  <c r="BA70" i="30"/>
  <c r="BA73" i="30"/>
  <c r="BA74" i="30"/>
  <c r="BA75" i="30"/>
  <c r="BA76" i="30"/>
  <c r="BA77" i="30"/>
  <c r="BA78" i="30"/>
  <c r="BA79" i="30"/>
  <c r="BA80" i="30"/>
  <c r="BA81" i="30"/>
  <c r="BA82" i="30"/>
  <c r="BA83" i="30"/>
  <c r="BA84" i="30"/>
  <c r="BA85" i="30"/>
  <c r="BA86" i="30"/>
  <c r="E87" i="30"/>
  <c r="F87" i="30"/>
  <c r="G87" i="30"/>
  <c r="H87" i="30"/>
  <c r="I87" i="30"/>
  <c r="J87" i="30"/>
  <c r="K87" i="30"/>
  <c r="L87" i="30"/>
  <c r="M87" i="30"/>
  <c r="N87" i="30"/>
  <c r="O87" i="30"/>
  <c r="P87" i="30"/>
  <c r="Q87" i="30"/>
  <c r="R87" i="30"/>
  <c r="S87" i="30"/>
  <c r="T87" i="30"/>
  <c r="U87" i="30"/>
  <c r="V87" i="30"/>
  <c r="W87" i="30"/>
  <c r="X87" i="30"/>
  <c r="Y87" i="30"/>
  <c r="Z87" i="30"/>
  <c r="AA87" i="30"/>
  <c r="AB87" i="30"/>
  <c r="AC87" i="30"/>
  <c r="AD87" i="30"/>
  <c r="AE87" i="30"/>
  <c r="AF87" i="30"/>
  <c r="AG87" i="30"/>
  <c r="AH87" i="30"/>
  <c r="AI87" i="30"/>
  <c r="AJ87" i="30"/>
  <c r="AK87" i="30"/>
  <c r="AL87" i="30"/>
  <c r="AM87" i="30"/>
  <c r="AN87" i="30"/>
  <c r="AO87" i="30"/>
  <c r="AP87" i="30"/>
  <c r="AQ87" i="30"/>
  <c r="AR87" i="30"/>
  <c r="AS87" i="30"/>
  <c r="AT87" i="30"/>
  <c r="AU87" i="30"/>
  <c r="AV87" i="30"/>
  <c r="AW87" i="30"/>
  <c r="AX87" i="30"/>
  <c r="AY87" i="30"/>
  <c r="AZ87" i="30"/>
  <c r="BA87" i="30"/>
  <c r="A1" i="9"/>
  <c r="A2" i="9"/>
  <c r="A3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C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C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C64" i="9"/>
  <c r="D64" i="9"/>
  <c r="C65" i="9"/>
  <c r="D65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C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1" i="63"/>
  <c r="A2" i="63"/>
  <c r="A3" i="63"/>
  <c r="E6" i="63"/>
  <c r="F6" i="63"/>
  <c r="G6" i="63"/>
  <c r="H6" i="63"/>
  <c r="I6" i="63"/>
  <c r="J6" i="63"/>
  <c r="K6" i="63"/>
  <c r="L6" i="63"/>
  <c r="M6" i="63"/>
  <c r="N6" i="63"/>
  <c r="O6" i="63"/>
  <c r="P6" i="63"/>
  <c r="Q6" i="63"/>
  <c r="R6" i="63"/>
  <c r="S6" i="63"/>
  <c r="T6" i="63"/>
  <c r="U6" i="63"/>
  <c r="V6" i="63"/>
  <c r="W6" i="63"/>
  <c r="X6" i="63"/>
  <c r="Y6" i="63"/>
  <c r="Z6" i="63"/>
  <c r="AA6" i="63"/>
  <c r="E7" i="63"/>
  <c r="F7" i="63"/>
  <c r="G7" i="63"/>
  <c r="H7" i="63"/>
  <c r="I7" i="63"/>
  <c r="J7" i="63"/>
  <c r="K7" i="63"/>
  <c r="L7" i="63"/>
  <c r="M7" i="63"/>
  <c r="N7" i="63"/>
  <c r="O7" i="63"/>
  <c r="P7" i="63"/>
  <c r="Q7" i="63"/>
  <c r="R7" i="63"/>
  <c r="S7" i="63"/>
  <c r="T7" i="63"/>
  <c r="U7" i="63"/>
  <c r="V7" i="63"/>
  <c r="W7" i="63"/>
  <c r="X7" i="63"/>
  <c r="Y7" i="63"/>
  <c r="Z7" i="63"/>
  <c r="AA7" i="63"/>
  <c r="E10" i="63"/>
  <c r="F10" i="63"/>
  <c r="G10" i="63"/>
  <c r="H10" i="63"/>
  <c r="I10" i="63"/>
  <c r="J10" i="63"/>
  <c r="K10" i="63"/>
  <c r="L10" i="63"/>
  <c r="M10" i="63"/>
  <c r="N10" i="63"/>
  <c r="O10" i="63"/>
  <c r="P10" i="63"/>
  <c r="Q10" i="63"/>
  <c r="R10" i="63"/>
  <c r="S10" i="63"/>
  <c r="T10" i="63"/>
  <c r="U10" i="63"/>
  <c r="V10" i="63"/>
  <c r="W10" i="63"/>
  <c r="X10" i="63"/>
  <c r="Y10" i="63"/>
  <c r="Z10" i="63"/>
  <c r="AA10" i="63"/>
  <c r="E11" i="63"/>
  <c r="F11" i="63"/>
  <c r="G11" i="63"/>
  <c r="H11" i="63"/>
  <c r="I11" i="63"/>
  <c r="J11" i="63"/>
  <c r="K11" i="63"/>
  <c r="L11" i="63"/>
  <c r="M11" i="63"/>
  <c r="N11" i="63"/>
  <c r="O11" i="63"/>
  <c r="P11" i="63"/>
  <c r="Q11" i="63"/>
  <c r="R11" i="63"/>
  <c r="S11" i="63"/>
  <c r="T11" i="63"/>
  <c r="U11" i="63"/>
  <c r="V11" i="63"/>
  <c r="W11" i="63"/>
  <c r="X11" i="63"/>
  <c r="Y11" i="63"/>
  <c r="Z11" i="63"/>
  <c r="AA11" i="63"/>
  <c r="E13" i="63"/>
  <c r="F13" i="63"/>
  <c r="G13" i="63"/>
  <c r="H13" i="63"/>
  <c r="I13" i="63"/>
  <c r="J13" i="63"/>
  <c r="K13" i="63"/>
  <c r="L13" i="63"/>
  <c r="M13" i="63"/>
  <c r="N13" i="63"/>
  <c r="O13" i="63"/>
  <c r="P13" i="63"/>
  <c r="Q13" i="63"/>
  <c r="R13" i="63"/>
  <c r="S13" i="63"/>
  <c r="T13" i="63"/>
  <c r="U13" i="63"/>
  <c r="V13" i="63"/>
  <c r="W13" i="63"/>
  <c r="X13" i="63"/>
  <c r="Y13" i="63"/>
  <c r="Z13" i="63"/>
  <c r="AA13" i="63"/>
  <c r="AB13" i="63"/>
  <c r="AC13" i="63"/>
  <c r="E15" i="63"/>
  <c r="F15" i="63"/>
  <c r="G15" i="63"/>
  <c r="H15" i="63"/>
  <c r="I15" i="63"/>
  <c r="J15" i="63"/>
  <c r="K15" i="63"/>
  <c r="L15" i="63"/>
  <c r="M15" i="63"/>
  <c r="N15" i="63"/>
  <c r="O15" i="63"/>
  <c r="P15" i="63"/>
  <c r="Q15" i="63"/>
  <c r="R15" i="63"/>
  <c r="S15" i="63"/>
  <c r="T15" i="63"/>
  <c r="U15" i="63"/>
  <c r="V15" i="63"/>
  <c r="W15" i="63"/>
  <c r="X15" i="63"/>
  <c r="Y15" i="63"/>
  <c r="Z15" i="63"/>
  <c r="AA15" i="63"/>
  <c r="AB15" i="63"/>
  <c r="AC15" i="63"/>
  <c r="E16" i="63"/>
  <c r="F16" i="63"/>
  <c r="G16" i="63"/>
  <c r="H16" i="63"/>
  <c r="I16" i="63"/>
  <c r="J16" i="63"/>
  <c r="K16" i="63"/>
  <c r="L16" i="63"/>
  <c r="M16" i="63"/>
  <c r="N16" i="63"/>
  <c r="O16" i="63"/>
  <c r="P16" i="63"/>
  <c r="Q16" i="63"/>
  <c r="R16" i="63"/>
  <c r="S16" i="63"/>
  <c r="T16" i="63"/>
  <c r="U16" i="63"/>
  <c r="V16" i="63"/>
  <c r="W16" i="63"/>
  <c r="X16" i="63"/>
  <c r="Y16" i="63"/>
  <c r="Z16" i="63"/>
  <c r="AA16" i="63"/>
  <c r="AB16" i="63"/>
  <c r="AC16" i="63"/>
  <c r="E17" i="63"/>
  <c r="F17" i="63"/>
  <c r="G17" i="63"/>
  <c r="H17" i="63"/>
  <c r="I17" i="63"/>
  <c r="J17" i="63"/>
  <c r="K17" i="63"/>
  <c r="L17" i="63"/>
  <c r="M17" i="63"/>
  <c r="N17" i="63"/>
  <c r="O17" i="63"/>
  <c r="P17" i="63"/>
  <c r="Q17" i="63"/>
  <c r="R17" i="63"/>
  <c r="S17" i="63"/>
  <c r="T17" i="63"/>
  <c r="U17" i="63"/>
  <c r="V17" i="63"/>
  <c r="W17" i="63"/>
  <c r="X17" i="63"/>
  <c r="Y17" i="63"/>
  <c r="Z17" i="63"/>
  <c r="AA17" i="63"/>
  <c r="AB17" i="63"/>
  <c r="AC17" i="63"/>
  <c r="E18" i="63"/>
  <c r="F18" i="63"/>
  <c r="G18" i="63"/>
  <c r="H18" i="63"/>
  <c r="I18" i="63"/>
  <c r="J18" i="63"/>
  <c r="K18" i="63"/>
  <c r="L18" i="63"/>
  <c r="M18" i="63"/>
  <c r="N18" i="63"/>
  <c r="O18" i="63"/>
  <c r="P18" i="63"/>
  <c r="Q18" i="63"/>
  <c r="R18" i="63"/>
  <c r="S18" i="63"/>
  <c r="T18" i="63"/>
  <c r="U18" i="63"/>
  <c r="V18" i="63"/>
  <c r="W18" i="63"/>
  <c r="X18" i="63"/>
  <c r="Y18" i="63"/>
  <c r="Z18" i="63"/>
  <c r="AA18" i="63"/>
  <c r="AB18" i="63"/>
  <c r="AC18" i="63"/>
  <c r="E19" i="63"/>
  <c r="F19" i="63"/>
  <c r="G19" i="63"/>
  <c r="H19" i="63"/>
  <c r="I19" i="63"/>
  <c r="J19" i="63"/>
  <c r="K19" i="63"/>
  <c r="L19" i="63"/>
  <c r="M19" i="63"/>
  <c r="N19" i="63"/>
  <c r="O19" i="63"/>
  <c r="P19" i="63"/>
  <c r="Q19" i="63"/>
  <c r="R19" i="63"/>
  <c r="S19" i="63"/>
  <c r="T19" i="63"/>
  <c r="U19" i="63"/>
  <c r="V19" i="63"/>
  <c r="W19" i="63"/>
  <c r="X19" i="63"/>
  <c r="Y19" i="63"/>
  <c r="Z19" i="63"/>
  <c r="AA19" i="63"/>
  <c r="AB19" i="63"/>
  <c r="AC19" i="63"/>
  <c r="E20" i="63"/>
  <c r="F20" i="63"/>
  <c r="G20" i="63"/>
  <c r="H20" i="63"/>
  <c r="I20" i="63"/>
  <c r="J20" i="63"/>
  <c r="K20" i="63"/>
  <c r="L20" i="63"/>
  <c r="M20" i="63"/>
  <c r="N20" i="63"/>
  <c r="O20" i="63"/>
  <c r="P20" i="63"/>
  <c r="Q20" i="63"/>
  <c r="R20" i="63"/>
  <c r="S20" i="63"/>
  <c r="T20" i="63"/>
  <c r="U20" i="63"/>
  <c r="V20" i="63"/>
  <c r="W20" i="63"/>
  <c r="X20" i="63"/>
  <c r="Y20" i="63"/>
  <c r="Z20" i="63"/>
  <c r="AA20" i="63"/>
  <c r="AB20" i="63"/>
  <c r="AC20" i="63"/>
  <c r="C21" i="63"/>
  <c r="E21" i="63"/>
  <c r="F21" i="63"/>
  <c r="G21" i="63"/>
  <c r="H21" i="63"/>
  <c r="I21" i="63"/>
  <c r="J21" i="63"/>
  <c r="K21" i="63"/>
  <c r="L21" i="63"/>
  <c r="M21" i="63"/>
  <c r="N21" i="63"/>
  <c r="O21" i="63"/>
  <c r="P21" i="63"/>
  <c r="Q21" i="63"/>
  <c r="R21" i="63"/>
  <c r="S21" i="63"/>
  <c r="T21" i="63"/>
  <c r="U21" i="63"/>
  <c r="V21" i="63"/>
  <c r="W21" i="63"/>
  <c r="X21" i="63"/>
  <c r="Y21" i="63"/>
  <c r="Z21" i="63"/>
  <c r="AA21" i="63"/>
  <c r="AB21" i="63"/>
  <c r="AC21" i="63"/>
  <c r="C22" i="63"/>
  <c r="E22" i="63"/>
  <c r="F22" i="63"/>
  <c r="G22" i="63"/>
  <c r="H22" i="63"/>
  <c r="I22" i="63"/>
  <c r="J22" i="63"/>
  <c r="K22" i="63"/>
  <c r="L22" i="63"/>
  <c r="M22" i="63"/>
  <c r="N22" i="63"/>
  <c r="O22" i="63"/>
  <c r="P22" i="63"/>
  <c r="Q22" i="63"/>
  <c r="R22" i="63"/>
  <c r="S22" i="63"/>
  <c r="T22" i="63"/>
  <c r="U22" i="63"/>
  <c r="V22" i="63"/>
  <c r="W22" i="63"/>
  <c r="X22" i="63"/>
  <c r="Y22" i="63"/>
  <c r="Z22" i="63"/>
  <c r="AA22" i="63"/>
  <c r="AB22" i="63"/>
  <c r="AC22" i="63"/>
  <c r="E23" i="63"/>
  <c r="F23" i="63"/>
  <c r="G23" i="63"/>
  <c r="H23" i="63"/>
  <c r="I23" i="63"/>
  <c r="J23" i="63"/>
  <c r="K23" i="63"/>
  <c r="L23" i="63"/>
  <c r="M23" i="63"/>
  <c r="N23" i="63"/>
  <c r="O23" i="63"/>
  <c r="P23" i="63"/>
  <c r="Q23" i="63"/>
  <c r="R23" i="63"/>
  <c r="S23" i="63"/>
  <c r="T23" i="63"/>
  <c r="U23" i="63"/>
  <c r="V23" i="63"/>
  <c r="W23" i="63"/>
  <c r="X23" i="63"/>
  <c r="Y23" i="63"/>
  <c r="Z23" i="63"/>
  <c r="AA23" i="63"/>
  <c r="AB23" i="63"/>
  <c r="AC23" i="63"/>
  <c r="E25" i="63"/>
  <c r="F25" i="63"/>
  <c r="G25" i="63"/>
  <c r="H25" i="63"/>
  <c r="I25" i="63"/>
  <c r="J25" i="63"/>
  <c r="K25" i="63"/>
  <c r="L25" i="63"/>
  <c r="M25" i="63"/>
  <c r="N25" i="63"/>
  <c r="O25" i="63"/>
  <c r="P25" i="63"/>
  <c r="Q25" i="63"/>
  <c r="R25" i="63"/>
  <c r="S25" i="63"/>
  <c r="T25" i="63"/>
  <c r="U25" i="63"/>
  <c r="V25" i="63"/>
  <c r="W25" i="63"/>
  <c r="X25" i="63"/>
  <c r="Y25" i="63"/>
  <c r="Z25" i="63"/>
  <c r="AA25" i="63"/>
  <c r="AC25" i="63"/>
  <c r="E26" i="63"/>
  <c r="F26" i="63"/>
  <c r="G26" i="63"/>
  <c r="H26" i="63"/>
  <c r="I26" i="63"/>
  <c r="J26" i="63"/>
  <c r="K26" i="63"/>
  <c r="L26" i="63"/>
  <c r="M26" i="63"/>
  <c r="N26" i="63"/>
  <c r="O26" i="63"/>
  <c r="P26" i="63"/>
  <c r="Q26" i="63"/>
  <c r="R26" i="63"/>
  <c r="S26" i="63"/>
  <c r="T26" i="63"/>
  <c r="U26" i="63"/>
  <c r="V26" i="63"/>
  <c r="W26" i="63"/>
  <c r="X26" i="63"/>
  <c r="Y26" i="63"/>
  <c r="Z26" i="63"/>
  <c r="AA26" i="63"/>
  <c r="AC26" i="63"/>
  <c r="B28" i="63"/>
  <c r="C28" i="63"/>
  <c r="C29" i="63"/>
  <c r="C30" i="63"/>
  <c r="E30" i="63"/>
  <c r="F30" i="63"/>
  <c r="G30" i="63"/>
  <c r="H30" i="63"/>
  <c r="I30" i="63"/>
  <c r="J30" i="63"/>
  <c r="K30" i="63"/>
  <c r="L30" i="63"/>
  <c r="M30" i="63"/>
  <c r="N30" i="63"/>
  <c r="O30" i="63"/>
  <c r="P30" i="63"/>
  <c r="Q30" i="63"/>
  <c r="R30" i="63"/>
  <c r="S30" i="63"/>
  <c r="T30" i="63"/>
  <c r="U30" i="63"/>
  <c r="V30" i="63"/>
  <c r="W30" i="63"/>
  <c r="X30" i="63"/>
  <c r="Y30" i="63"/>
  <c r="Z30" i="63"/>
  <c r="AA30" i="63"/>
  <c r="E32" i="63"/>
  <c r="F32" i="63"/>
  <c r="G32" i="63"/>
  <c r="H32" i="63"/>
  <c r="I32" i="63"/>
  <c r="J32" i="63"/>
  <c r="K32" i="63"/>
  <c r="L32" i="63"/>
  <c r="M32" i="63"/>
  <c r="N32" i="63"/>
  <c r="O32" i="63"/>
  <c r="P32" i="63"/>
  <c r="Q32" i="63"/>
  <c r="R32" i="63"/>
  <c r="S32" i="63"/>
  <c r="T32" i="63"/>
  <c r="U32" i="63"/>
  <c r="V32" i="63"/>
  <c r="W32" i="63"/>
  <c r="X32" i="63"/>
  <c r="Y32" i="63"/>
  <c r="Z32" i="63"/>
  <c r="AA32" i="63"/>
  <c r="AB32" i="63"/>
  <c r="AC32" i="63"/>
  <c r="E33" i="63"/>
  <c r="F33" i="63"/>
  <c r="G33" i="63"/>
  <c r="H33" i="63"/>
  <c r="I33" i="63"/>
  <c r="J33" i="63"/>
  <c r="K33" i="63"/>
  <c r="L33" i="63"/>
  <c r="M33" i="63"/>
  <c r="N33" i="63"/>
  <c r="O33" i="63"/>
  <c r="P33" i="63"/>
  <c r="Q33" i="63"/>
  <c r="R33" i="63"/>
  <c r="S33" i="63"/>
  <c r="T33" i="63"/>
  <c r="U33" i="63"/>
  <c r="V33" i="63"/>
  <c r="W33" i="63"/>
  <c r="X33" i="63"/>
  <c r="Y33" i="63"/>
  <c r="Z33" i="63"/>
  <c r="AA33" i="63"/>
  <c r="AB33" i="63"/>
  <c r="AC33" i="63"/>
  <c r="F34" i="63"/>
  <c r="G34" i="63"/>
  <c r="H34" i="63"/>
  <c r="I34" i="63"/>
  <c r="J34" i="63"/>
  <c r="K34" i="63"/>
  <c r="L34" i="63"/>
  <c r="M34" i="63"/>
  <c r="N34" i="63"/>
  <c r="O34" i="63"/>
  <c r="P34" i="63"/>
  <c r="Q34" i="63"/>
  <c r="R34" i="63"/>
  <c r="S34" i="63"/>
  <c r="T34" i="63"/>
  <c r="U34" i="63"/>
  <c r="V34" i="63"/>
  <c r="W34" i="63"/>
  <c r="X34" i="63"/>
  <c r="Y34" i="63"/>
  <c r="Z34" i="63"/>
  <c r="AA34" i="63"/>
  <c r="AB34" i="63"/>
  <c r="AC34" i="63"/>
  <c r="C35" i="63"/>
  <c r="E35" i="63"/>
  <c r="F35" i="63"/>
  <c r="G35" i="63"/>
  <c r="H35" i="63"/>
  <c r="I35" i="63"/>
  <c r="J35" i="63"/>
  <c r="K35" i="63"/>
  <c r="L35" i="63"/>
  <c r="M35" i="63"/>
  <c r="N35" i="63"/>
  <c r="O35" i="63"/>
  <c r="P35" i="63"/>
  <c r="Q35" i="63"/>
  <c r="R35" i="63"/>
  <c r="S35" i="63"/>
  <c r="T35" i="63"/>
  <c r="U35" i="63"/>
  <c r="V35" i="63"/>
  <c r="W35" i="63"/>
  <c r="X35" i="63"/>
  <c r="Y35" i="63"/>
  <c r="Z35" i="63"/>
  <c r="AA35" i="63"/>
  <c r="AB35" i="63"/>
  <c r="AC35" i="63"/>
  <c r="E36" i="63"/>
  <c r="F36" i="63"/>
  <c r="G36" i="63"/>
  <c r="H36" i="63"/>
  <c r="I36" i="63"/>
  <c r="J36" i="63"/>
  <c r="K36" i="63"/>
  <c r="L36" i="63"/>
  <c r="M36" i="63"/>
  <c r="N36" i="63"/>
  <c r="O36" i="63"/>
  <c r="P36" i="63"/>
  <c r="Q36" i="63"/>
  <c r="R36" i="63"/>
  <c r="S36" i="63"/>
  <c r="T36" i="63"/>
  <c r="U36" i="63"/>
  <c r="V36" i="63"/>
  <c r="W36" i="63"/>
  <c r="X36" i="63"/>
  <c r="Y36" i="63"/>
  <c r="Z36" i="63"/>
  <c r="AA36" i="63"/>
  <c r="AB36" i="63"/>
  <c r="AC36" i="63"/>
  <c r="E37" i="63"/>
  <c r="F37" i="63"/>
  <c r="G37" i="63"/>
  <c r="H37" i="63"/>
  <c r="I37" i="63"/>
  <c r="J37" i="63"/>
  <c r="K37" i="63"/>
  <c r="L37" i="63"/>
  <c r="M37" i="63"/>
  <c r="N37" i="63"/>
  <c r="O37" i="63"/>
  <c r="P37" i="63"/>
  <c r="Q37" i="63"/>
  <c r="R37" i="63"/>
  <c r="S37" i="63"/>
  <c r="T37" i="63"/>
  <c r="U37" i="63"/>
  <c r="V37" i="63"/>
  <c r="W37" i="63"/>
  <c r="X37" i="63"/>
  <c r="Y37" i="63"/>
  <c r="Z37" i="63"/>
  <c r="AA37" i="63"/>
  <c r="AB37" i="63"/>
  <c r="AC37" i="63"/>
  <c r="E38" i="63"/>
  <c r="F38" i="63"/>
  <c r="G38" i="63"/>
  <c r="H38" i="63"/>
  <c r="I38" i="63"/>
  <c r="J38" i="63"/>
  <c r="K38" i="63"/>
  <c r="L38" i="63"/>
  <c r="M38" i="63"/>
  <c r="N38" i="63"/>
  <c r="O38" i="63"/>
  <c r="P38" i="63"/>
  <c r="Q38" i="63"/>
  <c r="R38" i="63"/>
  <c r="S38" i="63"/>
  <c r="T38" i="63"/>
  <c r="U38" i="63"/>
  <c r="V38" i="63"/>
  <c r="W38" i="63"/>
  <c r="X38" i="63"/>
  <c r="Y38" i="63"/>
  <c r="Z38" i="63"/>
  <c r="AA38" i="63"/>
  <c r="AB38" i="63"/>
  <c r="AC38" i="63"/>
  <c r="C39" i="63"/>
  <c r="E39" i="63"/>
  <c r="F39" i="63"/>
  <c r="G39" i="63"/>
  <c r="H39" i="63"/>
  <c r="I39" i="63"/>
  <c r="J39" i="63"/>
  <c r="K39" i="63"/>
  <c r="L39" i="63"/>
  <c r="M39" i="63"/>
  <c r="N39" i="63"/>
  <c r="O39" i="63"/>
  <c r="P39" i="63"/>
  <c r="Q39" i="63"/>
  <c r="R39" i="63"/>
  <c r="S39" i="63"/>
  <c r="T39" i="63"/>
  <c r="U39" i="63"/>
  <c r="V39" i="63"/>
  <c r="W39" i="63"/>
  <c r="X39" i="63"/>
  <c r="Y39" i="63"/>
  <c r="Z39" i="63"/>
  <c r="AA39" i="63"/>
  <c r="AB39" i="63"/>
  <c r="AC39" i="63"/>
  <c r="E40" i="63"/>
  <c r="F40" i="63"/>
  <c r="G40" i="63"/>
  <c r="H40" i="63"/>
  <c r="I40" i="63"/>
  <c r="J40" i="63"/>
  <c r="K40" i="63"/>
  <c r="L40" i="63"/>
  <c r="M40" i="63"/>
  <c r="N40" i="63"/>
  <c r="O40" i="63"/>
  <c r="P40" i="63"/>
  <c r="Q40" i="63"/>
  <c r="R40" i="63"/>
  <c r="S40" i="63"/>
  <c r="T40" i="63"/>
  <c r="U40" i="63"/>
  <c r="V40" i="63"/>
  <c r="W40" i="63"/>
  <c r="X40" i="63"/>
  <c r="Y40" i="63"/>
  <c r="Z40" i="63"/>
  <c r="AA40" i="63"/>
  <c r="AB40" i="63"/>
  <c r="AC40" i="63"/>
  <c r="E41" i="63"/>
  <c r="F41" i="63"/>
  <c r="G41" i="63"/>
  <c r="H41" i="63"/>
  <c r="I41" i="63"/>
  <c r="J41" i="63"/>
  <c r="K41" i="63"/>
  <c r="L41" i="63"/>
  <c r="M41" i="63"/>
  <c r="N41" i="63"/>
  <c r="O41" i="63"/>
  <c r="P41" i="63"/>
  <c r="Q41" i="63"/>
  <c r="R41" i="63"/>
  <c r="S41" i="63"/>
  <c r="T41" i="63"/>
  <c r="U41" i="63"/>
  <c r="V41" i="63"/>
  <c r="W41" i="63"/>
  <c r="X41" i="63"/>
  <c r="Y41" i="63"/>
  <c r="Z41" i="63"/>
  <c r="AA41" i="63"/>
  <c r="AB41" i="63"/>
  <c r="AC41" i="63"/>
  <c r="E42" i="63"/>
  <c r="F42" i="63"/>
  <c r="G42" i="63"/>
  <c r="H42" i="63"/>
  <c r="I42" i="63"/>
  <c r="J42" i="63"/>
  <c r="K42" i="63"/>
  <c r="L42" i="63"/>
  <c r="M42" i="63"/>
  <c r="N42" i="63"/>
  <c r="O42" i="63"/>
  <c r="P42" i="63"/>
  <c r="Q42" i="63"/>
  <c r="R42" i="63"/>
  <c r="S42" i="63"/>
  <c r="T42" i="63"/>
  <c r="U42" i="63"/>
  <c r="V42" i="63"/>
  <c r="W42" i="63"/>
  <c r="X42" i="63"/>
  <c r="Y42" i="63"/>
  <c r="Z42" i="63"/>
  <c r="AA42" i="63"/>
  <c r="AC42" i="63"/>
  <c r="AD42" i="63"/>
  <c r="E43" i="63"/>
  <c r="F43" i="63"/>
  <c r="G43" i="63"/>
  <c r="H43" i="63"/>
  <c r="I43" i="63"/>
  <c r="J43" i="63"/>
  <c r="K43" i="63"/>
  <c r="L43" i="63"/>
  <c r="M43" i="63"/>
  <c r="N43" i="63"/>
  <c r="O43" i="63"/>
  <c r="P43" i="63"/>
  <c r="Q43" i="63"/>
  <c r="R43" i="63"/>
  <c r="S43" i="63"/>
  <c r="T43" i="63"/>
  <c r="U43" i="63"/>
  <c r="V43" i="63"/>
  <c r="W43" i="63"/>
  <c r="X43" i="63"/>
  <c r="Y43" i="63"/>
  <c r="Z43" i="63"/>
  <c r="AA43" i="63"/>
  <c r="AC43" i="63"/>
  <c r="AD43" i="63"/>
  <c r="B45" i="63"/>
  <c r="C45" i="63"/>
  <c r="D45" i="63"/>
  <c r="C46" i="63"/>
  <c r="D46" i="63"/>
  <c r="C47" i="63"/>
  <c r="E47" i="63"/>
  <c r="F47" i="63"/>
  <c r="G47" i="63"/>
  <c r="H47" i="63"/>
  <c r="I47" i="63"/>
  <c r="J47" i="63"/>
  <c r="K47" i="63"/>
  <c r="L47" i="63"/>
  <c r="M47" i="63"/>
  <c r="N47" i="63"/>
  <c r="O47" i="63"/>
  <c r="P47" i="63"/>
  <c r="Q47" i="63"/>
  <c r="R47" i="63"/>
  <c r="S47" i="63"/>
  <c r="T47" i="63"/>
  <c r="U47" i="63"/>
  <c r="V47" i="63"/>
  <c r="W47" i="63"/>
  <c r="X47" i="63"/>
  <c r="Y47" i="63"/>
  <c r="Z47" i="63"/>
  <c r="AA47" i="63"/>
  <c r="E49" i="63"/>
  <c r="F49" i="63"/>
  <c r="G49" i="63"/>
  <c r="H49" i="63"/>
  <c r="I49" i="63"/>
  <c r="J49" i="63"/>
  <c r="K49" i="63"/>
  <c r="L49" i="63"/>
  <c r="M49" i="63"/>
  <c r="N49" i="63"/>
  <c r="O49" i="63"/>
  <c r="P49" i="63"/>
  <c r="Q49" i="63"/>
  <c r="R49" i="63"/>
  <c r="S49" i="63"/>
  <c r="T49" i="63"/>
  <c r="U49" i="63"/>
  <c r="V49" i="63"/>
  <c r="W49" i="63"/>
  <c r="X49" i="63"/>
  <c r="Y49" i="63"/>
  <c r="Z49" i="63"/>
  <c r="AA49" i="63"/>
  <c r="AB49" i="63"/>
  <c r="AC49" i="63"/>
  <c r="A50" i="63"/>
  <c r="E50" i="63"/>
  <c r="F50" i="63"/>
  <c r="G50" i="63"/>
  <c r="H50" i="63"/>
  <c r="I50" i="63"/>
  <c r="J50" i="63"/>
  <c r="K50" i="63"/>
  <c r="L50" i="63"/>
  <c r="M50" i="63"/>
  <c r="N50" i="63"/>
  <c r="O50" i="63"/>
  <c r="P50" i="63"/>
  <c r="Q50" i="63"/>
  <c r="R50" i="63"/>
  <c r="S50" i="63"/>
  <c r="T50" i="63"/>
  <c r="U50" i="63"/>
  <c r="V50" i="63"/>
  <c r="W50" i="63"/>
  <c r="X50" i="63"/>
  <c r="Y50" i="63"/>
  <c r="Z50" i="63"/>
  <c r="AA50" i="63"/>
  <c r="AB50" i="63"/>
  <c r="AC50" i="63"/>
  <c r="E51" i="63"/>
  <c r="F51" i="63"/>
  <c r="G51" i="63"/>
  <c r="H51" i="63"/>
  <c r="I51" i="63"/>
  <c r="J51" i="63"/>
  <c r="K51" i="63"/>
  <c r="L51" i="63"/>
  <c r="M51" i="63"/>
  <c r="N51" i="63"/>
  <c r="O51" i="63"/>
  <c r="P51" i="63"/>
  <c r="Q51" i="63"/>
  <c r="R51" i="63"/>
  <c r="S51" i="63"/>
  <c r="T51" i="63"/>
  <c r="U51" i="63"/>
  <c r="V51" i="63"/>
  <c r="W51" i="63"/>
  <c r="X51" i="63"/>
  <c r="Y51" i="63"/>
  <c r="Z51" i="63"/>
  <c r="AA51" i="63"/>
  <c r="AB51" i="63"/>
  <c r="AC51" i="63"/>
  <c r="E52" i="63"/>
  <c r="F52" i="63"/>
  <c r="G52" i="63"/>
  <c r="H52" i="63"/>
  <c r="I52" i="63"/>
  <c r="J52" i="63"/>
  <c r="K52" i="63"/>
  <c r="L52" i="63"/>
  <c r="M52" i="63"/>
  <c r="N52" i="63"/>
  <c r="O52" i="63"/>
  <c r="P52" i="63"/>
  <c r="Q52" i="63"/>
  <c r="R52" i="63"/>
  <c r="S52" i="63"/>
  <c r="T52" i="63"/>
  <c r="U52" i="63"/>
  <c r="V52" i="63"/>
  <c r="W52" i="63"/>
  <c r="X52" i="63"/>
  <c r="Y52" i="63"/>
  <c r="Z52" i="63"/>
  <c r="AA52" i="63"/>
  <c r="AB52" i="63"/>
  <c r="AC52" i="63"/>
  <c r="C53" i="63"/>
  <c r="E53" i="63"/>
  <c r="F53" i="63"/>
  <c r="G53" i="63"/>
  <c r="H53" i="63"/>
  <c r="I53" i="63"/>
  <c r="J53" i="63"/>
  <c r="K53" i="63"/>
  <c r="L53" i="63"/>
  <c r="M53" i="63"/>
  <c r="N53" i="63"/>
  <c r="O53" i="63"/>
  <c r="P53" i="63"/>
  <c r="Q53" i="63"/>
  <c r="R53" i="63"/>
  <c r="S53" i="63"/>
  <c r="T53" i="63"/>
  <c r="U53" i="63"/>
  <c r="V53" i="63"/>
  <c r="W53" i="63"/>
  <c r="X53" i="63"/>
  <c r="Y53" i="63"/>
  <c r="Z53" i="63"/>
  <c r="AA53" i="63"/>
  <c r="AB53" i="63"/>
  <c r="AC53" i="63"/>
  <c r="E54" i="63"/>
  <c r="F54" i="63"/>
  <c r="G54" i="63"/>
  <c r="H54" i="63"/>
  <c r="I54" i="63"/>
  <c r="J54" i="63"/>
  <c r="K54" i="63"/>
  <c r="L54" i="63"/>
  <c r="M54" i="63"/>
  <c r="N54" i="63"/>
  <c r="O54" i="63"/>
  <c r="P54" i="63"/>
  <c r="Q54" i="63"/>
  <c r="R54" i="63"/>
  <c r="S54" i="63"/>
  <c r="T54" i="63"/>
  <c r="U54" i="63"/>
  <c r="V54" i="63"/>
  <c r="W54" i="63"/>
  <c r="X54" i="63"/>
  <c r="Y54" i="63"/>
  <c r="Z54" i="63"/>
  <c r="AA54" i="63"/>
  <c r="AB54" i="63"/>
  <c r="AC54" i="63"/>
  <c r="C55" i="63"/>
  <c r="E55" i="63"/>
  <c r="F55" i="63"/>
  <c r="G55" i="63"/>
  <c r="H55" i="63"/>
  <c r="I55" i="63"/>
  <c r="J55" i="63"/>
  <c r="K55" i="63"/>
  <c r="L55" i="63"/>
  <c r="M55" i="63"/>
  <c r="N55" i="63"/>
  <c r="O55" i="63"/>
  <c r="P55" i="63"/>
  <c r="Q55" i="63"/>
  <c r="R55" i="63"/>
  <c r="S55" i="63"/>
  <c r="T55" i="63"/>
  <c r="U55" i="63"/>
  <c r="V55" i="63"/>
  <c r="W55" i="63"/>
  <c r="X55" i="63"/>
  <c r="Y55" i="63"/>
  <c r="Z55" i="63"/>
  <c r="AA55" i="63"/>
  <c r="AB55" i="63"/>
  <c r="AC55" i="63"/>
  <c r="E56" i="63"/>
  <c r="F56" i="63"/>
  <c r="G56" i="63"/>
  <c r="H56" i="63"/>
  <c r="I56" i="63"/>
  <c r="J56" i="63"/>
  <c r="K56" i="63"/>
  <c r="L56" i="63"/>
  <c r="M56" i="63"/>
  <c r="N56" i="63"/>
  <c r="O56" i="63"/>
  <c r="P56" i="63"/>
  <c r="Q56" i="63"/>
  <c r="R56" i="63"/>
  <c r="S56" i="63"/>
  <c r="T56" i="63"/>
  <c r="U56" i="63"/>
  <c r="V56" i="63"/>
  <c r="W56" i="63"/>
  <c r="X56" i="63"/>
  <c r="Y56" i="63"/>
  <c r="Z56" i="63"/>
  <c r="AA56" i="63"/>
  <c r="AB56" i="63"/>
  <c r="AC56" i="63"/>
  <c r="E57" i="63"/>
  <c r="F57" i="63"/>
  <c r="G57" i="63"/>
  <c r="H57" i="63"/>
  <c r="I57" i="63"/>
  <c r="J57" i="63"/>
  <c r="K57" i="63"/>
  <c r="L57" i="63"/>
  <c r="M57" i="63"/>
  <c r="N57" i="63"/>
  <c r="O57" i="63"/>
  <c r="P57" i="63"/>
  <c r="Q57" i="63"/>
  <c r="R57" i="63"/>
  <c r="S57" i="63"/>
  <c r="T57" i="63"/>
  <c r="U57" i="63"/>
  <c r="V57" i="63"/>
  <c r="W57" i="63"/>
  <c r="X57" i="63"/>
  <c r="Y57" i="63"/>
  <c r="Z57" i="63"/>
  <c r="AA57" i="63"/>
  <c r="AB57" i="63"/>
  <c r="AC57" i="63"/>
  <c r="E58" i="63"/>
  <c r="F58" i="63"/>
  <c r="G58" i="63"/>
  <c r="H58" i="63"/>
  <c r="I58" i="63"/>
  <c r="J58" i="63"/>
  <c r="K58" i="63"/>
  <c r="L58" i="63"/>
  <c r="M58" i="63"/>
  <c r="N58" i="63"/>
  <c r="O58" i="63"/>
  <c r="P58" i="63"/>
  <c r="Q58" i="63"/>
  <c r="R58" i="63"/>
  <c r="S58" i="63"/>
  <c r="T58" i="63"/>
  <c r="U58" i="63"/>
  <c r="V58" i="63"/>
  <c r="W58" i="63"/>
  <c r="X58" i="63"/>
  <c r="Y58" i="63"/>
  <c r="Z58" i="63"/>
  <c r="AA58" i="63"/>
  <c r="AC58" i="63"/>
  <c r="AD58" i="63"/>
  <c r="E59" i="63"/>
  <c r="F59" i="63"/>
  <c r="G59" i="63"/>
  <c r="H59" i="63"/>
  <c r="I59" i="63"/>
  <c r="J59" i="63"/>
  <c r="K59" i="63"/>
  <c r="L59" i="63"/>
  <c r="M59" i="63"/>
  <c r="N59" i="63"/>
  <c r="O59" i="63"/>
  <c r="P59" i="63"/>
  <c r="Q59" i="63"/>
  <c r="R59" i="63"/>
  <c r="S59" i="63"/>
  <c r="T59" i="63"/>
  <c r="U59" i="63"/>
  <c r="V59" i="63"/>
  <c r="W59" i="63"/>
  <c r="X59" i="63"/>
  <c r="Y59" i="63"/>
  <c r="Z59" i="63"/>
  <c r="AA59" i="63"/>
  <c r="AC59" i="63"/>
  <c r="AD59" i="63"/>
  <c r="B61" i="63"/>
  <c r="C61" i="63"/>
  <c r="D61" i="63"/>
  <c r="C62" i="63"/>
  <c r="D62" i="63"/>
  <c r="E64" i="63"/>
  <c r="F64" i="63"/>
  <c r="G64" i="63"/>
  <c r="H64" i="63"/>
  <c r="I64" i="63"/>
  <c r="J64" i="63"/>
  <c r="K64" i="63"/>
  <c r="L64" i="63"/>
  <c r="M64" i="63"/>
  <c r="N64" i="63"/>
  <c r="O64" i="63"/>
  <c r="P64" i="63"/>
  <c r="Q64" i="63"/>
  <c r="R64" i="63"/>
  <c r="S64" i="63"/>
  <c r="T64" i="63"/>
  <c r="U64" i="63"/>
  <c r="V64" i="63"/>
  <c r="W64" i="63"/>
  <c r="X64" i="63"/>
  <c r="Y64" i="63"/>
  <c r="Z64" i="63"/>
  <c r="AA64" i="63"/>
  <c r="AB64" i="63"/>
  <c r="AC64" i="63"/>
  <c r="A65" i="63"/>
  <c r="E65" i="63"/>
  <c r="F65" i="63"/>
  <c r="G65" i="63"/>
  <c r="H65" i="63"/>
  <c r="I65" i="63"/>
  <c r="J65" i="63"/>
  <c r="K65" i="63"/>
  <c r="L65" i="63"/>
  <c r="M65" i="63"/>
  <c r="N65" i="63"/>
  <c r="O65" i="63"/>
  <c r="P65" i="63"/>
  <c r="Q65" i="63"/>
  <c r="R65" i="63"/>
  <c r="S65" i="63"/>
  <c r="T65" i="63"/>
  <c r="U65" i="63"/>
  <c r="V65" i="63"/>
  <c r="W65" i="63"/>
  <c r="X65" i="63"/>
  <c r="Y65" i="63"/>
  <c r="Z65" i="63"/>
  <c r="AA65" i="63"/>
  <c r="AB65" i="63"/>
  <c r="AC65" i="63"/>
  <c r="A66" i="63"/>
  <c r="E66" i="63"/>
  <c r="F66" i="63"/>
  <c r="G66" i="63"/>
  <c r="H66" i="63"/>
  <c r="I66" i="63"/>
  <c r="J66" i="63"/>
  <c r="K66" i="63"/>
  <c r="L66" i="63"/>
  <c r="M66" i="63"/>
  <c r="N66" i="63"/>
  <c r="O66" i="63"/>
  <c r="P66" i="63"/>
  <c r="Q66" i="63"/>
  <c r="R66" i="63"/>
  <c r="S66" i="63"/>
  <c r="T66" i="63"/>
  <c r="U66" i="63"/>
  <c r="V66" i="63"/>
  <c r="W66" i="63"/>
  <c r="X66" i="63"/>
  <c r="Y66" i="63"/>
  <c r="Z66" i="63"/>
  <c r="AA66" i="63"/>
  <c r="AB66" i="63"/>
  <c r="AC66" i="63"/>
  <c r="E67" i="63"/>
  <c r="F67" i="63"/>
  <c r="G67" i="63"/>
  <c r="H67" i="63"/>
  <c r="I67" i="63"/>
  <c r="J67" i="63"/>
  <c r="K67" i="63"/>
  <c r="L67" i="63"/>
  <c r="M67" i="63"/>
  <c r="N67" i="63"/>
  <c r="O67" i="63"/>
  <c r="P67" i="63"/>
  <c r="Q67" i="63"/>
  <c r="R67" i="63"/>
  <c r="S67" i="63"/>
  <c r="T67" i="63"/>
  <c r="U67" i="63"/>
  <c r="V67" i="63"/>
  <c r="W67" i="63"/>
  <c r="X67" i="63"/>
  <c r="Y67" i="63"/>
  <c r="Z67" i="63"/>
  <c r="AA67" i="63"/>
  <c r="AB67" i="63"/>
  <c r="AC67" i="63"/>
  <c r="E68" i="63"/>
  <c r="F68" i="63"/>
  <c r="G68" i="63"/>
  <c r="H68" i="63"/>
  <c r="I68" i="63"/>
  <c r="J68" i="63"/>
  <c r="K68" i="63"/>
  <c r="L68" i="63"/>
  <c r="M68" i="63"/>
  <c r="N68" i="63"/>
  <c r="O68" i="63"/>
  <c r="P68" i="63"/>
  <c r="Q68" i="63"/>
  <c r="R68" i="63"/>
  <c r="S68" i="63"/>
  <c r="T68" i="63"/>
  <c r="U68" i="63"/>
  <c r="V68" i="63"/>
  <c r="W68" i="63"/>
  <c r="X68" i="63"/>
  <c r="Y68" i="63"/>
  <c r="Z68" i="63"/>
  <c r="AA68" i="63"/>
  <c r="AB68" i="63"/>
  <c r="AC68" i="63"/>
  <c r="C69" i="63"/>
  <c r="E69" i="63"/>
  <c r="F69" i="63"/>
  <c r="G69" i="63"/>
  <c r="H69" i="63"/>
  <c r="I69" i="63"/>
  <c r="J69" i="63"/>
  <c r="K69" i="63"/>
  <c r="L69" i="63"/>
  <c r="M69" i="63"/>
  <c r="N69" i="63"/>
  <c r="O69" i="63"/>
  <c r="P69" i="63"/>
  <c r="Q69" i="63"/>
  <c r="R69" i="63"/>
  <c r="S69" i="63"/>
  <c r="T69" i="63"/>
  <c r="U69" i="63"/>
  <c r="V69" i="63"/>
  <c r="W69" i="63"/>
  <c r="X69" i="63"/>
  <c r="Y69" i="63"/>
  <c r="Z69" i="63"/>
  <c r="AA69" i="63"/>
  <c r="AB69" i="63"/>
  <c r="AC69" i="63"/>
  <c r="E70" i="63"/>
  <c r="F70" i="63"/>
  <c r="G70" i="63"/>
  <c r="H70" i="63"/>
  <c r="I70" i="63"/>
  <c r="J70" i="63"/>
  <c r="K70" i="63"/>
  <c r="L70" i="63"/>
  <c r="M70" i="63"/>
  <c r="N70" i="63"/>
  <c r="O70" i="63"/>
  <c r="P70" i="63"/>
  <c r="Q70" i="63"/>
  <c r="R70" i="63"/>
  <c r="S70" i="63"/>
  <c r="T70" i="63"/>
  <c r="U70" i="63"/>
  <c r="V70" i="63"/>
  <c r="W70" i="63"/>
  <c r="X70" i="63"/>
  <c r="Y70" i="63"/>
  <c r="Z70" i="63"/>
  <c r="AA70" i="63"/>
  <c r="AB70" i="63"/>
  <c r="AC70" i="63"/>
  <c r="E71" i="63"/>
  <c r="F71" i="63"/>
  <c r="G71" i="63"/>
  <c r="H71" i="63"/>
  <c r="I71" i="63"/>
  <c r="J71" i="63"/>
  <c r="K71" i="63"/>
  <c r="L71" i="63"/>
  <c r="M71" i="63"/>
  <c r="N71" i="63"/>
  <c r="O71" i="63"/>
  <c r="P71" i="63"/>
  <c r="Q71" i="63"/>
  <c r="R71" i="63"/>
  <c r="S71" i="63"/>
  <c r="T71" i="63"/>
  <c r="U71" i="63"/>
  <c r="V71" i="63"/>
  <c r="W71" i="63"/>
  <c r="X71" i="63"/>
  <c r="Y71" i="63"/>
  <c r="Z71" i="63"/>
  <c r="AA71" i="63"/>
  <c r="AB71" i="63"/>
  <c r="AC71" i="63"/>
  <c r="E72" i="63"/>
  <c r="F72" i="63"/>
  <c r="G72" i="63"/>
  <c r="H72" i="63"/>
  <c r="I72" i="63"/>
  <c r="J72" i="63"/>
  <c r="K72" i="63"/>
  <c r="L72" i="63"/>
  <c r="M72" i="63"/>
  <c r="N72" i="63"/>
  <c r="O72" i="63"/>
  <c r="P72" i="63"/>
  <c r="Q72" i="63"/>
  <c r="R72" i="63"/>
  <c r="S72" i="63"/>
  <c r="T72" i="63"/>
  <c r="U72" i="63"/>
  <c r="V72" i="63"/>
  <c r="W72" i="63"/>
  <c r="X72" i="63"/>
  <c r="Y72" i="63"/>
  <c r="Z72" i="63"/>
  <c r="AA72" i="63"/>
  <c r="AB72" i="63"/>
  <c r="AC72" i="63"/>
  <c r="C73" i="63"/>
  <c r="E73" i="63"/>
  <c r="F73" i="63"/>
  <c r="G73" i="63"/>
  <c r="H73" i="63"/>
  <c r="I73" i="63"/>
  <c r="J73" i="63"/>
  <c r="K73" i="63"/>
  <c r="L73" i="63"/>
  <c r="M73" i="63"/>
  <c r="N73" i="63"/>
  <c r="O73" i="63"/>
  <c r="P73" i="63"/>
  <c r="Q73" i="63"/>
  <c r="R73" i="63"/>
  <c r="S73" i="63"/>
  <c r="T73" i="63"/>
  <c r="U73" i="63"/>
  <c r="V73" i="63"/>
  <c r="W73" i="63"/>
  <c r="X73" i="63"/>
  <c r="Y73" i="63"/>
  <c r="Z73" i="63"/>
  <c r="AA73" i="63"/>
  <c r="AB73" i="63"/>
  <c r="AC73" i="63"/>
  <c r="C74" i="63"/>
  <c r="E74" i="63"/>
  <c r="F74" i="63"/>
  <c r="G74" i="63"/>
  <c r="H74" i="63"/>
  <c r="I74" i="63"/>
  <c r="J74" i="63"/>
  <c r="K74" i="63"/>
  <c r="L74" i="63"/>
  <c r="M74" i="63"/>
  <c r="N74" i="63"/>
  <c r="O74" i="63"/>
  <c r="P74" i="63"/>
  <c r="Q74" i="63"/>
  <c r="R74" i="63"/>
  <c r="S74" i="63"/>
  <c r="T74" i="63"/>
  <c r="U74" i="63"/>
  <c r="V74" i="63"/>
  <c r="W74" i="63"/>
  <c r="X74" i="63"/>
  <c r="Y74" i="63"/>
  <c r="Z74" i="63"/>
  <c r="AA74" i="63"/>
  <c r="AB74" i="63"/>
  <c r="AC74" i="63"/>
  <c r="E75" i="63"/>
  <c r="F75" i="63"/>
  <c r="G75" i="63"/>
  <c r="H75" i="63"/>
  <c r="I75" i="63"/>
  <c r="J75" i="63"/>
  <c r="K75" i="63"/>
  <c r="L75" i="63"/>
  <c r="M75" i="63"/>
  <c r="N75" i="63"/>
  <c r="O75" i="63"/>
  <c r="P75" i="63"/>
  <c r="Q75" i="63"/>
  <c r="R75" i="63"/>
  <c r="S75" i="63"/>
  <c r="T75" i="63"/>
  <c r="U75" i="63"/>
  <c r="V75" i="63"/>
  <c r="W75" i="63"/>
  <c r="X75" i="63"/>
  <c r="Y75" i="63"/>
  <c r="Z75" i="63"/>
  <c r="AA75" i="63"/>
  <c r="AB75" i="63"/>
  <c r="AC75" i="63"/>
  <c r="E76" i="63"/>
  <c r="F76" i="63"/>
  <c r="G76" i="63"/>
  <c r="H76" i="63"/>
  <c r="I76" i="63"/>
  <c r="J76" i="63"/>
  <c r="K76" i="63"/>
  <c r="L76" i="63"/>
  <c r="M76" i="63"/>
  <c r="N76" i="63"/>
  <c r="O76" i="63"/>
  <c r="P76" i="63"/>
  <c r="Q76" i="63"/>
  <c r="R76" i="63"/>
  <c r="S76" i="63"/>
  <c r="T76" i="63"/>
  <c r="U76" i="63"/>
  <c r="V76" i="63"/>
  <c r="W76" i="63"/>
  <c r="X76" i="63"/>
  <c r="Y76" i="63"/>
  <c r="Z76" i="63"/>
  <c r="AA76" i="63"/>
  <c r="AB76" i="63"/>
  <c r="AC76" i="63"/>
  <c r="E77" i="63"/>
  <c r="F77" i="63"/>
  <c r="G77" i="63"/>
  <c r="H77" i="63"/>
  <c r="I77" i="63"/>
  <c r="J77" i="63"/>
  <c r="K77" i="63"/>
  <c r="L77" i="63"/>
  <c r="M77" i="63"/>
  <c r="N77" i="63"/>
  <c r="O77" i="63"/>
  <c r="P77" i="63"/>
  <c r="Q77" i="63"/>
  <c r="R77" i="63"/>
  <c r="S77" i="63"/>
  <c r="T77" i="63"/>
  <c r="U77" i="63"/>
  <c r="V77" i="63"/>
  <c r="W77" i="63"/>
  <c r="X77" i="63"/>
  <c r="Y77" i="63"/>
  <c r="Z77" i="63"/>
  <c r="AA77" i="63"/>
  <c r="AC77" i="63"/>
  <c r="AD77" i="63"/>
  <c r="E78" i="63"/>
  <c r="F78" i="63"/>
  <c r="G78" i="63"/>
  <c r="H78" i="63"/>
  <c r="I78" i="63"/>
  <c r="J78" i="63"/>
  <c r="K78" i="63"/>
  <c r="L78" i="63"/>
  <c r="M78" i="63"/>
  <c r="N78" i="63"/>
  <c r="O78" i="63"/>
  <c r="P78" i="63"/>
  <c r="Q78" i="63"/>
  <c r="R78" i="63"/>
  <c r="S78" i="63"/>
  <c r="T78" i="63"/>
  <c r="U78" i="63"/>
  <c r="V78" i="63"/>
  <c r="W78" i="63"/>
  <c r="X78" i="63"/>
  <c r="Y78" i="63"/>
  <c r="Z78" i="63"/>
  <c r="AA78" i="63"/>
  <c r="AC78" i="63"/>
  <c r="AD78" i="63"/>
  <c r="B80" i="63"/>
  <c r="C80" i="63"/>
  <c r="D80" i="63"/>
  <c r="C81" i="63"/>
  <c r="D81" i="63"/>
  <c r="F83" i="63"/>
  <c r="G83" i="63"/>
  <c r="H83" i="63"/>
  <c r="I83" i="63"/>
  <c r="J83" i="63"/>
  <c r="K83" i="63"/>
  <c r="L83" i="63"/>
  <c r="M83" i="63"/>
  <c r="N83" i="63"/>
  <c r="O83" i="63"/>
  <c r="P83" i="63"/>
  <c r="Q83" i="63"/>
  <c r="R83" i="63"/>
  <c r="S83" i="63"/>
  <c r="T83" i="63"/>
  <c r="U83" i="63"/>
  <c r="V83" i="63"/>
  <c r="W83" i="63"/>
  <c r="X83" i="63"/>
  <c r="Y83" i="63"/>
  <c r="Z83" i="63"/>
  <c r="AA83" i="63"/>
  <c r="A1" i="48"/>
  <c r="A2" i="48"/>
  <c r="A3" i="48"/>
  <c r="C13" i="48"/>
  <c r="D13" i="48"/>
  <c r="E13" i="48"/>
  <c r="G13" i="48"/>
  <c r="H13" i="48"/>
  <c r="I13" i="48"/>
  <c r="J13" i="48"/>
  <c r="K14" i="48"/>
  <c r="M14" i="48"/>
  <c r="N14" i="48"/>
  <c r="Q14" i="48"/>
  <c r="R14" i="48"/>
  <c r="U14" i="48"/>
  <c r="V14" i="48"/>
  <c r="Y14" i="48"/>
  <c r="Z14" i="48"/>
  <c r="AC14" i="48"/>
  <c r="AD14" i="48"/>
  <c r="AG14" i="48"/>
  <c r="AH14" i="48"/>
  <c r="AK14" i="48"/>
  <c r="AL14" i="48"/>
  <c r="AO14" i="48"/>
  <c r="AP14" i="48"/>
  <c r="B15" i="48"/>
  <c r="K15" i="48"/>
  <c r="K16" i="48"/>
  <c r="K17" i="48"/>
  <c r="L17" i="48"/>
  <c r="P17" i="48"/>
  <c r="T17" i="48"/>
  <c r="X17" i="48"/>
  <c r="AB17" i="48"/>
  <c r="AF17" i="48"/>
  <c r="AJ17" i="48"/>
  <c r="AN17" i="48"/>
  <c r="K18" i="48"/>
  <c r="L18" i="48"/>
  <c r="M18" i="48"/>
  <c r="P18" i="48"/>
  <c r="Q18" i="48"/>
  <c r="T18" i="48"/>
  <c r="U18" i="48"/>
  <c r="X18" i="48"/>
  <c r="Y18" i="48"/>
  <c r="AB18" i="48"/>
  <c r="AC18" i="48"/>
  <c r="AF18" i="48"/>
  <c r="AG18" i="48"/>
  <c r="AJ18" i="48"/>
  <c r="AK18" i="48"/>
  <c r="AN18" i="48"/>
  <c r="AO18" i="48"/>
  <c r="AS18" i="48"/>
  <c r="B19" i="48"/>
  <c r="C19" i="48"/>
  <c r="D19" i="48"/>
  <c r="E19" i="48"/>
  <c r="I19" i="48"/>
  <c r="J19" i="48"/>
  <c r="K19" i="48"/>
  <c r="L19" i="48"/>
  <c r="M19" i="48"/>
  <c r="P19" i="48"/>
  <c r="Q19" i="48"/>
  <c r="T19" i="48"/>
  <c r="U19" i="48"/>
  <c r="X19" i="48"/>
  <c r="Y19" i="48"/>
  <c r="AB19" i="48"/>
  <c r="AC19" i="48"/>
  <c r="AF19" i="48"/>
  <c r="AG19" i="48"/>
  <c r="AJ19" i="48"/>
  <c r="AK19" i="48"/>
  <c r="AN19" i="48"/>
  <c r="AO19" i="48"/>
  <c r="AR19" i="48"/>
  <c r="AS19" i="48"/>
  <c r="AU19" i="48"/>
  <c r="AV19" i="48"/>
  <c r="A20" i="48"/>
  <c r="B20" i="48"/>
  <c r="C20" i="48"/>
  <c r="D20" i="48"/>
  <c r="E20" i="48"/>
  <c r="F20" i="48"/>
  <c r="G20" i="48"/>
  <c r="H20" i="48"/>
  <c r="I20" i="48"/>
  <c r="J20" i="48"/>
  <c r="K20" i="48"/>
  <c r="L20" i="48"/>
  <c r="M20" i="48"/>
  <c r="N20" i="48"/>
  <c r="P20" i="48"/>
  <c r="Q20" i="48"/>
  <c r="R20" i="48"/>
  <c r="T20" i="48"/>
  <c r="U20" i="48"/>
  <c r="V20" i="48"/>
  <c r="X20" i="48"/>
  <c r="Y20" i="48"/>
  <c r="Z20" i="48"/>
  <c r="AB20" i="48"/>
  <c r="AC20" i="48"/>
  <c r="AD20" i="48"/>
  <c r="AF20" i="48"/>
  <c r="AG20" i="48"/>
  <c r="AH20" i="48"/>
  <c r="AJ20" i="48"/>
  <c r="AK20" i="48"/>
  <c r="AL20" i="48"/>
  <c r="AN20" i="48"/>
  <c r="AO20" i="48"/>
  <c r="AP20" i="48"/>
  <c r="AR20" i="48"/>
  <c r="AS20" i="48"/>
  <c r="AT20" i="48"/>
  <c r="AU20" i="48"/>
  <c r="AV20" i="48"/>
  <c r="AW20" i="48"/>
  <c r="A21" i="48"/>
  <c r="B21" i="48"/>
  <c r="C21" i="48"/>
  <c r="D21" i="48"/>
  <c r="E21" i="48"/>
  <c r="F21" i="48"/>
  <c r="G21" i="48"/>
  <c r="H21" i="48"/>
  <c r="I21" i="48"/>
  <c r="J21" i="48"/>
  <c r="K21" i="48"/>
  <c r="L21" i="48"/>
  <c r="M21" i="48"/>
  <c r="N21" i="48"/>
  <c r="P21" i="48"/>
  <c r="Q21" i="48"/>
  <c r="R21" i="48"/>
  <c r="T21" i="48"/>
  <c r="U21" i="48"/>
  <c r="V21" i="48"/>
  <c r="X21" i="48"/>
  <c r="Y21" i="48"/>
  <c r="Z21" i="48"/>
  <c r="AB21" i="48"/>
  <c r="AC21" i="48"/>
  <c r="AD21" i="48"/>
  <c r="AF21" i="48"/>
  <c r="AG21" i="48"/>
  <c r="AH21" i="48"/>
  <c r="AJ21" i="48"/>
  <c r="AK21" i="48"/>
  <c r="AL21" i="48"/>
  <c r="AN21" i="48"/>
  <c r="AO21" i="48"/>
  <c r="AP21" i="48"/>
  <c r="AR21" i="48"/>
  <c r="AS21" i="48"/>
  <c r="AT21" i="48"/>
  <c r="AU21" i="48"/>
  <c r="AV21" i="48"/>
  <c r="AW21" i="48"/>
  <c r="A22" i="48"/>
  <c r="B22" i="48"/>
  <c r="C22" i="48"/>
  <c r="D22" i="48"/>
  <c r="E22" i="48"/>
  <c r="F22" i="48"/>
  <c r="G22" i="48"/>
  <c r="H22" i="48"/>
  <c r="I22" i="48"/>
  <c r="J22" i="48"/>
  <c r="K22" i="48"/>
  <c r="L22" i="48"/>
  <c r="M22" i="48"/>
  <c r="N22" i="48"/>
  <c r="P22" i="48"/>
  <c r="Q22" i="48"/>
  <c r="R22" i="48"/>
  <c r="T22" i="48"/>
  <c r="U22" i="48"/>
  <c r="V22" i="48"/>
  <c r="X22" i="48"/>
  <c r="Y22" i="48"/>
  <c r="Z22" i="48"/>
  <c r="AB22" i="48"/>
  <c r="AC22" i="48"/>
  <c r="AD22" i="48"/>
  <c r="AF22" i="48"/>
  <c r="AG22" i="48"/>
  <c r="AH22" i="48"/>
  <c r="AJ22" i="48"/>
  <c r="AK22" i="48"/>
  <c r="AL22" i="48"/>
  <c r="AN22" i="48"/>
  <c r="AO22" i="48"/>
  <c r="AP22" i="48"/>
  <c r="AR22" i="48"/>
  <c r="AS22" i="48"/>
  <c r="AT22" i="48"/>
  <c r="AU22" i="48"/>
  <c r="AV22" i="48"/>
  <c r="AW22" i="48"/>
  <c r="A23" i="48"/>
  <c r="B23" i="48"/>
  <c r="C23" i="48"/>
  <c r="D23" i="48"/>
  <c r="E23" i="48"/>
  <c r="F23" i="48"/>
  <c r="G23" i="48"/>
  <c r="H23" i="48"/>
  <c r="I23" i="48"/>
  <c r="J23" i="48"/>
  <c r="K23" i="48"/>
  <c r="L23" i="48"/>
  <c r="M23" i="48"/>
  <c r="N23" i="48"/>
  <c r="P23" i="48"/>
  <c r="Q23" i="48"/>
  <c r="R23" i="48"/>
  <c r="T23" i="48"/>
  <c r="U23" i="48"/>
  <c r="V23" i="48"/>
  <c r="X23" i="48"/>
  <c r="Y23" i="48"/>
  <c r="Z23" i="48"/>
  <c r="AB23" i="48"/>
  <c r="AC23" i="48"/>
  <c r="AD23" i="48"/>
  <c r="AF23" i="48"/>
  <c r="AG23" i="48"/>
  <c r="AH23" i="48"/>
  <c r="AJ23" i="48"/>
  <c r="AK23" i="48"/>
  <c r="AL23" i="48"/>
  <c r="AN23" i="48"/>
  <c r="AO23" i="48"/>
  <c r="AP23" i="48"/>
  <c r="AR23" i="48"/>
  <c r="AS23" i="48"/>
  <c r="AT23" i="48"/>
  <c r="AU23" i="48"/>
  <c r="AV23" i="48"/>
  <c r="AW23" i="48"/>
  <c r="A24" i="48"/>
  <c r="B24" i="48"/>
  <c r="C24" i="48"/>
  <c r="D24" i="48"/>
  <c r="E24" i="48"/>
  <c r="F24" i="48"/>
  <c r="G24" i="48"/>
  <c r="H24" i="48"/>
  <c r="I24" i="48"/>
  <c r="J24" i="48"/>
  <c r="K24" i="48"/>
  <c r="L24" i="48"/>
  <c r="M24" i="48"/>
  <c r="N24" i="48"/>
  <c r="P24" i="48"/>
  <c r="Q24" i="48"/>
  <c r="R24" i="48"/>
  <c r="T24" i="48"/>
  <c r="U24" i="48"/>
  <c r="V24" i="48"/>
  <c r="X24" i="48"/>
  <c r="Y24" i="48"/>
  <c r="Z24" i="48"/>
  <c r="AB24" i="48"/>
  <c r="AC24" i="48"/>
  <c r="AD24" i="48"/>
  <c r="AF24" i="48"/>
  <c r="AG24" i="48"/>
  <c r="AH24" i="48"/>
  <c r="AJ24" i="48"/>
  <c r="AK24" i="48"/>
  <c r="AL24" i="48"/>
  <c r="AN24" i="48"/>
  <c r="AO24" i="48"/>
  <c r="AP24" i="48"/>
  <c r="AR24" i="48"/>
  <c r="AS24" i="48"/>
  <c r="AT24" i="48"/>
  <c r="AU24" i="48"/>
  <c r="AV24" i="48"/>
  <c r="AW24" i="48"/>
  <c r="A25" i="48"/>
  <c r="B25" i="48"/>
  <c r="C25" i="48"/>
  <c r="D25" i="48"/>
  <c r="E25" i="48"/>
  <c r="F25" i="48"/>
  <c r="G25" i="48"/>
  <c r="H25" i="48"/>
  <c r="I25" i="48"/>
  <c r="J25" i="48"/>
  <c r="K25" i="48"/>
  <c r="L25" i="48"/>
  <c r="M25" i="48"/>
  <c r="N25" i="48"/>
  <c r="P25" i="48"/>
  <c r="Q25" i="48"/>
  <c r="R25" i="48"/>
  <c r="T25" i="48"/>
  <c r="U25" i="48"/>
  <c r="V25" i="48"/>
  <c r="X25" i="48"/>
  <c r="Y25" i="48"/>
  <c r="Z25" i="48"/>
  <c r="AB25" i="48"/>
  <c r="AC25" i="48"/>
  <c r="AD25" i="48"/>
  <c r="AF25" i="48"/>
  <c r="AG25" i="48"/>
  <c r="AH25" i="48"/>
  <c r="AJ25" i="48"/>
  <c r="AK25" i="48"/>
  <c r="AL25" i="48"/>
  <c r="AN25" i="48"/>
  <c r="AO25" i="48"/>
  <c r="AP25" i="48"/>
  <c r="AR25" i="48"/>
  <c r="AS25" i="48"/>
  <c r="AT25" i="48"/>
  <c r="AU25" i="48"/>
  <c r="AV25" i="48"/>
  <c r="AW25" i="48"/>
  <c r="A26" i="48"/>
  <c r="B26" i="48"/>
  <c r="C26" i="48"/>
  <c r="D26" i="48"/>
  <c r="E26" i="48"/>
  <c r="F26" i="48"/>
  <c r="G26" i="48"/>
  <c r="H26" i="48"/>
  <c r="I26" i="48"/>
  <c r="J26" i="48"/>
  <c r="K26" i="48"/>
  <c r="L26" i="48"/>
  <c r="M26" i="48"/>
  <c r="N26" i="48"/>
  <c r="P26" i="48"/>
  <c r="Q26" i="48"/>
  <c r="R26" i="48"/>
  <c r="T26" i="48"/>
  <c r="U26" i="48"/>
  <c r="V26" i="48"/>
  <c r="X26" i="48"/>
  <c r="Y26" i="48"/>
  <c r="Z26" i="48"/>
  <c r="AB26" i="48"/>
  <c r="AC26" i="48"/>
  <c r="AD26" i="48"/>
  <c r="AF26" i="48"/>
  <c r="AG26" i="48"/>
  <c r="AH26" i="48"/>
  <c r="AJ26" i="48"/>
  <c r="AK26" i="48"/>
  <c r="AL26" i="48"/>
  <c r="AN26" i="48"/>
  <c r="AO26" i="48"/>
  <c r="AP26" i="48"/>
  <c r="AR26" i="48"/>
  <c r="AS26" i="48"/>
  <c r="AT26" i="48"/>
  <c r="AU26" i="48"/>
  <c r="AV26" i="48"/>
  <c r="AW26" i="48"/>
  <c r="A27" i="48"/>
  <c r="B27" i="48"/>
  <c r="C27" i="48"/>
  <c r="D27" i="48"/>
  <c r="E27" i="48"/>
  <c r="F27" i="48"/>
  <c r="G27" i="48"/>
  <c r="H27" i="48"/>
  <c r="I27" i="48"/>
  <c r="J27" i="48"/>
  <c r="K27" i="48"/>
  <c r="L27" i="48"/>
  <c r="M27" i="48"/>
  <c r="N27" i="48"/>
  <c r="P27" i="48"/>
  <c r="Q27" i="48"/>
  <c r="R27" i="48"/>
  <c r="T27" i="48"/>
  <c r="U27" i="48"/>
  <c r="V27" i="48"/>
  <c r="X27" i="48"/>
  <c r="Y27" i="48"/>
  <c r="Z27" i="48"/>
  <c r="AB27" i="48"/>
  <c r="AC27" i="48"/>
  <c r="AD27" i="48"/>
  <c r="AF27" i="48"/>
  <c r="AG27" i="48"/>
  <c r="AH27" i="48"/>
  <c r="AJ27" i="48"/>
  <c r="AK27" i="48"/>
  <c r="AL27" i="48"/>
  <c r="AN27" i="48"/>
  <c r="AO27" i="48"/>
  <c r="AP27" i="48"/>
  <c r="AR27" i="48"/>
  <c r="AS27" i="48"/>
  <c r="AT27" i="48"/>
  <c r="AU27" i="48"/>
  <c r="AV27" i="48"/>
  <c r="AW27" i="48"/>
  <c r="A28" i="48"/>
  <c r="B28" i="48"/>
  <c r="C28" i="48"/>
  <c r="D28" i="48"/>
  <c r="E28" i="48"/>
  <c r="F28" i="48"/>
  <c r="G28" i="48"/>
  <c r="H28" i="48"/>
  <c r="I28" i="48"/>
  <c r="J28" i="48"/>
  <c r="K28" i="48"/>
  <c r="L28" i="48"/>
  <c r="M28" i="48"/>
  <c r="N28" i="48"/>
  <c r="P28" i="48"/>
  <c r="Q28" i="48"/>
  <c r="R28" i="48"/>
  <c r="T28" i="48"/>
  <c r="U28" i="48"/>
  <c r="V28" i="48"/>
  <c r="X28" i="48"/>
  <c r="Y28" i="48"/>
  <c r="Z28" i="48"/>
  <c r="AB28" i="48"/>
  <c r="AC28" i="48"/>
  <c r="AD28" i="48"/>
  <c r="AF28" i="48"/>
  <c r="AG28" i="48"/>
  <c r="AH28" i="48"/>
  <c r="AJ28" i="48"/>
  <c r="AK28" i="48"/>
  <c r="AL28" i="48"/>
  <c r="AN28" i="48"/>
  <c r="AO28" i="48"/>
  <c r="AP28" i="48"/>
  <c r="AR28" i="48"/>
  <c r="AS28" i="48"/>
  <c r="AT28" i="48"/>
  <c r="AU28" i="48"/>
  <c r="AV28" i="48"/>
  <c r="AW28" i="48"/>
  <c r="A29" i="48"/>
  <c r="B29" i="48"/>
  <c r="C29" i="48"/>
  <c r="D29" i="48"/>
  <c r="E29" i="48"/>
  <c r="F29" i="48"/>
  <c r="G29" i="48"/>
  <c r="H29" i="48"/>
  <c r="I29" i="48"/>
  <c r="J29" i="48"/>
  <c r="K29" i="48"/>
  <c r="L29" i="48"/>
  <c r="M29" i="48"/>
  <c r="N29" i="48"/>
  <c r="P29" i="48"/>
  <c r="Q29" i="48"/>
  <c r="R29" i="48"/>
  <c r="T29" i="48"/>
  <c r="U29" i="48"/>
  <c r="V29" i="48"/>
  <c r="X29" i="48"/>
  <c r="Y29" i="48"/>
  <c r="Z29" i="48"/>
  <c r="AB29" i="48"/>
  <c r="AC29" i="48"/>
  <c r="AD29" i="48"/>
  <c r="AF29" i="48"/>
  <c r="AG29" i="48"/>
  <c r="AH29" i="48"/>
  <c r="AJ29" i="48"/>
  <c r="AK29" i="48"/>
  <c r="AL29" i="48"/>
  <c r="AN29" i="48"/>
  <c r="AO29" i="48"/>
  <c r="AP29" i="48"/>
  <c r="AR29" i="48"/>
  <c r="AS29" i="48"/>
  <c r="AT29" i="48"/>
  <c r="AU29" i="48"/>
  <c r="AV29" i="48"/>
  <c r="AW29" i="48"/>
  <c r="A30" i="48"/>
  <c r="B30" i="48"/>
  <c r="C30" i="48"/>
  <c r="D30" i="48"/>
  <c r="E30" i="48"/>
  <c r="F30" i="48"/>
  <c r="G30" i="48"/>
  <c r="H30" i="48"/>
  <c r="I30" i="48"/>
  <c r="J30" i="48"/>
  <c r="K30" i="48"/>
  <c r="L30" i="48"/>
  <c r="M30" i="48"/>
  <c r="N30" i="48"/>
  <c r="P30" i="48"/>
  <c r="Q30" i="48"/>
  <c r="R30" i="48"/>
  <c r="T30" i="48"/>
  <c r="U30" i="48"/>
  <c r="V30" i="48"/>
  <c r="X30" i="48"/>
  <c r="Y30" i="48"/>
  <c r="Z30" i="48"/>
  <c r="AB30" i="48"/>
  <c r="AC30" i="48"/>
  <c r="AD30" i="48"/>
  <c r="AF30" i="48"/>
  <c r="AG30" i="48"/>
  <c r="AH30" i="48"/>
  <c r="AJ30" i="48"/>
  <c r="AK30" i="48"/>
  <c r="AL30" i="48"/>
  <c r="AN30" i="48"/>
  <c r="AO30" i="48"/>
  <c r="AP30" i="48"/>
  <c r="AR30" i="48"/>
  <c r="AS30" i="48"/>
  <c r="AT30" i="48"/>
  <c r="AU30" i="48"/>
  <c r="AV30" i="48"/>
  <c r="AW30" i="48"/>
  <c r="A31" i="48"/>
  <c r="B31" i="48"/>
  <c r="C31" i="48"/>
  <c r="D31" i="48"/>
  <c r="E31" i="48"/>
  <c r="F31" i="48"/>
  <c r="G31" i="48"/>
  <c r="H31" i="48"/>
  <c r="I31" i="48"/>
  <c r="J31" i="48"/>
  <c r="K31" i="48"/>
  <c r="L31" i="48"/>
  <c r="M31" i="48"/>
  <c r="N31" i="48"/>
  <c r="P31" i="48"/>
  <c r="Q31" i="48"/>
  <c r="R31" i="48"/>
  <c r="T31" i="48"/>
  <c r="U31" i="48"/>
  <c r="V31" i="48"/>
  <c r="X31" i="48"/>
  <c r="Y31" i="48"/>
  <c r="Z31" i="48"/>
  <c r="AB31" i="48"/>
  <c r="AC31" i="48"/>
  <c r="AD31" i="48"/>
  <c r="AF31" i="48"/>
  <c r="AG31" i="48"/>
  <c r="AH31" i="48"/>
  <c r="AJ31" i="48"/>
  <c r="AK31" i="48"/>
  <c r="AL31" i="48"/>
  <c r="AN31" i="48"/>
  <c r="AO31" i="48"/>
  <c r="AP31" i="48"/>
  <c r="AR31" i="48"/>
  <c r="AS31" i="48"/>
  <c r="AT31" i="48"/>
  <c r="AU31" i="48"/>
  <c r="AV31" i="48"/>
  <c r="AW31" i="48"/>
  <c r="A32" i="48"/>
  <c r="B32" i="48"/>
  <c r="C32" i="48"/>
  <c r="D32" i="48"/>
  <c r="E32" i="48"/>
  <c r="F32" i="48"/>
  <c r="G32" i="48"/>
  <c r="H32" i="48"/>
  <c r="I32" i="48"/>
  <c r="J32" i="48"/>
  <c r="K32" i="48"/>
  <c r="L32" i="48"/>
  <c r="M32" i="48"/>
  <c r="N32" i="48"/>
  <c r="P32" i="48"/>
  <c r="Q32" i="48"/>
  <c r="R32" i="48"/>
  <c r="T32" i="48"/>
  <c r="U32" i="48"/>
  <c r="V32" i="48"/>
  <c r="X32" i="48"/>
  <c r="Y32" i="48"/>
  <c r="Z32" i="48"/>
  <c r="AB32" i="48"/>
  <c r="AC32" i="48"/>
  <c r="AD32" i="48"/>
  <c r="AF32" i="48"/>
  <c r="AG32" i="48"/>
  <c r="AH32" i="48"/>
  <c r="AJ32" i="48"/>
  <c r="AK32" i="48"/>
  <c r="AL32" i="48"/>
  <c r="AN32" i="48"/>
  <c r="AO32" i="48"/>
  <c r="AP32" i="48"/>
  <c r="AR32" i="48"/>
  <c r="AS32" i="48"/>
  <c r="AT32" i="48"/>
  <c r="AU32" i="48"/>
  <c r="AV32" i="48"/>
  <c r="AW32" i="48"/>
  <c r="A33" i="48"/>
  <c r="B33" i="48"/>
  <c r="C33" i="48"/>
  <c r="D33" i="48"/>
  <c r="E33" i="48"/>
  <c r="F33" i="48"/>
  <c r="G33" i="48"/>
  <c r="H33" i="48"/>
  <c r="I33" i="48"/>
  <c r="J33" i="48"/>
  <c r="K33" i="48"/>
  <c r="L33" i="48"/>
  <c r="M33" i="48"/>
  <c r="N33" i="48"/>
  <c r="P33" i="48"/>
  <c r="Q33" i="48"/>
  <c r="R33" i="48"/>
  <c r="T33" i="48"/>
  <c r="U33" i="48"/>
  <c r="V33" i="48"/>
  <c r="X33" i="48"/>
  <c r="Y33" i="48"/>
  <c r="Z33" i="48"/>
  <c r="AB33" i="48"/>
  <c r="AC33" i="48"/>
  <c r="AD33" i="48"/>
  <c r="AF33" i="48"/>
  <c r="AG33" i="48"/>
  <c r="AH33" i="48"/>
  <c r="AJ33" i="48"/>
  <c r="AK33" i="48"/>
  <c r="AL33" i="48"/>
  <c r="AN33" i="48"/>
  <c r="AO33" i="48"/>
  <c r="AP33" i="48"/>
  <c r="AR33" i="48"/>
  <c r="AS33" i="48"/>
  <c r="AT33" i="48"/>
  <c r="AU33" i="48"/>
  <c r="AV33" i="48"/>
  <c r="AW33" i="48"/>
  <c r="A34" i="48"/>
  <c r="B34" i="48"/>
  <c r="C34" i="48"/>
  <c r="D34" i="48"/>
  <c r="E34" i="48"/>
  <c r="F34" i="48"/>
  <c r="G34" i="48"/>
  <c r="H34" i="48"/>
  <c r="I34" i="48"/>
  <c r="J34" i="48"/>
  <c r="K34" i="48"/>
  <c r="L34" i="48"/>
  <c r="M34" i="48"/>
  <c r="N34" i="48"/>
  <c r="P34" i="48"/>
  <c r="Q34" i="48"/>
  <c r="R34" i="48"/>
  <c r="T34" i="48"/>
  <c r="U34" i="48"/>
  <c r="V34" i="48"/>
  <c r="X34" i="48"/>
  <c r="Y34" i="48"/>
  <c r="Z34" i="48"/>
  <c r="AB34" i="48"/>
  <c r="AC34" i="48"/>
  <c r="AD34" i="48"/>
  <c r="AF34" i="48"/>
  <c r="AG34" i="48"/>
  <c r="AH34" i="48"/>
  <c r="AJ34" i="48"/>
  <c r="AK34" i="48"/>
  <c r="AL34" i="48"/>
  <c r="AN34" i="48"/>
  <c r="AO34" i="48"/>
  <c r="AP34" i="48"/>
  <c r="AR34" i="48"/>
  <c r="AS34" i="48"/>
  <c r="AT34" i="48"/>
  <c r="AU34" i="48"/>
  <c r="AV34" i="48"/>
  <c r="AW34" i="48"/>
  <c r="A35" i="48"/>
  <c r="B35" i="48"/>
  <c r="C35" i="48"/>
  <c r="D35" i="48"/>
  <c r="E35" i="48"/>
  <c r="F35" i="48"/>
  <c r="G35" i="48"/>
  <c r="H35" i="48"/>
  <c r="I35" i="48"/>
  <c r="J35" i="48"/>
  <c r="K35" i="48"/>
  <c r="L35" i="48"/>
  <c r="M35" i="48"/>
  <c r="N35" i="48"/>
  <c r="P35" i="48"/>
  <c r="Q35" i="48"/>
  <c r="R35" i="48"/>
  <c r="T35" i="48"/>
  <c r="U35" i="48"/>
  <c r="V35" i="48"/>
  <c r="X35" i="48"/>
  <c r="Y35" i="48"/>
  <c r="Z35" i="48"/>
  <c r="AB35" i="48"/>
  <c r="AC35" i="48"/>
  <c r="AD35" i="48"/>
  <c r="AF35" i="48"/>
  <c r="AG35" i="48"/>
  <c r="AH35" i="48"/>
  <c r="AJ35" i="48"/>
  <c r="AK35" i="48"/>
  <c r="AL35" i="48"/>
  <c r="AN35" i="48"/>
  <c r="AO35" i="48"/>
  <c r="AP35" i="48"/>
  <c r="AR35" i="48"/>
  <c r="AS35" i="48"/>
  <c r="AT35" i="48"/>
  <c r="AU35" i="48"/>
  <c r="AV35" i="48"/>
  <c r="AW35" i="48"/>
  <c r="A36" i="48"/>
  <c r="B36" i="48"/>
  <c r="C36" i="48"/>
  <c r="D36" i="48"/>
  <c r="E36" i="48"/>
  <c r="F36" i="48"/>
  <c r="G36" i="48"/>
  <c r="H36" i="48"/>
  <c r="I36" i="48"/>
  <c r="J36" i="48"/>
  <c r="K36" i="48"/>
  <c r="L36" i="48"/>
  <c r="M36" i="48"/>
  <c r="N36" i="48"/>
  <c r="P36" i="48"/>
  <c r="Q36" i="48"/>
  <c r="R36" i="48"/>
  <c r="T36" i="48"/>
  <c r="U36" i="48"/>
  <c r="V36" i="48"/>
  <c r="X36" i="48"/>
  <c r="Y36" i="48"/>
  <c r="Z36" i="48"/>
  <c r="AB36" i="48"/>
  <c r="AC36" i="48"/>
  <c r="AD36" i="48"/>
  <c r="AF36" i="48"/>
  <c r="AG36" i="48"/>
  <c r="AH36" i="48"/>
  <c r="AJ36" i="48"/>
  <c r="AK36" i="48"/>
  <c r="AL36" i="48"/>
  <c r="AN36" i="48"/>
  <c r="AO36" i="48"/>
  <c r="AP36" i="48"/>
  <c r="AR36" i="48"/>
  <c r="AS36" i="48"/>
  <c r="AT36" i="48"/>
  <c r="AU36" i="48"/>
  <c r="AV36" i="48"/>
  <c r="AW36" i="48"/>
  <c r="A37" i="48"/>
  <c r="B37" i="48"/>
  <c r="C37" i="48"/>
  <c r="D37" i="48"/>
  <c r="E37" i="48"/>
  <c r="F37" i="48"/>
  <c r="G37" i="48"/>
  <c r="H37" i="48"/>
  <c r="I37" i="48"/>
  <c r="J37" i="48"/>
  <c r="K37" i="48"/>
  <c r="L37" i="48"/>
  <c r="M37" i="48"/>
  <c r="N37" i="48"/>
  <c r="P37" i="48"/>
  <c r="Q37" i="48"/>
  <c r="R37" i="48"/>
  <c r="T37" i="48"/>
  <c r="U37" i="48"/>
  <c r="V37" i="48"/>
  <c r="X37" i="48"/>
  <c r="Y37" i="48"/>
  <c r="Z37" i="48"/>
  <c r="AB37" i="48"/>
  <c r="AC37" i="48"/>
  <c r="AD37" i="48"/>
  <c r="AF37" i="48"/>
  <c r="AG37" i="48"/>
  <c r="AH37" i="48"/>
  <c r="AJ37" i="48"/>
  <c r="AK37" i="48"/>
  <c r="AL37" i="48"/>
  <c r="AN37" i="48"/>
  <c r="AO37" i="48"/>
  <c r="AP37" i="48"/>
  <c r="AR37" i="48"/>
  <c r="AS37" i="48"/>
  <c r="AT37" i="48"/>
  <c r="AU37" i="48"/>
  <c r="AV37" i="48"/>
  <c r="AW37" i="48"/>
  <c r="A38" i="48"/>
  <c r="B38" i="48"/>
  <c r="C38" i="48"/>
  <c r="D38" i="48"/>
  <c r="E38" i="48"/>
  <c r="F38" i="48"/>
  <c r="G38" i="48"/>
  <c r="H38" i="48"/>
  <c r="I38" i="48"/>
  <c r="J38" i="48"/>
  <c r="K38" i="48"/>
  <c r="L38" i="48"/>
  <c r="M38" i="48"/>
  <c r="N38" i="48"/>
  <c r="P38" i="48"/>
  <c r="Q38" i="48"/>
  <c r="R38" i="48"/>
  <c r="T38" i="48"/>
  <c r="U38" i="48"/>
  <c r="V38" i="48"/>
  <c r="X38" i="48"/>
  <c r="Y38" i="48"/>
  <c r="Z38" i="48"/>
  <c r="AB38" i="48"/>
  <c r="AC38" i="48"/>
  <c r="AD38" i="48"/>
  <c r="AF38" i="48"/>
  <c r="AG38" i="48"/>
  <c r="AH38" i="48"/>
  <c r="AJ38" i="48"/>
  <c r="AK38" i="48"/>
  <c r="AL38" i="48"/>
  <c r="AN38" i="48"/>
  <c r="AO38" i="48"/>
  <c r="AP38" i="48"/>
  <c r="AR38" i="48"/>
  <c r="AS38" i="48"/>
  <c r="AT38" i="48"/>
  <c r="AU38" i="48"/>
  <c r="AV38" i="48"/>
  <c r="AW38" i="48"/>
  <c r="A39" i="48"/>
  <c r="B39" i="48"/>
  <c r="C39" i="48"/>
  <c r="D39" i="48"/>
  <c r="E39" i="48"/>
  <c r="F39" i="48"/>
  <c r="G39" i="48"/>
  <c r="H39" i="48"/>
  <c r="I39" i="48"/>
  <c r="J39" i="48"/>
  <c r="K39" i="48"/>
  <c r="L39" i="48"/>
  <c r="M39" i="48"/>
  <c r="N39" i="48"/>
  <c r="P39" i="48"/>
  <c r="Q39" i="48"/>
  <c r="R39" i="48"/>
  <c r="T39" i="48"/>
  <c r="U39" i="48"/>
  <c r="V39" i="48"/>
  <c r="X39" i="48"/>
  <c r="Y39" i="48"/>
  <c r="Z39" i="48"/>
  <c r="AB39" i="48"/>
  <c r="AC39" i="48"/>
  <c r="AD39" i="48"/>
  <c r="AF39" i="48"/>
  <c r="AG39" i="48"/>
  <c r="AH39" i="48"/>
  <c r="AJ39" i="48"/>
  <c r="AK39" i="48"/>
  <c r="AL39" i="48"/>
  <c r="AN39" i="48"/>
  <c r="AO39" i="48"/>
  <c r="AP39" i="48"/>
  <c r="AR39" i="48"/>
  <c r="AS39" i="48"/>
  <c r="AT39" i="48"/>
  <c r="AU39" i="48"/>
  <c r="AV39" i="48"/>
  <c r="AW39" i="48"/>
  <c r="A40" i="48"/>
  <c r="B40" i="48"/>
  <c r="C40" i="48"/>
  <c r="D40" i="48"/>
  <c r="E40" i="48"/>
  <c r="F40" i="48"/>
  <c r="G40" i="48"/>
  <c r="H40" i="48"/>
  <c r="I40" i="48"/>
  <c r="J40" i="48"/>
  <c r="K40" i="48"/>
  <c r="L40" i="48"/>
  <c r="M40" i="48"/>
  <c r="N40" i="48"/>
  <c r="P40" i="48"/>
  <c r="Q40" i="48"/>
  <c r="R40" i="48"/>
  <c r="T40" i="48"/>
  <c r="U40" i="48"/>
  <c r="V40" i="48"/>
  <c r="X40" i="48"/>
  <c r="Y40" i="48"/>
  <c r="Z40" i="48"/>
  <c r="AB40" i="48"/>
  <c r="AC40" i="48"/>
  <c r="AD40" i="48"/>
  <c r="AF40" i="48"/>
  <c r="AG40" i="48"/>
  <c r="AH40" i="48"/>
  <c r="AJ40" i="48"/>
  <c r="AK40" i="48"/>
  <c r="AL40" i="48"/>
  <c r="AN40" i="48"/>
  <c r="AO40" i="48"/>
  <c r="AP40" i="48"/>
  <c r="AR40" i="48"/>
  <c r="AS40" i="48"/>
  <c r="AT40" i="48"/>
  <c r="AU40" i="48"/>
  <c r="AV40" i="48"/>
  <c r="AW40" i="48"/>
  <c r="A41" i="48"/>
  <c r="B41" i="48"/>
  <c r="C41" i="48"/>
  <c r="D41" i="48"/>
  <c r="E41" i="48"/>
  <c r="F41" i="48"/>
  <c r="G41" i="48"/>
  <c r="H41" i="48"/>
  <c r="I41" i="48"/>
  <c r="J41" i="48"/>
  <c r="K41" i="48"/>
  <c r="L41" i="48"/>
  <c r="M41" i="48"/>
  <c r="N41" i="48"/>
  <c r="P41" i="48"/>
  <c r="Q41" i="48"/>
  <c r="R41" i="48"/>
  <c r="T41" i="48"/>
  <c r="U41" i="48"/>
  <c r="V41" i="48"/>
  <c r="X41" i="48"/>
  <c r="Y41" i="48"/>
  <c r="Z41" i="48"/>
  <c r="AB41" i="48"/>
  <c r="AC41" i="48"/>
  <c r="AD41" i="48"/>
  <c r="AF41" i="48"/>
  <c r="AG41" i="48"/>
  <c r="AH41" i="48"/>
  <c r="AJ41" i="48"/>
  <c r="AK41" i="48"/>
  <c r="AL41" i="48"/>
  <c r="AN41" i="48"/>
  <c r="AO41" i="48"/>
  <c r="AP41" i="48"/>
  <c r="AR41" i="48"/>
  <c r="AS41" i="48"/>
  <c r="AT41" i="48"/>
  <c r="AU41" i="48"/>
  <c r="AV41" i="48"/>
  <c r="AW41" i="48"/>
  <c r="A42" i="48"/>
  <c r="B42" i="48"/>
  <c r="C42" i="48"/>
  <c r="D42" i="48"/>
  <c r="E42" i="48"/>
  <c r="F42" i="48"/>
  <c r="G42" i="48"/>
  <c r="H42" i="48"/>
  <c r="I42" i="48"/>
  <c r="J42" i="48"/>
  <c r="K42" i="48"/>
  <c r="L42" i="48"/>
  <c r="M42" i="48"/>
  <c r="N42" i="48"/>
  <c r="P42" i="48"/>
  <c r="Q42" i="48"/>
  <c r="R42" i="48"/>
  <c r="T42" i="48"/>
  <c r="U42" i="48"/>
  <c r="V42" i="48"/>
  <c r="X42" i="48"/>
  <c r="Y42" i="48"/>
  <c r="Z42" i="48"/>
  <c r="AB42" i="48"/>
  <c r="AC42" i="48"/>
  <c r="AD42" i="48"/>
  <c r="AF42" i="48"/>
  <c r="AG42" i="48"/>
  <c r="AH42" i="48"/>
  <c r="AJ42" i="48"/>
  <c r="AK42" i="48"/>
  <c r="AL42" i="48"/>
  <c r="AN42" i="48"/>
  <c r="AO42" i="48"/>
  <c r="AP42" i="48"/>
  <c r="AR42" i="48"/>
  <c r="AS42" i="48"/>
  <c r="AT42" i="48"/>
  <c r="AU42" i="48"/>
  <c r="AV42" i="48"/>
  <c r="AW42" i="48"/>
  <c r="A43" i="48"/>
  <c r="B43" i="48"/>
  <c r="C43" i="48"/>
  <c r="D43" i="48"/>
  <c r="E43" i="48"/>
  <c r="F43" i="48"/>
  <c r="G43" i="48"/>
  <c r="H43" i="48"/>
  <c r="I43" i="48"/>
  <c r="J43" i="48"/>
  <c r="K43" i="48"/>
  <c r="L43" i="48"/>
  <c r="M43" i="48"/>
  <c r="N43" i="48"/>
  <c r="P43" i="48"/>
  <c r="Q43" i="48"/>
  <c r="R43" i="48"/>
  <c r="T43" i="48"/>
  <c r="U43" i="48"/>
  <c r="V43" i="48"/>
  <c r="X43" i="48"/>
  <c r="Y43" i="48"/>
  <c r="Z43" i="48"/>
  <c r="AB43" i="48"/>
  <c r="AC43" i="48"/>
  <c r="AD43" i="48"/>
  <c r="AF43" i="48"/>
  <c r="AG43" i="48"/>
  <c r="AH43" i="48"/>
  <c r="AJ43" i="48"/>
  <c r="AK43" i="48"/>
  <c r="AL43" i="48"/>
  <c r="AN43" i="48"/>
  <c r="AO43" i="48"/>
  <c r="AP43" i="48"/>
  <c r="AR43" i="48"/>
  <c r="AS43" i="48"/>
  <c r="AT43" i="48"/>
  <c r="AU43" i="48"/>
  <c r="AV43" i="48"/>
  <c r="AW43" i="48"/>
  <c r="A44" i="48"/>
  <c r="B44" i="48"/>
  <c r="C44" i="48"/>
  <c r="D44" i="48"/>
  <c r="E44" i="48"/>
  <c r="F44" i="48"/>
  <c r="G44" i="48"/>
  <c r="H44" i="48"/>
  <c r="I44" i="48"/>
  <c r="J44" i="48"/>
  <c r="K44" i="48"/>
  <c r="L44" i="48"/>
  <c r="M44" i="48"/>
  <c r="N44" i="48"/>
  <c r="P44" i="48"/>
  <c r="Q44" i="48"/>
  <c r="R44" i="48"/>
  <c r="T44" i="48"/>
  <c r="U44" i="48"/>
  <c r="V44" i="48"/>
  <c r="X44" i="48"/>
  <c r="Y44" i="48"/>
  <c r="Z44" i="48"/>
  <c r="AB44" i="48"/>
  <c r="AC44" i="48"/>
  <c r="AD44" i="48"/>
  <c r="AF44" i="48"/>
  <c r="AG44" i="48"/>
  <c r="AH44" i="48"/>
  <c r="AJ44" i="48"/>
  <c r="AK44" i="48"/>
  <c r="AL44" i="48"/>
  <c r="AN44" i="48"/>
  <c r="AO44" i="48"/>
  <c r="AP44" i="48"/>
  <c r="AR44" i="48"/>
  <c r="AS44" i="48"/>
  <c r="AT44" i="48"/>
  <c r="AU44" i="48"/>
  <c r="AV44" i="48"/>
  <c r="AW44" i="48"/>
  <c r="A45" i="48"/>
  <c r="B45" i="48"/>
  <c r="C45" i="48"/>
  <c r="D45" i="48"/>
  <c r="E45" i="48"/>
  <c r="F45" i="48"/>
  <c r="G45" i="48"/>
  <c r="H45" i="48"/>
  <c r="I45" i="48"/>
  <c r="J45" i="48"/>
  <c r="K45" i="48"/>
  <c r="L45" i="48"/>
  <c r="M45" i="48"/>
  <c r="N45" i="48"/>
  <c r="P45" i="48"/>
  <c r="Q45" i="48"/>
  <c r="R45" i="48"/>
  <c r="T45" i="48"/>
  <c r="U45" i="48"/>
  <c r="V45" i="48"/>
  <c r="X45" i="48"/>
  <c r="Y45" i="48"/>
  <c r="Z45" i="48"/>
  <c r="AB45" i="48"/>
  <c r="AC45" i="48"/>
  <c r="AD45" i="48"/>
  <c r="AF45" i="48"/>
  <c r="AG45" i="48"/>
  <c r="AH45" i="48"/>
  <c r="AJ45" i="48"/>
  <c r="AK45" i="48"/>
  <c r="AL45" i="48"/>
  <c r="AN45" i="48"/>
  <c r="AO45" i="48"/>
  <c r="AP45" i="48"/>
  <c r="AR45" i="48"/>
  <c r="AS45" i="48"/>
  <c r="AT45" i="48"/>
  <c r="AU45" i="48"/>
  <c r="AV45" i="48"/>
  <c r="AW45" i="48"/>
  <c r="A46" i="48"/>
  <c r="B46" i="48"/>
  <c r="C46" i="48"/>
  <c r="D46" i="48"/>
  <c r="E46" i="48"/>
  <c r="F46" i="48"/>
  <c r="G46" i="48"/>
  <c r="H46" i="48"/>
  <c r="I46" i="48"/>
  <c r="J46" i="48"/>
  <c r="K46" i="48"/>
  <c r="L46" i="48"/>
  <c r="M46" i="48"/>
  <c r="N46" i="48"/>
  <c r="P46" i="48"/>
  <c r="Q46" i="48"/>
  <c r="R46" i="48"/>
  <c r="T46" i="48"/>
  <c r="U46" i="48"/>
  <c r="V46" i="48"/>
  <c r="X46" i="48"/>
  <c r="Y46" i="48"/>
  <c r="Z46" i="48"/>
  <c r="AB46" i="48"/>
  <c r="AC46" i="48"/>
  <c r="AD46" i="48"/>
  <c r="AF46" i="48"/>
  <c r="AG46" i="48"/>
  <c r="AH46" i="48"/>
  <c r="AJ46" i="48"/>
  <c r="AK46" i="48"/>
  <c r="AL46" i="48"/>
  <c r="AN46" i="48"/>
  <c r="AO46" i="48"/>
  <c r="AP46" i="48"/>
  <c r="AR46" i="48"/>
  <c r="AS46" i="48"/>
  <c r="AT46" i="48"/>
  <c r="AU46" i="48"/>
  <c r="AV46" i="48"/>
  <c r="AW46" i="48"/>
  <c r="A47" i="48"/>
  <c r="B47" i="48"/>
  <c r="C47" i="48"/>
  <c r="D47" i="48"/>
  <c r="E47" i="48"/>
  <c r="F47" i="48"/>
  <c r="G47" i="48"/>
  <c r="H47" i="48"/>
  <c r="I47" i="48"/>
  <c r="J47" i="48"/>
  <c r="K47" i="48"/>
  <c r="L47" i="48"/>
  <c r="M47" i="48"/>
  <c r="N47" i="48"/>
  <c r="P47" i="48"/>
  <c r="Q47" i="48"/>
  <c r="R47" i="48"/>
  <c r="T47" i="48"/>
  <c r="U47" i="48"/>
  <c r="V47" i="48"/>
  <c r="X47" i="48"/>
  <c r="Y47" i="48"/>
  <c r="Z47" i="48"/>
  <c r="AB47" i="48"/>
  <c r="AC47" i="48"/>
  <c r="AD47" i="48"/>
  <c r="AF47" i="48"/>
  <c r="AG47" i="48"/>
  <c r="AH47" i="48"/>
  <c r="AJ47" i="48"/>
  <c r="AK47" i="48"/>
  <c r="AL47" i="48"/>
  <c r="AN47" i="48"/>
  <c r="AO47" i="48"/>
  <c r="AP47" i="48"/>
  <c r="AR47" i="48"/>
  <c r="AS47" i="48"/>
  <c r="AT47" i="48"/>
  <c r="AU47" i="48"/>
  <c r="AV47" i="48"/>
  <c r="AW47" i="48"/>
  <c r="A48" i="48"/>
  <c r="B48" i="48"/>
  <c r="C48" i="48"/>
  <c r="D48" i="48"/>
  <c r="E48" i="48"/>
  <c r="F48" i="48"/>
  <c r="G48" i="48"/>
  <c r="H48" i="48"/>
  <c r="I48" i="48"/>
  <c r="J48" i="48"/>
  <c r="K48" i="48"/>
  <c r="L48" i="48"/>
  <c r="M48" i="48"/>
  <c r="N48" i="48"/>
  <c r="P48" i="48"/>
  <c r="Q48" i="48"/>
  <c r="R48" i="48"/>
  <c r="T48" i="48"/>
  <c r="U48" i="48"/>
  <c r="V48" i="48"/>
  <c r="X48" i="48"/>
  <c r="Y48" i="48"/>
  <c r="Z48" i="48"/>
  <c r="AB48" i="48"/>
  <c r="AC48" i="48"/>
  <c r="AD48" i="48"/>
  <c r="AF48" i="48"/>
  <c r="AG48" i="48"/>
  <c r="AH48" i="48"/>
  <c r="AJ48" i="48"/>
  <c r="AK48" i="48"/>
  <c r="AL48" i="48"/>
  <c r="AN48" i="48"/>
  <c r="AO48" i="48"/>
  <c r="AP48" i="48"/>
  <c r="AR48" i="48"/>
  <c r="AS48" i="48"/>
  <c r="AT48" i="48"/>
  <c r="AU48" i="48"/>
  <c r="AV48" i="48"/>
  <c r="AW48" i="48"/>
  <c r="A49" i="48"/>
  <c r="B49" i="48"/>
  <c r="C49" i="48"/>
  <c r="D49" i="48"/>
  <c r="E49" i="48"/>
  <c r="F49" i="48"/>
  <c r="G49" i="48"/>
  <c r="H49" i="48"/>
  <c r="I49" i="48"/>
  <c r="J49" i="48"/>
  <c r="K49" i="48"/>
  <c r="L49" i="48"/>
  <c r="M49" i="48"/>
  <c r="N49" i="48"/>
  <c r="P49" i="48"/>
  <c r="Q49" i="48"/>
  <c r="R49" i="48"/>
  <c r="T49" i="48"/>
  <c r="U49" i="48"/>
  <c r="V49" i="48"/>
  <c r="X49" i="48"/>
  <c r="Y49" i="48"/>
  <c r="Z49" i="48"/>
  <c r="AB49" i="48"/>
  <c r="AC49" i="48"/>
  <c r="AD49" i="48"/>
  <c r="AF49" i="48"/>
  <c r="AG49" i="48"/>
  <c r="AH49" i="48"/>
  <c r="AJ49" i="48"/>
  <c r="AK49" i="48"/>
  <c r="AL49" i="48"/>
  <c r="AN49" i="48"/>
  <c r="AO49" i="48"/>
  <c r="AP49" i="48"/>
  <c r="AR49" i="48"/>
  <c r="AS49" i="48"/>
  <c r="AT49" i="48"/>
  <c r="AU49" i="48"/>
  <c r="AV49" i="48"/>
  <c r="AW49" i="48"/>
  <c r="A50" i="48"/>
  <c r="B50" i="48"/>
  <c r="C50" i="48"/>
  <c r="D50" i="48"/>
  <c r="E50" i="48"/>
  <c r="F50" i="48"/>
  <c r="G50" i="48"/>
  <c r="H50" i="48"/>
  <c r="I50" i="48"/>
  <c r="J50" i="48"/>
  <c r="K50" i="48"/>
  <c r="L50" i="48"/>
  <c r="M50" i="48"/>
  <c r="N50" i="48"/>
  <c r="P50" i="48"/>
  <c r="Q50" i="48"/>
  <c r="R50" i="48"/>
  <c r="T50" i="48"/>
  <c r="U50" i="48"/>
  <c r="V50" i="48"/>
  <c r="X50" i="48"/>
  <c r="Y50" i="48"/>
  <c r="Z50" i="48"/>
  <c r="AB50" i="48"/>
  <c r="AC50" i="48"/>
  <c r="AD50" i="48"/>
  <c r="AF50" i="48"/>
  <c r="AG50" i="48"/>
  <c r="AH50" i="48"/>
  <c r="AJ50" i="48"/>
  <c r="AK50" i="48"/>
  <c r="AL50" i="48"/>
  <c r="AN50" i="48"/>
  <c r="AO50" i="48"/>
  <c r="AP50" i="48"/>
  <c r="AR50" i="48"/>
  <c r="AS50" i="48"/>
  <c r="AT50" i="48"/>
  <c r="AU50" i="48"/>
  <c r="AV50" i="48"/>
  <c r="AW50" i="48"/>
  <c r="A51" i="48"/>
  <c r="B51" i="48"/>
  <c r="C51" i="48"/>
  <c r="D51" i="48"/>
  <c r="E51" i="48"/>
  <c r="F51" i="48"/>
  <c r="G51" i="48"/>
  <c r="H51" i="48"/>
  <c r="I51" i="48"/>
  <c r="J51" i="48"/>
  <c r="K51" i="48"/>
  <c r="L51" i="48"/>
  <c r="M51" i="48"/>
  <c r="N51" i="48"/>
  <c r="P51" i="48"/>
  <c r="Q51" i="48"/>
  <c r="R51" i="48"/>
  <c r="T51" i="48"/>
  <c r="U51" i="48"/>
  <c r="V51" i="48"/>
  <c r="X51" i="48"/>
  <c r="Y51" i="48"/>
  <c r="Z51" i="48"/>
  <c r="AB51" i="48"/>
  <c r="AC51" i="48"/>
  <c r="AD51" i="48"/>
  <c r="AF51" i="48"/>
  <c r="AG51" i="48"/>
  <c r="AH51" i="48"/>
  <c r="AJ51" i="48"/>
  <c r="AK51" i="48"/>
  <c r="AL51" i="48"/>
  <c r="AN51" i="48"/>
  <c r="AO51" i="48"/>
  <c r="AP51" i="48"/>
  <c r="AR51" i="48"/>
  <c r="AS51" i="48"/>
  <c r="AT51" i="48"/>
  <c r="AU51" i="48"/>
  <c r="AV51" i="48"/>
  <c r="AW51" i="48"/>
  <c r="A52" i="48"/>
  <c r="B52" i="48"/>
  <c r="C52" i="48"/>
  <c r="D52" i="48"/>
  <c r="E52" i="48"/>
  <c r="F52" i="48"/>
  <c r="G52" i="48"/>
  <c r="H52" i="48"/>
  <c r="I52" i="48"/>
  <c r="J52" i="48"/>
  <c r="K52" i="48"/>
  <c r="L52" i="48"/>
  <c r="M52" i="48"/>
  <c r="N52" i="48"/>
  <c r="P52" i="48"/>
  <c r="Q52" i="48"/>
  <c r="R52" i="48"/>
  <c r="T52" i="48"/>
  <c r="U52" i="48"/>
  <c r="V52" i="48"/>
  <c r="X52" i="48"/>
  <c r="Y52" i="48"/>
  <c r="Z52" i="48"/>
  <c r="AB52" i="48"/>
  <c r="AC52" i="48"/>
  <c r="AD52" i="48"/>
  <c r="AF52" i="48"/>
  <c r="AG52" i="48"/>
  <c r="AH52" i="48"/>
  <c r="AJ52" i="48"/>
  <c r="AK52" i="48"/>
  <c r="AL52" i="48"/>
  <c r="AN52" i="48"/>
  <c r="AO52" i="48"/>
  <c r="AP52" i="48"/>
  <c r="AR52" i="48"/>
  <c r="AS52" i="48"/>
  <c r="AT52" i="48"/>
  <c r="AU52" i="48"/>
  <c r="AV52" i="48"/>
  <c r="AW52" i="48"/>
  <c r="A53" i="48"/>
  <c r="B53" i="48"/>
  <c r="C53" i="48"/>
  <c r="D53" i="48"/>
  <c r="E53" i="48"/>
  <c r="F53" i="48"/>
  <c r="G53" i="48"/>
  <c r="H53" i="48"/>
  <c r="I53" i="48"/>
  <c r="J53" i="48"/>
  <c r="K53" i="48"/>
  <c r="L53" i="48"/>
  <c r="M53" i="48"/>
  <c r="N53" i="48"/>
  <c r="P53" i="48"/>
  <c r="Q53" i="48"/>
  <c r="R53" i="48"/>
  <c r="T53" i="48"/>
  <c r="U53" i="48"/>
  <c r="V53" i="48"/>
  <c r="X53" i="48"/>
  <c r="Y53" i="48"/>
  <c r="Z53" i="48"/>
  <c r="AB53" i="48"/>
  <c r="AC53" i="48"/>
  <c r="AD53" i="48"/>
  <c r="AF53" i="48"/>
  <c r="AG53" i="48"/>
  <c r="AH53" i="48"/>
  <c r="AJ53" i="48"/>
  <c r="AK53" i="48"/>
  <c r="AL53" i="48"/>
  <c r="AN53" i="48"/>
  <c r="AO53" i="48"/>
  <c r="AP53" i="48"/>
  <c r="AR53" i="48"/>
  <c r="AS53" i="48"/>
  <c r="AT53" i="48"/>
  <c r="AU53" i="48"/>
  <c r="AV53" i="48"/>
  <c r="AW53" i="48"/>
  <c r="A54" i="48"/>
  <c r="B54" i="48"/>
  <c r="C54" i="48"/>
  <c r="D54" i="48"/>
  <c r="E54" i="48"/>
  <c r="F54" i="48"/>
  <c r="G54" i="48"/>
  <c r="H54" i="48"/>
  <c r="I54" i="48"/>
  <c r="J54" i="48"/>
  <c r="K54" i="48"/>
  <c r="L54" i="48"/>
  <c r="M54" i="48"/>
  <c r="N54" i="48"/>
  <c r="P54" i="48"/>
  <c r="Q54" i="48"/>
  <c r="R54" i="48"/>
  <c r="T54" i="48"/>
  <c r="U54" i="48"/>
  <c r="V54" i="48"/>
  <c r="X54" i="48"/>
  <c r="Y54" i="48"/>
  <c r="Z54" i="48"/>
  <c r="AB54" i="48"/>
  <c r="AC54" i="48"/>
  <c r="AD54" i="48"/>
  <c r="AF54" i="48"/>
  <c r="AG54" i="48"/>
  <c r="AH54" i="48"/>
  <c r="AJ54" i="48"/>
  <c r="AK54" i="48"/>
  <c r="AL54" i="48"/>
  <c r="AN54" i="48"/>
  <c r="AO54" i="48"/>
  <c r="AP54" i="48"/>
  <c r="AR54" i="48"/>
  <c r="AS54" i="48"/>
  <c r="AT54" i="48"/>
  <c r="AU54" i="48"/>
  <c r="AV54" i="48"/>
  <c r="AW54" i="48"/>
  <c r="A55" i="48"/>
  <c r="B55" i="48"/>
  <c r="C55" i="48"/>
  <c r="D55" i="48"/>
  <c r="E55" i="48"/>
  <c r="F55" i="48"/>
  <c r="G55" i="48"/>
  <c r="H55" i="48"/>
  <c r="I55" i="48"/>
  <c r="J55" i="48"/>
  <c r="K55" i="48"/>
  <c r="L55" i="48"/>
  <c r="M55" i="48"/>
  <c r="N55" i="48"/>
  <c r="P55" i="48"/>
  <c r="Q55" i="48"/>
  <c r="R55" i="48"/>
  <c r="T55" i="48"/>
  <c r="U55" i="48"/>
  <c r="V55" i="48"/>
  <c r="X55" i="48"/>
  <c r="Y55" i="48"/>
  <c r="Z55" i="48"/>
  <c r="AB55" i="48"/>
  <c r="AC55" i="48"/>
  <c r="AD55" i="48"/>
  <c r="AF55" i="48"/>
  <c r="AG55" i="48"/>
  <c r="AH55" i="48"/>
  <c r="AJ55" i="48"/>
  <c r="AK55" i="48"/>
  <c r="AL55" i="48"/>
  <c r="AN55" i="48"/>
  <c r="AO55" i="48"/>
  <c r="AP55" i="48"/>
  <c r="AR55" i="48"/>
  <c r="AS55" i="48"/>
  <c r="AT55" i="48"/>
  <c r="AU55" i="48"/>
  <c r="AV55" i="48"/>
  <c r="AW55" i="48"/>
  <c r="A56" i="48"/>
  <c r="B56" i="48"/>
  <c r="C56" i="48"/>
  <c r="D56" i="48"/>
  <c r="E56" i="48"/>
  <c r="F56" i="48"/>
  <c r="G56" i="48"/>
  <c r="H56" i="48"/>
  <c r="I56" i="48"/>
  <c r="J56" i="48"/>
  <c r="K56" i="48"/>
  <c r="L56" i="48"/>
  <c r="M56" i="48"/>
  <c r="N56" i="48"/>
  <c r="P56" i="48"/>
  <c r="Q56" i="48"/>
  <c r="R56" i="48"/>
  <c r="T56" i="48"/>
  <c r="U56" i="48"/>
  <c r="V56" i="48"/>
  <c r="X56" i="48"/>
  <c r="Y56" i="48"/>
  <c r="Z56" i="48"/>
  <c r="AB56" i="48"/>
  <c r="AC56" i="48"/>
  <c r="AD56" i="48"/>
  <c r="AF56" i="48"/>
  <c r="AG56" i="48"/>
  <c r="AH56" i="48"/>
  <c r="AJ56" i="48"/>
  <c r="AK56" i="48"/>
  <c r="AL56" i="48"/>
  <c r="AN56" i="48"/>
  <c r="AO56" i="48"/>
  <c r="AP56" i="48"/>
  <c r="AR56" i="48"/>
  <c r="AS56" i="48"/>
  <c r="AT56" i="48"/>
  <c r="AU56" i="48"/>
  <c r="AV56" i="48"/>
  <c r="AW56" i="48"/>
  <c r="A57" i="48"/>
  <c r="B57" i="48"/>
  <c r="C57" i="48"/>
  <c r="D57" i="48"/>
  <c r="E57" i="48"/>
  <c r="F57" i="48"/>
  <c r="G57" i="48"/>
  <c r="H57" i="48"/>
  <c r="I57" i="48"/>
  <c r="J57" i="48"/>
  <c r="K57" i="48"/>
  <c r="L57" i="48"/>
  <c r="M57" i="48"/>
  <c r="N57" i="48"/>
  <c r="P57" i="48"/>
  <c r="Q57" i="48"/>
  <c r="R57" i="48"/>
  <c r="T57" i="48"/>
  <c r="U57" i="48"/>
  <c r="V57" i="48"/>
  <c r="X57" i="48"/>
  <c r="Y57" i="48"/>
  <c r="Z57" i="48"/>
  <c r="AB57" i="48"/>
  <c r="AC57" i="48"/>
  <c r="AD57" i="48"/>
  <c r="AF57" i="48"/>
  <c r="AG57" i="48"/>
  <c r="AH57" i="48"/>
  <c r="AJ57" i="48"/>
  <c r="AK57" i="48"/>
  <c r="AL57" i="48"/>
  <c r="AN57" i="48"/>
  <c r="AO57" i="48"/>
  <c r="AP57" i="48"/>
  <c r="AR57" i="48"/>
  <c r="AS57" i="48"/>
  <c r="AT57" i="48"/>
  <c r="AU57" i="48"/>
  <c r="AV57" i="48"/>
  <c r="AW57" i="48"/>
  <c r="A58" i="48"/>
  <c r="B58" i="48"/>
  <c r="C58" i="48"/>
  <c r="D58" i="48"/>
  <c r="E58" i="48"/>
  <c r="F58" i="48"/>
  <c r="G58" i="48"/>
  <c r="H58" i="48"/>
  <c r="I58" i="48"/>
  <c r="J58" i="48"/>
  <c r="K58" i="48"/>
  <c r="L58" i="48"/>
  <c r="M58" i="48"/>
  <c r="N58" i="48"/>
  <c r="P58" i="48"/>
  <c r="Q58" i="48"/>
  <c r="R58" i="48"/>
  <c r="T58" i="48"/>
  <c r="U58" i="48"/>
  <c r="V58" i="48"/>
  <c r="X58" i="48"/>
  <c r="Y58" i="48"/>
  <c r="Z58" i="48"/>
  <c r="AB58" i="48"/>
  <c r="AC58" i="48"/>
  <c r="AD58" i="48"/>
  <c r="AF58" i="48"/>
  <c r="AG58" i="48"/>
  <c r="AH58" i="48"/>
  <c r="AJ58" i="48"/>
  <c r="AK58" i="48"/>
  <c r="AL58" i="48"/>
  <c r="AN58" i="48"/>
  <c r="AO58" i="48"/>
  <c r="AP58" i="48"/>
  <c r="AR58" i="48"/>
  <c r="AS58" i="48"/>
  <c r="AT58" i="48"/>
  <c r="AU58" i="48"/>
  <c r="AV58" i="48"/>
  <c r="AW58" i="48"/>
  <c r="A59" i="48"/>
  <c r="B59" i="48"/>
  <c r="C59" i="48"/>
  <c r="D59" i="48"/>
  <c r="E59" i="48"/>
  <c r="F59" i="48"/>
  <c r="G59" i="48"/>
  <c r="H59" i="48"/>
  <c r="I59" i="48"/>
  <c r="J59" i="48"/>
  <c r="K59" i="48"/>
  <c r="L59" i="48"/>
  <c r="M59" i="48"/>
  <c r="N59" i="48"/>
  <c r="P59" i="48"/>
  <c r="Q59" i="48"/>
  <c r="R59" i="48"/>
  <c r="T59" i="48"/>
  <c r="U59" i="48"/>
  <c r="V59" i="48"/>
  <c r="X59" i="48"/>
  <c r="Y59" i="48"/>
  <c r="Z59" i="48"/>
  <c r="AB59" i="48"/>
  <c r="AC59" i="48"/>
  <c r="AD59" i="48"/>
  <c r="AF59" i="48"/>
  <c r="AG59" i="48"/>
  <c r="AH59" i="48"/>
  <c r="AJ59" i="48"/>
  <c r="AK59" i="48"/>
  <c r="AL59" i="48"/>
  <c r="AN59" i="48"/>
  <c r="AO59" i="48"/>
  <c r="AP59" i="48"/>
  <c r="AR59" i="48"/>
  <c r="AS59" i="48"/>
  <c r="AT59" i="48"/>
  <c r="AU59" i="48"/>
  <c r="AV59" i="48"/>
  <c r="AW59" i="48"/>
  <c r="A60" i="48"/>
  <c r="B60" i="48"/>
  <c r="C60" i="48"/>
  <c r="D60" i="48"/>
  <c r="E60" i="48"/>
  <c r="F60" i="48"/>
  <c r="G60" i="48"/>
  <c r="H60" i="48"/>
  <c r="I60" i="48"/>
  <c r="J60" i="48"/>
  <c r="K60" i="48"/>
  <c r="L60" i="48"/>
  <c r="M60" i="48"/>
  <c r="N60" i="48"/>
  <c r="P60" i="48"/>
  <c r="Q60" i="48"/>
  <c r="R60" i="48"/>
  <c r="T60" i="48"/>
  <c r="U60" i="48"/>
  <c r="V60" i="48"/>
  <c r="X60" i="48"/>
  <c r="Y60" i="48"/>
  <c r="Z60" i="48"/>
  <c r="AB60" i="48"/>
  <c r="AC60" i="48"/>
  <c r="AD60" i="48"/>
  <c r="AF60" i="48"/>
  <c r="AG60" i="48"/>
  <c r="AH60" i="48"/>
  <c r="AJ60" i="48"/>
  <c r="AK60" i="48"/>
  <c r="AL60" i="48"/>
  <c r="AN60" i="48"/>
  <c r="AO60" i="48"/>
  <c r="AP60" i="48"/>
  <c r="AR60" i="48"/>
  <c r="AS60" i="48"/>
  <c r="AT60" i="48"/>
  <c r="AU60" i="48"/>
  <c r="AV60" i="48"/>
  <c r="AW60" i="48"/>
  <c r="A61" i="48"/>
  <c r="B61" i="48"/>
  <c r="C61" i="48"/>
  <c r="D61" i="48"/>
  <c r="E61" i="48"/>
  <c r="F61" i="48"/>
  <c r="G61" i="48"/>
  <c r="H61" i="48"/>
  <c r="I61" i="48"/>
  <c r="J61" i="48"/>
  <c r="K61" i="48"/>
  <c r="L61" i="48"/>
  <c r="M61" i="48"/>
  <c r="N61" i="48"/>
  <c r="P61" i="48"/>
  <c r="Q61" i="48"/>
  <c r="R61" i="48"/>
  <c r="T61" i="48"/>
  <c r="U61" i="48"/>
  <c r="V61" i="48"/>
  <c r="X61" i="48"/>
  <c r="Y61" i="48"/>
  <c r="Z61" i="48"/>
  <c r="AB61" i="48"/>
  <c r="AC61" i="48"/>
  <c r="AD61" i="48"/>
  <c r="AF61" i="48"/>
  <c r="AG61" i="48"/>
  <c r="AH61" i="48"/>
  <c r="AJ61" i="48"/>
  <c r="AK61" i="48"/>
  <c r="AL61" i="48"/>
  <c r="AN61" i="48"/>
  <c r="AO61" i="48"/>
  <c r="AP61" i="48"/>
  <c r="AR61" i="48"/>
  <c r="AS61" i="48"/>
  <c r="AT61" i="48"/>
  <c r="AU61" i="48"/>
  <c r="AV61" i="48"/>
  <c r="AW61" i="48"/>
  <c r="A62" i="48"/>
  <c r="B62" i="48"/>
  <c r="C62" i="48"/>
  <c r="D62" i="48"/>
  <c r="E62" i="48"/>
  <c r="F62" i="48"/>
  <c r="G62" i="48"/>
  <c r="H62" i="48"/>
  <c r="I62" i="48"/>
  <c r="J62" i="48"/>
  <c r="K62" i="48"/>
  <c r="L62" i="48"/>
  <c r="M62" i="48"/>
  <c r="N62" i="48"/>
  <c r="P62" i="48"/>
  <c r="Q62" i="48"/>
  <c r="R62" i="48"/>
  <c r="T62" i="48"/>
  <c r="U62" i="48"/>
  <c r="V62" i="48"/>
  <c r="X62" i="48"/>
  <c r="Y62" i="48"/>
  <c r="Z62" i="48"/>
  <c r="AB62" i="48"/>
  <c r="AC62" i="48"/>
  <c r="AD62" i="48"/>
  <c r="AF62" i="48"/>
  <c r="AG62" i="48"/>
  <c r="AH62" i="48"/>
  <c r="AJ62" i="48"/>
  <c r="AK62" i="48"/>
  <c r="AL62" i="48"/>
  <c r="AN62" i="48"/>
  <c r="AO62" i="48"/>
  <c r="AP62" i="48"/>
  <c r="AR62" i="48"/>
  <c r="AS62" i="48"/>
  <c r="AT62" i="48"/>
  <c r="AU62" i="48"/>
  <c r="AV62" i="48"/>
  <c r="AW62" i="48"/>
  <c r="A63" i="48"/>
  <c r="B63" i="48"/>
  <c r="C63" i="48"/>
  <c r="D63" i="48"/>
  <c r="E63" i="48"/>
  <c r="F63" i="48"/>
  <c r="G63" i="48"/>
  <c r="H63" i="48"/>
  <c r="I63" i="48"/>
  <c r="J63" i="48"/>
  <c r="K63" i="48"/>
  <c r="L63" i="48"/>
  <c r="M63" i="48"/>
  <c r="N63" i="48"/>
  <c r="P63" i="48"/>
  <c r="Q63" i="48"/>
  <c r="R63" i="48"/>
  <c r="T63" i="48"/>
  <c r="U63" i="48"/>
  <c r="V63" i="48"/>
  <c r="X63" i="48"/>
  <c r="Y63" i="48"/>
  <c r="Z63" i="48"/>
  <c r="AB63" i="48"/>
  <c r="AC63" i="48"/>
  <c r="AD63" i="48"/>
  <c r="AF63" i="48"/>
  <c r="AG63" i="48"/>
  <c r="AH63" i="48"/>
  <c r="AJ63" i="48"/>
  <c r="AK63" i="48"/>
  <c r="AL63" i="48"/>
  <c r="AN63" i="48"/>
  <c r="AO63" i="48"/>
  <c r="AP63" i="48"/>
  <c r="AR63" i="48"/>
  <c r="AS63" i="48"/>
  <c r="AT63" i="48"/>
  <c r="AU63" i="48"/>
  <c r="AV63" i="48"/>
  <c r="AW63" i="48"/>
  <c r="A64" i="48"/>
  <c r="B64" i="48"/>
  <c r="C64" i="48"/>
  <c r="D64" i="48"/>
  <c r="E64" i="48"/>
  <c r="F64" i="48"/>
  <c r="G64" i="48"/>
  <c r="H64" i="48"/>
  <c r="I64" i="48"/>
  <c r="J64" i="48"/>
  <c r="K64" i="48"/>
  <c r="L64" i="48"/>
  <c r="M64" i="48"/>
  <c r="N64" i="48"/>
  <c r="P64" i="48"/>
  <c r="Q64" i="48"/>
  <c r="R64" i="48"/>
  <c r="T64" i="48"/>
  <c r="U64" i="48"/>
  <c r="V64" i="48"/>
  <c r="X64" i="48"/>
  <c r="Y64" i="48"/>
  <c r="Z64" i="48"/>
  <c r="AB64" i="48"/>
  <c r="AC64" i="48"/>
  <c r="AD64" i="48"/>
  <c r="AF64" i="48"/>
  <c r="AG64" i="48"/>
  <c r="AH64" i="48"/>
  <c r="AJ64" i="48"/>
  <c r="AK64" i="48"/>
  <c r="AL64" i="48"/>
  <c r="AN64" i="48"/>
  <c r="AO64" i="48"/>
  <c r="AP64" i="48"/>
  <c r="AR64" i="48"/>
  <c r="AS64" i="48"/>
  <c r="AT64" i="48"/>
  <c r="AU64" i="48"/>
  <c r="AV64" i="48"/>
  <c r="AW64" i="48"/>
  <c r="A65" i="48"/>
  <c r="B65" i="48"/>
  <c r="C65" i="48"/>
  <c r="D65" i="48"/>
  <c r="E65" i="48"/>
  <c r="F65" i="48"/>
  <c r="G65" i="48"/>
  <c r="H65" i="48"/>
  <c r="I65" i="48"/>
  <c r="J65" i="48"/>
  <c r="K65" i="48"/>
  <c r="L65" i="48"/>
  <c r="M65" i="48"/>
  <c r="N65" i="48"/>
  <c r="P65" i="48"/>
  <c r="Q65" i="48"/>
  <c r="R65" i="48"/>
  <c r="T65" i="48"/>
  <c r="U65" i="48"/>
  <c r="V65" i="48"/>
  <c r="X65" i="48"/>
  <c r="Y65" i="48"/>
  <c r="Z65" i="48"/>
  <c r="AB65" i="48"/>
  <c r="AC65" i="48"/>
  <c r="AD65" i="48"/>
  <c r="AF65" i="48"/>
  <c r="AG65" i="48"/>
  <c r="AH65" i="48"/>
  <c r="AJ65" i="48"/>
  <c r="AK65" i="48"/>
  <c r="AL65" i="48"/>
  <c r="AN65" i="48"/>
  <c r="AO65" i="48"/>
  <c r="AP65" i="48"/>
  <c r="AR65" i="48"/>
  <c r="AS65" i="48"/>
  <c r="AT65" i="48"/>
  <c r="AU65" i="48"/>
  <c r="AV65" i="48"/>
  <c r="AW65" i="48"/>
  <c r="A66" i="48"/>
  <c r="B66" i="48"/>
  <c r="C66" i="48"/>
  <c r="D66" i="48"/>
  <c r="E66" i="48"/>
  <c r="F66" i="48"/>
  <c r="G66" i="48"/>
  <c r="H66" i="48"/>
  <c r="I66" i="48"/>
  <c r="J66" i="48"/>
  <c r="K66" i="48"/>
  <c r="L66" i="48"/>
  <c r="M66" i="48"/>
  <c r="N66" i="48"/>
  <c r="P66" i="48"/>
  <c r="Q66" i="48"/>
  <c r="R66" i="48"/>
  <c r="T66" i="48"/>
  <c r="U66" i="48"/>
  <c r="V66" i="48"/>
  <c r="X66" i="48"/>
  <c r="Y66" i="48"/>
  <c r="Z66" i="48"/>
  <c r="AB66" i="48"/>
  <c r="AC66" i="48"/>
  <c r="AD66" i="48"/>
  <c r="AF66" i="48"/>
  <c r="AG66" i="48"/>
  <c r="AH66" i="48"/>
  <c r="AJ66" i="48"/>
  <c r="AK66" i="48"/>
  <c r="AL66" i="48"/>
  <c r="AN66" i="48"/>
  <c r="AO66" i="48"/>
  <c r="AP66" i="48"/>
  <c r="AR66" i="48"/>
  <c r="AS66" i="48"/>
  <c r="AT66" i="48"/>
  <c r="AU66" i="48"/>
  <c r="AV66" i="48"/>
  <c r="AW66" i="48"/>
  <c r="A67" i="48"/>
  <c r="B67" i="48"/>
  <c r="C67" i="48"/>
  <c r="D67" i="48"/>
  <c r="E67" i="48"/>
  <c r="F67" i="48"/>
  <c r="G67" i="48"/>
  <c r="H67" i="48"/>
  <c r="I67" i="48"/>
  <c r="J67" i="48"/>
  <c r="K67" i="48"/>
  <c r="L67" i="48"/>
  <c r="M67" i="48"/>
  <c r="N67" i="48"/>
  <c r="P67" i="48"/>
  <c r="Q67" i="48"/>
  <c r="R67" i="48"/>
  <c r="T67" i="48"/>
  <c r="U67" i="48"/>
  <c r="V67" i="48"/>
  <c r="X67" i="48"/>
  <c r="Y67" i="48"/>
  <c r="Z67" i="48"/>
  <c r="AB67" i="48"/>
  <c r="AC67" i="48"/>
  <c r="AD67" i="48"/>
  <c r="AF67" i="48"/>
  <c r="AG67" i="48"/>
  <c r="AH67" i="48"/>
  <c r="AJ67" i="48"/>
  <c r="AK67" i="48"/>
  <c r="AL67" i="48"/>
  <c r="AN67" i="48"/>
  <c r="AO67" i="48"/>
  <c r="AP67" i="48"/>
  <c r="AR67" i="48"/>
  <c r="AS67" i="48"/>
  <c r="AT67" i="48"/>
  <c r="AU67" i="48"/>
  <c r="AV67" i="48"/>
  <c r="AW67" i="48"/>
  <c r="A68" i="48"/>
  <c r="B68" i="48"/>
  <c r="C68" i="48"/>
  <c r="D68" i="48"/>
  <c r="E68" i="48"/>
  <c r="F68" i="48"/>
  <c r="G68" i="48"/>
  <c r="H68" i="48"/>
  <c r="I68" i="48"/>
  <c r="J68" i="48"/>
  <c r="K68" i="48"/>
  <c r="L68" i="48"/>
  <c r="M68" i="48"/>
  <c r="N68" i="48"/>
  <c r="P68" i="48"/>
  <c r="Q68" i="48"/>
  <c r="R68" i="48"/>
  <c r="T68" i="48"/>
  <c r="U68" i="48"/>
  <c r="V68" i="48"/>
  <c r="X68" i="48"/>
  <c r="Y68" i="48"/>
  <c r="Z68" i="48"/>
  <c r="AB68" i="48"/>
  <c r="AC68" i="48"/>
  <c r="AD68" i="48"/>
  <c r="AF68" i="48"/>
  <c r="AG68" i="48"/>
  <c r="AH68" i="48"/>
  <c r="AJ68" i="48"/>
  <c r="AK68" i="48"/>
  <c r="AL68" i="48"/>
  <c r="AN68" i="48"/>
  <c r="AO68" i="48"/>
  <c r="AP68" i="48"/>
  <c r="AR68" i="48"/>
  <c r="AS68" i="48"/>
  <c r="AT68" i="48"/>
  <c r="AU68" i="48"/>
  <c r="AV68" i="48"/>
  <c r="AW68" i="48"/>
  <c r="A69" i="48"/>
  <c r="B69" i="48"/>
  <c r="C69" i="48"/>
  <c r="D69" i="48"/>
  <c r="E69" i="48"/>
  <c r="F69" i="48"/>
  <c r="G69" i="48"/>
  <c r="H69" i="48"/>
  <c r="I69" i="48"/>
  <c r="J69" i="48"/>
  <c r="K69" i="48"/>
  <c r="L69" i="48"/>
  <c r="M69" i="48"/>
  <c r="N69" i="48"/>
  <c r="P69" i="48"/>
  <c r="Q69" i="48"/>
  <c r="R69" i="48"/>
  <c r="T69" i="48"/>
  <c r="U69" i="48"/>
  <c r="V69" i="48"/>
  <c r="X69" i="48"/>
  <c r="Y69" i="48"/>
  <c r="Z69" i="48"/>
  <c r="AB69" i="48"/>
  <c r="AC69" i="48"/>
  <c r="AD69" i="48"/>
  <c r="AF69" i="48"/>
  <c r="AG69" i="48"/>
  <c r="AH69" i="48"/>
  <c r="AJ69" i="48"/>
  <c r="AK69" i="48"/>
  <c r="AL69" i="48"/>
  <c r="AN69" i="48"/>
  <c r="AO69" i="48"/>
  <c r="AP69" i="48"/>
  <c r="AR69" i="48"/>
  <c r="AS69" i="48"/>
  <c r="AT69" i="48"/>
  <c r="AU69" i="48"/>
  <c r="AV69" i="48"/>
  <c r="AW69" i="48"/>
  <c r="A70" i="48"/>
  <c r="B70" i="48"/>
  <c r="C70" i="48"/>
  <c r="D70" i="48"/>
  <c r="E70" i="48"/>
  <c r="F70" i="48"/>
  <c r="G70" i="48"/>
  <c r="H70" i="48"/>
  <c r="I70" i="48"/>
  <c r="J70" i="48"/>
  <c r="K70" i="48"/>
  <c r="L70" i="48"/>
  <c r="M70" i="48"/>
  <c r="N70" i="48"/>
  <c r="P70" i="48"/>
  <c r="Q70" i="48"/>
  <c r="R70" i="48"/>
  <c r="T70" i="48"/>
  <c r="U70" i="48"/>
  <c r="V70" i="48"/>
  <c r="X70" i="48"/>
  <c r="Y70" i="48"/>
  <c r="Z70" i="48"/>
  <c r="AB70" i="48"/>
  <c r="AC70" i="48"/>
  <c r="AD70" i="48"/>
  <c r="AF70" i="48"/>
  <c r="AG70" i="48"/>
  <c r="AH70" i="48"/>
  <c r="AJ70" i="48"/>
  <c r="AK70" i="48"/>
  <c r="AL70" i="48"/>
  <c r="AN70" i="48"/>
  <c r="AO70" i="48"/>
  <c r="AP70" i="48"/>
  <c r="AR70" i="48"/>
  <c r="AS70" i="48"/>
  <c r="AT70" i="48"/>
  <c r="AU70" i="48"/>
  <c r="AV70" i="48"/>
  <c r="AW70" i="48"/>
  <c r="A71" i="48"/>
  <c r="B71" i="48"/>
  <c r="C71" i="48"/>
  <c r="D71" i="48"/>
  <c r="E71" i="48"/>
  <c r="F71" i="48"/>
  <c r="G71" i="48"/>
  <c r="H71" i="48"/>
  <c r="I71" i="48"/>
  <c r="J71" i="48"/>
  <c r="K71" i="48"/>
  <c r="L71" i="48"/>
  <c r="M71" i="48"/>
  <c r="N71" i="48"/>
  <c r="P71" i="48"/>
  <c r="Q71" i="48"/>
  <c r="R71" i="48"/>
  <c r="T71" i="48"/>
  <c r="U71" i="48"/>
  <c r="V71" i="48"/>
  <c r="X71" i="48"/>
  <c r="Y71" i="48"/>
  <c r="Z71" i="48"/>
  <c r="AB71" i="48"/>
  <c r="AC71" i="48"/>
  <c r="AD71" i="48"/>
  <c r="AF71" i="48"/>
  <c r="AG71" i="48"/>
  <c r="AH71" i="48"/>
  <c r="AJ71" i="48"/>
  <c r="AK71" i="48"/>
  <c r="AL71" i="48"/>
  <c r="AN71" i="48"/>
  <c r="AO71" i="48"/>
  <c r="AP71" i="48"/>
  <c r="AR71" i="48"/>
  <c r="AS71" i="48"/>
  <c r="AT71" i="48"/>
  <c r="AU71" i="48"/>
  <c r="AV71" i="48"/>
  <c r="AW71" i="48"/>
  <c r="A72" i="48"/>
  <c r="B72" i="48"/>
  <c r="C72" i="48"/>
  <c r="D72" i="48"/>
  <c r="E72" i="48"/>
  <c r="F72" i="48"/>
  <c r="G72" i="48"/>
  <c r="H72" i="48"/>
  <c r="I72" i="48"/>
  <c r="J72" i="48"/>
  <c r="K72" i="48"/>
  <c r="L72" i="48"/>
  <c r="M72" i="48"/>
  <c r="N72" i="48"/>
  <c r="P72" i="48"/>
  <c r="Q72" i="48"/>
  <c r="R72" i="48"/>
  <c r="T72" i="48"/>
  <c r="U72" i="48"/>
  <c r="V72" i="48"/>
  <c r="X72" i="48"/>
  <c r="Y72" i="48"/>
  <c r="Z72" i="48"/>
  <c r="AB72" i="48"/>
  <c r="AC72" i="48"/>
  <c r="AD72" i="48"/>
  <c r="AF72" i="48"/>
  <c r="AG72" i="48"/>
  <c r="AH72" i="48"/>
  <c r="AJ72" i="48"/>
  <c r="AK72" i="48"/>
  <c r="AL72" i="48"/>
  <c r="AN72" i="48"/>
  <c r="AO72" i="48"/>
  <c r="AP72" i="48"/>
  <c r="AR72" i="48"/>
  <c r="AS72" i="48"/>
  <c r="AT72" i="48"/>
  <c r="AU72" i="48"/>
  <c r="AV72" i="48"/>
  <c r="AW72" i="48"/>
  <c r="A73" i="48"/>
  <c r="B73" i="48"/>
  <c r="C73" i="48"/>
  <c r="D73" i="48"/>
  <c r="E73" i="48"/>
  <c r="F73" i="48"/>
  <c r="G73" i="48"/>
  <c r="H73" i="48"/>
  <c r="I73" i="48"/>
  <c r="J73" i="48"/>
  <c r="K73" i="48"/>
  <c r="L73" i="48"/>
  <c r="M73" i="48"/>
  <c r="N73" i="48"/>
  <c r="P73" i="48"/>
  <c r="Q73" i="48"/>
  <c r="R73" i="48"/>
  <c r="T73" i="48"/>
  <c r="U73" i="48"/>
  <c r="V73" i="48"/>
  <c r="X73" i="48"/>
  <c r="Y73" i="48"/>
  <c r="Z73" i="48"/>
  <c r="AB73" i="48"/>
  <c r="AC73" i="48"/>
  <c r="AD73" i="48"/>
  <c r="AF73" i="48"/>
  <c r="AG73" i="48"/>
  <c r="AH73" i="48"/>
  <c r="AJ73" i="48"/>
  <c r="AK73" i="48"/>
  <c r="AL73" i="48"/>
  <c r="AN73" i="48"/>
  <c r="AO73" i="48"/>
  <c r="AP73" i="48"/>
  <c r="AR73" i="48"/>
  <c r="AS73" i="48"/>
  <c r="AT73" i="48"/>
  <c r="AU73" i="48"/>
  <c r="AV73" i="48"/>
  <c r="AW73" i="48"/>
  <c r="A74" i="48"/>
  <c r="B74" i="48"/>
  <c r="C74" i="48"/>
  <c r="D74" i="48"/>
  <c r="E74" i="48"/>
  <c r="F74" i="48"/>
  <c r="G74" i="48"/>
  <c r="H74" i="48"/>
  <c r="I74" i="48"/>
  <c r="J74" i="48"/>
  <c r="K74" i="48"/>
  <c r="L74" i="48"/>
  <c r="M74" i="48"/>
  <c r="N74" i="48"/>
  <c r="P74" i="48"/>
  <c r="Q74" i="48"/>
  <c r="R74" i="48"/>
  <c r="T74" i="48"/>
  <c r="U74" i="48"/>
  <c r="V74" i="48"/>
  <c r="X74" i="48"/>
  <c r="Y74" i="48"/>
  <c r="Z74" i="48"/>
  <c r="AB74" i="48"/>
  <c r="AC74" i="48"/>
  <c r="AD74" i="48"/>
  <c r="AF74" i="48"/>
  <c r="AG74" i="48"/>
  <c r="AH74" i="48"/>
  <c r="AJ74" i="48"/>
  <c r="AK74" i="48"/>
  <c r="AL74" i="48"/>
  <c r="AN74" i="48"/>
  <c r="AO74" i="48"/>
  <c r="AP74" i="48"/>
  <c r="AR74" i="48"/>
  <c r="AS74" i="48"/>
  <c r="AT74" i="48"/>
  <c r="AU74" i="48"/>
  <c r="AV74" i="48"/>
  <c r="AW74" i="48"/>
  <c r="A75" i="48"/>
  <c r="B75" i="48"/>
  <c r="C75" i="48"/>
  <c r="D75" i="48"/>
  <c r="E75" i="48"/>
  <c r="F75" i="48"/>
  <c r="G75" i="48"/>
  <c r="H75" i="48"/>
  <c r="I75" i="48"/>
  <c r="J75" i="48"/>
  <c r="K75" i="48"/>
  <c r="L75" i="48"/>
  <c r="M75" i="48"/>
  <c r="N75" i="48"/>
  <c r="P75" i="48"/>
  <c r="Q75" i="48"/>
  <c r="R75" i="48"/>
  <c r="T75" i="48"/>
  <c r="U75" i="48"/>
  <c r="V75" i="48"/>
  <c r="X75" i="48"/>
  <c r="Y75" i="48"/>
  <c r="Z75" i="48"/>
  <c r="AB75" i="48"/>
  <c r="AC75" i="48"/>
  <c r="AD75" i="48"/>
  <c r="AF75" i="48"/>
  <c r="AG75" i="48"/>
  <c r="AH75" i="48"/>
  <c r="AJ75" i="48"/>
  <c r="AK75" i="48"/>
  <c r="AL75" i="48"/>
  <c r="AN75" i="48"/>
  <c r="AO75" i="48"/>
  <c r="AP75" i="48"/>
  <c r="AR75" i="48"/>
  <c r="AS75" i="48"/>
  <c r="AT75" i="48"/>
  <c r="AU75" i="48"/>
  <c r="AV75" i="48"/>
  <c r="AW75" i="48"/>
  <c r="A76" i="48"/>
  <c r="B76" i="48"/>
  <c r="C76" i="48"/>
  <c r="D76" i="48"/>
  <c r="E76" i="48"/>
  <c r="F76" i="48"/>
  <c r="G76" i="48"/>
  <c r="H76" i="48"/>
  <c r="I76" i="48"/>
  <c r="J76" i="48"/>
  <c r="K76" i="48"/>
  <c r="L76" i="48"/>
  <c r="M76" i="48"/>
  <c r="N76" i="48"/>
  <c r="P76" i="48"/>
  <c r="Q76" i="48"/>
  <c r="R76" i="48"/>
  <c r="T76" i="48"/>
  <c r="U76" i="48"/>
  <c r="V76" i="48"/>
  <c r="X76" i="48"/>
  <c r="Y76" i="48"/>
  <c r="Z76" i="48"/>
  <c r="AB76" i="48"/>
  <c r="AC76" i="48"/>
  <c r="AD76" i="48"/>
  <c r="AF76" i="48"/>
  <c r="AG76" i="48"/>
  <c r="AH76" i="48"/>
  <c r="AJ76" i="48"/>
  <c r="AK76" i="48"/>
  <c r="AL76" i="48"/>
  <c r="AN76" i="48"/>
  <c r="AO76" i="48"/>
  <c r="AP76" i="48"/>
  <c r="AR76" i="48"/>
  <c r="AS76" i="48"/>
  <c r="AT76" i="48"/>
  <c r="AU76" i="48"/>
  <c r="AV76" i="48"/>
  <c r="AW76" i="48"/>
  <c r="A77" i="48"/>
  <c r="B77" i="48"/>
  <c r="C77" i="48"/>
  <c r="D77" i="48"/>
  <c r="E77" i="48"/>
  <c r="F77" i="48"/>
  <c r="G77" i="48"/>
  <c r="H77" i="48"/>
  <c r="I77" i="48"/>
  <c r="J77" i="48"/>
  <c r="K77" i="48"/>
  <c r="L77" i="48"/>
  <c r="M77" i="48"/>
  <c r="N77" i="48"/>
  <c r="P77" i="48"/>
  <c r="Q77" i="48"/>
  <c r="R77" i="48"/>
  <c r="T77" i="48"/>
  <c r="U77" i="48"/>
  <c r="V77" i="48"/>
  <c r="X77" i="48"/>
  <c r="Y77" i="48"/>
  <c r="Z77" i="48"/>
  <c r="AB77" i="48"/>
  <c r="AC77" i="48"/>
  <c r="AD77" i="48"/>
  <c r="AF77" i="48"/>
  <c r="AG77" i="48"/>
  <c r="AH77" i="48"/>
  <c r="AJ77" i="48"/>
  <c r="AK77" i="48"/>
  <c r="AL77" i="48"/>
  <c r="AN77" i="48"/>
  <c r="AO77" i="48"/>
  <c r="AP77" i="48"/>
  <c r="AR77" i="48"/>
  <c r="AS77" i="48"/>
  <c r="AT77" i="48"/>
  <c r="AU77" i="48"/>
  <c r="AV77" i="48"/>
  <c r="AW77" i="48"/>
  <c r="A78" i="48"/>
  <c r="B78" i="48"/>
  <c r="C78" i="48"/>
  <c r="D78" i="48"/>
  <c r="E78" i="48"/>
  <c r="F78" i="48"/>
  <c r="G78" i="48"/>
  <c r="H78" i="48"/>
  <c r="I78" i="48"/>
  <c r="J78" i="48"/>
  <c r="K78" i="48"/>
  <c r="L78" i="48"/>
  <c r="M78" i="48"/>
  <c r="N78" i="48"/>
  <c r="P78" i="48"/>
  <c r="Q78" i="48"/>
  <c r="R78" i="48"/>
  <c r="T78" i="48"/>
  <c r="U78" i="48"/>
  <c r="V78" i="48"/>
  <c r="X78" i="48"/>
  <c r="Y78" i="48"/>
  <c r="Z78" i="48"/>
  <c r="AB78" i="48"/>
  <c r="AC78" i="48"/>
  <c r="AD78" i="48"/>
  <c r="AF78" i="48"/>
  <c r="AG78" i="48"/>
  <c r="AH78" i="48"/>
  <c r="AJ78" i="48"/>
  <c r="AK78" i="48"/>
  <c r="AL78" i="48"/>
  <c r="AN78" i="48"/>
  <c r="AO78" i="48"/>
  <c r="AP78" i="48"/>
  <c r="AR78" i="48"/>
  <c r="AS78" i="48"/>
  <c r="AT78" i="48"/>
  <c r="AU78" i="48"/>
  <c r="AV78" i="48"/>
  <c r="AW78" i="48"/>
  <c r="A79" i="48"/>
  <c r="B79" i="48"/>
  <c r="C79" i="48"/>
  <c r="D79" i="48"/>
  <c r="E79" i="48"/>
  <c r="F79" i="48"/>
  <c r="G79" i="48"/>
  <c r="H79" i="48"/>
  <c r="I79" i="48"/>
  <c r="J79" i="48"/>
  <c r="K79" i="48"/>
  <c r="L79" i="48"/>
  <c r="M79" i="48"/>
  <c r="N79" i="48"/>
  <c r="P79" i="48"/>
  <c r="Q79" i="48"/>
  <c r="R79" i="48"/>
  <c r="T79" i="48"/>
  <c r="U79" i="48"/>
  <c r="V79" i="48"/>
  <c r="X79" i="48"/>
  <c r="Y79" i="48"/>
  <c r="Z79" i="48"/>
  <c r="AB79" i="48"/>
  <c r="AC79" i="48"/>
  <c r="AD79" i="48"/>
  <c r="AF79" i="48"/>
  <c r="AG79" i="48"/>
  <c r="AH79" i="48"/>
  <c r="AJ79" i="48"/>
  <c r="AK79" i="48"/>
  <c r="AL79" i="48"/>
  <c r="AN79" i="48"/>
  <c r="AO79" i="48"/>
  <c r="AP79" i="48"/>
  <c r="AR79" i="48"/>
  <c r="AS79" i="48"/>
  <c r="AT79" i="48"/>
  <c r="AU79" i="48"/>
  <c r="AV79" i="48"/>
  <c r="AW79" i="48"/>
  <c r="A80" i="48"/>
  <c r="B80" i="48"/>
  <c r="C80" i="48"/>
  <c r="D80" i="48"/>
  <c r="E80" i="48"/>
  <c r="F80" i="48"/>
  <c r="G80" i="48"/>
  <c r="H80" i="48"/>
  <c r="I80" i="48"/>
  <c r="J80" i="48"/>
  <c r="K80" i="48"/>
  <c r="L80" i="48"/>
  <c r="M80" i="48"/>
  <c r="N80" i="48"/>
  <c r="P80" i="48"/>
  <c r="Q80" i="48"/>
  <c r="R80" i="48"/>
  <c r="T80" i="48"/>
  <c r="U80" i="48"/>
  <c r="V80" i="48"/>
  <c r="X80" i="48"/>
  <c r="Y80" i="48"/>
  <c r="Z80" i="48"/>
  <c r="AB80" i="48"/>
  <c r="AC80" i="48"/>
  <c r="AD80" i="48"/>
  <c r="AF80" i="48"/>
  <c r="AG80" i="48"/>
  <c r="AH80" i="48"/>
  <c r="AJ80" i="48"/>
  <c r="AK80" i="48"/>
  <c r="AL80" i="48"/>
  <c r="AN80" i="48"/>
  <c r="AO80" i="48"/>
  <c r="AP80" i="48"/>
  <c r="AR80" i="48"/>
  <c r="AS80" i="48"/>
  <c r="AT80" i="48"/>
  <c r="AU80" i="48"/>
  <c r="AV80" i="48"/>
  <c r="AW80" i="48"/>
  <c r="A81" i="48"/>
  <c r="B81" i="48"/>
  <c r="C81" i="48"/>
  <c r="D81" i="48"/>
  <c r="E81" i="48"/>
  <c r="F81" i="48"/>
  <c r="G81" i="48"/>
  <c r="H81" i="48"/>
  <c r="I81" i="48"/>
  <c r="J81" i="48"/>
  <c r="K81" i="48"/>
  <c r="L81" i="48"/>
  <c r="M81" i="48"/>
  <c r="N81" i="48"/>
  <c r="P81" i="48"/>
  <c r="Q81" i="48"/>
  <c r="R81" i="48"/>
  <c r="T81" i="48"/>
  <c r="U81" i="48"/>
  <c r="V81" i="48"/>
  <c r="X81" i="48"/>
  <c r="Y81" i="48"/>
  <c r="Z81" i="48"/>
  <c r="AB81" i="48"/>
  <c r="AC81" i="48"/>
  <c r="AD81" i="48"/>
  <c r="AF81" i="48"/>
  <c r="AG81" i="48"/>
  <c r="AH81" i="48"/>
  <c r="AJ81" i="48"/>
  <c r="AK81" i="48"/>
  <c r="AL81" i="48"/>
  <c r="AN81" i="48"/>
  <c r="AO81" i="48"/>
  <c r="AP81" i="48"/>
  <c r="AR81" i="48"/>
  <c r="AS81" i="48"/>
  <c r="AT81" i="48"/>
  <c r="AU81" i="48"/>
  <c r="AV81" i="48"/>
  <c r="AW81" i="48"/>
  <c r="A82" i="48"/>
  <c r="B82" i="48"/>
  <c r="C82" i="48"/>
  <c r="D82" i="48"/>
  <c r="E82" i="48"/>
  <c r="F82" i="48"/>
  <c r="G82" i="48"/>
  <c r="H82" i="48"/>
  <c r="I82" i="48"/>
  <c r="J82" i="48"/>
  <c r="K82" i="48"/>
  <c r="L82" i="48"/>
  <c r="M82" i="48"/>
  <c r="N82" i="48"/>
  <c r="P82" i="48"/>
  <c r="Q82" i="48"/>
  <c r="R82" i="48"/>
  <c r="T82" i="48"/>
  <c r="U82" i="48"/>
  <c r="V82" i="48"/>
  <c r="X82" i="48"/>
  <c r="Y82" i="48"/>
  <c r="Z82" i="48"/>
  <c r="AB82" i="48"/>
  <c r="AC82" i="48"/>
  <c r="AD82" i="48"/>
  <c r="AF82" i="48"/>
  <c r="AG82" i="48"/>
  <c r="AH82" i="48"/>
  <c r="AJ82" i="48"/>
  <c r="AK82" i="48"/>
  <c r="AL82" i="48"/>
  <c r="AN82" i="48"/>
  <c r="AO82" i="48"/>
  <c r="AP82" i="48"/>
  <c r="AR82" i="48"/>
  <c r="AS82" i="48"/>
  <c r="AT82" i="48"/>
  <c r="AU82" i="48"/>
  <c r="AV82" i="48"/>
  <c r="AW82" i="48"/>
  <c r="A83" i="48"/>
  <c r="B83" i="48"/>
  <c r="C83" i="48"/>
  <c r="D83" i="48"/>
  <c r="E83" i="48"/>
  <c r="F83" i="48"/>
  <c r="G83" i="48"/>
  <c r="H83" i="48"/>
  <c r="I83" i="48"/>
  <c r="J83" i="48"/>
  <c r="K83" i="48"/>
  <c r="L83" i="48"/>
  <c r="M83" i="48"/>
  <c r="N83" i="48"/>
  <c r="P83" i="48"/>
  <c r="Q83" i="48"/>
  <c r="R83" i="48"/>
  <c r="T83" i="48"/>
  <c r="U83" i="48"/>
  <c r="V83" i="48"/>
  <c r="X83" i="48"/>
  <c r="Y83" i="48"/>
  <c r="Z83" i="48"/>
  <c r="AB83" i="48"/>
  <c r="AC83" i="48"/>
  <c r="AD83" i="48"/>
  <c r="AF83" i="48"/>
  <c r="AG83" i="48"/>
  <c r="AH83" i="48"/>
  <c r="AJ83" i="48"/>
  <c r="AK83" i="48"/>
  <c r="AL83" i="48"/>
  <c r="AN83" i="48"/>
  <c r="AO83" i="48"/>
  <c r="AP83" i="48"/>
  <c r="AR83" i="48"/>
  <c r="AS83" i="48"/>
  <c r="AT83" i="48"/>
  <c r="AU83" i="48"/>
  <c r="AV83" i="48"/>
  <c r="AW83" i="48"/>
  <c r="A84" i="48"/>
  <c r="B84" i="48"/>
  <c r="C84" i="48"/>
  <c r="D84" i="48"/>
  <c r="E84" i="48"/>
  <c r="F84" i="48"/>
  <c r="G84" i="48"/>
  <c r="H84" i="48"/>
  <c r="I84" i="48"/>
  <c r="J84" i="48"/>
  <c r="K84" i="48"/>
  <c r="L84" i="48"/>
  <c r="M84" i="48"/>
  <c r="N84" i="48"/>
  <c r="P84" i="48"/>
  <c r="Q84" i="48"/>
  <c r="R84" i="48"/>
  <c r="T84" i="48"/>
  <c r="U84" i="48"/>
  <c r="V84" i="48"/>
  <c r="X84" i="48"/>
  <c r="Y84" i="48"/>
  <c r="Z84" i="48"/>
  <c r="AB84" i="48"/>
  <c r="AC84" i="48"/>
  <c r="AD84" i="48"/>
  <c r="AF84" i="48"/>
  <c r="AG84" i="48"/>
  <c r="AH84" i="48"/>
  <c r="AJ84" i="48"/>
  <c r="AK84" i="48"/>
  <c r="AL84" i="48"/>
  <c r="AN84" i="48"/>
  <c r="AO84" i="48"/>
  <c r="AP84" i="48"/>
  <c r="AR84" i="48"/>
  <c r="AS84" i="48"/>
  <c r="AT84" i="48"/>
  <c r="AU84" i="48"/>
  <c r="AV84" i="48"/>
  <c r="AW84" i="48"/>
  <c r="A85" i="48"/>
  <c r="B85" i="48"/>
  <c r="C85" i="48"/>
  <c r="D85" i="48"/>
  <c r="E85" i="48"/>
  <c r="F85" i="48"/>
  <c r="G85" i="48"/>
  <c r="H85" i="48"/>
  <c r="I85" i="48"/>
  <c r="J85" i="48"/>
  <c r="K85" i="48"/>
  <c r="L85" i="48"/>
  <c r="M85" i="48"/>
  <c r="N85" i="48"/>
  <c r="P85" i="48"/>
  <c r="Q85" i="48"/>
  <c r="R85" i="48"/>
  <c r="T85" i="48"/>
  <c r="U85" i="48"/>
  <c r="V85" i="48"/>
  <c r="X85" i="48"/>
  <c r="Y85" i="48"/>
  <c r="Z85" i="48"/>
  <c r="AB85" i="48"/>
  <c r="AC85" i="48"/>
  <c r="AD85" i="48"/>
  <c r="AF85" i="48"/>
  <c r="AG85" i="48"/>
  <c r="AH85" i="48"/>
  <c r="AJ85" i="48"/>
  <c r="AK85" i="48"/>
  <c r="AL85" i="48"/>
  <c r="AN85" i="48"/>
  <c r="AO85" i="48"/>
  <c r="AP85" i="48"/>
  <c r="AR85" i="48"/>
  <c r="AS85" i="48"/>
  <c r="AT85" i="48"/>
  <c r="AU85" i="48"/>
  <c r="AV85" i="48"/>
  <c r="AW85" i="48"/>
  <c r="A86" i="48"/>
  <c r="B86" i="48"/>
  <c r="C86" i="48"/>
  <c r="D86" i="48"/>
  <c r="E86" i="48"/>
  <c r="F86" i="48"/>
  <c r="G86" i="48"/>
  <c r="H86" i="48"/>
  <c r="I86" i="48"/>
  <c r="J86" i="48"/>
  <c r="K86" i="48"/>
  <c r="L86" i="48"/>
  <c r="M86" i="48"/>
  <c r="N86" i="48"/>
  <c r="P86" i="48"/>
  <c r="Q86" i="48"/>
  <c r="R86" i="48"/>
  <c r="T86" i="48"/>
  <c r="U86" i="48"/>
  <c r="V86" i="48"/>
  <c r="X86" i="48"/>
  <c r="Y86" i="48"/>
  <c r="Z86" i="48"/>
  <c r="AB86" i="48"/>
  <c r="AC86" i="48"/>
  <c r="AD86" i="48"/>
  <c r="AF86" i="48"/>
  <c r="AG86" i="48"/>
  <c r="AH86" i="48"/>
  <c r="AJ86" i="48"/>
  <c r="AK86" i="48"/>
  <c r="AL86" i="48"/>
  <c r="AN86" i="48"/>
  <c r="AO86" i="48"/>
  <c r="AP86" i="48"/>
  <c r="AR86" i="48"/>
  <c r="AS86" i="48"/>
  <c r="AT86" i="48"/>
  <c r="AU86" i="48"/>
  <c r="AV86" i="48"/>
  <c r="AW86" i="48"/>
  <c r="A87" i="48"/>
  <c r="B87" i="48"/>
  <c r="C87" i="48"/>
  <c r="D87" i="48"/>
  <c r="E87" i="48"/>
  <c r="F87" i="48"/>
  <c r="G87" i="48"/>
  <c r="H87" i="48"/>
  <c r="I87" i="48"/>
  <c r="J87" i="48"/>
  <c r="K87" i="48"/>
  <c r="L87" i="48"/>
  <c r="M87" i="48"/>
  <c r="N87" i="48"/>
  <c r="P87" i="48"/>
  <c r="Q87" i="48"/>
  <c r="R87" i="48"/>
  <c r="T87" i="48"/>
  <c r="U87" i="48"/>
  <c r="V87" i="48"/>
  <c r="X87" i="48"/>
  <c r="Y87" i="48"/>
  <c r="Z87" i="48"/>
  <c r="AB87" i="48"/>
  <c r="AC87" i="48"/>
  <c r="AD87" i="48"/>
  <c r="AF87" i="48"/>
  <c r="AG87" i="48"/>
  <c r="AH87" i="48"/>
  <c r="AJ87" i="48"/>
  <c r="AK87" i="48"/>
  <c r="AL87" i="48"/>
  <c r="AN87" i="48"/>
  <c r="AO87" i="48"/>
  <c r="AP87" i="48"/>
  <c r="AR87" i="48"/>
  <c r="AS87" i="48"/>
  <c r="AT87" i="48"/>
  <c r="AU87" i="48"/>
  <c r="AV87" i="48"/>
  <c r="AW87" i="48"/>
  <c r="A88" i="48"/>
  <c r="B88" i="48"/>
  <c r="C88" i="48"/>
  <c r="D88" i="48"/>
  <c r="E88" i="48"/>
  <c r="F88" i="48"/>
  <c r="G88" i="48"/>
  <c r="H88" i="48"/>
  <c r="I88" i="48"/>
  <c r="J88" i="48"/>
  <c r="K88" i="48"/>
  <c r="L88" i="48"/>
  <c r="M88" i="48"/>
  <c r="N88" i="48"/>
  <c r="P88" i="48"/>
  <c r="Q88" i="48"/>
  <c r="R88" i="48"/>
  <c r="T88" i="48"/>
  <c r="U88" i="48"/>
  <c r="V88" i="48"/>
  <c r="X88" i="48"/>
  <c r="Y88" i="48"/>
  <c r="Z88" i="48"/>
  <c r="AB88" i="48"/>
  <c r="AC88" i="48"/>
  <c r="AD88" i="48"/>
  <c r="AF88" i="48"/>
  <c r="AG88" i="48"/>
  <c r="AH88" i="48"/>
  <c r="AJ88" i="48"/>
  <c r="AK88" i="48"/>
  <c r="AL88" i="48"/>
  <c r="AN88" i="48"/>
  <c r="AO88" i="48"/>
  <c r="AP88" i="48"/>
  <c r="AR88" i="48"/>
  <c r="AS88" i="48"/>
  <c r="AT88" i="48"/>
  <c r="AU88" i="48"/>
  <c r="AV88" i="48"/>
  <c r="AW88" i="48"/>
  <c r="A89" i="48"/>
  <c r="B89" i="48"/>
  <c r="C89" i="48"/>
  <c r="D89" i="48"/>
  <c r="E89" i="48"/>
  <c r="F89" i="48"/>
  <c r="G89" i="48"/>
  <c r="H89" i="48"/>
  <c r="I89" i="48"/>
  <c r="J89" i="48"/>
  <c r="K89" i="48"/>
  <c r="L89" i="48"/>
  <c r="M89" i="48"/>
  <c r="N89" i="48"/>
  <c r="P89" i="48"/>
  <c r="Q89" i="48"/>
  <c r="R89" i="48"/>
  <c r="T89" i="48"/>
  <c r="U89" i="48"/>
  <c r="V89" i="48"/>
  <c r="X89" i="48"/>
  <c r="Y89" i="48"/>
  <c r="Z89" i="48"/>
  <c r="AB89" i="48"/>
  <c r="AC89" i="48"/>
  <c r="AD89" i="48"/>
  <c r="AF89" i="48"/>
  <c r="AG89" i="48"/>
  <c r="AH89" i="48"/>
  <c r="AJ89" i="48"/>
  <c r="AK89" i="48"/>
  <c r="AL89" i="48"/>
  <c r="AN89" i="48"/>
  <c r="AO89" i="48"/>
  <c r="AP89" i="48"/>
  <c r="AR89" i="48"/>
  <c r="AS89" i="48"/>
  <c r="AT89" i="48"/>
  <c r="AU89" i="48"/>
  <c r="AV89" i="48"/>
  <c r="AW89" i="48"/>
  <c r="A90" i="48"/>
  <c r="B90" i="48"/>
  <c r="C90" i="48"/>
  <c r="D90" i="48"/>
  <c r="E90" i="48"/>
  <c r="F90" i="48"/>
  <c r="G90" i="48"/>
  <c r="H90" i="48"/>
  <c r="I90" i="48"/>
  <c r="J90" i="48"/>
  <c r="K90" i="48"/>
  <c r="L90" i="48"/>
  <c r="M90" i="48"/>
  <c r="N90" i="48"/>
  <c r="P90" i="48"/>
  <c r="Q90" i="48"/>
  <c r="R90" i="48"/>
  <c r="T90" i="48"/>
  <c r="U90" i="48"/>
  <c r="V90" i="48"/>
  <c r="X90" i="48"/>
  <c r="Y90" i="48"/>
  <c r="Z90" i="48"/>
  <c r="AB90" i="48"/>
  <c r="AC90" i="48"/>
  <c r="AD90" i="48"/>
  <c r="AF90" i="48"/>
  <c r="AG90" i="48"/>
  <c r="AH90" i="48"/>
  <c r="AJ90" i="48"/>
  <c r="AK90" i="48"/>
  <c r="AL90" i="48"/>
  <c r="AN90" i="48"/>
  <c r="AO90" i="48"/>
  <c r="AP90" i="48"/>
  <c r="AR90" i="48"/>
  <c r="AS90" i="48"/>
  <c r="AT90" i="48"/>
  <c r="AU90" i="48"/>
  <c r="AV90" i="48"/>
  <c r="AW90" i="48"/>
  <c r="A91" i="48"/>
  <c r="B91" i="48"/>
  <c r="C91" i="48"/>
  <c r="D91" i="48"/>
  <c r="E91" i="48"/>
  <c r="F91" i="48"/>
  <c r="G91" i="48"/>
  <c r="H91" i="48"/>
  <c r="I91" i="48"/>
  <c r="J91" i="48"/>
  <c r="K91" i="48"/>
  <c r="L91" i="48"/>
  <c r="M91" i="48"/>
  <c r="N91" i="48"/>
  <c r="P91" i="48"/>
  <c r="Q91" i="48"/>
  <c r="R91" i="48"/>
  <c r="T91" i="48"/>
  <c r="U91" i="48"/>
  <c r="V91" i="48"/>
  <c r="X91" i="48"/>
  <c r="Y91" i="48"/>
  <c r="Z91" i="48"/>
  <c r="AB91" i="48"/>
  <c r="AC91" i="48"/>
  <c r="AD91" i="48"/>
  <c r="AF91" i="48"/>
  <c r="AG91" i="48"/>
  <c r="AH91" i="48"/>
  <c r="AJ91" i="48"/>
  <c r="AK91" i="48"/>
  <c r="AL91" i="48"/>
  <c r="AN91" i="48"/>
  <c r="AO91" i="48"/>
  <c r="AP91" i="48"/>
  <c r="AR91" i="48"/>
  <c r="AS91" i="48"/>
  <c r="AT91" i="48"/>
  <c r="AU91" i="48"/>
  <c r="AV91" i="48"/>
  <c r="AW91" i="48"/>
  <c r="A92" i="48"/>
  <c r="B92" i="48"/>
  <c r="C92" i="48"/>
  <c r="D92" i="48"/>
  <c r="E92" i="48"/>
  <c r="F92" i="48"/>
  <c r="G92" i="48"/>
  <c r="H92" i="48"/>
  <c r="I92" i="48"/>
  <c r="J92" i="48"/>
  <c r="K92" i="48"/>
  <c r="L92" i="48"/>
  <c r="M92" i="48"/>
  <c r="N92" i="48"/>
  <c r="P92" i="48"/>
  <c r="Q92" i="48"/>
  <c r="R92" i="48"/>
  <c r="T92" i="48"/>
  <c r="U92" i="48"/>
  <c r="V92" i="48"/>
  <c r="X92" i="48"/>
  <c r="Y92" i="48"/>
  <c r="Z92" i="48"/>
  <c r="AB92" i="48"/>
  <c r="AC92" i="48"/>
  <c r="AD92" i="48"/>
  <c r="AF92" i="48"/>
  <c r="AG92" i="48"/>
  <c r="AH92" i="48"/>
  <c r="AJ92" i="48"/>
  <c r="AK92" i="48"/>
  <c r="AL92" i="48"/>
  <c r="AN92" i="48"/>
  <c r="AO92" i="48"/>
  <c r="AP92" i="48"/>
  <c r="AR92" i="48"/>
  <c r="AS92" i="48"/>
  <c r="AT92" i="48"/>
  <c r="AU92" i="48"/>
  <c r="AV92" i="48"/>
  <c r="AW92" i="48"/>
  <c r="A93" i="48"/>
  <c r="B93" i="48"/>
  <c r="C93" i="48"/>
  <c r="D93" i="48"/>
  <c r="E93" i="48"/>
  <c r="F93" i="48"/>
  <c r="G93" i="48"/>
  <c r="H93" i="48"/>
  <c r="I93" i="48"/>
  <c r="J93" i="48"/>
  <c r="K93" i="48"/>
  <c r="L93" i="48"/>
  <c r="M93" i="48"/>
  <c r="N93" i="48"/>
  <c r="P93" i="48"/>
  <c r="Q93" i="48"/>
  <c r="R93" i="48"/>
  <c r="T93" i="48"/>
  <c r="U93" i="48"/>
  <c r="V93" i="48"/>
  <c r="X93" i="48"/>
  <c r="Y93" i="48"/>
  <c r="Z93" i="48"/>
  <c r="AB93" i="48"/>
  <c r="AC93" i="48"/>
  <c r="AD93" i="48"/>
  <c r="AF93" i="48"/>
  <c r="AG93" i="48"/>
  <c r="AH93" i="48"/>
  <c r="AJ93" i="48"/>
  <c r="AK93" i="48"/>
  <c r="AL93" i="48"/>
  <c r="AN93" i="48"/>
  <c r="AO93" i="48"/>
  <c r="AP93" i="48"/>
  <c r="AR93" i="48"/>
  <c r="AS93" i="48"/>
  <c r="AT93" i="48"/>
  <c r="AU93" i="48"/>
  <c r="AV93" i="48"/>
  <c r="AW93" i="48"/>
  <c r="A94" i="48"/>
  <c r="B94" i="48"/>
  <c r="C94" i="48"/>
  <c r="D94" i="48"/>
  <c r="E94" i="48"/>
  <c r="F94" i="48"/>
  <c r="G94" i="48"/>
  <c r="H94" i="48"/>
  <c r="I94" i="48"/>
  <c r="J94" i="48"/>
  <c r="K94" i="48"/>
  <c r="L94" i="48"/>
  <c r="M94" i="48"/>
  <c r="N94" i="48"/>
  <c r="P94" i="48"/>
  <c r="Q94" i="48"/>
  <c r="R94" i="48"/>
  <c r="T94" i="48"/>
  <c r="U94" i="48"/>
  <c r="V94" i="48"/>
  <c r="X94" i="48"/>
  <c r="Y94" i="48"/>
  <c r="Z94" i="48"/>
  <c r="AB94" i="48"/>
  <c r="AC94" i="48"/>
  <c r="AD94" i="48"/>
  <c r="AF94" i="48"/>
  <c r="AG94" i="48"/>
  <c r="AH94" i="48"/>
  <c r="AJ94" i="48"/>
  <c r="AK94" i="48"/>
  <c r="AL94" i="48"/>
  <c r="AN94" i="48"/>
  <c r="AO94" i="48"/>
  <c r="AP94" i="48"/>
  <c r="AR94" i="48"/>
  <c r="AS94" i="48"/>
  <c r="AT94" i="48"/>
  <c r="AU94" i="48"/>
  <c r="AV94" i="48"/>
  <c r="AW94" i="48"/>
  <c r="A95" i="48"/>
  <c r="B95" i="48"/>
  <c r="C95" i="48"/>
  <c r="D95" i="48"/>
  <c r="E95" i="48"/>
  <c r="F95" i="48"/>
  <c r="G95" i="48"/>
  <c r="H95" i="48"/>
  <c r="I95" i="48"/>
  <c r="J95" i="48"/>
  <c r="K95" i="48"/>
  <c r="L95" i="48"/>
  <c r="M95" i="48"/>
  <c r="N95" i="48"/>
  <c r="P95" i="48"/>
  <c r="Q95" i="48"/>
  <c r="R95" i="48"/>
  <c r="T95" i="48"/>
  <c r="U95" i="48"/>
  <c r="V95" i="48"/>
  <c r="X95" i="48"/>
  <c r="Y95" i="48"/>
  <c r="Z95" i="48"/>
  <c r="AB95" i="48"/>
  <c r="AC95" i="48"/>
  <c r="AD95" i="48"/>
  <c r="AF95" i="48"/>
  <c r="AG95" i="48"/>
  <c r="AH95" i="48"/>
  <c r="AJ95" i="48"/>
  <c r="AK95" i="48"/>
  <c r="AL95" i="48"/>
  <c r="AN95" i="48"/>
  <c r="AO95" i="48"/>
  <c r="AP95" i="48"/>
  <c r="AR95" i="48"/>
  <c r="AS95" i="48"/>
  <c r="AT95" i="48"/>
  <c r="AU95" i="48"/>
  <c r="AV95" i="48"/>
  <c r="AW95" i="48"/>
  <c r="A96" i="48"/>
  <c r="B96" i="48"/>
  <c r="C96" i="48"/>
  <c r="D96" i="48"/>
  <c r="E96" i="48"/>
  <c r="F96" i="48"/>
  <c r="G96" i="48"/>
  <c r="H96" i="48"/>
  <c r="I96" i="48"/>
  <c r="J96" i="48"/>
  <c r="K96" i="48"/>
  <c r="L96" i="48"/>
  <c r="M96" i="48"/>
  <c r="N96" i="48"/>
  <c r="P96" i="48"/>
  <c r="Q96" i="48"/>
  <c r="R96" i="48"/>
  <c r="T96" i="48"/>
  <c r="U96" i="48"/>
  <c r="V96" i="48"/>
  <c r="X96" i="48"/>
  <c r="Y96" i="48"/>
  <c r="Z96" i="48"/>
  <c r="AB96" i="48"/>
  <c r="AC96" i="48"/>
  <c r="AD96" i="48"/>
  <c r="AF96" i="48"/>
  <c r="AG96" i="48"/>
  <c r="AH96" i="48"/>
  <c r="AJ96" i="48"/>
  <c r="AK96" i="48"/>
  <c r="AL96" i="48"/>
  <c r="AN96" i="48"/>
  <c r="AO96" i="48"/>
  <c r="AP96" i="48"/>
  <c r="AR96" i="48"/>
  <c r="AS96" i="48"/>
  <c r="AT96" i="48"/>
  <c r="AU96" i="48"/>
  <c r="AV96" i="48"/>
  <c r="AW96" i="48"/>
  <c r="A97" i="48"/>
  <c r="B97" i="48"/>
  <c r="C97" i="48"/>
  <c r="D97" i="48"/>
  <c r="E97" i="48"/>
  <c r="F97" i="48"/>
  <c r="G97" i="48"/>
  <c r="H97" i="48"/>
  <c r="I97" i="48"/>
  <c r="J97" i="48"/>
  <c r="K97" i="48"/>
  <c r="L97" i="48"/>
  <c r="M97" i="48"/>
  <c r="N97" i="48"/>
  <c r="P97" i="48"/>
  <c r="Q97" i="48"/>
  <c r="R97" i="48"/>
  <c r="T97" i="48"/>
  <c r="U97" i="48"/>
  <c r="V97" i="48"/>
  <c r="X97" i="48"/>
  <c r="Y97" i="48"/>
  <c r="Z97" i="48"/>
  <c r="AB97" i="48"/>
  <c r="AC97" i="48"/>
  <c r="AD97" i="48"/>
  <c r="AF97" i="48"/>
  <c r="AG97" i="48"/>
  <c r="AH97" i="48"/>
  <c r="AJ97" i="48"/>
  <c r="AK97" i="48"/>
  <c r="AL97" i="48"/>
  <c r="AN97" i="48"/>
  <c r="AO97" i="48"/>
  <c r="AP97" i="48"/>
  <c r="AR97" i="48"/>
  <c r="AS97" i="48"/>
  <c r="AT97" i="48"/>
  <c r="AU97" i="48"/>
  <c r="AV97" i="48"/>
  <c r="AW97" i="48"/>
  <c r="A98" i="48"/>
  <c r="B98" i="48"/>
  <c r="C98" i="48"/>
  <c r="D98" i="48"/>
  <c r="E98" i="48"/>
  <c r="F98" i="48"/>
  <c r="G98" i="48"/>
  <c r="H98" i="48"/>
  <c r="I98" i="48"/>
  <c r="J98" i="48"/>
  <c r="K98" i="48"/>
  <c r="L98" i="48"/>
  <c r="M98" i="48"/>
  <c r="N98" i="48"/>
  <c r="P98" i="48"/>
  <c r="Q98" i="48"/>
  <c r="R98" i="48"/>
  <c r="T98" i="48"/>
  <c r="U98" i="48"/>
  <c r="V98" i="48"/>
  <c r="X98" i="48"/>
  <c r="Y98" i="48"/>
  <c r="Z98" i="48"/>
  <c r="AB98" i="48"/>
  <c r="AC98" i="48"/>
  <c r="AD98" i="48"/>
  <c r="AF98" i="48"/>
  <c r="AG98" i="48"/>
  <c r="AH98" i="48"/>
  <c r="AJ98" i="48"/>
  <c r="AK98" i="48"/>
  <c r="AL98" i="48"/>
  <c r="AN98" i="48"/>
  <c r="AO98" i="48"/>
  <c r="AP98" i="48"/>
  <c r="AR98" i="48"/>
  <c r="AS98" i="48"/>
  <c r="AT98" i="48"/>
  <c r="AU98" i="48"/>
  <c r="AV98" i="48"/>
  <c r="AW98" i="48"/>
  <c r="A99" i="48"/>
  <c r="B99" i="48"/>
  <c r="C99" i="48"/>
  <c r="D99" i="48"/>
  <c r="E99" i="48"/>
  <c r="F99" i="48"/>
  <c r="G99" i="48"/>
  <c r="H99" i="48"/>
  <c r="I99" i="48"/>
  <c r="J99" i="48"/>
  <c r="K99" i="48"/>
  <c r="L99" i="48"/>
  <c r="M99" i="48"/>
  <c r="N99" i="48"/>
  <c r="P99" i="48"/>
  <c r="Q99" i="48"/>
  <c r="R99" i="48"/>
  <c r="T99" i="48"/>
  <c r="U99" i="48"/>
  <c r="V99" i="48"/>
  <c r="X99" i="48"/>
  <c r="Y99" i="48"/>
  <c r="Z99" i="48"/>
  <c r="AB99" i="48"/>
  <c r="AC99" i="48"/>
  <c r="AD99" i="48"/>
  <c r="AF99" i="48"/>
  <c r="AG99" i="48"/>
  <c r="AH99" i="48"/>
  <c r="AJ99" i="48"/>
  <c r="AK99" i="48"/>
  <c r="AL99" i="48"/>
  <c r="AN99" i="48"/>
  <c r="AO99" i="48"/>
  <c r="AP99" i="48"/>
  <c r="AR99" i="48"/>
  <c r="AS99" i="48"/>
  <c r="AT99" i="48"/>
  <c r="AU99" i="48"/>
  <c r="AV99" i="48"/>
  <c r="AW99" i="48"/>
  <c r="A100" i="48"/>
  <c r="B100" i="48"/>
  <c r="C100" i="48"/>
  <c r="D100" i="48"/>
  <c r="E100" i="48"/>
  <c r="F100" i="48"/>
  <c r="G100" i="48"/>
  <c r="H100" i="48"/>
  <c r="I100" i="48"/>
  <c r="J100" i="48"/>
  <c r="K100" i="48"/>
  <c r="L100" i="48"/>
  <c r="M100" i="48"/>
  <c r="N100" i="48"/>
  <c r="P100" i="48"/>
  <c r="Q100" i="48"/>
  <c r="R100" i="48"/>
  <c r="T100" i="48"/>
  <c r="U100" i="48"/>
  <c r="V100" i="48"/>
  <c r="X100" i="48"/>
  <c r="Y100" i="48"/>
  <c r="Z100" i="48"/>
  <c r="AB100" i="48"/>
  <c r="AC100" i="48"/>
  <c r="AD100" i="48"/>
  <c r="AF100" i="48"/>
  <c r="AG100" i="48"/>
  <c r="AH100" i="48"/>
  <c r="AJ100" i="48"/>
  <c r="AK100" i="48"/>
  <c r="AL100" i="48"/>
  <c r="AN100" i="48"/>
  <c r="AO100" i="48"/>
  <c r="AP100" i="48"/>
  <c r="AR100" i="48"/>
  <c r="AS100" i="48"/>
  <c r="AT100" i="48"/>
  <c r="AU100" i="48"/>
  <c r="AV100" i="48"/>
  <c r="AW100" i="48"/>
  <c r="A101" i="48"/>
  <c r="B101" i="48"/>
  <c r="C101" i="48"/>
  <c r="D101" i="48"/>
  <c r="E101" i="48"/>
  <c r="F101" i="48"/>
  <c r="G101" i="48"/>
  <c r="H101" i="48"/>
  <c r="I101" i="48"/>
  <c r="J101" i="48"/>
  <c r="K101" i="48"/>
  <c r="L101" i="48"/>
  <c r="M101" i="48"/>
  <c r="N101" i="48"/>
  <c r="P101" i="48"/>
  <c r="Q101" i="48"/>
  <c r="R101" i="48"/>
  <c r="T101" i="48"/>
  <c r="U101" i="48"/>
  <c r="V101" i="48"/>
  <c r="X101" i="48"/>
  <c r="Y101" i="48"/>
  <c r="Z101" i="48"/>
  <c r="AB101" i="48"/>
  <c r="AC101" i="48"/>
  <c r="AD101" i="48"/>
  <c r="AF101" i="48"/>
  <c r="AG101" i="48"/>
  <c r="AH101" i="48"/>
  <c r="AJ101" i="48"/>
  <c r="AK101" i="48"/>
  <c r="AL101" i="48"/>
  <c r="AN101" i="48"/>
  <c r="AO101" i="48"/>
  <c r="AP101" i="48"/>
  <c r="AR101" i="48"/>
  <c r="AS101" i="48"/>
  <c r="AT101" i="48"/>
  <c r="AU101" i="48"/>
  <c r="AV101" i="48"/>
  <c r="AW101" i="48"/>
  <c r="A102" i="48"/>
  <c r="B102" i="48"/>
  <c r="C102" i="48"/>
  <c r="D102" i="48"/>
  <c r="E102" i="48"/>
  <c r="F102" i="48"/>
  <c r="G102" i="48"/>
  <c r="H102" i="48"/>
  <c r="I102" i="48"/>
  <c r="J102" i="48"/>
  <c r="K102" i="48"/>
  <c r="L102" i="48"/>
  <c r="M102" i="48"/>
  <c r="N102" i="48"/>
  <c r="P102" i="48"/>
  <c r="Q102" i="48"/>
  <c r="R102" i="48"/>
  <c r="T102" i="48"/>
  <c r="U102" i="48"/>
  <c r="V102" i="48"/>
  <c r="X102" i="48"/>
  <c r="Y102" i="48"/>
  <c r="Z102" i="48"/>
  <c r="AB102" i="48"/>
  <c r="AC102" i="48"/>
  <c r="AD102" i="48"/>
  <c r="AF102" i="48"/>
  <c r="AG102" i="48"/>
  <c r="AH102" i="48"/>
  <c r="AJ102" i="48"/>
  <c r="AK102" i="48"/>
  <c r="AL102" i="48"/>
  <c r="AN102" i="48"/>
  <c r="AO102" i="48"/>
  <c r="AP102" i="48"/>
  <c r="AR102" i="48"/>
  <c r="AS102" i="48"/>
  <c r="AT102" i="48"/>
  <c r="AU102" i="48"/>
  <c r="AV102" i="48"/>
  <c r="AW102" i="48"/>
  <c r="A103" i="48"/>
  <c r="B103" i="48"/>
  <c r="C103" i="48"/>
  <c r="D103" i="48"/>
  <c r="E103" i="48"/>
  <c r="F103" i="48"/>
  <c r="G103" i="48"/>
  <c r="H103" i="48"/>
  <c r="I103" i="48"/>
  <c r="J103" i="48"/>
  <c r="K103" i="48"/>
  <c r="L103" i="48"/>
  <c r="M103" i="48"/>
  <c r="N103" i="48"/>
  <c r="P103" i="48"/>
  <c r="Q103" i="48"/>
  <c r="R103" i="48"/>
  <c r="T103" i="48"/>
  <c r="U103" i="48"/>
  <c r="V103" i="48"/>
  <c r="X103" i="48"/>
  <c r="Y103" i="48"/>
  <c r="Z103" i="48"/>
  <c r="AB103" i="48"/>
  <c r="AC103" i="48"/>
  <c r="AD103" i="48"/>
  <c r="AF103" i="48"/>
  <c r="AG103" i="48"/>
  <c r="AH103" i="48"/>
  <c r="AJ103" i="48"/>
  <c r="AK103" i="48"/>
  <c r="AL103" i="48"/>
  <c r="AN103" i="48"/>
  <c r="AO103" i="48"/>
  <c r="AP103" i="48"/>
  <c r="AR103" i="48"/>
  <c r="AS103" i="48"/>
  <c r="AT103" i="48"/>
  <c r="AU103" i="48"/>
  <c r="AV103" i="48"/>
  <c r="AW103" i="48"/>
  <c r="A104" i="48"/>
  <c r="B104" i="48"/>
  <c r="C104" i="48"/>
  <c r="D104" i="48"/>
  <c r="E104" i="48"/>
  <c r="F104" i="48"/>
  <c r="G104" i="48"/>
  <c r="H104" i="48"/>
  <c r="I104" i="48"/>
  <c r="J104" i="48"/>
  <c r="K104" i="48"/>
  <c r="L104" i="48"/>
  <c r="M104" i="48"/>
  <c r="N104" i="48"/>
  <c r="P104" i="48"/>
  <c r="Q104" i="48"/>
  <c r="R104" i="48"/>
  <c r="T104" i="48"/>
  <c r="U104" i="48"/>
  <c r="V104" i="48"/>
  <c r="X104" i="48"/>
  <c r="Y104" i="48"/>
  <c r="Z104" i="48"/>
  <c r="AB104" i="48"/>
  <c r="AC104" i="48"/>
  <c r="AD104" i="48"/>
  <c r="AF104" i="48"/>
  <c r="AG104" i="48"/>
  <c r="AH104" i="48"/>
  <c r="AJ104" i="48"/>
  <c r="AK104" i="48"/>
  <c r="AL104" i="48"/>
  <c r="AN104" i="48"/>
  <c r="AO104" i="48"/>
  <c r="AP104" i="48"/>
  <c r="AR104" i="48"/>
  <c r="AS104" i="48"/>
  <c r="AT104" i="48"/>
  <c r="AU104" i="48"/>
  <c r="AV104" i="48"/>
  <c r="AW104" i="48"/>
  <c r="A105" i="48"/>
  <c r="B105" i="48"/>
  <c r="C105" i="48"/>
  <c r="D105" i="48"/>
  <c r="E105" i="48"/>
  <c r="F105" i="48"/>
  <c r="G105" i="48"/>
  <c r="H105" i="48"/>
  <c r="I105" i="48"/>
  <c r="J105" i="48"/>
  <c r="K105" i="48"/>
  <c r="L105" i="48"/>
  <c r="M105" i="48"/>
  <c r="N105" i="48"/>
  <c r="P105" i="48"/>
  <c r="Q105" i="48"/>
  <c r="R105" i="48"/>
  <c r="T105" i="48"/>
  <c r="U105" i="48"/>
  <c r="V105" i="48"/>
  <c r="X105" i="48"/>
  <c r="Y105" i="48"/>
  <c r="Z105" i="48"/>
  <c r="AB105" i="48"/>
  <c r="AC105" i="48"/>
  <c r="AD105" i="48"/>
  <c r="AF105" i="48"/>
  <c r="AG105" i="48"/>
  <c r="AH105" i="48"/>
  <c r="AJ105" i="48"/>
  <c r="AK105" i="48"/>
  <c r="AL105" i="48"/>
  <c r="AN105" i="48"/>
  <c r="AO105" i="48"/>
  <c r="AP105" i="48"/>
  <c r="AR105" i="48"/>
  <c r="AS105" i="48"/>
  <c r="AT105" i="48"/>
  <c r="AU105" i="48"/>
  <c r="AV105" i="48"/>
  <c r="AW105" i="48"/>
  <c r="A106" i="48"/>
  <c r="B106" i="48"/>
  <c r="C106" i="48"/>
  <c r="D106" i="48"/>
  <c r="E106" i="48"/>
  <c r="F106" i="48"/>
  <c r="G106" i="48"/>
  <c r="H106" i="48"/>
  <c r="I106" i="48"/>
  <c r="J106" i="48"/>
  <c r="K106" i="48"/>
  <c r="L106" i="48"/>
  <c r="M106" i="48"/>
  <c r="N106" i="48"/>
  <c r="P106" i="48"/>
  <c r="Q106" i="48"/>
  <c r="R106" i="48"/>
  <c r="T106" i="48"/>
  <c r="U106" i="48"/>
  <c r="V106" i="48"/>
  <c r="X106" i="48"/>
  <c r="Y106" i="48"/>
  <c r="Z106" i="48"/>
  <c r="AB106" i="48"/>
  <c r="AC106" i="48"/>
  <c r="AD106" i="48"/>
  <c r="AF106" i="48"/>
  <c r="AG106" i="48"/>
  <c r="AH106" i="48"/>
  <c r="AJ106" i="48"/>
  <c r="AK106" i="48"/>
  <c r="AL106" i="48"/>
  <c r="AN106" i="48"/>
  <c r="AO106" i="48"/>
  <c r="AP106" i="48"/>
  <c r="AR106" i="48"/>
  <c r="AS106" i="48"/>
  <c r="AT106" i="48"/>
  <c r="AU106" i="48"/>
  <c r="AV106" i="48"/>
  <c r="AW106" i="48"/>
  <c r="A107" i="48"/>
  <c r="B107" i="48"/>
  <c r="C107" i="48"/>
  <c r="D107" i="48"/>
  <c r="E107" i="48"/>
  <c r="F107" i="48"/>
  <c r="G107" i="48"/>
  <c r="H107" i="48"/>
  <c r="I107" i="48"/>
  <c r="J107" i="48"/>
  <c r="K107" i="48"/>
  <c r="L107" i="48"/>
  <c r="M107" i="48"/>
  <c r="N107" i="48"/>
  <c r="P107" i="48"/>
  <c r="Q107" i="48"/>
  <c r="R107" i="48"/>
  <c r="T107" i="48"/>
  <c r="U107" i="48"/>
  <c r="V107" i="48"/>
  <c r="X107" i="48"/>
  <c r="Y107" i="48"/>
  <c r="Z107" i="48"/>
  <c r="AB107" i="48"/>
  <c r="AC107" i="48"/>
  <c r="AD107" i="48"/>
  <c r="AF107" i="48"/>
  <c r="AG107" i="48"/>
  <c r="AH107" i="48"/>
  <c r="AJ107" i="48"/>
  <c r="AK107" i="48"/>
  <c r="AL107" i="48"/>
  <c r="AN107" i="48"/>
  <c r="AO107" i="48"/>
  <c r="AP107" i="48"/>
  <c r="AR107" i="48"/>
  <c r="AS107" i="48"/>
  <c r="AT107" i="48"/>
  <c r="AU107" i="48"/>
  <c r="AV107" i="48"/>
  <c r="AW107" i="48"/>
  <c r="A108" i="48"/>
  <c r="B108" i="48"/>
  <c r="C108" i="48"/>
  <c r="D108" i="48"/>
  <c r="E108" i="48"/>
  <c r="F108" i="48"/>
  <c r="G108" i="48"/>
  <c r="H108" i="48"/>
  <c r="I108" i="48"/>
  <c r="J108" i="48"/>
  <c r="K108" i="48"/>
  <c r="L108" i="48"/>
  <c r="M108" i="48"/>
  <c r="N108" i="48"/>
  <c r="P108" i="48"/>
  <c r="Q108" i="48"/>
  <c r="R108" i="48"/>
  <c r="T108" i="48"/>
  <c r="U108" i="48"/>
  <c r="V108" i="48"/>
  <c r="X108" i="48"/>
  <c r="Y108" i="48"/>
  <c r="Z108" i="48"/>
  <c r="AB108" i="48"/>
  <c r="AC108" i="48"/>
  <c r="AD108" i="48"/>
  <c r="AF108" i="48"/>
  <c r="AG108" i="48"/>
  <c r="AH108" i="48"/>
  <c r="AJ108" i="48"/>
  <c r="AK108" i="48"/>
  <c r="AL108" i="48"/>
  <c r="AN108" i="48"/>
  <c r="AO108" i="48"/>
  <c r="AP108" i="48"/>
  <c r="AR108" i="48"/>
  <c r="AS108" i="48"/>
  <c r="AT108" i="48"/>
  <c r="AU108" i="48"/>
  <c r="AV108" i="48"/>
  <c r="AW108" i="48"/>
  <c r="A109" i="48"/>
  <c r="B109" i="48"/>
  <c r="C109" i="48"/>
  <c r="D109" i="48"/>
  <c r="E109" i="48"/>
  <c r="F109" i="48"/>
  <c r="G109" i="48"/>
  <c r="H109" i="48"/>
  <c r="I109" i="48"/>
  <c r="J109" i="48"/>
  <c r="K109" i="48"/>
  <c r="L109" i="48"/>
  <c r="M109" i="48"/>
  <c r="N109" i="48"/>
  <c r="P109" i="48"/>
  <c r="Q109" i="48"/>
  <c r="R109" i="48"/>
  <c r="T109" i="48"/>
  <c r="U109" i="48"/>
  <c r="V109" i="48"/>
  <c r="X109" i="48"/>
  <c r="Y109" i="48"/>
  <c r="Z109" i="48"/>
  <c r="AB109" i="48"/>
  <c r="AC109" i="48"/>
  <c r="AD109" i="48"/>
  <c r="AF109" i="48"/>
  <c r="AG109" i="48"/>
  <c r="AH109" i="48"/>
  <c r="AJ109" i="48"/>
  <c r="AK109" i="48"/>
  <c r="AL109" i="48"/>
  <c r="AN109" i="48"/>
  <c r="AO109" i="48"/>
  <c r="AP109" i="48"/>
  <c r="AR109" i="48"/>
  <c r="AS109" i="48"/>
  <c r="AT109" i="48"/>
  <c r="AU109" i="48"/>
  <c r="AV109" i="48"/>
  <c r="AW109" i="48"/>
  <c r="A110" i="48"/>
  <c r="B110" i="48"/>
  <c r="C110" i="48"/>
  <c r="D110" i="48"/>
  <c r="E110" i="48"/>
  <c r="F110" i="48"/>
  <c r="G110" i="48"/>
  <c r="H110" i="48"/>
  <c r="I110" i="48"/>
  <c r="J110" i="48"/>
  <c r="K110" i="48"/>
  <c r="L110" i="48"/>
  <c r="M110" i="48"/>
  <c r="N110" i="48"/>
  <c r="P110" i="48"/>
  <c r="Q110" i="48"/>
  <c r="R110" i="48"/>
  <c r="T110" i="48"/>
  <c r="U110" i="48"/>
  <c r="V110" i="48"/>
  <c r="X110" i="48"/>
  <c r="Y110" i="48"/>
  <c r="Z110" i="48"/>
  <c r="AB110" i="48"/>
  <c r="AC110" i="48"/>
  <c r="AD110" i="48"/>
  <c r="AF110" i="48"/>
  <c r="AG110" i="48"/>
  <c r="AH110" i="48"/>
  <c r="AJ110" i="48"/>
  <c r="AK110" i="48"/>
  <c r="AL110" i="48"/>
  <c r="AN110" i="48"/>
  <c r="AO110" i="48"/>
  <c r="AP110" i="48"/>
  <c r="AR110" i="48"/>
  <c r="AS110" i="48"/>
  <c r="AT110" i="48"/>
  <c r="AU110" i="48"/>
  <c r="AV110" i="48"/>
  <c r="AW110" i="48"/>
  <c r="A111" i="48"/>
  <c r="B111" i="48"/>
  <c r="C111" i="48"/>
  <c r="D111" i="48"/>
  <c r="E111" i="48"/>
  <c r="F111" i="48"/>
  <c r="G111" i="48"/>
  <c r="H111" i="48"/>
  <c r="I111" i="48"/>
  <c r="J111" i="48"/>
  <c r="K111" i="48"/>
  <c r="L111" i="48"/>
  <c r="M111" i="48"/>
  <c r="N111" i="48"/>
  <c r="P111" i="48"/>
  <c r="Q111" i="48"/>
  <c r="R111" i="48"/>
  <c r="T111" i="48"/>
  <c r="U111" i="48"/>
  <c r="V111" i="48"/>
  <c r="X111" i="48"/>
  <c r="Y111" i="48"/>
  <c r="Z111" i="48"/>
  <c r="AB111" i="48"/>
  <c r="AC111" i="48"/>
  <c r="AD111" i="48"/>
  <c r="AF111" i="48"/>
  <c r="AG111" i="48"/>
  <c r="AH111" i="48"/>
  <c r="AJ111" i="48"/>
  <c r="AK111" i="48"/>
  <c r="AL111" i="48"/>
  <c r="AN111" i="48"/>
  <c r="AO111" i="48"/>
  <c r="AP111" i="48"/>
  <c r="AR111" i="48"/>
  <c r="AS111" i="48"/>
  <c r="AT111" i="48"/>
  <c r="AU111" i="48"/>
  <c r="AV111" i="48"/>
  <c r="AW111" i="48"/>
  <c r="A112" i="48"/>
  <c r="B112" i="48"/>
  <c r="C112" i="48"/>
  <c r="D112" i="48"/>
  <c r="E112" i="48"/>
  <c r="F112" i="48"/>
  <c r="G112" i="48"/>
  <c r="H112" i="48"/>
  <c r="I112" i="48"/>
  <c r="J112" i="48"/>
  <c r="K112" i="48"/>
  <c r="L112" i="48"/>
  <c r="M112" i="48"/>
  <c r="N112" i="48"/>
  <c r="P112" i="48"/>
  <c r="Q112" i="48"/>
  <c r="R112" i="48"/>
  <c r="T112" i="48"/>
  <c r="U112" i="48"/>
  <c r="V112" i="48"/>
  <c r="X112" i="48"/>
  <c r="Y112" i="48"/>
  <c r="Z112" i="48"/>
  <c r="AB112" i="48"/>
  <c r="AC112" i="48"/>
  <c r="AD112" i="48"/>
  <c r="AF112" i="48"/>
  <c r="AG112" i="48"/>
  <c r="AH112" i="48"/>
  <c r="AJ112" i="48"/>
  <c r="AK112" i="48"/>
  <c r="AL112" i="48"/>
  <c r="AN112" i="48"/>
  <c r="AO112" i="48"/>
  <c r="AP112" i="48"/>
  <c r="AR112" i="48"/>
  <c r="AS112" i="48"/>
  <c r="AT112" i="48"/>
  <c r="AU112" i="48"/>
  <c r="AV112" i="48"/>
  <c r="AW112" i="48"/>
  <c r="A113" i="48"/>
  <c r="B113" i="48"/>
  <c r="C113" i="48"/>
  <c r="D113" i="48"/>
  <c r="E113" i="48"/>
  <c r="F113" i="48"/>
  <c r="G113" i="48"/>
  <c r="H113" i="48"/>
  <c r="I113" i="48"/>
  <c r="J113" i="48"/>
  <c r="K113" i="48"/>
  <c r="L113" i="48"/>
  <c r="M113" i="48"/>
  <c r="N113" i="48"/>
  <c r="P113" i="48"/>
  <c r="Q113" i="48"/>
  <c r="R113" i="48"/>
  <c r="T113" i="48"/>
  <c r="U113" i="48"/>
  <c r="V113" i="48"/>
  <c r="X113" i="48"/>
  <c r="Y113" i="48"/>
  <c r="Z113" i="48"/>
  <c r="AB113" i="48"/>
  <c r="AC113" i="48"/>
  <c r="AD113" i="48"/>
  <c r="AF113" i="48"/>
  <c r="AG113" i="48"/>
  <c r="AH113" i="48"/>
  <c r="AJ113" i="48"/>
  <c r="AK113" i="48"/>
  <c r="AL113" i="48"/>
  <c r="AN113" i="48"/>
  <c r="AO113" i="48"/>
  <c r="AP113" i="48"/>
  <c r="AR113" i="48"/>
  <c r="AS113" i="48"/>
  <c r="AT113" i="48"/>
  <c r="AU113" i="48"/>
  <c r="AV113" i="48"/>
  <c r="AW113" i="48"/>
  <c r="A114" i="48"/>
  <c r="B114" i="48"/>
  <c r="C114" i="48"/>
  <c r="D114" i="48"/>
  <c r="E114" i="48"/>
  <c r="F114" i="48"/>
  <c r="G114" i="48"/>
  <c r="H114" i="48"/>
  <c r="I114" i="48"/>
  <c r="J114" i="48"/>
  <c r="K114" i="48"/>
  <c r="L114" i="48"/>
  <c r="M114" i="48"/>
  <c r="N114" i="48"/>
  <c r="P114" i="48"/>
  <c r="Q114" i="48"/>
  <c r="R114" i="48"/>
  <c r="T114" i="48"/>
  <c r="U114" i="48"/>
  <c r="V114" i="48"/>
  <c r="X114" i="48"/>
  <c r="Y114" i="48"/>
  <c r="Z114" i="48"/>
  <c r="AB114" i="48"/>
  <c r="AC114" i="48"/>
  <c r="AD114" i="48"/>
  <c r="AF114" i="48"/>
  <c r="AG114" i="48"/>
  <c r="AH114" i="48"/>
  <c r="AJ114" i="48"/>
  <c r="AK114" i="48"/>
  <c r="AL114" i="48"/>
  <c r="AN114" i="48"/>
  <c r="AO114" i="48"/>
  <c r="AP114" i="48"/>
  <c r="AR114" i="48"/>
  <c r="AS114" i="48"/>
  <c r="AT114" i="48"/>
  <c r="AU114" i="48"/>
  <c r="AV114" i="48"/>
  <c r="AW114" i="48"/>
  <c r="A115" i="48"/>
  <c r="B115" i="48"/>
  <c r="C115" i="48"/>
  <c r="D115" i="48"/>
  <c r="E115" i="48"/>
  <c r="F115" i="48"/>
  <c r="G115" i="48"/>
  <c r="H115" i="48"/>
  <c r="I115" i="48"/>
  <c r="J115" i="48"/>
  <c r="K115" i="48"/>
  <c r="L115" i="48"/>
  <c r="M115" i="48"/>
  <c r="N115" i="48"/>
  <c r="P115" i="48"/>
  <c r="Q115" i="48"/>
  <c r="R115" i="48"/>
  <c r="T115" i="48"/>
  <c r="U115" i="48"/>
  <c r="V115" i="48"/>
  <c r="X115" i="48"/>
  <c r="Y115" i="48"/>
  <c r="Z115" i="48"/>
  <c r="AB115" i="48"/>
  <c r="AC115" i="48"/>
  <c r="AD115" i="48"/>
  <c r="AF115" i="48"/>
  <c r="AG115" i="48"/>
  <c r="AH115" i="48"/>
  <c r="AJ115" i="48"/>
  <c r="AK115" i="48"/>
  <c r="AL115" i="48"/>
  <c r="AN115" i="48"/>
  <c r="AO115" i="48"/>
  <c r="AP115" i="48"/>
  <c r="AR115" i="48"/>
  <c r="AS115" i="48"/>
  <c r="AT115" i="48"/>
  <c r="AU115" i="48"/>
  <c r="AV115" i="48"/>
  <c r="AW115" i="48"/>
  <c r="A116" i="48"/>
  <c r="B116" i="48"/>
  <c r="C116" i="48"/>
  <c r="D116" i="48"/>
  <c r="E116" i="48"/>
  <c r="F116" i="48"/>
  <c r="G116" i="48"/>
  <c r="H116" i="48"/>
  <c r="I116" i="48"/>
  <c r="J116" i="48"/>
  <c r="K116" i="48"/>
  <c r="L116" i="48"/>
  <c r="M116" i="48"/>
  <c r="N116" i="48"/>
  <c r="P116" i="48"/>
  <c r="Q116" i="48"/>
  <c r="R116" i="48"/>
  <c r="T116" i="48"/>
  <c r="U116" i="48"/>
  <c r="V116" i="48"/>
  <c r="X116" i="48"/>
  <c r="Y116" i="48"/>
  <c r="Z116" i="48"/>
  <c r="AB116" i="48"/>
  <c r="AC116" i="48"/>
  <c r="AD116" i="48"/>
  <c r="AF116" i="48"/>
  <c r="AG116" i="48"/>
  <c r="AH116" i="48"/>
  <c r="AJ116" i="48"/>
  <c r="AK116" i="48"/>
  <c r="AL116" i="48"/>
  <c r="AN116" i="48"/>
  <c r="AO116" i="48"/>
  <c r="AP116" i="48"/>
  <c r="AR116" i="48"/>
  <c r="AS116" i="48"/>
  <c r="AT116" i="48"/>
  <c r="AU116" i="48"/>
  <c r="AV116" i="48"/>
  <c r="AW116" i="48"/>
  <c r="A117" i="48"/>
  <c r="B117" i="48"/>
  <c r="C117" i="48"/>
  <c r="D117" i="48"/>
  <c r="E117" i="48"/>
  <c r="F117" i="48"/>
  <c r="G117" i="48"/>
  <c r="H117" i="48"/>
  <c r="I117" i="48"/>
  <c r="J117" i="48"/>
  <c r="K117" i="48"/>
  <c r="L117" i="48"/>
  <c r="M117" i="48"/>
  <c r="N117" i="48"/>
  <c r="P117" i="48"/>
  <c r="Q117" i="48"/>
  <c r="R117" i="48"/>
  <c r="T117" i="48"/>
  <c r="U117" i="48"/>
  <c r="V117" i="48"/>
  <c r="X117" i="48"/>
  <c r="Y117" i="48"/>
  <c r="Z117" i="48"/>
  <c r="AB117" i="48"/>
  <c r="AC117" i="48"/>
  <c r="AD117" i="48"/>
  <c r="AF117" i="48"/>
  <c r="AG117" i="48"/>
  <c r="AH117" i="48"/>
  <c r="AJ117" i="48"/>
  <c r="AK117" i="48"/>
  <c r="AL117" i="48"/>
  <c r="AN117" i="48"/>
  <c r="AO117" i="48"/>
  <c r="AP117" i="48"/>
  <c r="AR117" i="48"/>
  <c r="AS117" i="48"/>
  <c r="AT117" i="48"/>
  <c r="AU117" i="48"/>
  <c r="AV117" i="48"/>
  <c r="AW117" i="48"/>
  <c r="A118" i="48"/>
  <c r="B118" i="48"/>
  <c r="C118" i="48"/>
  <c r="D118" i="48"/>
  <c r="E118" i="48"/>
  <c r="F118" i="48"/>
  <c r="G118" i="48"/>
  <c r="H118" i="48"/>
  <c r="I118" i="48"/>
  <c r="J118" i="48"/>
  <c r="K118" i="48"/>
  <c r="L118" i="48"/>
  <c r="M118" i="48"/>
  <c r="N118" i="48"/>
  <c r="P118" i="48"/>
  <c r="Q118" i="48"/>
  <c r="R118" i="48"/>
  <c r="T118" i="48"/>
  <c r="U118" i="48"/>
  <c r="V118" i="48"/>
  <c r="X118" i="48"/>
  <c r="Y118" i="48"/>
  <c r="Z118" i="48"/>
  <c r="AB118" i="48"/>
  <c r="AC118" i="48"/>
  <c r="AD118" i="48"/>
  <c r="AF118" i="48"/>
  <c r="AG118" i="48"/>
  <c r="AH118" i="48"/>
  <c r="AJ118" i="48"/>
  <c r="AK118" i="48"/>
  <c r="AL118" i="48"/>
  <c r="AN118" i="48"/>
  <c r="AO118" i="48"/>
  <c r="AP118" i="48"/>
  <c r="AR118" i="48"/>
  <c r="AS118" i="48"/>
  <c r="AT118" i="48"/>
  <c r="AU118" i="48"/>
  <c r="AV118" i="48"/>
  <c r="AW118" i="48"/>
  <c r="A119" i="48"/>
  <c r="B119" i="48"/>
  <c r="C119" i="48"/>
  <c r="D119" i="48"/>
  <c r="E119" i="48"/>
  <c r="F119" i="48"/>
  <c r="G119" i="48"/>
  <c r="H119" i="48"/>
  <c r="I119" i="48"/>
  <c r="J119" i="48"/>
  <c r="K119" i="48"/>
  <c r="L119" i="48"/>
  <c r="M119" i="48"/>
  <c r="N119" i="48"/>
  <c r="P119" i="48"/>
  <c r="Q119" i="48"/>
  <c r="R119" i="48"/>
  <c r="T119" i="48"/>
  <c r="U119" i="48"/>
  <c r="V119" i="48"/>
  <c r="X119" i="48"/>
  <c r="Y119" i="48"/>
  <c r="Z119" i="48"/>
  <c r="AB119" i="48"/>
  <c r="AC119" i="48"/>
  <c r="AD119" i="48"/>
  <c r="AF119" i="48"/>
  <c r="AG119" i="48"/>
  <c r="AH119" i="48"/>
  <c r="AJ119" i="48"/>
  <c r="AK119" i="48"/>
  <c r="AL119" i="48"/>
  <c r="AN119" i="48"/>
  <c r="AO119" i="48"/>
  <c r="AP119" i="48"/>
  <c r="AR119" i="48"/>
  <c r="AS119" i="48"/>
  <c r="AT119" i="48"/>
  <c r="AU119" i="48"/>
  <c r="AV119" i="48"/>
  <c r="AW119" i="48"/>
  <c r="A120" i="48"/>
  <c r="B120" i="48"/>
  <c r="C120" i="48"/>
  <c r="D120" i="48"/>
  <c r="E120" i="48"/>
  <c r="F120" i="48"/>
  <c r="G120" i="48"/>
  <c r="H120" i="48"/>
  <c r="I120" i="48"/>
  <c r="J120" i="48"/>
  <c r="K120" i="48"/>
  <c r="L120" i="48"/>
  <c r="M120" i="48"/>
  <c r="N120" i="48"/>
  <c r="P120" i="48"/>
  <c r="Q120" i="48"/>
  <c r="R120" i="48"/>
  <c r="T120" i="48"/>
  <c r="U120" i="48"/>
  <c r="V120" i="48"/>
  <c r="X120" i="48"/>
  <c r="Y120" i="48"/>
  <c r="Z120" i="48"/>
  <c r="AB120" i="48"/>
  <c r="AC120" i="48"/>
  <c r="AD120" i="48"/>
  <c r="AF120" i="48"/>
  <c r="AG120" i="48"/>
  <c r="AH120" i="48"/>
  <c r="AJ120" i="48"/>
  <c r="AK120" i="48"/>
  <c r="AL120" i="48"/>
  <c r="AN120" i="48"/>
  <c r="AO120" i="48"/>
  <c r="AP120" i="48"/>
  <c r="AR120" i="48"/>
  <c r="AS120" i="48"/>
  <c r="AT120" i="48"/>
  <c r="AU120" i="48"/>
  <c r="AV120" i="48"/>
  <c r="AW120" i="48"/>
  <c r="A121" i="48"/>
  <c r="B121" i="48"/>
  <c r="C121" i="48"/>
  <c r="D121" i="48"/>
  <c r="E121" i="48"/>
  <c r="F121" i="48"/>
  <c r="G121" i="48"/>
  <c r="H121" i="48"/>
  <c r="I121" i="48"/>
  <c r="J121" i="48"/>
  <c r="K121" i="48"/>
  <c r="L121" i="48"/>
  <c r="M121" i="48"/>
  <c r="N121" i="48"/>
  <c r="P121" i="48"/>
  <c r="Q121" i="48"/>
  <c r="R121" i="48"/>
  <c r="T121" i="48"/>
  <c r="U121" i="48"/>
  <c r="V121" i="48"/>
  <c r="X121" i="48"/>
  <c r="Y121" i="48"/>
  <c r="Z121" i="48"/>
  <c r="AB121" i="48"/>
  <c r="AC121" i="48"/>
  <c r="AD121" i="48"/>
  <c r="AF121" i="48"/>
  <c r="AG121" i="48"/>
  <c r="AH121" i="48"/>
  <c r="AJ121" i="48"/>
  <c r="AK121" i="48"/>
  <c r="AL121" i="48"/>
  <c r="AN121" i="48"/>
  <c r="AO121" i="48"/>
  <c r="AP121" i="48"/>
  <c r="AR121" i="48"/>
  <c r="AS121" i="48"/>
  <c r="AT121" i="48"/>
  <c r="AU121" i="48"/>
  <c r="AV121" i="48"/>
  <c r="AW121" i="48"/>
  <c r="A122" i="48"/>
  <c r="B122" i="48"/>
  <c r="C122" i="48"/>
  <c r="D122" i="48"/>
  <c r="E122" i="48"/>
  <c r="F122" i="48"/>
  <c r="G122" i="48"/>
  <c r="H122" i="48"/>
  <c r="I122" i="48"/>
  <c r="J122" i="48"/>
  <c r="K122" i="48"/>
  <c r="L122" i="48"/>
  <c r="M122" i="48"/>
  <c r="N122" i="48"/>
  <c r="P122" i="48"/>
  <c r="Q122" i="48"/>
  <c r="R122" i="48"/>
  <c r="T122" i="48"/>
  <c r="U122" i="48"/>
  <c r="V122" i="48"/>
  <c r="X122" i="48"/>
  <c r="Y122" i="48"/>
  <c r="Z122" i="48"/>
  <c r="AB122" i="48"/>
  <c r="AC122" i="48"/>
  <c r="AD122" i="48"/>
  <c r="AF122" i="48"/>
  <c r="AG122" i="48"/>
  <c r="AH122" i="48"/>
  <c r="AJ122" i="48"/>
  <c r="AK122" i="48"/>
  <c r="AL122" i="48"/>
  <c r="AN122" i="48"/>
  <c r="AO122" i="48"/>
  <c r="AP122" i="48"/>
  <c r="AR122" i="48"/>
  <c r="AS122" i="48"/>
  <c r="AT122" i="48"/>
  <c r="AU122" i="48"/>
  <c r="AV122" i="48"/>
  <c r="AW122" i="48"/>
  <c r="A123" i="48"/>
  <c r="B123" i="48"/>
  <c r="C123" i="48"/>
  <c r="D123" i="48"/>
  <c r="E123" i="48"/>
  <c r="F123" i="48"/>
  <c r="G123" i="48"/>
  <c r="H123" i="48"/>
  <c r="I123" i="48"/>
  <c r="J123" i="48"/>
  <c r="K123" i="48"/>
  <c r="L123" i="48"/>
  <c r="M123" i="48"/>
  <c r="N123" i="48"/>
  <c r="P123" i="48"/>
  <c r="Q123" i="48"/>
  <c r="R123" i="48"/>
  <c r="T123" i="48"/>
  <c r="U123" i="48"/>
  <c r="V123" i="48"/>
  <c r="X123" i="48"/>
  <c r="Y123" i="48"/>
  <c r="Z123" i="48"/>
  <c r="AB123" i="48"/>
  <c r="AC123" i="48"/>
  <c r="AD123" i="48"/>
  <c r="AF123" i="48"/>
  <c r="AG123" i="48"/>
  <c r="AH123" i="48"/>
  <c r="AJ123" i="48"/>
  <c r="AK123" i="48"/>
  <c r="AL123" i="48"/>
  <c r="AN123" i="48"/>
  <c r="AO123" i="48"/>
  <c r="AP123" i="48"/>
  <c r="AR123" i="48"/>
  <c r="AS123" i="48"/>
  <c r="AT123" i="48"/>
  <c r="AU123" i="48"/>
  <c r="AV123" i="48"/>
  <c r="AW123" i="48"/>
  <c r="A124" i="48"/>
  <c r="B124" i="48"/>
  <c r="C124" i="48"/>
  <c r="D124" i="48"/>
  <c r="E124" i="48"/>
  <c r="F124" i="48"/>
  <c r="G124" i="48"/>
  <c r="H124" i="48"/>
  <c r="I124" i="48"/>
  <c r="J124" i="48"/>
  <c r="K124" i="48"/>
  <c r="L124" i="48"/>
  <c r="M124" i="48"/>
  <c r="N124" i="48"/>
  <c r="P124" i="48"/>
  <c r="Q124" i="48"/>
  <c r="R124" i="48"/>
  <c r="T124" i="48"/>
  <c r="U124" i="48"/>
  <c r="V124" i="48"/>
  <c r="X124" i="48"/>
  <c r="Y124" i="48"/>
  <c r="Z124" i="48"/>
  <c r="AB124" i="48"/>
  <c r="AC124" i="48"/>
  <c r="AD124" i="48"/>
  <c r="AF124" i="48"/>
  <c r="AG124" i="48"/>
  <c r="AH124" i="48"/>
  <c r="AJ124" i="48"/>
  <c r="AK124" i="48"/>
  <c r="AL124" i="48"/>
  <c r="AN124" i="48"/>
  <c r="AO124" i="48"/>
  <c r="AP124" i="48"/>
  <c r="AR124" i="48"/>
  <c r="AS124" i="48"/>
  <c r="AT124" i="48"/>
  <c r="AU124" i="48"/>
  <c r="AV124" i="48"/>
  <c r="AW124" i="48"/>
  <c r="A125" i="48"/>
  <c r="B125" i="48"/>
  <c r="C125" i="48"/>
  <c r="D125" i="48"/>
  <c r="E125" i="48"/>
  <c r="F125" i="48"/>
  <c r="G125" i="48"/>
  <c r="H125" i="48"/>
  <c r="I125" i="48"/>
  <c r="J125" i="48"/>
  <c r="K125" i="48"/>
  <c r="L125" i="48"/>
  <c r="M125" i="48"/>
  <c r="N125" i="48"/>
  <c r="P125" i="48"/>
  <c r="Q125" i="48"/>
  <c r="R125" i="48"/>
  <c r="T125" i="48"/>
  <c r="U125" i="48"/>
  <c r="V125" i="48"/>
  <c r="X125" i="48"/>
  <c r="Y125" i="48"/>
  <c r="Z125" i="48"/>
  <c r="AB125" i="48"/>
  <c r="AC125" i="48"/>
  <c r="AD125" i="48"/>
  <c r="AF125" i="48"/>
  <c r="AG125" i="48"/>
  <c r="AH125" i="48"/>
  <c r="AJ125" i="48"/>
  <c r="AK125" i="48"/>
  <c r="AL125" i="48"/>
  <c r="AN125" i="48"/>
  <c r="AO125" i="48"/>
  <c r="AP125" i="48"/>
  <c r="AR125" i="48"/>
  <c r="AS125" i="48"/>
  <c r="AT125" i="48"/>
  <c r="AU125" i="48"/>
  <c r="AV125" i="48"/>
  <c r="AW125" i="48"/>
  <c r="A126" i="48"/>
  <c r="B126" i="48"/>
  <c r="C126" i="48"/>
  <c r="D126" i="48"/>
  <c r="E126" i="48"/>
  <c r="F126" i="48"/>
  <c r="G126" i="48"/>
  <c r="H126" i="48"/>
  <c r="I126" i="48"/>
  <c r="J126" i="48"/>
  <c r="K126" i="48"/>
  <c r="L126" i="48"/>
  <c r="M126" i="48"/>
  <c r="N126" i="48"/>
  <c r="P126" i="48"/>
  <c r="Q126" i="48"/>
  <c r="R126" i="48"/>
  <c r="T126" i="48"/>
  <c r="U126" i="48"/>
  <c r="V126" i="48"/>
  <c r="X126" i="48"/>
  <c r="Y126" i="48"/>
  <c r="Z126" i="48"/>
  <c r="AB126" i="48"/>
  <c r="AC126" i="48"/>
  <c r="AD126" i="48"/>
  <c r="AF126" i="48"/>
  <c r="AG126" i="48"/>
  <c r="AH126" i="48"/>
  <c r="AJ126" i="48"/>
  <c r="AK126" i="48"/>
  <c r="AL126" i="48"/>
  <c r="AN126" i="48"/>
  <c r="AO126" i="48"/>
  <c r="AP126" i="48"/>
  <c r="AR126" i="48"/>
  <c r="AS126" i="48"/>
  <c r="AT126" i="48"/>
  <c r="AU126" i="48"/>
  <c r="AV126" i="48"/>
  <c r="AW126" i="48"/>
  <c r="A127" i="48"/>
  <c r="B127" i="48"/>
  <c r="C127" i="48"/>
  <c r="D127" i="48"/>
  <c r="E127" i="48"/>
  <c r="F127" i="48"/>
  <c r="G127" i="48"/>
  <c r="H127" i="48"/>
  <c r="I127" i="48"/>
  <c r="J127" i="48"/>
  <c r="K127" i="48"/>
  <c r="L127" i="48"/>
  <c r="M127" i="48"/>
  <c r="N127" i="48"/>
  <c r="P127" i="48"/>
  <c r="Q127" i="48"/>
  <c r="R127" i="48"/>
  <c r="T127" i="48"/>
  <c r="U127" i="48"/>
  <c r="V127" i="48"/>
  <c r="X127" i="48"/>
  <c r="Y127" i="48"/>
  <c r="Z127" i="48"/>
  <c r="AB127" i="48"/>
  <c r="AC127" i="48"/>
  <c r="AD127" i="48"/>
  <c r="AF127" i="48"/>
  <c r="AG127" i="48"/>
  <c r="AH127" i="48"/>
  <c r="AJ127" i="48"/>
  <c r="AK127" i="48"/>
  <c r="AL127" i="48"/>
  <c r="AN127" i="48"/>
  <c r="AO127" i="48"/>
  <c r="AP127" i="48"/>
  <c r="AR127" i="48"/>
  <c r="AS127" i="48"/>
  <c r="AT127" i="48"/>
  <c r="AU127" i="48"/>
  <c r="AV127" i="48"/>
  <c r="AW127" i="48"/>
  <c r="A128" i="48"/>
  <c r="B128" i="48"/>
  <c r="C128" i="48"/>
  <c r="D128" i="48"/>
  <c r="E128" i="48"/>
  <c r="F128" i="48"/>
  <c r="G128" i="48"/>
  <c r="H128" i="48"/>
  <c r="I128" i="48"/>
  <c r="J128" i="48"/>
  <c r="K128" i="48"/>
  <c r="L128" i="48"/>
  <c r="M128" i="48"/>
  <c r="N128" i="48"/>
  <c r="P128" i="48"/>
  <c r="Q128" i="48"/>
  <c r="R128" i="48"/>
  <c r="T128" i="48"/>
  <c r="U128" i="48"/>
  <c r="V128" i="48"/>
  <c r="X128" i="48"/>
  <c r="Y128" i="48"/>
  <c r="Z128" i="48"/>
  <c r="AB128" i="48"/>
  <c r="AC128" i="48"/>
  <c r="AD128" i="48"/>
  <c r="AF128" i="48"/>
  <c r="AG128" i="48"/>
  <c r="AH128" i="48"/>
  <c r="AJ128" i="48"/>
  <c r="AK128" i="48"/>
  <c r="AL128" i="48"/>
  <c r="AN128" i="48"/>
  <c r="AO128" i="48"/>
  <c r="AP128" i="48"/>
  <c r="AR128" i="48"/>
  <c r="AS128" i="48"/>
  <c r="AT128" i="48"/>
  <c r="AU128" i="48"/>
  <c r="AV128" i="48"/>
  <c r="AW128" i="48"/>
  <c r="A129" i="48"/>
  <c r="B129" i="48"/>
  <c r="C129" i="48"/>
  <c r="D129" i="48"/>
  <c r="E129" i="48"/>
  <c r="F129" i="48"/>
  <c r="G129" i="48"/>
  <c r="H129" i="48"/>
  <c r="I129" i="48"/>
  <c r="J129" i="48"/>
  <c r="K129" i="48"/>
  <c r="L129" i="48"/>
  <c r="M129" i="48"/>
  <c r="N129" i="48"/>
  <c r="P129" i="48"/>
  <c r="Q129" i="48"/>
  <c r="R129" i="48"/>
  <c r="T129" i="48"/>
  <c r="U129" i="48"/>
  <c r="V129" i="48"/>
  <c r="X129" i="48"/>
  <c r="Y129" i="48"/>
  <c r="Z129" i="48"/>
  <c r="AB129" i="48"/>
  <c r="AC129" i="48"/>
  <c r="AD129" i="48"/>
  <c r="AF129" i="48"/>
  <c r="AG129" i="48"/>
  <c r="AH129" i="48"/>
  <c r="AJ129" i="48"/>
  <c r="AK129" i="48"/>
  <c r="AL129" i="48"/>
  <c r="AN129" i="48"/>
  <c r="AO129" i="48"/>
  <c r="AP129" i="48"/>
  <c r="AR129" i="48"/>
  <c r="AS129" i="48"/>
  <c r="AT129" i="48"/>
  <c r="AU129" i="48"/>
  <c r="AV129" i="48"/>
  <c r="AW129" i="48"/>
  <c r="A130" i="48"/>
  <c r="B130" i="48"/>
  <c r="C130" i="48"/>
  <c r="D130" i="48"/>
  <c r="E130" i="48"/>
  <c r="F130" i="48"/>
  <c r="G130" i="48"/>
  <c r="H130" i="48"/>
  <c r="I130" i="48"/>
  <c r="J130" i="48"/>
  <c r="K130" i="48"/>
  <c r="L130" i="48"/>
  <c r="M130" i="48"/>
  <c r="N130" i="48"/>
  <c r="P130" i="48"/>
  <c r="Q130" i="48"/>
  <c r="R130" i="48"/>
  <c r="T130" i="48"/>
  <c r="U130" i="48"/>
  <c r="V130" i="48"/>
  <c r="X130" i="48"/>
  <c r="Y130" i="48"/>
  <c r="Z130" i="48"/>
  <c r="AB130" i="48"/>
  <c r="AC130" i="48"/>
  <c r="AD130" i="48"/>
  <c r="AF130" i="48"/>
  <c r="AG130" i="48"/>
  <c r="AH130" i="48"/>
  <c r="AJ130" i="48"/>
  <c r="AK130" i="48"/>
  <c r="AL130" i="48"/>
  <c r="AN130" i="48"/>
  <c r="AO130" i="48"/>
  <c r="AP130" i="48"/>
  <c r="AR130" i="48"/>
  <c r="AS130" i="48"/>
  <c r="AT130" i="48"/>
  <c r="AU130" i="48"/>
  <c r="AV130" i="48"/>
  <c r="AW130" i="48"/>
  <c r="A131" i="48"/>
  <c r="B131" i="48"/>
  <c r="C131" i="48"/>
  <c r="D131" i="48"/>
  <c r="E131" i="48"/>
  <c r="F131" i="48"/>
  <c r="G131" i="48"/>
  <c r="H131" i="48"/>
  <c r="I131" i="48"/>
  <c r="J131" i="48"/>
  <c r="K131" i="48"/>
  <c r="L131" i="48"/>
  <c r="M131" i="48"/>
  <c r="N131" i="48"/>
  <c r="P131" i="48"/>
  <c r="Q131" i="48"/>
  <c r="R131" i="48"/>
  <c r="T131" i="48"/>
  <c r="U131" i="48"/>
  <c r="V131" i="48"/>
  <c r="X131" i="48"/>
  <c r="Y131" i="48"/>
  <c r="Z131" i="48"/>
  <c r="AB131" i="48"/>
  <c r="AC131" i="48"/>
  <c r="AD131" i="48"/>
  <c r="AF131" i="48"/>
  <c r="AG131" i="48"/>
  <c r="AH131" i="48"/>
  <c r="AJ131" i="48"/>
  <c r="AK131" i="48"/>
  <c r="AL131" i="48"/>
  <c r="AN131" i="48"/>
  <c r="AO131" i="48"/>
  <c r="AP131" i="48"/>
  <c r="AR131" i="48"/>
  <c r="AS131" i="48"/>
  <c r="AT131" i="48"/>
  <c r="AU131" i="48"/>
  <c r="AV131" i="48"/>
  <c r="AW131" i="48"/>
  <c r="A132" i="48"/>
  <c r="B132" i="48"/>
  <c r="C132" i="48"/>
  <c r="D132" i="48"/>
  <c r="E132" i="48"/>
  <c r="F132" i="48"/>
  <c r="G132" i="48"/>
  <c r="H132" i="48"/>
  <c r="I132" i="48"/>
  <c r="J132" i="48"/>
  <c r="K132" i="48"/>
  <c r="L132" i="48"/>
  <c r="M132" i="48"/>
  <c r="N132" i="48"/>
  <c r="P132" i="48"/>
  <c r="Q132" i="48"/>
  <c r="R132" i="48"/>
  <c r="T132" i="48"/>
  <c r="U132" i="48"/>
  <c r="V132" i="48"/>
  <c r="X132" i="48"/>
  <c r="Y132" i="48"/>
  <c r="Z132" i="48"/>
  <c r="AB132" i="48"/>
  <c r="AC132" i="48"/>
  <c r="AD132" i="48"/>
  <c r="AF132" i="48"/>
  <c r="AG132" i="48"/>
  <c r="AH132" i="48"/>
  <c r="AJ132" i="48"/>
  <c r="AK132" i="48"/>
  <c r="AL132" i="48"/>
  <c r="AN132" i="48"/>
  <c r="AO132" i="48"/>
  <c r="AP132" i="48"/>
  <c r="AR132" i="48"/>
  <c r="AS132" i="48"/>
  <c r="AT132" i="48"/>
  <c r="AU132" i="48"/>
  <c r="AV132" i="48"/>
  <c r="AW132" i="48"/>
  <c r="A133" i="48"/>
  <c r="B133" i="48"/>
  <c r="C133" i="48"/>
  <c r="D133" i="48"/>
  <c r="E133" i="48"/>
  <c r="F133" i="48"/>
  <c r="G133" i="48"/>
  <c r="H133" i="48"/>
  <c r="I133" i="48"/>
  <c r="J133" i="48"/>
  <c r="K133" i="48"/>
  <c r="L133" i="48"/>
  <c r="M133" i="48"/>
  <c r="N133" i="48"/>
  <c r="P133" i="48"/>
  <c r="Q133" i="48"/>
  <c r="R133" i="48"/>
  <c r="T133" i="48"/>
  <c r="U133" i="48"/>
  <c r="V133" i="48"/>
  <c r="X133" i="48"/>
  <c r="Y133" i="48"/>
  <c r="Z133" i="48"/>
  <c r="AB133" i="48"/>
  <c r="AC133" i="48"/>
  <c r="AD133" i="48"/>
  <c r="AF133" i="48"/>
  <c r="AG133" i="48"/>
  <c r="AH133" i="48"/>
  <c r="AJ133" i="48"/>
  <c r="AK133" i="48"/>
  <c r="AL133" i="48"/>
  <c r="AN133" i="48"/>
  <c r="AO133" i="48"/>
  <c r="AP133" i="48"/>
  <c r="AR133" i="48"/>
  <c r="AS133" i="48"/>
  <c r="AT133" i="48"/>
  <c r="AU133" i="48"/>
  <c r="AV133" i="48"/>
  <c r="AW133" i="48"/>
  <c r="A134" i="48"/>
  <c r="B134" i="48"/>
  <c r="C134" i="48"/>
  <c r="D134" i="48"/>
  <c r="E134" i="48"/>
  <c r="F134" i="48"/>
  <c r="G134" i="48"/>
  <c r="H134" i="48"/>
  <c r="I134" i="48"/>
  <c r="J134" i="48"/>
  <c r="K134" i="48"/>
  <c r="L134" i="48"/>
  <c r="M134" i="48"/>
  <c r="N134" i="48"/>
  <c r="P134" i="48"/>
  <c r="Q134" i="48"/>
  <c r="R134" i="48"/>
  <c r="T134" i="48"/>
  <c r="U134" i="48"/>
  <c r="V134" i="48"/>
  <c r="X134" i="48"/>
  <c r="Y134" i="48"/>
  <c r="Z134" i="48"/>
  <c r="AB134" i="48"/>
  <c r="AC134" i="48"/>
  <c r="AD134" i="48"/>
  <c r="AF134" i="48"/>
  <c r="AG134" i="48"/>
  <c r="AH134" i="48"/>
  <c r="AJ134" i="48"/>
  <c r="AK134" i="48"/>
  <c r="AL134" i="48"/>
  <c r="AN134" i="48"/>
  <c r="AO134" i="48"/>
  <c r="AP134" i="48"/>
  <c r="AR134" i="48"/>
  <c r="AS134" i="48"/>
  <c r="AT134" i="48"/>
  <c r="AU134" i="48"/>
  <c r="AV134" i="48"/>
  <c r="AW134" i="48"/>
  <c r="A135" i="48"/>
  <c r="B135" i="48"/>
  <c r="C135" i="48"/>
  <c r="D135" i="48"/>
  <c r="E135" i="48"/>
  <c r="F135" i="48"/>
  <c r="G135" i="48"/>
  <c r="H135" i="48"/>
  <c r="I135" i="48"/>
  <c r="J135" i="48"/>
  <c r="K135" i="48"/>
  <c r="L135" i="48"/>
  <c r="M135" i="48"/>
  <c r="N135" i="48"/>
  <c r="P135" i="48"/>
  <c r="Q135" i="48"/>
  <c r="R135" i="48"/>
  <c r="T135" i="48"/>
  <c r="U135" i="48"/>
  <c r="V135" i="48"/>
  <c r="X135" i="48"/>
  <c r="Y135" i="48"/>
  <c r="Z135" i="48"/>
  <c r="AB135" i="48"/>
  <c r="AC135" i="48"/>
  <c r="AD135" i="48"/>
  <c r="AF135" i="48"/>
  <c r="AG135" i="48"/>
  <c r="AH135" i="48"/>
  <c r="AJ135" i="48"/>
  <c r="AK135" i="48"/>
  <c r="AL135" i="48"/>
  <c r="AN135" i="48"/>
  <c r="AO135" i="48"/>
  <c r="AP135" i="48"/>
  <c r="AR135" i="48"/>
  <c r="AS135" i="48"/>
  <c r="AT135" i="48"/>
  <c r="AU135" i="48"/>
  <c r="AV135" i="48"/>
  <c r="AW135" i="48"/>
  <c r="A136" i="48"/>
  <c r="B136" i="48"/>
  <c r="C136" i="48"/>
  <c r="D136" i="48"/>
  <c r="E136" i="48"/>
  <c r="F136" i="48"/>
  <c r="G136" i="48"/>
  <c r="H136" i="48"/>
  <c r="I136" i="48"/>
  <c r="J136" i="48"/>
  <c r="K136" i="48"/>
  <c r="L136" i="48"/>
  <c r="M136" i="48"/>
  <c r="N136" i="48"/>
  <c r="P136" i="48"/>
  <c r="Q136" i="48"/>
  <c r="R136" i="48"/>
  <c r="T136" i="48"/>
  <c r="U136" i="48"/>
  <c r="V136" i="48"/>
  <c r="X136" i="48"/>
  <c r="Y136" i="48"/>
  <c r="Z136" i="48"/>
  <c r="AB136" i="48"/>
  <c r="AC136" i="48"/>
  <c r="AD136" i="48"/>
  <c r="AF136" i="48"/>
  <c r="AG136" i="48"/>
  <c r="AH136" i="48"/>
  <c r="AJ136" i="48"/>
  <c r="AK136" i="48"/>
  <c r="AL136" i="48"/>
  <c r="AN136" i="48"/>
  <c r="AO136" i="48"/>
  <c r="AP136" i="48"/>
  <c r="AR136" i="48"/>
  <c r="AS136" i="48"/>
  <c r="AT136" i="48"/>
  <c r="AU136" i="48"/>
  <c r="AV136" i="48"/>
  <c r="AW136" i="48"/>
  <c r="A137" i="48"/>
  <c r="B137" i="48"/>
  <c r="C137" i="48"/>
  <c r="D137" i="48"/>
  <c r="E137" i="48"/>
  <c r="F137" i="48"/>
  <c r="G137" i="48"/>
  <c r="H137" i="48"/>
  <c r="I137" i="48"/>
  <c r="J137" i="48"/>
  <c r="K137" i="48"/>
  <c r="L137" i="48"/>
  <c r="M137" i="48"/>
  <c r="N137" i="48"/>
  <c r="P137" i="48"/>
  <c r="Q137" i="48"/>
  <c r="R137" i="48"/>
  <c r="T137" i="48"/>
  <c r="U137" i="48"/>
  <c r="V137" i="48"/>
  <c r="X137" i="48"/>
  <c r="Y137" i="48"/>
  <c r="Z137" i="48"/>
  <c r="AB137" i="48"/>
  <c r="AC137" i="48"/>
  <c r="AD137" i="48"/>
  <c r="AF137" i="48"/>
  <c r="AG137" i="48"/>
  <c r="AH137" i="48"/>
  <c r="AJ137" i="48"/>
  <c r="AK137" i="48"/>
  <c r="AL137" i="48"/>
  <c r="AN137" i="48"/>
  <c r="AO137" i="48"/>
  <c r="AP137" i="48"/>
  <c r="AR137" i="48"/>
  <c r="AS137" i="48"/>
  <c r="AT137" i="48"/>
  <c r="AU137" i="48"/>
  <c r="AV137" i="48"/>
  <c r="AW137" i="48"/>
  <c r="A138" i="48"/>
  <c r="B138" i="48"/>
  <c r="C138" i="48"/>
  <c r="D138" i="48"/>
  <c r="E138" i="48"/>
  <c r="F138" i="48"/>
  <c r="G138" i="48"/>
  <c r="H138" i="48"/>
  <c r="I138" i="48"/>
  <c r="J138" i="48"/>
  <c r="K138" i="48"/>
  <c r="L138" i="48"/>
  <c r="M138" i="48"/>
  <c r="N138" i="48"/>
  <c r="P138" i="48"/>
  <c r="Q138" i="48"/>
  <c r="R138" i="48"/>
  <c r="T138" i="48"/>
  <c r="U138" i="48"/>
  <c r="V138" i="48"/>
  <c r="X138" i="48"/>
  <c r="Y138" i="48"/>
  <c r="Z138" i="48"/>
  <c r="AB138" i="48"/>
  <c r="AC138" i="48"/>
  <c r="AD138" i="48"/>
  <c r="AF138" i="48"/>
  <c r="AG138" i="48"/>
  <c r="AH138" i="48"/>
  <c r="AJ138" i="48"/>
  <c r="AK138" i="48"/>
  <c r="AL138" i="48"/>
  <c r="AN138" i="48"/>
  <c r="AO138" i="48"/>
  <c r="AP138" i="48"/>
  <c r="AR138" i="48"/>
  <c r="AS138" i="48"/>
  <c r="AT138" i="48"/>
  <c r="AU138" i="48"/>
  <c r="AV138" i="48"/>
  <c r="AW138" i="48"/>
  <c r="A139" i="48"/>
  <c r="B139" i="48"/>
  <c r="C139" i="48"/>
  <c r="D139" i="48"/>
  <c r="E139" i="48"/>
  <c r="F139" i="48"/>
  <c r="G139" i="48"/>
  <c r="H139" i="48"/>
  <c r="I139" i="48"/>
  <c r="J139" i="48"/>
  <c r="K139" i="48"/>
  <c r="L139" i="48"/>
  <c r="M139" i="48"/>
  <c r="N139" i="48"/>
  <c r="P139" i="48"/>
  <c r="Q139" i="48"/>
  <c r="R139" i="48"/>
  <c r="T139" i="48"/>
  <c r="U139" i="48"/>
  <c r="V139" i="48"/>
  <c r="X139" i="48"/>
  <c r="Y139" i="48"/>
  <c r="Z139" i="48"/>
  <c r="AB139" i="48"/>
  <c r="AC139" i="48"/>
  <c r="AD139" i="48"/>
  <c r="AF139" i="48"/>
  <c r="AG139" i="48"/>
  <c r="AH139" i="48"/>
  <c r="AJ139" i="48"/>
  <c r="AK139" i="48"/>
  <c r="AL139" i="48"/>
  <c r="AN139" i="48"/>
  <c r="AO139" i="48"/>
  <c r="AP139" i="48"/>
  <c r="AR139" i="48"/>
  <c r="AS139" i="48"/>
  <c r="AT139" i="48"/>
  <c r="AU139" i="48"/>
  <c r="AV139" i="48"/>
  <c r="AW139" i="48"/>
  <c r="A140" i="48"/>
  <c r="B140" i="48"/>
  <c r="C140" i="48"/>
  <c r="D140" i="48"/>
  <c r="E140" i="48"/>
  <c r="F140" i="48"/>
  <c r="G140" i="48"/>
  <c r="H140" i="48"/>
  <c r="I140" i="48"/>
  <c r="J140" i="48"/>
  <c r="K140" i="48"/>
  <c r="L140" i="48"/>
  <c r="M140" i="48"/>
  <c r="N140" i="48"/>
  <c r="P140" i="48"/>
  <c r="Q140" i="48"/>
  <c r="R140" i="48"/>
  <c r="T140" i="48"/>
  <c r="U140" i="48"/>
  <c r="V140" i="48"/>
  <c r="X140" i="48"/>
  <c r="Y140" i="48"/>
  <c r="Z140" i="48"/>
  <c r="AB140" i="48"/>
  <c r="AC140" i="48"/>
  <c r="AD140" i="48"/>
  <c r="AF140" i="48"/>
  <c r="AG140" i="48"/>
  <c r="AH140" i="48"/>
  <c r="AJ140" i="48"/>
  <c r="AK140" i="48"/>
  <c r="AL140" i="48"/>
  <c r="AN140" i="48"/>
  <c r="AO140" i="48"/>
  <c r="AP140" i="48"/>
  <c r="AR140" i="48"/>
  <c r="AS140" i="48"/>
  <c r="AT140" i="48"/>
  <c r="AU140" i="48"/>
  <c r="AV140" i="48"/>
  <c r="AW140" i="48"/>
  <c r="A141" i="48"/>
  <c r="B141" i="48"/>
  <c r="C141" i="48"/>
  <c r="D141" i="48"/>
  <c r="E141" i="48"/>
  <c r="F141" i="48"/>
  <c r="G141" i="48"/>
  <c r="H141" i="48"/>
  <c r="I141" i="48"/>
  <c r="J141" i="48"/>
  <c r="K141" i="48"/>
  <c r="L141" i="48"/>
  <c r="M141" i="48"/>
  <c r="N141" i="48"/>
  <c r="P141" i="48"/>
  <c r="Q141" i="48"/>
  <c r="R141" i="48"/>
  <c r="T141" i="48"/>
  <c r="U141" i="48"/>
  <c r="V141" i="48"/>
  <c r="X141" i="48"/>
  <c r="Y141" i="48"/>
  <c r="Z141" i="48"/>
  <c r="AB141" i="48"/>
  <c r="AC141" i="48"/>
  <c r="AD141" i="48"/>
  <c r="AF141" i="48"/>
  <c r="AG141" i="48"/>
  <c r="AH141" i="48"/>
  <c r="AJ141" i="48"/>
  <c r="AK141" i="48"/>
  <c r="AL141" i="48"/>
  <c r="AN141" i="48"/>
  <c r="AO141" i="48"/>
  <c r="AP141" i="48"/>
  <c r="AR141" i="48"/>
  <c r="AS141" i="48"/>
  <c r="AT141" i="48"/>
  <c r="AU141" i="48"/>
  <c r="AV141" i="48"/>
  <c r="AW141" i="48"/>
  <c r="A142" i="48"/>
  <c r="B142" i="48"/>
  <c r="C142" i="48"/>
  <c r="D142" i="48"/>
  <c r="E142" i="48"/>
  <c r="F142" i="48"/>
  <c r="G142" i="48"/>
  <c r="H142" i="48"/>
  <c r="I142" i="48"/>
  <c r="J142" i="48"/>
  <c r="K142" i="48"/>
  <c r="L142" i="48"/>
  <c r="M142" i="48"/>
  <c r="N142" i="48"/>
  <c r="P142" i="48"/>
  <c r="Q142" i="48"/>
  <c r="R142" i="48"/>
  <c r="T142" i="48"/>
  <c r="U142" i="48"/>
  <c r="V142" i="48"/>
  <c r="X142" i="48"/>
  <c r="Y142" i="48"/>
  <c r="Z142" i="48"/>
  <c r="AB142" i="48"/>
  <c r="AC142" i="48"/>
  <c r="AD142" i="48"/>
  <c r="AF142" i="48"/>
  <c r="AG142" i="48"/>
  <c r="AH142" i="48"/>
  <c r="AJ142" i="48"/>
  <c r="AK142" i="48"/>
  <c r="AL142" i="48"/>
  <c r="AN142" i="48"/>
  <c r="AO142" i="48"/>
  <c r="AP142" i="48"/>
  <c r="AR142" i="48"/>
  <c r="AS142" i="48"/>
  <c r="AT142" i="48"/>
  <c r="AU142" i="48"/>
  <c r="AV142" i="48"/>
  <c r="AW142" i="48"/>
  <c r="A143" i="48"/>
  <c r="B143" i="48"/>
  <c r="C143" i="48"/>
  <c r="D143" i="48"/>
  <c r="E143" i="48"/>
  <c r="F143" i="48"/>
  <c r="G143" i="48"/>
  <c r="H143" i="48"/>
  <c r="I143" i="48"/>
  <c r="J143" i="48"/>
  <c r="K143" i="48"/>
  <c r="L143" i="48"/>
  <c r="M143" i="48"/>
  <c r="N143" i="48"/>
  <c r="P143" i="48"/>
  <c r="Q143" i="48"/>
  <c r="R143" i="48"/>
  <c r="T143" i="48"/>
  <c r="U143" i="48"/>
  <c r="V143" i="48"/>
  <c r="X143" i="48"/>
  <c r="Y143" i="48"/>
  <c r="Z143" i="48"/>
  <c r="AB143" i="48"/>
  <c r="AC143" i="48"/>
  <c r="AD143" i="48"/>
  <c r="AF143" i="48"/>
  <c r="AG143" i="48"/>
  <c r="AH143" i="48"/>
  <c r="AJ143" i="48"/>
  <c r="AK143" i="48"/>
  <c r="AL143" i="48"/>
  <c r="AN143" i="48"/>
  <c r="AO143" i="48"/>
  <c r="AP143" i="48"/>
  <c r="AR143" i="48"/>
  <c r="AS143" i="48"/>
  <c r="AT143" i="48"/>
  <c r="AU143" i="48"/>
  <c r="AV143" i="48"/>
  <c r="AW143" i="48"/>
  <c r="A144" i="48"/>
  <c r="B144" i="48"/>
  <c r="C144" i="48"/>
  <c r="D144" i="48"/>
  <c r="E144" i="48"/>
  <c r="F144" i="48"/>
  <c r="G144" i="48"/>
  <c r="H144" i="48"/>
  <c r="I144" i="48"/>
  <c r="J144" i="48"/>
  <c r="K144" i="48"/>
  <c r="L144" i="48"/>
  <c r="M144" i="48"/>
  <c r="N144" i="48"/>
  <c r="P144" i="48"/>
  <c r="Q144" i="48"/>
  <c r="R144" i="48"/>
  <c r="T144" i="48"/>
  <c r="U144" i="48"/>
  <c r="V144" i="48"/>
  <c r="X144" i="48"/>
  <c r="Y144" i="48"/>
  <c r="Z144" i="48"/>
  <c r="AB144" i="48"/>
  <c r="AC144" i="48"/>
  <c r="AD144" i="48"/>
  <c r="AF144" i="48"/>
  <c r="AG144" i="48"/>
  <c r="AH144" i="48"/>
  <c r="AJ144" i="48"/>
  <c r="AK144" i="48"/>
  <c r="AL144" i="48"/>
  <c r="AN144" i="48"/>
  <c r="AO144" i="48"/>
  <c r="AP144" i="48"/>
  <c r="AR144" i="48"/>
  <c r="AS144" i="48"/>
  <c r="AT144" i="48"/>
  <c r="AU144" i="48"/>
  <c r="AV144" i="48"/>
  <c r="AW144" i="48"/>
  <c r="A145" i="48"/>
  <c r="B145" i="48"/>
  <c r="C145" i="48"/>
  <c r="D145" i="48"/>
  <c r="E145" i="48"/>
  <c r="F145" i="48"/>
  <c r="G145" i="48"/>
  <c r="H145" i="48"/>
  <c r="I145" i="48"/>
  <c r="J145" i="48"/>
  <c r="K145" i="48"/>
  <c r="L145" i="48"/>
  <c r="M145" i="48"/>
  <c r="N145" i="48"/>
  <c r="P145" i="48"/>
  <c r="Q145" i="48"/>
  <c r="R145" i="48"/>
  <c r="T145" i="48"/>
  <c r="U145" i="48"/>
  <c r="V145" i="48"/>
  <c r="X145" i="48"/>
  <c r="Y145" i="48"/>
  <c r="Z145" i="48"/>
  <c r="AB145" i="48"/>
  <c r="AC145" i="48"/>
  <c r="AD145" i="48"/>
  <c r="AF145" i="48"/>
  <c r="AG145" i="48"/>
  <c r="AH145" i="48"/>
  <c r="AJ145" i="48"/>
  <c r="AK145" i="48"/>
  <c r="AL145" i="48"/>
  <c r="AN145" i="48"/>
  <c r="AO145" i="48"/>
  <c r="AP145" i="48"/>
  <c r="AR145" i="48"/>
  <c r="AS145" i="48"/>
  <c r="AT145" i="48"/>
  <c r="AU145" i="48"/>
  <c r="AV145" i="48"/>
  <c r="AW145" i="48"/>
  <c r="A146" i="48"/>
  <c r="B146" i="48"/>
  <c r="C146" i="48"/>
  <c r="D146" i="48"/>
  <c r="E146" i="48"/>
  <c r="F146" i="48"/>
  <c r="G146" i="48"/>
  <c r="H146" i="48"/>
  <c r="I146" i="48"/>
  <c r="J146" i="48"/>
  <c r="K146" i="48"/>
  <c r="L146" i="48"/>
  <c r="M146" i="48"/>
  <c r="N146" i="48"/>
  <c r="P146" i="48"/>
  <c r="Q146" i="48"/>
  <c r="R146" i="48"/>
  <c r="T146" i="48"/>
  <c r="U146" i="48"/>
  <c r="V146" i="48"/>
  <c r="X146" i="48"/>
  <c r="Y146" i="48"/>
  <c r="Z146" i="48"/>
  <c r="AB146" i="48"/>
  <c r="AC146" i="48"/>
  <c r="AD146" i="48"/>
  <c r="AF146" i="48"/>
  <c r="AG146" i="48"/>
  <c r="AH146" i="48"/>
  <c r="AJ146" i="48"/>
  <c r="AK146" i="48"/>
  <c r="AL146" i="48"/>
  <c r="AN146" i="48"/>
  <c r="AO146" i="48"/>
  <c r="AP146" i="48"/>
  <c r="AR146" i="48"/>
  <c r="AS146" i="48"/>
  <c r="AT146" i="48"/>
  <c r="AU146" i="48"/>
  <c r="AV146" i="48"/>
  <c r="AW146" i="48"/>
  <c r="A147" i="48"/>
  <c r="B147" i="48"/>
  <c r="C147" i="48"/>
  <c r="D147" i="48"/>
  <c r="E147" i="48"/>
  <c r="F147" i="48"/>
  <c r="G147" i="48"/>
  <c r="H147" i="48"/>
  <c r="I147" i="48"/>
  <c r="J147" i="48"/>
  <c r="K147" i="48"/>
  <c r="L147" i="48"/>
  <c r="M147" i="48"/>
  <c r="N147" i="48"/>
  <c r="P147" i="48"/>
  <c r="Q147" i="48"/>
  <c r="R147" i="48"/>
  <c r="T147" i="48"/>
  <c r="U147" i="48"/>
  <c r="V147" i="48"/>
  <c r="X147" i="48"/>
  <c r="Y147" i="48"/>
  <c r="Z147" i="48"/>
  <c r="AB147" i="48"/>
  <c r="AC147" i="48"/>
  <c r="AD147" i="48"/>
  <c r="AF147" i="48"/>
  <c r="AG147" i="48"/>
  <c r="AH147" i="48"/>
  <c r="AJ147" i="48"/>
  <c r="AK147" i="48"/>
  <c r="AL147" i="48"/>
  <c r="AN147" i="48"/>
  <c r="AO147" i="48"/>
  <c r="AP147" i="48"/>
  <c r="AR147" i="48"/>
  <c r="AS147" i="48"/>
  <c r="AT147" i="48"/>
  <c r="AU147" i="48"/>
  <c r="AV147" i="48"/>
  <c r="AW147" i="48"/>
  <c r="A148" i="48"/>
  <c r="B148" i="48"/>
  <c r="C148" i="48"/>
  <c r="D148" i="48"/>
  <c r="E148" i="48"/>
  <c r="F148" i="48"/>
  <c r="G148" i="48"/>
  <c r="H148" i="48"/>
  <c r="I148" i="48"/>
  <c r="J148" i="48"/>
  <c r="K148" i="48"/>
  <c r="L148" i="48"/>
  <c r="M148" i="48"/>
  <c r="N148" i="48"/>
  <c r="P148" i="48"/>
  <c r="Q148" i="48"/>
  <c r="R148" i="48"/>
  <c r="T148" i="48"/>
  <c r="U148" i="48"/>
  <c r="V148" i="48"/>
  <c r="X148" i="48"/>
  <c r="Y148" i="48"/>
  <c r="Z148" i="48"/>
  <c r="AB148" i="48"/>
  <c r="AC148" i="48"/>
  <c r="AD148" i="48"/>
  <c r="AF148" i="48"/>
  <c r="AG148" i="48"/>
  <c r="AH148" i="48"/>
  <c r="AJ148" i="48"/>
  <c r="AK148" i="48"/>
  <c r="AL148" i="48"/>
  <c r="AN148" i="48"/>
  <c r="AO148" i="48"/>
  <c r="AP148" i="48"/>
  <c r="AR148" i="48"/>
  <c r="AS148" i="48"/>
  <c r="AT148" i="48"/>
  <c r="AU148" i="48"/>
  <c r="AV148" i="48"/>
  <c r="AW148" i="48"/>
  <c r="A149" i="48"/>
  <c r="B149" i="48"/>
  <c r="C149" i="48"/>
  <c r="D149" i="48"/>
  <c r="E149" i="48"/>
  <c r="F149" i="48"/>
  <c r="G149" i="48"/>
  <c r="H149" i="48"/>
  <c r="I149" i="48"/>
  <c r="J149" i="48"/>
  <c r="K149" i="48"/>
  <c r="L149" i="48"/>
  <c r="M149" i="48"/>
  <c r="N149" i="48"/>
  <c r="P149" i="48"/>
  <c r="Q149" i="48"/>
  <c r="R149" i="48"/>
  <c r="T149" i="48"/>
  <c r="U149" i="48"/>
  <c r="V149" i="48"/>
  <c r="X149" i="48"/>
  <c r="Y149" i="48"/>
  <c r="Z149" i="48"/>
  <c r="AB149" i="48"/>
  <c r="AC149" i="48"/>
  <c r="AD149" i="48"/>
  <c r="AF149" i="48"/>
  <c r="AG149" i="48"/>
  <c r="AH149" i="48"/>
  <c r="AJ149" i="48"/>
  <c r="AK149" i="48"/>
  <c r="AL149" i="48"/>
  <c r="AN149" i="48"/>
  <c r="AO149" i="48"/>
  <c r="AP149" i="48"/>
  <c r="AR149" i="48"/>
  <c r="AS149" i="48"/>
  <c r="AT149" i="48"/>
  <c r="AU149" i="48"/>
  <c r="AV149" i="48"/>
  <c r="AW149" i="48"/>
  <c r="A150" i="48"/>
  <c r="B150" i="48"/>
  <c r="C150" i="48"/>
  <c r="D150" i="48"/>
  <c r="E150" i="48"/>
  <c r="F150" i="48"/>
  <c r="G150" i="48"/>
  <c r="H150" i="48"/>
  <c r="I150" i="48"/>
  <c r="J150" i="48"/>
  <c r="K150" i="48"/>
  <c r="L150" i="48"/>
  <c r="M150" i="48"/>
  <c r="N150" i="48"/>
  <c r="P150" i="48"/>
  <c r="Q150" i="48"/>
  <c r="R150" i="48"/>
  <c r="T150" i="48"/>
  <c r="U150" i="48"/>
  <c r="V150" i="48"/>
  <c r="X150" i="48"/>
  <c r="Y150" i="48"/>
  <c r="Z150" i="48"/>
  <c r="AB150" i="48"/>
  <c r="AC150" i="48"/>
  <c r="AD150" i="48"/>
  <c r="AF150" i="48"/>
  <c r="AG150" i="48"/>
  <c r="AH150" i="48"/>
  <c r="AJ150" i="48"/>
  <c r="AK150" i="48"/>
  <c r="AL150" i="48"/>
  <c r="AN150" i="48"/>
  <c r="AO150" i="48"/>
  <c r="AP150" i="48"/>
  <c r="AR150" i="48"/>
  <c r="AS150" i="48"/>
  <c r="AT150" i="48"/>
  <c r="AU150" i="48"/>
  <c r="AV150" i="48"/>
  <c r="AW150" i="48"/>
  <c r="A151" i="48"/>
  <c r="B151" i="48"/>
  <c r="C151" i="48"/>
  <c r="D151" i="48"/>
  <c r="E151" i="48"/>
  <c r="F151" i="48"/>
  <c r="G151" i="48"/>
  <c r="H151" i="48"/>
  <c r="I151" i="48"/>
  <c r="J151" i="48"/>
  <c r="K151" i="48"/>
  <c r="L151" i="48"/>
  <c r="M151" i="48"/>
  <c r="N151" i="48"/>
  <c r="P151" i="48"/>
  <c r="Q151" i="48"/>
  <c r="R151" i="48"/>
  <c r="T151" i="48"/>
  <c r="U151" i="48"/>
  <c r="V151" i="48"/>
  <c r="X151" i="48"/>
  <c r="Y151" i="48"/>
  <c r="Z151" i="48"/>
  <c r="AB151" i="48"/>
  <c r="AC151" i="48"/>
  <c r="AD151" i="48"/>
  <c r="AF151" i="48"/>
  <c r="AG151" i="48"/>
  <c r="AH151" i="48"/>
  <c r="AJ151" i="48"/>
  <c r="AK151" i="48"/>
  <c r="AL151" i="48"/>
  <c r="AN151" i="48"/>
  <c r="AO151" i="48"/>
  <c r="AP151" i="48"/>
  <c r="AR151" i="48"/>
  <c r="AS151" i="48"/>
  <c r="AT151" i="48"/>
  <c r="AU151" i="48"/>
  <c r="AV151" i="48"/>
  <c r="AW151" i="48"/>
  <c r="A152" i="48"/>
  <c r="B152" i="48"/>
  <c r="C152" i="48"/>
  <c r="D152" i="48"/>
  <c r="E152" i="48"/>
  <c r="F152" i="48"/>
  <c r="G152" i="48"/>
  <c r="H152" i="48"/>
  <c r="I152" i="48"/>
  <c r="J152" i="48"/>
  <c r="K152" i="48"/>
  <c r="L152" i="48"/>
  <c r="M152" i="48"/>
  <c r="N152" i="48"/>
  <c r="P152" i="48"/>
  <c r="Q152" i="48"/>
  <c r="R152" i="48"/>
  <c r="T152" i="48"/>
  <c r="U152" i="48"/>
  <c r="V152" i="48"/>
  <c r="X152" i="48"/>
  <c r="Y152" i="48"/>
  <c r="Z152" i="48"/>
  <c r="AB152" i="48"/>
  <c r="AC152" i="48"/>
  <c r="AD152" i="48"/>
  <c r="AF152" i="48"/>
  <c r="AG152" i="48"/>
  <c r="AH152" i="48"/>
  <c r="AJ152" i="48"/>
  <c r="AK152" i="48"/>
  <c r="AL152" i="48"/>
  <c r="AN152" i="48"/>
  <c r="AO152" i="48"/>
  <c r="AP152" i="48"/>
  <c r="AR152" i="48"/>
  <c r="AS152" i="48"/>
  <c r="AT152" i="48"/>
  <c r="AU152" i="48"/>
  <c r="AV152" i="48"/>
  <c r="AW152" i="48"/>
  <c r="A153" i="48"/>
  <c r="B153" i="48"/>
  <c r="C153" i="48"/>
  <c r="D153" i="48"/>
  <c r="E153" i="48"/>
  <c r="F153" i="48"/>
  <c r="G153" i="48"/>
  <c r="H153" i="48"/>
  <c r="I153" i="48"/>
  <c r="J153" i="48"/>
  <c r="K153" i="48"/>
  <c r="L153" i="48"/>
  <c r="M153" i="48"/>
  <c r="N153" i="48"/>
  <c r="P153" i="48"/>
  <c r="Q153" i="48"/>
  <c r="R153" i="48"/>
  <c r="T153" i="48"/>
  <c r="U153" i="48"/>
  <c r="V153" i="48"/>
  <c r="X153" i="48"/>
  <c r="Y153" i="48"/>
  <c r="Z153" i="48"/>
  <c r="AB153" i="48"/>
  <c r="AC153" i="48"/>
  <c r="AD153" i="48"/>
  <c r="AF153" i="48"/>
  <c r="AG153" i="48"/>
  <c r="AH153" i="48"/>
  <c r="AJ153" i="48"/>
  <c r="AK153" i="48"/>
  <c r="AL153" i="48"/>
  <c r="AN153" i="48"/>
  <c r="AO153" i="48"/>
  <c r="AP153" i="48"/>
  <c r="AR153" i="48"/>
  <c r="AS153" i="48"/>
  <c r="AT153" i="48"/>
  <c r="AU153" i="48"/>
  <c r="AV153" i="48"/>
  <c r="AW153" i="48"/>
  <c r="A154" i="48"/>
  <c r="B154" i="48"/>
  <c r="C154" i="48"/>
  <c r="D154" i="48"/>
  <c r="E154" i="48"/>
  <c r="F154" i="48"/>
  <c r="G154" i="48"/>
  <c r="H154" i="48"/>
  <c r="I154" i="48"/>
  <c r="J154" i="48"/>
  <c r="K154" i="48"/>
  <c r="L154" i="48"/>
  <c r="M154" i="48"/>
  <c r="N154" i="48"/>
  <c r="P154" i="48"/>
  <c r="Q154" i="48"/>
  <c r="R154" i="48"/>
  <c r="T154" i="48"/>
  <c r="U154" i="48"/>
  <c r="V154" i="48"/>
  <c r="X154" i="48"/>
  <c r="Y154" i="48"/>
  <c r="Z154" i="48"/>
  <c r="AB154" i="48"/>
  <c r="AC154" i="48"/>
  <c r="AD154" i="48"/>
  <c r="AF154" i="48"/>
  <c r="AG154" i="48"/>
  <c r="AH154" i="48"/>
  <c r="AJ154" i="48"/>
  <c r="AK154" i="48"/>
  <c r="AL154" i="48"/>
  <c r="AN154" i="48"/>
  <c r="AO154" i="48"/>
  <c r="AP154" i="48"/>
  <c r="AR154" i="48"/>
  <c r="AS154" i="48"/>
  <c r="AT154" i="48"/>
  <c r="AU154" i="48"/>
  <c r="AV154" i="48"/>
  <c r="AW154" i="48"/>
  <c r="A155" i="48"/>
  <c r="B155" i="48"/>
  <c r="C155" i="48"/>
  <c r="D155" i="48"/>
  <c r="E155" i="48"/>
  <c r="F155" i="48"/>
  <c r="G155" i="48"/>
  <c r="H155" i="48"/>
  <c r="I155" i="48"/>
  <c r="J155" i="48"/>
  <c r="K155" i="48"/>
  <c r="L155" i="48"/>
  <c r="M155" i="48"/>
  <c r="N155" i="48"/>
  <c r="P155" i="48"/>
  <c r="Q155" i="48"/>
  <c r="R155" i="48"/>
  <c r="T155" i="48"/>
  <c r="U155" i="48"/>
  <c r="V155" i="48"/>
  <c r="X155" i="48"/>
  <c r="Y155" i="48"/>
  <c r="Z155" i="48"/>
  <c r="AB155" i="48"/>
  <c r="AC155" i="48"/>
  <c r="AD155" i="48"/>
  <c r="AF155" i="48"/>
  <c r="AG155" i="48"/>
  <c r="AH155" i="48"/>
  <c r="AJ155" i="48"/>
  <c r="AK155" i="48"/>
  <c r="AL155" i="48"/>
  <c r="AN155" i="48"/>
  <c r="AO155" i="48"/>
  <c r="AP155" i="48"/>
  <c r="AR155" i="48"/>
  <c r="AS155" i="48"/>
  <c r="AT155" i="48"/>
  <c r="AU155" i="48"/>
  <c r="AV155" i="48"/>
  <c r="AW155" i="48"/>
  <c r="A156" i="48"/>
  <c r="B156" i="48"/>
  <c r="C156" i="48"/>
  <c r="D156" i="48"/>
  <c r="E156" i="48"/>
  <c r="F156" i="48"/>
  <c r="G156" i="48"/>
  <c r="H156" i="48"/>
  <c r="I156" i="48"/>
  <c r="J156" i="48"/>
  <c r="K156" i="48"/>
  <c r="L156" i="48"/>
  <c r="M156" i="48"/>
  <c r="N156" i="48"/>
  <c r="P156" i="48"/>
  <c r="Q156" i="48"/>
  <c r="R156" i="48"/>
  <c r="T156" i="48"/>
  <c r="U156" i="48"/>
  <c r="V156" i="48"/>
  <c r="X156" i="48"/>
  <c r="Y156" i="48"/>
  <c r="Z156" i="48"/>
  <c r="AB156" i="48"/>
  <c r="AC156" i="48"/>
  <c r="AD156" i="48"/>
  <c r="AF156" i="48"/>
  <c r="AG156" i="48"/>
  <c r="AH156" i="48"/>
  <c r="AJ156" i="48"/>
  <c r="AK156" i="48"/>
  <c r="AL156" i="48"/>
  <c r="AN156" i="48"/>
  <c r="AO156" i="48"/>
  <c r="AP156" i="48"/>
  <c r="AR156" i="48"/>
  <c r="AS156" i="48"/>
  <c r="AT156" i="48"/>
  <c r="AU156" i="48"/>
  <c r="AV156" i="48"/>
  <c r="AW156" i="48"/>
  <c r="A157" i="48"/>
  <c r="B157" i="48"/>
  <c r="C157" i="48"/>
  <c r="D157" i="48"/>
  <c r="E157" i="48"/>
  <c r="F157" i="48"/>
  <c r="G157" i="48"/>
  <c r="H157" i="48"/>
  <c r="I157" i="48"/>
  <c r="J157" i="48"/>
  <c r="K157" i="48"/>
  <c r="L157" i="48"/>
  <c r="M157" i="48"/>
  <c r="N157" i="48"/>
  <c r="P157" i="48"/>
  <c r="Q157" i="48"/>
  <c r="R157" i="48"/>
  <c r="T157" i="48"/>
  <c r="U157" i="48"/>
  <c r="V157" i="48"/>
  <c r="X157" i="48"/>
  <c r="Y157" i="48"/>
  <c r="Z157" i="48"/>
  <c r="AB157" i="48"/>
  <c r="AC157" i="48"/>
  <c r="AD157" i="48"/>
  <c r="AF157" i="48"/>
  <c r="AG157" i="48"/>
  <c r="AH157" i="48"/>
  <c r="AJ157" i="48"/>
  <c r="AK157" i="48"/>
  <c r="AL157" i="48"/>
  <c r="AN157" i="48"/>
  <c r="AO157" i="48"/>
  <c r="AP157" i="48"/>
  <c r="AR157" i="48"/>
  <c r="AS157" i="48"/>
  <c r="AT157" i="48"/>
  <c r="AU157" i="48"/>
  <c r="AV157" i="48"/>
  <c r="AW157" i="48"/>
  <c r="A158" i="48"/>
  <c r="B158" i="48"/>
  <c r="C158" i="48"/>
  <c r="D158" i="48"/>
  <c r="E158" i="48"/>
  <c r="F158" i="48"/>
  <c r="G158" i="48"/>
  <c r="H158" i="48"/>
  <c r="I158" i="48"/>
  <c r="J158" i="48"/>
  <c r="K158" i="48"/>
  <c r="L158" i="48"/>
  <c r="M158" i="48"/>
  <c r="N158" i="48"/>
  <c r="P158" i="48"/>
  <c r="Q158" i="48"/>
  <c r="R158" i="48"/>
  <c r="T158" i="48"/>
  <c r="U158" i="48"/>
  <c r="V158" i="48"/>
  <c r="X158" i="48"/>
  <c r="Y158" i="48"/>
  <c r="Z158" i="48"/>
  <c r="AB158" i="48"/>
  <c r="AC158" i="48"/>
  <c r="AD158" i="48"/>
  <c r="AF158" i="48"/>
  <c r="AG158" i="48"/>
  <c r="AH158" i="48"/>
  <c r="AJ158" i="48"/>
  <c r="AK158" i="48"/>
  <c r="AL158" i="48"/>
  <c r="AN158" i="48"/>
  <c r="AO158" i="48"/>
  <c r="AP158" i="48"/>
  <c r="AR158" i="48"/>
  <c r="AS158" i="48"/>
  <c r="AT158" i="48"/>
  <c r="AU158" i="48"/>
  <c r="AV158" i="48"/>
  <c r="AW158" i="48"/>
  <c r="A159" i="48"/>
  <c r="B159" i="48"/>
  <c r="C159" i="48"/>
  <c r="D159" i="48"/>
  <c r="E159" i="48"/>
  <c r="F159" i="48"/>
  <c r="G159" i="48"/>
  <c r="H159" i="48"/>
  <c r="I159" i="48"/>
  <c r="J159" i="48"/>
  <c r="K159" i="48"/>
  <c r="L159" i="48"/>
  <c r="M159" i="48"/>
  <c r="N159" i="48"/>
  <c r="P159" i="48"/>
  <c r="Q159" i="48"/>
  <c r="R159" i="48"/>
  <c r="T159" i="48"/>
  <c r="U159" i="48"/>
  <c r="V159" i="48"/>
  <c r="X159" i="48"/>
  <c r="Y159" i="48"/>
  <c r="Z159" i="48"/>
  <c r="AB159" i="48"/>
  <c r="AC159" i="48"/>
  <c r="AD159" i="48"/>
  <c r="AF159" i="48"/>
  <c r="AG159" i="48"/>
  <c r="AH159" i="48"/>
  <c r="AJ159" i="48"/>
  <c r="AK159" i="48"/>
  <c r="AL159" i="48"/>
  <c r="AN159" i="48"/>
  <c r="AO159" i="48"/>
  <c r="AP159" i="48"/>
  <c r="AR159" i="48"/>
  <c r="AS159" i="48"/>
  <c r="AT159" i="48"/>
  <c r="AU159" i="48"/>
  <c r="AV159" i="48"/>
  <c r="AW159" i="48"/>
  <c r="A160" i="48"/>
  <c r="B160" i="48"/>
  <c r="C160" i="48"/>
  <c r="D160" i="48"/>
  <c r="E160" i="48"/>
  <c r="F160" i="48"/>
  <c r="G160" i="48"/>
  <c r="H160" i="48"/>
  <c r="I160" i="48"/>
  <c r="J160" i="48"/>
  <c r="K160" i="48"/>
  <c r="L160" i="48"/>
  <c r="M160" i="48"/>
  <c r="N160" i="48"/>
  <c r="P160" i="48"/>
  <c r="Q160" i="48"/>
  <c r="R160" i="48"/>
  <c r="T160" i="48"/>
  <c r="U160" i="48"/>
  <c r="V160" i="48"/>
  <c r="X160" i="48"/>
  <c r="Y160" i="48"/>
  <c r="Z160" i="48"/>
  <c r="AB160" i="48"/>
  <c r="AC160" i="48"/>
  <c r="AD160" i="48"/>
  <c r="AF160" i="48"/>
  <c r="AG160" i="48"/>
  <c r="AH160" i="48"/>
  <c r="AJ160" i="48"/>
  <c r="AK160" i="48"/>
  <c r="AL160" i="48"/>
  <c r="AN160" i="48"/>
  <c r="AO160" i="48"/>
  <c r="AP160" i="48"/>
  <c r="AR160" i="48"/>
  <c r="AS160" i="48"/>
  <c r="AT160" i="48"/>
  <c r="AU160" i="48"/>
  <c r="AV160" i="48"/>
  <c r="AW160" i="48"/>
  <c r="A161" i="48"/>
  <c r="B161" i="48"/>
  <c r="C161" i="48"/>
  <c r="D161" i="48"/>
  <c r="E161" i="48"/>
  <c r="F161" i="48"/>
  <c r="G161" i="48"/>
  <c r="H161" i="48"/>
  <c r="I161" i="48"/>
  <c r="J161" i="48"/>
  <c r="K161" i="48"/>
  <c r="L161" i="48"/>
  <c r="M161" i="48"/>
  <c r="N161" i="48"/>
  <c r="P161" i="48"/>
  <c r="Q161" i="48"/>
  <c r="R161" i="48"/>
  <c r="T161" i="48"/>
  <c r="U161" i="48"/>
  <c r="V161" i="48"/>
  <c r="X161" i="48"/>
  <c r="Y161" i="48"/>
  <c r="Z161" i="48"/>
  <c r="AB161" i="48"/>
  <c r="AC161" i="48"/>
  <c r="AD161" i="48"/>
  <c r="AF161" i="48"/>
  <c r="AG161" i="48"/>
  <c r="AH161" i="48"/>
  <c r="AJ161" i="48"/>
  <c r="AK161" i="48"/>
  <c r="AL161" i="48"/>
  <c r="AN161" i="48"/>
  <c r="AO161" i="48"/>
  <c r="AP161" i="48"/>
  <c r="AR161" i="48"/>
  <c r="AS161" i="48"/>
  <c r="AT161" i="48"/>
  <c r="AU161" i="48"/>
  <c r="AV161" i="48"/>
  <c r="AW161" i="48"/>
  <c r="A162" i="48"/>
  <c r="B162" i="48"/>
  <c r="C162" i="48"/>
  <c r="D162" i="48"/>
  <c r="E162" i="48"/>
  <c r="F162" i="48"/>
  <c r="G162" i="48"/>
  <c r="H162" i="48"/>
  <c r="I162" i="48"/>
  <c r="J162" i="48"/>
  <c r="K162" i="48"/>
  <c r="L162" i="48"/>
  <c r="M162" i="48"/>
  <c r="N162" i="48"/>
  <c r="P162" i="48"/>
  <c r="Q162" i="48"/>
  <c r="R162" i="48"/>
  <c r="T162" i="48"/>
  <c r="U162" i="48"/>
  <c r="V162" i="48"/>
  <c r="X162" i="48"/>
  <c r="Y162" i="48"/>
  <c r="Z162" i="48"/>
  <c r="AB162" i="48"/>
  <c r="AC162" i="48"/>
  <c r="AD162" i="48"/>
  <c r="AF162" i="48"/>
  <c r="AG162" i="48"/>
  <c r="AH162" i="48"/>
  <c r="AJ162" i="48"/>
  <c r="AK162" i="48"/>
  <c r="AL162" i="48"/>
  <c r="AN162" i="48"/>
  <c r="AO162" i="48"/>
  <c r="AP162" i="48"/>
  <c r="AR162" i="48"/>
  <c r="AS162" i="48"/>
  <c r="AT162" i="48"/>
  <c r="AU162" i="48"/>
  <c r="AV162" i="48"/>
  <c r="AW162" i="48"/>
  <c r="A163" i="48"/>
  <c r="B163" i="48"/>
  <c r="C163" i="48"/>
  <c r="D163" i="48"/>
  <c r="E163" i="48"/>
  <c r="F163" i="48"/>
  <c r="G163" i="48"/>
  <c r="H163" i="48"/>
  <c r="I163" i="48"/>
  <c r="J163" i="48"/>
  <c r="K163" i="48"/>
  <c r="L163" i="48"/>
  <c r="M163" i="48"/>
  <c r="N163" i="48"/>
  <c r="P163" i="48"/>
  <c r="Q163" i="48"/>
  <c r="R163" i="48"/>
  <c r="T163" i="48"/>
  <c r="U163" i="48"/>
  <c r="V163" i="48"/>
  <c r="X163" i="48"/>
  <c r="Y163" i="48"/>
  <c r="Z163" i="48"/>
  <c r="AB163" i="48"/>
  <c r="AC163" i="48"/>
  <c r="AD163" i="48"/>
  <c r="AF163" i="48"/>
  <c r="AG163" i="48"/>
  <c r="AH163" i="48"/>
  <c r="AJ163" i="48"/>
  <c r="AK163" i="48"/>
  <c r="AL163" i="48"/>
  <c r="AN163" i="48"/>
  <c r="AO163" i="48"/>
  <c r="AP163" i="48"/>
  <c r="AR163" i="48"/>
  <c r="AS163" i="48"/>
  <c r="AT163" i="48"/>
  <c r="AU163" i="48"/>
  <c r="AV163" i="48"/>
  <c r="AW163" i="48"/>
  <c r="A164" i="48"/>
  <c r="B164" i="48"/>
  <c r="C164" i="48"/>
  <c r="D164" i="48"/>
  <c r="E164" i="48"/>
  <c r="F164" i="48"/>
  <c r="G164" i="48"/>
  <c r="H164" i="48"/>
  <c r="I164" i="48"/>
  <c r="J164" i="48"/>
  <c r="K164" i="48"/>
  <c r="L164" i="48"/>
  <c r="M164" i="48"/>
  <c r="N164" i="48"/>
  <c r="P164" i="48"/>
  <c r="Q164" i="48"/>
  <c r="R164" i="48"/>
  <c r="T164" i="48"/>
  <c r="U164" i="48"/>
  <c r="V164" i="48"/>
  <c r="X164" i="48"/>
  <c r="Y164" i="48"/>
  <c r="Z164" i="48"/>
  <c r="AB164" i="48"/>
  <c r="AC164" i="48"/>
  <c r="AD164" i="48"/>
  <c r="AF164" i="48"/>
  <c r="AG164" i="48"/>
  <c r="AH164" i="48"/>
  <c r="AJ164" i="48"/>
  <c r="AK164" i="48"/>
  <c r="AL164" i="48"/>
  <c r="AN164" i="48"/>
  <c r="AO164" i="48"/>
  <c r="AP164" i="48"/>
  <c r="AR164" i="48"/>
  <c r="AS164" i="48"/>
  <c r="AT164" i="48"/>
  <c r="AU164" i="48"/>
  <c r="AV164" i="48"/>
  <c r="AW164" i="48"/>
  <c r="A165" i="48"/>
  <c r="B165" i="48"/>
  <c r="C165" i="48"/>
  <c r="D165" i="48"/>
  <c r="E165" i="48"/>
  <c r="F165" i="48"/>
  <c r="G165" i="48"/>
  <c r="H165" i="48"/>
  <c r="I165" i="48"/>
  <c r="J165" i="48"/>
  <c r="K165" i="48"/>
  <c r="L165" i="48"/>
  <c r="M165" i="48"/>
  <c r="N165" i="48"/>
  <c r="P165" i="48"/>
  <c r="Q165" i="48"/>
  <c r="R165" i="48"/>
  <c r="T165" i="48"/>
  <c r="U165" i="48"/>
  <c r="V165" i="48"/>
  <c r="X165" i="48"/>
  <c r="Y165" i="48"/>
  <c r="Z165" i="48"/>
  <c r="AB165" i="48"/>
  <c r="AC165" i="48"/>
  <c r="AD165" i="48"/>
  <c r="AF165" i="48"/>
  <c r="AG165" i="48"/>
  <c r="AH165" i="48"/>
  <c r="AJ165" i="48"/>
  <c r="AK165" i="48"/>
  <c r="AL165" i="48"/>
  <c r="AN165" i="48"/>
  <c r="AO165" i="48"/>
  <c r="AP165" i="48"/>
  <c r="AR165" i="48"/>
  <c r="AS165" i="48"/>
  <c r="AT165" i="48"/>
  <c r="AU165" i="48"/>
  <c r="AV165" i="48"/>
  <c r="AW165" i="48"/>
  <c r="A166" i="48"/>
  <c r="B166" i="48"/>
  <c r="C166" i="48"/>
  <c r="D166" i="48"/>
  <c r="E166" i="48"/>
  <c r="F166" i="48"/>
  <c r="G166" i="48"/>
  <c r="H166" i="48"/>
  <c r="I166" i="48"/>
  <c r="J166" i="48"/>
  <c r="K166" i="48"/>
  <c r="L166" i="48"/>
  <c r="M166" i="48"/>
  <c r="N166" i="48"/>
  <c r="P166" i="48"/>
  <c r="Q166" i="48"/>
  <c r="R166" i="48"/>
  <c r="T166" i="48"/>
  <c r="U166" i="48"/>
  <c r="V166" i="48"/>
  <c r="X166" i="48"/>
  <c r="Y166" i="48"/>
  <c r="Z166" i="48"/>
  <c r="AB166" i="48"/>
  <c r="AC166" i="48"/>
  <c r="AD166" i="48"/>
  <c r="AF166" i="48"/>
  <c r="AG166" i="48"/>
  <c r="AH166" i="48"/>
  <c r="AJ166" i="48"/>
  <c r="AK166" i="48"/>
  <c r="AL166" i="48"/>
  <c r="AN166" i="48"/>
  <c r="AO166" i="48"/>
  <c r="AP166" i="48"/>
  <c r="AR166" i="48"/>
  <c r="AS166" i="48"/>
  <c r="AT166" i="48"/>
  <c r="AU166" i="48"/>
  <c r="AV166" i="48"/>
  <c r="AW166" i="48"/>
  <c r="A167" i="48"/>
  <c r="B167" i="48"/>
  <c r="C167" i="48"/>
  <c r="D167" i="48"/>
  <c r="E167" i="48"/>
  <c r="F167" i="48"/>
  <c r="G167" i="48"/>
  <c r="H167" i="48"/>
  <c r="I167" i="48"/>
  <c r="J167" i="48"/>
  <c r="K167" i="48"/>
  <c r="L167" i="48"/>
  <c r="M167" i="48"/>
  <c r="N167" i="48"/>
  <c r="P167" i="48"/>
  <c r="Q167" i="48"/>
  <c r="R167" i="48"/>
  <c r="T167" i="48"/>
  <c r="U167" i="48"/>
  <c r="V167" i="48"/>
  <c r="X167" i="48"/>
  <c r="Y167" i="48"/>
  <c r="Z167" i="48"/>
  <c r="AB167" i="48"/>
  <c r="AC167" i="48"/>
  <c r="AD167" i="48"/>
  <c r="AF167" i="48"/>
  <c r="AG167" i="48"/>
  <c r="AH167" i="48"/>
  <c r="AJ167" i="48"/>
  <c r="AK167" i="48"/>
  <c r="AL167" i="48"/>
  <c r="AN167" i="48"/>
  <c r="AO167" i="48"/>
  <c r="AP167" i="48"/>
  <c r="AR167" i="48"/>
  <c r="AS167" i="48"/>
  <c r="AT167" i="48"/>
  <c r="AU167" i="48"/>
  <c r="AV167" i="48"/>
  <c r="AW167" i="48"/>
  <c r="A168" i="48"/>
  <c r="B168" i="48"/>
  <c r="C168" i="48"/>
  <c r="D168" i="48"/>
  <c r="E168" i="48"/>
  <c r="F168" i="48"/>
  <c r="G168" i="48"/>
  <c r="H168" i="48"/>
  <c r="I168" i="48"/>
  <c r="J168" i="48"/>
  <c r="K168" i="48"/>
  <c r="L168" i="48"/>
  <c r="M168" i="48"/>
  <c r="N168" i="48"/>
  <c r="P168" i="48"/>
  <c r="Q168" i="48"/>
  <c r="R168" i="48"/>
  <c r="T168" i="48"/>
  <c r="U168" i="48"/>
  <c r="V168" i="48"/>
  <c r="X168" i="48"/>
  <c r="Y168" i="48"/>
  <c r="Z168" i="48"/>
  <c r="AB168" i="48"/>
  <c r="AC168" i="48"/>
  <c r="AD168" i="48"/>
  <c r="AF168" i="48"/>
  <c r="AG168" i="48"/>
  <c r="AH168" i="48"/>
  <c r="AJ168" i="48"/>
  <c r="AK168" i="48"/>
  <c r="AL168" i="48"/>
  <c r="AN168" i="48"/>
  <c r="AO168" i="48"/>
  <c r="AP168" i="48"/>
  <c r="AR168" i="48"/>
  <c r="AS168" i="48"/>
  <c r="AT168" i="48"/>
  <c r="AU168" i="48"/>
  <c r="AV168" i="48"/>
  <c r="AW168" i="48"/>
  <c r="A169" i="48"/>
  <c r="B169" i="48"/>
  <c r="C169" i="48"/>
  <c r="D169" i="48"/>
  <c r="E169" i="48"/>
  <c r="F169" i="48"/>
  <c r="G169" i="48"/>
  <c r="H169" i="48"/>
  <c r="I169" i="48"/>
  <c r="J169" i="48"/>
  <c r="K169" i="48"/>
  <c r="L169" i="48"/>
  <c r="M169" i="48"/>
  <c r="N169" i="48"/>
  <c r="P169" i="48"/>
  <c r="Q169" i="48"/>
  <c r="R169" i="48"/>
  <c r="T169" i="48"/>
  <c r="U169" i="48"/>
  <c r="V169" i="48"/>
  <c r="X169" i="48"/>
  <c r="Y169" i="48"/>
  <c r="Z169" i="48"/>
  <c r="AB169" i="48"/>
  <c r="AC169" i="48"/>
  <c r="AD169" i="48"/>
  <c r="AF169" i="48"/>
  <c r="AG169" i="48"/>
  <c r="AH169" i="48"/>
  <c r="AJ169" i="48"/>
  <c r="AK169" i="48"/>
  <c r="AL169" i="48"/>
  <c r="AN169" i="48"/>
  <c r="AO169" i="48"/>
  <c r="AP169" i="48"/>
  <c r="AR169" i="48"/>
  <c r="AS169" i="48"/>
  <c r="AT169" i="48"/>
  <c r="AU169" i="48"/>
  <c r="AV169" i="48"/>
  <c r="AW169" i="48"/>
  <c r="A170" i="48"/>
  <c r="B170" i="48"/>
  <c r="C170" i="48"/>
  <c r="D170" i="48"/>
  <c r="E170" i="48"/>
  <c r="F170" i="48"/>
  <c r="G170" i="48"/>
  <c r="H170" i="48"/>
  <c r="I170" i="48"/>
  <c r="J170" i="48"/>
  <c r="K170" i="48"/>
  <c r="L170" i="48"/>
  <c r="M170" i="48"/>
  <c r="N170" i="48"/>
  <c r="P170" i="48"/>
  <c r="Q170" i="48"/>
  <c r="R170" i="48"/>
  <c r="T170" i="48"/>
  <c r="U170" i="48"/>
  <c r="V170" i="48"/>
  <c r="X170" i="48"/>
  <c r="Y170" i="48"/>
  <c r="Z170" i="48"/>
  <c r="AB170" i="48"/>
  <c r="AC170" i="48"/>
  <c r="AD170" i="48"/>
  <c r="AF170" i="48"/>
  <c r="AG170" i="48"/>
  <c r="AH170" i="48"/>
  <c r="AJ170" i="48"/>
  <c r="AK170" i="48"/>
  <c r="AL170" i="48"/>
  <c r="AN170" i="48"/>
  <c r="AO170" i="48"/>
  <c r="AP170" i="48"/>
  <c r="AR170" i="48"/>
  <c r="AS170" i="48"/>
  <c r="AT170" i="48"/>
  <c r="AU170" i="48"/>
  <c r="AV170" i="48"/>
  <c r="AW170" i="48"/>
  <c r="A171" i="48"/>
  <c r="B171" i="48"/>
  <c r="C171" i="48"/>
  <c r="D171" i="48"/>
  <c r="E171" i="48"/>
  <c r="F171" i="48"/>
  <c r="G171" i="48"/>
  <c r="H171" i="48"/>
  <c r="I171" i="48"/>
  <c r="J171" i="48"/>
  <c r="K171" i="48"/>
  <c r="L171" i="48"/>
  <c r="M171" i="48"/>
  <c r="N171" i="48"/>
  <c r="P171" i="48"/>
  <c r="Q171" i="48"/>
  <c r="R171" i="48"/>
  <c r="T171" i="48"/>
  <c r="U171" i="48"/>
  <c r="V171" i="48"/>
  <c r="X171" i="48"/>
  <c r="Y171" i="48"/>
  <c r="Z171" i="48"/>
  <c r="AB171" i="48"/>
  <c r="AC171" i="48"/>
  <c r="AD171" i="48"/>
  <c r="AF171" i="48"/>
  <c r="AG171" i="48"/>
  <c r="AH171" i="48"/>
  <c r="AJ171" i="48"/>
  <c r="AK171" i="48"/>
  <c r="AL171" i="48"/>
  <c r="AN171" i="48"/>
  <c r="AO171" i="48"/>
  <c r="AP171" i="48"/>
  <c r="AR171" i="48"/>
  <c r="AS171" i="48"/>
  <c r="AT171" i="48"/>
  <c r="AU171" i="48"/>
  <c r="AV171" i="48"/>
  <c r="AW171" i="48"/>
  <c r="A172" i="48"/>
  <c r="B172" i="48"/>
  <c r="C172" i="48"/>
  <c r="D172" i="48"/>
  <c r="E172" i="48"/>
  <c r="F172" i="48"/>
  <c r="G172" i="48"/>
  <c r="H172" i="48"/>
  <c r="I172" i="48"/>
  <c r="J172" i="48"/>
  <c r="K172" i="48"/>
  <c r="L172" i="48"/>
  <c r="M172" i="48"/>
  <c r="N172" i="48"/>
  <c r="P172" i="48"/>
  <c r="Q172" i="48"/>
  <c r="R172" i="48"/>
  <c r="T172" i="48"/>
  <c r="U172" i="48"/>
  <c r="V172" i="48"/>
  <c r="X172" i="48"/>
  <c r="Y172" i="48"/>
  <c r="Z172" i="48"/>
  <c r="AB172" i="48"/>
  <c r="AC172" i="48"/>
  <c r="AD172" i="48"/>
  <c r="AF172" i="48"/>
  <c r="AG172" i="48"/>
  <c r="AH172" i="48"/>
  <c r="AJ172" i="48"/>
  <c r="AK172" i="48"/>
  <c r="AL172" i="48"/>
  <c r="AN172" i="48"/>
  <c r="AO172" i="48"/>
  <c r="AP172" i="48"/>
  <c r="AR172" i="48"/>
  <c r="AS172" i="48"/>
  <c r="AT172" i="48"/>
  <c r="AU172" i="48"/>
  <c r="AV172" i="48"/>
  <c r="AW172" i="48"/>
  <c r="A173" i="48"/>
  <c r="B173" i="48"/>
  <c r="C173" i="48"/>
  <c r="D173" i="48"/>
  <c r="E173" i="48"/>
  <c r="F173" i="48"/>
  <c r="G173" i="48"/>
  <c r="H173" i="48"/>
  <c r="I173" i="48"/>
  <c r="J173" i="48"/>
  <c r="K173" i="48"/>
  <c r="L173" i="48"/>
  <c r="M173" i="48"/>
  <c r="N173" i="48"/>
  <c r="P173" i="48"/>
  <c r="Q173" i="48"/>
  <c r="R173" i="48"/>
  <c r="T173" i="48"/>
  <c r="U173" i="48"/>
  <c r="V173" i="48"/>
  <c r="X173" i="48"/>
  <c r="Y173" i="48"/>
  <c r="Z173" i="48"/>
  <c r="AB173" i="48"/>
  <c r="AC173" i="48"/>
  <c r="AD173" i="48"/>
  <c r="AF173" i="48"/>
  <c r="AG173" i="48"/>
  <c r="AH173" i="48"/>
  <c r="AJ173" i="48"/>
  <c r="AK173" i="48"/>
  <c r="AL173" i="48"/>
  <c r="AN173" i="48"/>
  <c r="AO173" i="48"/>
  <c r="AP173" i="48"/>
  <c r="AR173" i="48"/>
  <c r="AS173" i="48"/>
  <c r="AT173" i="48"/>
  <c r="AU173" i="48"/>
  <c r="AV173" i="48"/>
  <c r="AW173" i="48"/>
  <c r="A174" i="48"/>
  <c r="B174" i="48"/>
  <c r="C174" i="48"/>
  <c r="D174" i="48"/>
  <c r="E174" i="48"/>
  <c r="F174" i="48"/>
  <c r="G174" i="48"/>
  <c r="H174" i="48"/>
  <c r="I174" i="48"/>
  <c r="J174" i="48"/>
  <c r="K174" i="48"/>
  <c r="L174" i="48"/>
  <c r="M174" i="48"/>
  <c r="N174" i="48"/>
  <c r="P174" i="48"/>
  <c r="Q174" i="48"/>
  <c r="R174" i="48"/>
  <c r="T174" i="48"/>
  <c r="U174" i="48"/>
  <c r="V174" i="48"/>
  <c r="X174" i="48"/>
  <c r="Y174" i="48"/>
  <c r="Z174" i="48"/>
  <c r="AB174" i="48"/>
  <c r="AC174" i="48"/>
  <c r="AD174" i="48"/>
  <c r="AF174" i="48"/>
  <c r="AG174" i="48"/>
  <c r="AH174" i="48"/>
  <c r="AJ174" i="48"/>
  <c r="AK174" i="48"/>
  <c r="AL174" i="48"/>
  <c r="AN174" i="48"/>
  <c r="AO174" i="48"/>
  <c r="AP174" i="48"/>
  <c r="AR174" i="48"/>
  <c r="AS174" i="48"/>
  <c r="AT174" i="48"/>
  <c r="AU174" i="48"/>
  <c r="AV174" i="48"/>
  <c r="AW174" i="48"/>
  <c r="A175" i="48"/>
  <c r="B175" i="48"/>
  <c r="C175" i="48"/>
  <c r="D175" i="48"/>
  <c r="E175" i="48"/>
  <c r="F175" i="48"/>
  <c r="G175" i="48"/>
  <c r="H175" i="48"/>
  <c r="I175" i="48"/>
  <c r="J175" i="48"/>
  <c r="K175" i="48"/>
  <c r="L175" i="48"/>
  <c r="M175" i="48"/>
  <c r="N175" i="48"/>
  <c r="P175" i="48"/>
  <c r="Q175" i="48"/>
  <c r="R175" i="48"/>
  <c r="T175" i="48"/>
  <c r="U175" i="48"/>
  <c r="V175" i="48"/>
  <c r="X175" i="48"/>
  <c r="Y175" i="48"/>
  <c r="Z175" i="48"/>
  <c r="AB175" i="48"/>
  <c r="AC175" i="48"/>
  <c r="AD175" i="48"/>
  <c r="AF175" i="48"/>
  <c r="AG175" i="48"/>
  <c r="AH175" i="48"/>
  <c r="AJ175" i="48"/>
  <c r="AK175" i="48"/>
  <c r="AL175" i="48"/>
  <c r="AN175" i="48"/>
  <c r="AO175" i="48"/>
  <c r="AP175" i="48"/>
  <c r="AR175" i="48"/>
  <c r="AS175" i="48"/>
  <c r="AT175" i="48"/>
  <c r="AU175" i="48"/>
  <c r="AV175" i="48"/>
  <c r="AW175" i="48"/>
  <c r="A176" i="48"/>
  <c r="B176" i="48"/>
  <c r="C176" i="48"/>
  <c r="D176" i="48"/>
  <c r="E176" i="48"/>
  <c r="F176" i="48"/>
  <c r="G176" i="48"/>
  <c r="H176" i="48"/>
  <c r="I176" i="48"/>
  <c r="J176" i="48"/>
  <c r="K176" i="48"/>
  <c r="L176" i="48"/>
  <c r="M176" i="48"/>
  <c r="N176" i="48"/>
  <c r="P176" i="48"/>
  <c r="Q176" i="48"/>
  <c r="R176" i="48"/>
  <c r="T176" i="48"/>
  <c r="U176" i="48"/>
  <c r="V176" i="48"/>
  <c r="X176" i="48"/>
  <c r="Y176" i="48"/>
  <c r="Z176" i="48"/>
  <c r="AB176" i="48"/>
  <c r="AC176" i="48"/>
  <c r="AD176" i="48"/>
  <c r="AF176" i="48"/>
  <c r="AG176" i="48"/>
  <c r="AH176" i="48"/>
  <c r="AJ176" i="48"/>
  <c r="AK176" i="48"/>
  <c r="AL176" i="48"/>
  <c r="AN176" i="48"/>
  <c r="AO176" i="48"/>
  <c r="AP176" i="48"/>
  <c r="AR176" i="48"/>
  <c r="AS176" i="48"/>
  <c r="AT176" i="48"/>
  <c r="AU176" i="48"/>
  <c r="AV176" i="48"/>
  <c r="AW176" i="48"/>
  <c r="A177" i="48"/>
  <c r="B177" i="48"/>
  <c r="C177" i="48"/>
  <c r="D177" i="48"/>
  <c r="E177" i="48"/>
  <c r="F177" i="48"/>
  <c r="G177" i="48"/>
  <c r="H177" i="48"/>
  <c r="I177" i="48"/>
  <c r="J177" i="48"/>
  <c r="K177" i="48"/>
  <c r="L177" i="48"/>
  <c r="M177" i="48"/>
  <c r="N177" i="48"/>
  <c r="P177" i="48"/>
  <c r="Q177" i="48"/>
  <c r="R177" i="48"/>
  <c r="T177" i="48"/>
  <c r="U177" i="48"/>
  <c r="V177" i="48"/>
  <c r="X177" i="48"/>
  <c r="Y177" i="48"/>
  <c r="Z177" i="48"/>
  <c r="AB177" i="48"/>
  <c r="AC177" i="48"/>
  <c r="AD177" i="48"/>
  <c r="AF177" i="48"/>
  <c r="AG177" i="48"/>
  <c r="AH177" i="48"/>
  <c r="AJ177" i="48"/>
  <c r="AK177" i="48"/>
  <c r="AL177" i="48"/>
  <c r="AN177" i="48"/>
  <c r="AO177" i="48"/>
  <c r="AP177" i="48"/>
  <c r="AR177" i="48"/>
  <c r="AS177" i="48"/>
  <c r="AT177" i="48"/>
  <c r="AU177" i="48"/>
  <c r="AV177" i="48"/>
  <c r="AW177" i="48"/>
  <c r="A178" i="48"/>
  <c r="B178" i="48"/>
  <c r="C178" i="48"/>
  <c r="D178" i="48"/>
  <c r="E178" i="48"/>
  <c r="F178" i="48"/>
  <c r="G178" i="48"/>
  <c r="H178" i="48"/>
  <c r="I178" i="48"/>
  <c r="J178" i="48"/>
  <c r="K178" i="48"/>
  <c r="L178" i="48"/>
  <c r="M178" i="48"/>
  <c r="N178" i="48"/>
  <c r="P178" i="48"/>
  <c r="Q178" i="48"/>
  <c r="R178" i="48"/>
  <c r="T178" i="48"/>
  <c r="U178" i="48"/>
  <c r="V178" i="48"/>
  <c r="X178" i="48"/>
  <c r="Y178" i="48"/>
  <c r="Z178" i="48"/>
  <c r="AB178" i="48"/>
  <c r="AC178" i="48"/>
  <c r="AD178" i="48"/>
  <c r="AF178" i="48"/>
  <c r="AG178" i="48"/>
  <c r="AH178" i="48"/>
  <c r="AJ178" i="48"/>
  <c r="AK178" i="48"/>
  <c r="AL178" i="48"/>
  <c r="AN178" i="48"/>
  <c r="AO178" i="48"/>
  <c r="AP178" i="48"/>
  <c r="AR178" i="48"/>
  <c r="AS178" i="48"/>
  <c r="AT178" i="48"/>
  <c r="AU178" i="48"/>
  <c r="AV178" i="48"/>
  <c r="AW178" i="48"/>
  <c r="A179" i="48"/>
  <c r="B179" i="48"/>
  <c r="C179" i="48"/>
  <c r="D179" i="48"/>
  <c r="E179" i="48"/>
  <c r="F179" i="48"/>
  <c r="G179" i="48"/>
  <c r="H179" i="48"/>
  <c r="I179" i="48"/>
  <c r="J179" i="48"/>
  <c r="K179" i="48"/>
  <c r="L179" i="48"/>
  <c r="M179" i="48"/>
  <c r="N179" i="48"/>
  <c r="P179" i="48"/>
  <c r="Q179" i="48"/>
  <c r="R179" i="48"/>
  <c r="T179" i="48"/>
  <c r="U179" i="48"/>
  <c r="V179" i="48"/>
  <c r="X179" i="48"/>
  <c r="Y179" i="48"/>
  <c r="Z179" i="48"/>
  <c r="AB179" i="48"/>
  <c r="AC179" i="48"/>
  <c r="AD179" i="48"/>
  <c r="AF179" i="48"/>
  <c r="AG179" i="48"/>
  <c r="AH179" i="48"/>
  <c r="AJ179" i="48"/>
  <c r="AK179" i="48"/>
  <c r="AL179" i="48"/>
  <c r="AN179" i="48"/>
  <c r="AO179" i="48"/>
  <c r="AP179" i="48"/>
  <c r="AR179" i="48"/>
  <c r="AS179" i="48"/>
  <c r="AT179" i="48"/>
  <c r="AU179" i="48"/>
  <c r="AV179" i="48"/>
  <c r="AW179" i="48"/>
  <c r="A180" i="48"/>
  <c r="B180" i="48"/>
  <c r="C180" i="48"/>
  <c r="D180" i="48"/>
  <c r="E180" i="48"/>
  <c r="F180" i="48"/>
  <c r="G180" i="48"/>
  <c r="H180" i="48"/>
  <c r="I180" i="48"/>
  <c r="J180" i="48"/>
  <c r="K180" i="48"/>
  <c r="L180" i="48"/>
  <c r="M180" i="48"/>
  <c r="N180" i="48"/>
  <c r="P180" i="48"/>
  <c r="Q180" i="48"/>
  <c r="R180" i="48"/>
  <c r="T180" i="48"/>
  <c r="U180" i="48"/>
  <c r="V180" i="48"/>
  <c r="X180" i="48"/>
  <c r="Y180" i="48"/>
  <c r="Z180" i="48"/>
  <c r="AB180" i="48"/>
  <c r="AC180" i="48"/>
  <c r="AD180" i="48"/>
  <c r="AF180" i="48"/>
  <c r="AG180" i="48"/>
  <c r="AH180" i="48"/>
  <c r="AJ180" i="48"/>
  <c r="AK180" i="48"/>
  <c r="AL180" i="48"/>
  <c r="AN180" i="48"/>
  <c r="AO180" i="48"/>
  <c r="AP180" i="48"/>
  <c r="AR180" i="48"/>
  <c r="AS180" i="48"/>
  <c r="AT180" i="48"/>
  <c r="AU180" i="48"/>
  <c r="AV180" i="48"/>
  <c r="AW180" i="48"/>
  <c r="A181" i="48"/>
  <c r="B181" i="48"/>
  <c r="C181" i="48"/>
  <c r="D181" i="48"/>
  <c r="E181" i="48"/>
  <c r="F181" i="48"/>
  <c r="G181" i="48"/>
  <c r="H181" i="48"/>
  <c r="I181" i="48"/>
  <c r="J181" i="48"/>
  <c r="K181" i="48"/>
  <c r="L181" i="48"/>
  <c r="M181" i="48"/>
  <c r="N181" i="48"/>
  <c r="P181" i="48"/>
  <c r="Q181" i="48"/>
  <c r="R181" i="48"/>
  <c r="T181" i="48"/>
  <c r="U181" i="48"/>
  <c r="V181" i="48"/>
  <c r="X181" i="48"/>
  <c r="Y181" i="48"/>
  <c r="Z181" i="48"/>
  <c r="AB181" i="48"/>
  <c r="AC181" i="48"/>
  <c r="AD181" i="48"/>
  <c r="AF181" i="48"/>
  <c r="AG181" i="48"/>
  <c r="AH181" i="48"/>
  <c r="AJ181" i="48"/>
  <c r="AK181" i="48"/>
  <c r="AL181" i="48"/>
  <c r="AN181" i="48"/>
  <c r="AO181" i="48"/>
  <c r="AP181" i="48"/>
  <c r="AR181" i="48"/>
  <c r="AS181" i="48"/>
  <c r="AT181" i="48"/>
  <c r="AU181" i="48"/>
  <c r="AV181" i="48"/>
  <c r="AW181" i="48"/>
  <c r="A182" i="48"/>
  <c r="B182" i="48"/>
  <c r="C182" i="48"/>
  <c r="D182" i="48"/>
  <c r="E182" i="48"/>
  <c r="F182" i="48"/>
  <c r="G182" i="48"/>
  <c r="H182" i="48"/>
  <c r="I182" i="48"/>
  <c r="J182" i="48"/>
  <c r="K182" i="48"/>
  <c r="L182" i="48"/>
  <c r="M182" i="48"/>
  <c r="N182" i="48"/>
  <c r="P182" i="48"/>
  <c r="Q182" i="48"/>
  <c r="R182" i="48"/>
  <c r="T182" i="48"/>
  <c r="U182" i="48"/>
  <c r="V182" i="48"/>
  <c r="X182" i="48"/>
  <c r="Y182" i="48"/>
  <c r="Z182" i="48"/>
  <c r="AB182" i="48"/>
  <c r="AC182" i="48"/>
  <c r="AD182" i="48"/>
  <c r="AF182" i="48"/>
  <c r="AG182" i="48"/>
  <c r="AH182" i="48"/>
  <c r="AJ182" i="48"/>
  <c r="AK182" i="48"/>
  <c r="AL182" i="48"/>
  <c r="AN182" i="48"/>
  <c r="AO182" i="48"/>
  <c r="AP182" i="48"/>
  <c r="AR182" i="48"/>
  <c r="AS182" i="48"/>
  <c r="AT182" i="48"/>
  <c r="AU182" i="48"/>
  <c r="AV182" i="48"/>
  <c r="AW182" i="48"/>
  <c r="A183" i="48"/>
  <c r="B183" i="48"/>
  <c r="C183" i="48"/>
  <c r="D183" i="48"/>
  <c r="E183" i="48"/>
  <c r="F183" i="48"/>
  <c r="G183" i="48"/>
  <c r="H183" i="48"/>
  <c r="I183" i="48"/>
  <c r="J183" i="48"/>
  <c r="K183" i="48"/>
  <c r="L183" i="48"/>
  <c r="M183" i="48"/>
  <c r="N183" i="48"/>
  <c r="P183" i="48"/>
  <c r="Q183" i="48"/>
  <c r="R183" i="48"/>
  <c r="T183" i="48"/>
  <c r="U183" i="48"/>
  <c r="V183" i="48"/>
  <c r="X183" i="48"/>
  <c r="Y183" i="48"/>
  <c r="Z183" i="48"/>
  <c r="AB183" i="48"/>
  <c r="AC183" i="48"/>
  <c r="AD183" i="48"/>
  <c r="AF183" i="48"/>
  <c r="AG183" i="48"/>
  <c r="AH183" i="48"/>
  <c r="AJ183" i="48"/>
  <c r="AK183" i="48"/>
  <c r="AL183" i="48"/>
  <c r="AN183" i="48"/>
  <c r="AO183" i="48"/>
  <c r="AP183" i="48"/>
  <c r="AR183" i="48"/>
  <c r="AS183" i="48"/>
  <c r="AT183" i="48"/>
  <c r="AU183" i="48"/>
  <c r="AV183" i="48"/>
  <c r="AW183" i="48"/>
  <c r="A184" i="48"/>
  <c r="B184" i="48"/>
  <c r="C184" i="48"/>
  <c r="D184" i="48"/>
  <c r="E184" i="48"/>
  <c r="F184" i="48"/>
  <c r="G184" i="48"/>
  <c r="H184" i="48"/>
  <c r="I184" i="48"/>
  <c r="J184" i="48"/>
  <c r="K184" i="48"/>
  <c r="L184" i="48"/>
  <c r="M184" i="48"/>
  <c r="N184" i="48"/>
  <c r="P184" i="48"/>
  <c r="Q184" i="48"/>
  <c r="R184" i="48"/>
  <c r="T184" i="48"/>
  <c r="U184" i="48"/>
  <c r="V184" i="48"/>
  <c r="X184" i="48"/>
  <c r="Y184" i="48"/>
  <c r="Z184" i="48"/>
  <c r="AB184" i="48"/>
  <c r="AC184" i="48"/>
  <c r="AD184" i="48"/>
  <c r="AF184" i="48"/>
  <c r="AG184" i="48"/>
  <c r="AH184" i="48"/>
  <c r="AJ184" i="48"/>
  <c r="AK184" i="48"/>
  <c r="AL184" i="48"/>
  <c r="AN184" i="48"/>
  <c r="AO184" i="48"/>
  <c r="AP184" i="48"/>
  <c r="AR184" i="48"/>
  <c r="AS184" i="48"/>
  <c r="AT184" i="48"/>
  <c r="AU184" i="48"/>
  <c r="AV184" i="48"/>
  <c r="AW184" i="48"/>
  <c r="A185" i="48"/>
  <c r="B185" i="48"/>
  <c r="C185" i="48"/>
  <c r="D185" i="48"/>
  <c r="E185" i="48"/>
  <c r="F185" i="48"/>
  <c r="G185" i="48"/>
  <c r="H185" i="48"/>
  <c r="I185" i="48"/>
  <c r="J185" i="48"/>
  <c r="K185" i="48"/>
  <c r="L185" i="48"/>
  <c r="M185" i="48"/>
  <c r="N185" i="48"/>
  <c r="P185" i="48"/>
  <c r="Q185" i="48"/>
  <c r="R185" i="48"/>
  <c r="T185" i="48"/>
  <c r="U185" i="48"/>
  <c r="V185" i="48"/>
  <c r="X185" i="48"/>
  <c r="Y185" i="48"/>
  <c r="Z185" i="48"/>
  <c r="AB185" i="48"/>
  <c r="AC185" i="48"/>
  <c r="AD185" i="48"/>
  <c r="AF185" i="48"/>
  <c r="AG185" i="48"/>
  <c r="AH185" i="48"/>
  <c r="AJ185" i="48"/>
  <c r="AK185" i="48"/>
  <c r="AL185" i="48"/>
  <c r="AN185" i="48"/>
  <c r="AO185" i="48"/>
  <c r="AP185" i="48"/>
  <c r="AR185" i="48"/>
  <c r="AS185" i="48"/>
  <c r="AT185" i="48"/>
  <c r="AU185" i="48"/>
  <c r="AV185" i="48"/>
  <c r="AW185" i="48"/>
  <c r="A186" i="48"/>
  <c r="B186" i="48"/>
  <c r="C186" i="48"/>
  <c r="D186" i="48"/>
  <c r="E186" i="48"/>
  <c r="F186" i="48"/>
  <c r="G186" i="48"/>
  <c r="H186" i="48"/>
  <c r="I186" i="48"/>
  <c r="J186" i="48"/>
  <c r="K186" i="48"/>
  <c r="L186" i="48"/>
  <c r="M186" i="48"/>
  <c r="N186" i="48"/>
  <c r="P186" i="48"/>
  <c r="Q186" i="48"/>
  <c r="R186" i="48"/>
  <c r="T186" i="48"/>
  <c r="U186" i="48"/>
  <c r="V186" i="48"/>
  <c r="X186" i="48"/>
  <c r="Y186" i="48"/>
  <c r="Z186" i="48"/>
  <c r="AB186" i="48"/>
  <c r="AC186" i="48"/>
  <c r="AD186" i="48"/>
  <c r="AF186" i="48"/>
  <c r="AG186" i="48"/>
  <c r="AH186" i="48"/>
  <c r="AJ186" i="48"/>
  <c r="AK186" i="48"/>
  <c r="AL186" i="48"/>
  <c r="AN186" i="48"/>
  <c r="AO186" i="48"/>
  <c r="AP186" i="48"/>
  <c r="AR186" i="48"/>
  <c r="AS186" i="48"/>
  <c r="AT186" i="48"/>
  <c r="AU186" i="48"/>
  <c r="AV186" i="48"/>
  <c r="AW186" i="48"/>
  <c r="A187" i="48"/>
  <c r="B187" i="48"/>
  <c r="C187" i="48"/>
  <c r="D187" i="48"/>
  <c r="E187" i="48"/>
  <c r="F187" i="48"/>
  <c r="G187" i="48"/>
  <c r="H187" i="48"/>
  <c r="I187" i="48"/>
  <c r="J187" i="48"/>
  <c r="K187" i="48"/>
  <c r="L187" i="48"/>
  <c r="M187" i="48"/>
  <c r="N187" i="48"/>
  <c r="P187" i="48"/>
  <c r="Q187" i="48"/>
  <c r="R187" i="48"/>
  <c r="T187" i="48"/>
  <c r="U187" i="48"/>
  <c r="V187" i="48"/>
  <c r="X187" i="48"/>
  <c r="Y187" i="48"/>
  <c r="Z187" i="48"/>
  <c r="AB187" i="48"/>
  <c r="AC187" i="48"/>
  <c r="AD187" i="48"/>
  <c r="AF187" i="48"/>
  <c r="AG187" i="48"/>
  <c r="AH187" i="48"/>
  <c r="AJ187" i="48"/>
  <c r="AK187" i="48"/>
  <c r="AL187" i="48"/>
  <c r="AN187" i="48"/>
  <c r="AO187" i="48"/>
  <c r="AP187" i="48"/>
  <c r="AR187" i="48"/>
  <c r="AS187" i="48"/>
  <c r="AT187" i="48"/>
  <c r="AU187" i="48"/>
  <c r="AV187" i="48"/>
  <c r="AW187" i="48"/>
  <c r="A188" i="48"/>
  <c r="B188" i="48"/>
  <c r="C188" i="48"/>
  <c r="D188" i="48"/>
  <c r="E188" i="48"/>
  <c r="F188" i="48"/>
  <c r="G188" i="48"/>
  <c r="H188" i="48"/>
  <c r="I188" i="48"/>
  <c r="J188" i="48"/>
  <c r="K188" i="48"/>
  <c r="L188" i="48"/>
  <c r="M188" i="48"/>
  <c r="N188" i="48"/>
  <c r="P188" i="48"/>
  <c r="Q188" i="48"/>
  <c r="R188" i="48"/>
  <c r="T188" i="48"/>
  <c r="U188" i="48"/>
  <c r="V188" i="48"/>
  <c r="X188" i="48"/>
  <c r="Y188" i="48"/>
  <c r="Z188" i="48"/>
  <c r="AB188" i="48"/>
  <c r="AC188" i="48"/>
  <c r="AD188" i="48"/>
  <c r="AF188" i="48"/>
  <c r="AG188" i="48"/>
  <c r="AH188" i="48"/>
  <c r="AJ188" i="48"/>
  <c r="AK188" i="48"/>
  <c r="AL188" i="48"/>
  <c r="AN188" i="48"/>
  <c r="AO188" i="48"/>
  <c r="AP188" i="48"/>
  <c r="AR188" i="48"/>
  <c r="AS188" i="48"/>
  <c r="AT188" i="48"/>
  <c r="AU188" i="48"/>
  <c r="AV188" i="48"/>
  <c r="AW188" i="48"/>
  <c r="A189" i="48"/>
  <c r="B189" i="48"/>
  <c r="C189" i="48"/>
  <c r="D189" i="48"/>
  <c r="E189" i="48"/>
  <c r="F189" i="48"/>
  <c r="G189" i="48"/>
  <c r="H189" i="48"/>
  <c r="I189" i="48"/>
  <c r="J189" i="48"/>
  <c r="K189" i="48"/>
  <c r="L189" i="48"/>
  <c r="M189" i="48"/>
  <c r="N189" i="48"/>
  <c r="P189" i="48"/>
  <c r="Q189" i="48"/>
  <c r="R189" i="48"/>
  <c r="T189" i="48"/>
  <c r="U189" i="48"/>
  <c r="V189" i="48"/>
  <c r="X189" i="48"/>
  <c r="Y189" i="48"/>
  <c r="Z189" i="48"/>
  <c r="AB189" i="48"/>
  <c r="AC189" i="48"/>
  <c r="AD189" i="48"/>
  <c r="AF189" i="48"/>
  <c r="AG189" i="48"/>
  <c r="AH189" i="48"/>
  <c r="AJ189" i="48"/>
  <c r="AK189" i="48"/>
  <c r="AL189" i="48"/>
  <c r="AN189" i="48"/>
  <c r="AO189" i="48"/>
  <c r="AP189" i="48"/>
  <c r="AR189" i="48"/>
  <c r="AS189" i="48"/>
  <c r="AT189" i="48"/>
  <c r="AU189" i="48"/>
  <c r="AV189" i="48"/>
  <c r="AW189" i="48"/>
  <c r="A190" i="48"/>
  <c r="B190" i="48"/>
  <c r="C190" i="48"/>
  <c r="D190" i="48"/>
  <c r="E190" i="48"/>
  <c r="F190" i="48"/>
  <c r="G190" i="48"/>
  <c r="H190" i="48"/>
  <c r="I190" i="48"/>
  <c r="J190" i="48"/>
  <c r="K190" i="48"/>
  <c r="L190" i="48"/>
  <c r="M190" i="48"/>
  <c r="N190" i="48"/>
  <c r="P190" i="48"/>
  <c r="Q190" i="48"/>
  <c r="R190" i="48"/>
  <c r="T190" i="48"/>
  <c r="U190" i="48"/>
  <c r="V190" i="48"/>
  <c r="X190" i="48"/>
  <c r="Y190" i="48"/>
  <c r="Z190" i="48"/>
  <c r="AB190" i="48"/>
  <c r="AC190" i="48"/>
  <c r="AD190" i="48"/>
  <c r="AF190" i="48"/>
  <c r="AG190" i="48"/>
  <c r="AH190" i="48"/>
  <c r="AJ190" i="48"/>
  <c r="AK190" i="48"/>
  <c r="AL190" i="48"/>
  <c r="AN190" i="48"/>
  <c r="AO190" i="48"/>
  <c r="AP190" i="48"/>
  <c r="AR190" i="48"/>
  <c r="AS190" i="48"/>
  <c r="AT190" i="48"/>
  <c r="AU190" i="48"/>
  <c r="AV190" i="48"/>
  <c r="AW190" i="48"/>
  <c r="A191" i="48"/>
  <c r="B191" i="48"/>
  <c r="C191" i="48"/>
  <c r="D191" i="48"/>
  <c r="E191" i="48"/>
  <c r="F191" i="48"/>
  <c r="G191" i="48"/>
  <c r="H191" i="48"/>
  <c r="I191" i="48"/>
  <c r="J191" i="48"/>
  <c r="K191" i="48"/>
  <c r="L191" i="48"/>
  <c r="M191" i="48"/>
  <c r="N191" i="48"/>
  <c r="P191" i="48"/>
  <c r="Q191" i="48"/>
  <c r="R191" i="48"/>
  <c r="T191" i="48"/>
  <c r="U191" i="48"/>
  <c r="V191" i="48"/>
  <c r="X191" i="48"/>
  <c r="Y191" i="48"/>
  <c r="Z191" i="48"/>
  <c r="AB191" i="48"/>
  <c r="AC191" i="48"/>
  <c r="AD191" i="48"/>
  <c r="AF191" i="48"/>
  <c r="AG191" i="48"/>
  <c r="AH191" i="48"/>
  <c r="AJ191" i="48"/>
  <c r="AK191" i="48"/>
  <c r="AL191" i="48"/>
  <c r="AN191" i="48"/>
  <c r="AO191" i="48"/>
  <c r="AP191" i="48"/>
  <c r="AR191" i="48"/>
  <c r="AS191" i="48"/>
  <c r="AT191" i="48"/>
  <c r="AU191" i="48"/>
  <c r="AV191" i="48"/>
  <c r="AW191" i="48"/>
  <c r="A192" i="48"/>
  <c r="B192" i="48"/>
  <c r="C192" i="48"/>
  <c r="D192" i="48"/>
  <c r="E192" i="48"/>
  <c r="F192" i="48"/>
  <c r="G192" i="48"/>
  <c r="H192" i="48"/>
  <c r="I192" i="48"/>
  <c r="J192" i="48"/>
  <c r="K192" i="48"/>
  <c r="L192" i="48"/>
  <c r="M192" i="48"/>
  <c r="N192" i="48"/>
  <c r="P192" i="48"/>
  <c r="Q192" i="48"/>
  <c r="R192" i="48"/>
  <c r="T192" i="48"/>
  <c r="U192" i="48"/>
  <c r="V192" i="48"/>
  <c r="X192" i="48"/>
  <c r="Y192" i="48"/>
  <c r="Z192" i="48"/>
  <c r="AB192" i="48"/>
  <c r="AC192" i="48"/>
  <c r="AD192" i="48"/>
  <c r="AF192" i="48"/>
  <c r="AG192" i="48"/>
  <c r="AH192" i="48"/>
  <c r="AJ192" i="48"/>
  <c r="AK192" i="48"/>
  <c r="AL192" i="48"/>
  <c r="AN192" i="48"/>
  <c r="AO192" i="48"/>
  <c r="AP192" i="48"/>
  <c r="AR192" i="48"/>
  <c r="AS192" i="48"/>
  <c r="AT192" i="48"/>
  <c r="AU192" i="48"/>
  <c r="AV192" i="48"/>
  <c r="AW192" i="48"/>
  <c r="A193" i="48"/>
  <c r="B193" i="48"/>
  <c r="C193" i="48"/>
  <c r="D193" i="48"/>
  <c r="E193" i="48"/>
  <c r="F193" i="48"/>
  <c r="G193" i="48"/>
  <c r="H193" i="48"/>
  <c r="I193" i="48"/>
  <c r="J193" i="48"/>
  <c r="K193" i="48"/>
  <c r="L193" i="48"/>
  <c r="M193" i="48"/>
  <c r="N193" i="48"/>
  <c r="P193" i="48"/>
  <c r="Q193" i="48"/>
  <c r="R193" i="48"/>
  <c r="T193" i="48"/>
  <c r="U193" i="48"/>
  <c r="V193" i="48"/>
  <c r="X193" i="48"/>
  <c r="Y193" i="48"/>
  <c r="Z193" i="48"/>
  <c r="AB193" i="48"/>
  <c r="AC193" i="48"/>
  <c r="AD193" i="48"/>
  <c r="AF193" i="48"/>
  <c r="AG193" i="48"/>
  <c r="AH193" i="48"/>
  <c r="AJ193" i="48"/>
  <c r="AK193" i="48"/>
  <c r="AL193" i="48"/>
  <c r="AN193" i="48"/>
  <c r="AO193" i="48"/>
  <c r="AP193" i="48"/>
  <c r="AR193" i="48"/>
  <c r="AS193" i="48"/>
  <c r="AT193" i="48"/>
  <c r="AU193" i="48"/>
  <c r="AV193" i="48"/>
  <c r="AW193" i="48"/>
  <c r="A194" i="48"/>
  <c r="B194" i="48"/>
  <c r="C194" i="48"/>
  <c r="D194" i="48"/>
  <c r="E194" i="48"/>
  <c r="F194" i="48"/>
  <c r="G194" i="48"/>
  <c r="H194" i="48"/>
  <c r="I194" i="48"/>
  <c r="J194" i="48"/>
  <c r="K194" i="48"/>
  <c r="L194" i="48"/>
  <c r="M194" i="48"/>
  <c r="N194" i="48"/>
  <c r="P194" i="48"/>
  <c r="Q194" i="48"/>
  <c r="R194" i="48"/>
  <c r="T194" i="48"/>
  <c r="U194" i="48"/>
  <c r="V194" i="48"/>
  <c r="X194" i="48"/>
  <c r="Y194" i="48"/>
  <c r="Z194" i="48"/>
  <c r="AB194" i="48"/>
  <c r="AC194" i="48"/>
  <c r="AD194" i="48"/>
  <c r="AF194" i="48"/>
  <c r="AG194" i="48"/>
  <c r="AH194" i="48"/>
  <c r="AJ194" i="48"/>
  <c r="AK194" i="48"/>
  <c r="AL194" i="48"/>
  <c r="AN194" i="48"/>
  <c r="AO194" i="48"/>
  <c r="AP194" i="48"/>
  <c r="AR194" i="48"/>
  <c r="AS194" i="48"/>
  <c r="AT194" i="48"/>
  <c r="AU194" i="48"/>
  <c r="AV194" i="48"/>
  <c r="AW194" i="48"/>
  <c r="A195" i="48"/>
  <c r="B195" i="48"/>
  <c r="C195" i="48"/>
  <c r="D195" i="48"/>
  <c r="E195" i="48"/>
  <c r="F195" i="48"/>
  <c r="G195" i="48"/>
  <c r="H195" i="48"/>
  <c r="I195" i="48"/>
  <c r="J195" i="48"/>
  <c r="K195" i="48"/>
  <c r="L195" i="48"/>
  <c r="M195" i="48"/>
  <c r="N195" i="48"/>
  <c r="P195" i="48"/>
  <c r="Q195" i="48"/>
  <c r="R195" i="48"/>
  <c r="T195" i="48"/>
  <c r="U195" i="48"/>
  <c r="V195" i="48"/>
  <c r="X195" i="48"/>
  <c r="Y195" i="48"/>
  <c r="Z195" i="48"/>
  <c r="AB195" i="48"/>
  <c r="AC195" i="48"/>
  <c r="AD195" i="48"/>
  <c r="AF195" i="48"/>
  <c r="AG195" i="48"/>
  <c r="AH195" i="48"/>
  <c r="AJ195" i="48"/>
  <c r="AK195" i="48"/>
  <c r="AL195" i="48"/>
  <c r="AN195" i="48"/>
  <c r="AO195" i="48"/>
  <c r="AP195" i="48"/>
  <c r="AR195" i="48"/>
  <c r="AS195" i="48"/>
  <c r="AT195" i="48"/>
  <c r="AU195" i="48"/>
  <c r="AV195" i="48"/>
  <c r="AW195" i="48"/>
  <c r="A196" i="48"/>
  <c r="B196" i="48"/>
  <c r="C196" i="48"/>
  <c r="D196" i="48"/>
  <c r="E196" i="48"/>
  <c r="F196" i="48"/>
  <c r="G196" i="48"/>
  <c r="H196" i="48"/>
  <c r="I196" i="48"/>
  <c r="J196" i="48"/>
  <c r="K196" i="48"/>
  <c r="L196" i="48"/>
  <c r="M196" i="48"/>
  <c r="N196" i="48"/>
  <c r="P196" i="48"/>
  <c r="Q196" i="48"/>
  <c r="R196" i="48"/>
  <c r="T196" i="48"/>
  <c r="U196" i="48"/>
  <c r="V196" i="48"/>
  <c r="X196" i="48"/>
  <c r="Y196" i="48"/>
  <c r="Z196" i="48"/>
  <c r="AB196" i="48"/>
  <c r="AC196" i="48"/>
  <c r="AD196" i="48"/>
  <c r="AF196" i="48"/>
  <c r="AG196" i="48"/>
  <c r="AH196" i="48"/>
  <c r="AJ196" i="48"/>
  <c r="AK196" i="48"/>
  <c r="AL196" i="48"/>
  <c r="AN196" i="48"/>
  <c r="AO196" i="48"/>
  <c r="AP196" i="48"/>
  <c r="AR196" i="48"/>
  <c r="AS196" i="48"/>
  <c r="AT196" i="48"/>
  <c r="AU196" i="48"/>
  <c r="AV196" i="48"/>
  <c r="AW196" i="48"/>
  <c r="A197" i="48"/>
  <c r="B197" i="48"/>
  <c r="C197" i="48"/>
  <c r="D197" i="48"/>
  <c r="E197" i="48"/>
  <c r="F197" i="48"/>
  <c r="G197" i="48"/>
  <c r="H197" i="48"/>
  <c r="I197" i="48"/>
  <c r="J197" i="48"/>
  <c r="K197" i="48"/>
  <c r="L197" i="48"/>
  <c r="M197" i="48"/>
  <c r="N197" i="48"/>
  <c r="P197" i="48"/>
  <c r="Q197" i="48"/>
  <c r="R197" i="48"/>
  <c r="T197" i="48"/>
  <c r="U197" i="48"/>
  <c r="V197" i="48"/>
  <c r="X197" i="48"/>
  <c r="Y197" i="48"/>
  <c r="Z197" i="48"/>
  <c r="AB197" i="48"/>
  <c r="AC197" i="48"/>
  <c r="AD197" i="48"/>
  <c r="AF197" i="48"/>
  <c r="AG197" i="48"/>
  <c r="AH197" i="48"/>
  <c r="AJ197" i="48"/>
  <c r="AK197" i="48"/>
  <c r="AL197" i="48"/>
  <c r="AN197" i="48"/>
  <c r="AO197" i="48"/>
  <c r="AP197" i="48"/>
  <c r="AR197" i="48"/>
  <c r="AS197" i="48"/>
  <c r="AT197" i="48"/>
  <c r="AU197" i="48"/>
  <c r="AV197" i="48"/>
  <c r="AW197" i="48"/>
  <c r="A198" i="48"/>
  <c r="B198" i="48"/>
  <c r="C198" i="48"/>
  <c r="D198" i="48"/>
  <c r="E198" i="48"/>
  <c r="F198" i="48"/>
  <c r="G198" i="48"/>
  <c r="H198" i="48"/>
  <c r="I198" i="48"/>
  <c r="J198" i="48"/>
  <c r="K198" i="48"/>
  <c r="L198" i="48"/>
  <c r="M198" i="48"/>
  <c r="N198" i="48"/>
  <c r="P198" i="48"/>
  <c r="Q198" i="48"/>
  <c r="R198" i="48"/>
  <c r="T198" i="48"/>
  <c r="U198" i="48"/>
  <c r="V198" i="48"/>
  <c r="X198" i="48"/>
  <c r="Y198" i="48"/>
  <c r="Z198" i="48"/>
  <c r="AB198" i="48"/>
  <c r="AC198" i="48"/>
  <c r="AD198" i="48"/>
  <c r="AF198" i="48"/>
  <c r="AG198" i="48"/>
  <c r="AH198" i="48"/>
  <c r="AJ198" i="48"/>
  <c r="AK198" i="48"/>
  <c r="AL198" i="48"/>
  <c r="AN198" i="48"/>
  <c r="AO198" i="48"/>
  <c r="AP198" i="48"/>
  <c r="AR198" i="48"/>
  <c r="AS198" i="48"/>
  <c r="AT198" i="48"/>
  <c r="AU198" i="48"/>
  <c r="AV198" i="48"/>
  <c r="AW198" i="48"/>
  <c r="A199" i="48"/>
  <c r="B199" i="48"/>
  <c r="C199" i="48"/>
  <c r="D199" i="48"/>
  <c r="E199" i="48"/>
  <c r="F199" i="48"/>
  <c r="G199" i="48"/>
  <c r="H199" i="48"/>
  <c r="I199" i="48"/>
  <c r="J199" i="48"/>
  <c r="K199" i="48"/>
  <c r="L199" i="48"/>
  <c r="M199" i="48"/>
  <c r="N199" i="48"/>
  <c r="P199" i="48"/>
  <c r="Q199" i="48"/>
  <c r="R199" i="48"/>
  <c r="T199" i="48"/>
  <c r="U199" i="48"/>
  <c r="V199" i="48"/>
  <c r="X199" i="48"/>
  <c r="Y199" i="48"/>
  <c r="Z199" i="48"/>
  <c r="AB199" i="48"/>
  <c r="AC199" i="48"/>
  <c r="AD199" i="48"/>
  <c r="AF199" i="48"/>
  <c r="AG199" i="48"/>
  <c r="AH199" i="48"/>
  <c r="AJ199" i="48"/>
  <c r="AK199" i="48"/>
  <c r="AL199" i="48"/>
  <c r="AN199" i="48"/>
  <c r="AO199" i="48"/>
  <c r="AP199" i="48"/>
  <c r="AR199" i="48"/>
  <c r="AS199" i="48"/>
  <c r="AT199" i="48"/>
  <c r="AU199" i="48"/>
  <c r="AV199" i="48"/>
  <c r="AW199" i="48"/>
  <c r="A200" i="48"/>
  <c r="B200" i="48"/>
  <c r="C200" i="48"/>
  <c r="D200" i="48"/>
  <c r="E200" i="48"/>
  <c r="F200" i="48"/>
  <c r="G200" i="48"/>
  <c r="H200" i="48"/>
  <c r="I200" i="48"/>
  <c r="J200" i="48"/>
  <c r="K200" i="48"/>
  <c r="L200" i="48"/>
  <c r="M200" i="48"/>
  <c r="N200" i="48"/>
  <c r="P200" i="48"/>
  <c r="Q200" i="48"/>
  <c r="R200" i="48"/>
  <c r="T200" i="48"/>
  <c r="U200" i="48"/>
  <c r="V200" i="48"/>
  <c r="X200" i="48"/>
  <c r="Y200" i="48"/>
  <c r="Z200" i="48"/>
  <c r="AB200" i="48"/>
  <c r="AC200" i="48"/>
  <c r="AD200" i="48"/>
  <c r="AF200" i="48"/>
  <c r="AG200" i="48"/>
  <c r="AH200" i="48"/>
  <c r="AJ200" i="48"/>
  <c r="AK200" i="48"/>
  <c r="AL200" i="48"/>
  <c r="AN200" i="48"/>
  <c r="AO200" i="48"/>
  <c r="AP200" i="48"/>
  <c r="AR200" i="48"/>
  <c r="AS200" i="48"/>
  <c r="AT200" i="48"/>
  <c r="AU200" i="48"/>
  <c r="AV200" i="48"/>
  <c r="AW200" i="48"/>
  <c r="A201" i="48"/>
  <c r="B201" i="48"/>
  <c r="C201" i="48"/>
  <c r="D201" i="48"/>
  <c r="E201" i="48"/>
  <c r="F201" i="48"/>
  <c r="G201" i="48"/>
  <c r="H201" i="48"/>
  <c r="I201" i="48"/>
  <c r="J201" i="48"/>
  <c r="K201" i="48"/>
  <c r="L201" i="48"/>
  <c r="M201" i="48"/>
  <c r="N201" i="48"/>
  <c r="P201" i="48"/>
  <c r="Q201" i="48"/>
  <c r="R201" i="48"/>
  <c r="T201" i="48"/>
  <c r="U201" i="48"/>
  <c r="V201" i="48"/>
  <c r="X201" i="48"/>
  <c r="Y201" i="48"/>
  <c r="Z201" i="48"/>
  <c r="AB201" i="48"/>
  <c r="AC201" i="48"/>
  <c r="AD201" i="48"/>
  <c r="AF201" i="48"/>
  <c r="AG201" i="48"/>
  <c r="AH201" i="48"/>
  <c r="AJ201" i="48"/>
  <c r="AK201" i="48"/>
  <c r="AL201" i="48"/>
  <c r="AN201" i="48"/>
  <c r="AO201" i="48"/>
  <c r="AP201" i="48"/>
  <c r="AR201" i="48"/>
  <c r="AS201" i="48"/>
  <c r="AT201" i="48"/>
  <c r="AU201" i="48"/>
  <c r="AV201" i="48"/>
  <c r="AW201" i="48"/>
  <c r="A202" i="48"/>
  <c r="B202" i="48"/>
  <c r="C202" i="48"/>
  <c r="D202" i="48"/>
  <c r="E202" i="48"/>
  <c r="F202" i="48"/>
  <c r="G202" i="48"/>
  <c r="H202" i="48"/>
  <c r="I202" i="48"/>
  <c r="J202" i="48"/>
  <c r="K202" i="48"/>
  <c r="L202" i="48"/>
  <c r="M202" i="48"/>
  <c r="N202" i="48"/>
  <c r="P202" i="48"/>
  <c r="Q202" i="48"/>
  <c r="R202" i="48"/>
  <c r="T202" i="48"/>
  <c r="U202" i="48"/>
  <c r="V202" i="48"/>
  <c r="X202" i="48"/>
  <c r="Y202" i="48"/>
  <c r="Z202" i="48"/>
  <c r="AB202" i="48"/>
  <c r="AC202" i="48"/>
  <c r="AD202" i="48"/>
  <c r="AF202" i="48"/>
  <c r="AG202" i="48"/>
  <c r="AH202" i="48"/>
  <c r="AJ202" i="48"/>
  <c r="AK202" i="48"/>
  <c r="AL202" i="48"/>
  <c r="AN202" i="48"/>
  <c r="AO202" i="48"/>
  <c r="AP202" i="48"/>
  <c r="AR202" i="48"/>
  <c r="AS202" i="48"/>
  <c r="AT202" i="48"/>
  <c r="AU202" i="48"/>
  <c r="AV202" i="48"/>
  <c r="AW202" i="48"/>
  <c r="A203" i="48"/>
  <c r="B203" i="48"/>
  <c r="C203" i="48"/>
  <c r="D203" i="48"/>
  <c r="E203" i="48"/>
  <c r="F203" i="48"/>
  <c r="G203" i="48"/>
  <c r="H203" i="48"/>
  <c r="I203" i="48"/>
  <c r="J203" i="48"/>
  <c r="K203" i="48"/>
  <c r="L203" i="48"/>
  <c r="M203" i="48"/>
  <c r="N203" i="48"/>
  <c r="P203" i="48"/>
  <c r="Q203" i="48"/>
  <c r="R203" i="48"/>
  <c r="T203" i="48"/>
  <c r="U203" i="48"/>
  <c r="V203" i="48"/>
  <c r="X203" i="48"/>
  <c r="Y203" i="48"/>
  <c r="Z203" i="48"/>
  <c r="AB203" i="48"/>
  <c r="AC203" i="48"/>
  <c r="AD203" i="48"/>
  <c r="AF203" i="48"/>
  <c r="AG203" i="48"/>
  <c r="AH203" i="48"/>
  <c r="AJ203" i="48"/>
  <c r="AK203" i="48"/>
  <c r="AL203" i="48"/>
  <c r="AN203" i="48"/>
  <c r="AO203" i="48"/>
  <c r="AP203" i="48"/>
  <c r="AR203" i="48"/>
  <c r="AS203" i="48"/>
  <c r="AT203" i="48"/>
  <c r="AU203" i="48"/>
  <c r="AV203" i="48"/>
  <c r="AW203" i="48"/>
  <c r="A204" i="48"/>
  <c r="B204" i="48"/>
  <c r="C204" i="48"/>
  <c r="D204" i="48"/>
  <c r="E204" i="48"/>
  <c r="F204" i="48"/>
  <c r="G204" i="48"/>
  <c r="H204" i="48"/>
  <c r="I204" i="48"/>
  <c r="J204" i="48"/>
  <c r="K204" i="48"/>
  <c r="L204" i="48"/>
  <c r="M204" i="48"/>
  <c r="N204" i="48"/>
  <c r="P204" i="48"/>
  <c r="Q204" i="48"/>
  <c r="R204" i="48"/>
  <c r="T204" i="48"/>
  <c r="U204" i="48"/>
  <c r="V204" i="48"/>
  <c r="X204" i="48"/>
  <c r="Y204" i="48"/>
  <c r="Z204" i="48"/>
  <c r="AB204" i="48"/>
  <c r="AC204" i="48"/>
  <c r="AD204" i="48"/>
  <c r="AF204" i="48"/>
  <c r="AG204" i="48"/>
  <c r="AH204" i="48"/>
  <c r="AJ204" i="48"/>
  <c r="AK204" i="48"/>
  <c r="AL204" i="48"/>
  <c r="AN204" i="48"/>
  <c r="AO204" i="48"/>
  <c r="AP204" i="48"/>
  <c r="AR204" i="48"/>
  <c r="AS204" i="48"/>
  <c r="AT204" i="48"/>
  <c r="AU204" i="48"/>
  <c r="AV204" i="48"/>
  <c r="AW204" i="48"/>
  <c r="A205" i="48"/>
  <c r="B205" i="48"/>
  <c r="C205" i="48"/>
  <c r="D205" i="48"/>
  <c r="E205" i="48"/>
  <c r="F205" i="48"/>
  <c r="G205" i="48"/>
  <c r="H205" i="48"/>
  <c r="I205" i="48"/>
  <c r="J205" i="48"/>
  <c r="K205" i="48"/>
  <c r="L205" i="48"/>
  <c r="M205" i="48"/>
  <c r="N205" i="48"/>
  <c r="P205" i="48"/>
  <c r="Q205" i="48"/>
  <c r="R205" i="48"/>
  <c r="T205" i="48"/>
  <c r="U205" i="48"/>
  <c r="V205" i="48"/>
  <c r="X205" i="48"/>
  <c r="Y205" i="48"/>
  <c r="Z205" i="48"/>
  <c r="AB205" i="48"/>
  <c r="AC205" i="48"/>
  <c r="AD205" i="48"/>
  <c r="AF205" i="48"/>
  <c r="AG205" i="48"/>
  <c r="AH205" i="48"/>
  <c r="AJ205" i="48"/>
  <c r="AK205" i="48"/>
  <c r="AL205" i="48"/>
  <c r="AN205" i="48"/>
  <c r="AO205" i="48"/>
  <c r="AP205" i="48"/>
  <c r="AR205" i="48"/>
  <c r="AS205" i="48"/>
  <c r="AT205" i="48"/>
  <c r="AU205" i="48"/>
  <c r="AV205" i="48"/>
  <c r="AW205" i="48"/>
  <c r="A206" i="48"/>
  <c r="B206" i="48"/>
  <c r="C206" i="48"/>
  <c r="D206" i="48"/>
  <c r="E206" i="48"/>
  <c r="F206" i="48"/>
  <c r="G206" i="48"/>
  <c r="H206" i="48"/>
  <c r="I206" i="48"/>
  <c r="J206" i="48"/>
  <c r="K206" i="48"/>
  <c r="L206" i="48"/>
  <c r="M206" i="48"/>
  <c r="N206" i="48"/>
  <c r="P206" i="48"/>
  <c r="Q206" i="48"/>
  <c r="R206" i="48"/>
  <c r="T206" i="48"/>
  <c r="U206" i="48"/>
  <c r="V206" i="48"/>
  <c r="X206" i="48"/>
  <c r="Y206" i="48"/>
  <c r="Z206" i="48"/>
  <c r="AB206" i="48"/>
  <c r="AC206" i="48"/>
  <c r="AD206" i="48"/>
  <c r="AF206" i="48"/>
  <c r="AG206" i="48"/>
  <c r="AH206" i="48"/>
  <c r="AJ206" i="48"/>
  <c r="AK206" i="48"/>
  <c r="AL206" i="48"/>
  <c r="AN206" i="48"/>
  <c r="AO206" i="48"/>
  <c r="AP206" i="48"/>
  <c r="AR206" i="48"/>
  <c r="AS206" i="48"/>
  <c r="AT206" i="48"/>
  <c r="AU206" i="48"/>
  <c r="AV206" i="48"/>
  <c r="AW206" i="48"/>
  <c r="A207" i="48"/>
  <c r="B207" i="48"/>
  <c r="C207" i="48"/>
  <c r="D207" i="48"/>
  <c r="E207" i="48"/>
  <c r="F207" i="48"/>
  <c r="G207" i="48"/>
  <c r="H207" i="48"/>
  <c r="I207" i="48"/>
  <c r="J207" i="48"/>
  <c r="K207" i="48"/>
  <c r="L207" i="48"/>
  <c r="M207" i="48"/>
  <c r="N207" i="48"/>
  <c r="P207" i="48"/>
  <c r="Q207" i="48"/>
  <c r="R207" i="48"/>
  <c r="T207" i="48"/>
  <c r="U207" i="48"/>
  <c r="V207" i="48"/>
  <c r="X207" i="48"/>
  <c r="Y207" i="48"/>
  <c r="Z207" i="48"/>
  <c r="AB207" i="48"/>
  <c r="AC207" i="48"/>
  <c r="AD207" i="48"/>
  <c r="AF207" i="48"/>
  <c r="AG207" i="48"/>
  <c r="AH207" i="48"/>
  <c r="AJ207" i="48"/>
  <c r="AK207" i="48"/>
  <c r="AL207" i="48"/>
  <c r="AN207" i="48"/>
  <c r="AO207" i="48"/>
  <c r="AP207" i="48"/>
  <c r="AR207" i="48"/>
  <c r="AS207" i="48"/>
  <c r="AT207" i="48"/>
  <c r="AU207" i="48"/>
  <c r="AV207" i="48"/>
  <c r="AW207" i="48"/>
  <c r="A208" i="48"/>
  <c r="B208" i="48"/>
  <c r="C208" i="48"/>
  <c r="D208" i="48"/>
  <c r="E208" i="48"/>
  <c r="F208" i="48"/>
  <c r="G208" i="48"/>
  <c r="H208" i="48"/>
  <c r="I208" i="48"/>
  <c r="J208" i="48"/>
  <c r="K208" i="48"/>
  <c r="L208" i="48"/>
  <c r="M208" i="48"/>
  <c r="N208" i="48"/>
  <c r="P208" i="48"/>
  <c r="Q208" i="48"/>
  <c r="R208" i="48"/>
  <c r="T208" i="48"/>
  <c r="U208" i="48"/>
  <c r="V208" i="48"/>
  <c r="X208" i="48"/>
  <c r="Y208" i="48"/>
  <c r="Z208" i="48"/>
  <c r="AB208" i="48"/>
  <c r="AC208" i="48"/>
  <c r="AD208" i="48"/>
  <c r="AF208" i="48"/>
  <c r="AG208" i="48"/>
  <c r="AH208" i="48"/>
  <c r="AJ208" i="48"/>
  <c r="AK208" i="48"/>
  <c r="AL208" i="48"/>
  <c r="AN208" i="48"/>
  <c r="AO208" i="48"/>
  <c r="AP208" i="48"/>
  <c r="AR208" i="48"/>
  <c r="AS208" i="48"/>
  <c r="AT208" i="48"/>
  <c r="AU208" i="48"/>
  <c r="AV208" i="48"/>
  <c r="AW208" i="48"/>
  <c r="A209" i="48"/>
  <c r="B209" i="48"/>
  <c r="C209" i="48"/>
  <c r="D209" i="48"/>
  <c r="E209" i="48"/>
  <c r="F209" i="48"/>
  <c r="G209" i="48"/>
  <c r="H209" i="48"/>
  <c r="I209" i="48"/>
  <c r="J209" i="48"/>
  <c r="K209" i="48"/>
  <c r="L209" i="48"/>
  <c r="M209" i="48"/>
  <c r="N209" i="48"/>
  <c r="P209" i="48"/>
  <c r="Q209" i="48"/>
  <c r="R209" i="48"/>
  <c r="T209" i="48"/>
  <c r="U209" i="48"/>
  <c r="V209" i="48"/>
  <c r="X209" i="48"/>
  <c r="Y209" i="48"/>
  <c r="Z209" i="48"/>
  <c r="AB209" i="48"/>
  <c r="AC209" i="48"/>
  <c r="AD209" i="48"/>
  <c r="AF209" i="48"/>
  <c r="AG209" i="48"/>
  <c r="AH209" i="48"/>
  <c r="AJ209" i="48"/>
  <c r="AK209" i="48"/>
  <c r="AL209" i="48"/>
  <c r="AN209" i="48"/>
  <c r="AO209" i="48"/>
  <c r="AP209" i="48"/>
  <c r="AR209" i="48"/>
  <c r="AS209" i="48"/>
  <c r="AT209" i="48"/>
  <c r="AU209" i="48"/>
  <c r="AV209" i="48"/>
  <c r="AW209" i="48"/>
  <c r="A210" i="48"/>
  <c r="B210" i="48"/>
  <c r="C210" i="48"/>
  <c r="D210" i="48"/>
  <c r="E210" i="48"/>
  <c r="F210" i="48"/>
  <c r="G210" i="48"/>
  <c r="H210" i="48"/>
  <c r="I210" i="48"/>
  <c r="J210" i="48"/>
  <c r="K210" i="48"/>
  <c r="L210" i="48"/>
  <c r="M210" i="48"/>
  <c r="N210" i="48"/>
  <c r="P210" i="48"/>
  <c r="Q210" i="48"/>
  <c r="R210" i="48"/>
  <c r="T210" i="48"/>
  <c r="U210" i="48"/>
  <c r="V210" i="48"/>
  <c r="X210" i="48"/>
  <c r="Y210" i="48"/>
  <c r="Z210" i="48"/>
  <c r="AB210" i="48"/>
  <c r="AC210" i="48"/>
  <c r="AD210" i="48"/>
  <c r="AF210" i="48"/>
  <c r="AG210" i="48"/>
  <c r="AH210" i="48"/>
  <c r="AJ210" i="48"/>
  <c r="AK210" i="48"/>
  <c r="AL210" i="48"/>
  <c r="AN210" i="48"/>
  <c r="AO210" i="48"/>
  <c r="AP210" i="48"/>
  <c r="AR210" i="48"/>
  <c r="AS210" i="48"/>
  <c r="AT210" i="48"/>
  <c r="AU210" i="48"/>
  <c r="AV210" i="48"/>
  <c r="AW210" i="48"/>
  <c r="A211" i="48"/>
  <c r="B211" i="48"/>
  <c r="C211" i="48"/>
  <c r="D211" i="48"/>
  <c r="E211" i="48"/>
  <c r="F211" i="48"/>
  <c r="G211" i="48"/>
  <c r="H211" i="48"/>
  <c r="I211" i="48"/>
  <c r="J211" i="48"/>
  <c r="K211" i="48"/>
  <c r="L211" i="48"/>
  <c r="M211" i="48"/>
  <c r="N211" i="48"/>
  <c r="P211" i="48"/>
  <c r="Q211" i="48"/>
  <c r="R211" i="48"/>
  <c r="T211" i="48"/>
  <c r="U211" i="48"/>
  <c r="V211" i="48"/>
  <c r="X211" i="48"/>
  <c r="Y211" i="48"/>
  <c r="Z211" i="48"/>
  <c r="AB211" i="48"/>
  <c r="AC211" i="48"/>
  <c r="AD211" i="48"/>
  <c r="AF211" i="48"/>
  <c r="AG211" i="48"/>
  <c r="AH211" i="48"/>
  <c r="AJ211" i="48"/>
  <c r="AK211" i="48"/>
  <c r="AL211" i="48"/>
  <c r="AN211" i="48"/>
  <c r="AO211" i="48"/>
  <c r="AP211" i="48"/>
  <c r="AR211" i="48"/>
  <c r="AS211" i="48"/>
  <c r="AT211" i="48"/>
  <c r="AU211" i="48"/>
  <c r="AV211" i="48"/>
  <c r="AW211" i="48"/>
  <c r="A212" i="48"/>
  <c r="B212" i="48"/>
  <c r="C212" i="48"/>
  <c r="D212" i="48"/>
  <c r="E212" i="48"/>
  <c r="F212" i="48"/>
  <c r="G212" i="48"/>
  <c r="H212" i="48"/>
  <c r="I212" i="48"/>
  <c r="J212" i="48"/>
  <c r="K212" i="48"/>
  <c r="L212" i="48"/>
  <c r="M212" i="48"/>
  <c r="N212" i="48"/>
  <c r="P212" i="48"/>
  <c r="Q212" i="48"/>
  <c r="R212" i="48"/>
  <c r="T212" i="48"/>
  <c r="U212" i="48"/>
  <c r="V212" i="48"/>
  <c r="X212" i="48"/>
  <c r="Y212" i="48"/>
  <c r="Z212" i="48"/>
  <c r="AB212" i="48"/>
  <c r="AC212" i="48"/>
  <c r="AD212" i="48"/>
  <c r="AF212" i="48"/>
  <c r="AG212" i="48"/>
  <c r="AH212" i="48"/>
  <c r="AJ212" i="48"/>
  <c r="AK212" i="48"/>
  <c r="AL212" i="48"/>
  <c r="AN212" i="48"/>
  <c r="AO212" i="48"/>
  <c r="AP212" i="48"/>
  <c r="AR212" i="48"/>
  <c r="AS212" i="48"/>
  <c r="AT212" i="48"/>
  <c r="AU212" i="48"/>
  <c r="AV212" i="48"/>
  <c r="AW212" i="48"/>
  <c r="A213" i="48"/>
  <c r="B213" i="48"/>
  <c r="C213" i="48"/>
  <c r="D213" i="48"/>
  <c r="E213" i="48"/>
  <c r="F213" i="48"/>
  <c r="G213" i="48"/>
  <c r="H213" i="48"/>
  <c r="I213" i="48"/>
  <c r="J213" i="48"/>
  <c r="K213" i="48"/>
  <c r="L213" i="48"/>
  <c r="M213" i="48"/>
  <c r="N213" i="48"/>
  <c r="P213" i="48"/>
  <c r="Q213" i="48"/>
  <c r="R213" i="48"/>
  <c r="T213" i="48"/>
  <c r="U213" i="48"/>
  <c r="V213" i="48"/>
  <c r="X213" i="48"/>
  <c r="Y213" i="48"/>
  <c r="Z213" i="48"/>
  <c r="AB213" i="48"/>
  <c r="AC213" i="48"/>
  <c r="AD213" i="48"/>
  <c r="AF213" i="48"/>
  <c r="AG213" i="48"/>
  <c r="AH213" i="48"/>
  <c r="AJ213" i="48"/>
  <c r="AK213" i="48"/>
  <c r="AL213" i="48"/>
  <c r="AN213" i="48"/>
  <c r="AO213" i="48"/>
  <c r="AP213" i="48"/>
  <c r="AR213" i="48"/>
  <c r="AS213" i="48"/>
  <c r="AT213" i="48"/>
  <c r="AU213" i="48"/>
  <c r="AV213" i="48"/>
  <c r="AW213" i="48"/>
  <c r="A214" i="48"/>
  <c r="B214" i="48"/>
  <c r="C214" i="48"/>
  <c r="D214" i="48"/>
  <c r="E214" i="48"/>
  <c r="F214" i="48"/>
  <c r="G214" i="48"/>
  <c r="H214" i="48"/>
  <c r="I214" i="48"/>
  <c r="J214" i="48"/>
  <c r="K214" i="48"/>
  <c r="L214" i="48"/>
  <c r="M214" i="48"/>
  <c r="N214" i="48"/>
  <c r="P214" i="48"/>
  <c r="Q214" i="48"/>
  <c r="R214" i="48"/>
  <c r="T214" i="48"/>
  <c r="U214" i="48"/>
  <c r="V214" i="48"/>
  <c r="X214" i="48"/>
  <c r="Y214" i="48"/>
  <c r="Z214" i="48"/>
  <c r="AB214" i="48"/>
  <c r="AC214" i="48"/>
  <c r="AD214" i="48"/>
  <c r="AF214" i="48"/>
  <c r="AG214" i="48"/>
  <c r="AH214" i="48"/>
  <c r="AJ214" i="48"/>
  <c r="AK214" i="48"/>
  <c r="AL214" i="48"/>
  <c r="AN214" i="48"/>
  <c r="AO214" i="48"/>
  <c r="AP214" i="48"/>
  <c r="AR214" i="48"/>
  <c r="AS214" i="48"/>
  <c r="AT214" i="48"/>
  <c r="AU214" i="48"/>
  <c r="AV214" i="48"/>
  <c r="AW214" i="48"/>
  <c r="A215" i="48"/>
  <c r="B215" i="48"/>
  <c r="C215" i="48"/>
  <c r="D215" i="48"/>
  <c r="E215" i="48"/>
  <c r="F215" i="48"/>
  <c r="G215" i="48"/>
  <c r="H215" i="48"/>
  <c r="I215" i="48"/>
  <c r="J215" i="48"/>
  <c r="K215" i="48"/>
  <c r="L215" i="48"/>
  <c r="M215" i="48"/>
  <c r="N215" i="48"/>
  <c r="P215" i="48"/>
  <c r="Q215" i="48"/>
  <c r="R215" i="48"/>
  <c r="T215" i="48"/>
  <c r="U215" i="48"/>
  <c r="V215" i="48"/>
  <c r="X215" i="48"/>
  <c r="Y215" i="48"/>
  <c r="Z215" i="48"/>
  <c r="AB215" i="48"/>
  <c r="AC215" i="48"/>
  <c r="AD215" i="48"/>
  <c r="AF215" i="48"/>
  <c r="AG215" i="48"/>
  <c r="AH215" i="48"/>
  <c r="AJ215" i="48"/>
  <c r="AK215" i="48"/>
  <c r="AL215" i="48"/>
  <c r="AN215" i="48"/>
  <c r="AO215" i="48"/>
  <c r="AP215" i="48"/>
  <c r="AR215" i="48"/>
  <c r="AS215" i="48"/>
  <c r="AT215" i="48"/>
  <c r="AU215" i="48"/>
  <c r="AV215" i="48"/>
  <c r="AW215" i="48"/>
  <c r="A216" i="48"/>
  <c r="B216" i="48"/>
  <c r="C216" i="48"/>
  <c r="D216" i="48"/>
  <c r="E216" i="48"/>
  <c r="F216" i="48"/>
  <c r="G216" i="48"/>
  <c r="H216" i="48"/>
  <c r="I216" i="48"/>
  <c r="J216" i="48"/>
  <c r="K216" i="48"/>
  <c r="L216" i="48"/>
  <c r="M216" i="48"/>
  <c r="N216" i="48"/>
  <c r="P216" i="48"/>
  <c r="Q216" i="48"/>
  <c r="R216" i="48"/>
  <c r="T216" i="48"/>
  <c r="U216" i="48"/>
  <c r="V216" i="48"/>
  <c r="X216" i="48"/>
  <c r="Y216" i="48"/>
  <c r="Z216" i="48"/>
  <c r="AB216" i="48"/>
  <c r="AC216" i="48"/>
  <c r="AD216" i="48"/>
  <c r="AF216" i="48"/>
  <c r="AG216" i="48"/>
  <c r="AH216" i="48"/>
  <c r="AJ216" i="48"/>
  <c r="AK216" i="48"/>
  <c r="AL216" i="48"/>
  <c r="AN216" i="48"/>
  <c r="AO216" i="48"/>
  <c r="AP216" i="48"/>
  <c r="AR216" i="48"/>
  <c r="AS216" i="48"/>
  <c r="AT216" i="48"/>
  <c r="AU216" i="48"/>
  <c r="AV216" i="48"/>
  <c r="AW216" i="48"/>
  <c r="A217" i="48"/>
  <c r="B217" i="48"/>
  <c r="C217" i="48"/>
  <c r="D217" i="48"/>
  <c r="E217" i="48"/>
  <c r="F217" i="48"/>
  <c r="G217" i="48"/>
  <c r="H217" i="48"/>
  <c r="I217" i="48"/>
  <c r="J217" i="48"/>
  <c r="K217" i="48"/>
  <c r="L217" i="48"/>
  <c r="M217" i="48"/>
  <c r="N217" i="48"/>
  <c r="P217" i="48"/>
  <c r="Q217" i="48"/>
  <c r="R217" i="48"/>
  <c r="T217" i="48"/>
  <c r="U217" i="48"/>
  <c r="V217" i="48"/>
  <c r="X217" i="48"/>
  <c r="Y217" i="48"/>
  <c r="Z217" i="48"/>
  <c r="AB217" i="48"/>
  <c r="AC217" i="48"/>
  <c r="AD217" i="48"/>
  <c r="AF217" i="48"/>
  <c r="AG217" i="48"/>
  <c r="AH217" i="48"/>
  <c r="AJ217" i="48"/>
  <c r="AK217" i="48"/>
  <c r="AL217" i="48"/>
  <c r="AN217" i="48"/>
  <c r="AO217" i="48"/>
  <c r="AP217" i="48"/>
  <c r="AR217" i="48"/>
  <c r="AS217" i="48"/>
  <c r="AT217" i="48"/>
  <c r="AU217" i="48"/>
  <c r="AV217" i="48"/>
  <c r="AW217" i="48"/>
  <c r="A218" i="48"/>
  <c r="B218" i="48"/>
  <c r="C218" i="48"/>
  <c r="D218" i="48"/>
  <c r="E218" i="48"/>
  <c r="F218" i="48"/>
  <c r="G218" i="48"/>
  <c r="H218" i="48"/>
  <c r="I218" i="48"/>
  <c r="J218" i="48"/>
  <c r="K218" i="48"/>
  <c r="L218" i="48"/>
  <c r="M218" i="48"/>
  <c r="N218" i="48"/>
  <c r="P218" i="48"/>
  <c r="Q218" i="48"/>
  <c r="R218" i="48"/>
  <c r="T218" i="48"/>
  <c r="U218" i="48"/>
  <c r="V218" i="48"/>
  <c r="X218" i="48"/>
  <c r="Y218" i="48"/>
  <c r="Z218" i="48"/>
  <c r="AB218" i="48"/>
  <c r="AC218" i="48"/>
  <c r="AD218" i="48"/>
  <c r="AF218" i="48"/>
  <c r="AG218" i="48"/>
  <c r="AH218" i="48"/>
  <c r="AJ218" i="48"/>
  <c r="AK218" i="48"/>
  <c r="AL218" i="48"/>
  <c r="AN218" i="48"/>
  <c r="AO218" i="48"/>
  <c r="AP218" i="48"/>
  <c r="AR218" i="48"/>
  <c r="AS218" i="48"/>
  <c r="AT218" i="48"/>
  <c r="AU218" i="48"/>
  <c r="AV218" i="48"/>
  <c r="AW218" i="48"/>
  <c r="A219" i="48"/>
  <c r="B219" i="48"/>
  <c r="C219" i="48"/>
  <c r="D219" i="48"/>
  <c r="E219" i="48"/>
  <c r="F219" i="48"/>
  <c r="G219" i="48"/>
  <c r="H219" i="48"/>
  <c r="I219" i="48"/>
  <c r="J219" i="48"/>
  <c r="K219" i="48"/>
  <c r="L219" i="48"/>
  <c r="M219" i="48"/>
  <c r="N219" i="48"/>
  <c r="P219" i="48"/>
  <c r="Q219" i="48"/>
  <c r="R219" i="48"/>
  <c r="T219" i="48"/>
  <c r="U219" i="48"/>
  <c r="V219" i="48"/>
  <c r="X219" i="48"/>
  <c r="Y219" i="48"/>
  <c r="Z219" i="48"/>
  <c r="AB219" i="48"/>
  <c r="AC219" i="48"/>
  <c r="AD219" i="48"/>
  <c r="AF219" i="48"/>
  <c r="AG219" i="48"/>
  <c r="AH219" i="48"/>
  <c r="AJ219" i="48"/>
  <c r="AK219" i="48"/>
  <c r="AL219" i="48"/>
  <c r="AN219" i="48"/>
  <c r="AO219" i="48"/>
  <c r="AP219" i="48"/>
  <c r="AR219" i="48"/>
  <c r="AS219" i="48"/>
  <c r="AT219" i="48"/>
  <c r="AU219" i="48"/>
  <c r="AV219" i="48"/>
  <c r="AW219" i="48"/>
  <c r="A220" i="48"/>
  <c r="B220" i="48"/>
  <c r="C220" i="48"/>
  <c r="D220" i="48"/>
  <c r="E220" i="48"/>
  <c r="F220" i="48"/>
  <c r="G220" i="48"/>
  <c r="H220" i="48"/>
  <c r="I220" i="48"/>
  <c r="J220" i="48"/>
  <c r="K220" i="48"/>
  <c r="L220" i="48"/>
  <c r="M220" i="48"/>
  <c r="N220" i="48"/>
  <c r="P220" i="48"/>
  <c r="Q220" i="48"/>
  <c r="R220" i="48"/>
  <c r="T220" i="48"/>
  <c r="U220" i="48"/>
  <c r="V220" i="48"/>
  <c r="X220" i="48"/>
  <c r="Y220" i="48"/>
  <c r="Z220" i="48"/>
  <c r="AB220" i="48"/>
  <c r="AC220" i="48"/>
  <c r="AD220" i="48"/>
  <c r="AF220" i="48"/>
  <c r="AG220" i="48"/>
  <c r="AH220" i="48"/>
  <c r="AJ220" i="48"/>
  <c r="AK220" i="48"/>
  <c r="AL220" i="48"/>
  <c r="AN220" i="48"/>
  <c r="AO220" i="48"/>
  <c r="AP220" i="48"/>
  <c r="AR220" i="48"/>
  <c r="AS220" i="48"/>
  <c r="AT220" i="48"/>
  <c r="AU220" i="48"/>
  <c r="AV220" i="48"/>
  <c r="AW220" i="48"/>
  <c r="A221" i="48"/>
  <c r="B221" i="48"/>
  <c r="C221" i="48"/>
  <c r="D221" i="48"/>
  <c r="E221" i="48"/>
  <c r="F221" i="48"/>
  <c r="G221" i="48"/>
  <c r="H221" i="48"/>
  <c r="I221" i="48"/>
  <c r="J221" i="48"/>
  <c r="K221" i="48"/>
  <c r="L221" i="48"/>
  <c r="M221" i="48"/>
  <c r="N221" i="48"/>
  <c r="P221" i="48"/>
  <c r="Q221" i="48"/>
  <c r="R221" i="48"/>
  <c r="T221" i="48"/>
  <c r="U221" i="48"/>
  <c r="V221" i="48"/>
  <c r="X221" i="48"/>
  <c r="Y221" i="48"/>
  <c r="Z221" i="48"/>
  <c r="AB221" i="48"/>
  <c r="AC221" i="48"/>
  <c r="AD221" i="48"/>
  <c r="AF221" i="48"/>
  <c r="AG221" i="48"/>
  <c r="AH221" i="48"/>
  <c r="AJ221" i="48"/>
  <c r="AK221" i="48"/>
  <c r="AL221" i="48"/>
  <c r="AN221" i="48"/>
  <c r="AO221" i="48"/>
  <c r="AP221" i="48"/>
  <c r="AR221" i="48"/>
  <c r="AS221" i="48"/>
  <c r="AT221" i="48"/>
  <c r="AU221" i="48"/>
  <c r="AV221" i="48"/>
  <c r="AW221" i="48"/>
  <c r="A222" i="48"/>
  <c r="B222" i="48"/>
  <c r="C222" i="48"/>
  <c r="D222" i="48"/>
  <c r="E222" i="48"/>
  <c r="F222" i="48"/>
  <c r="G222" i="48"/>
  <c r="H222" i="48"/>
  <c r="I222" i="48"/>
  <c r="J222" i="48"/>
  <c r="K222" i="48"/>
  <c r="L222" i="48"/>
  <c r="M222" i="48"/>
  <c r="N222" i="48"/>
  <c r="P222" i="48"/>
  <c r="Q222" i="48"/>
  <c r="R222" i="48"/>
  <c r="T222" i="48"/>
  <c r="U222" i="48"/>
  <c r="V222" i="48"/>
  <c r="X222" i="48"/>
  <c r="Y222" i="48"/>
  <c r="Z222" i="48"/>
  <c r="AB222" i="48"/>
  <c r="AC222" i="48"/>
  <c r="AD222" i="48"/>
  <c r="AF222" i="48"/>
  <c r="AG222" i="48"/>
  <c r="AH222" i="48"/>
  <c r="AJ222" i="48"/>
  <c r="AK222" i="48"/>
  <c r="AL222" i="48"/>
  <c r="AN222" i="48"/>
  <c r="AO222" i="48"/>
  <c r="AP222" i="48"/>
  <c r="AR222" i="48"/>
  <c r="AS222" i="48"/>
  <c r="AT222" i="48"/>
  <c r="AU222" i="48"/>
  <c r="AV222" i="48"/>
  <c r="AW222" i="48"/>
  <c r="A223" i="48"/>
  <c r="B223" i="48"/>
  <c r="C223" i="48"/>
  <c r="D223" i="48"/>
  <c r="E223" i="48"/>
  <c r="F223" i="48"/>
  <c r="G223" i="48"/>
  <c r="H223" i="48"/>
  <c r="I223" i="48"/>
  <c r="J223" i="48"/>
  <c r="K223" i="48"/>
  <c r="L223" i="48"/>
  <c r="M223" i="48"/>
  <c r="N223" i="48"/>
  <c r="P223" i="48"/>
  <c r="Q223" i="48"/>
  <c r="R223" i="48"/>
  <c r="T223" i="48"/>
  <c r="U223" i="48"/>
  <c r="V223" i="48"/>
  <c r="X223" i="48"/>
  <c r="Y223" i="48"/>
  <c r="Z223" i="48"/>
  <c r="AB223" i="48"/>
  <c r="AC223" i="48"/>
  <c r="AD223" i="48"/>
  <c r="AF223" i="48"/>
  <c r="AG223" i="48"/>
  <c r="AH223" i="48"/>
  <c r="AJ223" i="48"/>
  <c r="AK223" i="48"/>
  <c r="AL223" i="48"/>
  <c r="AN223" i="48"/>
  <c r="AO223" i="48"/>
  <c r="AP223" i="48"/>
  <c r="AR223" i="48"/>
  <c r="AS223" i="48"/>
  <c r="AT223" i="48"/>
  <c r="AU223" i="48"/>
  <c r="AV223" i="48"/>
  <c r="AW223" i="48"/>
  <c r="A224" i="48"/>
  <c r="B224" i="48"/>
  <c r="C224" i="48"/>
  <c r="D224" i="48"/>
  <c r="E224" i="48"/>
  <c r="F224" i="48"/>
  <c r="G224" i="48"/>
  <c r="H224" i="48"/>
  <c r="I224" i="48"/>
  <c r="J224" i="48"/>
  <c r="K224" i="48"/>
  <c r="L224" i="48"/>
  <c r="M224" i="48"/>
  <c r="N224" i="48"/>
  <c r="P224" i="48"/>
  <c r="Q224" i="48"/>
  <c r="R224" i="48"/>
  <c r="T224" i="48"/>
  <c r="U224" i="48"/>
  <c r="V224" i="48"/>
  <c r="X224" i="48"/>
  <c r="Y224" i="48"/>
  <c r="Z224" i="48"/>
  <c r="AB224" i="48"/>
  <c r="AC224" i="48"/>
  <c r="AD224" i="48"/>
  <c r="AF224" i="48"/>
  <c r="AG224" i="48"/>
  <c r="AH224" i="48"/>
  <c r="AJ224" i="48"/>
  <c r="AK224" i="48"/>
  <c r="AL224" i="48"/>
  <c r="AN224" i="48"/>
  <c r="AO224" i="48"/>
  <c r="AP224" i="48"/>
  <c r="AR224" i="48"/>
  <c r="AS224" i="48"/>
  <c r="AT224" i="48"/>
  <c r="AU224" i="48"/>
  <c r="AV224" i="48"/>
  <c r="AW224" i="48"/>
  <c r="A225" i="48"/>
  <c r="B225" i="48"/>
  <c r="C225" i="48"/>
  <c r="D225" i="48"/>
  <c r="E225" i="48"/>
  <c r="F225" i="48"/>
  <c r="G225" i="48"/>
  <c r="H225" i="48"/>
  <c r="I225" i="48"/>
  <c r="J225" i="48"/>
  <c r="K225" i="48"/>
  <c r="L225" i="48"/>
  <c r="M225" i="48"/>
  <c r="N225" i="48"/>
  <c r="P225" i="48"/>
  <c r="Q225" i="48"/>
  <c r="R225" i="48"/>
  <c r="T225" i="48"/>
  <c r="U225" i="48"/>
  <c r="V225" i="48"/>
  <c r="X225" i="48"/>
  <c r="Y225" i="48"/>
  <c r="Z225" i="48"/>
  <c r="AB225" i="48"/>
  <c r="AC225" i="48"/>
  <c r="AD225" i="48"/>
  <c r="AF225" i="48"/>
  <c r="AG225" i="48"/>
  <c r="AH225" i="48"/>
  <c r="AJ225" i="48"/>
  <c r="AK225" i="48"/>
  <c r="AL225" i="48"/>
  <c r="AN225" i="48"/>
  <c r="AO225" i="48"/>
  <c r="AP225" i="48"/>
  <c r="AR225" i="48"/>
  <c r="AS225" i="48"/>
  <c r="AT225" i="48"/>
  <c r="AU225" i="48"/>
  <c r="AV225" i="48"/>
  <c r="AW225" i="48"/>
  <c r="A226" i="48"/>
  <c r="B226" i="48"/>
  <c r="C226" i="48"/>
  <c r="D226" i="48"/>
  <c r="E226" i="48"/>
  <c r="F226" i="48"/>
  <c r="G226" i="48"/>
  <c r="H226" i="48"/>
  <c r="I226" i="48"/>
  <c r="J226" i="48"/>
  <c r="K226" i="48"/>
  <c r="L226" i="48"/>
  <c r="M226" i="48"/>
  <c r="N226" i="48"/>
  <c r="P226" i="48"/>
  <c r="Q226" i="48"/>
  <c r="R226" i="48"/>
  <c r="T226" i="48"/>
  <c r="U226" i="48"/>
  <c r="V226" i="48"/>
  <c r="X226" i="48"/>
  <c r="Y226" i="48"/>
  <c r="Z226" i="48"/>
  <c r="AB226" i="48"/>
  <c r="AC226" i="48"/>
  <c r="AD226" i="48"/>
  <c r="AF226" i="48"/>
  <c r="AG226" i="48"/>
  <c r="AH226" i="48"/>
  <c r="AJ226" i="48"/>
  <c r="AK226" i="48"/>
  <c r="AL226" i="48"/>
  <c r="AN226" i="48"/>
  <c r="AO226" i="48"/>
  <c r="AP226" i="48"/>
  <c r="AR226" i="48"/>
  <c r="AS226" i="48"/>
  <c r="AT226" i="48"/>
  <c r="AU226" i="48"/>
  <c r="AV226" i="48"/>
  <c r="AW226" i="48"/>
  <c r="A227" i="48"/>
  <c r="B227" i="48"/>
  <c r="C227" i="48"/>
  <c r="D227" i="48"/>
  <c r="E227" i="48"/>
  <c r="F227" i="48"/>
  <c r="G227" i="48"/>
  <c r="H227" i="48"/>
  <c r="I227" i="48"/>
  <c r="J227" i="48"/>
  <c r="K227" i="48"/>
  <c r="L227" i="48"/>
  <c r="M227" i="48"/>
  <c r="N227" i="48"/>
  <c r="P227" i="48"/>
  <c r="Q227" i="48"/>
  <c r="R227" i="48"/>
  <c r="T227" i="48"/>
  <c r="U227" i="48"/>
  <c r="V227" i="48"/>
  <c r="X227" i="48"/>
  <c r="Y227" i="48"/>
  <c r="Z227" i="48"/>
  <c r="AB227" i="48"/>
  <c r="AC227" i="48"/>
  <c r="AD227" i="48"/>
  <c r="AF227" i="48"/>
  <c r="AG227" i="48"/>
  <c r="AH227" i="48"/>
  <c r="AJ227" i="48"/>
  <c r="AK227" i="48"/>
  <c r="AL227" i="48"/>
  <c r="AN227" i="48"/>
  <c r="AO227" i="48"/>
  <c r="AP227" i="48"/>
  <c r="AR227" i="48"/>
  <c r="AS227" i="48"/>
  <c r="AT227" i="48"/>
  <c r="AU227" i="48"/>
  <c r="AV227" i="48"/>
  <c r="AW227" i="48"/>
  <c r="A228" i="48"/>
  <c r="B228" i="48"/>
  <c r="C228" i="48"/>
  <c r="D228" i="48"/>
  <c r="E228" i="48"/>
  <c r="F228" i="48"/>
  <c r="G228" i="48"/>
  <c r="H228" i="48"/>
  <c r="I228" i="48"/>
  <c r="J228" i="48"/>
  <c r="K228" i="48"/>
  <c r="L228" i="48"/>
  <c r="M228" i="48"/>
  <c r="N228" i="48"/>
  <c r="P228" i="48"/>
  <c r="Q228" i="48"/>
  <c r="R228" i="48"/>
  <c r="T228" i="48"/>
  <c r="U228" i="48"/>
  <c r="V228" i="48"/>
  <c r="X228" i="48"/>
  <c r="Y228" i="48"/>
  <c r="Z228" i="48"/>
  <c r="AB228" i="48"/>
  <c r="AC228" i="48"/>
  <c r="AD228" i="48"/>
  <c r="AF228" i="48"/>
  <c r="AG228" i="48"/>
  <c r="AH228" i="48"/>
  <c r="AJ228" i="48"/>
  <c r="AK228" i="48"/>
  <c r="AL228" i="48"/>
  <c r="AN228" i="48"/>
  <c r="AO228" i="48"/>
  <c r="AP228" i="48"/>
  <c r="AR228" i="48"/>
  <c r="AS228" i="48"/>
  <c r="AT228" i="48"/>
  <c r="AU228" i="48"/>
  <c r="AV228" i="48"/>
  <c r="AW228" i="48"/>
  <c r="A229" i="48"/>
  <c r="B229" i="48"/>
  <c r="C229" i="48"/>
  <c r="D229" i="48"/>
  <c r="E229" i="48"/>
  <c r="F229" i="48"/>
  <c r="G229" i="48"/>
  <c r="H229" i="48"/>
  <c r="I229" i="48"/>
  <c r="J229" i="48"/>
  <c r="K229" i="48"/>
  <c r="L229" i="48"/>
  <c r="M229" i="48"/>
  <c r="N229" i="48"/>
  <c r="P229" i="48"/>
  <c r="Q229" i="48"/>
  <c r="R229" i="48"/>
  <c r="T229" i="48"/>
  <c r="U229" i="48"/>
  <c r="V229" i="48"/>
  <c r="X229" i="48"/>
  <c r="Y229" i="48"/>
  <c r="Z229" i="48"/>
  <c r="AB229" i="48"/>
  <c r="AC229" i="48"/>
  <c r="AD229" i="48"/>
  <c r="AF229" i="48"/>
  <c r="AG229" i="48"/>
  <c r="AH229" i="48"/>
  <c r="AJ229" i="48"/>
  <c r="AK229" i="48"/>
  <c r="AL229" i="48"/>
  <c r="AN229" i="48"/>
  <c r="AO229" i="48"/>
  <c r="AP229" i="48"/>
  <c r="AR229" i="48"/>
  <c r="AS229" i="48"/>
  <c r="AT229" i="48"/>
  <c r="AU229" i="48"/>
  <c r="AV229" i="48"/>
  <c r="AW229" i="48"/>
  <c r="A230" i="48"/>
  <c r="B230" i="48"/>
  <c r="C230" i="48"/>
  <c r="D230" i="48"/>
  <c r="E230" i="48"/>
  <c r="F230" i="48"/>
  <c r="G230" i="48"/>
  <c r="H230" i="48"/>
  <c r="I230" i="48"/>
  <c r="J230" i="48"/>
  <c r="K230" i="48"/>
  <c r="L230" i="48"/>
  <c r="M230" i="48"/>
  <c r="N230" i="48"/>
  <c r="P230" i="48"/>
  <c r="Q230" i="48"/>
  <c r="R230" i="48"/>
  <c r="T230" i="48"/>
  <c r="U230" i="48"/>
  <c r="V230" i="48"/>
  <c r="X230" i="48"/>
  <c r="Y230" i="48"/>
  <c r="Z230" i="48"/>
  <c r="AB230" i="48"/>
  <c r="AC230" i="48"/>
  <c r="AD230" i="48"/>
  <c r="AF230" i="48"/>
  <c r="AG230" i="48"/>
  <c r="AH230" i="48"/>
  <c r="AJ230" i="48"/>
  <c r="AK230" i="48"/>
  <c r="AL230" i="48"/>
  <c r="AN230" i="48"/>
  <c r="AO230" i="48"/>
  <c r="AP230" i="48"/>
  <c r="AR230" i="48"/>
  <c r="AS230" i="48"/>
  <c r="AT230" i="48"/>
  <c r="AU230" i="48"/>
  <c r="AV230" i="48"/>
  <c r="AW230" i="48"/>
  <c r="A231" i="48"/>
  <c r="B231" i="48"/>
  <c r="C231" i="48"/>
  <c r="D231" i="48"/>
  <c r="E231" i="48"/>
  <c r="F231" i="48"/>
  <c r="G231" i="48"/>
  <c r="H231" i="48"/>
  <c r="I231" i="48"/>
  <c r="J231" i="48"/>
  <c r="K231" i="48"/>
  <c r="L231" i="48"/>
  <c r="M231" i="48"/>
  <c r="N231" i="48"/>
  <c r="P231" i="48"/>
  <c r="Q231" i="48"/>
  <c r="R231" i="48"/>
  <c r="T231" i="48"/>
  <c r="U231" i="48"/>
  <c r="V231" i="48"/>
  <c r="X231" i="48"/>
  <c r="Y231" i="48"/>
  <c r="Z231" i="48"/>
  <c r="AB231" i="48"/>
  <c r="AC231" i="48"/>
  <c r="AD231" i="48"/>
  <c r="AF231" i="48"/>
  <c r="AG231" i="48"/>
  <c r="AH231" i="48"/>
  <c r="AJ231" i="48"/>
  <c r="AK231" i="48"/>
  <c r="AL231" i="48"/>
  <c r="AN231" i="48"/>
  <c r="AO231" i="48"/>
  <c r="AP231" i="48"/>
  <c r="AR231" i="48"/>
  <c r="AS231" i="48"/>
  <c r="AT231" i="48"/>
  <c r="AU231" i="48"/>
  <c r="AV231" i="48"/>
  <c r="AW231" i="48"/>
  <c r="A232" i="48"/>
  <c r="B232" i="48"/>
  <c r="C232" i="48"/>
  <c r="D232" i="48"/>
  <c r="E232" i="48"/>
  <c r="F232" i="48"/>
  <c r="G232" i="48"/>
  <c r="H232" i="48"/>
  <c r="I232" i="48"/>
  <c r="J232" i="48"/>
  <c r="K232" i="48"/>
  <c r="L232" i="48"/>
  <c r="M232" i="48"/>
  <c r="N232" i="48"/>
  <c r="P232" i="48"/>
  <c r="Q232" i="48"/>
  <c r="R232" i="48"/>
  <c r="T232" i="48"/>
  <c r="U232" i="48"/>
  <c r="V232" i="48"/>
  <c r="X232" i="48"/>
  <c r="Y232" i="48"/>
  <c r="Z232" i="48"/>
  <c r="AB232" i="48"/>
  <c r="AC232" i="48"/>
  <c r="AD232" i="48"/>
  <c r="AF232" i="48"/>
  <c r="AG232" i="48"/>
  <c r="AH232" i="48"/>
  <c r="AJ232" i="48"/>
  <c r="AK232" i="48"/>
  <c r="AL232" i="48"/>
  <c r="AN232" i="48"/>
  <c r="AO232" i="48"/>
  <c r="AP232" i="48"/>
  <c r="AR232" i="48"/>
  <c r="AS232" i="48"/>
  <c r="AT232" i="48"/>
  <c r="AU232" i="48"/>
  <c r="AV232" i="48"/>
  <c r="AW232" i="48"/>
  <c r="A233" i="48"/>
  <c r="B233" i="48"/>
  <c r="C233" i="48"/>
  <c r="D233" i="48"/>
  <c r="E233" i="48"/>
  <c r="F233" i="48"/>
  <c r="G233" i="48"/>
  <c r="H233" i="48"/>
  <c r="I233" i="48"/>
  <c r="J233" i="48"/>
  <c r="K233" i="48"/>
  <c r="L233" i="48"/>
  <c r="M233" i="48"/>
  <c r="N233" i="48"/>
  <c r="P233" i="48"/>
  <c r="Q233" i="48"/>
  <c r="R233" i="48"/>
  <c r="T233" i="48"/>
  <c r="U233" i="48"/>
  <c r="V233" i="48"/>
  <c r="X233" i="48"/>
  <c r="Y233" i="48"/>
  <c r="Z233" i="48"/>
  <c r="AB233" i="48"/>
  <c r="AC233" i="48"/>
  <c r="AD233" i="48"/>
  <c r="AF233" i="48"/>
  <c r="AG233" i="48"/>
  <c r="AH233" i="48"/>
  <c r="AJ233" i="48"/>
  <c r="AK233" i="48"/>
  <c r="AL233" i="48"/>
  <c r="AN233" i="48"/>
  <c r="AO233" i="48"/>
  <c r="AP233" i="48"/>
  <c r="AR233" i="48"/>
  <c r="AS233" i="48"/>
  <c r="AT233" i="48"/>
  <c r="AU233" i="48"/>
  <c r="AV233" i="48"/>
  <c r="AW233" i="48"/>
  <c r="A234" i="48"/>
  <c r="B234" i="48"/>
  <c r="C234" i="48"/>
  <c r="D234" i="48"/>
  <c r="E234" i="48"/>
  <c r="F234" i="48"/>
  <c r="G234" i="48"/>
  <c r="H234" i="48"/>
  <c r="I234" i="48"/>
  <c r="J234" i="48"/>
  <c r="K234" i="48"/>
  <c r="L234" i="48"/>
  <c r="M234" i="48"/>
  <c r="N234" i="48"/>
  <c r="P234" i="48"/>
  <c r="Q234" i="48"/>
  <c r="R234" i="48"/>
  <c r="T234" i="48"/>
  <c r="U234" i="48"/>
  <c r="V234" i="48"/>
  <c r="X234" i="48"/>
  <c r="Y234" i="48"/>
  <c r="Z234" i="48"/>
  <c r="AB234" i="48"/>
  <c r="AC234" i="48"/>
  <c r="AD234" i="48"/>
  <c r="AF234" i="48"/>
  <c r="AG234" i="48"/>
  <c r="AH234" i="48"/>
  <c r="AJ234" i="48"/>
  <c r="AK234" i="48"/>
  <c r="AL234" i="48"/>
  <c r="AN234" i="48"/>
  <c r="AO234" i="48"/>
  <c r="AP234" i="48"/>
  <c r="AR234" i="48"/>
  <c r="AS234" i="48"/>
  <c r="AT234" i="48"/>
  <c r="AU234" i="48"/>
  <c r="AV234" i="48"/>
  <c r="AW234" i="48"/>
  <c r="A235" i="48"/>
  <c r="B235" i="48"/>
  <c r="C235" i="48"/>
  <c r="D235" i="48"/>
  <c r="E235" i="48"/>
  <c r="F235" i="48"/>
  <c r="G235" i="48"/>
  <c r="H235" i="48"/>
  <c r="I235" i="48"/>
  <c r="J235" i="48"/>
  <c r="K235" i="48"/>
  <c r="L235" i="48"/>
  <c r="M235" i="48"/>
  <c r="N235" i="48"/>
  <c r="P235" i="48"/>
  <c r="Q235" i="48"/>
  <c r="R235" i="48"/>
  <c r="T235" i="48"/>
  <c r="U235" i="48"/>
  <c r="V235" i="48"/>
  <c r="X235" i="48"/>
  <c r="Y235" i="48"/>
  <c r="Z235" i="48"/>
  <c r="AB235" i="48"/>
  <c r="AC235" i="48"/>
  <c r="AD235" i="48"/>
  <c r="AF235" i="48"/>
  <c r="AG235" i="48"/>
  <c r="AH235" i="48"/>
  <c r="AJ235" i="48"/>
  <c r="AK235" i="48"/>
  <c r="AL235" i="48"/>
  <c r="AN235" i="48"/>
  <c r="AO235" i="48"/>
  <c r="AP235" i="48"/>
  <c r="AR235" i="48"/>
  <c r="AS235" i="48"/>
  <c r="AT235" i="48"/>
  <c r="AU235" i="48"/>
  <c r="AV235" i="48"/>
  <c r="AW235" i="48"/>
  <c r="A236" i="48"/>
  <c r="B236" i="48"/>
  <c r="C236" i="48"/>
  <c r="D236" i="48"/>
  <c r="E236" i="48"/>
  <c r="F236" i="48"/>
  <c r="G236" i="48"/>
  <c r="H236" i="48"/>
  <c r="I236" i="48"/>
  <c r="J236" i="48"/>
  <c r="K236" i="48"/>
  <c r="L236" i="48"/>
  <c r="M236" i="48"/>
  <c r="N236" i="48"/>
  <c r="P236" i="48"/>
  <c r="Q236" i="48"/>
  <c r="R236" i="48"/>
  <c r="T236" i="48"/>
  <c r="U236" i="48"/>
  <c r="V236" i="48"/>
  <c r="X236" i="48"/>
  <c r="Y236" i="48"/>
  <c r="Z236" i="48"/>
  <c r="AB236" i="48"/>
  <c r="AC236" i="48"/>
  <c r="AD236" i="48"/>
  <c r="AF236" i="48"/>
  <c r="AG236" i="48"/>
  <c r="AH236" i="48"/>
  <c r="AJ236" i="48"/>
  <c r="AK236" i="48"/>
  <c r="AL236" i="48"/>
  <c r="AN236" i="48"/>
  <c r="AO236" i="48"/>
  <c r="AP236" i="48"/>
  <c r="AR236" i="48"/>
  <c r="AS236" i="48"/>
  <c r="AT236" i="48"/>
  <c r="AU236" i="48"/>
  <c r="AV236" i="48"/>
  <c r="AW236" i="48"/>
  <c r="A237" i="48"/>
  <c r="B237" i="48"/>
  <c r="C237" i="48"/>
  <c r="D237" i="48"/>
  <c r="E237" i="48"/>
  <c r="F237" i="48"/>
  <c r="G237" i="48"/>
  <c r="H237" i="48"/>
  <c r="I237" i="48"/>
  <c r="J237" i="48"/>
  <c r="K237" i="48"/>
  <c r="L237" i="48"/>
  <c r="M237" i="48"/>
  <c r="N237" i="48"/>
  <c r="P237" i="48"/>
  <c r="Q237" i="48"/>
  <c r="R237" i="48"/>
  <c r="T237" i="48"/>
  <c r="U237" i="48"/>
  <c r="V237" i="48"/>
  <c r="X237" i="48"/>
  <c r="Y237" i="48"/>
  <c r="Z237" i="48"/>
  <c r="AB237" i="48"/>
  <c r="AC237" i="48"/>
  <c r="AD237" i="48"/>
  <c r="AF237" i="48"/>
  <c r="AG237" i="48"/>
  <c r="AH237" i="48"/>
  <c r="AJ237" i="48"/>
  <c r="AK237" i="48"/>
  <c r="AL237" i="48"/>
  <c r="AN237" i="48"/>
  <c r="AO237" i="48"/>
  <c r="AP237" i="48"/>
  <c r="AR237" i="48"/>
  <c r="AS237" i="48"/>
  <c r="AT237" i="48"/>
  <c r="AU237" i="48"/>
  <c r="AV237" i="48"/>
  <c r="AW237" i="48"/>
  <c r="A238" i="48"/>
  <c r="B238" i="48"/>
  <c r="C238" i="48"/>
  <c r="D238" i="48"/>
  <c r="E238" i="48"/>
  <c r="F238" i="48"/>
  <c r="G238" i="48"/>
  <c r="H238" i="48"/>
  <c r="I238" i="48"/>
  <c r="J238" i="48"/>
  <c r="K238" i="48"/>
  <c r="L238" i="48"/>
  <c r="M238" i="48"/>
  <c r="N238" i="48"/>
  <c r="P238" i="48"/>
  <c r="Q238" i="48"/>
  <c r="R238" i="48"/>
  <c r="T238" i="48"/>
  <c r="U238" i="48"/>
  <c r="V238" i="48"/>
  <c r="X238" i="48"/>
  <c r="Y238" i="48"/>
  <c r="Z238" i="48"/>
  <c r="AB238" i="48"/>
  <c r="AC238" i="48"/>
  <c r="AD238" i="48"/>
  <c r="AF238" i="48"/>
  <c r="AG238" i="48"/>
  <c r="AH238" i="48"/>
  <c r="AJ238" i="48"/>
  <c r="AK238" i="48"/>
  <c r="AL238" i="48"/>
  <c r="AN238" i="48"/>
  <c r="AO238" i="48"/>
  <c r="AP238" i="48"/>
  <c r="AR238" i="48"/>
  <c r="AS238" i="48"/>
  <c r="AT238" i="48"/>
  <c r="AU238" i="48"/>
  <c r="AV238" i="48"/>
  <c r="AW238" i="48"/>
  <c r="A239" i="48"/>
  <c r="B239" i="48"/>
  <c r="C239" i="48"/>
  <c r="D239" i="48"/>
  <c r="E239" i="48"/>
  <c r="F239" i="48"/>
  <c r="G239" i="48"/>
  <c r="H239" i="48"/>
  <c r="I239" i="48"/>
  <c r="J239" i="48"/>
  <c r="K239" i="48"/>
  <c r="L239" i="48"/>
  <c r="M239" i="48"/>
  <c r="N239" i="48"/>
  <c r="P239" i="48"/>
  <c r="Q239" i="48"/>
  <c r="R239" i="48"/>
  <c r="T239" i="48"/>
  <c r="U239" i="48"/>
  <c r="V239" i="48"/>
  <c r="X239" i="48"/>
  <c r="Y239" i="48"/>
  <c r="Z239" i="48"/>
  <c r="AB239" i="48"/>
  <c r="AC239" i="48"/>
  <c r="AD239" i="48"/>
  <c r="AF239" i="48"/>
  <c r="AG239" i="48"/>
  <c r="AH239" i="48"/>
  <c r="AJ239" i="48"/>
  <c r="AK239" i="48"/>
  <c r="AL239" i="48"/>
  <c r="AN239" i="48"/>
  <c r="AO239" i="48"/>
  <c r="AP239" i="48"/>
  <c r="AR239" i="48"/>
  <c r="AS239" i="48"/>
  <c r="AT239" i="48"/>
  <c r="AU239" i="48"/>
  <c r="AV239" i="48"/>
  <c r="AW239" i="48"/>
  <c r="A240" i="48"/>
  <c r="B240" i="48"/>
  <c r="C240" i="48"/>
  <c r="D240" i="48"/>
  <c r="E240" i="48"/>
  <c r="F240" i="48"/>
  <c r="G240" i="48"/>
  <c r="H240" i="48"/>
  <c r="I240" i="48"/>
  <c r="J240" i="48"/>
  <c r="K240" i="48"/>
  <c r="L240" i="48"/>
  <c r="M240" i="48"/>
  <c r="N240" i="48"/>
  <c r="P240" i="48"/>
  <c r="Q240" i="48"/>
  <c r="R240" i="48"/>
  <c r="T240" i="48"/>
  <c r="U240" i="48"/>
  <c r="V240" i="48"/>
  <c r="X240" i="48"/>
  <c r="Y240" i="48"/>
  <c r="Z240" i="48"/>
  <c r="AB240" i="48"/>
  <c r="AC240" i="48"/>
  <c r="AD240" i="48"/>
  <c r="AF240" i="48"/>
  <c r="AG240" i="48"/>
  <c r="AH240" i="48"/>
  <c r="AJ240" i="48"/>
  <c r="AK240" i="48"/>
  <c r="AL240" i="48"/>
  <c r="AN240" i="48"/>
  <c r="AO240" i="48"/>
  <c r="AP240" i="48"/>
  <c r="AR240" i="48"/>
  <c r="AS240" i="48"/>
  <c r="AT240" i="48"/>
  <c r="AU240" i="48"/>
  <c r="AV240" i="48"/>
  <c r="AW240" i="48"/>
  <c r="A241" i="48"/>
  <c r="B241" i="48"/>
  <c r="C241" i="48"/>
  <c r="D241" i="48"/>
  <c r="E241" i="48"/>
  <c r="F241" i="48"/>
  <c r="G241" i="48"/>
  <c r="H241" i="48"/>
  <c r="I241" i="48"/>
  <c r="J241" i="48"/>
  <c r="K241" i="48"/>
  <c r="L241" i="48"/>
  <c r="M241" i="48"/>
  <c r="N241" i="48"/>
  <c r="P241" i="48"/>
  <c r="Q241" i="48"/>
  <c r="R241" i="48"/>
  <c r="T241" i="48"/>
  <c r="U241" i="48"/>
  <c r="V241" i="48"/>
  <c r="X241" i="48"/>
  <c r="Y241" i="48"/>
  <c r="Z241" i="48"/>
  <c r="AB241" i="48"/>
  <c r="AC241" i="48"/>
  <c r="AD241" i="48"/>
  <c r="AF241" i="48"/>
  <c r="AG241" i="48"/>
  <c r="AH241" i="48"/>
  <c r="AJ241" i="48"/>
  <c r="AK241" i="48"/>
  <c r="AL241" i="48"/>
  <c r="AN241" i="48"/>
  <c r="AO241" i="48"/>
  <c r="AP241" i="48"/>
  <c r="AR241" i="48"/>
  <c r="AS241" i="48"/>
  <c r="AT241" i="48"/>
  <c r="AU241" i="48"/>
  <c r="AV241" i="48"/>
  <c r="AW241" i="48"/>
  <c r="A242" i="48"/>
  <c r="B242" i="48"/>
  <c r="C242" i="48"/>
  <c r="D242" i="48"/>
  <c r="E242" i="48"/>
  <c r="F242" i="48"/>
  <c r="G242" i="48"/>
  <c r="H242" i="48"/>
  <c r="I242" i="48"/>
  <c r="J242" i="48"/>
  <c r="K242" i="48"/>
  <c r="L242" i="48"/>
  <c r="M242" i="48"/>
  <c r="N242" i="48"/>
  <c r="P242" i="48"/>
  <c r="Q242" i="48"/>
  <c r="R242" i="48"/>
  <c r="T242" i="48"/>
  <c r="U242" i="48"/>
  <c r="V242" i="48"/>
  <c r="X242" i="48"/>
  <c r="Y242" i="48"/>
  <c r="Z242" i="48"/>
  <c r="AB242" i="48"/>
  <c r="AC242" i="48"/>
  <c r="AD242" i="48"/>
  <c r="AF242" i="48"/>
  <c r="AG242" i="48"/>
  <c r="AH242" i="48"/>
  <c r="AJ242" i="48"/>
  <c r="AK242" i="48"/>
  <c r="AL242" i="48"/>
  <c r="AN242" i="48"/>
  <c r="AO242" i="48"/>
  <c r="AP242" i="48"/>
  <c r="AR242" i="48"/>
  <c r="AS242" i="48"/>
  <c r="AT242" i="48"/>
  <c r="AU242" i="48"/>
  <c r="AV242" i="48"/>
  <c r="AW242" i="48"/>
  <c r="A243" i="48"/>
  <c r="B243" i="48"/>
  <c r="C243" i="48"/>
  <c r="D243" i="48"/>
  <c r="E243" i="48"/>
  <c r="F243" i="48"/>
  <c r="G243" i="48"/>
  <c r="H243" i="48"/>
  <c r="I243" i="48"/>
  <c r="J243" i="48"/>
  <c r="K243" i="48"/>
  <c r="L243" i="48"/>
  <c r="M243" i="48"/>
  <c r="N243" i="48"/>
  <c r="P243" i="48"/>
  <c r="Q243" i="48"/>
  <c r="R243" i="48"/>
  <c r="T243" i="48"/>
  <c r="U243" i="48"/>
  <c r="V243" i="48"/>
  <c r="X243" i="48"/>
  <c r="Y243" i="48"/>
  <c r="Z243" i="48"/>
  <c r="AB243" i="48"/>
  <c r="AC243" i="48"/>
  <c r="AD243" i="48"/>
  <c r="AF243" i="48"/>
  <c r="AG243" i="48"/>
  <c r="AH243" i="48"/>
  <c r="AJ243" i="48"/>
  <c r="AK243" i="48"/>
  <c r="AL243" i="48"/>
  <c r="AN243" i="48"/>
  <c r="AO243" i="48"/>
  <c r="AP243" i="48"/>
  <c r="AR243" i="48"/>
  <c r="AS243" i="48"/>
  <c r="AT243" i="48"/>
  <c r="AU243" i="48"/>
  <c r="AV243" i="48"/>
  <c r="AW243" i="48"/>
  <c r="A244" i="48"/>
  <c r="B244" i="48"/>
  <c r="C244" i="48"/>
  <c r="D244" i="48"/>
  <c r="E244" i="48"/>
  <c r="F244" i="48"/>
  <c r="G244" i="48"/>
  <c r="H244" i="48"/>
  <c r="I244" i="48"/>
  <c r="J244" i="48"/>
  <c r="K244" i="48"/>
  <c r="L244" i="48"/>
  <c r="M244" i="48"/>
  <c r="N244" i="48"/>
  <c r="P244" i="48"/>
  <c r="Q244" i="48"/>
  <c r="R244" i="48"/>
  <c r="T244" i="48"/>
  <c r="U244" i="48"/>
  <c r="V244" i="48"/>
  <c r="X244" i="48"/>
  <c r="Y244" i="48"/>
  <c r="Z244" i="48"/>
  <c r="AB244" i="48"/>
  <c r="AC244" i="48"/>
  <c r="AD244" i="48"/>
  <c r="AF244" i="48"/>
  <c r="AG244" i="48"/>
  <c r="AH244" i="48"/>
  <c r="AJ244" i="48"/>
  <c r="AK244" i="48"/>
  <c r="AL244" i="48"/>
  <c r="AN244" i="48"/>
  <c r="AO244" i="48"/>
  <c r="AP244" i="48"/>
  <c r="AR244" i="48"/>
  <c r="AS244" i="48"/>
  <c r="AT244" i="48"/>
  <c r="AU244" i="48"/>
  <c r="AV244" i="48"/>
  <c r="AW244" i="48"/>
  <c r="A245" i="48"/>
  <c r="B245" i="48"/>
  <c r="C245" i="48"/>
  <c r="D245" i="48"/>
  <c r="E245" i="48"/>
  <c r="F245" i="48"/>
  <c r="G245" i="48"/>
  <c r="H245" i="48"/>
  <c r="I245" i="48"/>
  <c r="J245" i="48"/>
  <c r="K245" i="48"/>
  <c r="L245" i="48"/>
  <c r="M245" i="48"/>
  <c r="N245" i="48"/>
  <c r="P245" i="48"/>
  <c r="Q245" i="48"/>
  <c r="R245" i="48"/>
  <c r="T245" i="48"/>
  <c r="U245" i="48"/>
  <c r="V245" i="48"/>
  <c r="X245" i="48"/>
  <c r="Y245" i="48"/>
  <c r="Z245" i="48"/>
  <c r="AB245" i="48"/>
  <c r="AC245" i="48"/>
  <c r="AD245" i="48"/>
  <c r="AF245" i="48"/>
  <c r="AG245" i="48"/>
  <c r="AH245" i="48"/>
  <c r="AJ245" i="48"/>
  <c r="AK245" i="48"/>
  <c r="AL245" i="48"/>
  <c r="AN245" i="48"/>
  <c r="AO245" i="48"/>
  <c r="AP245" i="48"/>
  <c r="AR245" i="48"/>
  <c r="AS245" i="48"/>
  <c r="AT245" i="48"/>
  <c r="AU245" i="48"/>
  <c r="AV245" i="48"/>
  <c r="AW245" i="48"/>
  <c r="A246" i="48"/>
  <c r="B246" i="48"/>
  <c r="C246" i="48"/>
  <c r="D246" i="48"/>
  <c r="E246" i="48"/>
  <c r="F246" i="48"/>
  <c r="G246" i="48"/>
  <c r="H246" i="48"/>
  <c r="I246" i="48"/>
  <c r="J246" i="48"/>
  <c r="K246" i="48"/>
  <c r="L246" i="48"/>
  <c r="M246" i="48"/>
  <c r="N246" i="48"/>
  <c r="P246" i="48"/>
  <c r="Q246" i="48"/>
  <c r="R246" i="48"/>
  <c r="T246" i="48"/>
  <c r="U246" i="48"/>
  <c r="V246" i="48"/>
  <c r="X246" i="48"/>
  <c r="Y246" i="48"/>
  <c r="Z246" i="48"/>
  <c r="AB246" i="48"/>
  <c r="AC246" i="48"/>
  <c r="AD246" i="48"/>
  <c r="AF246" i="48"/>
  <c r="AG246" i="48"/>
  <c r="AH246" i="48"/>
  <c r="AJ246" i="48"/>
  <c r="AK246" i="48"/>
  <c r="AL246" i="48"/>
  <c r="AN246" i="48"/>
  <c r="AO246" i="48"/>
  <c r="AP246" i="48"/>
  <c r="AR246" i="48"/>
  <c r="AS246" i="48"/>
  <c r="AT246" i="48"/>
  <c r="AU246" i="48"/>
  <c r="AV246" i="48"/>
  <c r="AW246" i="48"/>
  <c r="A247" i="48"/>
  <c r="B247" i="48"/>
  <c r="C247" i="48"/>
  <c r="D247" i="48"/>
  <c r="E247" i="48"/>
  <c r="F247" i="48"/>
  <c r="G247" i="48"/>
  <c r="H247" i="48"/>
  <c r="I247" i="48"/>
  <c r="J247" i="48"/>
  <c r="K247" i="48"/>
  <c r="L247" i="48"/>
  <c r="M247" i="48"/>
  <c r="N247" i="48"/>
  <c r="P247" i="48"/>
  <c r="Q247" i="48"/>
  <c r="R247" i="48"/>
  <c r="T247" i="48"/>
  <c r="U247" i="48"/>
  <c r="V247" i="48"/>
  <c r="X247" i="48"/>
  <c r="Y247" i="48"/>
  <c r="Z247" i="48"/>
  <c r="AB247" i="48"/>
  <c r="AC247" i="48"/>
  <c r="AD247" i="48"/>
  <c r="AF247" i="48"/>
  <c r="AG247" i="48"/>
  <c r="AH247" i="48"/>
  <c r="AJ247" i="48"/>
  <c r="AK247" i="48"/>
  <c r="AL247" i="48"/>
  <c r="AN247" i="48"/>
  <c r="AO247" i="48"/>
  <c r="AP247" i="48"/>
  <c r="AR247" i="48"/>
  <c r="AS247" i="48"/>
  <c r="AT247" i="48"/>
  <c r="AU247" i="48"/>
  <c r="AV247" i="48"/>
  <c r="AW247" i="48"/>
  <c r="A248" i="48"/>
  <c r="B248" i="48"/>
  <c r="C248" i="48"/>
  <c r="D248" i="48"/>
  <c r="E248" i="48"/>
  <c r="F248" i="48"/>
  <c r="G248" i="48"/>
  <c r="H248" i="48"/>
  <c r="I248" i="48"/>
  <c r="J248" i="48"/>
  <c r="K248" i="48"/>
  <c r="L248" i="48"/>
  <c r="M248" i="48"/>
  <c r="N248" i="48"/>
  <c r="P248" i="48"/>
  <c r="Q248" i="48"/>
  <c r="R248" i="48"/>
  <c r="T248" i="48"/>
  <c r="U248" i="48"/>
  <c r="V248" i="48"/>
  <c r="X248" i="48"/>
  <c r="Y248" i="48"/>
  <c r="Z248" i="48"/>
  <c r="AB248" i="48"/>
  <c r="AC248" i="48"/>
  <c r="AD248" i="48"/>
  <c r="AF248" i="48"/>
  <c r="AG248" i="48"/>
  <c r="AH248" i="48"/>
  <c r="AJ248" i="48"/>
  <c r="AK248" i="48"/>
  <c r="AL248" i="48"/>
  <c r="AN248" i="48"/>
  <c r="AO248" i="48"/>
  <c r="AP248" i="48"/>
  <c r="AR248" i="48"/>
  <c r="AS248" i="48"/>
  <c r="AT248" i="48"/>
  <c r="AU248" i="48"/>
  <c r="AV248" i="48"/>
  <c r="AW248" i="48"/>
  <c r="A249" i="48"/>
  <c r="B249" i="48"/>
  <c r="C249" i="48"/>
  <c r="D249" i="48"/>
  <c r="E249" i="48"/>
  <c r="F249" i="48"/>
  <c r="G249" i="48"/>
  <c r="H249" i="48"/>
  <c r="I249" i="48"/>
  <c r="J249" i="48"/>
  <c r="K249" i="48"/>
  <c r="L249" i="48"/>
  <c r="M249" i="48"/>
  <c r="N249" i="48"/>
  <c r="P249" i="48"/>
  <c r="Q249" i="48"/>
  <c r="R249" i="48"/>
  <c r="T249" i="48"/>
  <c r="U249" i="48"/>
  <c r="V249" i="48"/>
  <c r="X249" i="48"/>
  <c r="Y249" i="48"/>
  <c r="Z249" i="48"/>
  <c r="AB249" i="48"/>
  <c r="AC249" i="48"/>
  <c r="AD249" i="48"/>
  <c r="AF249" i="48"/>
  <c r="AG249" i="48"/>
  <c r="AH249" i="48"/>
  <c r="AJ249" i="48"/>
  <c r="AK249" i="48"/>
  <c r="AL249" i="48"/>
  <c r="AN249" i="48"/>
  <c r="AO249" i="48"/>
  <c r="AP249" i="48"/>
  <c r="AR249" i="48"/>
  <c r="AS249" i="48"/>
  <c r="AT249" i="48"/>
  <c r="AU249" i="48"/>
  <c r="AV249" i="48"/>
  <c r="AW249" i="48"/>
  <c r="A250" i="48"/>
  <c r="B250" i="48"/>
  <c r="C250" i="48"/>
  <c r="D250" i="48"/>
  <c r="E250" i="48"/>
  <c r="F250" i="48"/>
  <c r="G250" i="48"/>
  <c r="H250" i="48"/>
  <c r="I250" i="48"/>
  <c r="J250" i="48"/>
  <c r="K250" i="48"/>
  <c r="L250" i="48"/>
  <c r="M250" i="48"/>
  <c r="N250" i="48"/>
  <c r="P250" i="48"/>
  <c r="Q250" i="48"/>
  <c r="R250" i="48"/>
  <c r="T250" i="48"/>
  <c r="U250" i="48"/>
  <c r="V250" i="48"/>
  <c r="X250" i="48"/>
  <c r="Y250" i="48"/>
  <c r="Z250" i="48"/>
  <c r="AB250" i="48"/>
  <c r="AC250" i="48"/>
  <c r="AD250" i="48"/>
  <c r="AF250" i="48"/>
  <c r="AG250" i="48"/>
  <c r="AH250" i="48"/>
  <c r="AJ250" i="48"/>
  <c r="AK250" i="48"/>
  <c r="AL250" i="48"/>
  <c r="AN250" i="48"/>
  <c r="AO250" i="48"/>
  <c r="AP250" i="48"/>
  <c r="AR250" i="48"/>
  <c r="AS250" i="48"/>
  <c r="AT250" i="48"/>
  <c r="AU250" i="48"/>
  <c r="AV250" i="48"/>
  <c r="AW250" i="48"/>
  <c r="A251" i="48"/>
  <c r="B251" i="48"/>
  <c r="C251" i="48"/>
  <c r="D251" i="48"/>
  <c r="E251" i="48"/>
  <c r="F251" i="48"/>
  <c r="G251" i="48"/>
  <c r="H251" i="48"/>
  <c r="I251" i="48"/>
  <c r="J251" i="48"/>
  <c r="K251" i="48"/>
  <c r="L251" i="48"/>
  <c r="M251" i="48"/>
  <c r="N251" i="48"/>
  <c r="P251" i="48"/>
  <c r="Q251" i="48"/>
  <c r="R251" i="48"/>
  <c r="T251" i="48"/>
  <c r="U251" i="48"/>
  <c r="V251" i="48"/>
  <c r="X251" i="48"/>
  <c r="Y251" i="48"/>
  <c r="Z251" i="48"/>
  <c r="AB251" i="48"/>
  <c r="AC251" i="48"/>
  <c r="AD251" i="48"/>
  <c r="AF251" i="48"/>
  <c r="AG251" i="48"/>
  <c r="AH251" i="48"/>
  <c r="AJ251" i="48"/>
  <c r="AK251" i="48"/>
  <c r="AL251" i="48"/>
  <c r="AN251" i="48"/>
  <c r="AO251" i="48"/>
  <c r="AP251" i="48"/>
  <c r="AR251" i="48"/>
  <c r="AS251" i="48"/>
  <c r="AT251" i="48"/>
  <c r="AU251" i="48"/>
  <c r="AV251" i="48"/>
  <c r="AW251" i="48"/>
  <c r="A252" i="48"/>
  <c r="B252" i="48"/>
  <c r="C252" i="48"/>
  <c r="D252" i="48"/>
  <c r="E252" i="48"/>
  <c r="F252" i="48"/>
  <c r="G252" i="48"/>
  <c r="H252" i="48"/>
  <c r="I252" i="48"/>
  <c r="J252" i="48"/>
  <c r="K252" i="48"/>
  <c r="L252" i="48"/>
  <c r="M252" i="48"/>
  <c r="N252" i="48"/>
  <c r="P252" i="48"/>
  <c r="Q252" i="48"/>
  <c r="R252" i="48"/>
  <c r="T252" i="48"/>
  <c r="U252" i="48"/>
  <c r="V252" i="48"/>
  <c r="X252" i="48"/>
  <c r="Y252" i="48"/>
  <c r="Z252" i="48"/>
  <c r="AB252" i="48"/>
  <c r="AC252" i="48"/>
  <c r="AD252" i="48"/>
  <c r="AF252" i="48"/>
  <c r="AG252" i="48"/>
  <c r="AH252" i="48"/>
  <c r="AJ252" i="48"/>
  <c r="AK252" i="48"/>
  <c r="AL252" i="48"/>
  <c r="AN252" i="48"/>
  <c r="AO252" i="48"/>
  <c r="AP252" i="48"/>
  <c r="AR252" i="48"/>
  <c r="AS252" i="48"/>
  <c r="AT252" i="48"/>
  <c r="AU252" i="48"/>
  <c r="AV252" i="48"/>
  <c r="AW252" i="48"/>
  <c r="A253" i="48"/>
  <c r="B253" i="48"/>
  <c r="C253" i="48"/>
  <c r="D253" i="48"/>
  <c r="E253" i="48"/>
  <c r="F253" i="48"/>
  <c r="G253" i="48"/>
  <c r="H253" i="48"/>
  <c r="I253" i="48"/>
  <c r="J253" i="48"/>
  <c r="K253" i="48"/>
  <c r="L253" i="48"/>
  <c r="M253" i="48"/>
  <c r="N253" i="48"/>
  <c r="P253" i="48"/>
  <c r="Q253" i="48"/>
  <c r="R253" i="48"/>
  <c r="T253" i="48"/>
  <c r="U253" i="48"/>
  <c r="V253" i="48"/>
  <c r="X253" i="48"/>
  <c r="Y253" i="48"/>
  <c r="Z253" i="48"/>
  <c r="AB253" i="48"/>
  <c r="AC253" i="48"/>
  <c r="AD253" i="48"/>
  <c r="AF253" i="48"/>
  <c r="AG253" i="48"/>
  <c r="AH253" i="48"/>
  <c r="AJ253" i="48"/>
  <c r="AK253" i="48"/>
  <c r="AL253" i="48"/>
  <c r="AN253" i="48"/>
  <c r="AO253" i="48"/>
  <c r="AP253" i="48"/>
  <c r="AR253" i="48"/>
  <c r="AS253" i="48"/>
  <c r="AT253" i="48"/>
  <c r="AU253" i="48"/>
  <c r="AV253" i="48"/>
  <c r="AW253" i="48"/>
  <c r="A254" i="48"/>
  <c r="B254" i="48"/>
  <c r="C254" i="48"/>
  <c r="D254" i="48"/>
  <c r="E254" i="48"/>
  <c r="F254" i="48"/>
  <c r="G254" i="48"/>
  <c r="H254" i="48"/>
  <c r="I254" i="48"/>
  <c r="J254" i="48"/>
  <c r="K254" i="48"/>
  <c r="L254" i="48"/>
  <c r="M254" i="48"/>
  <c r="N254" i="48"/>
  <c r="P254" i="48"/>
  <c r="Q254" i="48"/>
  <c r="R254" i="48"/>
  <c r="T254" i="48"/>
  <c r="U254" i="48"/>
  <c r="V254" i="48"/>
  <c r="X254" i="48"/>
  <c r="Y254" i="48"/>
  <c r="Z254" i="48"/>
  <c r="AB254" i="48"/>
  <c r="AC254" i="48"/>
  <c r="AD254" i="48"/>
  <c r="AF254" i="48"/>
  <c r="AG254" i="48"/>
  <c r="AH254" i="48"/>
  <c r="AJ254" i="48"/>
  <c r="AK254" i="48"/>
  <c r="AL254" i="48"/>
  <c r="AN254" i="48"/>
  <c r="AO254" i="48"/>
  <c r="AP254" i="48"/>
  <c r="AR254" i="48"/>
  <c r="AS254" i="48"/>
  <c r="AT254" i="48"/>
  <c r="AU254" i="48"/>
  <c r="AV254" i="48"/>
  <c r="AW254" i="48"/>
  <c r="A255" i="48"/>
  <c r="B255" i="48"/>
  <c r="C255" i="48"/>
  <c r="D255" i="48"/>
  <c r="E255" i="48"/>
  <c r="F255" i="48"/>
  <c r="G255" i="48"/>
  <c r="H255" i="48"/>
  <c r="I255" i="48"/>
  <c r="J255" i="48"/>
  <c r="K255" i="48"/>
  <c r="L255" i="48"/>
  <c r="M255" i="48"/>
  <c r="N255" i="48"/>
  <c r="P255" i="48"/>
  <c r="Q255" i="48"/>
  <c r="R255" i="48"/>
  <c r="T255" i="48"/>
  <c r="U255" i="48"/>
  <c r="V255" i="48"/>
  <c r="X255" i="48"/>
  <c r="Y255" i="48"/>
  <c r="Z255" i="48"/>
  <c r="AB255" i="48"/>
  <c r="AC255" i="48"/>
  <c r="AD255" i="48"/>
  <c r="AF255" i="48"/>
  <c r="AG255" i="48"/>
  <c r="AH255" i="48"/>
  <c r="AJ255" i="48"/>
  <c r="AK255" i="48"/>
  <c r="AL255" i="48"/>
  <c r="AN255" i="48"/>
  <c r="AO255" i="48"/>
  <c r="AP255" i="48"/>
  <c r="AR255" i="48"/>
  <c r="AS255" i="48"/>
  <c r="AT255" i="48"/>
  <c r="AU255" i="48"/>
  <c r="AV255" i="48"/>
  <c r="AW255" i="48"/>
  <c r="A256" i="48"/>
  <c r="B256" i="48"/>
  <c r="C256" i="48"/>
  <c r="D256" i="48"/>
  <c r="E256" i="48"/>
  <c r="F256" i="48"/>
  <c r="G256" i="48"/>
  <c r="H256" i="48"/>
  <c r="I256" i="48"/>
  <c r="J256" i="48"/>
  <c r="K256" i="48"/>
  <c r="L256" i="48"/>
  <c r="M256" i="48"/>
  <c r="N256" i="48"/>
  <c r="P256" i="48"/>
  <c r="Q256" i="48"/>
  <c r="R256" i="48"/>
  <c r="T256" i="48"/>
  <c r="U256" i="48"/>
  <c r="V256" i="48"/>
  <c r="X256" i="48"/>
  <c r="Y256" i="48"/>
  <c r="Z256" i="48"/>
  <c r="AB256" i="48"/>
  <c r="AC256" i="48"/>
  <c r="AD256" i="48"/>
  <c r="AF256" i="48"/>
  <c r="AG256" i="48"/>
  <c r="AH256" i="48"/>
  <c r="AJ256" i="48"/>
  <c r="AK256" i="48"/>
  <c r="AL256" i="48"/>
  <c r="AN256" i="48"/>
  <c r="AO256" i="48"/>
  <c r="AP256" i="48"/>
  <c r="AR256" i="48"/>
  <c r="AS256" i="48"/>
  <c r="AT256" i="48"/>
  <c r="AU256" i="48"/>
  <c r="AV256" i="48"/>
  <c r="AW256" i="48"/>
  <c r="A257" i="48"/>
  <c r="B257" i="48"/>
  <c r="C257" i="48"/>
  <c r="D257" i="48"/>
  <c r="E257" i="48"/>
  <c r="F257" i="48"/>
  <c r="G257" i="48"/>
  <c r="H257" i="48"/>
  <c r="I257" i="48"/>
  <c r="J257" i="48"/>
  <c r="K257" i="48"/>
  <c r="L257" i="48"/>
  <c r="M257" i="48"/>
  <c r="N257" i="48"/>
  <c r="P257" i="48"/>
  <c r="Q257" i="48"/>
  <c r="R257" i="48"/>
  <c r="T257" i="48"/>
  <c r="U257" i="48"/>
  <c r="V257" i="48"/>
  <c r="X257" i="48"/>
  <c r="Y257" i="48"/>
  <c r="Z257" i="48"/>
  <c r="AB257" i="48"/>
  <c r="AC257" i="48"/>
  <c r="AD257" i="48"/>
  <c r="AF257" i="48"/>
  <c r="AG257" i="48"/>
  <c r="AH257" i="48"/>
  <c r="AJ257" i="48"/>
  <c r="AK257" i="48"/>
  <c r="AL257" i="48"/>
  <c r="AN257" i="48"/>
  <c r="AO257" i="48"/>
  <c r="AP257" i="48"/>
  <c r="AR257" i="48"/>
  <c r="AS257" i="48"/>
  <c r="AT257" i="48"/>
  <c r="AU257" i="48"/>
  <c r="AV257" i="48"/>
  <c r="AW257" i="48"/>
  <c r="A258" i="48"/>
  <c r="B258" i="48"/>
  <c r="C258" i="48"/>
  <c r="D258" i="48"/>
  <c r="E258" i="48"/>
  <c r="F258" i="48"/>
  <c r="G258" i="48"/>
  <c r="H258" i="48"/>
  <c r="I258" i="48"/>
  <c r="J258" i="48"/>
  <c r="K258" i="48"/>
  <c r="L258" i="48"/>
  <c r="M258" i="48"/>
  <c r="N258" i="48"/>
  <c r="P258" i="48"/>
  <c r="Q258" i="48"/>
  <c r="R258" i="48"/>
  <c r="T258" i="48"/>
  <c r="U258" i="48"/>
  <c r="V258" i="48"/>
  <c r="X258" i="48"/>
  <c r="Y258" i="48"/>
  <c r="Z258" i="48"/>
  <c r="AB258" i="48"/>
  <c r="AC258" i="48"/>
  <c r="AD258" i="48"/>
  <c r="AF258" i="48"/>
  <c r="AG258" i="48"/>
  <c r="AH258" i="48"/>
  <c r="AJ258" i="48"/>
  <c r="AK258" i="48"/>
  <c r="AL258" i="48"/>
  <c r="AN258" i="48"/>
  <c r="AO258" i="48"/>
  <c r="AP258" i="48"/>
  <c r="AR258" i="48"/>
  <c r="AS258" i="48"/>
  <c r="AT258" i="48"/>
  <c r="AU258" i="48"/>
  <c r="AV258" i="48"/>
  <c r="AW258" i="48"/>
  <c r="A259" i="48"/>
  <c r="B259" i="48"/>
  <c r="C259" i="48"/>
  <c r="D259" i="48"/>
  <c r="E259" i="48"/>
  <c r="F259" i="48"/>
  <c r="G259" i="48"/>
  <c r="H259" i="48"/>
  <c r="I259" i="48"/>
  <c r="J259" i="48"/>
  <c r="K259" i="48"/>
  <c r="L259" i="48"/>
  <c r="M259" i="48"/>
  <c r="N259" i="48"/>
  <c r="P259" i="48"/>
  <c r="Q259" i="48"/>
  <c r="R259" i="48"/>
  <c r="T259" i="48"/>
  <c r="U259" i="48"/>
  <c r="V259" i="48"/>
  <c r="X259" i="48"/>
  <c r="Y259" i="48"/>
  <c r="Z259" i="48"/>
  <c r="AB259" i="48"/>
  <c r="AC259" i="48"/>
  <c r="AD259" i="48"/>
  <c r="AF259" i="48"/>
  <c r="AG259" i="48"/>
  <c r="AH259" i="48"/>
  <c r="AJ259" i="48"/>
  <c r="AK259" i="48"/>
  <c r="AL259" i="48"/>
  <c r="AN259" i="48"/>
  <c r="AO259" i="48"/>
  <c r="AP259" i="48"/>
  <c r="AR259" i="48"/>
  <c r="AS259" i="48"/>
  <c r="AT259" i="48"/>
  <c r="AU259" i="48"/>
  <c r="AV259" i="48"/>
  <c r="AW259" i="48"/>
  <c r="A260" i="48"/>
  <c r="B260" i="48"/>
  <c r="C260" i="48"/>
  <c r="D260" i="48"/>
  <c r="E260" i="48"/>
  <c r="F260" i="48"/>
  <c r="G260" i="48"/>
  <c r="H260" i="48"/>
  <c r="I260" i="48"/>
  <c r="J260" i="48"/>
  <c r="K260" i="48"/>
  <c r="L260" i="48"/>
  <c r="M260" i="48"/>
  <c r="N260" i="48"/>
  <c r="P260" i="48"/>
  <c r="Q260" i="48"/>
  <c r="R260" i="48"/>
  <c r="T260" i="48"/>
  <c r="U260" i="48"/>
  <c r="V260" i="48"/>
  <c r="X260" i="48"/>
  <c r="Y260" i="48"/>
  <c r="Z260" i="48"/>
  <c r="AB260" i="48"/>
  <c r="AC260" i="48"/>
  <c r="AD260" i="48"/>
  <c r="AF260" i="48"/>
  <c r="AG260" i="48"/>
  <c r="AH260" i="48"/>
  <c r="AJ260" i="48"/>
  <c r="AK260" i="48"/>
  <c r="AL260" i="48"/>
  <c r="AN260" i="48"/>
  <c r="AO260" i="48"/>
  <c r="AP260" i="48"/>
  <c r="AR260" i="48"/>
  <c r="AS260" i="48"/>
  <c r="AT260" i="48"/>
  <c r="AU260" i="48"/>
  <c r="AV260" i="48"/>
  <c r="AW260" i="48"/>
  <c r="A261" i="48"/>
  <c r="B261" i="48"/>
  <c r="C261" i="48"/>
  <c r="D261" i="48"/>
  <c r="E261" i="48"/>
  <c r="F261" i="48"/>
  <c r="G261" i="48"/>
  <c r="H261" i="48"/>
  <c r="I261" i="48"/>
  <c r="J261" i="48"/>
  <c r="K261" i="48"/>
  <c r="L261" i="48"/>
  <c r="M261" i="48"/>
  <c r="N261" i="48"/>
  <c r="P261" i="48"/>
  <c r="Q261" i="48"/>
  <c r="R261" i="48"/>
  <c r="T261" i="48"/>
  <c r="U261" i="48"/>
  <c r="V261" i="48"/>
  <c r="X261" i="48"/>
  <c r="Y261" i="48"/>
  <c r="Z261" i="48"/>
  <c r="AB261" i="48"/>
  <c r="AC261" i="48"/>
  <c r="AD261" i="48"/>
  <c r="AF261" i="48"/>
  <c r="AG261" i="48"/>
  <c r="AH261" i="48"/>
  <c r="AJ261" i="48"/>
  <c r="AK261" i="48"/>
  <c r="AL261" i="48"/>
  <c r="AN261" i="48"/>
  <c r="AO261" i="48"/>
  <c r="AP261" i="48"/>
  <c r="AR261" i="48"/>
  <c r="AS261" i="48"/>
  <c r="AT261" i="48"/>
  <c r="AU261" i="48"/>
  <c r="AV261" i="48"/>
  <c r="AW261" i="48"/>
  <c r="A262" i="48"/>
  <c r="B262" i="48"/>
  <c r="C262" i="48"/>
  <c r="D262" i="48"/>
  <c r="E262" i="48"/>
  <c r="F262" i="48"/>
  <c r="G262" i="48"/>
  <c r="H262" i="48"/>
  <c r="I262" i="48"/>
  <c r="J262" i="48"/>
  <c r="K262" i="48"/>
  <c r="L262" i="48"/>
  <c r="M262" i="48"/>
  <c r="N262" i="48"/>
  <c r="P262" i="48"/>
  <c r="Q262" i="48"/>
  <c r="R262" i="48"/>
  <c r="T262" i="48"/>
  <c r="U262" i="48"/>
  <c r="V262" i="48"/>
  <c r="X262" i="48"/>
  <c r="Y262" i="48"/>
  <c r="Z262" i="48"/>
  <c r="AB262" i="48"/>
  <c r="AC262" i="48"/>
  <c r="AD262" i="48"/>
  <c r="AF262" i="48"/>
  <c r="AG262" i="48"/>
  <c r="AH262" i="48"/>
  <c r="AJ262" i="48"/>
  <c r="AK262" i="48"/>
  <c r="AL262" i="48"/>
  <c r="AN262" i="48"/>
  <c r="AO262" i="48"/>
  <c r="AP262" i="48"/>
  <c r="AR262" i="48"/>
  <c r="AS262" i="48"/>
  <c r="AT262" i="48"/>
  <c r="AU262" i="48"/>
  <c r="AV262" i="48"/>
  <c r="AW262" i="48"/>
  <c r="A263" i="48"/>
  <c r="B263" i="48"/>
  <c r="C263" i="48"/>
  <c r="D263" i="48"/>
  <c r="E263" i="48"/>
  <c r="F263" i="48"/>
  <c r="G263" i="48"/>
  <c r="H263" i="48"/>
  <c r="I263" i="48"/>
  <c r="J263" i="48"/>
  <c r="K263" i="48"/>
  <c r="L263" i="48"/>
  <c r="M263" i="48"/>
  <c r="N263" i="48"/>
  <c r="P263" i="48"/>
  <c r="Q263" i="48"/>
  <c r="R263" i="48"/>
  <c r="T263" i="48"/>
  <c r="U263" i="48"/>
  <c r="V263" i="48"/>
  <c r="X263" i="48"/>
  <c r="Y263" i="48"/>
  <c r="Z263" i="48"/>
  <c r="AB263" i="48"/>
  <c r="AC263" i="48"/>
  <c r="AD263" i="48"/>
  <c r="AF263" i="48"/>
  <c r="AG263" i="48"/>
  <c r="AH263" i="48"/>
  <c r="AJ263" i="48"/>
  <c r="AK263" i="48"/>
  <c r="AL263" i="48"/>
  <c r="AN263" i="48"/>
  <c r="AO263" i="48"/>
  <c r="AP263" i="48"/>
  <c r="AR263" i="48"/>
  <c r="AS263" i="48"/>
  <c r="AT263" i="48"/>
  <c r="AU263" i="48"/>
  <c r="AV263" i="48"/>
  <c r="AW263" i="48"/>
  <c r="A264" i="48"/>
  <c r="B264" i="48"/>
  <c r="C264" i="48"/>
  <c r="D264" i="48"/>
  <c r="E264" i="48"/>
  <c r="F264" i="48"/>
  <c r="G264" i="48"/>
  <c r="H264" i="48"/>
  <c r="I264" i="48"/>
  <c r="J264" i="48"/>
  <c r="K264" i="48"/>
  <c r="L264" i="48"/>
  <c r="M264" i="48"/>
  <c r="N264" i="48"/>
  <c r="P264" i="48"/>
  <c r="Q264" i="48"/>
  <c r="R264" i="48"/>
  <c r="T264" i="48"/>
  <c r="U264" i="48"/>
  <c r="V264" i="48"/>
  <c r="X264" i="48"/>
  <c r="Y264" i="48"/>
  <c r="Z264" i="48"/>
  <c r="AB264" i="48"/>
  <c r="AC264" i="48"/>
  <c r="AD264" i="48"/>
  <c r="AF264" i="48"/>
  <c r="AG264" i="48"/>
  <c r="AH264" i="48"/>
  <c r="AJ264" i="48"/>
  <c r="AK264" i="48"/>
  <c r="AL264" i="48"/>
  <c r="AN264" i="48"/>
  <c r="AO264" i="48"/>
  <c r="AP264" i="48"/>
  <c r="AR264" i="48"/>
  <c r="AS264" i="48"/>
  <c r="AT264" i="48"/>
  <c r="AU264" i="48"/>
  <c r="AV264" i="48"/>
  <c r="AW264" i="48"/>
  <c r="A265" i="48"/>
  <c r="B265" i="48"/>
  <c r="C265" i="48"/>
  <c r="D265" i="48"/>
  <c r="E265" i="48"/>
  <c r="F265" i="48"/>
  <c r="G265" i="48"/>
  <c r="H265" i="48"/>
  <c r="I265" i="48"/>
  <c r="J265" i="48"/>
  <c r="K265" i="48"/>
  <c r="L265" i="48"/>
  <c r="M265" i="48"/>
  <c r="N265" i="48"/>
  <c r="P265" i="48"/>
  <c r="Q265" i="48"/>
  <c r="R265" i="48"/>
  <c r="T265" i="48"/>
  <c r="U265" i="48"/>
  <c r="V265" i="48"/>
  <c r="X265" i="48"/>
  <c r="Y265" i="48"/>
  <c r="Z265" i="48"/>
  <c r="AB265" i="48"/>
  <c r="AC265" i="48"/>
  <c r="AD265" i="48"/>
  <c r="AF265" i="48"/>
  <c r="AG265" i="48"/>
  <c r="AH265" i="48"/>
  <c r="AJ265" i="48"/>
  <c r="AK265" i="48"/>
  <c r="AL265" i="48"/>
  <c r="AN265" i="48"/>
  <c r="AO265" i="48"/>
  <c r="AP265" i="48"/>
  <c r="AR265" i="48"/>
  <c r="AS265" i="48"/>
  <c r="AT265" i="48"/>
  <c r="AU265" i="48"/>
  <c r="AV265" i="48"/>
  <c r="AW265" i="48"/>
  <c r="A266" i="48"/>
  <c r="B266" i="48"/>
  <c r="C266" i="48"/>
  <c r="D266" i="48"/>
  <c r="E266" i="48"/>
  <c r="F266" i="48"/>
  <c r="G266" i="48"/>
  <c r="H266" i="48"/>
  <c r="I266" i="48"/>
  <c r="J266" i="48"/>
  <c r="K266" i="48"/>
  <c r="L266" i="48"/>
  <c r="M266" i="48"/>
  <c r="N266" i="48"/>
  <c r="P266" i="48"/>
  <c r="Q266" i="48"/>
  <c r="R266" i="48"/>
  <c r="T266" i="48"/>
  <c r="U266" i="48"/>
  <c r="V266" i="48"/>
  <c r="X266" i="48"/>
  <c r="Y266" i="48"/>
  <c r="Z266" i="48"/>
  <c r="AB266" i="48"/>
  <c r="AC266" i="48"/>
  <c r="AD266" i="48"/>
  <c r="AF266" i="48"/>
  <c r="AG266" i="48"/>
  <c r="AH266" i="48"/>
  <c r="AJ266" i="48"/>
  <c r="AK266" i="48"/>
  <c r="AL266" i="48"/>
  <c r="AN266" i="48"/>
  <c r="AO266" i="48"/>
  <c r="AP266" i="48"/>
  <c r="AR266" i="48"/>
  <c r="AS266" i="48"/>
  <c r="AT266" i="48"/>
  <c r="AU266" i="48"/>
  <c r="AV266" i="48"/>
  <c r="AW266" i="48"/>
  <c r="A267" i="48"/>
  <c r="B267" i="48"/>
  <c r="C267" i="48"/>
  <c r="D267" i="48"/>
  <c r="E267" i="48"/>
  <c r="F267" i="48"/>
  <c r="G267" i="48"/>
  <c r="H267" i="48"/>
  <c r="I267" i="48"/>
  <c r="J267" i="48"/>
  <c r="K267" i="48"/>
  <c r="L267" i="48"/>
  <c r="M267" i="48"/>
  <c r="N267" i="48"/>
  <c r="P267" i="48"/>
  <c r="Q267" i="48"/>
  <c r="R267" i="48"/>
  <c r="T267" i="48"/>
  <c r="U267" i="48"/>
  <c r="V267" i="48"/>
  <c r="X267" i="48"/>
  <c r="Y267" i="48"/>
  <c r="Z267" i="48"/>
  <c r="AB267" i="48"/>
  <c r="AC267" i="48"/>
  <c r="AD267" i="48"/>
  <c r="AF267" i="48"/>
  <c r="AG267" i="48"/>
  <c r="AH267" i="48"/>
  <c r="AJ267" i="48"/>
  <c r="AK267" i="48"/>
  <c r="AL267" i="48"/>
  <c r="AN267" i="48"/>
  <c r="AO267" i="48"/>
  <c r="AP267" i="48"/>
  <c r="AR267" i="48"/>
  <c r="AS267" i="48"/>
  <c r="AT267" i="48"/>
  <c r="AU267" i="48"/>
  <c r="AV267" i="48"/>
  <c r="AW267" i="48"/>
  <c r="A268" i="48"/>
  <c r="B268" i="48"/>
  <c r="C268" i="48"/>
  <c r="D268" i="48"/>
  <c r="E268" i="48"/>
  <c r="F268" i="48"/>
  <c r="G268" i="48"/>
  <c r="H268" i="48"/>
  <c r="I268" i="48"/>
  <c r="J268" i="48"/>
  <c r="K268" i="48"/>
  <c r="L268" i="48"/>
  <c r="M268" i="48"/>
  <c r="N268" i="48"/>
  <c r="P268" i="48"/>
  <c r="Q268" i="48"/>
  <c r="R268" i="48"/>
  <c r="T268" i="48"/>
  <c r="U268" i="48"/>
  <c r="V268" i="48"/>
  <c r="X268" i="48"/>
  <c r="Y268" i="48"/>
  <c r="Z268" i="48"/>
  <c r="AB268" i="48"/>
  <c r="AC268" i="48"/>
  <c r="AD268" i="48"/>
  <c r="AF268" i="48"/>
  <c r="AG268" i="48"/>
  <c r="AH268" i="48"/>
  <c r="AJ268" i="48"/>
  <c r="AK268" i="48"/>
  <c r="AL268" i="48"/>
  <c r="AN268" i="48"/>
  <c r="AO268" i="48"/>
  <c r="AP268" i="48"/>
  <c r="AR268" i="48"/>
  <c r="AS268" i="48"/>
  <c r="AT268" i="48"/>
  <c r="AU268" i="48"/>
  <c r="AV268" i="48"/>
  <c r="AW268" i="48"/>
  <c r="A269" i="48"/>
  <c r="B269" i="48"/>
  <c r="C269" i="48"/>
  <c r="D269" i="48"/>
  <c r="E269" i="48"/>
  <c r="F269" i="48"/>
  <c r="G269" i="48"/>
  <c r="H269" i="48"/>
  <c r="I269" i="48"/>
  <c r="J269" i="48"/>
  <c r="K269" i="48"/>
  <c r="L269" i="48"/>
  <c r="M269" i="48"/>
  <c r="N269" i="48"/>
  <c r="P269" i="48"/>
  <c r="Q269" i="48"/>
  <c r="R269" i="48"/>
  <c r="T269" i="48"/>
  <c r="U269" i="48"/>
  <c r="V269" i="48"/>
  <c r="X269" i="48"/>
  <c r="Y269" i="48"/>
  <c r="Z269" i="48"/>
  <c r="AB269" i="48"/>
  <c r="AC269" i="48"/>
  <c r="AD269" i="48"/>
  <c r="AF269" i="48"/>
  <c r="AG269" i="48"/>
  <c r="AH269" i="48"/>
  <c r="AJ269" i="48"/>
  <c r="AK269" i="48"/>
  <c r="AL269" i="48"/>
  <c r="AN269" i="48"/>
  <c r="AO269" i="48"/>
  <c r="AP269" i="48"/>
  <c r="AR269" i="48"/>
  <c r="AS269" i="48"/>
  <c r="AT269" i="48"/>
  <c r="AU269" i="48"/>
  <c r="AV269" i="48"/>
  <c r="AW269" i="48"/>
  <c r="A270" i="48"/>
  <c r="B270" i="48"/>
  <c r="C270" i="48"/>
  <c r="D270" i="48"/>
  <c r="E270" i="48"/>
  <c r="F270" i="48"/>
  <c r="G270" i="48"/>
  <c r="H270" i="48"/>
  <c r="I270" i="48"/>
  <c r="J270" i="48"/>
  <c r="K270" i="48"/>
  <c r="L270" i="48"/>
  <c r="M270" i="48"/>
  <c r="N270" i="48"/>
  <c r="P270" i="48"/>
  <c r="Q270" i="48"/>
  <c r="R270" i="48"/>
  <c r="T270" i="48"/>
  <c r="U270" i="48"/>
  <c r="V270" i="48"/>
  <c r="X270" i="48"/>
  <c r="Y270" i="48"/>
  <c r="Z270" i="48"/>
  <c r="AB270" i="48"/>
  <c r="AC270" i="48"/>
  <c r="AD270" i="48"/>
  <c r="AF270" i="48"/>
  <c r="AG270" i="48"/>
  <c r="AH270" i="48"/>
  <c r="AJ270" i="48"/>
  <c r="AK270" i="48"/>
  <c r="AL270" i="48"/>
  <c r="AN270" i="48"/>
  <c r="AO270" i="48"/>
  <c r="AP270" i="48"/>
  <c r="AR270" i="48"/>
  <c r="AS270" i="48"/>
  <c r="AT270" i="48"/>
  <c r="AU270" i="48"/>
  <c r="AV270" i="48"/>
  <c r="AW270" i="48"/>
  <c r="A271" i="48"/>
  <c r="B271" i="48"/>
  <c r="C271" i="48"/>
  <c r="D271" i="48"/>
  <c r="E271" i="48"/>
  <c r="F271" i="48"/>
  <c r="G271" i="48"/>
  <c r="H271" i="48"/>
  <c r="I271" i="48"/>
  <c r="J271" i="48"/>
  <c r="K271" i="48"/>
  <c r="L271" i="48"/>
  <c r="M271" i="48"/>
  <c r="N271" i="48"/>
  <c r="P271" i="48"/>
  <c r="Q271" i="48"/>
  <c r="R271" i="48"/>
  <c r="T271" i="48"/>
  <c r="U271" i="48"/>
  <c r="V271" i="48"/>
  <c r="X271" i="48"/>
  <c r="Y271" i="48"/>
  <c r="Z271" i="48"/>
  <c r="AB271" i="48"/>
  <c r="AC271" i="48"/>
  <c r="AD271" i="48"/>
  <c r="AF271" i="48"/>
  <c r="AG271" i="48"/>
  <c r="AH271" i="48"/>
  <c r="AJ271" i="48"/>
  <c r="AK271" i="48"/>
  <c r="AL271" i="48"/>
  <c r="AN271" i="48"/>
  <c r="AO271" i="48"/>
  <c r="AP271" i="48"/>
  <c r="AR271" i="48"/>
  <c r="AS271" i="48"/>
  <c r="AT271" i="48"/>
  <c r="AU271" i="48"/>
  <c r="AV271" i="48"/>
  <c r="AW271" i="48"/>
  <c r="A272" i="48"/>
  <c r="B272" i="48"/>
  <c r="C272" i="48"/>
  <c r="D272" i="48"/>
  <c r="E272" i="48"/>
  <c r="F272" i="48"/>
  <c r="G272" i="48"/>
  <c r="H272" i="48"/>
  <c r="I272" i="48"/>
  <c r="J272" i="48"/>
  <c r="K272" i="48"/>
  <c r="L272" i="48"/>
  <c r="M272" i="48"/>
  <c r="N272" i="48"/>
  <c r="P272" i="48"/>
  <c r="Q272" i="48"/>
  <c r="R272" i="48"/>
  <c r="T272" i="48"/>
  <c r="U272" i="48"/>
  <c r="V272" i="48"/>
  <c r="X272" i="48"/>
  <c r="Y272" i="48"/>
  <c r="Z272" i="48"/>
  <c r="AB272" i="48"/>
  <c r="AC272" i="48"/>
  <c r="AD272" i="48"/>
  <c r="AF272" i="48"/>
  <c r="AG272" i="48"/>
  <c r="AH272" i="48"/>
  <c r="AJ272" i="48"/>
  <c r="AK272" i="48"/>
  <c r="AL272" i="48"/>
  <c r="AN272" i="48"/>
  <c r="AO272" i="48"/>
  <c r="AP272" i="48"/>
  <c r="AR272" i="48"/>
  <c r="AS272" i="48"/>
  <c r="AT272" i="48"/>
  <c r="AU272" i="48"/>
  <c r="AV272" i="48"/>
  <c r="AW272" i="48"/>
  <c r="A273" i="48"/>
  <c r="B273" i="48"/>
  <c r="C273" i="48"/>
  <c r="D273" i="48"/>
  <c r="E273" i="48"/>
  <c r="F273" i="48"/>
  <c r="G273" i="48"/>
  <c r="H273" i="48"/>
  <c r="I273" i="48"/>
  <c r="J273" i="48"/>
  <c r="K273" i="48"/>
  <c r="L273" i="48"/>
  <c r="M273" i="48"/>
  <c r="N273" i="48"/>
  <c r="P273" i="48"/>
  <c r="Q273" i="48"/>
  <c r="R273" i="48"/>
  <c r="T273" i="48"/>
  <c r="U273" i="48"/>
  <c r="V273" i="48"/>
  <c r="X273" i="48"/>
  <c r="Y273" i="48"/>
  <c r="Z273" i="48"/>
  <c r="AB273" i="48"/>
  <c r="AC273" i="48"/>
  <c r="AD273" i="48"/>
  <c r="AF273" i="48"/>
  <c r="AG273" i="48"/>
  <c r="AH273" i="48"/>
  <c r="AJ273" i="48"/>
  <c r="AK273" i="48"/>
  <c r="AL273" i="48"/>
  <c r="AN273" i="48"/>
  <c r="AO273" i="48"/>
  <c r="AP273" i="48"/>
  <c r="AR273" i="48"/>
  <c r="AS273" i="48"/>
  <c r="AT273" i="48"/>
  <c r="AU273" i="48"/>
  <c r="AV273" i="48"/>
  <c r="AW273" i="48"/>
  <c r="A274" i="48"/>
  <c r="B274" i="48"/>
  <c r="C274" i="48"/>
  <c r="D274" i="48"/>
  <c r="E274" i="48"/>
  <c r="F274" i="48"/>
  <c r="G274" i="48"/>
  <c r="H274" i="48"/>
  <c r="I274" i="48"/>
  <c r="J274" i="48"/>
  <c r="K274" i="48"/>
  <c r="L274" i="48"/>
  <c r="M274" i="48"/>
  <c r="N274" i="48"/>
  <c r="P274" i="48"/>
  <c r="Q274" i="48"/>
  <c r="R274" i="48"/>
  <c r="T274" i="48"/>
  <c r="U274" i="48"/>
  <c r="V274" i="48"/>
  <c r="X274" i="48"/>
  <c r="Y274" i="48"/>
  <c r="Z274" i="48"/>
  <c r="AB274" i="48"/>
  <c r="AC274" i="48"/>
  <c r="AD274" i="48"/>
  <c r="AF274" i="48"/>
  <c r="AG274" i="48"/>
  <c r="AH274" i="48"/>
  <c r="AJ274" i="48"/>
  <c r="AK274" i="48"/>
  <c r="AL274" i="48"/>
  <c r="AN274" i="48"/>
  <c r="AO274" i="48"/>
  <c r="AP274" i="48"/>
  <c r="AR274" i="48"/>
  <c r="AS274" i="48"/>
  <c r="AT274" i="48"/>
  <c r="AU274" i="48"/>
  <c r="AV274" i="48"/>
  <c r="AW274" i="48"/>
  <c r="A275" i="48"/>
  <c r="B275" i="48"/>
  <c r="C275" i="48"/>
  <c r="D275" i="48"/>
  <c r="E275" i="48"/>
  <c r="F275" i="48"/>
  <c r="G275" i="48"/>
  <c r="H275" i="48"/>
  <c r="I275" i="48"/>
  <c r="J275" i="48"/>
  <c r="K275" i="48"/>
  <c r="L275" i="48"/>
  <c r="M275" i="48"/>
  <c r="N275" i="48"/>
  <c r="P275" i="48"/>
  <c r="Q275" i="48"/>
  <c r="R275" i="48"/>
  <c r="T275" i="48"/>
  <c r="U275" i="48"/>
  <c r="V275" i="48"/>
  <c r="X275" i="48"/>
  <c r="Y275" i="48"/>
  <c r="Z275" i="48"/>
  <c r="AB275" i="48"/>
  <c r="AC275" i="48"/>
  <c r="AD275" i="48"/>
  <c r="AF275" i="48"/>
  <c r="AG275" i="48"/>
  <c r="AH275" i="48"/>
  <c r="AJ275" i="48"/>
  <c r="AK275" i="48"/>
  <c r="AL275" i="48"/>
  <c r="AN275" i="48"/>
  <c r="AO275" i="48"/>
  <c r="AP275" i="48"/>
  <c r="AR275" i="48"/>
  <c r="AS275" i="48"/>
  <c r="AT275" i="48"/>
  <c r="AU275" i="48"/>
  <c r="AV275" i="48"/>
  <c r="AW275" i="48"/>
  <c r="A276" i="48"/>
  <c r="B276" i="48"/>
  <c r="C276" i="48"/>
  <c r="D276" i="48"/>
  <c r="E276" i="48"/>
  <c r="F276" i="48"/>
  <c r="G276" i="48"/>
  <c r="H276" i="48"/>
  <c r="I276" i="48"/>
  <c r="J276" i="48"/>
  <c r="K276" i="48"/>
  <c r="L276" i="48"/>
  <c r="M276" i="48"/>
  <c r="N276" i="48"/>
  <c r="P276" i="48"/>
  <c r="Q276" i="48"/>
  <c r="R276" i="48"/>
  <c r="T276" i="48"/>
  <c r="U276" i="48"/>
  <c r="V276" i="48"/>
  <c r="X276" i="48"/>
  <c r="Y276" i="48"/>
  <c r="Z276" i="48"/>
  <c r="AB276" i="48"/>
  <c r="AC276" i="48"/>
  <c r="AD276" i="48"/>
  <c r="AF276" i="48"/>
  <c r="AG276" i="48"/>
  <c r="AH276" i="48"/>
  <c r="AJ276" i="48"/>
  <c r="AK276" i="48"/>
  <c r="AL276" i="48"/>
  <c r="AN276" i="48"/>
  <c r="AO276" i="48"/>
  <c r="AP276" i="48"/>
  <c r="AR276" i="48"/>
  <c r="AS276" i="48"/>
  <c r="AT276" i="48"/>
  <c r="AU276" i="48"/>
  <c r="AV276" i="48"/>
  <c r="AW276" i="48"/>
  <c r="A277" i="48"/>
  <c r="B277" i="48"/>
  <c r="C277" i="48"/>
  <c r="D277" i="48"/>
  <c r="E277" i="48"/>
  <c r="F277" i="48"/>
  <c r="G277" i="48"/>
  <c r="H277" i="48"/>
  <c r="I277" i="48"/>
  <c r="J277" i="48"/>
  <c r="K277" i="48"/>
  <c r="L277" i="48"/>
  <c r="M277" i="48"/>
  <c r="N277" i="48"/>
  <c r="P277" i="48"/>
  <c r="Q277" i="48"/>
  <c r="R277" i="48"/>
  <c r="T277" i="48"/>
  <c r="U277" i="48"/>
  <c r="V277" i="48"/>
  <c r="X277" i="48"/>
  <c r="Y277" i="48"/>
  <c r="Z277" i="48"/>
  <c r="AB277" i="48"/>
  <c r="AC277" i="48"/>
  <c r="AD277" i="48"/>
  <c r="AF277" i="48"/>
  <c r="AG277" i="48"/>
  <c r="AH277" i="48"/>
  <c r="AJ277" i="48"/>
  <c r="AK277" i="48"/>
  <c r="AL277" i="48"/>
  <c r="AN277" i="48"/>
  <c r="AO277" i="48"/>
  <c r="AP277" i="48"/>
  <c r="AR277" i="48"/>
  <c r="AS277" i="48"/>
  <c r="AT277" i="48"/>
  <c r="AU277" i="48"/>
  <c r="AV277" i="48"/>
  <c r="AW277" i="48"/>
  <c r="A278" i="48"/>
  <c r="B278" i="48"/>
  <c r="C278" i="48"/>
  <c r="D278" i="48"/>
  <c r="E278" i="48"/>
  <c r="F278" i="48"/>
  <c r="G278" i="48"/>
  <c r="H278" i="48"/>
  <c r="I278" i="48"/>
  <c r="J278" i="48"/>
  <c r="K278" i="48"/>
  <c r="L278" i="48"/>
  <c r="M278" i="48"/>
  <c r="N278" i="48"/>
  <c r="P278" i="48"/>
  <c r="Q278" i="48"/>
  <c r="R278" i="48"/>
  <c r="T278" i="48"/>
  <c r="U278" i="48"/>
  <c r="V278" i="48"/>
  <c r="X278" i="48"/>
  <c r="Y278" i="48"/>
  <c r="Z278" i="48"/>
  <c r="AB278" i="48"/>
  <c r="AC278" i="48"/>
  <c r="AD278" i="48"/>
  <c r="AF278" i="48"/>
  <c r="AG278" i="48"/>
  <c r="AH278" i="48"/>
  <c r="AJ278" i="48"/>
  <c r="AK278" i="48"/>
  <c r="AL278" i="48"/>
  <c r="AN278" i="48"/>
  <c r="AO278" i="48"/>
  <c r="AP278" i="48"/>
  <c r="AR278" i="48"/>
  <c r="AS278" i="48"/>
  <c r="AT278" i="48"/>
  <c r="AU278" i="48"/>
  <c r="AV278" i="48"/>
  <c r="AW278" i="48"/>
  <c r="A279" i="48"/>
  <c r="B279" i="48"/>
  <c r="C279" i="48"/>
  <c r="D279" i="48"/>
  <c r="E279" i="48"/>
  <c r="F279" i="48"/>
  <c r="G279" i="48"/>
  <c r="H279" i="48"/>
  <c r="I279" i="48"/>
  <c r="J279" i="48"/>
  <c r="K279" i="48"/>
  <c r="L279" i="48"/>
  <c r="M279" i="48"/>
  <c r="N279" i="48"/>
  <c r="P279" i="48"/>
  <c r="Q279" i="48"/>
  <c r="R279" i="48"/>
  <c r="T279" i="48"/>
  <c r="U279" i="48"/>
  <c r="V279" i="48"/>
  <c r="X279" i="48"/>
  <c r="Y279" i="48"/>
  <c r="Z279" i="48"/>
  <c r="AB279" i="48"/>
  <c r="AC279" i="48"/>
  <c r="AD279" i="48"/>
  <c r="AF279" i="48"/>
  <c r="AG279" i="48"/>
  <c r="AH279" i="48"/>
  <c r="AJ279" i="48"/>
  <c r="AK279" i="48"/>
  <c r="AL279" i="48"/>
  <c r="AN279" i="48"/>
  <c r="AO279" i="48"/>
  <c r="AP279" i="48"/>
  <c r="AR279" i="48"/>
  <c r="AS279" i="48"/>
  <c r="AT279" i="48"/>
  <c r="AU279" i="48"/>
  <c r="AV279" i="48"/>
  <c r="AW279" i="48"/>
  <c r="A280" i="48"/>
  <c r="B280" i="48"/>
  <c r="C280" i="48"/>
  <c r="D280" i="48"/>
  <c r="E280" i="48"/>
  <c r="F280" i="48"/>
  <c r="G280" i="48"/>
  <c r="H280" i="48"/>
  <c r="I280" i="48"/>
  <c r="J280" i="48"/>
  <c r="K280" i="48"/>
  <c r="L280" i="48"/>
  <c r="M280" i="48"/>
  <c r="N280" i="48"/>
  <c r="P280" i="48"/>
  <c r="Q280" i="48"/>
  <c r="R280" i="48"/>
  <c r="T280" i="48"/>
  <c r="U280" i="48"/>
  <c r="V280" i="48"/>
  <c r="X280" i="48"/>
  <c r="Y280" i="48"/>
  <c r="Z280" i="48"/>
  <c r="AB280" i="48"/>
  <c r="AC280" i="48"/>
  <c r="AD280" i="48"/>
  <c r="AF280" i="48"/>
  <c r="AG280" i="48"/>
  <c r="AH280" i="48"/>
  <c r="AJ280" i="48"/>
  <c r="AK280" i="48"/>
  <c r="AL280" i="48"/>
  <c r="AN280" i="48"/>
  <c r="AO280" i="48"/>
  <c r="AP280" i="48"/>
  <c r="AR280" i="48"/>
  <c r="AS280" i="48"/>
  <c r="AT280" i="48"/>
  <c r="AU280" i="48"/>
  <c r="AV280" i="48"/>
  <c r="AW280" i="48"/>
  <c r="A281" i="48"/>
  <c r="B281" i="48"/>
  <c r="C281" i="48"/>
  <c r="D281" i="48"/>
  <c r="E281" i="48"/>
  <c r="F281" i="48"/>
  <c r="G281" i="48"/>
  <c r="H281" i="48"/>
  <c r="I281" i="48"/>
  <c r="J281" i="48"/>
  <c r="K281" i="48"/>
  <c r="L281" i="48"/>
  <c r="M281" i="48"/>
  <c r="N281" i="48"/>
  <c r="P281" i="48"/>
  <c r="Q281" i="48"/>
  <c r="R281" i="48"/>
  <c r="T281" i="48"/>
  <c r="U281" i="48"/>
  <c r="V281" i="48"/>
  <c r="X281" i="48"/>
  <c r="Y281" i="48"/>
  <c r="Z281" i="48"/>
  <c r="AB281" i="48"/>
  <c r="AC281" i="48"/>
  <c r="AD281" i="48"/>
  <c r="AF281" i="48"/>
  <c r="AG281" i="48"/>
  <c r="AH281" i="48"/>
  <c r="AJ281" i="48"/>
  <c r="AK281" i="48"/>
  <c r="AL281" i="48"/>
  <c r="AN281" i="48"/>
  <c r="AO281" i="48"/>
  <c r="AP281" i="48"/>
  <c r="AR281" i="48"/>
  <c r="AS281" i="48"/>
  <c r="AT281" i="48"/>
  <c r="AU281" i="48"/>
  <c r="AV281" i="48"/>
  <c r="AW281" i="48"/>
  <c r="A282" i="48"/>
  <c r="B282" i="48"/>
  <c r="C282" i="48"/>
  <c r="D282" i="48"/>
  <c r="E282" i="48"/>
  <c r="F282" i="48"/>
  <c r="G282" i="48"/>
  <c r="H282" i="48"/>
  <c r="I282" i="48"/>
  <c r="J282" i="48"/>
  <c r="K282" i="48"/>
  <c r="L282" i="48"/>
  <c r="M282" i="48"/>
  <c r="N282" i="48"/>
  <c r="P282" i="48"/>
  <c r="Q282" i="48"/>
  <c r="R282" i="48"/>
  <c r="T282" i="48"/>
  <c r="U282" i="48"/>
  <c r="V282" i="48"/>
  <c r="X282" i="48"/>
  <c r="Y282" i="48"/>
  <c r="Z282" i="48"/>
  <c r="AB282" i="48"/>
  <c r="AC282" i="48"/>
  <c r="AD282" i="48"/>
  <c r="AF282" i="48"/>
  <c r="AG282" i="48"/>
  <c r="AH282" i="48"/>
  <c r="AJ282" i="48"/>
  <c r="AK282" i="48"/>
  <c r="AL282" i="48"/>
  <c r="AN282" i="48"/>
  <c r="AO282" i="48"/>
  <c r="AP282" i="48"/>
  <c r="AR282" i="48"/>
  <c r="AS282" i="48"/>
  <c r="AT282" i="48"/>
  <c r="AU282" i="48"/>
  <c r="AV282" i="48"/>
  <c r="AW282" i="48"/>
  <c r="A283" i="48"/>
  <c r="B283" i="48"/>
  <c r="C283" i="48"/>
  <c r="D283" i="48"/>
  <c r="E283" i="48"/>
  <c r="F283" i="48"/>
  <c r="G283" i="48"/>
  <c r="H283" i="48"/>
  <c r="I283" i="48"/>
  <c r="J283" i="48"/>
  <c r="K283" i="48"/>
  <c r="L283" i="48"/>
  <c r="M283" i="48"/>
  <c r="N283" i="48"/>
  <c r="P283" i="48"/>
  <c r="Q283" i="48"/>
  <c r="R283" i="48"/>
  <c r="T283" i="48"/>
  <c r="U283" i="48"/>
  <c r="V283" i="48"/>
  <c r="X283" i="48"/>
  <c r="Y283" i="48"/>
  <c r="Z283" i="48"/>
  <c r="AB283" i="48"/>
  <c r="AC283" i="48"/>
  <c r="AD283" i="48"/>
  <c r="AF283" i="48"/>
  <c r="AG283" i="48"/>
  <c r="AH283" i="48"/>
  <c r="AJ283" i="48"/>
  <c r="AK283" i="48"/>
  <c r="AL283" i="48"/>
  <c r="AN283" i="48"/>
  <c r="AO283" i="48"/>
  <c r="AP283" i="48"/>
  <c r="AR283" i="48"/>
  <c r="AS283" i="48"/>
  <c r="AT283" i="48"/>
  <c r="AU283" i="48"/>
  <c r="AV283" i="48"/>
  <c r="AW283" i="48"/>
  <c r="A284" i="48"/>
  <c r="B284" i="48"/>
  <c r="C284" i="48"/>
  <c r="D284" i="48"/>
  <c r="E284" i="48"/>
  <c r="F284" i="48"/>
  <c r="G284" i="48"/>
  <c r="H284" i="48"/>
  <c r="I284" i="48"/>
  <c r="J284" i="48"/>
  <c r="K284" i="48"/>
  <c r="L284" i="48"/>
  <c r="M284" i="48"/>
  <c r="N284" i="48"/>
  <c r="P284" i="48"/>
  <c r="Q284" i="48"/>
  <c r="R284" i="48"/>
  <c r="T284" i="48"/>
  <c r="U284" i="48"/>
  <c r="V284" i="48"/>
  <c r="X284" i="48"/>
  <c r="Y284" i="48"/>
  <c r="Z284" i="48"/>
  <c r="AB284" i="48"/>
  <c r="AC284" i="48"/>
  <c r="AD284" i="48"/>
  <c r="AF284" i="48"/>
  <c r="AG284" i="48"/>
  <c r="AH284" i="48"/>
  <c r="AJ284" i="48"/>
  <c r="AK284" i="48"/>
  <c r="AL284" i="48"/>
  <c r="AN284" i="48"/>
  <c r="AO284" i="48"/>
  <c r="AP284" i="48"/>
  <c r="AR284" i="48"/>
  <c r="AS284" i="48"/>
  <c r="AT284" i="48"/>
  <c r="AU284" i="48"/>
  <c r="AV284" i="48"/>
  <c r="AW284" i="48"/>
  <c r="A285" i="48"/>
  <c r="B285" i="48"/>
  <c r="C285" i="48"/>
  <c r="D285" i="48"/>
  <c r="E285" i="48"/>
  <c r="F285" i="48"/>
  <c r="G285" i="48"/>
  <c r="H285" i="48"/>
  <c r="I285" i="48"/>
  <c r="J285" i="48"/>
  <c r="K285" i="48"/>
  <c r="L285" i="48"/>
  <c r="M285" i="48"/>
  <c r="N285" i="48"/>
  <c r="P285" i="48"/>
  <c r="Q285" i="48"/>
  <c r="R285" i="48"/>
  <c r="T285" i="48"/>
  <c r="U285" i="48"/>
  <c r="V285" i="48"/>
  <c r="X285" i="48"/>
  <c r="Y285" i="48"/>
  <c r="Z285" i="48"/>
  <c r="AB285" i="48"/>
  <c r="AC285" i="48"/>
  <c r="AD285" i="48"/>
  <c r="AF285" i="48"/>
  <c r="AG285" i="48"/>
  <c r="AH285" i="48"/>
  <c r="AJ285" i="48"/>
  <c r="AK285" i="48"/>
  <c r="AL285" i="48"/>
  <c r="AN285" i="48"/>
  <c r="AO285" i="48"/>
  <c r="AP285" i="48"/>
  <c r="AR285" i="48"/>
  <c r="AS285" i="48"/>
  <c r="AT285" i="48"/>
  <c r="AU285" i="48"/>
  <c r="AV285" i="48"/>
  <c r="AW285" i="48"/>
  <c r="A286" i="48"/>
  <c r="B286" i="48"/>
  <c r="C286" i="48"/>
  <c r="D286" i="48"/>
  <c r="E286" i="48"/>
  <c r="F286" i="48"/>
  <c r="G286" i="48"/>
  <c r="H286" i="48"/>
  <c r="I286" i="48"/>
  <c r="J286" i="48"/>
  <c r="K286" i="48"/>
  <c r="L286" i="48"/>
  <c r="M286" i="48"/>
  <c r="N286" i="48"/>
  <c r="P286" i="48"/>
  <c r="Q286" i="48"/>
  <c r="R286" i="48"/>
  <c r="T286" i="48"/>
  <c r="U286" i="48"/>
  <c r="V286" i="48"/>
  <c r="X286" i="48"/>
  <c r="Y286" i="48"/>
  <c r="Z286" i="48"/>
  <c r="AB286" i="48"/>
  <c r="AC286" i="48"/>
  <c r="AD286" i="48"/>
  <c r="AF286" i="48"/>
  <c r="AG286" i="48"/>
  <c r="AH286" i="48"/>
  <c r="AJ286" i="48"/>
  <c r="AK286" i="48"/>
  <c r="AL286" i="48"/>
  <c r="AN286" i="48"/>
  <c r="AO286" i="48"/>
  <c r="AP286" i="48"/>
  <c r="AR286" i="48"/>
  <c r="AS286" i="48"/>
  <c r="AT286" i="48"/>
  <c r="AU286" i="48"/>
  <c r="AV286" i="48"/>
  <c r="AW286" i="48"/>
  <c r="A287" i="48"/>
  <c r="B287" i="48"/>
  <c r="C287" i="48"/>
  <c r="D287" i="48"/>
  <c r="E287" i="48"/>
  <c r="F287" i="48"/>
  <c r="G287" i="48"/>
  <c r="H287" i="48"/>
  <c r="I287" i="48"/>
  <c r="J287" i="48"/>
  <c r="K287" i="48"/>
  <c r="L287" i="48"/>
  <c r="M287" i="48"/>
  <c r="N287" i="48"/>
  <c r="P287" i="48"/>
  <c r="Q287" i="48"/>
  <c r="R287" i="48"/>
  <c r="T287" i="48"/>
  <c r="U287" i="48"/>
  <c r="V287" i="48"/>
  <c r="X287" i="48"/>
  <c r="Y287" i="48"/>
  <c r="Z287" i="48"/>
  <c r="AB287" i="48"/>
  <c r="AC287" i="48"/>
  <c r="AD287" i="48"/>
  <c r="AF287" i="48"/>
  <c r="AG287" i="48"/>
  <c r="AH287" i="48"/>
  <c r="AJ287" i="48"/>
  <c r="AK287" i="48"/>
  <c r="AL287" i="48"/>
  <c r="AN287" i="48"/>
  <c r="AO287" i="48"/>
  <c r="AP287" i="48"/>
  <c r="AR287" i="48"/>
  <c r="AS287" i="48"/>
  <c r="AT287" i="48"/>
  <c r="AU287" i="48"/>
  <c r="AV287" i="48"/>
  <c r="AW287" i="48"/>
  <c r="A288" i="48"/>
  <c r="B288" i="48"/>
  <c r="C288" i="48"/>
  <c r="D288" i="48"/>
  <c r="E288" i="48"/>
  <c r="F288" i="48"/>
  <c r="G288" i="48"/>
  <c r="H288" i="48"/>
  <c r="I288" i="48"/>
  <c r="J288" i="48"/>
  <c r="K288" i="48"/>
  <c r="L288" i="48"/>
  <c r="M288" i="48"/>
  <c r="N288" i="48"/>
  <c r="P288" i="48"/>
  <c r="Q288" i="48"/>
  <c r="R288" i="48"/>
  <c r="T288" i="48"/>
  <c r="U288" i="48"/>
  <c r="V288" i="48"/>
  <c r="X288" i="48"/>
  <c r="Y288" i="48"/>
  <c r="Z288" i="48"/>
  <c r="AB288" i="48"/>
  <c r="AC288" i="48"/>
  <c r="AD288" i="48"/>
  <c r="AF288" i="48"/>
  <c r="AG288" i="48"/>
  <c r="AH288" i="48"/>
  <c r="AJ288" i="48"/>
  <c r="AK288" i="48"/>
  <c r="AL288" i="48"/>
  <c r="AN288" i="48"/>
  <c r="AO288" i="48"/>
  <c r="AP288" i="48"/>
  <c r="AR288" i="48"/>
  <c r="AS288" i="48"/>
  <c r="AT288" i="48"/>
  <c r="AU288" i="48"/>
  <c r="AV288" i="48"/>
  <c r="AW288" i="48"/>
  <c r="B291" i="48"/>
  <c r="C291" i="48"/>
  <c r="D291" i="48"/>
  <c r="E291" i="48"/>
  <c r="F291" i="48"/>
  <c r="G291" i="48"/>
  <c r="H291" i="48"/>
  <c r="I291" i="48"/>
  <c r="J291" i="48"/>
  <c r="K291" i="48"/>
  <c r="L291" i="48"/>
  <c r="M291" i="48"/>
  <c r="N291" i="48"/>
  <c r="O291" i="48"/>
  <c r="P291" i="48"/>
  <c r="Q291" i="48"/>
  <c r="R291" i="48"/>
  <c r="S291" i="48"/>
  <c r="T291" i="48"/>
  <c r="U291" i="48"/>
  <c r="V291" i="48"/>
  <c r="W291" i="48"/>
  <c r="X291" i="48"/>
  <c r="Y291" i="48"/>
  <c r="Z291" i="48"/>
  <c r="AA291" i="48"/>
  <c r="AB291" i="48"/>
  <c r="AC291" i="48"/>
  <c r="AD291" i="48"/>
  <c r="AE291" i="48"/>
  <c r="AF291" i="48"/>
  <c r="AG291" i="48"/>
  <c r="AH291" i="48"/>
  <c r="AI291" i="48"/>
  <c r="AJ291" i="48"/>
  <c r="AK291" i="48"/>
  <c r="AL291" i="48"/>
  <c r="AM291" i="48"/>
  <c r="AN291" i="48"/>
  <c r="AO291" i="48"/>
  <c r="AP291" i="48"/>
  <c r="AQ291" i="48"/>
  <c r="AR291" i="48"/>
  <c r="AS291" i="48"/>
  <c r="AT291" i="48"/>
  <c r="AU291" i="48"/>
  <c r="AV291" i="48"/>
  <c r="AW291" i="48"/>
  <c r="A1" i="37"/>
  <c r="A2" i="37"/>
  <c r="A3" i="37"/>
  <c r="D9" i="37"/>
  <c r="P9" i="37"/>
  <c r="D10" i="37"/>
  <c r="P10" i="37"/>
  <c r="A12" i="37"/>
  <c r="C12" i="37"/>
  <c r="D12" i="37"/>
  <c r="E12" i="37"/>
  <c r="F12" i="37"/>
  <c r="G12" i="37"/>
  <c r="H12" i="37"/>
  <c r="I12" i="37"/>
  <c r="J12" i="37"/>
  <c r="L12" i="37"/>
  <c r="M12" i="37"/>
  <c r="N12" i="37"/>
  <c r="O12" i="37"/>
  <c r="P12" i="37"/>
  <c r="Q12" i="37"/>
  <c r="R12" i="37"/>
  <c r="A13" i="37"/>
  <c r="C13" i="37"/>
  <c r="D13" i="37"/>
  <c r="E13" i="37"/>
  <c r="F13" i="37"/>
  <c r="G13" i="37"/>
  <c r="H13" i="37"/>
  <c r="I13" i="37"/>
  <c r="J13" i="37"/>
  <c r="L13" i="37"/>
  <c r="M13" i="37"/>
  <c r="N13" i="37"/>
  <c r="O13" i="37"/>
  <c r="P13" i="37"/>
  <c r="Q13" i="37"/>
  <c r="R13" i="37"/>
  <c r="A14" i="37"/>
  <c r="C14" i="37"/>
  <c r="D14" i="37"/>
  <c r="E14" i="37"/>
  <c r="F14" i="37"/>
  <c r="G14" i="37"/>
  <c r="H14" i="37"/>
  <c r="I14" i="37"/>
  <c r="J14" i="37"/>
  <c r="L14" i="37"/>
  <c r="M14" i="37"/>
  <c r="N14" i="37"/>
  <c r="O14" i="37"/>
  <c r="P14" i="37"/>
  <c r="Q14" i="37"/>
  <c r="R14" i="37"/>
  <c r="A15" i="37"/>
  <c r="C15" i="37"/>
  <c r="D15" i="37"/>
  <c r="E15" i="37"/>
  <c r="F15" i="37"/>
  <c r="G15" i="37"/>
  <c r="H15" i="37"/>
  <c r="I15" i="37"/>
  <c r="J15" i="37"/>
  <c r="L15" i="37"/>
  <c r="M15" i="37"/>
  <c r="N15" i="37"/>
  <c r="O15" i="37"/>
  <c r="P15" i="37"/>
  <c r="Q15" i="37"/>
  <c r="R15" i="37"/>
  <c r="A16" i="37"/>
  <c r="C16" i="37"/>
  <c r="D16" i="37"/>
  <c r="E16" i="37"/>
  <c r="F16" i="37"/>
  <c r="G16" i="37"/>
  <c r="H16" i="37"/>
  <c r="I16" i="37"/>
  <c r="J16" i="37"/>
  <c r="L16" i="37"/>
  <c r="M16" i="37"/>
  <c r="N16" i="37"/>
  <c r="O16" i="37"/>
  <c r="P16" i="37"/>
  <c r="Q16" i="37"/>
  <c r="R16" i="37"/>
  <c r="A17" i="37"/>
  <c r="C17" i="37"/>
  <c r="D17" i="37"/>
  <c r="E17" i="37"/>
  <c r="F17" i="37"/>
  <c r="G17" i="37"/>
  <c r="H17" i="37"/>
  <c r="I17" i="37"/>
  <c r="J17" i="37"/>
  <c r="L17" i="37"/>
  <c r="M17" i="37"/>
  <c r="N17" i="37"/>
  <c r="O17" i="37"/>
  <c r="P17" i="37"/>
  <c r="Q17" i="37"/>
  <c r="R17" i="37"/>
  <c r="A18" i="37"/>
  <c r="C18" i="37"/>
  <c r="D18" i="37"/>
  <c r="E18" i="37"/>
  <c r="F18" i="37"/>
  <c r="G18" i="37"/>
  <c r="H18" i="37"/>
  <c r="I18" i="37"/>
  <c r="J18" i="37"/>
  <c r="L18" i="37"/>
  <c r="M18" i="37"/>
  <c r="N18" i="37"/>
  <c r="O18" i="37"/>
  <c r="P18" i="37"/>
  <c r="Q18" i="37"/>
  <c r="R18" i="37"/>
  <c r="A19" i="37"/>
  <c r="C19" i="37"/>
  <c r="D19" i="37"/>
  <c r="E19" i="37"/>
  <c r="F19" i="37"/>
  <c r="G19" i="37"/>
  <c r="H19" i="37"/>
  <c r="I19" i="37"/>
  <c r="J19" i="37"/>
  <c r="L19" i="37"/>
  <c r="M19" i="37"/>
  <c r="N19" i="37"/>
  <c r="O19" i="37"/>
  <c r="P19" i="37"/>
  <c r="Q19" i="37"/>
  <c r="R19" i="37"/>
  <c r="A20" i="37"/>
  <c r="C20" i="37"/>
  <c r="D20" i="37"/>
  <c r="E20" i="37"/>
  <c r="F20" i="37"/>
  <c r="G20" i="37"/>
  <c r="H20" i="37"/>
  <c r="I20" i="37"/>
  <c r="J20" i="37"/>
  <c r="L20" i="37"/>
  <c r="M20" i="37"/>
  <c r="N20" i="37"/>
  <c r="O20" i="37"/>
  <c r="P20" i="37"/>
  <c r="Q20" i="37"/>
  <c r="R20" i="37"/>
  <c r="A21" i="37"/>
  <c r="C21" i="37"/>
  <c r="D21" i="37"/>
  <c r="E21" i="37"/>
  <c r="F21" i="37"/>
  <c r="G21" i="37"/>
  <c r="H21" i="37"/>
  <c r="I21" i="37"/>
  <c r="J21" i="37"/>
  <c r="L21" i="37"/>
  <c r="M21" i="37"/>
  <c r="N21" i="37"/>
  <c r="O21" i="37"/>
  <c r="P21" i="37"/>
  <c r="Q21" i="37"/>
  <c r="R21" i="37"/>
  <c r="A22" i="37"/>
  <c r="C22" i="37"/>
  <c r="D22" i="37"/>
  <c r="E22" i="37"/>
  <c r="F22" i="37"/>
  <c r="G22" i="37"/>
  <c r="H22" i="37"/>
  <c r="I22" i="37"/>
  <c r="J22" i="37"/>
  <c r="L22" i="37"/>
  <c r="M22" i="37"/>
  <c r="N22" i="37"/>
  <c r="O22" i="37"/>
  <c r="P22" i="37"/>
  <c r="Q22" i="37"/>
  <c r="R22" i="37"/>
  <c r="A23" i="37"/>
  <c r="C23" i="37"/>
  <c r="D23" i="37"/>
  <c r="E23" i="37"/>
  <c r="F23" i="37"/>
  <c r="G23" i="37"/>
  <c r="H23" i="37"/>
  <c r="I23" i="37"/>
  <c r="J23" i="37"/>
  <c r="L23" i="37"/>
  <c r="M23" i="37"/>
  <c r="N23" i="37"/>
  <c r="O23" i="37"/>
  <c r="P23" i="37"/>
  <c r="Q23" i="37"/>
  <c r="R23" i="37"/>
  <c r="A24" i="37"/>
  <c r="C24" i="37"/>
  <c r="D24" i="37"/>
  <c r="E24" i="37"/>
  <c r="F24" i="37"/>
  <c r="G24" i="37"/>
  <c r="H24" i="37"/>
  <c r="I24" i="37"/>
  <c r="J24" i="37"/>
  <c r="L24" i="37"/>
  <c r="M24" i="37"/>
  <c r="N24" i="37"/>
  <c r="O24" i="37"/>
  <c r="P24" i="37"/>
  <c r="Q24" i="37"/>
  <c r="R24" i="37"/>
  <c r="A25" i="37"/>
  <c r="C25" i="37"/>
  <c r="D25" i="37"/>
  <c r="E25" i="37"/>
  <c r="F25" i="37"/>
  <c r="G25" i="37"/>
  <c r="H25" i="37"/>
  <c r="I25" i="37"/>
  <c r="J25" i="37"/>
  <c r="L25" i="37"/>
  <c r="M25" i="37"/>
  <c r="N25" i="37"/>
  <c r="O25" i="37"/>
  <c r="P25" i="37"/>
  <c r="Q25" i="37"/>
  <c r="R25" i="37"/>
  <c r="A26" i="37"/>
  <c r="C26" i="37"/>
  <c r="D26" i="37"/>
  <c r="E26" i="37"/>
  <c r="F26" i="37"/>
  <c r="G26" i="37"/>
  <c r="H26" i="37"/>
  <c r="I26" i="37"/>
  <c r="J26" i="37"/>
  <c r="L26" i="37"/>
  <c r="M26" i="37"/>
  <c r="N26" i="37"/>
  <c r="O26" i="37"/>
  <c r="P26" i="37"/>
  <c r="Q26" i="37"/>
  <c r="R26" i="37"/>
  <c r="A27" i="37"/>
  <c r="C27" i="37"/>
  <c r="D27" i="37"/>
  <c r="E27" i="37"/>
  <c r="F27" i="37"/>
  <c r="G27" i="37"/>
  <c r="H27" i="37"/>
  <c r="I27" i="37"/>
  <c r="J27" i="37"/>
  <c r="L27" i="37"/>
  <c r="M27" i="37"/>
  <c r="N27" i="37"/>
  <c r="O27" i="37"/>
  <c r="P27" i="37"/>
  <c r="Q27" i="37"/>
  <c r="R27" i="37"/>
  <c r="A28" i="37"/>
  <c r="C28" i="37"/>
  <c r="D28" i="37"/>
  <c r="E28" i="37"/>
  <c r="F28" i="37"/>
  <c r="G28" i="37"/>
  <c r="H28" i="37"/>
  <c r="I28" i="37"/>
  <c r="J28" i="37"/>
  <c r="L28" i="37"/>
  <c r="M28" i="37"/>
  <c r="N28" i="37"/>
  <c r="O28" i="37"/>
  <c r="P28" i="37"/>
  <c r="Q28" i="37"/>
  <c r="R28" i="37"/>
  <c r="A29" i="37"/>
  <c r="C29" i="37"/>
  <c r="D29" i="37"/>
  <c r="E29" i="37"/>
  <c r="F29" i="37"/>
  <c r="G29" i="37"/>
  <c r="H29" i="37"/>
  <c r="I29" i="37"/>
  <c r="J29" i="37"/>
  <c r="L29" i="37"/>
  <c r="M29" i="37"/>
  <c r="N29" i="37"/>
  <c r="O29" i="37"/>
  <c r="P29" i="37"/>
  <c r="Q29" i="37"/>
  <c r="R29" i="37"/>
  <c r="A30" i="37"/>
  <c r="C30" i="37"/>
  <c r="D30" i="37"/>
  <c r="E30" i="37"/>
  <c r="F30" i="37"/>
  <c r="G30" i="37"/>
  <c r="H30" i="37"/>
  <c r="I30" i="37"/>
  <c r="J30" i="37"/>
  <c r="L30" i="37"/>
  <c r="M30" i="37"/>
  <c r="N30" i="37"/>
  <c r="O30" i="37"/>
  <c r="P30" i="37"/>
  <c r="Q30" i="37"/>
  <c r="R30" i="37"/>
  <c r="A31" i="37"/>
  <c r="C31" i="37"/>
  <c r="D31" i="37"/>
  <c r="E31" i="37"/>
  <c r="F31" i="37"/>
  <c r="G31" i="37"/>
  <c r="H31" i="37"/>
  <c r="I31" i="37"/>
  <c r="J31" i="37"/>
  <c r="L31" i="37"/>
  <c r="M31" i="37"/>
  <c r="N31" i="37"/>
  <c r="O31" i="37"/>
  <c r="P31" i="37"/>
  <c r="Q31" i="37"/>
  <c r="R31" i="37"/>
  <c r="A32" i="37"/>
  <c r="C32" i="37"/>
  <c r="D32" i="37"/>
  <c r="E32" i="37"/>
  <c r="F32" i="37"/>
  <c r="G32" i="37"/>
  <c r="H32" i="37"/>
  <c r="I32" i="37"/>
  <c r="J32" i="37"/>
  <c r="L32" i="37"/>
  <c r="M32" i="37"/>
  <c r="N32" i="37"/>
  <c r="O32" i="37"/>
  <c r="P32" i="37"/>
  <c r="Q32" i="37"/>
  <c r="R32" i="37"/>
  <c r="A33" i="37"/>
  <c r="C33" i="37"/>
  <c r="D33" i="37"/>
  <c r="E33" i="37"/>
  <c r="F33" i="37"/>
  <c r="G33" i="37"/>
  <c r="H33" i="37"/>
  <c r="I33" i="37"/>
  <c r="J33" i="37"/>
  <c r="L33" i="37"/>
  <c r="M33" i="37"/>
  <c r="N33" i="37"/>
  <c r="O33" i="37"/>
  <c r="P33" i="37"/>
  <c r="Q33" i="37"/>
  <c r="R33" i="37"/>
  <c r="A34" i="37"/>
  <c r="C34" i="37"/>
  <c r="D34" i="37"/>
  <c r="E34" i="37"/>
  <c r="F34" i="37"/>
  <c r="G34" i="37"/>
  <c r="H34" i="37"/>
  <c r="I34" i="37"/>
  <c r="J34" i="37"/>
  <c r="L34" i="37"/>
  <c r="M34" i="37"/>
  <c r="N34" i="37"/>
  <c r="O34" i="37"/>
  <c r="P34" i="37"/>
  <c r="Q34" i="37"/>
  <c r="R34" i="37"/>
  <c r="A35" i="37"/>
  <c r="C35" i="37"/>
  <c r="D35" i="37"/>
  <c r="E35" i="37"/>
  <c r="F35" i="37"/>
  <c r="G35" i="37"/>
  <c r="H35" i="37"/>
  <c r="I35" i="37"/>
  <c r="J35" i="37"/>
  <c r="L35" i="37"/>
  <c r="M35" i="37"/>
  <c r="N35" i="37"/>
  <c r="O35" i="37"/>
  <c r="P35" i="37"/>
  <c r="Q35" i="37"/>
  <c r="R35" i="37"/>
  <c r="A36" i="37"/>
  <c r="C36" i="37"/>
  <c r="D36" i="37"/>
  <c r="E36" i="37"/>
  <c r="F36" i="37"/>
  <c r="G36" i="37"/>
  <c r="H36" i="37"/>
  <c r="I36" i="37"/>
  <c r="J36" i="37"/>
  <c r="L36" i="37"/>
  <c r="M36" i="37"/>
  <c r="N36" i="37"/>
  <c r="O36" i="37"/>
  <c r="P36" i="37"/>
  <c r="Q36" i="37"/>
  <c r="R36" i="37"/>
  <c r="A37" i="37"/>
  <c r="C37" i="37"/>
  <c r="D37" i="37"/>
  <c r="E37" i="37"/>
  <c r="F37" i="37"/>
  <c r="G37" i="37"/>
  <c r="H37" i="37"/>
  <c r="I37" i="37"/>
  <c r="J37" i="37"/>
  <c r="L37" i="37"/>
  <c r="M37" i="37"/>
  <c r="N37" i="37"/>
  <c r="O37" i="37"/>
  <c r="P37" i="37"/>
  <c r="Q37" i="37"/>
  <c r="R37" i="37"/>
  <c r="A38" i="37"/>
  <c r="C38" i="37"/>
  <c r="D38" i="37"/>
  <c r="E38" i="37"/>
  <c r="F38" i="37"/>
  <c r="G38" i="37"/>
  <c r="H38" i="37"/>
  <c r="I38" i="37"/>
  <c r="J38" i="37"/>
  <c r="L38" i="37"/>
  <c r="M38" i="37"/>
  <c r="N38" i="37"/>
  <c r="O38" i="37"/>
  <c r="P38" i="37"/>
  <c r="Q38" i="37"/>
  <c r="R38" i="37"/>
  <c r="A39" i="37"/>
  <c r="C39" i="37"/>
  <c r="D39" i="37"/>
  <c r="E39" i="37"/>
  <c r="F39" i="37"/>
  <c r="G39" i="37"/>
  <c r="H39" i="37"/>
  <c r="I39" i="37"/>
  <c r="J39" i="37"/>
  <c r="L39" i="37"/>
  <c r="M39" i="37"/>
  <c r="N39" i="37"/>
  <c r="O39" i="37"/>
  <c r="P39" i="37"/>
  <c r="Q39" i="37"/>
  <c r="R39" i="37"/>
  <c r="A40" i="37"/>
  <c r="C40" i="37"/>
  <c r="D40" i="37"/>
  <c r="E40" i="37"/>
  <c r="F40" i="37"/>
  <c r="G40" i="37"/>
  <c r="H40" i="37"/>
  <c r="I40" i="37"/>
  <c r="J40" i="37"/>
  <c r="L40" i="37"/>
  <c r="M40" i="37"/>
  <c r="N40" i="37"/>
  <c r="O40" i="37"/>
  <c r="P40" i="37"/>
  <c r="Q40" i="37"/>
  <c r="R40" i="37"/>
  <c r="A41" i="37"/>
  <c r="C41" i="37"/>
  <c r="D41" i="37"/>
  <c r="E41" i="37"/>
  <c r="F41" i="37"/>
  <c r="G41" i="37"/>
  <c r="H41" i="37"/>
  <c r="I41" i="37"/>
  <c r="J41" i="37"/>
  <c r="L41" i="37"/>
  <c r="M41" i="37"/>
  <c r="N41" i="37"/>
  <c r="O41" i="37"/>
  <c r="P41" i="37"/>
  <c r="Q41" i="37"/>
  <c r="R41" i="37"/>
  <c r="A42" i="37"/>
  <c r="C42" i="37"/>
  <c r="D42" i="37"/>
  <c r="E42" i="37"/>
  <c r="F42" i="37"/>
  <c r="G42" i="37"/>
  <c r="H42" i="37"/>
  <c r="I42" i="37"/>
  <c r="J42" i="37"/>
  <c r="L42" i="37"/>
  <c r="M42" i="37"/>
  <c r="N42" i="37"/>
  <c r="O42" i="37"/>
  <c r="P42" i="37"/>
  <c r="Q42" i="37"/>
  <c r="R42" i="37"/>
  <c r="A43" i="37"/>
  <c r="C43" i="37"/>
  <c r="D43" i="37"/>
  <c r="E43" i="37"/>
  <c r="F43" i="37"/>
  <c r="G43" i="37"/>
  <c r="H43" i="37"/>
  <c r="I43" i="37"/>
  <c r="J43" i="37"/>
  <c r="L43" i="37"/>
  <c r="M43" i="37"/>
  <c r="N43" i="37"/>
  <c r="O43" i="37"/>
  <c r="P43" i="37"/>
  <c r="Q43" i="37"/>
  <c r="R43" i="37"/>
  <c r="A44" i="37"/>
  <c r="C44" i="37"/>
  <c r="D44" i="37"/>
  <c r="E44" i="37"/>
  <c r="F44" i="37"/>
  <c r="G44" i="37"/>
  <c r="H44" i="37"/>
  <c r="I44" i="37"/>
  <c r="J44" i="37"/>
  <c r="L44" i="37"/>
  <c r="M44" i="37"/>
  <c r="N44" i="37"/>
  <c r="O44" i="37"/>
  <c r="P44" i="37"/>
  <c r="Q44" i="37"/>
  <c r="R44" i="37"/>
  <c r="A45" i="37"/>
  <c r="C45" i="37"/>
  <c r="D45" i="37"/>
  <c r="E45" i="37"/>
  <c r="F45" i="37"/>
  <c r="G45" i="37"/>
  <c r="H45" i="37"/>
  <c r="I45" i="37"/>
  <c r="J45" i="37"/>
  <c r="L45" i="37"/>
  <c r="M45" i="37"/>
  <c r="N45" i="37"/>
  <c r="O45" i="37"/>
  <c r="P45" i="37"/>
  <c r="Q45" i="37"/>
  <c r="R45" i="37"/>
  <c r="A46" i="37"/>
  <c r="C46" i="37"/>
  <c r="D46" i="37"/>
  <c r="E46" i="37"/>
  <c r="F46" i="37"/>
  <c r="G46" i="37"/>
  <c r="H46" i="37"/>
  <c r="I46" i="37"/>
  <c r="J46" i="37"/>
  <c r="L46" i="37"/>
  <c r="M46" i="37"/>
  <c r="N46" i="37"/>
  <c r="O46" i="37"/>
  <c r="P46" i="37"/>
  <c r="Q46" i="37"/>
  <c r="R46" i="37"/>
  <c r="A47" i="37"/>
  <c r="C47" i="37"/>
  <c r="D47" i="37"/>
  <c r="E47" i="37"/>
  <c r="F47" i="37"/>
  <c r="G47" i="37"/>
  <c r="H47" i="37"/>
  <c r="I47" i="37"/>
  <c r="J47" i="37"/>
  <c r="L47" i="37"/>
  <c r="M47" i="37"/>
  <c r="N47" i="37"/>
  <c r="O47" i="37"/>
  <c r="P47" i="37"/>
  <c r="Q47" i="37"/>
  <c r="R47" i="37"/>
  <c r="A48" i="37"/>
  <c r="C48" i="37"/>
  <c r="D48" i="37"/>
  <c r="E48" i="37"/>
  <c r="F48" i="37"/>
  <c r="G48" i="37"/>
  <c r="H48" i="37"/>
  <c r="I48" i="37"/>
  <c r="J48" i="37"/>
  <c r="L48" i="37"/>
  <c r="M48" i="37"/>
  <c r="N48" i="37"/>
  <c r="O48" i="37"/>
  <c r="P48" i="37"/>
  <c r="Q48" i="37"/>
  <c r="R48" i="37"/>
  <c r="A49" i="37"/>
  <c r="C49" i="37"/>
  <c r="D49" i="37"/>
  <c r="E49" i="37"/>
  <c r="F49" i="37"/>
  <c r="G49" i="37"/>
  <c r="H49" i="37"/>
  <c r="I49" i="37"/>
  <c r="J49" i="37"/>
  <c r="L49" i="37"/>
  <c r="M49" i="37"/>
  <c r="N49" i="37"/>
  <c r="O49" i="37"/>
  <c r="P49" i="37"/>
  <c r="Q49" i="37"/>
  <c r="R49" i="37"/>
  <c r="A50" i="37"/>
  <c r="C50" i="37"/>
  <c r="D50" i="37"/>
  <c r="E50" i="37"/>
  <c r="F50" i="37"/>
  <c r="G50" i="37"/>
  <c r="H50" i="37"/>
  <c r="I50" i="37"/>
  <c r="J50" i="37"/>
  <c r="L50" i="37"/>
  <c r="M50" i="37"/>
  <c r="N50" i="37"/>
  <c r="O50" i="37"/>
  <c r="P50" i="37"/>
  <c r="Q50" i="37"/>
  <c r="R50" i="37"/>
  <c r="A51" i="37"/>
  <c r="C51" i="37"/>
  <c r="D51" i="37"/>
  <c r="E51" i="37"/>
  <c r="F51" i="37"/>
  <c r="G51" i="37"/>
  <c r="H51" i="37"/>
  <c r="I51" i="37"/>
  <c r="J51" i="37"/>
  <c r="L51" i="37"/>
  <c r="M51" i="37"/>
  <c r="N51" i="37"/>
  <c r="O51" i="37"/>
  <c r="P51" i="37"/>
  <c r="Q51" i="37"/>
  <c r="R51" i="37"/>
  <c r="A52" i="37"/>
  <c r="C52" i="37"/>
  <c r="D52" i="37"/>
  <c r="E52" i="37"/>
  <c r="F52" i="37"/>
  <c r="G52" i="37"/>
  <c r="H52" i="37"/>
  <c r="I52" i="37"/>
  <c r="J52" i="37"/>
  <c r="L52" i="37"/>
  <c r="M52" i="37"/>
  <c r="N52" i="37"/>
  <c r="O52" i="37"/>
  <c r="P52" i="37"/>
  <c r="Q52" i="37"/>
  <c r="R52" i="37"/>
  <c r="A53" i="37"/>
  <c r="C53" i="37"/>
  <c r="D53" i="37"/>
  <c r="E53" i="37"/>
  <c r="F53" i="37"/>
  <c r="G53" i="37"/>
  <c r="H53" i="37"/>
  <c r="I53" i="37"/>
  <c r="J53" i="37"/>
  <c r="L53" i="37"/>
  <c r="M53" i="37"/>
  <c r="N53" i="37"/>
  <c r="O53" i="37"/>
  <c r="P53" i="37"/>
  <c r="Q53" i="37"/>
  <c r="R53" i="37"/>
  <c r="A54" i="37"/>
  <c r="C54" i="37"/>
  <c r="D54" i="37"/>
  <c r="E54" i="37"/>
  <c r="F54" i="37"/>
  <c r="G54" i="37"/>
  <c r="H54" i="37"/>
  <c r="I54" i="37"/>
  <c r="J54" i="37"/>
  <c r="L54" i="37"/>
  <c r="M54" i="37"/>
  <c r="N54" i="37"/>
  <c r="O54" i="37"/>
  <c r="P54" i="37"/>
  <c r="Q54" i="37"/>
  <c r="R54" i="37"/>
  <c r="A55" i="37"/>
  <c r="C55" i="37"/>
  <c r="D55" i="37"/>
  <c r="E55" i="37"/>
  <c r="F55" i="37"/>
  <c r="G55" i="37"/>
  <c r="H55" i="37"/>
  <c r="I55" i="37"/>
  <c r="J55" i="37"/>
  <c r="L55" i="37"/>
  <c r="M55" i="37"/>
  <c r="N55" i="37"/>
  <c r="O55" i="37"/>
  <c r="P55" i="37"/>
  <c r="Q55" i="37"/>
  <c r="R55" i="37"/>
  <c r="A56" i="37"/>
  <c r="C56" i="37"/>
  <c r="D56" i="37"/>
  <c r="E56" i="37"/>
  <c r="F56" i="37"/>
  <c r="G56" i="37"/>
  <c r="H56" i="37"/>
  <c r="I56" i="37"/>
  <c r="J56" i="37"/>
  <c r="L56" i="37"/>
  <c r="M56" i="37"/>
  <c r="N56" i="37"/>
  <c r="O56" i="37"/>
  <c r="P56" i="37"/>
  <c r="Q56" i="37"/>
  <c r="R56" i="37"/>
  <c r="A57" i="37"/>
  <c r="C57" i="37"/>
  <c r="D57" i="37"/>
  <c r="E57" i="37"/>
  <c r="F57" i="37"/>
  <c r="G57" i="37"/>
  <c r="H57" i="37"/>
  <c r="I57" i="37"/>
  <c r="J57" i="37"/>
  <c r="L57" i="37"/>
  <c r="M57" i="37"/>
  <c r="N57" i="37"/>
  <c r="O57" i="37"/>
  <c r="P57" i="37"/>
  <c r="Q57" i="37"/>
  <c r="R57" i="37"/>
  <c r="A58" i="37"/>
  <c r="C58" i="37"/>
  <c r="D58" i="37"/>
  <c r="E58" i="37"/>
  <c r="F58" i="37"/>
  <c r="G58" i="37"/>
  <c r="H58" i="37"/>
  <c r="I58" i="37"/>
  <c r="J58" i="37"/>
  <c r="L58" i="37"/>
  <c r="M58" i="37"/>
  <c r="N58" i="37"/>
  <c r="O58" i="37"/>
  <c r="P58" i="37"/>
  <c r="Q58" i="37"/>
  <c r="R58" i="37"/>
  <c r="A59" i="37"/>
  <c r="C59" i="37"/>
  <c r="D59" i="37"/>
  <c r="E59" i="37"/>
  <c r="F59" i="37"/>
  <c r="G59" i="37"/>
  <c r="H59" i="37"/>
  <c r="I59" i="37"/>
  <c r="J59" i="37"/>
  <c r="L59" i="37"/>
  <c r="M59" i="37"/>
  <c r="N59" i="37"/>
  <c r="O59" i="37"/>
  <c r="P59" i="37"/>
  <c r="Q59" i="37"/>
  <c r="R59" i="37"/>
  <c r="A60" i="37"/>
  <c r="C60" i="37"/>
  <c r="D60" i="37"/>
  <c r="E60" i="37"/>
  <c r="F60" i="37"/>
  <c r="G60" i="37"/>
  <c r="H60" i="37"/>
  <c r="I60" i="37"/>
  <c r="J60" i="37"/>
  <c r="L60" i="37"/>
  <c r="M60" i="37"/>
  <c r="N60" i="37"/>
  <c r="O60" i="37"/>
  <c r="P60" i="37"/>
  <c r="Q60" i="37"/>
  <c r="R60" i="37"/>
  <c r="A61" i="37"/>
  <c r="C61" i="37"/>
  <c r="D61" i="37"/>
  <c r="E61" i="37"/>
  <c r="F61" i="37"/>
  <c r="G61" i="37"/>
  <c r="H61" i="37"/>
  <c r="I61" i="37"/>
  <c r="J61" i="37"/>
  <c r="L61" i="37"/>
  <c r="M61" i="37"/>
  <c r="N61" i="37"/>
  <c r="O61" i="37"/>
  <c r="P61" i="37"/>
  <c r="Q61" i="37"/>
  <c r="R61" i="37"/>
  <c r="A62" i="37"/>
  <c r="C62" i="37"/>
  <c r="D62" i="37"/>
  <c r="E62" i="37"/>
  <c r="F62" i="37"/>
  <c r="G62" i="37"/>
  <c r="H62" i="37"/>
  <c r="I62" i="37"/>
  <c r="J62" i="37"/>
  <c r="L62" i="37"/>
  <c r="M62" i="37"/>
  <c r="N62" i="37"/>
  <c r="O62" i="37"/>
  <c r="P62" i="37"/>
  <c r="Q62" i="37"/>
  <c r="R62" i="37"/>
  <c r="A63" i="37"/>
  <c r="C63" i="37"/>
  <c r="D63" i="37"/>
  <c r="E63" i="37"/>
  <c r="F63" i="37"/>
  <c r="G63" i="37"/>
  <c r="H63" i="37"/>
  <c r="I63" i="37"/>
  <c r="J63" i="37"/>
  <c r="L63" i="37"/>
  <c r="M63" i="37"/>
  <c r="N63" i="37"/>
  <c r="O63" i="37"/>
  <c r="P63" i="37"/>
  <c r="Q63" i="37"/>
  <c r="R63" i="37"/>
  <c r="A64" i="37"/>
  <c r="C64" i="37"/>
  <c r="D64" i="37"/>
  <c r="E64" i="37"/>
  <c r="F64" i="37"/>
  <c r="G64" i="37"/>
  <c r="H64" i="37"/>
  <c r="I64" i="37"/>
  <c r="J64" i="37"/>
  <c r="L64" i="37"/>
  <c r="M64" i="37"/>
  <c r="N64" i="37"/>
  <c r="O64" i="37"/>
  <c r="P64" i="37"/>
  <c r="Q64" i="37"/>
  <c r="R64" i="37"/>
  <c r="A65" i="37"/>
  <c r="C65" i="37"/>
  <c r="D65" i="37"/>
  <c r="E65" i="37"/>
  <c r="F65" i="37"/>
  <c r="G65" i="37"/>
  <c r="H65" i="37"/>
  <c r="I65" i="37"/>
  <c r="J65" i="37"/>
  <c r="L65" i="37"/>
  <c r="M65" i="37"/>
  <c r="N65" i="37"/>
  <c r="O65" i="37"/>
  <c r="P65" i="37"/>
  <c r="Q65" i="37"/>
  <c r="R65" i="37"/>
  <c r="A66" i="37"/>
  <c r="C66" i="37"/>
  <c r="D66" i="37"/>
  <c r="E66" i="37"/>
  <c r="F66" i="37"/>
  <c r="G66" i="37"/>
  <c r="H66" i="37"/>
  <c r="I66" i="37"/>
  <c r="J66" i="37"/>
  <c r="L66" i="37"/>
  <c r="M66" i="37"/>
  <c r="N66" i="37"/>
  <c r="O66" i="37"/>
  <c r="P66" i="37"/>
  <c r="Q66" i="37"/>
  <c r="R66" i="37"/>
  <c r="A67" i="37"/>
  <c r="C67" i="37"/>
  <c r="D67" i="37"/>
  <c r="E67" i="37"/>
  <c r="F67" i="37"/>
  <c r="G67" i="37"/>
  <c r="H67" i="37"/>
  <c r="I67" i="37"/>
  <c r="J67" i="37"/>
  <c r="L67" i="37"/>
  <c r="M67" i="37"/>
  <c r="N67" i="37"/>
  <c r="O67" i="37"/>
  <c r="P67" i="37"/>
  <c r="Q67" i="37"/>
  <c r="R67" i="37"/>
  <c r="A68" i="37"/>
  <c r="C68" i="37"/>
  <c r="D68" i="37"/>
  <c r="E68" i="37"/>
  <c r="F68" i="37"/>
  <c r="G68" i="37"/>
  <c r="H68" i="37"/>
  <c r="I68" i="37"/>
  <c r="J68" i="37"/>
  <c r="L68" i="37"/>
  <c r="M68" i="37"/>
  <c r="N68" i="37"/>
  <c r="O68" i="37"/>
  <c r="P68" i="37"/>
  <c r="Q68" i="37"/>
  <c r="R68" i="37"/>
  <c r="A69" i="37"/>
  <c r="C69" i="37"/>
  <c r="D69" i="37"/>
  <c r="E69" i="37"/>
  <c r="F69" i="37"/>
  <c r="G69" i="37"/>
  <c r="H69" i="37"/>
  <c r="I69" i="37"/>
  <c r="J69" i="37"/>
  <c r="L69" i="37"/>
  <c r="M69" i="37"/>
  <c r="N69" i="37"/>
  <c r="O69" i="37"/>
  <c r="P69" i="37"/>
  <c r="Q69" i="37"/>
  <c r="R69" i="37"/>
  <c r="A70" i="37"/>
  <c r="C70" i="37"/>
  <c r="D70" i="37"/>
  <c r="E70" i="37"/>
  <c r="F70" i="37"/>
  <c r="G70" i="37"/>
  <c r="H70" i="37"/>
  <c r="I70" i="37"/>
  <c r="J70" i="37"/>
  <c r="L70" i="37"/>
  <c r="M70" i="37"/>
  <c r="N70" i="37"/>
  <c r="O70" i="37"/>
  <c r="P70" i="37"/>
  <c r="Q70" i="37"/>
  <c r="R70" i="37"/>
  <c r="A71" i="37"/>
  <c r="C71" i="37"/>
  <c r="D71" i="37"/>
  <c r="E71" i="37"/>
  <c r="F71" i="37"/>
  <c r="G71" i="37"/>
  <c r="H71" i="37"/>
  <c r="I71" i="37"/>
  <c r="J71" i="37"/>
  <c r="L71" i="37"/>
  <c r="M71" i="37"/>
  <c r="N71" i="37"/>
  <c r="O71" i="37"/>
  <c r="P71" i="37"/>
  <c r="Q71" i="37"/>
  <c r="R71" i="37"/>
  <c r="A72" i="37"/>
  <c r="C72" i="37"/>
  <c r="D72" i="37"/>
  <c r="E72" i="37"/>
  <c r="F72" i="37"/>
  <c r="G72" i="37"/>
  <c r="H72" i="37"/>
  <c r="I72" i="37"/>
  <c r="J72" i="37"/>
  <c r="L72" i="37"/>
  <c r="M72" i="37"/>
  <c r="N72" i="37"/>
  <c r="O72" i="37"/>
  <c r="P72" i="37"/>
  <c r="Q72" i="37"/>
  <c r="R72" i="37"/>
  <c r="A73" i="37"/>
  <c r="C73" i="37"/>
  <c r="D73" i="37"/>
  <c r="E73" i="37"/>
  <c r="F73" i="37"/>
  <c r="G73" i="37"/>
  <c r="H73" i="37"/>
  <c r="I73" i="37"/>
  <c r="J73" i="37"/>
  <c r="L73" i="37"/>
  <c r="M73" i="37"/>
  <c r="N73" i="37"/>
  <c r="O73" i="37"/>
  <c r="P73" i="37"/>
  <c r="Q73" i="37"/>
  <c r="R73" i="37"/>
  <c r="A74" i="37"/>
  <c r="C74" i="37"/>
  <c r="D74" i="37"/>
  <c r="E74" i="37"/>
  <c r="F74" i="37"/>
  <c r="G74" i="37"/>
  <c r="H74" i="37"/>
  <c r="I74" i="37"/>
  <c r="J74" i="37"/>
  <c r="L74" i="37"/>
  <c r="M74" i="37"/>
  <c r="N74" i="37"/>
  <c r="O74" i="37"/>
  <c r="P74" i="37"/>
  <c r="Q74" i="37"/>
  <c r="R74" i="37"/>
  <c r="A75" i="37"/>
  <c r="C75" i="37"/>
  <c r="D75" i="37"/>
  <c r="E75" i="37"/>
  <c r="F75" i="37"/>
  <c r="G75" i="37"/>
  <c r="H75" i="37"/>
  <c r="I75" i="37"/>
  <c r="J75" i="37"/>
  <c r="L75" i="37"/>
  <c r="M75" i="37"/>
  <c r="N75" i="37"/>
  <c r="O75" i="37"/>
  <c r="P75" i="37"/>
  <c r="Q75" i="37"/>
  <c r="R75" i="37"/>
  <c r="A76" i="37"/>
  <c r="C76" i="37"/>
  <c r="D76" i="37"/>
  <c r="E76" i="37"/>
  <c r="F76" i="37"/>
  <c r="G76" i="37"/>
  <c r="H76" i="37"/>
  <c r="I76" i="37"/>
  <c r="J76" i="37"/>
  <c r="L76" i="37"/>
  <c r="M76" i="37"/>
  <c r="N76" i="37"/>
  <c r="O76" i="37"/>
  <c r="P76" i="37"/>
  <c r="Q76" i="37"/>
  <c r="R76" i="37"/>
  <c r="A77" i="37"/>
  <c r="C77" i="37"/>
  <c r="D77" i="37"/>
  <c r="E77" i="37"/>
  <c r="F77" i="37"/>
  <c r="G77" i="37"/>
  <c r="H77" i="37"/>
  <c r="I77" i="37"/>
  <c r="J77" i="37"/>
  <c r="L77" i="37"/>
  <c r="M77" i="37"/>
  <c r="N77" i="37"/>
  <c r="O77" i="37"/>
  <c r="P77" i="37"/>
  <c r="Q77" i="37"/>
  <c r="R77" i="37"/>
  <c r="A78" i="37"/>
  <c r="C78" i="37"/>
  <c r="D78" i="37"/>
  <c r="E78" i="37"/>
  <c r="F78" i="37"/>
  <c r="G78" i="37"/>
  <c r="H78" i="37"/>
  <c r="I78" i="37"/>
  <c r="J78" i="37"/>
  <c r="L78" i="37"/>
  <c r="M78" i="37"/>
  <c r="N78" i="37"/>
  <c r="O78" i="37"/>
  <c r="P78" i="37"/>
  <c r="Q78" i="37"/>
  <c r="R78" i="37"/>
  <c r="A79" i="37"/>
  <c r="C79" i="37"/>
  <c r="D79" i="37"/>
  <c r="E79" i="37"/>
  <c r="F79" i="37"/>
  <c r="G79" i="37"/>
  <c r="H79" i="37"/>
  <c r="I79" i="37"/>
  <c r="J79" i="37"/>
  <c r="L79" i="37"/>
  <c r="M79" i="37"/>
  <c r="N79" i="37"/>
  <c r="O79" i="37"/>
  <c r="P79" i="37"/>
  <c r="Q79" i="37"/>
  <c r="R79" i="37"/>
  <c r="A80" i="37"/>
  <c r="C80" i="37"/>
  <c r="D80" i="37"/>
  <c r="E80" i="37"/>
  <c r="F80" i="37"/>
  <c r="G80" i="37"/>
  <c r="H80" i="37"/>
  <c r="I80" i="37"/>
  <c r="J80" i="37"/>
  <c r="L80" i="37"/>
  <c r="M80" i="37"/>
  <c r="N80" i="37"/>
  <c r="O80" i="37"/>
  <c r="P80" i="37"/>
  <c r="Q80" i="37"/>
  <c r="R80" i="37"/>
  <c r="A81" i="37"/>
  <c r="C81" i="37"/>
  <c r="D81" i="37"/>
  <c r="E81" i="37"/>
  <c r="F81" i="37"/>
  <c r="G81" i="37"/>
  <c r="H81" i="37"/>
  <c r="I81" i="37"/>
  <c r="J81" i="37"/>
  <c r="L81" i="37"/>
  <c r="M81" i="37"/>
  <c r="N81" i="37"/>
  <c r="O81" i="37"/>
  <c r="P81" i="37"/>
  <c r="Q81" i="37"/>
  <c r="R81" i="37"/>
  <c r="A82" i="37"/>
  <c r="C82" i="37"/>
  <c r="D82" i="37"/>
  <c r="E82" i="37"/>
  <c r="F82" i="37"/>
  <c r="G82" i="37"/>
  <c r="H82" i="37"/>
  <c r="I82" i="37"/>
  <c r="J82" i="37"/>
  <c r="L82" i="37"/>
  <c r="M82" i="37"/>
  <c r="N82" i="37"/>
  <c r="O82" i="37"/>
  <c r="P82" i="37"/>
  <c r="Q82" i="37"/>
  <c r="R82" i="37"/>
  <c r="A83" i="37"/>
  <c r="C83" i="37"/>
  <c r="D83" i="37"/>
  <c r="E83" i="37"/>
  <c r="F83" i="37"/>
  <c r="G83" i="37"/>
  <c r="H83" i="37"/>
  <c r="I83" i="37"/>
  <c r="J83" i="37"/>
  <c r="L83" i="37"/>
  <c r="M83" i="37"/>
  <c r="N83" i="37"/>
  <c r="O83" i="37"/>
  <c r="P83" i="37"/>
  <c r="Q83" i="37"/>
  <c r="R83" i="37"/>
  <c r="A84" i="37"/>
  <c r="C84" i="37"/>
  <c r="D84" i="37"/>
  <c r="E84" i="37"/>
  <c r="F84" i="37"/>
  <c r="G84" i="37"/>
  <c r="H84" i="37"/>
  <c r="I84" i="37"/>
  <c r="J84" i="37"/>
  <c r="L84" i="37"/>
  <c r="M84" i="37"/>
  <c r="N84" i="37"/>
  <c r="O84" i="37"/>
  <c r="P84" i="37"/>
  <c r="Q84" i="37"/>
  <c r="R84" i="37"/>
  <c r="A85" i="37"/>
  <c r="C85" i="37"/>
  <c r="D85" i="37"/>
  <c r="E85" i="37"/>
  <c r="F85" i="37"/>
  <c r="G85" i="37"/>
  <c r="H85" i="37"/>
  <c r="I85" i="37"/>
  <c r="J85" i="37"/>
  <c r="L85" i="37"/>
  <c r="M85" i="37"/>
  <c r="N85" i="37"/>
  <c r="O85" i="37"/>
  <c r="P85" i="37"/>
  <c r="Q85" i="37"/>
  <c r="R85" i="37"/>
  <c r="A86" i="37"/>
  <c r="C86" i="37"/>
  <c r="D86" i="37"/>
  <c r="E86" i="37"/>
  <c r="F86" i="37"/>
  <c r="G86" i="37"/>
  <c r="H86" i="37"/>
  <c r="I86" i="37"/>
  <c r="J86" i="37"/>
  <c r="L86" i="37"/>
  <c r="M86" i="37"/>
  <c r="N86" i="37"/>
  <c r="O86" i="37"/>
  <c r="P86" i="37"/>
  <c r="Q86" i="37"/>
  <c r="R86" i="37"/>
  <c r="A87" i="37"/>
  <c r="C87" i="37"/>
  <c r="D87" i="37"/>
  <c r="E87" i="37"/>
  <c r="F87" i="37"/>
  <c r="G87" i="37"/>
  <c r="H87" i="37"/>
  <c r="I87" i="37"/>
  <c r="J87" i="37"/>
  <c r="L87" i="37"/>
  <c r="M87" i="37"/>
  <c r="N87" i="37"/>
  <c r="O87" i="37"/>
  <c r="P87" i="37"/>
  <c r="Q87" i="37"/>
  <c r="R87" i="37"/>
  <c r="A88" i="37"/>
  <c r="C88" i="37"/>
  <c r="D88" i="37"/>
  <c r="E88" i="37"/>
  <c r="F88" i="37"/>
  <c r="G88" i="37"/>
  <c r="H88" i="37"/>
  <c r="I88" i="37"/>
  <c r="J88" i="37"/>
  <c r="L88" i="37"/>
  <c r="M88" i="37"/>
  <c r="N88" i="37"/>
  <c r="O88" i="37"/>
  <c r="P88" i="37"/>
  <c r="Q88" i="37"/>
  <c r="R88" i="37"/>
  <c r="A89" i="37"/>
  <c r="C89" i="37"/>
  <c r="D89" i="37"/>
  <c r="E89" i="37"/>
  <c r="F89" i="37"/>
  <c r="G89" i="37"/>
  <c r="H89" i="37"/>
  <c r="I89" i="37"/>
  <c r="J89" i="37"/>
  <c r="L89" i="37"/>
  <c r="M89" i="37"/>
  <c r="N89" i="37"/>
  <c r="O89" i="37"/>
  <c r="P89" i="37"/>
  <c r="Q89" i="37"/>
  <c r="R89" i="37"/>
  <c r="A90" i="37"/>
  <c r="C90" i="37"/>
  <c r="D90" i="37"/>
  <c r="E90" i="37"/>
  <c r="F90" i="37"/>
  <c r="G90" i="37"/>
  <c r="H90" i="37"/>
  <c r="I90" i="37"/>
  <c r="J90" i="37"/>
  <c r="L90" i="37"/>
  <c r="M90" i="37"/>
  <c r="N90" i="37"/>
  <c r="O90" i="37"/>
  <c r="P90" i="37"/>
  <c r="Q90" i="37"/>
  <c r="R90" i="37"/>
  <c r="A91" i="37"/>
  <c r="C91" i="37"/>
  <c r="D91" i="37"/>
  <c r="E91" i="37"/>
  <c r="F91" i="37"/>
  <c r="G91" i="37"/>
  <c r="H91" i="37"/>
  <c r="I91" i="37"/>
  <c r="J91" i="37"/>
  <c r="L91" i="37"/>
  <c r="M91" i="37"/>
  <c r="N91" i="37"/>
  <c r="O91" i="37"/>
  <c r="P91" i="37"/>
  <c r="Q91" i="37"/>
  <c r="R91" i="37"/>
  <c r="A92" i="37"/>
  <c r="C92" i="37"/>
  <c r="D92" i="37"/>
  <c r="E92" i="37"/>
  <c r="F92" i="37"/>
  <c r="G92" i="37"/>
  <c r="H92" i="37"/>
  <c r="I92" i="37"/>
  <c r="J92" i="37"/>
  <c r="L92" i="37"/>
  <c r="M92" i="37"/>
  <c r="N92" i="37"/>
  <c r="O92" i="37"/>
  <c r="P92" i="37"/>
  <c r="Q92" i="37"/>
  <c r="R92" i="37"/>
  <c r="A93" i="37"/>
  <c r="C93" i="37"/>
  <c r="D93" i="37"/>
  <c r="E93" i="37"/>
  <c r="F93" i="37"/>
  <c r="G93" i="37"/>
  <c r="H93" i="37"/>
  <c r="I93" i="37"/>
  <c r="J93" i="37"/>
  <c r="L93" i="37"/>
  <c r="M93" i="37"/>
  <c r="N93" i="37"/>
  <c r="O93" i="37"/>
  <c r="P93" i="37"/>
  <c r="Q93" i="37"/>
  <c r="R93" i="37"/>
  <c r="A94" i="37"/>
  <c r="C94" i="37"/>
  <c r="D94" i="37"/>
  <c r="E94" i="37"/>
  <c r="F94" i="37"/>
  <c r="G94" i="37"/>
  <c r="H94" i="37"/>
  <c r="I94" i="37"/>
  <c r="J94" i="37"/>
  <c r="L94" i="37"/>
  <c r="M94" i="37"/>
  <c r="N94" i="37"/>
  <c r="O94" i="37"/>
  <c r="P94" i="37"/>
  <c r="Q94" i="37"/>
  <c r="R94" i="37"/>
  <c r="A95" i="37"/>
  <c r="C95" i="37"/>
  <c r="D95" i="37"/>
  <c r="E95" i="37"/>
  <c r="F95" i="37"/>
  <c r="G95" i="37"/>
  <c r="H95" i="37"/>
  <c r="I95" i="37"/>
  <c r="J95" i="37"/>
  <c r="L95" i="37"/>
  <c r="M95" i="37"/>
  <c r="N95" i="37"/>
  <c r="O95" i="37"/>
  <c r="P95" i="37"/>
  <c r="Q95" i="37"/>
  <c r="R95" i="37"/>
  <c r="A96" i="37"/>
  <c r="C96" i="37"/>
  <c r="D96" i="37"/>
  <c r="E96" i="37"/>
  <c r="F96" i="37"/>
  <c r="G96" i="37"/>
  <c r="H96" i="37"/>
  <c r="I96" i="37"/>
  <c r="J96" i="37"/>
  <c r="L96" i="37"/>
  <c r="M96" i="37"/>
  <c r="N96" i="37"/>
  <c r="O96" i="37"/>
  <c r="P96" i="37"/>
  <c r="Q96" i="37"/>
  <c r="R96" i="37"/>
  <c r="A97" i="37"/>
  <c r="C97" i="37"/>
  <c r="D97" i="37"/>
  <c r="E97" i="37"/>
  <c r="F97" i="37"/>
  <c r="G97" i="37"/>
  <c r="H97" i="37"/>
  <c r="I97" i="37"/>
  <c r="J97" i="37"/>
  <c r="L97" i="37"/>
  <c r="M97" i="37"/>
  <c r="N97" i="37"/>
  <c r="O97" i="37"/>
  <c r="P97" i="37"/>
  <c r="Q97" i="37"/>
  <c r="R97" i="37"/>
  <c r="A98" i="37"/>
  <c r="C98" i="37"/>
  <c r="D98" i="37"/>
  <c r="E98" i="37"/>
  <c r="F98" i="37"/>
  <c r="G98" i="37"/>
  <c r="H98" i="37"/>
  <c r="I98" i="37"/>
  <c r="J98" i="37"/>
  <c r="L98" i="37"/>
  <c r="M98" i="37"/>
  <c r="N98" i="37"/>
  <c r="O98" i="37"/>
  <c r="P98" i="37"/>
  <c r="Q98" i="37"/>
  <c r="R98" i="37"/>
  <c r="A99" i="37"/>
  <c r="C99" i="37"/>
  <c r="D99" i="37"/>
  <c r="E99" i="37"/>
  <c r="F99" i="37"/>
  <c r="G99" i="37"/>
  <c r="H99" i="37"/>
  <c r="I99" i="37"/>
  <c r="J99" i="37"/>
  <c r="L99" i="37"/>
  <c r="M99" i="37"/>
  <c r="N99" i="37"/>
  <c r="O99" i="37"/>
  <c r="P99" i="37"/>
  <c r="Q99" i="37"/>
  <c r="R99" i="37"/>
  <c r="A100" i="37"/>
  <c r="C100" i="37"/>
  <c r="D100" i="37"/>
  <c r="E100" i="37"/>
  <c r="F100" i="37"/>
  <c r="G100" i="37"/>
  <c r="H100" i="37"/>
  <c r="I100" i="37"/>
  <c r="J100" i="37"/>
  <c r="L100" i="37"/>
  <c r="M100" i="37"/>
  <c r="N100" i="37"/>
  <c r="O100" i="37"/>
  <c r="P100" i="37"/>
  <c r="Q100" i="37"/>
  <c r="R100" i="37"/>
  <c r="A101" i="37"/>
  <c r="C101" i="37"/>
  <c r="D101" i="37"/>
  <c r="E101" i="37"/>
  <c r="F101" i="37"/>
  <c r="G101" i="37"/>
  <c r="H101" i="37"/>
  <c r="I101" i="37"/>
  <c r="J101" i="37"/>
  <c r="L101" i="37"/>
  <c r="M101" i="37"/>
  <c r="N101" i="37"/>
  <c r="O101" i="37"/>
  <c r="P101" i="37"/>
  <c r="Q101" i="37"/>
  <c r="R101" i="37"/>
  <c r="A102" i="37"/>
  <c r="C102" i="37"/>
  <c r="D102" i="37"/>
  <c r="E102" i="37"/>
  <c r="F102" i="37"/>
  <c r="G102" i="37"/>
  <c r="H102" i="37"/>
  <c r="I102" i="37"/>
  <c r="J102" i="37"/>
  <c r="L102" i="37"/>
  <c r="M102" i="37"/>
  <c r="N102" i="37"/>
  <c r="O102" i="37"/>
  <c r="P102" i="37"/>
  <c r="Q102" i="37"/>
  <c r="R102" i="37"/>
  <c r="A103" i="37"/>
  <c r="C103" i="37"/>
  <c r="D103" i="37"/>
  <c r="E103" i="37"/>
  <c r="F103" i="37"/>
  <c r="G103" i="37"/>
  <c r="H103" i="37"/>
  <c r="I103" i="37"/>
  <c r="J103" i="37"/>
  <c r="L103" i="37"/>
  <c r="M103" i="37"/>
  <c r="N103" i="37"/>
  <c r="O103" i="37"/>
  <c r="P103" i="37"/>
  <c r="Q103" i="37"/>
  <c r="R103" i="37"/>
  <c r="A104" i="37"/>
  <c r="C104" i="37"/>
  <c r="D104" i="37"/>
  <c r="E104" i="37"/>
  <c r="F104" i="37"/>
  <c r="G104" i="37"/>
  <c r="H104" i="37"/>
  <c r="I104" i="37"/>
  <c r="J104" i="37"/>
  <c r="L104" i="37"/>
  <c r="M104" i="37"/>
  <c r="N104" i="37"/>
  <c r="O104" i="37"/>
  <c r="P104" i="37"/>
  <c r="Q104" i="37"/>
  <c r="R104" i="37"/>
  <c r="A105" i="37"/>
  <c r="C105" i="37"/>
  <c r="D105" i="37"/>
  <c r="E105" i="37"/>
  <c r="F105" i="37"/>
  <c r="G105" i="37"/>
  <c r="H105" i="37"/>
  <c r="I105" i="37"/>
  <c r="J105" i="37"/>
  <c r="L105" i="37"/>
  <c r="M105" i="37"/>
  <c r="N105" i="37"/>
  <c r="O105" i="37"/>
  <c r="P105" i="37"/>
  <c r="Q105" i="37"/>
  <c r="R105" i="37"/>
  <c r="A106" i="37"/>
  <c r="C106" i="37"/>
  <c r="D106" i="37"/>
  <c r="E106" i="37"/>
  <c r="F106" i="37"/>
  <c r="G106" i="37"/>
  <c r="H106" i="37"/>
  <c r="I106" i="37"/>
  <c r="J106" i="37"/>
  <c r="L106" i="37"/>
  <c r="M106" i="37"/>
  <c r="N106" i="37"/>
  <c r="O106" i="37"/>
  <c r="P106" i="37"/>
  <c r="Q106" i="37"/>
  <c r="R106" i="37"/>
  <c r="A107" i="37"/>
  <c r="C107" i="37"/>
  <c r="D107" i="37"/>
  <c r="E107" i="37"/>
  <c r="F107" i="37"/>
  <c r="G107" i="37"/>
  <c r="H107" i="37"/>
  <c r="I107" i="37"/>
  <c r="J107" i="37"/>
  <c r="L107" i="37"/>
  <c r="M107" i="37"/>
  <c r="N107" i="37"/>
  <c r="O107" i="37"/>
  <c r="P107" i="37"/>
  <c r="Q107" i="37"/>
  <c r="R107" i="37"/>
  <c r="A108" i="37"/>
  <c r="C108" i="37"/>
  <c r="D108" i="37"/>
  <c r="E108" i="37"/>
  <c r="F108" i="37"/>
  <c r="G108" i="37"/>
  <c r="H108" i="37"/>
  <c r="I108" i="37"/>
  <c r="J108" i="37"/>
  <c r="L108" i="37"/>
  <c r="M108" i="37"/>
  <c r="N108" i="37"/>
  <c r="O108" i="37"/>
  <c r="P108" i="37"/>
  <c r="Q108" i="37"/>
  <c r="R108" i="37"/>
  <c r="A109" i="37"/>
  <c r="C109" i="37"/>
  <c r="D109" i="37"/>
  <c r="E109" i="37"/>
  <c r="F109" i="37"/>
  <c r="G109" i="37"/>
  <c r="H109" i="37"/>
  <c r="I109" i="37"/>
  <c r="J109" i="37"/>
  <c r="L109" i="37"/>
  <c r="M109" i="37"/>
  <c r="N109" i="37"/>
  <c r="O109" i="37"/>
  <c r="P109" i="37"/>
  <c r="Q109" i="37"/>
  <c r="R109" i="37"/>
  <c r="A110" i="37"/>
  <c r="C110" i="37"/>
  <c r="D110" i="37"/>
  <c r="E110" i="37"/>
  <c r="F110" i="37"/>
  <c r="G110" i="37"/>
  <c r="H110" i="37"/>
  <c r="I110" i="37"/>
  <c r="J110" i="37"/>
  <c r="L110" i="37"/>
  <c r="M110" i="37"/>
  <c r="N110" i="37"/>
  <c r="O110" i="37"/>
  <c r="P110" i="37"/>
  <c r="Q110" i="37"/>
  <c r="R110" i="37"/>
  <c r="A111" i="37"/>
  <c r="C111" i="37"/>
  <c r="D111" i="37"/>
  <c r="E111" i="37"/>
  <c r="F111" i="37"/>
  <c r="G111" i="37"/>
  <c r="H111" i="37"/>
  <c r="I111" i="37"/>
  <c r="J111" i="37"/>
  <c r="L111" i="37"/>
  <c r="M111" i="37"/>
  <c r="N111" i="37"/>
  <c r="O111" i="37"/>
  <c r="P111" i="37"/>
  <c r="Q111" i="37"/>
  <c r="R111" i="37"/>
  <c r="A112" i="37"/>
  <c r="C112" i="37"/>
  <c r="D112" i="37"/>
  <c r="E112" i="37"/>
  <c r="F112" i="37"/>
  <c r="G112" i="37"/>
  <c r="H112" i="37"/>
  <c r="I112" i="37"/>
  <c r="J112" i="37"/>
  <c r="L112" i="37"/>
  <c r="M112" i="37"/>
  <c r="N112" i="37"/>
  <c r="O112" i="37"/>
  <c r="P112" i="37"/>
  <c r="Q112" i="37"/>
  <c r="R112" i="37"/>
  <c r="A113" i="37"/>
  <c r="C113" i="37"/>
  <c r="D113" i="37"/>
  <c r="E113" i="37"/>
  <c r="F113" i="37"/>
  <c r="G113" i="37"/>
  <c r="H113" i="37"/>
  <c r="I113" i="37"/>
  <c r="J113" i="37"/>
  <c r="L113" i="37"/>
  <c r="M113" i="37"/>
  <c r="N113" i="37"/>
  <c r="O113" i="37"/>
  <c r="P113" i="37"/>
  <c r="Q113" i="37"/>
  <c r="R113" i="37"/>
  <c r="A114" i="37"/>
  <c r="C114" i="37"/>
  <c r="D114" i="37"/>
  <c r="E114" i="37"/>
  <c r="F114" i="37"/>
  <c r="G114" i="37"/>
  <c r="H114" i="37"/>
  <c r="I114" i="37"/>
  <c r="J114" i="37"/>
  <c r="L114" i="37"/>
  <c r="M114" i="37"/>
  <c r="N114" i="37"/>
  <c r="O114" i="37"/>
  <c r="P114" i="37"/>
  <c r="Q114" i="37"/>
  <c r="R114" i="37"/>
  <c r="A115" i="37"/>
  <c r="C115" i="37"/>
  <c r="D115" i="37"/>
  <c r="E115" i="37"/>
  <c r="F115" i="37"/>
  <c r="G115" i="37"/>
  <c r="H115" i="37"/>
  <c r="I115" i="37"/>
  <c r="J115" i="37"/>
  <c r="L115" i="37"/>
  <c r="M115" i="37"/>
  <c r="N115" i="37"/>
  <c r="O115" i="37"/>
  <c r="P115" i="37"/>
  <c r="Q115" i="37"/>
  <c r="R115" i="37"/>
  <c r="A116" i="37"/>
  <c r="C116" i="37"/>
  <c r="D116" i="37"/>
  <c r="E116" i="37"/>
  <c r="F116" i="37"/>
  <c r="G116" i="37"/>
  <c r="H116" i="37"/>
  <c r="I116" i="37"/>
  <c r="J116" i="37"/>
  <c r="L116" i="37"/>
  <c r="M116" i="37"/>
  <c r="N116" i="37"/>
  <c r="O116" i="37"/>
  <c r="P116" i="37"/>
  <c r="Q116" i="37"/>
  <c r="R116" i="37"/>
  <c r="A117" i="37"/>
  <c r="C117" i="37"/>
  <c r="D117" i="37"/>
  <c r="E117" i="37"/>
  <c r="F117" i="37"/>
  <c r="G117" i="37"/>
  <c r="H117" i="37"/>
  <c r="I117" i="37"/>
  <c r="J117" i="37"/>
  <c r="L117" i="37"/>
  <c r="M117" i="37"/>
  <c r="N117" i="37"/>
  <c r="O117" i="37"/>
  <c r="P117" i="37"/>
  <c r="Q117" i="37"/>
  <c r="R117" i="37"/>
  <c r="A118" i="37"/>
  <c r="C118" i="37"/>
  <c r="D118" i="37"/>
  <c r="E118" i="37"/>
  <c r="F118" i="37"/>
  <c r="G118" i="37"/>
  <c r="H118" i="37"/>
  <c r="I118" i="37"/>
  <c r="J118" i="37"/>
  <c r="L118" i="37"/>
  <c r="M118" i="37"/>
  <c r="N118" i="37"/>
  <c r="O118" i="37"/>
  <c r="P118" i="37"/>
  <c r="Q118" i="37"/>
  <c r="R118" i="37"/>
  <c r="A119" i="37"/>
  <c r="C119" i="37"/>
  <c r="D119" i="37"/>
  <c r="E119" i="37"/>
  <c r="F119" i="37"/>
  <c r="G119" i="37"/>
  <c r="H119" i="37"/>
  <c r="I119" i="37"/>
  <c r="J119" i="37"/>
  <c r="L119" i="37"/>
  <c r="M119" i="37"/>
  <c r="N119" i="37"/>
  <c r="O119" i="37"/>
  <c r="P119" i="37"/>
  <c r="Q119" i="37"/>
  <c r="R119" i="37"/>
  <c r="A120" i="37"/>
  <c r="C120" i="37"/>
  <c r="D120" i="37"/>
  <c r="E120" i="37"/>
  <c r="F120" i="37"/>
  <c r="G120" i="37"/>
  <c r="H120" i="37"/>
  <c r="I120" i="37"/>
  <c r="J120" i="37"/>
  <c r="L120" i="37"/>
  <c r="M120" i="37"/>
  <c r="N120" i="37"/>
  <c r="O120" i="37"/>
  <c r="P120" i="37"/>
  <c r="Q120" i="37"/>
  <c r="R120" i="37"/>
  <c r="A121" i="37"/>
  <c r="C121" i="37"/>
  <c r="D121" i="37"/>
  <c r="E121" i="37"/>
  <c r="F121" i="37"/>
  <c r="G121" i="37"/>
  <c r="H121" i="37"/>
  <c r="I121" i="37"/>
  <c r="J121" i="37"/>
  <c r="L121" i="37"/>
  <c r="M121" i="37"/>
  <c r="N121" i="37"/>
  <c r="O121" i="37"/>
  <c r="P121" i="37"/>
  <c r="Q121" i="37"/>
  <c r="R121" i="37"/>
  <c r="A122" i="37"/>
  <c r="C122" i="37"/>
  <c r="D122" i="37"/>
  <c r="E122" i="37"/>
  <c r="F122" i="37"/>
  <c r="G122" i="37"/>
  <c r="H122" i="37"/>
  <c r="I122" i="37"/>
  <c r="J122" i="37"/>
  <c r="L122" i="37"/>
  <c r="M122" i="37"/>
  <c r="N122" i="37"/>
  <c r="O122" i="37"/>
  <c r="P122" i="37"/>
  <c r="Q122" i="37"/>
  <c r="R122" i="37"/>
  <c r="A123" i="37"/>
  <c r="C123" i="37"/>
  <c r="D123" i="37"/>
  <c r="E123" i="37"/>
  <c r="F123" i="37"/>
  <c r="G123" i="37"/>
  <c r="H123" i="37"/>
  <c r="I123" i="37"/>
  <c r="J123" i="37"/>
  <c r="L123" i="37"/>
  <c r="M123" i="37"/>
  <c r="N123" i="37"/>
  <c r="O123" i="37"/>
  <c r="P123" i="37"/>
  <c r="Q123" i="37"/>
  <c r="R123" i="37"/>
  <c r="A124" i="37"/>
  <c r="C124" i="37"/>
  <c r="D124" i="37"/>
  <c r="E124" i="37"/>
  <c r="F124" i="37"/>
  <c r="G124" i="37"/>
  <c r="H124" i="37"/>
  <c r="I124" i="37"/>
  <c r="J124" i="37"/>
  <c r="L124" i="37"/>
  <c r="M124" i="37"/>
  <c r="N124" i="37"/>
  <c r="O124" i="37"/>
  <c r="P124" i="37"/>
  <c r="Q124" i="37"/>
  <c r="R124" i="37"/>
  <c r="A125" i="37"/>
  <c r="C125" i="37"/>
  <c r="D125" i="37"/>
  <c r="E125" i="37"/>
  <c r="F125" i="37"/>
  <c r="G125" i="37"/>
  <c r="H125" i="37"/>
  <c r="I125" i="37"/>
  <c r="J125" i="37"/>
  <c r="L125" i="37"/>
  <c r="M125" i="37"/>
  <c r="N125" i="37"/>
  <c r="O125" i="37"/>
  <c r="P125" i="37"/>
  <c r="Q125" i="37"/>
  <c r="R125" i="37"/>
  <c r="A126" i="37"/>
  <c r="C126" i="37"/>
  <c r="D126" i="37"/>
  <c r="E126" i="37"/>
  <c r="F126" i="37"/>
  <c r="G126" i="37"/>
  <c r="H126" i="37"/>
  <c r="I126" i="37"/>
  <c r="J126" i="37"/>
  <c r="L126" i="37"/>
  <c r="M126" i="37"/>
  <c r="N126" i="37"/>
  <c r="O126" i="37"/>
  <c r="P126" i="37"/>
  <c r="Q126" i="37"/>
  <c r="R126" i="37"/>
  <c r="A127" i="37"/>
  <c r="C127" i="37"/>
  <c r="D127" i="37"/>
  <c r="E127" i="37"/>
  <c r="F127" i="37"/>
  <c r="G127" i="37"/>
  <c r="H127" i="37"/>
  <c r="I127" i="37"/>
  <c r="J127" i="37"/>
  <c r="L127" i="37"/>
  <c r="M127" i="37"/>
  <c r="N127" i="37"/>
  <c r="O127" i="37"/>
  <c r="P127" i="37"/>
  <c r="Q127" i="37"/>
  <c r="R127" i="37"/>
  <c r="A128" i="37"/>
  <c r="C128" i="37"/>
  <c r="D128" i="37"/>
  <c r="E128" i="37"/>
  <c r="F128" i="37"/>
  <c r="G128" i="37"/>
  <c r="H128" i="37"/>
  <c r="I128" i="37"/>
  <c r="J128" i="37"/>
  <c r="L128" i="37"/>
  <c r="M128" i="37"/>
  <c r="N128" i="37"/>
  <c r="O128" i="37"/>
  <c r="P128" i="37"/>
  <c r="Q128" i="37"/>
  <c r="R128" i="37"/>
  <c r="A129" i="37"/>
  <c r="C129" i="37"/>
  <c r="D129" i="37"/>
  <c r="E129" i="37"/>
  <c r="F129" i="37"/>
  <c r="G129" i="37"/>
  <c r="H129" i="37"/>
  <c r="I129" i="37"/>
  <c r="J129" i="37"/>
  <c r="L129" i="37"/>
  <c r="M129" i="37"/>
  <c r="N129" i="37"/>
  <c r="O129" i="37"/>
  <c r="P129" i="37"/>
  <c r="Q129" i="37"/>
  <c r="R129" i="37"/>
  <c r="A130" i="37"/>
  <c r="C130" i="37"/>
  <c r="D130" i="37"/>
  <c r="E130" i="37"/>
  <c r="F130" i="37"/>
  <c r="G130" i="37"/>
  <c r="H130" i="37"/>
  <c r="I130" i="37"/>
  <c r="J130" i="37"/>
  <c r="L130" i="37"/>
  <c r="M130" i="37"/>
  <c r="N130" i="37"/>
  <c r="O130" i="37"/>
  <c r="P130" i="37"/>
  <c r="Q130" i="37"/>
  <c r="R130" i="37"/>
  <c r="A131" i="37"/>
  <c r="C131" i="37"/>
  <c r="D131" i="37"/>
  <c r="E131" i="37"/>
  <c r="F131" i="37"/>
  <c r="G131" i="37"/>
  <c r="H131" i="37"/>
  <c r="I131" i="37"/>
  <c r="J131" i="37"/>
  <c r="L131" i="37"/>
  <c r="M131" i="37"/>
  <c r="N131" i="37"/>
  <c r="O131" i="37"/>
  <c r="P131" i="37"/>
  <c r="Q131" i="37"/>
  <c r="R131" i="37"/>
  <c r="A132" i="37"/>
  <c r="C132" i="37"/>
  <c r="D132" i="37"/>
  <c r="E132" i="37"/>
  <c r="F132" i="37"/>
  <c r="G132" i="37"/>
  <c r="H132" i="37"/>
  <c r="I132" i="37"/>
  <c r="J132" i="37"/>
  <c r="L132" i="37"/>
  <c r="M132" i="37"/>
  <c r="N132" i="37"/>
  <c r="O132" i="37"/>
  <c r="P132" i="37"/>
  <c r="Q132" i="37"/>
  <c r="R132" i="37"/>
  <c r="A133" i="37"/>
  <c r="C133" i="37"/>
  <c r="D133" i="37"/>
  <c r="E133" i="37"/>
  <c r="F133" i="37"/>
  <c r="G133" i="37"/>
  <c r="H133" i="37"/>
  <c r="I133" i="37"/>
  <c r="J133" i="37"/>
  <c r="L133" i="37"/>
  <c r="M133" i="37"/>
  <c r="N133" i="37"/>
  <c r="O133" i="37"/>
  <c r="P133" i="37"/>
  <c r="Q133" i="37"/>
  <c r="R133" i="37"/>
  <c r="A134" i="37"/>
  <c r="C134" i="37"/>
  <c r="D134" i="37"/>
  <c r="E134" i="37"/>
  <c r="F134" i="37"/>
  <c r="G134" i="37"/>
  <c r="H134" i="37"/>
  <c r="I134" i="37"/>
  <c r="J134" i="37"/>
  <c r="L134" i="37"/>
  <c r="M134" i="37"/>
  <c r="N134" i="37"/>
  <c r="O134" i="37"/>
  <c r="P134" i="37"/>
  <c r="Q134" i="37"/>
  <c r="R134" i="37"/>
  <c r="A135" i="37"/>
  <c r="C135" i="37"/>
  <c r="D135" i="37"/>
  <c r="E135" i="37"/>
  <c r="F135" i="37"/>
  <c r="G135" i="37"/>
  <c r="H135" i="37"/>
  <c r="I135" i="37"/>
  <c r="J135" i="37"/>
  <c r="L135" i="37"/>
  <c r="M135" i="37"/>
  <c r="N135" i="37"/>
  <c r="O135" i="37"/>
  <c r="P135" i="37"/>
  <c r="Q135" i="37"/>
  <c r="R135" i="37"/>
  <c r="A136" i="37"/>
  <c r="C136" i="37"/>
  <c r="D136" i="37"/>
  <c r="E136" i="37"/>
  <c r="F136" i="37"/>
  <c r="G136" i="37"/>
  <c r="H136" i="37"/>
  <c r="I136" i="37"/>
  <c r="J136" i="37"/>
  <c r="L136" i="37"/>
  <c r="M136" i="37"/>
  <c r="N136" i="37"/>
  <c r="O136" i="37"/>
  <c r="P136" i="37"/>
  <c r="Q136" i="37"/>
  <c r="R136" i="37"/>
  <c r="A137" i="37"/>
  <c r="C137" i="37"/>
  <c r="D137" i="37"/>
  <c r="E137" i="37"/>
  <c r="F137" i="37"/>
  <c r="G137" i="37"/>
  <c r="H137" i="37"/>
  <c r="I137" i="37"/>
  <c r="J137" i="37"/>
  <c r="L137" i="37"/>
  <c r="M137" i="37"/>
  <c r="N137" i="37"/>
  <c r="O137" i="37"/>
  <c r="P137" i="37"/>
  <c r="Q137" i="37"/>
  <c r="R137" i="37"/>
  <c r="A138" i="37"/>
  <c r="C138" i="37"/>
  <c r="D138" i="37"/>
  <c r="E138" i="37"/>
  <c r="F138" i="37"/>
  <c r="G138" i="37"/>
  <c r="H138" i="37"/>
  <c r="I138" i="37"/>
  <c r="J138" i="37"/>
  <c r="L138" i="37"/>
  <c r="M138" i="37"/>
  <c r="N138" i="37"/>
  <c r="O138" i="37"/>
  <c r="P138" i="37"/>
  <c r="Q138" i="37"/>
  <c r="R138" i="37"/>
  <c r="A139" i="37"/>
  <c r="C139" i="37"/>
  <c r="D139" i="37"/>
  <c r="E139" i="37"/>
  <c r="F139" i="37"/>
  <c r="G139" i="37"/>
  <c r="H139" i="37"/>
  <c r="I139" i="37"/>
  <c r="J139" i="37"/>
  <c r="L139" i="37"/>
  <c r="M139" i="37"/>
  <c r="N139" i="37"/>
  <c r="O139" i="37"/>
  <c r="P139" i="37"/>
  <c r="Q139" i="37"/>
  <c r="R139" i="37"/>
  <c r="A140" i="37"/>
  <c r="C140" i="37"/>
  <c r="D140" i="37"/>
  <c r="E140" i="37"/>
  <c r="F140" i="37"/>
  <c r="G140" i="37"/>
  <c r="H140" i="37"/>
  <c r="I140" i="37"/>
  <c r="J140" i="37"/>
  <c r="L140" i="37"/>
  <c r="M140" i="37"/>
  <c r="N140" i="37"/>
  <c r="O140" i="37"/>
  <c r="P140" i="37"/>
  <c r="Q140" i="37"/>
  <c r="R140" i="37"/>
  <c r="A141" i="37"/>
  <c r="C141" i="37"/>
  <c r="D141" i="37"/>
  <c r="E141" i="37"/>
  <c r="F141" i="37"/>
  <c r="G141" i="37"/>
  <c r="H141" i="37"/>
  <c r="I141" i="37"/>
  <c r="J141" i="37"/>
  <c r="L141" i="37"/>
  <c r="M141" i="37"/>
  <c r="N141" i="37"/>
  <c r="O141" i="37"/>
  <c r="P141" i="37"/>
  <c r="Q141" i="37"/>
  <c r="R141" i="37"/>
  <c r="A142" i="37"/>
  <c r="C142" i="37"/>
  <c r="D142" i="37"/>
  <c r="E142" i="37"/>
  <c r="F142" i="37"/>
  <c r="G142" i="37"/>
  <c r="H142" i="37"/>
  <c r="I142" i="37"/>
  <c r="J142" i="37"/>
  <c r="L142" i="37"/>
  <c r="M142" i="37"/>
  <c r="N142" i="37"/>
  <c r="O142" i="37"/>
  <c r="P142" i="37"/>
  <c r="Q142" i="37"/>
  <c r="R142" i="37"/>
  <c r="A143" i="37"/>
  <c r="C143" i="37"/>
  <c r="D143" i="37"/>
  <c r="E143" i="37"/>
  <c r="F143" i="37"/>
  <c r="G143" i="37"/>
  <c r="H143" i="37"/>
  <c r="I143" i="37"/>
  <c r="J143" i="37"/>
  <c r="L143" i="37"/>
  <c r="M143" i="37"/>
  <c r="N143" i="37"/>
  <c r="O143" i="37"/>
  <c r="P143" i="37"/>
  <c r="Q143" i="37"/>
  <c r="R143" i="37"/>
  <c r="A144" i="37"/>
  <c r="C144" i="37"/>
  <c r="D144" i="37"/>
  <c r="E144" i="37"/>
  <c r="F144" i="37"/>
  <c r="G144" i="37"/>
  <c r="H144" i="37"/>
  <c r="I144" i="37"/>
  <c r="J144" i="37"/>
  <c r="L144" i="37"/>
  <c r="M144" i="37"/>
  <c r="N144" i="37"/>
  <c r="O144" i="37"/>
  <c r="P144" i="37"/>
  <c r="Q144" i="37"/>
  <c r="R144" i="37"/>
  <c r="A145" i="37"/>
  <c r="C145" i="37"/>
  <c r="D145" i="37"/>
  <c r="E145" i="37"/>
  <c r="F145" i="37"/>
  <c r="G145" i="37"/>
  <c r="H145" i="37"/>
  <c r="I145" i="37"/>
  <c r="J145" i="37"/>
  <c r="L145" i="37"/>
  <c r="M145" i="37"/>
  <c r="N145" i="37"/>
  <c r="O145" i="37"/>
  <c r="P145" i="37"/>
  <c r="Q145" i="37"/>
  <c r="R145" i="37"/>
  <c r="A146" i="37"/>
  <c r="C146" i="37"/>
  <c r="D146" i="37"/>
  <c r="E146" i="37"/>
  <c r="F146" i="37"/>
  <c r="G146" i="37"/>
  <c r="H146" i="37"/>
  <c r="I146" i="37"/>
  <c r="J146" i="37"/>
  <c r="L146" i="37"/>
  <c r="M146" i="37"/>
  <c r="N146" i="37"/>
  <c r="O146" i="37"/>
  <c r="P146" i="37"/>
  <c r="Q146" i="37"/>
  <c r="R146" i="37"/>
  <c r="A147" i="37"/>
  <c r="C147" i="37"/>
  <c r="D147" i="37"/>
  <c r="E147" i="37"/>
  <c r="F147" i="37"/>
  <c r="G147" i="37"/>
  <c r="H147" i="37"/>
  <c r="I147" i="37"/>
  <c r="J147" i="37"/>
  <c r="L147" i="37"/>
  <c r="M147" i="37"/>
  <c r="N147" i="37"/>
  <c r="O147" i="37"/>
  <c r="P147" i="37"/>
  <c r="Q147" i="37"/>
  <c r="R147" i="37"/>
  <c r="A148" i="37"/>
  <c r="C148" i="37"/>
  <c r="D148" i="37"/>
  <c r="E148" i="37"/>
  <c r="F148" i="37"/>
  <c r="G148" i="37"/>
  <c r="H148" i="37"/>
  <c r="I148" i="37"/>
  <c r="J148" i="37"/>
  <c r="L148" i="37"/>
  <c r="M148" i="37"/>
  <c r="N148" i="37"/>
  <c r="O148" i="37"/>
  <c r="P148" i="37"/>
  <c r="Q148" i="37"/>
  <c r="R148" i="37"/>
  <c r="A149" i="37"/>
  <c r="C149" i="37"/>
  <c r="D149" i="37"/>
  <c r="E149" i="37"/>
  <c r="F149" i="37"/>
  <c r="G149" i="37"/>
  <c r="H149" i="37"/>
  <c r="I149" i="37"/>
  <c r="J149" i="37"/>
  <c r="L149" i="37"/>
  <c r="M149" i="37"/>
  <c r="N149" i="37"/>
  <c r="O149" i="37"/>
  <c r="P149" i="37"/>
  <c r="Q149" i="37"/>
  <c r="R149" i="37"/>
  <c r="A150" i="37"/>
  <c r="C150" i="37"/>
  <c r="D150" i="37"/>
  <c r="E150" i="37"/>
  <c r="F150" i="37"/>
  <c r="G150" i="37"/>
  <c r="H150" i="37"/>
  <c r="I150" i="37"/>
  <c r="J150" i="37"/>
  <c r="L150" i="37"/>
  <c r="M150" i="37"/>
  <c r="N150" i="37"/>
  <c r="O150" i="37"/>
  <c r="P150" i="37"/>
  <c r="Q150" i="37"/>
  <c r="R150" i="37"/>
  <c r="A151" i="37"/>
  <c r="C151" i="37"/>
  <c r="D151" i="37"/>
  <c r="E151" i="37"/>
  <c r="F151" i="37"/>
  <c r="G151" i="37"/>
  <c r="H151" i="37"/>
  <c r="I151" i="37"/>
  <c r="J151" i="37"/>
  <c r="L151" i="37"/>
  <c r="M151" i="37"/>
  <c r="N151" i="37"/>
  <c r="O151" i="37"/>
  <c r="P151" i="37"/>
  <c r="Q151" i="37"/>
  <c r="R151" i="37"/>
  <c r="A152" i="37"/>
  <c r="C152" i="37"/>
  <c r="D152" i="37"/>
  <c r="E152" i="37"/>
  <c r="F152" i="37"/>
  <c r="G152" i="37"/>
  <c r="H152" i="37"/>
  <c r="I152" i="37"/>
  <c r="J152" i="37"/>
  <c r="L152" i="37"/>
  <c r="M152" i="37"/>
  <c r="N152" i="37"/>
  <c r="O152" i="37"/>
  <c r="P152" i="37"/>
  <c r="Q152" i="37"/>
  <c r="R152" i="37"/>
  <c r="A153" i="37"/>
  <c r="C153" i="37"/>
  <c r="D153" i="37"/>
  <c r="E153" i="37"/>
  <c r="F153" i="37"/>
  <c r="G153" i="37"/>
  <c r="H153" i="37"/>
  <c r="I153" i="37"/>
  <c r="J153" i="37"/>
  <c r="L153" i="37"/>
  <c r="M153" i="37"/>
  <c r="N153" i="37"/>
  <c r="O153" i="37"/>
  <c r="P153" i="37"/>
  <c r="Q153" i="37"/>
  <c r="R153" i="37"/>
  <c r="A154" i="37"/>
  <c r="C154" i="37"/>
  <c r="D154" i="37"/>
  <c r="E154" i="37"/>
  <c r="F154" i="37"/>
  <c r="G154" i="37"/>
  <c r="H154" i="37"/>
  <c r="I154" i="37"/>
  <c r="J154" i="37"/>
  <c r="L154" i="37"/>
  <c r="M154" i="37"/>
  <c r="N154" i="37"/>
  <c r="O154" i="37"/>
  <c r="P154" i="37"/>
  <c r="Q154" i="37"/>
  <c r="R154" i="37"/>
  <c r="A155" i="37"/>
  <c r="C155" i="37"/>
  <c r="D155" i="37"/>
  <c r="E155" i="37"/>
  <c r="F155" i="37"/>
  <c r="G155" i="37"/>
  <c r="H155" i="37"/>
  <c r="I155" i="37"/>
  <c r="J155" i="37"/>
  <c r="L155" i="37"/>
  <c r="M155" i="37"/>
  <c r="N155" i="37"/>
  <c r="O155" i="37"/>
  <c r="P155" i="37"/>
  <c r="Q155" i="37"/>
  <c r="R155" i="37"/>
  <c r="A156" i="37"/>
  <c r="C156" i="37"/>
  <c r="D156" i="37"/>
  <c r="E156" i="37"/>
  <c r="F156" i="37"/>
  <c r="G156" i="37"/>
  <c r="H156" i="37"/>
  <c r="I156" i="37"/>
  <c r="J156" i="37"/>
  <c r="L156" i="37"/>
  <c r="M156" i="37"/>
  <c r="N156" i="37"/>
  <c r="O156" i="37"/>
  <c r="P156" i="37"/>
  <c r="Q156" i="37"/>
  <c r="R156" i="37"/>
  <c r="A157" i="37"/>
  <c r="C157" i="37"/>
  <c r="D157" i="37"/>
  <c r="E157" i="37"/>
  <c r="F157" i="37"/>
  <c r="G157" i="37"/>
  <c r="H157" i="37"/>
  <c r="I157" i="37"/>
  <c r="J157" i="37"/>
  <c r="L157" i="37"/>
  <c r="M157" i="37"/>
  <c r="N157" i="37"/>
  <c r="O157" i="37"/>
  <c r="P157" i="37"/>
  <c r="Q157" i="37"/>
  <c r="R157" i="37"/>
  <c r="A158" i="37"/>
  <c r="C158" i="37"/>
  <c r="D158" i="37"/>
  <c r="E158" i="37"/>
  <c r="F158" i="37"/>
  <c r="G158" i="37"/>
  <c r="H158" i="37"/>
  <c r="I158" i="37"/>
  <c r="J158" i="37"/>
  <c r="L158" i="37"/>
  <c r="M158" i="37"/>
  <c r="N158" i="37"/>
  <c r="O158" i="37"/>
  <c r="P158" i="37"/>
  <c r="Q158" i="37"/>
  <c r="R158" i="37"/>
  <c r="A159" i="37"/>
  <c r="C159" i="37"/>
  <c r="D159" i="37"/>
  <c r="E159" i="37"/>
  <c r="F159" i="37"/>
  <c r="G159" i="37"/>
  <c r="H159" i="37"/>
  <c r="I159" i="37"/>
  <c r="J159" i="37"/>
  <c r="L159" i="37"/>
  <c r="M159" i="37"/>
  <c r="N159" i="37"/>
  <c r="O159" i="37"/>
  <c r="P159" i="37"/>
  <c r="Q159" i="37"/>
  <c r="R159" i="37"/>
  <c r="A160" i="37"/>
  <c r="C160" i="37"/>
  <c r="D160" i="37"/>
  <c r="E160" i="37"/>
  <c r="F160" i="37"/>
  <c r="G160" i="37"/>
  <c r="H160" i="37"/>
  <c r="I160" i="37"/>
  <c r="J160" i="37"/>
  <c r="L160" i="37"/>
  <c r="M160" i="37"/>
  <c r="N160" i="37"/>
  <c r="O160" i="37"/>
  <c r="P160" i="37"/>
  <c r="Q160" i="37"/>
  <c r="R160" i="37"/>
  <c r="A161" i="37"/>
  <c r="C161" i="37"/>
  <c r="D161" i="37"/>
  <c r="E161" i="37"/>
  <c r="F161" i="37"/>
  <c r="G161" i="37"/>
  <c r="H161" i="37"/>
  <c r="I161" i="37"/>
  <c r="J161" i="37"/>
  <c r="L161" i="37"/>
  <c r="M161" i="37"/>
  <c r="N161" i="37"/>
  <c r="O161" i="37"/>
  <c r="P161" i="37"/>
  <c r="Q161" i="37"/>
  <c r="R161" i="37"/>
  <c r="A162" i="37"/>
  <c r="C162" i="37"/>
  <c r="D162" i="37"/>
  <c r="E162" i="37"/>
  <c r="F162" i="37"/>
  <c r="G162" i="37"/>
  <c r="H162" i="37"/>
  <c r="I162" i="37"/>
  <c r="J162" i="37"/>
  <c r="L162" i="37"/>
  <c r="M162" i="37"/>
  <c r="N162" i="37"/>
  <c r="O162" i="37"/>
  <c r="P162" i="37"/>
  <c r="Q162" i="37"/>
  <c r="R162" i="37"/>
  <c r="A163" i="37"/>
  <c r="C163" i="37"/>
  <c r="D163" i="37"/>
  <c r="E163" i="37"/>
  <c r="F163" i="37"/>
  <c r="G163" i="37"/>
  <c r="H163" i="37"/>
  <c r="I163" i="37"/>
  <c r="J163" i="37"/>
  <c r="L163" i="37"/>
  <c r="M163" i="37"/>
  <c r="N163" i="37"/>
  <c r="O163" i="37"/>
  <c r="P163" i="37"/>
  <c r="Q163" i="37"/>
  <c r="R163" i="37"/>
  <c r="A164" i="37"/>
  <c r="C164" i="37"/>
  <c r="D164" i="37"/>
  <c r="E164" i="37"/>
  <c r="F164" i="37"/>
  <c r="G164" i="37"/>
  <c r="H164" i="37"/>
  <c r="I164" i="37"/>
  <c r="J164" i="37"/>
  <c r="L164" i="37"/>
  <c r="M164" i="37"/>
  <c r="N164" i="37"/>
  <c r="O164" i="37"/>
  <c r="P164" i="37"/>
  <c r="Q164" i="37"/>
  <c r="R164" i="37"/>
  <c r="A165" i="37"/>
  <c r="C165" i="37"/>
  <c r="D165" i="37"/>
  <c r="E165" i="37"/>
  <c r="F165" i="37"/>
  <c r="G165" i="37"/>
  <c r="H165" i="37"/>
  <c r="I165" i="37"/>
  <c r="J165" i="37"/>
  <c r="L165" i="37"/>
  <c r="M165" i="37"/>
  <c r="N165" i="37"/>
  <c r="O165" i="37"/>
  <c r="P165" i="37"/>
  <c r="Q165" i="37"/>
  <c r="R165" i="37"/>
  <c r="A166" i="37"/>
  <c r="C166" i="37"/>
  <c r="D166" i="37"/>
  <c r="E166" i="37"/>
  <c r="F166" i="37"/>
  <c r="G166" i="37"/>
  <c r="H166" i="37"/>
  <c r="I166" i="37"/>
  <c r="J166" i="37"/>
  <c r="L166" i="37"/>
  <c r="M166" i="37"/>
  <c r="N166" i="37"/>
  <c r="O166" i="37"/>
  <c r="P166" i="37"/>
  <c r="Q166" i="37"/>
  <c r="R166" i="37"/>
  <c r="A167" i="37"/>
  <c r="C167" i="37"/>
  <c r="D167" i="37"/>
  <c r="E167" i="37"/>
  <c r="F167" i="37"/>
  <c r="G167" i="37"/>
  <c r="H167" i="37"/>
  <c r="I167" i="37"/>
  <c r="J167" i="37"/>
  <c r="L167" i="37"/>
  <c r="M167" i="37"/>
  <c r="N167" i="37"/>
  <c r="O167" i="37"/>
  <c r="P167" i="37"/>
  <c r="Q167" i="37"/>
  <c r="R167" i="37"/>
  <c r="A168" i="37"/>
  <c r="C168" i="37"/>
  <c r="D168" i="37"/>
  <c r="E168" i="37"/>
  <c r="F168" i="37"/>
  <c r="G168" i="37"/>
  <c r="H168" i="37"/>
  <c r="I168" i="37"/>
  <c r="J168" i="37"/>
  <c r="L168" i="37"/>
  <c r="M168" i="37"/>
  <c r="N168" i="37"/>
  <c r="O168" i="37"/>
  <c r="P168" i="37"/>
  <c r="Q168" i="37"/>
  <c r="R168" i="37"/>
  <c r="A169" i="37"/>
  <c r="C169" i="37"/>
  <c r="D169" i="37"/>
  <c r="E169" i="37"/>
  <c r="F169" i="37"/>
  <c r="G169" i="37"/>
  <c r="H169" i="37"/>
  <c r="I169" i="37"/>
  <c r="J169" i="37"/>
  <c r="L169" i="37"/>
  <c r="M169" i="37"/>
  <c r="N169" i="37"/>
  <c r="O169" i="37"/>
  <c r="P169" i="37"/>
  <c r="Q169" i="37"/>
  <c r="R169" i="37"/>
  <c r="A170" i="37"/>
  <c r="C170" i="37"/>
  <c r="D170" i="37"/>
  <c r="E170" i="37"/>
  <c r="F170" i="37"/>
  <c r="G170" i="37"/>
  <c r="H170" i="37"/>
  <c r="I170" i="37"/>
  <c r="J170" i="37"/>
  <c r="L170" i="37"/>
  <c r="M170" i="37"/>
  <c r="N170" i="37"/>
  <c r="O170" i="37"/>
  <c r="P170" i="37"/>
  <c r="Q170" i="37"/>
  <c r="R170" i="37"/>
  <c r="A171" i="37"/>
  <c r="C171" i="37"/>
  <c r="D171" i="37"/>
  <c r="E171" i="37"/>
  <c r="F171" i="37"/>
  <c r="G171" i="37"/>
  <c r="H171" i="37"/>
  <c r="I171" i="37"/>
  <c r="J171" i="37"/>
  <c r="L171" i="37"/>
  <c r="M171" i="37"/>
  <c r="N171" i="37"/>
  <c r="O171" i="37"/>
  <c r="P171" i="37"/>
  <c r="Q171" i="37"/>
  <c r="R171" i="37"/>
  <c r="A172" i="37"/>
  <c r="C172" i="37"/>
  <c r="D172" i="37"/>
  <c r="E172" i="37"/>
  <c r="F172" i="37"/>
  <c r="G172" i="37"/>
  <c r="H172" i="37"/>
  <c r="I172" i="37"/>
  <c r="J172" i="37"/>
  <c r="L172" i="37"/>
  <c r="M172" i="37"/>
  <c r="N172" i="37"/>
  <c r="O172" i="37"/>
  <c r="P172" i="37"/>
  <c r="Q172" i="37"/>
  <c r="R172" i="37"/>
  <c r="A173" i="37"/>
  <c r="C173" i="37"/>
  <c r="D173" i="37"/>
  <c r="E173" i="37"/>
  <c r="F173" i="37"/>
  <c r="G173" i="37"/>
  <c r="H173" i="37"/>
  <c r="I173" i="37"/>
  <c r="J173" i="37"/>
  <c r="L173" i="37"/>
  <c r="M173" i="37"/>
  <c r="N173" i="37"/>
  <c r="O173" i="37"/>
  <c r="P173" i="37"/>
  <c r="Q173" i="37"/>
  <c r="R173" i="37"/>
  <c r="A174" i="37"/>
  <c r="C174" i="37"/>
  <c r="D174" i="37"/>
  <c r="E174" i="37"/>
  <c r="F174" i="37"/>
  <c r="G174" i="37"/>
  <c r="H174" i="37"/>
  <c r="I174" i="37"/>
  <c r="J174" i="37"/>
  <c r="L174" i="37"/>
  <c r="M174" i="37"/>
  <c r="N174" i="37"/>
  <c r="O174" i="37"/>
  <c r="P174" i="37"/>
  <c r="Q174" i="37"/>
  <c r="R174" i="37"/>
  <c r="A175" i="37"/>
  <c r="C175" i="37"/>
  <c r="D175" i="37"/>
  <c r="E175" i="37"/>
  <c r="F175" i="37"/>
  <c r="G175" i="37"/>
  <c r="H175" i="37"/>
  <c r="I175" i="37"/>
  <c r="J175" i="37"/>
  <c r="L175" i="37"/>
  <c r="M175" i="37"/>
  <c r="N175" i="37"/>
  <c r="O175" i="37"/>
  <c r="P175" i="37"/>
  <c r="Q175" i="37"/>
  <c r="R175" i="37"/>
  <c r="A176" i="37"/>
  <c r="C176" i="37"/>
  <c r="D176" i="37"/>
  <c r="E176" i="37"/>
  <c r="F176" i="37"/>
  <c r="G176" i="37"/>
  <c r="H176" i="37"/>
  <c r="I176" i="37"/>
  <c r="J176" i="37"/>
  <c r="L176" i="37"/>
  <c r="M176" i="37"/>
  <c r="N176" i="37"/>
  <c r="O176" i="37"/>
  <c r="P176" i="37"/>
  <c r="Q176" i="37"/>
  <c r="R176" i="37"/>
  <c r="A177" i="37"/>
  <c r="C177" i="37"/>
  <c r="D177" i="37"/>
  <c r="E177" i="37"/>
  <c r="F177" i="37"/>
  <c r="G177" i="37"/>
  <c r="H177" i="37"/>
  <c r="I177" i="37"/>
  <c r="J177" i="37"/>
  <c r="L177" i="37"/>
  <c r="M177" i="37"/>
  <c r="N177" i="37"/>
  <c r="O177" i="37"/>
  <c r="P177" i="37"/>
  <c r="Q177" i="37"/>
  <c r="R177" i="37"/>
  <c r="A178" i="37"/>
  <c r="C178" i="37"/>
  <c r="D178" i="37"/>
  <c r="E178" i="37"/>
  <c r="F178" i="37"/>
  <c r="G178" i="37"/>
  <c r="H178" i="37"/>
  <c r="I178" i="37"/>
  <c r="J178" i="37"/>
  <c r="L178" i="37"/>
  <c r="M178" i="37"/>
  <c r="N178" i="37"/>
  <c r="O178" i="37"/>
  <c r="P178" i="37"/>
  <c r="Q178" i="37"/>
  <c r="R178" i="37"/>
  <c r="A179" i="37"/>
  <c r="C179" i="37"/>
  <c r="D179" i="37"/>
  <c r="E179" i="37"/>
  <c r="F179" i="37"/>
  <c r="G179" i="37"/>
  <c r="H179" i="37"/>
  <c r="I179" i="37"/>
  <c r="J179" i="37"/>
  <c r="L179" i="37"/>
  <c r="M179" i="37"/>
  <c r="N179" i="37"/>
  <c r="O179" i="37"/>
  <c r="P179" i="37"/>
  <c r="Q179" i="37"/>
  <c r="R179" i="37"/>
  <c r="A180" i="37"/>
  <c r="C180" i="37"/>
  <c r="D180" i="37"/>
  <c r="E180" i="37"/>
  <c r="F180" i="37"/>
  <c r="G180" i="37"/>
  <c r="H180" i="37"/>
  <c r="I180" i="37"/>
  <c r="J180" i="37"/>
  <c r="L180" i="37"/>
  <c r="M180" i="37"/>
  <c r="N180" i="37"/>
  <c r="O180" i="37"/>
  <c r="P180" i="37"/>
  <c r="Q180" i="37"/>
  <c r="R180" i="37"/>
  <c r="A181" i="37"/>
  <c r="C181" i="37"/>
  <c r="D181" i="37"/>
  <c r="E181" i="37"/>
  <c r="F181" i="37"/>
  <c r="G181" i="37"/>
  <c r="H181" i="37"/>
  <c r="I181" i="37"/>
  <c r="J181" i="37"/>
  <c r="L181" i="37"/>
  <c r="M181" i="37"/>
  <c r="N181" i="37"/>
  <c r="O181" i="37"/>
  <c r="P181" i="37"/>
  <c r="Q181" i="37"/>
  <c r="R181" i="37"/>
  <c r="A182" i="37"/>
  <c r="C182" i="37"/>
  <c r="D182" i="37"/>
  <c r="E182" i="37"/>
  <c r="F182" i="37"/>
  <c r="G182" i="37"/>
  <c r="H182" i="37"/>
  <c r="I182" i="37"/>
  <c r="J182" i="37"/>
  <c r="L182" i="37"/>
  <c r="M182" i="37"/>
  <c r="N182" i="37"/>
  <c r="O182" i="37"/>
  <c r="P182" i="37"/>
  <c r="Q182" i="37"/>
  <c r="R182" i="37"/>
  <c r="A183" i="37"/>
  <c r="C183" i="37"/>
  <c r="D183" i="37"/>
  <c r="E183" i="37"/>
  <c r="F183" i="37"/>
  <c r="G183" i="37"/>
  <c r="H183" i="37"/>
  <c r="I183" i="37"/>
  <c r="J183" i="37"/>
  <c r="L183" i="37"/>
  <c r="M183" i="37"/>
  <c r="N183" i="37"/>
  <c r="O183" i="37"/>
  <c r="P183" i="37"/>
  <c r="Q183" i="37"/>
  <c r="R183" i="37"/>
  <c r="A184" i="37"/>
  <c r="C184" i="37"/>
  <c r="D184" i="37"/>
  <c r="E184" i="37"/>
  <c r="F184" i="37"/>
  <c r="G184" i="37"/>
  <c r="H184" i="37"/>
  <c r="I184" i="37"/>
  <c r="J184" i="37"/>
  <c r="L184" i="37"/>
  <c r="M184" i="37"/>
  <c r="N184" i="37"/>
  <c r="O184" i="37"/>
  <c r="P184" i="37"/>
  <c r="Q184" i="37"/>
  <c r="R184" i="37"/>
  <c r="A185" i="37"/>
  <c r="C185" i="37"/>
  <c r="D185" i="37"/>
  <c r="E185" i="37"/>
  <c r="F185" i="37"/>
  <c r="G185" i="37"/>
  <c r="H185" i="37"/>
  <c r="I185" i="37"/>
  <c r="J185" i="37"/>
  <c r="L185" i="37"/>
  <c r="M185" i="37"/>
  <c r="N185" i="37"/>
  <c r="O185" i="37"/>
  <c r="P185" i="37"/>
  <c r="Q185" i="37"/>
  <c r="R185" i="37"/>
  <c r="A186" i="37"/>
  <c r="C186" i="37"/>
  <c r="D186" i="37"/>
  <c r="E186" i="37"/>
  <c r="F186" i="37"/>
  <c r="G186" i="37"/>
  <c r="H186" i="37"/>
  <c r="I186" i="37"/>
  <c r="J186" i="37"/>
  <c r="L186" i="37"/>
  <c r="M186" i="37"/>
  <c r="N186" i="37"/>
  <c r="O186" i="37"/>
  <c r="P186" i="37"/>
  <c r="Q186" i="37"/>
  <c r="R186" i="37"/>
  <c r="A187" i="37"/>
  <c r="C187" i="37"/>
  <c r="D187" i="37"/>
  <c r="E187" i="37"/>
  <c r="F187" i="37"/>
  <c r="G187" i="37"/>
  <c r="H187" i="37"/>
  <c r="I187" i="37"/>
  <c r="J187" i="37"/>
  <c r="L187" i="37"/>
  <c r="M187" i="37"/>
  <c r="N187" i="37"/>
  <c r="O187" i="37"/>
  <c r="P187" i="37"/>
  <c r="Q187" i="37"/>
  <c r="R187" i="37"/>
  <c r="A188" i="37"/>
  <c r="C188" i="37"/>
  <c r="D188" i="37"/>
  <c r="E188" i="37"/>
  <c r="F188" i="37"/>
  <c r="G188" i="37"/>
  <c r="H188" i="37"/>
  <c r="I188" i="37"/>
  <c r="J188" i="37"/>
  <c r="L188" i="37"/>
  <c r="M188" i="37"/>
  <c r="N188" i="37"/>
  <c r="O188" i="37"/>
  <c r="P188" i="37"/>
  <c r="Q188" i="37"/>
  <c r="R188" i="37"/>
  <c r="A189" i="37"/>
  <c r="C189" i="37"/>
  <c r="D189" i="37"/>
  <c r="E189" i="37"/>
  <c r="F189" i="37"/>
  <c r="G189" i="37"/>
  <c r="H189" i="37"/>
  <c r="I189" i="37"/>
  <c r="J189" i="37"/>
  <c r="L189" i="37"/>
  <c r="M189" i="37"/>
  <c r="N189" i="37"/>
  <c r="O189" i="37"/>
  <c r="P189" i="37"/>
  <c r="Q189" i="37"/>
  <c r="R189" i="37"/>
  <c r="A190" i="37"/>
  <c r="C190" i="37"/>
  <c r="D190" i="37"/>
  <c r="E190" i="37"/>
  <c r="F190" i="37"/>
  <c r="G190" i="37"/>
  <c r="H190" i="37"/>
  <c r="I190" i="37"/>
  <c r="J190" i="37"/>
  <c r="L190" i="37"/>
  <c r="M190" i="37"/>
  <c r="N190" i="37"/>
  <c r="O190" i="37"/>
  <c r="P190" i="37"/>
  <c r="Q190" i="37"/>
  <c r="R190" i="37"/>
  <c r="A191" i="37"/>
  <c r="C191" i="37"/>
  <c r="D191" i="37"/>
  <c r="E191" i="37"/>
  <c r="F191" i="37"/>
  <c r="G191" i="37"/>
  <c r="H191" i="37"/>
  <c r="I191" i="37"/>
  <c r="J191" i="37"/>
  <c r="L191" i="37"/>
  <c r="M191" i="37"/>
  <c r="N191" i="37"/>
  <c r="O191" i="37"/>
  <c r="P191" i="37"/>
  <c r="Q191" i="37"/>
  <c r="R191" i="37"/>
  <c r="A192" i="37"/>
  <c r="C192" i="37"/>
  <c r="D192" i="37"/>
  <c r="E192" i="37"/>
  <c r="F192" i="37"/>
  <c r="G192" i="37"/>
  <c r="H192" i="37"/>
  <c r="I192" i="37"/>
  <c r="J192" i="37"/>
  <c r="L192" i="37"/>
  <c r="M192" i="37"/>
  <c r="N192" i="37"/>
  <c r="O192" i="37"/>
  <c r="P192" i="37"/>
  <c r="Q192" i="37"/>
  <c r="R192" i="37"/>
  <c r="A193" i="37"/>
  <c r="C193" i="37"/>
  <c r="D193" i="37"/>
  <c r="E193" i="37"/>
  <c r="F193" i="37"/>
  <c r="G193" i="37"/>
  <c r="H193" i="37"/>
  <c r="I193" i="37"/>
  <c r="J193" i="37"/>
  <c r="L193" i="37"/>
  <c r="M193" i="37"/>
  <c r="N193" i="37"/>
  <c r="O193" i="37"/>
  <c r="P193" i="37"/>
  <c r="Q193" i="37"/>
  <c r="R193" i="37"/>
  <c r="A194" i="37"/>
  <c r="C194" i="37"/>
  <c r="D194" i="37"/>
  <c r="E194" i="37"/>
  <c r="F194" i="37"/>
  <c r="G194" i="37"/>
  <c r="H194" i="37"/>
  <c r="I194" i="37"/>
  <c r="J194" i="37"/>
  <c r="L194" i="37"/>
  <c r="M194" i="37"/>
  <c r="N194" i="37"/>
  <c r="O194" i="37"/>
  <c r="P194" i="37"/>
  <c r="Q194" i="37"/>
  <c r="R194" i="37"/>
  <c r="A195" i="37"/>
  <c r="C195" i="37"/>
  <c r="D195" i="37"/>
  <c r="E195" i="37"/>
  <c r="F195" i="37"/>
  <c r="G195" i="37"/>
  <c r="H195" i="37"/>
  <c r="I195" i="37"/>
  <c r="J195" i="37"/>
  <c r="L195" i="37"/>
  <c r="M195" i="37"/>
  <c r="N195" i="37"/>
  <c r="O195" i="37"/>
  <c r="P195" i="37"/>
  <c r="Q195" i="37"/>
  <c r="R195" i="37"/>
  <c r="A196" i="37"/>
  <c r="C196" i="37"/>
  <c r="D196" i="37"/>
  <c r="E196" i="37"/>
  <c r="F196" i="37"/>
  <c r="G196" i="37"/>
  <c r="H196" i="37"/>
  <c r="I196" i="37"/>
  <c r="J196" i="37"/>
  <c r="L196" i="37"/>
  <c r="M196" i="37"/>
  <c r="N196" i="37"/>
  <c r="O196" i="37"/>
  <c r="P196" i="37"/>
  <c r="Q196" i="37"/>
  <c r="R196" i="37"/>
  <c r="A197" i="37"/>
  <c r="C197" i="37"/>
  <c r="D197" i="37"/>
  <c r="E197" i="37"/>
  <c r="F197" i="37"/>
  <c r="G197" i="37"/>
  <c r="H197" i="37"/>
  <c r="I197" i="37"/>
  <c r="J197" i="37"/>
  <c r="L197" i="37"/>
  <c r="M197" i="37"/>
  <c r="N197" i="37"/>
  <c r="O197" i="37"/>
  <c r="P197" i="37"/>
  <c r="Q197" i="37"/>
  <c r="R197" i="37"/>
  <c r="A198" i="37"/>
  <c r="C198" i="37"/>
  <c r="D198" i="37"/>
  <c r="E198" i="37"/>
  <c r="F198" i="37"/>
  <c r="G198" i="37"/>
  <c r="H198" i="37"/>
  <c r="I198" i="37"/>
  <c r="J198" i="37"/>
  <c r="L198" i="37"/>
  <c r="M198" i="37"/>
  <c r="N198" i="37"/>
  <c r="O198" i="37"/>
  <c r="P198" i="37"/>
  <c r="Q198" i="37"/>
  <c r="R198" i="37"/>
  <c r="A199" i="37"/>
  <c r="C199" i="37"/>
  <c r="D199" i="37"/>
  <c r="E199" i="37"/>
  <c r="F199" i="37"/>
  <c r="G199" i="37"/>
  <c r="H199" i="37"/>
  <c r="I199" i="37"/>
  <c r="J199" i="37"/>
  <c r="L199" i="37"/>
  <c r="M199" i="37"/>
  <c r="N199" i="37"/>
  <c r="O199" i="37"/>
  <c r="P199" i="37"/>
  <c r="Q199" i="37"/>
  <c r="R199" i="37"/>
  <c r="A200" i="37"/>
  <c r="C200" i="37"/>
  <c r="D200" i="37"/>
  <c r="E200" i="37"/>
  <c r="F200" i="37"/>
  <c r="G200" i="37"/>
  <c r="H200" i="37"/>
  <c r="I200" i="37"/>
  <c r="J200" i="37"/>
  <c r="L200" i="37"/>
  <c r="M200" i="37"/>
  <c r="N200" i="37"/>
  <c r="O200" i="37"/>
  <c r="P200" i="37"/>
  <c r="Q200" i="37"/>
  <c r="R200" i="37"/>
  <c r="A201" i="37"/>
  <c r="C201" i="37"/>
  <c r="D201" i="37"/>
  <c r="E201" i="37"/>
  <c r="F201" i="37"/>
  <c r="G201" i="37"/>
  <c r="H201" i="37"/>
  <c r="I201" i="37"/>
  <c r="J201" i="37"/>
  <c r="L201" i="37"/>
  <c r="M201" i="37"/>
  <c r="N201" i="37"/>
  <c r="O201" i="37"/>
  <c r="P201" i="37"/>
  <c r="Q201" i="37"/>
  <c r="R201" i="37"/>
  <c r="A202" i="37"/>
  <c r="C202" i="37"/>
  <c r="D202" i="37"/>
  <c r="E202" i="37"/>
  <c r="F202" i="37"/>
  <c r="G202" i="37"/>
  <c r="H202" i="37"/>
  <c r="I202" i="37"/>
  <c r="J202" i="37"/>
  <c r="L202" i="37"/>
  <c r="M202" i="37"/>
  <c r="N202" i="37"/>
  <c r="O202" i="37"/>
  <c r="P202" i="37"/>
  <c r="Q202" i="37"/>
  <c r="R202" i="37"/>
  <c r="A203" i="37"/>
  <c r="C203" i="37"/>
  <c r="D203" i="37"/>
  <c r="E203" i="37"/>
  <c r="F203" i="37"/>
  <c r="G203" i="37"/>
  <c r="H203" i="37"/>
  <c r="I203" i="37"/>
  <c r="J203" i="37"/>
  <c r="L203" i="37"/>
  <c r="M203" i="37"/>
  <c r="N203" i="37"/>
  <c r="O203" i="37"/>
  <c r="P203" i="37"/>
  <c r="Q203" i="37"/>
  <c r="R203" i="37"/>
  <c r="A204" i="37"/>
  <c r="C204" i="37"/>
  <c r="D204" i="37"/>
  <c r="E204" i="37"/>
  <c r="F204" i="37"/>
  <c r="G204" i="37"/>
  <c r="H204" i="37"/>
  <c r="I204" i="37"/>
  <c r="J204" i="37"/>
  <c r="L204" i="37"/>
  <c r="M204" i="37"/>
  <c r="N204" i="37"/>
  <c r="O204" i="37"/>
  <c r="P204" i="37"/>
  <c r="Q204" i="37"/>
  <c r="R204" i="37"/>
  <c r="A205" i="37"/>
  <c r="C205" i="37"/>
  <c r="D205" i="37"/>
  <c r="E205" i="37"/>
  <c r="F205" i="37"/>
  <c r="G205" i="37"/>
  <c r="H205" i="37"/>
  <c r="I205" i="37"/>
  <c r="J205" i="37"/>
  <c r="L205" i="37"/>
  <c r="M205" i="37"/>
  <c r="N205" i="37"/>
  <c r="O205" i="37"/>
  <c r="P205" i="37"/>
  <c r="Q205" i="37"/>
  <c r="R205" i="37"/>
  <c r="A206" i="37"/>
  <c r="C206" i="37"/>
  <c r="D206" i="37"/>
  <c r="E206" i="37"/>
  <c r="F206" i="37"/>
  <c r="G206" i="37"/>
  <c r="H206" i="37"/>
  <c r="I206" i="37"/>
  <c r="J206" i="37"/>
  <c r="L206" i="37"/>
  <c r="M206" i="37"/>
  <c r="N206" i="37"/>
  <c r="O206" i="37"/>
  <c r="P206" i="37"/>
  <c r="Q206" i="37"/>
  <c r="R206" i="37"/>
  <c r="A207" i="37"/>
  <c r="C207" i="37"/>
  <c r="D207" i="37"/>
  <c r="E207" i="37"/>
  <c r="F207" i="37"/>
  <c r="G207" i="37"/>
  <c r="H207" i="37"/>
  <c r="I207" i="37"/>
  <c r="J207" i="37"/>
  <c r="L207" i="37"/>
  <c r="M207" i="37"/>
  <c r="N207" i="37"/>
  <c r="O207" i="37"/>
  <c r="P207" i="37"/>
  <c r="Q207" i="37"/>
  <c r="R207" i="37"/>
  <c r="A208" i="37"/>
  <c r="C208" i="37"/>
  <c r="D208" i="37"/>
  <c r="E208" i="37"/>
  <c r="F208" i="37"/>
  <c r="G208" i="37"/>
  <c r="H208" i="37"/>
  <c r="I208" i="37"/>
  <c r="J208" i="37"/>
  <c r="L208" i="37"/>
  <c r="M208" i="37"/>
  <c r="N208" i="37"/>
  <c r="O208" i="37"/>
  <c r="P208" i="37"/>
  <c r="Q208" i="37"/>
  <c r="R208" i="37"/>
  <c r="A209" i="37"/>
  <c r="C209" i="37"/>
  <c r="D209" i="37"/>
  <c r="E209" i="37"/>
  <c r="F209" i="37"/>
  <c r="G209" i="37"/>
  <c r="H209" i="37"/>
  <c r="I209" i="37"/>
  <c r="J209" i="37"/>
  <c r="L209" i="37"/>
  <c r="M209" i="37"/>
  <c r="N209" i="37"/>
  <c r="O209" i="37"/>
  <c r="P209" i="37"/>
  <c r="Q209" i="37"/>
  <c r="R209" i="37"/>
  <c r="A210" i="37"/>
  <c r="C210" i="37"/>
  <c r="D210" i="37"/>
  <c r="E210" i="37"/>
  <c r="F210" i="37"/>
  <c r="G210" i="37"/>
  <c r="H210" i="37"/>
  <c r="I210" i="37"/>
  <c r="J210" i="37"/>
  <c r="L210" i="37"/>
  <c r="M210" i="37"/>
  <c r="N210" i="37"/>
  <c r="O210" i="37"/>
  <c r="P210" i="37"/>
  <c r="Q210" i="37"/>
  <c r="R210" i="37"/>
  <c r="A211" i="37"/>
  <c r="C211" i="37"/>
  <c r="D211" i="37"/>
  <c r="E211" i="37"/>
  <c r="F211" i="37"/>
  <c r="G211" i="37"/>
  <c r="H211" i="37"/>
  <c r="I211" i="37"/>
  <c r="J211" i="37"/>
  <c r="L211" i="37"/>
  <c r="M211" i="37"/>
  <c r="N211" i="37"/>
  <c r="O211" i="37"/>
  <c r="P211" i="37"/>
  <c r="Q211" i="37"/>
  <c r="R211" i="37"/>
  <c r="A212" i="37"/>
  <c r="C212" i="37"/>
  <c r="D212" i="37"/>
  <c r="E212" i="37"/>
  <c r="F212" i="37"/>
  <c r="G212" i="37"/>
  <c r="H212" i="37"/>
  <c r="I212" i="37"/>
  <c r="J212" i="37"/>
  <c r="L212" i="37"/>
  <c r="M212" i="37"/>
  <c r="N212" i="37"/>
  <c r="O212" i="37"/>
  <c r="P212" i="37"/>
  <c r="Q212" i="37"/>
  <c r="R212" i="37"/>
  <c r="A213" i="37"/>
  <c r="C213" i="37"/>
  <c r="D213" i="37"/>
  <c r="E213" i="37"/>
  <c r="F213" i="37"/>
  <c r="G213" i="37"/>
  <c r="H213" i="37"/>
  <c r="I213" i="37"/>
  <c r="J213" i="37"/>
  <c r="L213" i="37"/>
  <c r="M213" i="37"/>
  <c r="N213" i="37"/>
  <c r="O213" i="37"/>
  <c r="P213" i="37"/>
  <c r="Q213" i="37"/>
  <c r="R213" i="37"/>
  <c r="A214" i="37"/>
  <c r="C214" i="37"/>
  <c r="D214" i="37"/>
  <c r="E214" i="37"/>
  <c r="F214" i="37"/>
  <c r="G214" i="37"/>
  <c r="H214" i="37"/>
  <c r="I214" i="37"/>
  <c r="J214" i="37"/>
  <c r="L214" i="37"/>
  <c r="M214" i="37"/>
  <c r="N214" i="37"/>
  <c r="O214" i="37"/>
  <c r="P214" i="37"/>
  <c r="Q214" i="37"/>
  <c r="R214" i="37"/>
  <c r="A215" i="37"/>
  <c r="C215" i="37"/>
  <c r="D215" i="37"/>
  <c r="E215" i="37"/>
  <c r="F215" i="37"/>
  <c r="G215" i="37"/>
  <c r="H215" i="37"/>
  <c r="I215" i="37"/>
  <c r="J215" i="37"/>
  <c r="L215" i="37"/>
  <c r="M215" i="37"/>
  <c r="N215" i="37"/>
  <c r="O215" i="37"/>
  <c r="P215" i="37"/>
  <c r="Q215" i="37"/>
  <c r="R215" i="37"/>
  <c r="A216" i="37"/>
  <c r="C216" i="37"/>
  <c r="D216" i="37"/>
  <c r="E216" i="37"/>
  <c r="F216" i="37"/>
  <c r="G216" i="37"/>
  <c r="H216" i="37"/>
  <c r="I216" i="37"/>
  <c r="J216" i="37"/>
  <c r="L216" i="37"/>
  <c r="M216" i="37"/>
  <c r="N216" i="37"/>
  <c r="O216" i="37"/>
  <c r="P216" i="37"/>
  <c r="Q216" i="37"/>
  <c r="R216" i="37"/>
  <c r="A217" i="37"/>
  <c r="C217" i="37"/>
  <c r="D217" i="37"/>
  <c r="E217" i="37"/>
  <c r="F217" i="37"/>
  <c r="G217" i="37"/>
  <c r="H217" i="37"/>
  <c r="I217" i="37"/>
  <c r="J217" i="37"/>
  <c r="L217" i="37"/>
  <c r="M217" i="37"/>
  <c r="N217" i="37"/>
  <c r="O217" i="37"/>
  <c r="P217" i="37"/>
  <c r="Q217" i="37"/>
  <c r="R217" i="37"/>
  <c r="A218" i="37"/>
  <c r="C218" i="37"/>
  <c r="D218" i="37"/>
  <c r="E218" i="37"/>
  <c r="F218" i="37"/>
  <c r="G218" i="37"/>
  <c r="H218" i="37"/>
  <c r="I218" i="37"/>
  <c r="J218" i="37"/>
  <c r="L218" i="37"/>
  <c r="M218" i="37"/>
  <c r="N218" i="37"/>
  <c r="O218" i="37"/>
  <c r="P218" i="37"/>
  <c r="Q218" i="37"/>
  <c r="R218" i="37"/>
  <c r="A219" i="37"/>
  <c r="C219" i="37"/>
  <c r="D219" i="37"/>
  <c r="E219" i="37"/>
  <c r="F219" i="37"/>
  <c r="G219" i="37"/>
  <c r="H219" i="37"/>
  <c r="I219" i="37"/>
  <c r="J219" i="37"/>
  <c r="L219" i="37"/>
  <c r="M219" i="37"/>
  <c r="N219" i="37"/>
  <c r="O219" i="37"/>
  <c r="P219" i="37"/>
  <c r="Q219" i="37"/>
  <c r="R219" i="37"/>
  <c r="A220" i="37"/>
  <c r="C220" i="37"/>
  <c r="D220" i="37"/>
  <c r="E220" i="37"/>
  <c r="F220" i="37"/>
  <c r="G220" i="37"/>
  <c r="H220" i="37"/>
  <c r="I220" i="37"/>
  <c r="J220" i="37"/>
  <c r="L220" i="37"/>
  <c r="M220" i="37"/>
  <c r="N220" i="37"/>
  <c r="O220" i="37"/>
  <c r="P220" i="37"/>
  <c r="Q220" i="37"/>
  <c r="R220" i="37"/>
  <c r="A221" i="37"/>
  <c r="C221" i="37"/>
  <c r="D221" i="37"/>
  <c r="E221" i="37"/>
  <c r="F221" i="37"/>
  <c r="G221" i="37"/>
  <c r="H221" i="37"/>
  <c r="I221" i="37"/>
  <c r="J221" i="37"/>
  <c r="L221" i="37"/>
  <c r="M221" i="37"/>
  <c r="N221" i="37"/>
  <c r="O221" i="37"/>
  <c r="P221" i="37"/>
  <c r="Q221" i="37"/>
  <c r="R221" i="37"/>
  <c r="A222" i="37"/>
  <c r="C222" i="37"/>
  <c r="D222" i="37"/>
  <c r="E222" i="37"/>
  <c r="F222" i="37"/>
  <c r="G222" i="37"/>
  <c r="H222" i="37"/>
  <c r="I222" i="37"/>
  <c r="J222" i="37"/>
  <c r="L222" i="37"/>
  <c r="M222" i="37"/>
  <c r="N222" i="37"/>
  <c r="O222" i="37"/>
  <c r="P222" i="37"/>
  <c r="Q222" i="37"/>
  <c r="R222" i="37"/>
  <c r="A223" i="37"/>
  <c r="C223" i="37"/>
  <c r="D223" i="37"/>
  <c r="E223" i="37"/>
  <c r="F223" i="37"/>
  <c r="G223" i="37"/>
  <c r="H223" i="37"/>
  <c r="I223" i="37"/>
  <c r="J223" i="37"/>
  <c r="L223" i="37"/>
  <c r="M223" i="37"/>
  <c r="N223" i="37"/>
  <c r="O223" i="37"/>
  <c r="P223" i="37"/>
  <c r="Q223" i="37"/>
  <c r="R223" i="37"/>
  <c r="A224" i="37"/>
  <c r="C224" i="37"/>
  <c r="D224" i="37"/>
  <c r="E224" i="37"/>
  <c r="F224" i="37"/>
  <c r="G224" i="37"/>
  <c r="H224" i="37"/>
  <c r="I224" i="37"/>
  <c r="J224" i="37"/>
  <c r="L224" i="37"/>
  <c r="M224" i="37"/>
  <c r="N224" i="37"/>
  <c r="O224" i="37"/>
  <c r="P224" i="37"/>
  <c r="Q224" i="37"/>
  <c r="R224" i="37"/>
  <c r="A225" i="37"/>
  <c r="C225" i="37"/>
  <c r="D225" i="37"/>
  <c r="E225" i="37"/>
  <c r="F225" i="37"/>
  <c r="G225" i="37"/>
  <c r="H225" i="37"/>
  <c r="I225" i="37"/>
  <c r="J225" i="37"/>
  <c r="L225" i="37"/>
  <c r="M225" i="37"/>
  <c r="N225" i="37"/>
  <c r="O225" i="37"/>
  <c r="P225" i="37"/>
  <c r="Q225" i="37"/>
  <c r="R225" i="37"/>
  <c r="A226" i="37"/>
  <c r="C226" i="37"/>
  <c r="D226" i="37"/>
  <c r="E226" i="37"/>
  <c r="F226" i="37"/>
  <c r="G226" i="37"/>
  <c r="H226" i="37"/>
  <c r="I226" i="37"/>
  <c r="J226" i="37"/>
  <c r="L226" i="37"/>
  <c r="M226" i="37"/>
  <c r="N226" i="37"/>
  <c r="O226" i="37"/>
  <c r="P226" i="37"/>
  <c r="Q226" i="37"/>
  <c r="R226" i="37"/>
  <c r="A227" i="37"/>
  <c r="C227" i="37"/>
  <c r="D227" i="37"/>
  <c r="E227" i="37"/>
  <c r="F227" i="37"/>
  <c r="G227" i="37"/>
  <c r="H227" i="37"/>
  <c r="I227" i="37"/>
  <c r="J227" i="37"/>
  <c r="L227" i="37"/>
  <c r="M227" i="37"/>
  <c r="N227" i="37"/>
  <c r="O227" i="37"/>
  <c r="P227" i="37"/>
  <c r="Q227" i="37"/>
  <c r="R227" i="37"/>
  <c r="A228" i="37"/>
  <c r="C228" i="37"/>
  <c r="D228" i="37"/>
  <c r="E228" i="37"/>
  <c r="F228" i="37"/>
  <c r="G228" i="37"/>
  <c r="H228" i="37"/>
  <c r="I228" i="37"/>
  <c r="J228" i="37"/>
  <c r="L228" i="37"/>
  <c r="M228" i="37"/>
  <c r="N228" i="37"/>
  <c r="O228" i="37"/>
  <c r="P228" i="37"/>
  <c r="Q228" i="37"/>
  <c r="R228" i="37"/>
  <c r="A229" i="37"/>
  <c r="C229" i="37"/>
  <c r="D229" i="37"/>
  <c r="E229" i="37"/>
  <c r="F229" i="37"/>
  <c r="G229" i="37"/>
  <c r="H229" i="37"/>
  <c r="I229" i="37"/>
  <c r="J229" i="37"/>
  <c r="L229" i="37"/>
  <c r="M229" i="37"/>
  <c r="N229" i="37"/>
  <c r="O229" i="37"/>
  <c r="P229" i="37"/>
  <c r="Q229" i="37"/>
  <c r="R229" i="37"/>
  <c r="A230" i="37"/>
  <c r="C230" i="37"/>
  <c r="D230" i="37"/>
  <c r="E230" i="37"/>
  <c r="F230" i="37"/>
  <c r="G230" i="37"/>
  <c r="H230" i="37"/>
  <c r="I230" i="37"/>
  <c r="J230" i="37"/>
  <c r="L230" i="37"/>
  <c r="M230" i="37"/>
  <c r="N230" i="37"/>
  <c r="O230" i="37"/>
  <c r="P230" i="37"/>
  <c r="Q230" i="37"/>
  <c r="R230" i="37"/>
  <c r="A231" i="37"/>
  <c r="C231" i="37"/>
  <c r="D231" i="37"/>
  <c r="E231" i="37"/>
  <c r="F231" i="37"/>
  <c r="G231" i="37"/>
  <c r="H231" i="37"/>
  <c r="I231" i="37"/>
  <c r="J231" i="37"/>
  <c r="L231" i="37"/>
  <c r="M231" i="37"/>
  <c r="N231" i="37"/>
  <c r="O231" i="37"/>
  <c r="P231" i="37"/>
  <c r="Q231" i="37"/>
  <c r="R231" i="37"/>
  <c r="A232" i="37"/>
  <c r="C232" i="37"/>
  <c r="D232" i="37"/>
  <c r="E232" i="37"/>
  <c r="F232" i="37"/>
  <c r="G232" i="37"/>
  <c r="H232" i="37"/>
  <c r="I232" i="37"/>
  <c r="J232" i="37"/>
  <c r="L232" i="37"/>
  <c r="M232" i="37"/>
  <c r="N232" i="37"/>
  <c r="O232" i="37"/>
  <c r="P232" i="37"/>
  <c r="Q232" i="37"/>
  <c r="R232" i="37"/>
  <c r="A233" i="37"/>
  <c r="C233" i="37"/>
  <c r="D233" i="37"/>
  <c r="E233" i="37"/>
  <c r="F233" i="37"/>
  <c r="G233" i="37"/>
  <c r="H233" i="37"/>
  <c r="I233" i="37"/>
  <c r="J233" i="37"/>
  <c r="L233" i="37"/>
  <c r="M233" i="37"/>
  <c r="N233" i="37"/>
  <c r="O233" i="37"/>
  <c r="P233" i="37"/>
  <c r="Q233" i="37"/>
  <c r="R233" i="37"/>
  <c r="A234" i="37"/>
  <c r="C234" i="37"/>
  <c r="D234" i="37"/>
  <c r="E234" i="37"/>
  <c r="F234" i="37"/>
  <c r="G234" i="37"/>
  <c r="H234" i="37"/>
  <c r="I234" i="37"/>
  <c r="J234" i="37"/>
  <c r="L234" i="37"/>
  <c r="M234" i="37"/>
  <c r="N234" i="37"/>
  <c r="O234" i="37"/>
  <c r="P234" i="37"/>
  <c r="Q234" i="37"/>
  <c r="R234" i="37"/>
  <c r="A235" i="37"/>
  <c r="C235" i="37"/>
  <c r="D235" i="37"/>
  <c r="E235" i="37"/>
  <c r="F235" i="37"/>
  <c r="G235" i="37"/>
  <c r="H235" i="37"/>
  <c r="I235" i="37"/>
  <c r="J235" i="37"/>
  <c r="L235" i="37"/>
  <c r="M235" i="37"/>
  <c r="N235" i="37"/>
  <c r="O235" i="37"/>
  <c r="P235" i="37"/>
  <c r="Q235" i="37"/>
  <c r="R235" i="37"/>
  <c r="A236" i="37"/>
  <c r="C236" i="37"/>
  <c r="D236" i="37"/>
  <c r="E236" i="37"/>
  <c r="F236" i="37"/>
  <c r="G236" i="37"/>
  <c r="H236" i="37"/>
  <c r="I236" i="37"/>
  <c r="J236" i="37"/>
  <c r="L236" i="37"/>
  <c r="M236" i="37"/>
  <c r="N236" i="37"/>
  <c r="O236" i="37"/>
  <c r="P236" i="37"/>
  <c r="Q236" i="37"/>
  <c r="R236" i="37"/>
  <c r="A237" i="37"/>
  <c r="C237" i="37"/>
  <c r="D237" i="37"/>
  <c r="E237" i="37"/>
  <c r="F237" i="37"/>
  <c r="G237" i="37"/>
  <c r="H237" i="37"/>
  <c r="I237" i="37"/>
  <c r="J237" i="37"/>
  <c r="L237" i="37"/>
  <c r="M237" i="37"/>
  <c r="N237" i="37"/>
  <c r="O237" i="37"/>
  <c r="P237" i="37"/>
  <c r="Q237" i="37"/>
  <c r="R237" i="37"/>
  <c r="A238" i="37"/>
  <c r="C238" i="37"/>
  <c r="D238" i="37"/>
  <c r="E238" i="37"/>
  <c r="F238" i="37"/>
  <c r="G238" i="37"/>
  <c r="H238" i="37"/>
  <c r="I238" i="37"/>
  <c r="J238" i="37"/>
  <c r="L238" i="37"/>
  <c r="M238" i="37"/>
  <c r="N238" i="37"/>
  <c r="O238" i="37"/>
  <c r="P238" i="37"/>
  <c r="Q238" i="37"/>
  <c r="R238" i="37"/>
  <c r="A239" i="37"/>
  <c r="C239" i="37"/>
  <c r="D239" i="37"/>
  <c r="E239" i="37"/>
  <c r="F239" i="37"/>
  <c r="G239" i="37"/>
  <c r="H239" i="37"/>
  <c r="I239" i="37"/>
  <c r="J239" i="37"/>
  <c r="L239" i="37"/>
  <c r="M239" i="37"/>
  <c r="N239" i="37"/>
  <c r="O239" i="37"/>
  <c r="P239" i="37"/>
  <c r="Q239" i="37"/>
  <c r="R239" i="37"/>
  <c r="A240" i="37"/>
  <c r="C240" i="37"/>
  <c r="D240" i="37"/>
  <c r="E240" i="37"/>
  <c r="F240" i="37"/>
  <c r="G240" i="37"/>
  <c r="H240" i="37"/>
  <c r="I240" i="37"/>
  <c r="J240" i="37"/>
  <c r="L240" i="37"/>
  <c r="M240" i="37"/>
  <c r="N240" i="37"/>
  <c r="O240" i="37"/>
  <c r="P240" i="37"/>
  <c r="Q240" i="37"/>
  <c r="R240" i="37"/>
  <c r="A241" i="37"/>
  <c r="C241" i="37"/>
  <c r="D241" i="37"/>
  <c r="E241" i="37"/>
  <c r="F241" i="37"/>
  <c r="G241" i="37"/>
  <c r="H241" i="37"/>
  <c r="I241" i="37"/>
  <c r="J241" i="37"/>
  <c r="L241" i="37"/>
  <c r="M241" i="37"/>
  <c r="N241" i="37"/>
  <c r="O241" i="37"/>
  <c r="P241" i="37"/>
  <c r="Q241" i="37"/>
  <c r="R241" i="37"/>
  <c r="A242" i="37"/>
  <c r="C242" i="37"/>
  <c r="D242" i="37"/>
  <c r="E242" i="37"/>
  <c r="F242" i="37"/>
  <c r="G242" i="37"/>
  <c r="H242" i="37"/>
  <c r="I242" i="37"/>
  <c r="J242" i="37"/>
  <c r="L242" i="37"/>
  <c r="M242" i="37"/>
  <c r="N242" i="37"/>
  <c r="O242" i="37"/>
  <c r="P242" i="37"/>
  <c r="Q242" i="37"/>
  <c r="R242" i="37"/>
  <c r="A243" i="37"/>
  <c r="C243" i="37"/>
  <c r="D243" i="37"/>
  <c r="E243" i="37"/>
  <c r="F243" i="37"/>
  <c r="G243" i="37"/>
  <c r="H243" i="37"/>
  <c r="I243" i="37"/>
  <c r="J243" i="37"/>
  <c r="L243" i="37"/>
  <c r="M243" i="37"/>
  <c r="N243" i="37"/>
  <c r="O243" i="37"/>
  <c r="P243" i="37"/>
  <c r="Q243" i="37"/>
  <c r="R243" i="37"/>
  <c r="A244" i="37"/>
  <c r="C244" i="37"/>
  <c r="D244" i="37"/>
  <c r="E244" i="37"/>
  <c r="F244" i="37"/>
  <c r="G244" i="37"/>
  <c r="H244" i="37"/>
  <c r="I244" i="37"/>
  <c r="J244" i="37"/>
  <c r="L244" i="37"/>
  <c r="M244" i="37"/>
  <c r="N244" i="37"/>
  <c r="O244" i="37"/>
  <c r="P244" i="37"/>
  <c r="Q244" i="37"/>
  <c r="R244" i="37"/>
  <c r="A245" i="37"/>
  <c r="C245" i="37"/>
  <c r="D245" i="37"/>
  <c r="E245" i="37"/>
  <c r="F245" i="37"/>
  <c r="G245" i="37"/>
  <c r="H245" i="37"/>
  <c r="I245" i="37"/>
  <c r="J245" i="37"/>
  <c r="L245" i="37"/>
  <c r="M245" i="37"/>
  <c r="N245" i="37"/>
  <c r="O245" i="37"/>
  <c r="P245" i="37"/>
  <c r="Q245" i="37"/>
  <c r="R245" i="37"/>
  <c r="A246" i="37"/>
  <c r="C246" i="37"/>
  <c r="D246" i="37"/>
  <c r="E246" i="37"/>
  <c r="F246" i="37"/>
  <c r="G246" i="37"/>
  <c r="H246" i="37"/>
  <c r="I246" i="37"/>
  <c r="J246" i="37"/>
  <c r="L246" i="37"/>
  <c r="M246" i="37"/>
  <c r="N246" i="37"/>
  <c r="O246" i="37"/>
  <c r="P246" i="37"/>
  <c r="Q246" i="37"/>
  <c r="R246" i="37"/>
  <c r="A247" i="37"/>
  <c r="C247" i="37"/>
  <c r="D247" i="37"/>
  <c r="E247" i="37"/>
  <c r="F247" i="37"/>
  <c r="G247" i="37"/>
  <c r="H247" i="37"/>
  <c r="I247" i="37"/>
  <c r="J247" i="37"/>
  <c r="L247" i="37"/>
  <c r="M247" i="37"/>
  <c r="N247" i="37"/>
  <c r="O247" i="37"/>
  <c r="P247" i="37"/>
  <c r="Q247" i="37"/>
  <c r="R247" i="37"/>
  <c r="A248" i="37"/>
  <c r="C248" i="37"/>
  <c r="D248" i="37"/>
  <c r="E248" i="37"/>
  <c r="F248" i="37"/>
  <c r="G248" i="37"/>
  <c r="H248" i="37"/>
  <c r="I248" i="37"/>
  <c r="J248" i="37"/>
  <c r="L248" i="37"/>
  <c r="M248" i="37"/>
  <c r="N248" i="37"/>
  <c r="O248" i="37"/>
  <c r="P248" i="37"/>
  <c r="Q248" i="37"/>
  <c r="R248" i="37"/>
  <c r="A249" i="37"/>
  <c r="C249" i="37"/>
  <c r="D249" i="37"/>
  <c r="E249" i="37"/>
  <c r="F249" i="37"/>
  <c r="G249" i="37"/>
  <c r="H249" i="37"/>
  <c r="I249" i="37"/>
  <c r="J249" i="37"/>
  <c r="L249" i="37"/>
  <c r="M249" i="37"/>
  <c r="N249" i="37"/>
  <c r="O249" i="37"/>
  <c r="P249" i="37"/>
  <c r="Q249" i="37"/>
  <c r="R249" i="37"/>
  <c r="A250" i="37"/>
  <c r="C250" i="37"/>
  <c r="D250" i="37"/>
  <c r="E250" i="37"/>
  <c r="F250" i="37"/>
  <c r="G250" i="37"/>
  <c r="H250" i="37"/>
  <c r="I250" i="37"/>
  <c r="J250" i="37"/>
  <c r="L250" i="37"/>
  <c r="M250" i="37"/>
  <c r="N250" i="37"/>
  <c r="O250" i="37"/>
  <c r="P250" i="37"/>
  <c r="Q250" i="37"/>
  <c r="R250" i="37"/>
  <c r="A251" i="37"/>
  <c r="C251" i="37"/>
  <c r="D251" i="37"/>
  <c r="E251" i="37"/>
  <c r="F251" i="37"/>
  <c r="G251" i="37"/>
  <c r="H251" i="37"/>
  <c r="I251" i="37"/>
  <c r="J251" i="37"/>
  <c r="L251" i="37"/>
  <c r="M251" i="37"/>
  <c r="N251" i="37"/>
  <c r="O251" i="37"/>
  <c r="P251" i="37"/>
  <c r="Q251" i="37"/>
  <c r="R251" i="37"/>
  <c r="A252" i="37"/>
  <c r="C252" i="37"/>
  <c r="D252" i="37"/>
  <c r="E252" i="37"/>
  <c r="F252" i="37"/>
  <c r="G252" i="37"/>
  <c r="H252" i="37"/>
  <c r="I252" i="37"/>
  <c r="J252" i="37"/>
  <c r="L252" i="37"/>
  <c r="M252" i="37"/>
  <c r="N252" i="37"/>
  <c r="O252" i="37"/>
  <c r="P252" i="37"/>
  <c r="Q252" i="37"/>
  <c r="R252" i="37"/>
  <c r="A253" i="37"/>
  <c r="C253" i="37"/>
  <c r="D253" i="37"/>
  <c r="E253" i="37"/>
  <c r="F253" i="37"/>
  <c r="G253" i="37"/>
  <c r="H253" i="37"/>
  <c r="I253" i="37"/>
  <c r="J253" i="37"/>
  <c r="L253" i="37"/>
  <c r="M253" i="37"/>
  <c r="N253" i="37"/>
  <c r="O253" i="37"/>
  <c r="P253" i="37"/>
  <c r="Q253" i="37"/>
  <c r="R253" i="37"/>
  <c r="A254" i="37"/>
  <c r="C254" i="37"/>
  <c r="D254" i="37"/>
  <c r="E254" i="37"/>
  <c r="F254" i="37"/>
  <c r="G254" i="37"/>
  <c r="H254" i="37"/>
  <c r="I254" i="37"/>
  <c r="J254" i="37"/>
  <c r="L254" i="37"/>
  <c r="M254" i="37"/>
  <c r="N254" i="37"/>
  <c r="O254" i="37"/>
  <c r="P254" i="37"/>
  <c r="Q254" i="37"/>
  <c r="R254" i="37"/>
  <c r="A255" i="37"/>
  <c r="C255" i="37"/>
  <c r="D255" i="37"/>
  <c r="E255" i="37"/>
  <c r="F255" i="37"/>
  <c r="G255" i="37"/>
  <c r="H255" i="37"/>
  <c r="I255" i="37"/>
  <c r="J255" i="37"/>
  <c r="L255" i="37"/>
  <c r="M255" i="37"/>
  <c r="N255" i="37"/>
  <c r="O255" i="37"/>
  <c r="P255" i="37"/>
  <c r="Q255" i="37"/>
  <c r="R255" i="37"/>
  <c r="A256" i="37"/>
  <c r="C256" i="37"/>
  <c r="D256" i="37"/>
  <c r="E256" i="37"/>
  <c r="F256" i="37"/>
  <c r="G256" i="37"/>
  <c r="H256" i="37"/>
  <c r="I256" i="37"/>
  <c r="J256" i="37"/>
  <c r="L256" i="37"/>
  <c r="M256" i="37"/>
  <c r="N256" i="37"/>
  <c r="O256" i="37"/>
  <c r="P256" i="37"/>
  <c r="Q256" i="37"/>
  <c r="R256" i="37"/>
  <c r="A257" i="37"/>
  <c r="C257" i="37"/>
  <c r="D257" i="37"/>
  <c r="E257" i="37"/>
  <c r="F257" i="37"/>
  <c r="G257" i="37"/>
  <c r="H257" i="37"/>
  <c r="I257" i="37"/>
  <c r="J257" i="37"/>
  <c r="L257" i="37"/>
  <c r="M257" i="37"/>
  <c r="N257" i="37"/>
  <c r="O257" i="37"/>
  <c r="P257" i="37"/>
  <c r="Q257" i="37"/>
  <c r="R257" i="37"/>
  <c r="A258" i="37"/>
  <c r="C258" i="37"/>
  <c r="D258" i="37"/>
  <c r="E258" i="37"/>
  <c r="F258" i="37"/>
  <c r="G258" i="37"/>
  <c r="H258" i="37"/>
  <c r="I258" i="37"/>
  <c r="J258" i="37"/>
  <c r="L258" i="37"/>
  <c r="M258" i="37"/>
  <c r="N258" i="37"/>
  <c r="O258" i="37"/>
  <c r="P258" i="37"/>
  <c r="Q258" i="37"/>
  <c r="R258" i="37"/>
  <c r="A259" i="37"/>
  <c r="C259" i="37"/>
  <c r="D259" i="37"/>
  <c r="E259" i="37"/>
  <c r="F259" i="37"/>
  <c r="G259" i="37"/>
  <c r="H259" i="37"/>
  <c r="I259" i="37"/>
  <c r="J259" i="37"/>
  <c r="L259" i="37"/>
  <c r="M259" i="37"/>
  <c r="N259" i="37"/>
  <c r="O259" i="37"/>
  <c r="P259" i="37"/>
  <c r="Q259" i="37"/>
  <c r="R259" i="37"/>
  <c r="A260" i="37"/>
  <c r="C260" i="37"/>
  <c r="D260" i="37"/>
  <c r="E260" i="37"/>
  <c r="F260" i="37"/>
  <c r="G260" i="37"/>
  <c r="H260" i="37"/>
  <c r="I260" i="37"/>
  <c r="J260" i="37"/>
  <c r="L260" i="37"/>
  <c r="M260" i="37"/>
  <c r="N260" i="37"/>
  <c r="O260" i="37"/>
  <c r="P260" i="37"/>
  <c r="Q260" i="37"/>
  <c r="R260" i="37"/>
  <c r="A261" i="37"/>
  <c r="C261" i="37"/>
  <c r="D261" i="37"/>
  <c r="E261" i="37"/>
  <c r="F261" i="37"/>
  <c r="G261" i="37"/>
  <c r="H261" i="37"/>
  <c r="I261" i="37"/>
  <c r="J261" i="37"/>
  <c r="L261" i="37"/>
  <c r="M261" i="37"/>
  <c r="N261" i="37"/>
  <c r="O261" i="37"/>
  <c r="P261" i="37"/>
  <c r="Q261" i="37"/>
  <c r="R261" i="37"/>
  <c r="A262" i="37"/>
  <c r="C262" i="37"/>
  <c r="D262" i="37"/>
  <c r="E262" i="37"/>
  <c r="F262" i="37"/>
  <c r="G262" i="37"/>
  <c r="H262" i="37"/>
  <c r="I262" i="37"/>
  <c r="J262" i="37"/>
  <c r="L262" i="37"/>
  <c r="M262" i="37"/>
  <c r="N262" i="37"/>
  <c r="O262" i="37"/>
  <c r="P262" i="37"/>
  <c r="Q262" i="37"/>
  <c r="R262" i="37"/>
  <c r="A263" i="37"/>
  <c r="C263" i="37"/>
  <c r="D263" i="37"/>
  <c r="E263" i="37"/>
  <c r="F263" i="37"/>
  <c r="G263" i="37"/>
  <c r="H263" i="37"/>
  <c r="I263" i="37"/>
  <c r="J263" i="37"/>
  <c r="L263" i="37"/>
  <c r="M263" i="37"/>
  <c r="N263" i="37"/>
  <c r="O263" i="37"/>
  <c r="P263" i="37"/>
  <c r="Q263" i="37"/>
  <c r="R263" i="37"/>
  <c r="A264" i="37"/>
  <c r="C264" i="37"/>
  <c r="D264" i="37"/>
  <c r="E264" i="37"/>
  <c r="F264" i="37"/>
  <c r="G264" i="37"/>
  <c r="H264" i="37"/>
  <c r="I264" i="37"/>
  <c r="J264" i="37"/>
  <c r="L264" i="37"/>
  <c r="M264" i="37"/>
  <c r="N264" i="37"/>
  <c r="O264" i="37"/>
  <c r="P264" i="37"/>
  <c r="Q264" i="37"/>
  <c r="R264" i="37"/>
  <c r="A265" i="37"/>
  <c r="C265" i="37"/>
  <c r="D265" i="37"/>
  <c r="E265" i="37"/>
  <c r="F265" i="37"/>
  <c r="G265" i="37"/>
  <c r="H265" i="37"/>
  <c r="I265" i="37"/>
  <c r="J265" i="37"/>
  <c r="L265" i="37"/>
  <c r="M265" i="37"/>
  <c r="N265" i="37"/>
  <c r="O265" i="37"/>
  <c r="P265" i="37"/>
  <c r="Q265" i="37"/>
  <c r="R265" i="37"/>
  <c r="A266" i="37"/>
  <c r="C266" i="37"/>
  <c r="D266" i="37"/>
  <c r="E266" i="37"/>
  <c r="F266" i="37"/>
  <c r="G266" i="37"/>
  <c r="H266" i="37"/>
  <c r="I266" i="37"/>
  <c r="J266" i="37"/>
  <c r="L266" i="37"/>
  <c r="M266" i="37"/>
  <c r="N266" i="37"/>
  <c r="O266" i="37"/>
  <c r="P266" i="37"/>
  <c r="Q266" i="37"/>
  <c r="R266" i="37"/>
  <c r="J268" i="37"/>
  <c r="R268" i="37"/>
  <c r="B270" i="37"/>
  <c r="C270" i="37"/>
  <c r="D270" i="37"/>
  <c r="E270" i="37"/>
  <c r="F270" i="37"/>
  <c r="G270" i="37"/>
  <c r="H270" i="37"/>
  <c r="I270" i="37"/>
  <c r="J270" i="37"/>
  <c r="K270" i="37"/>
  <c r="L270" i="37"/>
  <c r="M270" i="37"/>
  <c r="N270" i="37"/>
  <c r="O270" i="37"/>
  <c r="P270" i="37"/>
  <c r="Q270" i="37"/>
  <c r="R270" i="37"/>
  <c r="A1" i="14"/>
  <c r="A2" i="14"/>
  <c r="A3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D6" i="14"/>
  <c r="AE6" i="14"/>
  <c r="AF6" i="14"/>
  <c r="AG6" i="14"/>
  <c r="AH6" i="14"/>
  <c r="AI6" i="14"/>
  <c r="AJ6" i="14"/>
  <c r="AK6" i="14"/>
  <c r="AL6" i="14"/>
  <c r="AM6" i="14"/>
  <c r="AN6" i="14"/>
  <c r="AO6" i="14"/>
  <c r="AP6" i="14"/>
  <c r="AQ6" i="14"/>
  <c r="AR6" i="14"/>
  <c r="AS6" i="14"/>
  <c r="AT6" i="14"/>
  <c r="AU6" i="14"/>
  <c r="AV6" i="14"/>
  <c r="AW6" i="14"/>
  <c r="AX6" i="14"/>
  <c r="AY6" i="14"/>
  <c r="AZ6" i="14"/>
  <c r="E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D7" i="14"/>
  <c r="AE7" i="14"/>
  <c r="AF7" i="14"/>
  <c r="AG7" i="14"/>
  <c r="AH7" i="14"/>
  <c r="AI7" i="14"/>
  <c r="AJ7" i="14"/>
  <c r="AK7" i="14"/>
  <c r="AL7" i="14"/>
  <c r="AM7" i="14"/>
  <c r="AN7" i="14"/>
  <c r="AO7" i="14"/>
  <c r="AP7" i="14"/>
  <c r="AQ7" i="14"/>
  <c r="AR7" i="14"/>
  <c r="AS7" i="14"/>
  <c r="AT7" i="14"/>
  <c r="AU7" i="14"/>
  <c r="AV7" i="14"/>
  <c r="AW7" i="14"/>
  <c r="AX7" i="14"/>
  <c r="AY7" i="14"/>
  <c r="AZ7" i="14"/>
  <c r="BB8" i="14"/>
  <c r="BB9" i="14"/>
  <c r="B10" i="14"/>
  <c r="C10" i="14"/>
  <c r="BB10" i="14"/>
  <c r="C11" i="14"/>
  <c r="BB11" i="14"/>
  <c r="C12" i="14"/>
  <c r="BB12" i="14"/>
  <c r="C13" i="14"/>
  <c r="BB13" i="14"/>
  <c r="BB14" i="14"/>
  <c r="BB15" i="14"/>
  <c r="F16" i="14"/>
  <c r="G16" i="14"/>
  <c r="H16" i="14"/>
  <c r="I16" i="14"/>
  <c r="J16" i="14"/>
  <c r="K16" i="14"/>
  <c r="L16" i="14"/>
  <c r="M16" i="14"/>
  <c r="N16" i="14"/>
  <c r="O16" i="14"/>
  <c r="P16" i="14"/>
  <c r="Q16" i="14"/>
  <c r="R16" i="14"/>
  <c r="S16" i="14"/>
  <c r="T16" i="14"/>
  <c r="U16" i="14"/>
  <c r="V16" i="14"/>
  <c r="W16" i="14"/>
  <c r="X16" i="14"/>
  <c r="Y16" i="14"/>
  <c r="Z16" i="14"/>
  <c r="AA16" i="14"/>
  <c r="AB16" i="14"/>
  <c r="AC16" i="14"/>
  <c r="AD16" i="14"/>
  <c r="AE16" i="14"/>
  <c r="AF16" i="14"/>
  <c r="AG16" i="14"/>
  <c r="AH16" i="14"/>
  <c r="AI16" i="14"/>
  <c r="AJ16" i="14"/>
  <c r="AK16" i="14"/>
  <c r="AL16" i="14"/>
  <c r="AM16" i="14"/>
  <c r="AN16" i="14"/>
  <c r="AO16" i="14"/>
  <c r="AP16" i="14"/>
  <c r="AQ16" i="14"/>
  <c r="AR16" i="14"/>
  <c r="AS16" i="14"/>
  <c r="AT16" i="14"/>
  <c r="AU16" i="14"/>
  <c r="AV16" i="14"/>
  <c r="AW16" i="14"/>
  <c r="AX16" i="14"/>
  <c r="AY16" i="14"/>
  <c r="AZ16" i="14"/>
  <c r="BA16" i="14"/>
  <c r="BB16" i="14"/>
  <c r="E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W17" i="14"/>
  <c r="X17" i="14"/>
  <c r="Y17" i="14"/>
  <c r="Z17" i="14"/>
  <c r="AA17" i="14"/>
  <c r="AB17" i="14"/>
  <c r="AC17" i="14"/>
  <c r="AD17" i="14"/>
  <c r="AE17" i="14"/>
  <c r="AF17" i="14"/>
  <c r="AG17" i="14"/>
  <c r="AH17" i="14"/>
  <c r="AI17" i="14"/>
  <c r="AJ17" i="14"/>
  <c r="AK17" i="14"/>
  <c r="AL17" i="14"/>
  <c r="AM17" i="14"/>
  <c r="AN17" i="14"/>
  <c r="AO17" i="14"/>
  <c r="AP17" i="14"/>
  <c r="AQ17" i="14"/>
  <c r="AR17" i="14"/>
  <c r="AS17" i="14"/>
  <c r="AT17" i="14"/>
  <c r="AU17" i="14"/>
  <c r="AV17" i="14"/>
  <c r="AW17" i="14"/>
  <c r="AX17" i="14"/>
  <c r="AY17" i="14"/>
  <c r="AZ17" i="14"/>
  <c r="BA17" i="14"/>
  <c r="BB17" i="14"/>
  <c r="E18" i="14"/>
  <c r="F18" i="14"/>
  <c r="G18" i="14"/>
  <c r="H18" i="14"/>
  <c r="I18" i="14"/>
  <c r="J18" i="14"/>
  <c r="K18" i="14"/>
  <c r="L18" i="14"/>
  <c r="M18" i="14"/>
  <c r="N18" i="14"/>
  <c r="O18" i="14"/>
  <c r="P18" i="14"/>
  <c r="Q18" i="14"/>
  <c r="R18" i="14"/>
  <c r="S18" i="14"/>
  <c r="T18" i="14"/>
  <c r="U18" i="14"/>
  <c r="V18" i="14"/>
  <c r="W18" i="14"/>
  <c r="X18" i="14"/>
  <c r="Y18" i="14"/>
  <c r="Z18" i="14"/>
  <c r="AA18" i="14"/>
  <c r="AB18" i="14"/>
  <c r="AC18" i="14"/>
  <c r="AD18" i="14"/>
  <c r="AE18" i="14"/>
  <c r="AF18" i="14"/>
  <c r="AG18" i="14"/>
  <c r="AH18" i="14"/>
  <c r="AI18" i="14"/>
  <c r="AJ18" i="14"/>
  <c r="AK18" i="14"/>
  <c r="AL18" i="14"/>
  <c r="AM18" i="14"/>
  <c r="AN18" i="14"/>
  <c r="AO18" i="14"/>
  <c r="AP18" i="14"/>
  <c r="AQ18" i="14"/>
  <c r="AR18" i="14"/>
  <c r="AS18" i="14"/>
  <c r="AT18" i="14"/>
  <c r="AU18" i="14"/>
  <c r="AV18" i="14"/>
  <c r="AW18" i="14"/>
  <c r="AX18" i="14"/>
  <c r="AY18" i="14"/>
  <c r="AZ18" i="14"/>
  <c r="BA18" i="14"/>
  <c r="BB18" i="14"/>
  <c r="E19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U19" i="14"/>
  <c r="V19" i="14"/>
  <c r="W19" i="14"/>
  <c r="X19" i="14"/>
  <c r="Y19" i="14"/>
  <c r="Z19" i="14"/>
  <c r="AA19" i="14"/>
  <c r="AB19" i="14"/>
  <c r="AC19" i="14"/>
  <c r="AD19" i="14"/>
  <c r="AE19" i="14"/>
  <c r="AF19" i="14"/>
  <c r="AG19" i="14"/>
  <c r="AH19" i="14"/>
  <c r="AI19" i="14"/>
  <c r="AJ19" i="14"/>
  <c r="AK19" i="14"/>
  <c r="AL19" i="14"/>
  <c r="AM19" i="14"/>
  <c r="AN19" i="14"/>
  <c r="AO19" i="14"/>
  <c r="AP19" i="14"/>
  <c r="AQ19" i="14"/>
  <c r="AR19" i="14"/>
  <c r="AS19" i="14"/>
  <c r="AT19" i="14"/>
  <c r="AU19" i="14"/>
  <c r="AV19" i="14"/>
  <c r="AW19" i="14"/>
  <c r="AX19" i="14"/>
  <c r="AY19" i="14"/>
  <c r="AZ19" i="14"/>
  <c r="BA19" i="14"/>
  <c r="BB19" i="14"/>
  <c r="E20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W20" i="14"/>
  <c r="X20" i="14"/>
  <c r="Y20" i="14"/>
  <c r="Z20" i="14"/>
  <c r="AA20" i="14"/>
  <c r="AB20" i="14"/>
  <c r="AC20" i="14"/>
  <c r="AD20" i="14"/>
  <c r="AE20" i="14"/>
  <c r="AF20" i="14"/>
  <c r="AG20" i="14"/>
  <c r="AH20" i="14"/>
  <c r="AI20" i="14"/>
  <c r="AJ20" i="14"/>
  <c r="AK20" i="14"/>
  <c r="AL20" i="14"/>
  <c r="AM20" i="14"/>
  <c r="AN20" i="14"/>
  <c r="AO20" i="14"/>
  <c r="AP20" i="14"/>
  <c r="AQ20" i="14"/>
  <c r="AR20" i="14"/>
  <c r="AS20" i="14"/>
  <c r="AT20" i="14"/>
  <c r="AU20" i="14"/>
  <c r="AV20" i="14"/>
  <c r="AW20" i="14"/>
  <c r="AX20" i="14"/>
  <c r="AY20" i="14"/>
  <c r="AZ20" i="14"/>
  <c r="BA20" i="14"/>
  <c r="BB20" i="14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AI21" i="14"/>
  <c r="AJ21" i="14"/>
  <c r="AK21" i="14"/>
  <c r="AL21" i="14"/>
  <c r="AM21" i="14"/>
  <c r="AN21" i="14"/>
  <c r="AO21" i="14"/>
  <c r="AP21" i="14"/>
  <c r="AQ21" i="14"/>
  <c r="AR21" i="14"/>
  <c r="AS21" i="14"/>
  <c r="AT21" i="14"/>
  <c r="AU21" i="14"/>
  <c r="AV21" i="14"/>
  <c r="AW21" i="14"/>
  <c r="AX21" i="14"/>
  <c r="AY21" i="14"/>
  <c r="AZ21" i="14"/>
  <c r="BA21" i="14"/>
  <c r="BB21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AI22" i="14"/>
  <c r="AJ22" i="14"/>
  <c r="AK22" i="14"/>
  <c r="AL22" i="14"/>
  <c r="AM22" i="14"/>
  <c r="AN22" i="14"/>
  <c r="AO22" i="14"/>
  <c r="AP22" i="14"/>
  <c r="AQ22" i="14"/>
  <c r="AR22" i="14"/>
  <c r="AS22" i="14"/>
  <c r="AT22" i="14"/>
  <c r="AU22" i="14"/>
  <c r="AV22" i="14"/>
  <c r="AW22" i="14"/>
  <c r="AX22" i="14"/>
  <c r="AY22" i="14"/>
  <c r="AZ22" i="14"/>
  <c r="BB22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AI23" i="14"/>
  <c r="AJ23" i="14"/>
  <c r="AK23" i="14"/>
  <c r="AL23" i="14"/>
  <c r="AM23" i="14"/>
  <c r="AN23" i="14"/>
  <c r="AO23" i="14"/>
  <c r="AP23" i="14"/>
  <c r="AQ23" i="14"/>
  <c r="AR23" i="14"/>
  <c r="AS23" i="14"/>
  <c r="AT23" i="14"/>
  <c r="AU23" i="14"/>
  <c r="AV23" i="14"/>
  <c r="AW23" i="14"/>
  <c r="AX23" i="14"/>
  <c r="AY23" i="14"/>
  <c r="AZ23" i="14"/>
  <c r="BB23" i="14"/>
  <c r="BB24" i="14"/>
  <c r="BB25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AI26" i="14"/>
  <c r="AJ26" i="14"/>
  <c r="AK26" i="14"/>
  <c r="AL26" i="14"/>
  <c r="AM26" i="14"/>
  <c r="AN26" i="14"/>
  <c r="AO26" i="14"/>
  <c r="AP26" i="14"/>
  <c r="AQ26" i="14"/>
  <c r="AR26" i="14"/>
  <c r="AS26" i="14"/>
  <c r="AT26" i="14"/>
  <c r="AU26" i="14"/>
  <c r="AV26" i="14"/>
  <c r="AW26" i="14"/>
  <c r="AX26" i="14"/>
  <c r="AY26" i="14"/>
  <c r="AZ26" i="14"/>
  <c r="BA26" i="14"/>
  <c r="BB26" i="14"/>
  <c r="E27" i="14"/>
  <c r="F27" i="14"/>
  <c r="G27" i="14"/>
  <c r="H27" i="14"/>
  <c r="I27" i="14"/>
  <c r="J27" i="14"/>
  <c r="K27" i="14"/>
  <c r="L27" i="14"/>
  <c r="M27" i="14"/>
  <c r="N27" i="14"/>
  <c r="O27" i="14"/>
  <c r="P27" i="14"/>
  <c r="Q27" i="14"/>
  <c r="R27" i="14"/>
  <c r="S27" i="14"/>
  <c r="T27" i="14"/>
  <c r="U27" i="14"/>
  <c r="V27" i="14"/>
  <c r="W27" i="14"/>
  <c r="X27" i="14"/>
  <c r="Y27" i="14"/>
  <c r="Z27" i="14"/>
  <c r="AA27" i="14"/>
  <c r="AB27" i="14"/>
  <c r="AC27" i="14"/>
  <c r="AD27" i="14"/>
  <c r="AE27" i="14"/>
  <c r="AF27" i="14"/>
  <c r="AG27" i="14"/>
  <c r="AH27" i="14"/>
  <c r="AI27" i="14"/>
  <c r="AJ27" i="14"/>
  <c r="AK27" i="14"/>
  <c r="AL27" i="14"/>
  <c r="AM27" i="14"/>
  <c r="AN27" i="14"/>
  <c r="AO27" i="14"/>
  <c r="AP27" i="14"/>
  <c r="AQ27" i="14"/>
  <c r="AR27" i="14"/>
  <c r="AS27" i="14"/>
  <c r="AT27" i="14"/>
  <c r="AU27" i="14"/>
  <c r="AV27" i="14"/>
  <c r="AW27" i="14"/>
  <c r="AX27" i="14"/>
  <c r="AY27" i="14"/>
  <c r="AZ27" i="14"/>
  <c r="BA27" i="14"/>
  <c r="BB27" i="14"/>
  <c r="E28" i="14"/>
  <c r="F28" i="14"/>
  <c r="G28" i="14"/>
  <c r="H28" i="14"/>
  <c r="I28" i="14"/>
  <c r="J28" i="14"/>
  <c r="K28" i="14"/>
  <c r="L28" i="14"/>
  <c r="M28" i="14"/>
  <c r="N28" i="14"/>
  <c r="O28" i="14"/>
  <c r="P28" i="14"/>
  <c r="Q28" i="14"/>
  <c r="R28" i="14"/>
  <c r="S28" i="14"/>
  <c r="T28" i="14"/>
  <c r="U28" i="14"/>
  <c r="V28" i="14"/>
  <c r="W28" i="14"/>
  <c r="X28" i="14"/>
  <c r="Y28" i="14"/>
  <c r="Z28" i="14"/>
  <c r="AA28" i="14"/>
  <c r="AB28" i="14"/>
  <c r="AC28" i="14"/>
  <c r="AD28" i="14"/>
  <c r="AE28" i="14"/>
  <c r="AF28" i="14"/>
  <c r="AG28" i="14"/>
  <c r="AH28" i="14"/>
  <c r="AI28" i="14"/>
  <c r="AJ28" i="14"/>
  <c r="AK28" i="14"/>
  <c r="AL28" i="14"/>
  <c r="AM28" i="14"/>
  <c r="AN28" i="14"/>
  <c r="AO28" i="14"/>
  <c r="AP28" i="14"/>
  <c r="AQ28" i="14"/>
  <c r="AR28" i="14"/>
  <c r="AS28" i="14"/>
  <c r="AT28" i="14"/>
  <c r="AU28" i="14"/>
  <c r="AV28" i="14"/>
  <c r="AW28" i="14"/>
  <c r="AX28" i="14"/>
  <c r="AY28" i="14"/>
  <c r="AZ28" i="14"/>
  <c r="BA28" i="14"/>
  <c r="BB28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U29" i="14"/>
  <c r="V29" i="14"/>
  <c r="W29" i="14"/>
  <c r="X29" i="14"/>
  <c r="Y29" i="14"/>
  <c r="Z29" i="14"/>
  <c r="AA29" i="14"/>
  <c r="AB29" i="14"/>
  <c r="AC29" i="14"/>
  <c r="AD29" i="14"/>
  <c r="AE29" i="14"/>
  <c r="AF29" i="14"/>
  <c r="AG29" i="14"/>
  <c r="AH29" i="14"/>
  <c r="AI29" i="14"/>
  <c r="AJ29" i="14"/>
  <c r="AK29" i="14"/>
  <c r="AL29" i="14"/>
  <c r="AM29" i="14"/>
  <c r="AN29" i="14"/>
  <c r="AO29" i="14"/>
  <c r="AP29" i="14"/>
  <c r="AQ29" i="14"/>
  <c r="AR29" i="14"/>
  <c r="AS29" i="14"/>
  <c r="AT29" i="14"/>
  <c r="AU29" i="14"/>
  <c r="AV29" i="14"/>
  <c r="AW29" i="14"/>
  <c r="AX29" i="14"/>
  <c r="AY29" i="14"/>
  <c r="AZ29" i="14"/>
  <c r="BA29" i="14"/>
  <c r="BB29" i="14"/>
  <c r="E30" i="14"/>
  <c r="F30" i="14"/>
  <c r="G30" i="14"/>
  <c r="H30" i="14"/>
  <c r="I30" i="14"/>
  <c r="J30" i="14"/>
  <c r="K30" i="14"/>
  <c r="L30" i="14"/>
  <c r="M30" i="14"/>
  <c r="N30" i="14"/>
  <c r="O30" i="14"/>
  <c r="P30" i="14"/>
  <c r="Q30" i="14"/>
  <c r="R30" i="14"/>
  <c r="S30" i="14"/>
  <c r="T30" i="14"/>
  <c r="U30" i="14"/>
  <c r="V30" i="14"/>
  <c r="W30" i="14"/>
  <c r="X30" i="14"/>
  <c r="Y30" i="14"/>
  <c r="Z30" i="14"/>
  <c r="AA30" i="14"/>
  <c r="AB30" i="14"/>
  <c r="AC30" i="14"/>
  <c r="AD30" i="14"/>
  <c r="AE30" i="14"/>
  <c r="AF30" i="14"/>
  <c r="AG30" i="14"/>
  <c r="AH30" i="14"/>
  <c r="AI30" i="14"/>
  <c r="AJ30" i="14"/>
  <c r="AK30" i="14"/>
  <c r="AL30" i="14"/>
  <c r="AM30" i="14"/>
  <c r="AN30" i="14"/>
  <c r="AO30" i="14"/>
  <c r="AP30" i="14"/>
  <c r="AQ30" i="14"/>
  <c r="AR30" i="14"/>
  <c r="AS30" i="14"/>
  <c r="AT30" i="14"/>
  <c r="AU30" i="14"/>
  <c r="AV30" i="14"/>
  <c r="AW30" i="14"/>
  <c r="AX30" i="14"/>
  <c r="AY30" i="14"/>
  <c r="AZ30" i="14"/>
  <c r="BA30" i="14"/>
  <c r="BB30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X31" i="14"/>
  <c r="Y31" i="14"/>
  <c r="Z31" i="14"/>
  <c r="AA31" i="14"/>
  <c r="AB31" i="14"/>
  <c r="AC31" i="14"/>
  <c r="AD31" i="14"/>
  <c r="AE31" i="14"/>
  <c r="AF31" i="14"/>
  <c r="AG31" i="14"/>
  <c r="AH31" i="14"/>
  <c r="AI31" i="14"/>
  <c r="AJ31" i="14"/>
  <c r="AK31" i="14"/>
  <c r="AL31" i="14"/>
  <c r="AM31" i="14"/>
  <c r="AN31" i="14"/>
  <c r="AO31" i="14"/>
  <c r="AP31" i="14"/>
  <c r="AQ31" i="14"/>
  <c r="AR31" i="14"/>
  <c r="AS31" i="14"/>
  <c r="AT31" i="14"/>
  <c r="AU31" i="14"/>
  <c r="AV31" i="14"/>
  <c r="AW31" i="14"/>
  <c r="AX31" i="14"/>
  <c r="AY31" i="14"/>
  <c r="AZ31" i="14"/>
  <c r="BA31" i="14"/>
  <c r="BB31" i="14"/>
  <c r="BB32" i="14"/>
  <c r="BB33" i="14"/>
  <c r="F34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W34" i="14"/>
  <c r="X34" i="14"/>
  <c r="Y34" i="14"/>
  <c r="Z34" i="14"/>
  <c r="AA34" i="14"/>
  <c r="AB34" i="14"/>
  <c r="AC34" i="14"/>
  <c r="AD34" i="14"/>
  <c r="AE34" i="14"/>
  <c r="AF34" i="14"/>
  <c r="AG34" i="14"/>
  <c r="AH34" i="14"/>
  <c r="AI34" i="14"/>
  <c r="AJ34" i="14"/>
  <c r="AK34" i="14"/>
  <c r="AL34" i="14"/>
  <c r="AM34" i="14"/>
  <c r="AN34" i="14"/>
  <c r="AO34" i="14"/>
  <c r="AP34" i="14"/>
  <c r="AQ34" i="14"/>
  <c r="AR34" i="14"/>
  <c r="AS34" i="14"/>
  <c r="AT34" i="14"/>
  <c r="AU34" i="14"/>
  <c r="AV34" i="14"/>
  <c r="AW34" i="14"/>
  <c r="AX34" i="14"/>
  <c r="AY34" i="14"/>
  <c r="AZ34" i="14"/>
  <c r="BA34" i="14"/>
  <c r="BB34" i="14"/>
  <c r="E35" i="14"/>
  <c r="F35" i="14"/>
  <c r="G35" i="14"/>
  <c r="H35" i="14"/>
  <c r="I35" i="14"/>
  <c r="J35" i="14"/>
  <c r="K35" i="14"/>
  <c r="L35" i="14"/>
  <c r="M35" i="14"/>
  <c r="N35" i="14"/>
  <c r="O35" i="14"/>
  <c r="P35" i="14"/>
  <c r="Q35" i="14"/>
  <c r="R35" i="14"/>
  <c r="S35" i="14"/>
  <c r="T35" i="14"/>
  <c r="U35" i="14"/>
  <c r="V35" i="14"/>
  <c r="W35" i="14"/>
  <c r="X35" i="14"/>
  <c r="Y35" i="14"/>
  <c r="Z35" i="14"/>
  <c r="AA35" i="14"/>
  <c r="AB35" i="14"/>
  <c r="AC35" i="14"/>
  <c r="AD35" i="14"/>
  <c r="AE35" i="14"/>
  <c r="AF35" i="14"/>
  <c r="AG35" i="14"/>
  <c r="AH35" i="14"/>
  <c r="AI35" i="14"/>
  <c r="AJ35" i="14"/>
  <c r="AK35" i="14"/>
  <c r="AL35" i="14"/>
  <c r="AM35" i="14"/>
  <c r="AN35" i="14"/>
  <c r="AO35" i="14"/>
  <c r="AP35" i="14"/>
  <c r="AQ35" i="14"/>
  <c r="AR35" i="14"/>
  <c r="AS35" i="14"/>
  <c r="AT35" i="14"/>
  <c r="AU35" i="14"/>
  <c r="AV35" i="14"/>
  <c r="AW35" i="14"/>
  <c r="AX35" i="14"/>
  <c r="AY35" i="14"/>
  <c r="AZ35" i="14"/>
  <c r="BA35" i="14"/>
  <c r="BB35" i="14"/>
  <c r="E36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X36" i="14"/>
  <c r="Y36" i="14"/>
  <c r="Z36" i="14"/>
  <c r="AA36" i="14"/>
  <c r="AB36" i="14"/>
  <c r="AC36" i="14"/>
  <c r="AD36" i="14"/>
  <c r="AE36" i="14"/>
  <c r="AF36" i="14"/>
  <c r="AG36" i="14"/>
  <c r="AH36" i="14"/>
  <c r="AI36" i="14"/>
  <c r="AJ36" i="14"/>
  <c r="AK36" i="14"/>
  <c r="AL36" i="14"/>
  <c r="AM36" i="14"/>
  <c r="AN36" i="14"/>
  <c r="AO36" i="14"/>
  <c r="AP36" i="14"/>
  <c r="AQ36" i="14"/>
  <c r="AR36" i="14"/>
  <c r="AS36" i="14"/>
  <c r="AT36" i="14"/>
  <c r="AU36" i="14"/>
  <c r="AV36" i="14"/>
  <c r="AW36" i="14"/>
  <c r="AX36" i="14"/>
  <c r="AY36" i="14"/>
  <c r="AZ36" i="14"/>
  <c r="BA36" i="14"/>
  <c r="BB36" i="14"/>
  <c r="E37" i="14"/>
  <c r="F37" i="14"/>
  <c r="G37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W37" i="14"/>
  <c r="X37" i="14"/>
  <c r="Y37" i="14"/>
  <c r="Z37" i="14"/>
  <c r="AA37" i="14"/>
  <c r="AB37" i="14"/>
  <c r="AC37" i="14"/>
  <c r="AD37" i="14"/>
  <c r="AE37" i="14"/>
  <c r="AF37" i="14"/>
  <c r="AG37" i="14"/>
  <c r="AH37" i="14"/>
  <c r="AI37" i="14"/>
  <c r="AJ37" i="14"/>
  <c r="AK37" i="14"/>
  <c r="AL37" i="14"/>
  <c r="AM37" i="14"/>
  <c r="AN37" i="14"/>
  <c r="AO37" i="14"/>
  <c r="AP37" i="14"/>
  <c r="AQ37" i="14"/>
  <c r="AR37" i="14"/>
  <c r="AS37" i="14"/>
  <c r="AT37" i="14"/>
  <c r="AU37" i="14"/>
  <c r="AV37" i="14"/>
  <c r="AW37" i="14"/>
  <c r="AX37" i="14"/>
  <c r="AY37" i="14"/>
  <c r="AZ37" i="14"/>
  <c r="BA37" i="14"/>
  <c r="BB37" i="14"/>
  <c r="E38" i="14"/>
  <c r="F38" i="14"/>
  <c r="G38" i="14"/>
  <c r="H38" i="14"/>
  <c r="I38" i="14"/>
  <c r="J38" i="14"/>
  <c r="K38" i="14"/>
  <c r="L38" i="14"/>
  <c r="M38" i="14"/>
  <c r="N38" i="14"/>
  <c r="O38" i="14"/>
  <c r="P38" i="14"/>
  <c r="Q38" i="14"/>
  <c r="R38" i="14"/>
  <c r="S38" i="14"/>
  <c r="T38" i="14"/>
  <c r="U38" i="14"/>
  <c r="V38" i="14"/>
  <c r="W38" i="14"/>
  <c r="X38" i="14"/>
  <c r="Y38" i="14"/>
  <c r="Z38" i="14"/>
  <c r="AA38" i="14"/>
  <c r="AB38" i="14"/>
  <c r="AC38" i="14"/>
  <c r="AD38" i="14"/>
  <c r="AE38" i="14"/>
  <c r="AF38" i="14"/>
  <c r="AG38" i="14"/>
  <c r="AH38" i="14"/>
  <c r="AI38" i="14"/>
  <c r="AJ38" i="14"/>
  <c r="AK38" i="14"/>
  <c r="AL38" i="14"/>
  <c r="AM38" i="14"/>
  <c r="AN38" i="14"/>
  <c r="AO38" i="14"/>
  <c r="AP38" i="14"/>
  <c r="AQ38" i="14"/>
  <c r="AR38" i="14"/>
  <c r="AS38" i="14"/>
  <c r="AT38" i="14"/>
  <c r="AU38" i="14"/>
  <c r="AV38" i="14"/>
  <c r="AW38" i="14"/>
  <c r="AX38" i="14"/>
  <c r="AY38" i="14"/>
  <c r="AZ38" i="14"/>
  <c r="BA38" i="14"/>
  <c r="BB38" i="14"/>
  <c r="E39" i="14"/>
  <c r="F39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U39" i="14"/>
  <c r="V39" i="14"/>
  <c r="W39" i="14"/>
  <c r="X39" i="14"/>
  <c r="Y39" i="14"/>
  <c r="Z39" i="14"/>
  <c r="AA39" i="14"/>
  <c r="AB39" i="14"/>
  <c r="AC39" i="14"/>
  <c r="AD39" i="14"/>
  <c r="AE39" i="14"/>
  <c r="AF39" i="14"/>
  <c r="AG39" i="14"/>
  <c r="AH39" i="14"/>
  <c r="AI39" i="14"/>
  <c r="AJ39" i="14"/>
  <c r="AK39" i="14"/>
  <c r="AL39" i="14"/>
  <c r="AM39" i="14"/>
  <c r="AN39" i="14"/>
  <c r="AO39" i="14"/>
  <c r="AP39" i="14"/>
  <c r="AQ39" i="14"/>
  <c r="AR39" i="14"/>
  <c r="AS39" i="14"/>
  <c r="AT39" i="14"/>
  <c r="AU39" i="14"/>
  <c r="AV39" i="14"/>
  <c r="AW39" i="14"/>
  <c r="AX39" i="14"/>
  <c r="AY39" i="14"/>
  <c r="AZ39" i="14"/>
  <c r="BA39" i="14"/>
  <c r="BB39" i="14"/>
  <c r="E40" i="14"/>
  <c r="F40" i="14"/>
  <c r="G40" i="14"/>
  <c r="H40" i="14"/>
  <c r="I40" i="14"/>
  <c r="J40" i="14"/>
  <c r="K40" i="14"/>
  <c r="L40" i="14"/>
  <c r="M40" i="14"/>
  <c r="N40" i="14"/>
  <c r="O40" i="14"/>
  <c r="P40" i="14"/>
  <c r="Q40" i="14"/>
  <c r="R40" i="14"/>
  <c r="S40" i="14"/>
  <c r="T40" i="14"/>
  <c r="U40" i="14"/>
  <c r="V40" i="14"/>
  <c r="W40" i="14"/>
  <c r="X40" i="14"/>
  <c r="Y40" i="14"/>
  <c r="Z40" i="14"/>
  <c r="AA40" i="14"/>
  <c r="AB40" i="14"/>
  <c r="AC40" i="14"/>
  <c r="AD40" i="14"/>
  <c r="AE40" i="14"/>
  <c r="AF40" i="14"/>
  <c r="AG40" i="14"/>
  <c r="AH40" i="14"/>
  <c r="AI40" i="14"/>
  <c r="AJ40" i="14"/>
  <c r="AK40" i="14"/>
  <c r="AL40" i="14"/>
  <c r="AM40" i="14"/>
  <c r="AN40" i="14"/>
  <c r="AO40" i="14"/>
  <c r="AP40" i="14"/>
  <c r="AQ40" i="14"/>
  <c r="AR40" i="14"/>
  <c r="AS40" i="14"/>
  <c r="AT40" i="14"/>
  <c r="AU40" i="14"/>
  <c r="AV40" i="14"/>
  <c r="AW40" i="14"/>
  <c r="AX40" i="14"/>
  <c r="AY40" i="14"/>
  <c r="AZ40" i="14"/>
  <c r="BA40" i="14"/>
  <c r="BB40" i="14"/>
  <c r="BB41" i="14"/>
  <c r="BB42" i="14"/>
  <c r="F43" i="14"/>
  <c r="G43" i="14"/>
  <c r="H43" i="14"/>
  <c r="I43" i="14"/>
  <c r="J43" i="14"/>
  <c r="K43" i="14"/>
  <c r="L43" i="14"/>
  <c r="M43" i="14"/>
  <c r="N43" i="14"/>
  <c r="O43" i="14"/>
  <c r="P43" i="14"/>
  <c r="Q43" i="14"/>
  <c r="R43" i="14"/>
  <c r="S43" i="14"/>
  <c r="T43" i="14"/>
  <c r="U43" i="14"/>
  <c r="V43" i="14"/>
  <c r="W43" i="14"/>
  <c r="X43" i="14"/>
  <c r="Y43" i="14"/>
  <c r="Z43" i="14"/>
  <c r="AA43" i="14"/>
  <c r="AB43" i="14"/>
  <c r="AC43" i="14"/>
  <c r="AD43" i="14"/>
  <c r="AE43" i="14"/>
  <c r="AF43" i="14"/>
  <c r="AG43" i="14"/>
  <c r="AH43" i="14"/>
  <c r="AI43" i="14"/>
  <c r="AJ43" i="14"/>
  <c r="AK43" i="14"/>
  <c r="AL43" i="14"/>
  <c r="AM43" i="14"/>
  <c r="AN43" i="14"/>
  <c r="AO43" i="14"/>
  <c r="AP43" i="14"/>
  <c r="AQ43" i="14"/>
  <c r="AR43" i="14"/>
  <c r="AS43" i="14"/>
  <c r="AT43" i="14"/>
  <c r="AU43" i="14"/>
  <c r="AV43" i="14"/>
  <c r="AW43" i="14"/>
  <c r="AX43" i="14"/>
  <c r="AY43" i="14"/>
  <c r="AZ43" i="14"/>
  <c r="BA43" i="14"/>
  <c r="BB43" i="14"/>
  <c r="E44" i="14"/>
  <c r="F44" i="14"/>
  <c r="G44" i="14"/>
  <c r="H44" i="14"/>
  <c r="I44" i="14"/>
  <c r="J44" i="14"/>
  <c r="K44" i="14"/>
  <c r="L44" i="14"/>
  <c r="M44" i="14"/>
  <c r="N44" i="14"/>
  <c r="O44" i="14"/>
  <c r="P44" i="14"/>
  <c r="Q44" i="14"/>
  <c r="R44" i="14"/>
  <c r="S44" i="14"/>
  <c r="T44" i="14"/>
  <c r="U44" i="14"/>
  <c r="V44" i="14"/>
  <c r="W44" i="14"/>
  <c r="X44" i="14"/>
  <c r="Y44" i="14"/>
  <c r="Z44" i="14"/>
  <c r="AA44" i="14"/>
  <c r="AB44" i="14"/>
  <c r="AC44" i="14"/>
  <c r="AD44" i="14"/>
  <c r="AE44" i="14"/>
  <c r="AF44" i="14"/>
  <c r="AG44" i="14"/>
  <c r="AH44" i="14"/>
  <c r="AI44" i="14"/>
  <c r="AJ44" i="14"/>
  <c r="AK44" i="14"/>
  <c r="AL44" i="14"/>
  <c r="AM44" i="14"/>
  <c r="AN44" i="14"/>
  <c r="AO44" i="14"/>
  <c r="AP44" i="14"/>
  <c r="AQ44" i="14"/>
  <c r="AR44" i="14"/>
  <c r="AS44" i="14"/>
  <c r="AT44" i="14"/>
  <c r="AU44" i="14"/>
  <c r="AV44" i="14"/>
  <c r="AW44" i="14"/>
  <c r="AX44" i="14"/>
  <c r="AY44" i="14"/>
  <c r="AZ44" i="14"/>
  <c r="BA44" i="14"/>
  <c r="BB44" i="14"/>
  <c r="E45" i="14"/>
  <c r="F45" i="14"/>
  <c r="G45" i="14"/>
  <c r="H45" i="14"/>
  <c r="I45" i="14"/>
  <c r="J45" i="14"/>
  <c r="K45" i="14"/>
  <c r="L45" i="14"/>
  <c r="M45" i="14"/>
  <c r="N45" i="14"/>
  <c r="O45" i="14"/>
  <c r="P45" i="14"/>
  <c r="Q45" i="14"/>
  <c r="R45" i="14"/>
  <c r="S45" i="14"/>
  <c r="T45" i="14"/>
  <c r="U45" i="14"/>
  <c r="V45" i="14"/>
  <c r="W45" i="14"/>
  <c r="X45" i="14"/>
  <c r="Y45" i="14"/>
  <c r="Z45" i="14"/>
  <c r="AA45" i="14"/>
  <c r="AB45" i="14"/>
  <c r="AC45" i="14"/>
  <c r="AD45" i="14"/>
  <c r="AE45" i="14"/>
  <c r="AF45" i="14"/>
  <c r="AG45" i="14"/>
  <c r="AH45" i="14"/>
  <c r="AI45" i="14"/>
  <c r="AJ45" i="14"/>
  <c r="AK45" i="14"/>
  <c r="AL45" i="14"/>
  <c r="AM45" i="14"/>
  <c r="AN45" i="14"/>
  <c r="AO45" i="14"/>
  <c r="AP45" i="14"/>
  <c r="AQ45" i="14"/>
  <c r="AR45" i="14"/>
  <c r="AS45" i="14"/>
  <c r="AT45" i="14"/>
  <c r="AU45" i="14"/>
  <c r="AV45" i="14"/>
  <c r="AW45" i="14"/>
  <c r="AX45" i="14"/>
  <c r="AY45" i="14"/>
  <c r="AZ45" i="14"/>
  <c r="BA45" i="14"/>
  <c r="BB45" i="14"/>
  <c r="E46" i="14"/>
  <c r="F46" i="14"/>
  <c r="G46" i="14"/>
  <c r="H46" i="14"/>
  <c r="I46" i="14"/>
  <c r="J46" i="14"/>
  <c r="K46" i="14"/>
  <c r="L46" i="14"/>
  <c r="M46" i="14"/>
  <c r="N46" i="14"/>
  <c r="O46" i="14"/>
  <c r="P46" i="14"/>
  <c r="Q46" i="14"/>
  <c r="R46" i="14"/>
  <c r="S46" i="14"/>
  <c r="T46" i="14"/>
  <c r="U46" i="14"/>
  <c r="V46" i="14"/>
  <c r="W46" i="14"/>
  <c r="X46" i="14"/>
  <c r="Y46" i="14"/>
  <c r="Z46" i="14"/>
  <c r="AA46" i="14"/>
  <c r="AB46" i="14"/>
  <c r="AC46" i="14"/>
  <c r="AD46" i="14"/>
  <c r="AE46" i="14"/>
  <c r="AF46" i="14"/>
  <c r="AG46" i="14"/>
  <c r="AH46" i="14"/>
  <c r="AI46" i="14"/>
  <c r="AJ46" i="14"/>
  <c r="AK46" i="14"/>
  <c r="AL46" i="14"/>
  <c r="AM46" i="14"/>
  <c r="AN46" i="14"/>
  <c r="AO46" i="14"/>
  <c r="AP46" i="14"/>
  <c r="AQ46" i="14"/>
  <c r="AR46" i="14"/>
  <c r="AS46" i="14"/>
  <c r="AT46" i="14"/>
  <c r="AU46" i="14"/>
  <c r="AV46" i="14"/>
  <c r="AW46" i="14"/>
  <c r="AX46" i="14"/>
  <c r="AY46" i="14"/>
  <c r="AZ46" i="14"/>
  <c r="BA46" i="14"/>
  <c r="BB46" i="14"/>
  <c r="E47" i="14"/>
  <c r="F47" i="14"/>
  <c r="G47" i="14"/>
  <c r="H47" i="14"/>
  <c r="I47" i="14"/>
  <c r="J47" i="14"/>
  <c r="K47" i="14"/>
  <c r="L47" i="14"/>
  <c r="M47" i="14"/>
  <c r="N47" i="14"/>
  <c r="O47" i="14"/>
  <c r="P47" i="14"/>
  <c r="Q47" i="14"/>
  <c r="R47" i="14"/>
  <c r="S47" i="14"/>
  <c r="T47" i="14"/>
  <c r="U47" i="14"/>
  <c r="V47" i="14"/>
  <c r="W47" i="14"/>
  <c r="X47" i="14"/>
  <c r="Y47" i="14"/>
  <c r="Z47" i="14"/>
  <c r="AA47" i="14"/>
  <c r="AB47" i="14"/>
  <c r="AC47" i="14"/>
  <c r="AD47" i="14"/>
  <c r="AE47" i="14"/>
  <c r="AF47" i="14"/>
  <c r="AG47" i="14"/>
  <c r="AH47" i="14"/>
  <c r="AI47" i="14"/>
  <c r="AJ47" i="14"/>
  <c r="AK47" i="14"/>
  <c r="AL47" i="14"/>
  <c r="AM47" i="14"/>
  <c r="AN47" i="14"/>
  <c r="AO47" i="14"/>
  <c r="AP47" i="14"/>
  <c r="AQ47" i="14"/>
  <c r="AR47" i="14"/>
  <c r="AS47" i="14"/>
  <c r="AT47" i="14"/>
  <c r="AU47" i="14"/>
  <c r="AV47" i="14"/>
  <c r="AW47" i="14"/>
  <c r="AX47" i="14"/>
  <c r="AY47" i="14"/>
  <c r="AZ47" i="14"/>
  <c r="BA47" i="14"/>
  <c r="BB47" i="14"/>
  <c r="E48" i="14"/>
  <c r="F48" i="14"/>
  <c r="G48" i="14"/>
  <c r="H48" i="14"/>
  <c r="I48" i="14"/>
  <c r="J48" i="14"/>
  <c r="K48" i="14"/>
  <c r="L48" i="14"/>
  <c r="M48" i="14"/>
  <c r="N48" i="14"/>
  <c r="O48" i="14"/>
  <c r="P48" i="14"/>
  <c r="Q48" i="14"/>
  <c r="R48" i="14"/>
  <c r="S48" i="14"/>
  <c r="T48" i="14"/>
  <c r="U48" i="14"/>
  <c r="V48" i="14"/>
  <c r="W48" i="14"/>
  <c r="X48" i="14"/>
  <c r="Y48" i="14"/>
  <c r="Z48" i="14"/>
  <c r="AA48" i="14"/>
  <c r="AB48" i="14"/>
  <c r="AC48" i="14"/>
  <c r="AD48" i="14"/>
  <c r="AE48" i="14"/>
  <c r="AF48" i="14"/>
  <c r="AG48" i="14"/>
  <c r="AH48" i="14"/>
  <c r="AI48" i="14"/>
  <c r="AJ48" i="14"/>
  <c r="AK48" i="14"/>
  <c r="AL48" i="14"/>
  <c r="AM48" i="14"/>
  <c r="AN48" i="14"/>
  <c r="AO48" i="14"/>
  <c r="AP48" i="14"/>
  <c r="AQ48" i="14"/>
  <c r="AR48" i="14"/>
  <c r="AS48" i="14"/>
  <c r="AT48" i="14"/>
  <c r="AU48" i="14"/>
  <c r="AV48" i="14"/>
  <c r="AW48" i="14"/>
  <c r="AX48" i="14"/>
  <c r="AY48" i="14"/>
  <c r="AZ48" i="14"/>
  <c r="BA48" i="14"/>
  <c r="BB48" i="14"/>
  <c r="E49" i="14"/>
  <c r="F49" i="14"/>
  <c r="G49" i="14"/>
  <c r="H49" i="14"/>
  <c r="I49" i="14"/>
  <c r="J49" i="14"/>
  <c r="K49" i="14"/>
  <c r="L49" i="14"/>
  <c r="M49" i="14"/>
  <c r="N49" i="14"/>
  <c r="O49" i="14"/>
  <c r="P49" i="14"/>
  <c r="Q49" i="14"/>
  <c r="R49" i="14"/>
  <c r="S49" i="14"/>
  <c r="T49" i="14"/>
  <c r="U49" i="14"/>
  <c r="V49" i="14"/>
  <c r="W49" i="14"/>
  <c r="X49" i="14"/>
  <c r="Y49" i="14"/>
  <c r="Z49" i="14"/>
  <c r="AA49" i="14"/>
  <c r="AB49" i="14"/>
  <c r="AC49" i="14"/>
  <c r="AD49" i="14"/>
  <c r="AE49" i="14"/>
  <c r="AF49" i="14"/>
  <c r="AG49" i="14"/>
  <c r="AH49" i="14"/>
  <c r="AI49" i="14"/>
  <c r="AJ49" i="14"/>
  <c r="AK49" i="14"/>
  <c r="AL49" i="14"/>
  <c r="AM49" i="14"/>
  <c r="AN49" i="14"/>
  <c r="AO49" i="14"/>
  <c r="AP49" i="14"/>
  <c r="AQ49" i="14"/>
  <c r="AR49" i="14"/>
  <c r="AS49" i="14"/>
  <c r="AT49" i="14"/>
  <c r="AU49" i="14"/>
  <c r="AV49" i="14"/>
  <c r="AW49" i="14"/>
  <c r="AX49" i="14"/>
  <c r="AY49" i="14"/>
  <c r="AZ49" i="14"/>
  <c r="BA49" i="14"/>
  <c r="BB49" i="14"/>
  <c r="BB50" i="14"/>
  <c r="E51" i="14"/>
  <c r="F51" i="14"/>
  <c r="G51" i="14"/>
  <c r="H51" i="14"/>
  <c r="I51" i="14"/>
  <c r="J51" i="14"/>
  <c r="K51" i="14"/>
  <c r="L51" i="14"/>
  <c r="M51" i="14"/>
  <c r="N51" i="14"/>
  <c r="O51" i="14"/>
  <c r="P51" i="14"/>
  <c r="Q51" i="14"/>
  <c r="R51" i="14"/>
  <c r="S51" i="14"/>
  <c r="T51" i="14"/>
  <c r="U51" i="14"/>
  <c r="V51" i="14"/>
  <c r="W51" i="14"/>
  <c r="X51" i="14"/>
  <c r="Y51" i="14"/>
  <c r="Z51" i="14"/>
  <c r="AA51" i="14"/>
  <c r="AB51" i="14"/>
  <c r="AC51" i="14"/>
  <c r="AD51" i="14"/>
  <c r="AE51" i="14"/>
  <c r="AF51" i="14"/>
  <c r="AG51" i="14"/>
  <c r="AH51" i="14"/>
  <c r="AI51" i="14"/>
  <c r="AJ51" i="14"/>
  <c r="AK51" i="14"/>
  <c r="AL51" i="14"/>
  <c r="AM51" i="14"/>
  <c r="AN51" i="14"/>
  <c r="AO51" i="14"/>
  <c r="AP51" i="14"/>
  <c r="AQ51" i="14"/>
  <c r="AR51" i="14"/>
  <c r="AS51" i="14"/>
  <c r="AT51" i="14"/>
  <c r="AU51" i="14"/>
  <c r="AV51" i="14"/>
  <c r="AW51" i="14"/>
  <c r="AX51" i="14"/>
  <c r="AY51" i="14"/>
  <c r="AZ51" i="14"/>
  <c r="BA51" i="14"/>
  <c r="BB51" i="14"/>
  <c r="E52" i="14"/>
  <c r="F52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U52" i="14"/>
  <c r="V52" i="14"/>
  <c r="W52" i="14"/>
  <c r="X52" i="14"/>
  <c r="Y52" i="14"/>
  <c r="Z52" i="14"/>
  <c r="AA52" i="14"/>
  <c r="AB52" i="14"/>
  <c r="AC52" i="14"/>
  <c r="AD52" i="14"/>
  <c r="AE52" i="14"/>
  <c r="AF52" i="14"/>
  <c r="AG52" i="14"/>
  <c r="AH52" i="14"/>
  <c r="AI52" i="14"/>
  <c r="AJ52" i="14"/>
  <c r="AK52" i="14"/>
  <c r="AL52" i="14"/>
  <c r="AM52" i="14"/>
  <c r="AN52" i="14"/>
  <c r="AO52" i="14"/>
  <c r="AP52" i="14"/>
  <c r="AQ52" i="14"/>
  <c r="AR52" i="14"/>
  <c r="AS52" i="14"/>
  <c r="AT52" i="14"/>
  <c r="AU52" i="14"/>
  <c r="AV52" i="14"/>
  <c r="AW52" i="14"/>
  <c r="AX52" i="14"/>
  <c r="AY52" i="14"/>
  <c r="AZ52" i="14"/>
  <c r="BA52" i="14"/>
  <c r="BB52" i="14"/>
  <c r="E53" i="14"/>
  <c r="F53" i="14"/>
  <c r="G53" i="14"/>
  <c r="H53" i="14"/>
  <c r="I53" i="14"/>
  <c r="J53" i="14"/>
  <c r="K53" i="14"/>
  <c r="L53" i="14"/>
  <c r="M53" i="14"/>
  <c r="N53" i="14"/>
  <c r="O53" i="14"/>
  <c r="P53" i="14"/>
  <c r="Q53" i="14"/>
  <c r="R53" i="14"/>
  <c r="S53" i="14"/>
  <c r="T53" i="14"/>
  <c r="U53" i="14"/>
  <c r="V53" i="14"/>
  <c r="W53" i="14"/>
  <c r="X53" i="14"/>
  <c r="Y53" i="14"/>
  <c r="Z53" i="14"/>
  <c r="AA53" i="14"/>
  <c r="AB53" i="14"/>
  <c r="AC53" i="14"/>
  <c r="AD53" i="14"/>
  <c r="AE53" i="14"/>
  <c r="AF53" i="14"/>
  <c r="AG53" i="14"/>
  <c r="AH53" i="14"/>
  <c r="AI53" i="14"/>
  <c r="AJ53" i="14"/>
  <c r="AK53" i="14"/>
  <c r="AL53" i="14"/>
  <c r="AM53" i="14"/>
  <c r="AN53" i="14"/>
  <c r="AO53" i="14"/>
  <c r="AP53" i="14"/>
  <c r="AQ53" i="14"/>
  <c r="AR53" i="14"/>
  <c r="AS53" i="14"/>
  <c r="AT53" i="14"/>
  <c r="AU53" i="14"/>
  <c r="AV53" i="14"/>
  <c r="AW53" i="14"/>
  <c r="AX53" i="14"/>
  <c r="AY53" i="14"/>
  <c r="AZ53" i="14"/>
  <c r="BA53" i="14"/>
  <c r="BB53" i="14"/>
  <c r="E54" i="14"/>
  <c r="F54" i="14"/>
  <c r="G54" i="14"/>
  <c r="H54" i="14"/>
  <c r="I54" i="14"/>
  <c r="J54" i="14"/>
  <c r="K54" i="14"/>
  <c r="L54" i="14"/>
  <c r="M54" i="14"/>
  <c r="N54" i="14"/>
  <c r="O54" i="14"/>
  <c r="P54" i="14"/>
  <c r="Q54" i="14"/>
  <c r="R54" i="14"/>
  <c r="S54" i="14"/>
  <c r="T54" i="14"/>
  <c r="U54" i="14"/>
  <c r="V54" i="14"/>
  <c r="W54" i="14"/>
  <c r="X54" i="14"/>
  <c r="Y54" i="14"/>
  <c r="Z54" i="14"/>
  <c r="AA54" i="14"/>
  <c r="AB54" i="14"/>
  <c r="AC54" i="14"/>
  <c r="AD54" i="14"/>
  <c r="AE54" i="14"/>
  <c r="AF54" i="14"/>
  <c r="AG54" i="14"/>
  <c r="AH54" i="14"/>
  <c r="AI54" i="14"/>
  <c r="AJ54" i="14"/>
  <c r="AK54" i="14"/>
  <c r="AL54" i="14"/>
  <c r="AM54" i="14"/>
  <c r="AN54" i="14"/>
  <c r="AO54" i="14"/>
  <c r="AP54" i="14"/>
  <c r="AQ54" i="14"/>
  <c r="AR54" i="14"/>
  <c r="AS54" i="14"/>
  <c r="AT54" i="14"/>
  <c r="AU54" i="14"/>
  <c r="AV54" i="14"/>
  <c r="AW54" i="14"/>
  <c r="AX54" i="14"/>
  <c r="AY54" i="14"/>
  <c r="AZ54" i="14"/>
  <c r="BA54" i="14"/>
  <c r="BB54" i="14"/>
  <c r="E55" i="14"/>
  <c r="F55" i="14"/>
  <c r="G55" i="14"/>
  <c r="H55" i="14"/>
  <c r="I55" i="14"/>
  <c r="J55" i="14"/>
  <c r="K55" i="14"/>
  <c r="L55" i="14"/>
  <c r="M55" i="14"/>
  <c r="N55" i="14"/>
  <c r="O55" i="14"/>
  <c r="P55" i="14"/>
  <c r="Q55" i="14"/>
  <c r="R55" i="14"/>
  <c r="S55" i="14"/>
  <c r="T55" i="14"/>
  <c r="U55" i="14"/>
  <c r="V55" i="14"/>
  <c r="W55" i="14"/>
  <c r="X55" i="14"/>
  <c r="Y55" i="14"/>
  <c r="Z55" i="14"/>
  <c r="AA55" i="14"/>
  <c r="AB55" i="14"/>
  <c r="AC55" i="14"/>
  <c r="AD55" i="14"/>
  <c r="AE55" i="14"/>
  <c r="AF55" i="14"/>
  <c r="AG55" i="14"/>
  <c r="AH55" i="14"/>
  <c r="AI55" i="14"/>
  <c r="AJ55" i="14"/>
  <c r="AK55" i="14"/>
  <c r="AL55" i="14"/>
  <c r="AM55" i="14"/>
  <c r="AN55" i="14"/>
  <c r="AO55" i="14"/>
  <c r="AP55" i="14"/>
  <c r="AQ55" i="14"/>
  <c r="AR55" i="14"/>
  <c r="AS55" i="14"/>
  <c r="AT55" i="14"/>
  <c r="AU55" i="14"/>
  <c r="AV55" i="14"/>
  <c r="AW55" i="14"/>
  <c r="AX55" i="14"/>
  <c r="AY55" i="14"/>
  <c r="AZ55" i="14"/>
  <c r="BB55" i="14"/>
  <c r="BB56" i="14"/>
  <c r="C57" i="14"/>
  <c r="E57" i="14"/>
  <c r="F57" i="14"/>
  <c r="G57" i="14"/>
  <c r="H57" i="14"/>
  <c r="I57" i="14"/>
  <c r="J57" i="14"/>
  <c r="K57" i="14"/>
  <c r="L57" i="14"/>
  <c r="M57" i="14"/>
  <c r="N57" i="14"/>
  <c r="O57" i="14"/>
  <c r="P57" i="14"/>
  <c r="Q57" i="14"/>
  <c r="R57" i="14"/>
  <c r="S57" i="14"/>
  <c r="T57" i="14"/>
  <c r="U57" i="14"/>
  <c r="V57" i="14"/>
  <c r="W57" i="14"/>
  <c r="X57" i="14"/>
  <c r="Y57" i="14"/>
  <c r="Z57" i="14"/>
  <c r="AA57" i="14"/>
  <c r="AB57" i="14"/>
  <c r="AC57" i="14"/>
  <c r="AD57" i="14"/>
  <c r="AE57" i="14"/>
  <c r="AF57" i="14"/>
  <c r="AG57" i="14"/>
  <c r="AH57" i="14"/>
  <c r="AI57" i="14"/>
  <c r="AJ57" i="14"/>
  <c r="AK57" i="14"/>
  <c r="AL57" i="14"/>
  <c r="AM57" i="14"/>
  <c r="AN57" i="14"/>
  <c r="AO57" i="14"/>
  <c r="AP57" i="14"/>
  <c r="AQ57" i="14"/>
  <c r="AR57" i="14"/>
  <c r="AS57" i="14"/>
  <c r="AT57" i="14"/>
  <c r="AU57" i="14"/>
  <c r="AV57" i="14"/>
  <c r="AW57" i="14"/>
  <c r="AX57" i="14"/>
  <c r="AY57" i="14"/>
  <c r="AZ57" i="14"/>
  <c r="BA57" i="14"/>
  <c r="BB57" i="14"/>
  <c r="C58" i="14"/>
  <c r="E58" i="14"/>
  <c r="F58" i="14"/>
  <c r="G58" i="14"/>
  <c r="H58" i="14"/>
  <c r="I58" i="14"/>
  <c r="J58" i="14"/>
  <c r="K58" i="14"/>
  <c r="L58" i="14"/>
  <c r="M58" i="14"/>
  <c r="N58" i="14"/>
  <c r="O58" i="14"/>
  <c r="P58" i="14"/>
  <c r="Q58" i="14"/>
  <c r="R58" i="14"/>
  <c r="S58" i="14"/>
  <c r="T58" i="14"/>
  <c r="U58" i="14"/>
  <c r="V58" i="14"/>
  <c r="W58" i="14"/>
  <c r="X58" i="14"/>
  <c r="Y58" i="14"/>
  <c r="Z58" i="14"/>
  <c r="AA58" i="14"/>
  <c r="AB58" i="14"/>
  <c r="AC58" i="14"/>
  <c r="AD58" i="14"/>
  <c r="AE58" i="14"/>
  <c r="AF58" i="14"/>
  <c r="AG58" i="14"/>
  <c r="AH58" i="14"/>
  <c r="AI58" i="14"/>
  <c r="AJ58" i="14"/>
  <c r="AK58" i="14"/>
  <c r="AL58" i="14"/>
  <c r="AM58" i="14"/>
  <c r="AN58" i="14"/>
  <c r="AO58" i="14"/>
  <c r="AP58" i="14"/>
  <c r="AQ58" i="14"/>
  <c r="AR58" i="14"/>
  <c r="AS58" i="14"/>
  <c r="AT58" i="14"/>
  <c r="AU58" i="14"/>
  <c r="AV58" i="14"/>
  <c r="AW58" i="14"/>
  <c r="AX58" i="14"/>
  <c r="AY58" i="14"/>
  <c r="AZ58" i="14"/>
  <c r="BA58" i="14"/>
  <c r="BB58" i="14"/>
  <c r="E59" i="14"/>
  <c r="F59" i="14"/>
  <c r="G59" i="14"/>
  <c r="H59" i="14"/>
  <c r="I59" i="14"/>
  <c r="J59" i="14"/>
  <c r="K59" i="14"/>
  <c r="L59" i="14"/>
  <c r="M59" i="14"/>
  <c r="N59" i="14"/>
  <c r="O59" i="14"/>
  <c r="P59" i="14"/>
  <c r="Q59" i="14"/>
  <c r="R59" i="14"/>
  <c r="S59" i="14"/>
  <c r="T59" i="14"/>
  <c r="U59" i="14"/>
  <c r="V59" i="14"/>
  <c r="W59" i="14"/>
  <c r="X59" i="14"/>
  <c r="Y59" i="14"/>
  <c r="Z59" i="14"/>
  <c r="AA59" i="14"/>
  <c r="AB59" i="14"/>
  <c r="AC59" i="14"/>
  <c r="AD59" i="14"/>
  <c r="AE59" i="14"/>
  <c r="AF59" i="14"/>
  <c r="AG59" i="14"/>
  <c r="AH59" i="14"/>
  <c r="AI59" i="14"/>
  <c r="AJ59" i="14"/>
  <c r="AK59" i="14"/>
  <c r="AL59" i="14"/>
  <c r="AM59" i="14"/>
  <c r="AN59" i="14"/>
  <c r="AO59" i="14"/>
  <c r="AP59" i="14"/>
  <c r="AQ59" i="14"/>
  <c r="AR59" i="14"/>
  <c r="AS59" i="14"/>
  <c r="AT59" i="14"/>
  <c r="AU59" i="14"/>
  <c r="AV59" i="14"/>
  <c r="AW59" i="14"/>
  <c r="AX59" i="14"/>
  <c r="AY59" i="14"/>
  <c r="AZ59" i="14"/>
  <c r="BA59" i="14"/>
  <c r="BB59" i="14"/>
  <c r="E60" i="14"/>
  <c r="F60" i="14"/>
  <c r="G60" i="14"/>
  <c r="H60" i="14"/>
  <c r="I60" i="14"/>
  <c r="J60" i="14"/>
  <c r="K60" i="14"/>
  <c r="L60" i="14"/>
  <c r="M60" i="14"/>
  <c r="N60" i="14"/>
  <c r="O60" i="14"/>
  <c r="P60" i="14"/>
  <c r="Q60" i="14"/>
  <c r="R60" i="14"/>
  <c r="S60" i="14"/>
  <c r="T60" i="14"/>
  <c r="U60" i="14"/>
  <c r="V60" i="14"/>
  <c r="W60" i="14"/>
  <c r="X60" i="14"/>
  <c r="Y60" i="14"/>
  <c r="Z60" i="14"/>
  <c r="AA60" i="14"/>
  <c r="AB60" i="14"/>
  <c r="AC60" i="14"/>
  <c r="AD60" i="14"/>
  <c r="AE60" i="14"/>
  <c r="AF60" i="14"/>
  <c r="AG60" i="14"/>
  <c r="AH60" i="14"/>
  <c r="AI60" i="14"/>
  <c r="AJ60" i="14"/>
  <c r="AK60" i="14"/>
  <c r="AL60" i="14"/>
  <c r="AM60" i="14"/>
  <c r="AN60" i="14"/>
  <c r="AO60" i="14"/>
  <c r="AP60" i="14"/>
  <c r="AQ60" i="14"/>
  <c r="AR60" i="14"/>
  <c r="AS60" i="14"/>
  <c r="AT60" i="14"/>
  <c r="AU60" i="14"/>
  <c r="AV60" i="14"/>
  <c r="AW60" i="14"/>
  <c r="AX60" i="14"/>
  <c r="AY60" i="14"/>
  <c r="AZ60" i="14"/>
  <c r="BB60" i="14"/>
  <c r="BB61" i="14"/>
  <c r="E62" i="14"/>
  <c r="F62" i="14"/>
  <c r="G62" i="14"/>
  <c r="H62" i="14"/>
  <c r="I62" i="14"/>
  <c r="J62" i="14"/>
  <c r="K62" i="14"/>
  <c r="L62" i="14"/>
  <c r="M62" i="14"/>
  <c r="N62" i="14"/>
  <c r="O62" i="14"/>
  <c r="P62" i="14"/>
  <c r="Q62" i="14"/>
  <c r="R62" i="14"/>
  <c r="S62" i="14"/>
  <c r="T62" i="14"/>
  <c r="U62" i="14"/>
  <c r="V62" i="14"/>
  <c r="W62" i="14"/>
  <c r="X62" i="14"/>
  <c r="Y62" i="14"/>
  <c r="Z62" i="14"/>
  <c r="AA62" i="14"/>
  <c r="AB62" i="14"/>
  <c r="AC62" i="14"/>
  <c r="AD62" i="14"/>
  <c r="AE62" i="14"/>
  <c r="AF62" i="14"/>
  <c r="AG62" i="14"/>
  <c r="AH62" i="14"/>
  <c r="AI62" i="14"/>
  <c r="AJ62" i="14"/>
  <c r="AK62" i="14"/>
  <c r="AL62" i="14"/>
  <c r="AM62" i="14"/>
  <c r="AN62" i="14"/>
  <c r="AO62" i="14"/>
  <c r="AP62" i="14"/>
  <c r="AQ62" i="14"/>
  <c r="AR62" i="14"/>
  <c r="AS62" i="14"/>
  <c r="AT62" i="14"/>
  <c r="AU62" i="14"/>
  <c r="AV62" i="14"/>
  <c r="AW62" i="14"/>
  <c r="AX62" i="14"/>
  <c r="AY62" i="14"/>
  <c r="AZ62" i="14"/>
  <c r="BA62" i="14"/>
  <c r="BB62" i="14"/>
  <c r="E63" i="14"/>
  <c r="F63" i="14"/>
  <c r="G63" i="14"/>
  <c r="H63" i="14"/>
  <c r="I63" i="14"/>
  <c r="J63" i="14"/>
  <c r="K63" i="14"/>
  <c r="L63" i="14"/>
  <c r="M63" i="14"/>
  <c r="N63" i="14"/>
  <c r="O63" i="14"/>
  <c r="P63" i="14"/>
  <c r="Q63" i="14"/>
  <c r="R63" i="14"/>
  <c r="S63" i="14"/>
  <c r="T63" i="14"/>
  <c r="U63" i="14"/>
  <c r="V63" i="14"/>
  <c r="W63" i="14"/>
  <c r="X63" i="14"/>
  <c r="Y63" i="14"/>
  <c r="Z63" i="14"/>
  <c r="AA63" i="14"/>
  <c r="AB63" i="14"/>
  <c r="AC63" i="14"/>
  <c r="AD63" i="14"/>
  <c r="AE63" i="14"/>
  <c r="AF63" i="14"/>
  <c r="AG63" i="14"/>
  <c r="AH63" i="14"/>
  <c r="AI63" i="14"/>
  <c r="AJ63" i="14"/>
  <c r="AK63" i="14"/>
  <c r="AL63" i="14"/>
  <c r="AM63" i="14"/>
  <c r="AN63" i="14"/>
  <c r="AO63" i="14"/>
  <c r="AP63" i="14"/>
  <c r="AQ63" i="14"/>
  <c r="AR63" i="14"/>
  <c r="AS63" i="14"/>
  <c r="AT63" i="14"/>
  <c r="AU63" i="14"/>
  <c r="AV63" i="14"/>
  <c r="AW63" i="14"/>
  <c r="AX63" i="14"/>
  <c r="AY63" i="14"/>
  <c r="AZ63" i="14"/>
  <c r="BB63" i="14"/>
  <c r="BB64" i="14"/>
  <c r="BB65" i="14"/>
  <c r="F66" i="14"/>
  <c r="G66" i="14"/>
  <c r="H66" i="14"/>
  <c r="I66" i="14"/>
  <c r="J66" i="14"/>
  <c r="K66" i="14"/>
  <c r="L66" i="14"/>
  <c r="M66" i="14"/>
  <c r="N66" i="14"/>
  <c r="O66" i="14"/>
  <c r="P66" i="14"/>
  <c r="Q66" i="14"/>
  <c r="R66" i="14"/>
  <c r="S66" i="14"/>
  <c r="T66" i="14"/>
  <c r="U66" i="14"/>
  <c r="V66" i="14"/>
  <c r="W66" i="14"/>
  <c r="X66" i="14"/>
  <c r="Y66" i="14"/>
  <c r="Z66" i="14"/>
  <c r="AA66" i="14"/>
  <c r="AB66" i="14"/>
  <c r="AC66" i="14"/>
  <c r="AD66" i="14"/>
  <c r="AE66" i="14"/>
  <c r="AF66" i="14"/>
  <c r="AG66" i="14"/>
  <c r="AH66" i="14"/>
  <c r="AI66" i="14"/>
  <c r="AJ66" i="14"/>
  <c r="AK66" i="14"/>
  <c r="AL66" i="14"/>
  <c r="AM66" i="14"/>
  <c r="AN66" i="14"/>
  <c r="AO66" i="14"/>
  <c r="AP66" i="14"/>
  <c r="AQ66" i="14"/>
  <c r="AR66" i="14"/>
  <c r="AS66" i="14"/>
  <c r="AT66" i="14"/>
  <c r="AU66" i="14"/>
  <c r="AV66" i="14"/>
  <c r="AW66" i="14"/>
  <c r="AX66" i="14"/>
  <c r="AY66" i="14"/>
  <c r="AZ66" i="14"/>
  <c r="BA66" i="14"/>
  <c r="BB66" i="14"/>
  <c r="E67" i="14"/>
  <c r="F67" i="14"/>
  <c r="G67" i="14"/>
  <c r="H67" i="14"/>
  <c r="I67" i="14"/>
  <c r="J67" i="14"/>
  <c r="K67" i="14"/>
  <c r="L67" i="14"/>
  <c r="M67" i="14"/>
  <c r="N67" i="14"/>
  <c r="O67" i="14"/>
  <c r="P67" i="14"/>
  <c r="Q67" i="14"/>
  <c r="R67" i="14"/>
  <c r="S67" i="14"/>
  <c r="T67" i="14"/>
  <c r="U67" i="14"/>
  <c r="V67" i="14"/>
  <c r="W67" i="14"/>
  <c r="X67" i="14"/>
  <c r="Y67" i="14"/>
  <c r="Z67" i="14"/>
  <c r="AA67" i="14"/>
  <c r="AB67" i="14"/>
  <c r="AC67" i="14"/>
  <c r="AD67" i="14"/>
  <c r="AE67" i="14"/>
  <c r="AF67" i="14"/>
  <c r="AG67" i="14"/>
  <c r="AH67" i="14"/>
  <c r="AI67" i="14"/>
  <c r="AJ67" i="14"/>
  <c r="AK67" i="14"/>
  <c r="AL67" i="14"/>
  <c r="AM67" i="14"/>
  <c r="AN67" i="14"/>
  <c r="AO67" i="14"/>
  <c r="AP67" i="14"/>
  <c r="AQ67" i="14"/>
  <c r="AR67" i="14"/>
  <c r="AS67" i="14"/>
  <c r="AT67" i="14"/>
  <c r="AU67" i="14"/>
  <c r="AV67" i="14"/>
  <c r="AW67" i="14"/>
  <c r="AX67" i="14"/>
  <c r="AY67" i="14"/>
  <c r="AZ67" i="14"/>
  <c r="BA67" i="14"/>
  <c r="BB67" i="14"/>
  <c r="E68" i="14"/>
  <c r="F68" i="14"/>
  <c r="G68" i="14"/>
  <c r="H68" i="14"/>
  <c r="I68" i="14"/>
  <c r="J68" i="14"/>
  <c r="K68" i="14"/>
  <c r="L68" i="14"/>
  <c r="M68" i="14"/>
  <c r="N68" i="14"/>
  <c r="O68" i="14"/>
  <c r="P68" i="14"/>
  <c r="Q68" i="14"/>
  <c r="R68" i="14"/>
  <c r="S68" i="14"/>
  <c r="T68" i="14"/>
  <c r="U68" i="14"/>
  <c r="V68" i="14"/>
  <c r="W68" i="14"/>
  <c r="X68" i="14"/>
  <c r="Y68" i="14"/>
  <c r="Z68" i="14"/>
  <c r="AA68" i="14"/>
  <c r="AB68" i="14"/>
  <c r="AC68" i="14"/>
  <c r="AD68" i="14"/>
  <c r="AE68" i="14"/>
  <c r="AF68" i="14"/>
  <c r="AG68" i="14"/>
  <c r="AH68" i="14"/>
  <c r="AI68" i="14"/>
  <c r="AJ68" i="14"/>
  <c r="AK68" i="14"/>
  <c r="AL68" i="14"/>
  <c r="AM68" i="14"/>
  <c r="AN68" i="14"/>
  <c r="AO68" i="14"/>
  <c r="AP68" i="14"/>
  <c r="AQ68" i="14"/>
  <c r="AR68" i="14"/>
  <c r="AS68" i="14"/>
  <c r="AT68" i="14"/>
  <c r="AU68" i="14"/>
  <c r="AV68" i="14"/>
  <c r="AW68" i="14"/>
  <c r="AX68" i="14"/>
  <c r="AY68" i="14"/>
  <c r="AZ68" i="14"/>
  <c r="BA68" i="14"/>
  <c r="BB68" i="14"/>
  <c r="E69" i="14"/>
  <c r="F69" i="14"/>
  <c r="G69" i="14"/>
  <c r="H69" i="14"/>
  <c r="I69" i="14"/>
  <c r="J69" i="14"/>
  <c r="K69" i="14"/>
  <c r="L69" i="14"/>
  <c r="M69" i="14"/>
  <c r="N69" i="14"/>
  <c r="O69" i="14"/>
  <c r="P69" i="14"/>
  <c r="Q69" i="14"/>
  <c r="R69" i="14"/>
  <c r="S69" i="14"/>
  <c r="T69" i="14"/>
  <c r="U69" i="14"/>
  <c r="V69" i="14"/>
  <c r="W69" i="14"/>
  <c r="X69" i="14"/>
  <c r="Y69" i="14"/>
  <c r="Z69" i="14"/>
  <c r="AA69" i="14"/>
  <c r="AB69" i="14"/>
  <c r="AC69" i="14"/>
  <c r="AD69" i="14"/>
  <c r="AE69" i="14"/>
  <c r="AF69" i="14"/>
  <c r="AG69" i="14"/>
  <c r="AH69" i="14"/>
  <c r="AI69" i="14"/>
  <c r="AJ69" i="14"/>
  <c r="AK69" i="14"/>
  <c r="AL69" i="14"/>
  <c r="AM69" i="14"/>
  <c r="AN69" i="14"/>
  <c r="AO69" i="14"/>
  <c r="AP69" i="14"/>
  <c r="AQ69" i="14"/>
  <c r="AR69" i="14"/>
  <c r="AS69" i="14"/>
  <c r="AT69" i="14"/>
  <c r="AU69" i="14"/>
  <c r="AV69" i="14"/>
  <c r="AW69" i="14"/>
  <c r="AX69" i="14"/>
  <c r="AY69" i="14"/>
  <c r="AZ69" i="14"/>
  <c r="BA69" i="14"/>
  <c r="BB69" i="14"/>
  <c r="E70" i="14"/>
  <c r="F70" i="14"/>
  <c r="G70" i="14"/>
  <c r="H70" i="14"/>
  <c r="I70" i="14"/>
  <c r="J70" i="14"/>
  <c r="K70" i="14"/>
  <c r="L70" i="14"/>
  <c r="M70" i="14"/>
  <c r="N70" i="14"/>
  <c r="O70" i="14"/>
  <c r="P70" i="14"/>
  <c r="Q70" i="14"/>
  <c r="R70" i="14"/>
  <c r="S70" i="14"/>
  <c r="T70" i="14"/>
  <c r="U70" i="14"/>
  <c r="V70" i="14"/>
  <c r="W70" i="14"/>
  <c r="X70" i="14"/>
  <c r="Y70" i="14"/>
  <c r="Z70" i="14"/>
  <c r="AA70" i="14"/>
  <c r="AB70" i="14"/>
  <c r="AC70" i="14"/>
  <c r="AD70" i="14"/>
  <c r="AE70" i="14"/>
  <c r="AF70" i="14"/>
  <c r="AG70" i="14"/>
  <c r="AH70" i="14"/>
  <c r="AI70" i="14"/>
  <c r="AJ70" i="14"/>
  <c r="AK70" i="14"/>
  <c r="AL70" i="14"/>
  <c r="AM70" i="14"/>
  <c r="AN70" i="14"/>
  <c r="AO70" i="14"/>
  <c r="AP70" i="14"/>
  <c r="AQ70" i="14"/>
  <c r="AR70" i="14"/>
  <c r="AS70" i="14"/>
  <c r="AT70" i="14"/>
  <c r="AU70" i="14"/>
  <c r="AV70" i="14"/>
  <c r="AW70" i="14"/>
  <c r="AX70" i="14"/>
  <c r="AY70" i="14"/>
  <c r="AZ70" i="14"/>
  <c r="BA70" i="14"/>
  <c r="BB70" i="14"/>
  <c r="E71" i="14"/>
  <c r="F71" i="14"/>
  <c r="G71" i="14"/>
  <c r="H71" i="14"/>
  <c r="I71" i="14"/>
  <c r="J71" i="14"/>
  <c r="K71" i="14"/>
  <c r="L71" i="14"/>
  <c r="M71" i="14"/>
  <c r="N71" i="14"/>
  <c r="O71" i="14"/>
  <c r="P71" i="14"/>
  <c r="Q71" i="14"/>
  <c r="R71" i="14"/>
  <c r="S71" i="14"/>
  <c r="T71" i="14"/>
  <c r="U71" i="14"/>
  <c r="V71" i="14"/>
  <c r="W71" i="14"/>
  <c r="X71" i="14"/>
  <c r="Y71" i="14"/>
  <c r="Z71" i="14"/>
  <c r="AA71" i="14"/>
  <c r="AB71" i="14"/>
  <c r="AC71" i="14"/>
  <c r="AD71" i="14"/>
  <c r="AE71" i="14"/>
  <c r="AF71" i="14"/>
  <c r="AG71" i="14"/>
  <c r="AH71" i="14"/>
  <c r="AI71" i="14"/>
  <c r="AJ71" i="14"/>
  <c r="AK71" i="14"/>
  <c r="AL71" i="14"/>
  <c r="AM71" i="14"/>
  <c r="AN71" i="14"/>
  <c r="AO71" i="14"/>
  <c r="AP71" i="14"/>
  <c r="AQ71" i="14"/>
  <c r="AR71" i="14"/>
  <c r="AS71" i="14"/>
  <c r="AT71" i="14"/>
  <c r="AU71" i="14"/>
  <c r="AV71" i="14"/>
  <c r="AW71" i="14"/>
  <c r="AX71" i="14"/>
  <c r="AY71" i="14"/>
  <c r="AZ71" i="14"/>
  <c r="BA71" i="14"/>
  <c r="BB71" i="14"/>
  <c r="E72" i="14"/>
  <c r="F72" i="14"/>
  <c r="G72" i="14"/>
  <c r="H72" i="14"/>
  <c r="I72" i="14"/>
  <c r="J72" i="14"/>
  <c r="K72" i="14"/>
  <c r="L72" i="14"/>
  <c r="M72" i="14"/>
  <c r="N72" i="14"/>
  <c r="O72" i="14"/>
  <c r="P72" i="14"/>
  <c r="Q72" i="14"/>
  <c r="R72" i="14"/>
  <c r="S72" i="14"/>
  <c r="T72" i="14"/>
  <c r="U72" i="14"/>
  <c r="V72" i="14"/>
  <c r="W72" i="14"/>
  <c r="X72" i="14"/>
  <c r="Y72" i="14"/>
  <c r="Z72" i="14"/>
  <c r="AA72" i="14"/>
  <c r="AB72" i="14"/>
  <c r="AC72" i="14"/>
  <c r="AD72" i="14"/>
  <c r="AE72" i="14"/>
  <c r="AF72" i="14"/>
  <c r="AG72" i="14"/>
  <c r="AH72" i="14"/>
  <c r="AI72" i="14"/>
  <c r="AJ72" i="14"/>
  <c r="AK72" i="14"/>
  <c r="AL72" i="14"/>
  <c r="AM72" i="14"/>
  <c r="AN72" i="14"/>
  <c r="AO72" i="14"/>
  <c r="AP72" i="14"/>
  <c r="AQ72" i="14"/>
  <c r="AR72" i="14"/>
  <c r="AS72" i="14"/>
  <c r="AT72" i="14"/>
  <c r="AU72" i="14"/>
  <c r="AV72" i="14"/>
  <c r="AW72" i="14"/>
  <c r="AX72" i="14"/>
  <c r="AY72" i="14"/>
  <c r="AZ72" i="14"/>
  <c r="BA72" i="14"/>
  <c r="BB72" i="14"/>
  <c r="BB73" i="14"/>
  <c r="E74" i="14"/>
  <c r="F74" i="14"/>
  <c r="G74" i="14"/>
  <c r="H74" i="14"/>
  <c r="I74" i="14"/>
  <c r="J74" i="14"/>
  <c r="K74" i="14"/>
  <c r="L74" i="14"/>
  <c r="M74" i="14"/>
  <c r="N74" i="14"/>
  <c r="O74" i="14"/>
  <c r="P74" i="14"/>
  <c r="Q74" i="14"/>
  <c r="R74" i="14"/>
  <c r="S74" i="14"/>
  <c r="T74" i="14"/>
  <c r="U74" i="14"/>
  <c r="V74" i="14"/>
  <c r="W74" i="14"/>
  <c r="X74" i="14"/>
  <c r="Y74" i="14"/>
  <c r="Z74" i="14"/>
  <c r="AA74" i="14"/>
  <c r="AB74" i="14"/>
  <c r="AC74" i="14"/>
  <c r="AD74" i="14"/>
  <c r="AE74" i="14"/>
  <c r="AF74" i="14"/>
  <c r="AG74" i="14"/>
  <c r="AH74" i="14"/>
  <c r="AI74" i="14"/>
  <c r="AJ74" i="14"/>
  <c r="AK74" i="14"/>
  <c r="AL74" i="14"/>
  <c r="AM74" i="14"/>
  <c r="AN74" i="14"/>
  <c r="BB74" i="14"/>
  <c r="BB75" i="14"/>
  <c r="BB76" i="14"/>
  <c r="BA77" i="14"/>
  <c r="BB77" i="14"/>
  <c r="E78" i="14"/>
  <c r="F78" i="14"/>
  <c r="G78" i="14"/>
  <c r="H78" i="14"/>
  <c r="I78" i="14"/>
  <c r="J78" i="14"/>
  <c r="K78" i="14"/>
  <c r="L78" i="14"/>
  <c r="M78" i="14"/>
  <c r="N78" i="14"/>
  <c r="O78" i="14"/>
  <c r="P78" i="14"/>
  <c r="Q78" i="14"/>
  <c r="R78" i="14"/>
  <c r="S78" i="14"/>
  <c r="T78" i="14"/>
  <c r="U78" i="14"/>
  <c r="V78" i="14"/>
  <c r="W78" i="14"/>
  <c r="X78" i="14"/>
  <c r="Y78" i="14"/>
  <c r="Z78" i="14"/>
  <c r="AA78" i="14"/>
  <c r="AB78" i="14"/>
  <c r="AC78" i="14"/>
  <c r="AD78" i="14"/>
  <c r="AE78" i="14"/>
  <c r="AF78" i="14"/>
  <c r="AG78" i="14"/>
  <c r="AH78" i="14"/>
  <c r="AI78" i="14"/>
  <c r="AJ78" i="14"/>
  <c r="AK78" i="14"/>
  <c r="AL78" i="14"/>
  <c r="AM78" i="14"/>
  <c r="AN78" i="14"/>
  <c r="AO78" i="14"/>
  <c r="AP78" i="14"/>
  <c r="AQ78" i="14"/>
  <c r="AR78" i="14"/>
  <c r="AS78" i="14"/>
  <c r="AT78" i="14"/>
  <c r="AU78" i="14"/>
  <c r="AV78" i="14"/>
  <c r="AW78" i="14"/>
  <c r="AX78" i="14"/>
  <c r="AY78" i="14"/>
  <c r="AZ78" i="14"/>
  <c r="BB78" i="14"/>
  <c r="BB79" i="14"/>
  <c r="F80" i="14"/>
  <c r="G80" i="14"/>
  <c r="H80" i="14"/>
  <c r="I80" i="14"/>
  <c r="J80" i="14"/>
  <c r="K80" i="14"/>
  <c r="L80" i="14"/>
  <c r="M80" i="14"/>
  <c r="N80" i="14"/>
  <c r="O80" i="14"/>
  <c r="P80" i="14"/>
  <c r="Q80" i="14"/>
  <c r="R80" i="14"/>
  <c r="S80" i="14"/>
  <c r="T80" i="14"/>
  <c r="U80" i="14"/>
  <c r="V80" i="14"/>
  <c r="W80" i="14"/>
  <c r="X80" i="14"/>
  <c r="Y80" i="14"/>
  <c r="Z80" i="14"/>
  <c r="AA80" i="14"/>
  <c r="AB80" i="14"/>
  <c r="AC80" i="14"/>
  <c r="AD80" i="14"/>
  <c r="AE80" i="14"/>
  <c r="AF80" i="14"/>
  <c r="AG80" i="14"/>
  <c r="AH80" i="14"/>
  <c r="AI80" i="14"/>
  <c r="AJ80" i="14"/>
  <c r="AK80" i="14"/>
  <c r="AL80" i="14"/>
  <c r="AM80" i="14"/>
  <c r="AN80" i="14"/>
  <c r="AO80" i="14"/>
  <c r="AP80" i="14"/>
  <c r="AQ80" i="14"/>
  <c r="AR80" i="14"/>
  <c r="AS80" i="14"/>
  <c r="AT80" i="14"/>
  <c r="AU80" i="14"/>
  <c r="AV80" i="14"/>
  <c r="AW80" i="14"/>
  <c r="AX80" i="14"/>
  <c r="AY80" i="14"/>
  <c r="AZ80" i="14"/>
  <c r="BA80" i="14"/>
  <c r="BB80" i="14"/>
  <c r="E81" i="14"/>
  <c r="F81" i="14"/>
  <c r="G81" i="14"/>
  <c r="H81" i="14"/>
  <c r="I81" i="14"/>
  <c r="J81" i="14"/>
  <c r="K81" i="14"/>
  <c r="L81" i="14"/>
  <c r="M81" i="14"/>
  <c r="N81" i="14"/>
  <c r="O81" i="14"/>
  <c r="P81" i="14"/>
  <c r="Q81" i="14"/>
  <c r="R81" i="14"/>
  <c r="S81" i="14"/>
  <c r="T81" i="14"/>
  <c r="U81" i="14"/>
  <c r="V81" i="14"/>
  <c r="W81" i="14"/>
  <c r="X81" i="14"/>
  <c r="Y81" i="14"/>
  <c r="Z81" i="14"/>
  <c r="AA81" i="14"/>
  <c r="AB81" i="14"/>
  <c r="AC81" i="14"/>
  <c r="AD81" i="14"/>
  <c r="AE81" i="14"/>
  <c r="AF81" i="14"/>
  <c r="AG81" i="14"/>
  <c r="AH81" i="14"/>
  <c r="AI81" i="14"/>
  <c r="AJ81" i="14"/>
  <c r="AK81" i="14"/>
  <c r="AL81" i="14"/>
  <c r="AM81" i="14"/>
  <c r="AN81" i="14"/>
  <c r="AO81" i="14"/>
  <c r="AP81" i="14"/>
  <c r="AQ81" i="14"/>
  <c r="AR81" i="14"/>
  <c r="AS81" i="14"/>
  <c r="AT81" i="14"/>
  <c r="AU81" i="14"/>
  <c r="AV81" i="14"/>
  <c r="AW81" i="14"/>
  <c r="AX81" i="14"/>
  <c r="AY81" i="14"/>
  <c r="AZ81" i="14"/>
  <c r="BA81" i="14"/>
  <c r="BB81" i="14"/>
  <c r="BA82" i="14"/>
  <c r="BB82" i="14"/>
  <c r="BA83" i="14"/>
  <c r="BB83" i="14"/>
  <c r="E84" i="14"/>
  <c r="F84" i="14"/>
  <c r="G84" i="14"/>
  <c r="H84" i="14"/>
  <c r="I84" i="14"/>
  <c r="J84" i="14"/>
  <c r="K84" i="14"/>
  <c r="L84" i="14"/>
  <c r="M84" i="14"/>
  <c r="N84" i="14"/>
  <c r="O84" i="14"/>
  <c r="P84" i="14"/>
  <c r="Q84" i="14"/>
  <c r="R84" i="14"/>
  <c r="S84" i="14"/>
  <c r="T84" i="14"/>
  <c r="U84" i="14"/>
  <c r="V84" i="14"/>
  <c r="W84" i="14"/>
  <c r="X84" i="14"/>
  <c r="Y84" i="14"/>
  <c r="Z84" i="14"/>
  <c r="AA84" i="14"/>
  <c r="AB84" i="14"/>
  <c r="AC84" i="14"/>
  <c r="AD84" i="14"/>
  <c r="AE84" i="14"/>
  <c r="AF84" i="14"/>
  <c r="AG84" i="14"/>
  <c r="AH84" i="14"/>
  <c r="AI84" i="14"/>
  <c r="AJ84" i="14"/>
  <c r="AK84" i="14"/>
  <c r="AL84" i="14"/>
  <c r="AM84" i="14"/>
  <c r="AN84" i="14"/>
  <c r="AO84" i="14"/>
  <c r="AP84" i="14"/>
  <c r="AQ84" i="14"/>
  <c r="AR84" i="14"/>
  <c r="AS84" i="14"/>
  <c r="AT84" i="14"/>
  <c r="AU84" i="14"/>
  <c r="AV84" i="14"/>
  <c r="AW84" i="14"/>
  <c r="AX84" i="14"/>
  <c r="AY84" i="14"/>
  <c r="AZ84" i="14"/>
  <c r="BA84" i="14"/>
  <c r="BB84" i="14"/>
  <c r="BB85" i="14"/>
  <c r="C86" i="14"/>
  <c r="BB86" i="14"/>
  <c r="C87" i="14"/>
  <c r="BB87" i="14"/>
  <c r="BB88" i="14"/>
  <c r="E89" i="14"/>
  <c r="F89" i="14"/>
  <c r="G89" i="14"/>
  <c r="H89" i="14"/>
  <c r="I89" i="14"/>
  <c r="J89" i="14"/>
  <c r="K89" i="14"/>
  <c r="L89" i="14"/>
  <c r="M89" i="14"/>
  <c r="N89" i="14"/>
  <c r="O89" i="14"/>
  <c r="P89" i="14"/>
  <c r="Q89" i="14"/>
  <c r="R89" i="14"/>
  <c r="S89" i="14"/>
  <c r="T89" i="14"/>
  <c r="U89" i="14"/>
  <c r="V89" i="14"/>
  <c r="W89" i="14"/>
  <c r="X89" i="14"/>
  <c r="Y89" i="14"/>
  <c r="Z89" i="14"/>
  <c r="AA89" i="14"/>
  <c r="AB89" i="14"/>
  <c r="AC89" i="14"/>
  <c r="AD89" i="14"/>
  <c r="AE89" i="14"/>
  <c r="AF89" i="14"/>
  <c r="AG89" i="14"/>
  <c r="AH89" i="14"/>
  <c r="AI89" i="14"/>
  <c r="AJ89" i="14"/>
  <c r="AK89" i="14"/>
  <c r="AL89" i="14"/>
  <c r="AM89" i="14"/>
  <c r="AN89" i="14"/>
  <c r="AO89" i="14"/>
  <c r="AP89" i="14"/>
  <c r="AQ89" i="14"/>
  <c r="AR89" i="14"/>
  <c r="AS89" i="14"/>
  <c r="AT89" i="14"/>
  <c r="AU89" i="14"/>
  <c r="AV89" i="14"/>
  <c r="AW89" i="14"/>
  <c r="AX89" i="14"/>
  <c r="AY89" i="14"/>
  <c r="AZ89" i="14"/>
  <c r="BB89" i="14"/>
  <c r="E90" i="14"/>
  <c r="F90" i="14"/>
  <c r="G90" i="14"/>
  <c r="H90" i="14"/>
  <c r="I90" i="14"/>
  <c r="J90" i="14"/>
  <c r="K90" i="14"/>
  <c r="L90" i="14"/>
  <c r="M90" i="14"/>
  <c r="N90" i="14"/>
  <c r="O90" i="14"/>
  <c r="P90" i="14"/>
  <c r="Q90" i="14"/>
  <c r="R90" i="14"/>
  <c r="S90" i="14"/>
  <c r="T90" i="14"/>
  <c r="U90" i="14"/>
  <c r="V90" i="14"/>
  <c r="W90" i="14"/>
  <c r="X90" i="14"/>
  <c r="Y90" i="14"/>
  <c r="Z90" i="14"/>
  <c r="AA90" i="14"/>
  <c r="AB90" i="14"/>
  <c r="AC90" i="14"/>
  <c r="AD90" i="14"/>
  <c r="AE90" i="14"/>
  <c r="AF90" i="14"/>
  <c r="AG90" i="14"/>
  <c r="AH90" i="14"/>
  <c r="AI90" i="14"/>
  <c r="AJ90" i="14"/>
  <c r="AK90" i="14"/>
  <c r="AL90" i="14"/>
  <c r="AM90" i="14"/>
  <c r="AN90" i="14"/>
  <c r="AO90" i="14"/>
  <c r="AP90" i="14"/>
  <c r="AQ90" i="14"/>
  <c r="AR90" i="14"/>
  <c r="AS90" i="14"/>
  <c r="AT90" i="14"/>
  <c r="AU90" i="14"/>
  <c r="AV90" i="14"/>
  <c r="AW90" i="14"/>
  <c r="AX90" i="14"/>
  <c r="AY90" i="14"/>
  <c r="AZ90" i="14"/>
  <c r="BB90" i="14"/>
  <c r="E91" i="14"/>
  <c r="F91" i="14"/>
  <c r="G91" i="14"/>
  <c r="H91" i="14"/>
  <c r="I91" i="14"/>
  <c r="J91" i="14"/>
  <c r="K91" i="14"/>
  <c r="L91" i="14"/>
  <c r="M91" i="14"/>
  <c r="N91" i="14"/>
  <c r="O91" i="14"/>
  <c r="P91" i="14"/>
  <c r="Q91" i="14"/>
  <c r="R91" i="14"/>
  <c r="S91" i="14"/>
  <c r="T91" i="14"/>
  <c r="U91" i="14"/>
  <c r="V91" i="14"/>
  <c r="W91" i="14"/>
  <c r="X91" i="14"/>
  <c r="Y91" i="14"/>
  <c r="Z91" i="14"/>
  <c r="AA91" i="14"/>
  <c r="AB91" i="14"/>
  <c r="AC91" i="14"/>
  <c r="AD91" i="14"/>
  <c r="AE91" i="14"/>
  <c r="AF91" i="14"/>
  <c r="AG91" i="14"/>
  <c r="AH91" i="14"/>
  <c r="AI91" i="14"/>
  <c r="AJ91" i="14"/>
  <c r="AK91" i="14"/>
  <c r="AL91" i="14"/>
  <c r="AM91" i="14"/>
  <c r="AN91" i="14"/>
  <c r="AO91" i="14"/>
  <c r="AP91" i="14"/>
  <c r="AQ91" i="14"/>
  <c r="AR91" i="14"/>
  <c r="AS91" i="14"/>
  <c r="AT91" i="14"/>
  <c r="AU91" i="14"/>
  <c r="AV91" i="14"/>
  <c r="AW91" i="14"/>
  <c r="AX91" i="14"/>
  <c r="AY91" i="14"/>
  <c r="AZ91" i="14"/>
  <c r="BB91" i="14"/>
  <c r="E92" i="14"/>
  <c r="F92" i="14"/>
  <c r="G92" i="14"/>
  <c r="H92" i="14"/>
  <c r="I92" i="14"/>
  <c r="J92" i="14"/>
  <c r="K92" i="14"/>
  <c r="L92" i="14"/>
  <c r="M92" i="14"/>
  <c r="N92" i="14"/>
  <c r="O92" i="14"/>
  <c r="P92" i="14"/>
  <c r="Q92" i="14"/>
  <c r="R92" i="14"/>
  <c r="S92" i="14"/>
  <c r="T92" i="14"/>
  <c r="U92" i="14"/>
  <c r="V92" i="14"/>
  <c r="W92" i="14"/>
  <c r="X92" i="14"/>
  <c r="Y92" i="14"/>
  <c r="Z92" i="14"/>
  <c r="AA92" i="14"/>
  <c r="AB92" i="14"/>
  <c r="AC92" i="14"/>
  <c r="AD92" i="14"/>
  <c r="AE92" i="14"/>
  <c r="AF92" i="14"/>
  <c r="AG92" i="14"/>
  <c r="AH92" i="14"/>
  <c r="AI92" i="14"/>
  <c r="AJ92" i="14"/>
  <c r="AK92" i="14"/>
  <c r="AL92" i="14"/>
  <c r="AM92" i="14"/>
  <c r="AN92" i="14"/>
  <c r="AO92" i="14"/>
  <c r="AP92" i="14"/>
  <c r="AQ92" i="14"/>
  <c r="AR92" i="14"/>
  <c r="AS92" i="14"/>
  <c r="AT92" i="14"/>
  <c r="AU92" i="14"/>
  <c r="AV92" i="14"/>
  <c r="AW92" i="14"/>
  <c r="AX92" i="14"/>
  <c r="AY92" i="14"/>
  <c r="AZ92" i="14"/>
  <c r="BB92" i="14"/>
  <c r="E95" i="14"/>
  <c r="F95" i="14"/>
  <c r="G95" i="14"/>
  <c r="H95" i="14"/>
  <c r="I95" i="14"/>
  <c r="J95" i="14"/>
  <c r="K95" i="14"/>
  <c r="L95" i="14"/>
  <c r="M95" i="14"/>
  <c r="N95" i="14"/>
  <c r="O95" i="14"/>
  <c r="P95" i="14"/>
  <c r="Q95" i="14"/>
  <c r="R95" i="14"/>
  <c r="S95" i="14"/>
  <c r="T95" i="14"/>
  <c r="U95" i="14"/>
  <c r="V95" i="14"/>
  <c r="W95" i="14"/>
  <c r="X95" i="14"/>
  <c r="Y95" i="14"/>
  <c r="Z95" i="14"/>
  <c r="AA95" i="14"/>
  <c r="AB95" i="14"/>
  <c r="AC95" i="14"/>
  <c r="AD95" i="14"/>
  <c r="AE95" i="14"/>
  <c r="AF95" i="14"/>
  <c r="AG95" i="14"/>
  <c r="AH95" i="14"/>
  <c r="AI95" i="14"/>
  <c r="AJ95" i="14"/>
  <c r="AK95" i="14"/>
  <c r="AL95" i="14"/>
  <c r="AM95" i="14"/>
  <c r="AN95" i="14"/>
  <c r="AO95" i="14"/>
  <c r="AP95" i="14"/>
  <c r="AQ95" i="14"/>
  <c r="AR95" i="14"/>
  <c r="AS95" i="14"/>
  <c r="AT95" i="14"/>
  <c r="AU95" i="14"/>
  <c r="AV95" i="14"/>
  <c r="AW95" i="14"/>
  <c r="AX95" i="14"/>
  <c r="AY95" i="14"/>
  <c r="AZ95" i="14"/>
  <c r="E96" i="14"/>
  <c r="F96" i="14"/>
  <c r="G96" i="14"/>
  <c r="H96" i="14"/>
  <c r="I96" i="14"/>
  <c r="J96" i="14"/>
  <c r="K96" i="14"/>
  <c r="L96" i="14"/>
  <c r="M96" i="14"/>
  <c r="N96" i="14"/>
  <c r="O96" i="14"/>
  <c r="P96" i="14"/>
  <c r="Q96" i="14"/>
  <c r="R96" i="14"/>
  <c r="S96" i="14"/>
  <c r="T96" i="14"/>
  <c r="U96" i="14"/>
  <c r="V96" i="14"/>
  <c r="W96" i="14"/>
  <c r="X96" i="14"/>
  <c r="Y96" i="14"/>
  <c r="Z96" i="14"/>
  <c r="AA96" i="14"/>
  <c r="AB96" i="14"/>
  <c r="AC96" i="14"/>
  <c r="AD96" i="14"/>
  <c r="AE96" i="14"/>
  <c r="AF96" i="14"/>
  <c r="AG96" i="14"/>
  <c r="AH96" i="14"/>
  <c r="AI96" i="14"/>
  <c r="AJ96" i="14"/>
  <c r="AK96" i="14"/>
  <c r="AL96" i="14"/>
  <c r="AM96" i="14"/>
  <c r="AN96" i="14"/>
  <c r="AO96" i="14"/>
  <c r="AP96" i="14"/>
  <c r="AQ96" i="14"/>
  <c r="AR96" i="14"/>
  <c r="AS96" i="14"/>
  <c r="AT96" i="14"/>
  <c r="AU96" i="14"/>
  <c r="AV96" i="14"/>
  <c r="AW96" i="14"/>
  <c r="AX96" i="14"/>
  <c r="AY96" i="14"/>
  <c r="AZ96" i="14"/>
  <c r="F101" i="14"/>
  <c r="G101" i="14"/>
  <c r="H101" i="14"/>
  <c r="I101" i="14"/>
  <c r="J101" i="14"/>
  <c r="K101" i="14"/>
  <c r="L101" i="14"/>
  <c r="M101" i="14"/>
  <c r="N101" i="14"/>
  <c r="O101" i="14"/>
  <c r="P101" i="14"/>
  <c r="Q101" i="14"/>
  <c r="R101" i="14"/>
  <c r="S101" i="14"/>
  <c r="T101" i="14"/>
  <c r="U101" i="14"/>
  <c r="V101" i="14"/>
  <c r="W101" i="14"/>
  <c r="X101" i="14"/>
  <c r="Y101" i="14"/>
  <c r="Z101" i="14"/>
  <c r="AA101" i="14"/>
  <c r="AB101" i="14"/>
  <c r="AC101" i="14"/>
  <c r="AD101" i="14"/>
  <c r="AE101" i="14"/>
  <c r="AF101" i="14"/>
  <c r="AG101" i="14"/>
  <c r="AH101" i="14"/>
  <c r="AI101" i="14"/>
  <c r="AJ101" i="14"/>
  <c r="AK101" i="14"/>
  <c r="AL101" i="14"/>
  <c r="AM101" i="14"/>
  <c r="AN101" i="14"/>
  <c r="AO101" i="14"/>
  <c r="AP101" i="14"/>
  <c r="AQ101" i="14"/>
  <c r="AR101" i="14"/>
  <c r="AS101" i="14"/>
  <c r="AT101" i="14"/>
  <c r="AU101" i="14"/>
  <c r="AV101" i="14"/>
  <c r="AW101" i="14"/>
  <c r="AX101" i="14"/>
  <c r="AY101" i="14"/>
  <c r="AZ101" i="14"/>
  <c r="BA101" i="14"/>
  <c r="E102" i="14"/>
  <c r="F102" i="14"/>
  <c r="G102" i="14"/>
  <c r="H102" i="14"/>
  <c r="I102" i="14"/>
  <c r="J102" i="14"/>
  <c r="K102" i="14"/>
  <c r="L102" i="14"/>
  <c r="M102" i="14"/>
  <c r="N102" i="14"/>
  <c r="O102" i="14"/>
  <c r="P102" i="14"/>
  <c r="Q102" i="14"/>
  <c r="R102" i="14"/>
  <c r="S102" i="14"/>
  <c r="T102" i="14"/>
  <c r="U102" i="14"/>
  <c r="V102" i="14"/>
  <c r="W102" i="14"/>
  <c r="X102" i="14"/>
  <c r="Y102" i="14"/>
  <c r="Z102" i="14"/>
  <c r="AA102" i="14"/>
  <c r="AB102" i="14"/>
  <c r="AC102" i="14"/>
  <c r="AD102" i="14"/>
  <c r="AE102" i="14"/>
  <c r="AF102" i="14"/>
  <c r="AG102" i="14"/>
  <c r="AH102" i="14"/>
  <c r="AI102" i="14"/>
  <c r="AJ102" i="14"/>
  <c r="AK102" i="14"/>
  <c r="AL102" i="14"/>
  <c r="AM102" i="14"/>
  <c r="AN102" i="14"/>
  <c r="AO102" i="14"/>
  <c r="AP102" i="14"/>
  <c r="AQ102" i="14"/>
  <c r="AR102" i="14"/>
  <c r="AS102" i="14"/>
  <c r="AT102" i="14"/>
  <c r="AU102" i="14"/>
  <c r="AV102" i="14"/>
  <c r="AW102" i="14"/>
  <c r="AX102" i="14"/>
  <c r="AY102" i="14"/>
  <c r="AZ102" i="14"/>
  <c r="BA102" i="14"/>
  <c r="BD102" i="14"/>
  <c r="E103" i="14"/>
  <c r="F103" i="14"/>
  <c r="G103" i="14"/>
  <c r="H103" i="14"/>
  <c r="I103" i="14"/>
  <c r="J103" i="14"/>
  <c r="K103" i="14"/>
  <c r="L103" i="14"/>
  <c r="M103" i="14"/>
  <c r="N103" i="14"/>
  <c r="O103" i="14"/>
  <c r="P103" i="14"/>
  <c r="Q103" i="14"/>
  <c r="R103" i="14"/>
  <c r="S103" i="14"/>
  <c r="T103" i="14"/>
  <c r="U103" i="14"/>
  <c r="V103" i="14"/>
  <c r="W103" i="14"/>
  <c r="X103" i="14"/>
  <c r="Y103" i="14"/>
  <c r="Z103" i="14"/>
  <c r="AA103" i="14"/>
  <c r="AB103" i="14"/>
  <c r="AC103" i="14"/>
  <c r="AD103" i="14"/>
  <c r="AE103" i="14"/>
  <c r="AF103" i="14"/>
  <c r="AG103" i="14"/>
  <c r="AH103" i="14"/>
  <c r="AI103" i="14"/>
  <c r="AJ103" i="14"/>
  <c r="AK103" i="14"/>
  <c r="AL103" i="14"/>
  <c r="AM103" i="14"/>
  <c r="AN103" i="14"/>
  <c r="AO103" i="14"/>
  <c r="AP103" i="14"/>
  <c r="AQ103" i="14"/>
  <c r="AR103" i="14"/>
  <c r="AS103" i="14"/>
  <c r="AT103" i="14"/>
  <c r="AU103" i="14"/>
  <c r="AV103" i="14"/>
  <c r="AW103" i="14"/>
  <c r="AX103" i="14"/>
  <c r="AY103" i="14"/>
  <c r="AZ103" i="14"/>
  <c r="BA103" i="14"/>
  <c r="E104" i="14"/>
  <c r="F104" i="14"/>
  <c r="G104" i="14"/>
  <c r="H104" i="14"/>
  <c r="I104" i="14"/>
  <c r="J104" i="14"/>
  <c r="K104" i="14"/>
  <c r="L104" i="14"/>
  <c r="M104" i="14"/>
  <c r="N104" i="14"/>
  <c r="O104" i="14"/>
  <c r="P104" i="14"/>
  <c r="Q104" i="14"/>
  <c r="R104" i="14"/>
  <c r="S104" i="14"/>
  <c r="T104" i="14"/>
  <c r="U104" i="14"/>
  <c r="V104" i="14"/>
  <c r="W104" i="14"/>
  <c r="X104" i="14"/>
  <c r="Y104" i="14"/>
  <c r="Z104" i="14"/>
  <c r="AA104" i="14"/>
  <c r="AB104" i="14"/>
  <c r="AC104" i="14"/>
  <c r="AD104" i="14"/>
  <c r="AE104" i="14"/>
  <c r="AF104" i="14"/>
  <c r="AG104" i="14"/>
  <c r="AH104" i="14"/>
  <c r="AI104" i="14"/>
  <c r="AJ104" i="14"/>
  <c r="AK104" i="14"/>
  <c r="AL104" i="14"/>
  <c r="AM104" i="14"/>
  <c r="AN104" i="14"/>
  <c r="AO104" i="14"/>
  <c r="AP104" i="14"/>
  <c r="AQ104" i="14"/>
  <c r="AR104" i="14"/>
  <c r="AS104" i="14"/>
  <c r="AT104" i="14"/>
  <c r="AU104" i="14"/>
  <c r="AV104" i="14"/>
  <c r="AW104" i="14"/>
  <c r="AX104" i="14"/>
  <c r="AY104" i="14"/>
  <c r="AZ104" i="14"/>
  <c r="BA104" i="14"/>
  <c r="C106" i="14"/>
  <c r="E106" i="14"/>
  <c r="F106" i="14"/>
  <c r="G106" i="14"/>
  <c r="H106" i="14"/>
  <c r="I106" i="14"/>
  <c r="J106" i="14"/>
  <c r="K106" i="14"/>
  <c r="L106" i="14"/>
  <c r="M106" i="14"/>
  <c r="N106" i="14"/>
  <c r="O106" i="14"/>
  <c r="P106" i="14"/>
  <c r="Q106" i="14"/>
  <c r="R106" i="14"/>
  <c r="S106" i="14"/>
  <c r="T106" i="14"/>
  <c r="U106" i="14"/>
  <c r="V106" i="14"/>
  <c r="W106" i="14"/>
  <c r="X106" i="14"/>
  <c r="Y106" i="14"/>
  <c r="Z106" i="14"/>
  <c r="AA106" i="14"/>
  <c r="AB106" i="14"/>
  <c r="AC106" i="14"/>
  <c r="AD106" i="14"/>
  <c r="AE106" i="14"/>
  <c r="AF106" i="14"/>
  <c r="AG106" i="14"/>
  <c r="AH106" i="14"/>
  <c r="AI106" i="14"/>
  <c r="AJ106" i="14"/>
  <c r="AK106" i="14"/>
  <c r="AL106" i="14"/>
  <c r="AM106" i="14"/>
  <c r="AN106" i="14"/>
  <c r="AO106" i="14"/>
  <c r="AP106" i="14"/>
  <c r="AQ106" i="14"/>
  <c r="AR106" i="14"/>
  <c r="AS106" i="14"/>
  <c r="AT106" i="14"/>
  <c r="AU106" i="14"/>
  <c r="AV106" i="14"/>
  <c r="AW106" i="14"/>
  <c r="AX106" i="14"/>
  <c r="AY106" i="14"/>
  <c r="AZ106" i="14"/>
  <c r="BA106" i="14"/>
  <c r="E107" i="14"/>
  <c r="F107" i="14"/>
  <c r="G107" i="14"/>
  <c r="H107" i="14"/>
  <c r="I107" i="14"/>
  <c r="J107" i="14"/>
  <c r="K107" i="14"/>
  <c r="L107" i="14"/>
  <c r="M107" i="14"/>
  <c r="N107" i="14"/>
  <c r="O107" i="14"/>
  <c r="P107" i="14"/>
  <c r="Q107" i="14"/>
  <c r="R107" i="14"/>
  <c r="S107" i="14"/>
  <c r="T107" i="14"/>
  <c r="U107" i="14"/>
  <c r="V107" i="14"/>
  <c r="W107" i="14"/>
  <c r="X107" i="14"/>
  <c r="Y107" i="14"/>
  <c r="Z107" i="14"/>
  <c r="AA107" i="14"/>
  <c r="AB107" i="14"/>
  <c r="AC107" i="14"/>
  <c r="AD107" i="14"/>
  <c r="AE107" i="14"/>
  <c r="AF107" i="14"/>
  <c r="AG107" i="14"/>
  <c r="AH107" i="14"/>
  <c r="AI107" i="14"/>
  <c r="AJ107" i="14"/>
  <c r="AK107" i="14"/>
  <c r="AL107" i="14"/>
  <c r="AM107" i="14"/>
  <c r="AN107" i="14"/>
  <c r="AO107" i="14"/>
  <c r="AP107" i="14"/>
  <c r="AQ107" i="14"/>
  <c r="AR107" i="14"/>
  <c r="AS107" i="14"/>
  <c r="AT107" i="14"/>
  <c r="AU107" i="14"/>
  <c r="AV107" i="14"/>
  <c r="AW107" i="14"/>
  <c r="AX107" i="14"/>
  <c r="AY107" i="14"/>
  <c r="AZ107" i="14"/>
  <c r="C109" i="14"/>
  <c r="A1" i="55"/>
  <c r="A2" i="55"/>
  <c r="A3" i="55"/>
  <c r="E6" i="55"/>
  <c r="F6" i="55"/>
  <c r="G6" i="55"/>
  <c r="H6" i="55"/>
  <c r="I6" i="55"/>
  <c r="J6" i="55"/>
  <c r="K6" i="55"/>
  <c r="L6" i="55"/>
  <c r="M6" i="55"/>
  <c r="N6" i="55"/>
  <c r="O6" i="55"/>
  <c r="P6" i="55"/>
  <c r="Q6" i="55"/>
  <c r="R6" i="55"/>
  <c r="S6" i="55"/>
  <c r="T6" i="55"/>
  <c r="U6" i="55"/>
  <c r="V6" i="55"/>
  <c r="W6" i="55"/>
  <c r="G8" i="55"/>
  <c r="H8" i="55"/>
  <c r="I8" i="55"/>
  <c r="J8" i="55"/>
  <c r="K8" i="55"/>
  <c r="L8" i="55"/>
  <c r="M8" i="55"/>
  <c r="N8" i="55"/>
  <c r="O8" i="55"/>
  <c r="P8" i="55"/>
  <c r="Q8" i="55"/>
  <c r="R8" i="55"/>
  <c r="S8" i="55"/>
  <c r="T8" i="55"/>
  <c r="U8" i="55"/>
  <c r="V8" i="55"/>
  <c r="W8" i="55"/>
  <c r="D11" i="55"/>
  <c r="E11" i="55"/>
  <c r="F11" i="55"/>
  <c r="G11" i="55"/>
  <c r="H11" i="55"/>
  <c r="I11" i="55"/>
  <c r="J11" i="55"/>
  <c r="K11" i="55"/>
  <c r="L11" i="55"/>
  <c r="M11" i="55"/>
  <c r="N11" i="55"/>
  <c r="O11" i="55"/>
  <c r="P11" i="55"/>
  <c r="Q11" i="55"/>
  <c r="R11" i="55"/>
  <c r="S11" i="55"/>
  <c r="T11" i="55"/>
  <c r="U11" i="55"/>
  <c r="V11" i="55"/>
  <c r="W11" i="55"/>
  <c r="D12" i="55"/>
  <c r="E12" i="55"/>
  <c r="F12" i="55"/>
  <c r="G12" i="55"/>
  <c r="H12" i="55"/>
  <c r="I12" i="55"/>
  <c r="J12" i="55"/>
  <c r="K12" i="55"/>
  <c r="L12" i="55"/>
  <c r="M12" i="55"/>
  <c r="N12" i="55"/>
  <c r="O12" i="55"/>
  <c r="P12" i="55"/>
  <c r="Q12" i="55"/>
  <c r="R12" i="55"/>
  <c r="S12" i="55"/>
  <c r="T12" i="55"/>
  <c r="U12" i="55"/>
  <c r="V12" i="55"/>
  <c r="W12" i="55"/>
  <c r="X12" i="55"/>
  <c r="D14" i="55"/>
  <c r="D18" i="55"/>
  <c r="E18" i="55"/>
  <c r="F18" i="55"/>
  <c r="G18" i="55"/>
  <c r="H18" i="55"/>
  <c r="I18" i="55"/>
  <c r="J18" i="55"/>
  <c r="K18" i="55"/>
  <c r="L18" i="55"/>
  <c r="M18" i="55"/>
  <c r="N18" i="55"/>
  <c r="O18" i="55"/>
  <c r="P18" i="55"/>
  <c r="Q18" i="55"/>
  <c r="R18" i="55"/>
  <c r="S18" i="55"/>
  <c r="T18" i="55"/>
  <c r="U18" i="55"/>
  <c r="V18" i="55"/>
  <c r="W18" i="55"/>
  <c r="D19" i="55"/>
  <c r="E19" i="55"/>
  <c r="F19" i="55"/>
  <c r="G19" i="55"/>
  <c r="H19" i="55"/>
  <c r="I19" i="55"/>
  <c r="J19" i="55"/>
  <c r="K19" i="55"/>
  <c r="L19" i="55"/>
  <c r="M19" i="55"/>
  <c r="N19" i="55"/>
  <c r="O19" i="55"/>
  <c r="P19" i="55"/>
  <c r="Q19" i="55"/>
  <c r="R19" i="55"/>
  <c r="S19" i="55"/>
  <c r="T19" i="55"/>
  <c r="U19" i="55"/>
  <c r="V19" i="55"/>
  <c r="W19" i="55"/>
  <c r="X19" i="55"/>
  <c r="D21" i="55"/>
  <c r="A1" i="39"/>
  <c r="A2" i="39"/>
  <c r="A3" i="39"/>
  <c r="A12" i="39"/>
  <c r="C12" i="39"/>
  <c r="D12" i="39"/>
  <c r="E12" i="39"/>
  <c r="G12" i="39"/>
  <c r="H12" i="39"/>
  <c r="I12" i="39"/>
  <c r="J12" i="39"/>
  <c r="K12" i="39"/>
  <c r="L12" i="39"/>
  <c r="M12" i="39"/>
  <c r="N12" i="39"/>
  <c r="O12" i="39"/>
  <c r="P12" i="39"/>
  <c r="Q12" i="39"/>
  <c r="R12" i="39"/>
  <c r="S12" i="39"/>
  <c r="T12" i="39"/>
  <c r="U12" i="39"/>
  <c r="A13" i="39"/>
  <c r="C13" i="39"/>
  <c r="D13" i="39"/>
  <c r="E13" i="39"/>
  <c r="F13" i="39"/>
  <c r="G13" i="39"/>
  <c r="H13" i="39"/>
  <c r="I13" i="39"/>
  <c r="J13" i="39"/>
  <c r="K13" i="39"/>
  <c r="L13" i="39"/>
  <c r="M13" i="39"/>
  <c r="N13" i="39"/>
  <c r="O13" i="39"/>
  <c r="P13" i="39"/>
  <c r="Q13" i="39"/>
  <c r="R13" i="39"/>
  <c r="S13" i="39"/>
  <c r="T13" i="39"/>
  <c r="U13" i="39"/>
  <c r="A14" i="39"/>
  <c r="C14" i="39"/>
  <c r="D14" i="39"/>
  <c r="E14" i="39"/>
  <c r="F14" i="39"/>
  <c r="G14" i="39"/>
  <c r="H14" i="39"/>
  <c r="I14" i="39"/>
  <c r="J14" i="39"/>
  <c r="K14" i="39"/>
  <c r="L14" i="39"/>
  <c r="M14" i="39"/>
  <c r="N14" i="39"/>
  <c r="O14" i="39"/>
  <c r="P14" i="39"/>
  <c r="Q14" i="39"/>
  <c r="R14" i="39"/>
  <c r="S14" i="39"/>
  <c r="T14" i="39"/>
  <c r="U14" i="39"/>
  <c r="A15" i="39"/>
  <c r="C15" i="39"/>
  <c r="D15" i="39"/>
  <c r="E15" i="39"/>
  <c r="F15" i="39"/>
  <c r="G15" i="39"/>
  <c r="H15" i="39"/>
  <c r="I15" i="39"/>
  <c r="J15" i="39"/>
  <c r="K15" i="39"/>
  <c r="L15" i="39"/>
  <c r="M15" i="39"/>
  <c r="N15" i="39"/>
  <c r="O15" i="39"/>
  <c r="P15" i="39"/>
  <c r="Q15" i="39"/>
  <c r="R15" i="39"/>
  <c r="S15" i="39"/>
  <c r="T15" i="39"/>
  <c r="U15" i="39"/>
  <c r="A16" i="39"/>
  <c r="C16" i="39"/>
  <c r="D16" i="39"/>
  <c r="E16" i="39"/>
  <c r="F16" i="39"/>
  <c r="G16" i="39"/>
  <c r="H16" i="39"/>
  <c r="I16" i="39"/>
  <c r="J16" i="39"/>
  <c r="K16" i="39"/>
  <c r="L16" i="39"/>
  <c r="M16" i="39"/>
  <c r="N16" i="39"/>
  <c r="O16" i="39"/>
  <c r="P16" i="39"/>
  <c r="Q16" i="39"/>
  <c r="R16" i="39"/>
  <c r="S16" i="39"/>
  <c r="T16" i="39"/>
  <c r="U16" i="39"/>
  <c r="A17" i="39"/>
  <c r="C17" i="39"/>
  <c r="D17" i="39"/>
  <c r="E17" i="39"/>
  <c r="F17" i="39"/>
  <c r="G17" i="39"/>
  <c r="H17" i="39"/>
  <c r="I17" i="39"/>
  <c r="J17" i="39"/>
  <c r="K17" i="39"/>
  <c r="L17" i="39"/>
  <c r="M17" i="39"/>
  <c r="N17" i="39"/>
  <c r="O17" i="39"/>
  <c r="P17" i="39"/>
  <c r="Q17" i="39"/>
  <c r="R17" i="39"/>
  <c r="S17" i="39"/>
  <c r="T17" i="39"/>
  <c r="U17" i="39"/>
  <c r="A18" i="39"/>
  <c r="C18" i="39"/>
  <c r="D18" i="39"/>
  <c r="E18" i="39"/>
  <c r="F18" i="39"/>
  <c r="G18" i="39"/>
  <c r="H18" i="39"/>
  <c r="I18" i="39"/>
  <c r="J18" i="39"/>
  <c r="K18" i="39"/>
  <c r="L18" i="39"/>
  <c r="M18" i="39"/>
  <c r="N18" i="39"/>
  <c r="O18" i="39"/>
  <c r="P18" i="39"/>
  <c r="Q18" i="39"/>
  <c r="R18" i="39"/>
  <c r="S18" i="39"/>
  <c r="T18" i="39"/>
  <c r="U18" i="39"/>
  <c r="A19" i="39"/>
  <c r="C19" i="39"/>
  <c r="D19" i="39"/>
  <c r="E19" i="39"/>
  <c r="F19" i="39"/>
  <c r="G19" i="39"/>
  <c r="H19" i="39"/>
  <c r="I19" i="39"/>
  <c r="J19" i="39"/>
  <c r="K19" i="39"/>
  <c r="L19" i="39"/>
  <c r="M19" i="39"/>
  <c r="N19" i="39"/>
  <c r="O19" i="39"/>
  <c r="P19" i="39"/>
  <c r="Q19" i="39"/>
  <c r="R19" i="39"/>
  <c r="S19" i="39"/>
  <c r="T19" i="39"/>
  <c r="U19" i="39"/>
  <c r="A20" i="39"/>
  <c r="C20" i="39"/>
  <c r="D20" i="39"/>
  <c r="E20" i="39"/>
  <c r="F20" i="39"/>
  <c r="G20" i="39"/>
  <c r="H20" i="39"/>
  <c r="I20" i="39"/>
  <c r="J20" i="39"/>
  <c r="K20" i="39"/>
  <c r="L20" i="39"/>
  <c r="M20" i="39"/>
  <c r="N20" i="39"/>
  <c r="O20" i="39"/>
  <c r="P20" i="39"/>
  <c r="Q20" i="39"/>
  <c r="R20" i="39"/>
  <c r="S20" i="39"/>
  <c r="T20" i="39"/>
  <c r="U20" i="39"/>
  <c r="A21" i="39"/>
  <c r="C21" i="39"/>
  <c r="D21" i="39"/>
  <c r="E21" i="39"/>
  <c r="F21" i="39"/>
  <c r="G21" i="39"/>
  <c r="H21" i="39"/>
  <c r="I21" i="39"/>
  <c r="J21" i="39"/>
  <c r="K21" i="39"/>
  <c r="L21" i="39"/>
  <c r="M21" i="39"/>
  <c r="N21" i="39"/>
  <c r="O21" i="39"/>
  <c r="P21" i="39"/>
  <c r="Q21" i="39"/>
  <c r="R21" i="39"/>
  <c r="S21" i="39"/>
  <c r="T21" i="39"/>
  <c r="U21" i="39"/>
  <c r="A22" i="39"/>
  <c r="C22" i="39"/>
  <c r="D22" i="39"/>
  <c r="E22" i="39"/>
  <c r="F22" i="39"/>
  <c r="G22" i="39"/>
  <c r="H22" i="39"/>
  <c r="I22" i="39"/>
  <c r="J22" i="39"/>
  <c r="K22" i="39"/>
  <c r="L22" i="39"/>
  <c r="M22" i="39"/>
  <c r="N22" i="39"/>
  <c r="O22" i="39"/>
  <c r="P22" i="39"/>
  <c r="Q22" i="39"/>
  <c r="R22" i="39"/>
  <c r="S22" i="39"/>
  <c r="T22" i="39"/>
  <c r="U22" i="39"/>
  <c r="A23" i="39"/>
  <c r="C23" i="39"/>
  <c r="D23" i="39"/>
  <c r="E23" i="39"/>
  <c r="F23" i="39"/>
  <c r="G23" i="39"/>
  <c r="H23" i="39"/>
  <c r="I23" i="39"/>
  <c r="J23" i="39"/>
  <c r="K23" i="39"/>
  <c r="L23" i="39"/>
  <c r="M23" i="39"/>
  <c r="N23" i="39"/>
  <c r="O23" i="39"/>
  <c r="P23" i="39"/>
  <c r="Q23" i="39"/>
  <c r="R23" i="39"/>
  <c r="S23" i="39"/>
  <c r="T23" i="39"/>
  <c r="U23" i="39"/>
  <c r="A24" i="39"/>
  <c r="C24" i="39"/>
  <c r="D24" i="39"/>
  <c r="E24" i="39"/>
  <c r="F24" i="39"/>
  <c r="G24" i="39"/>
  <c r="H24" i="39"/>
  <c r="I24" i="39"/>
  <c r="J24" i="39"/>
  <c r="K24" i="39"/>
  <c r="L24" i="39"/>
  <c r="M24" i="39"/>
  <c r="N24" i="39"/>
  <c r="O24" i="39"/>
  <c r="P24" i="39"/>
  <c r="Q24" i="39"/>
  <c r="R24" i="39"/>
  <c r="S24" i="39"/>
  <c r="T24" i="39"/>
  <c r="U24" i="39"/>
  <c r="A25" i="39"/>
  <c r="C25" i="39"/>
  <c r="D25" i="39"/>
  <c r="E25" i="39"/>
  <c r="F25" i="39"/>
  <c r="G25" i="39"/>
  <c r="H25" i="39"/>
  <c r="I25" i="39"/>
  <c r="J25" i="39"/>
  <c r="K25" i="39"/>
  <c r="L25" i="39"/>
  <c r="M25" i="39"/>
  <c r="N25" i="39"/>
  <c r="O25" i="39"/>
  <c r="P25" i="39"/>
  <c r="Q25" i="39"/>
  <c r="R25" i="39"/>
  <c r="S25" i="39"/>
  <c r="T25" i="39"/>
  <c r="U25" i="39"/>
  <c r="A26" i="39"/>
  <c r="C26" i="39"/>
  <c r="D26" i="39"/>
  <c r="E26" i="39"/>
  <c r="F26" i="39"/>
  <c r="G26" i="39"/>
  <c r="H26" i="39"/>
  <c r="I26" i="39"/>
  <c r="J26" i="39"/>
  <c r="K26" i="39"/>
  <c r="L26" i="39"/>
  <c r="M26" i="39"/>
  <c r="N26" i="39"/>
  <c r="O26" i="39"/>
  <c r="P26" i="39"/>
  <c r="Q26" i="39"/>
  <c r="R26" i="39"/>
  <c r="S26" i="39"/>
  <c r="T26" i="39"/>
  <c r="U26" i="39"/>
  <c r="A27" i="39"/>
  <c r="C27" i="39"/>
  <c r="D27" i="39"/>
  <c r="E27" i="39"/>
  <c r="F27" i="39"/>
  <c r="G27" i="39"/>
  <c r="H27" i="39"/>
  <c r="I27" i="39"/>
  <c r="J27" i="39"/>
  <c r="K27" i="39"/>
  <c r="L27" i="39"/>
  <c r="M27" i="39"/>
  <c r="N27" i="39"/>
  <c r="O27" i="39"/>
  <c r="P27" i="39"/>
  <c r="Q27" i="39"/>
  <c r="R27" i="39"/>
  <c r="S27" i="39"/>
  <c r="T27" i="39"/>
  <c r="U27" i="39"/>
  <c r="A28" i="39"/>
  <c r="C28" i="39"/>
  <c r="D28" i="39"/>
  <c r="E28" i="39"/>
  <c r="F28" i="39"/>
  <c r="G28" i="39"/>
  <c r="H28" i="39"/>
  <c r="I28" i="39"/>
  <c r="J28" i="39"/>
  <c r="K28" i="39"/>
  <c r="L28" i="39"/>
  <c r="M28" i="39"/>
  <c r="N28" i="39"/>
  <c r="O28" i="39"/>
  <c r="P28" i="39"/>
  <c r="Q28" i="39"/>
  <c r="R28" i="39"/>
  <c r="S28" i="39"/>
  <c r="T28" i="39"/>
  <c r="U28" i="39"/>
  <c r="A29" i="39"/>
  <c r="C29" i="39"/>
  <c r="D29" i="39"/>
  <c r="E29" i="39"/>
  <c r="F29" i="39"/>
  <c r="G29" i="39"/>
  <c r="H29" i="39"/>
  <c r="I29" i="39"/>
  <c r="J29" i="39"/>
  <c r="K29" i="39"/>
  <c r="L29" i="39"/>
  <c r="M29" i="39"/>
  <c r="N29" i="39"/>
  <c r="O29" i="39"/>
  <c r="P29" i="39"/>
  <c r="Q29" i="39"/>
  <c r="R29" i="39"/>
  <c r="S29" i="39"/>
  <c r="T29" i="39"/>
  <c r="U29" i="39"/>
  <c r="A30" i="39"/>
  <c r="C30" i="39"/>
  <c r="D30" i="39"/>
  <c r="E30" i="39"/>
  <c r="F30" i="39"/>
  <c r="G30" i="39"/>
  <c r="H30" i="39"/>
  <c r="I30" i="39"/>
  <c r="J30" i="39"/>
  <c r="K30" i="39"/>
  <c r="L30" i="39"/>
  <c r="M30" i="39"/>
  <c r="N30" i="39"/>
  <c r="O30" i="39"/>
  <c r="P30" i="39"/>
  <c r="Q30" i="39"/>
  <c r="R30" i="39"/>
  <c r="S30" i="39"/>
  <c r="T30" i="39"/>
  <c r="U30" i="39"/>
  <c r="A31" i="39"/>
  <c r="C31" i="39"/>
  <c r="D31" i="39"/>
  <c r="E31" i="39"/>
  <c r="F31" i="39"/>
  <c r="G31" i="39"/>
  <c r="H31" i="39"/>
  <c r="I31" i="39"/>
  <c r="J31" i="39"/>
  <c r="K31" i="39"/>
  <c r="L31" i="39"/>
  <c r="M31" i="39"/>
  <c r="N31" i="39"/>
  <c r="O31" i="39"/>
  <c r="P31" i="39"/>
  <c r="Q31" i="39"/>
  <c r="R31" i="39"/>
  <c r="S31" i="39"/>
  <c r="T31" i="39"/>
  <c r="U31" i="39"/>
  <c r="A32" i="39"/>
  <c r="C32" i="39"/>
  <c r="D32" i="39"/>
  <c r="E32" i="39"/>
  <c r="F32" i="39"/>
  <c r="G32" i="39"/>
  <c r="H32" i="39"/>
  <c r="I32" i="39"/>
  <c r="J32" i="39"/>
  <c r="K32" i="39"/>
  <c r="L32" i="39"/>
  <c r="M32" i="39"/>
  <c r="N32" i="39"/>
  <c r="O32" i="39"/>
  <c r="P32" i="39"/>
  <c r="Q32" i="39"/>
  <c r="R32" i="39"/>
  <c r="S32" i="39"/>
  <c r="T32" i="39"/>
  <c r="U32" i="39"/>
  <c r="A33" i="39"/>
  <c r="C33" i="39"/>
  <c r="D33" i="39"/>
  <c r="E33" i="39"/>
  <c r="F33" i="39"/>
  <c r="G33" i="39"/>
  <c r="H33" i="39"/>
  <c r="I33" i="39"/>
  <c r="J33" i="39"/>
  <c r="K33" i="39"/>
  <c r="L33" i="39"/>
  <c r="M33" i="39"/>
  <c r="N33" i="39"/>
  <c r="O33" i="39"/>
  <c r="P33" i="39"/>
  <c r="Q33" i="39"/>
  <c r="R33" i="39"/>
  <c r="S33" i="39"/>
  <c r="T33" i="39"/>
  <c r="U33" i="39"/>
  <c r="A34" i="39"/>
  <c r="C34" i="39"/>
  <c r="D34" i="39"/>
  <c r="E34" i="39"/>
  <c r="F34" i="39"/>
  <c r="G34" i="39"/>
  <c r="H34" i="39"/>
  <c r="I34" i="39"/>
  <c r="J34" i="39"/>
  <c r="K34" i="39"/>
  <c r="L34" i="39"/>
  <c r="M34" i="39"/>
  <c r="N34" i="39"/>
  <c r="O34" i="39"/>
  <c r="P34" i="39"/>
  <c r="Q34" i="39"/>
  <c r="R34" i="39"/>
  <c r="S34" i="39"/>
  <c r="T34" i="39"/>
  <c r="U34" i="39"/>
  <c r="A35" i="39"/>
  <c r="C35" i="39"/>
  <c r="D35" i="39"/>
  <c r="E35" i="39"/>
  <c r="F35" i="39"/>
  <c r="G35" i="39"/>
  <c r="H35" i="39"/>
  <c r="I35" i="39"/>
  <c r="J35" i="39"/>
  <c r="K35" i="39"/>
  <c r="L35" i="39"/>
  <c r="M35" i="39"/>
  <c r="N35" i="39"/>
  <c r="O35" i="39"/>
  <c r="P35" i="39"/>
  <c r="Q35" i="39"/>
  <c r="R35" i="39"/>
  <c r="S35" i="39"/>
  <c r="T35" i="39"/>
  <c r="U35" i="39"/>
  <c r="A36" i="39"/>
  <c r="C36" i="39"/>
  <c r="D36" i="39"/>
  <c r="E36" i="39"/>
  <c r="F36" i="39"/>
  <c r="G36" i="39"/>
  <c r="H36" i="39"/>
  <c r="I36" i="39"/>
  <c r="J36" i="39"/>
  <c r="K36" i="39"/>
  <c r="L36" i="39"/>
  <c r="M36" i="39"/>
  <c r="N36" i="39"/>
  <c r="O36" i="39"/>
  <c r="P36" i="39"/>
  <c r="Q36" i="39"/>
  <c r="R36" i="39"/>
  <c r="S36" i="39"/>
  <c r="T36" i="39"/>
  <c r="U36" i="39"/>
  <c r="A37" i="39"/>
  <c r="C37" i="39"/>
  <c r="D37" i="39"/>
  <c r="E37" i="39"/>
  <c r="F37" i="39"/>
  <c r="G37" i="39"/>
  <c r="H37" i="39"/>
  <c r="I37" i="39"/>
  <c r="J37" i="39"/>
  <c r="K37" i="39"/>
  <c r="L37" i="39"/>
  <c r="M37" i="39"/>
  <c r="N37" i="39"/>
  <c r="O37" i="39"/>
  <c r="P37" i="39"/>
  <c r="Q37" i="39"/>
  <c r="R37" i="39"/>
  <c r="S37" i="39"/>
  <c r="T37" i="39"/>
  <c r="U37" i="39"/>
  <c r="A38" i="39"/>
  <c r="C38" i="39"/>
  <c r="D38" i="39"/>
  <c r="E38" i="39"/>
  <c r="F38" i="39"/>
  <c r="G38" i="39"/>
  <c r="H38" i="39"/>
  <c r="I38" i="39"/>
  <c r="J38" i="39"/>
  <c r="K38" i="39"/>
  <c r="L38" i="39"/>
  <c r="M38" i="39"/>
  <c r="N38" i="39"/>
  <c r="O38" i="39"/>
  <c r="P38" i="39"/>
  <c r="Q38" i="39"/>
  <c r="R38" i="39"/>
  <c r="S38" i="39"/>
  <c r="T38" i="39"/>
  <c r="U38" i="39"/>
  <c r="A39" i="39"/>
  <c r="C39" i="39"/>
  <c r="D39" i="39"/>
  <c r="E39" i="39"/>
  <c r="F39" i="39"/>
  <c r="G39" i="39"/>
  <c r="H39" i="39"/>
  <c r="I39" i="39"/>
  <c r="J39" i="39"/>
  <c r="K39" i="39"/>
  <c r="L39" i="39"/>
  <c r="M39" i="39"/>
  <c r="N39" i="39"/>
  <c r="O39" i="39"/>
  <c r="P39" i="39"/>
  <c r="Q39" i="39"/>
  <c r="R39" i="39"/>
  <c r="S39" i="39"/>
  <c r="T39" i="39"/>
  <c r="U39" i="39"/>
  <c r="A40" i="39"/>
  <c r="C40" i="39"/>
  <c r="D40" i="39"/>
  <c r="E40" i="39"/>
  <c r="F40" i="39"/>
  <c r="G40" i="39"/>
  <c r="H40" i="39"/>
  <c r="I40" i="39"/>
  <c r="J40" i="39"/>
  <c r="K40" i="39"/>
  <c r="L40" i="39"/>
  <c r="M40" i="39"/>
  <c r="N40" i="39"/>
  <c r="O40" i="39"/>
  <c r="P40" i="39"/>
  <c r="Q40" i="39"/>
  <c r="R40" i="39"/>
  <c r="S40" i="39"/>
  <c r="T40" i="39"/>
  <c r="U40" i="39"/>
  <c r="A41" i="39"/>
  <c r="C41" i="39"/>
  <c r="D41" i="39"/>
  <c r="E41" i="39"/>
  <c r="F41" i="39"/>
  <c r="G41" i="39"/>
  <c r="H41" i="39"/>
  <c r="I41" i="39"/>
  <c r="J41" i="39"/>
  <c r="K41" i="39"/>
  <c r="L41" i="39"/>
  <c r="M41" i="39"/>
  <c r="N41" i="39"/>
  <c r="O41" i="39"/>
  <c r="P41" i="39"/>
  <c r="Q41" i="39"/>
  <c r="R41" i="39"/>
  <c r="S41" i="39"/>
  <c r="T41" i="39"/>
  <c r="U41" i="39"/>
  <c r="A42" i="39"/>
  <c r="C42" i="39"/>
  <c r="D42" i="39"/>
  <c r="E42" i="39"/>
  <c r="F42" i="39"/>
  <c r="G42" i="39"/>
  <c r="H42" i="39"/>
  <c r="I42" i="39"/>
  <c r="J42" i="39"/>
  <c r="K42" i="39"/>
  <c r="L42" i="39"/>
  <c r="M42" i="39"/>
  <c r="N42" i="39"/>
  <c r="O42" i="39"/>
  <c r="P42" i="39"/>
  <c r="Q42" i="39"/>
  <c r="R42" i="39"/>
  <c r="S42" i="39"/>
  <c r="T42" i="39"/>
  <c r="U42" i="39"/>
  <c r="A43" i="39"/>
  <c r="C43" i="39"/>
  <c r="D43" i="39"/>
  <c r="E43" i="39"/>
  <c r="F43" i="39"/>
  <c r="G43" i="39"/>
  <c r="H43" i="39"/>
  <c r="I43" i="39"/>
  <c r="J43" i="39"/>
  <c r="K43" i="39"/>
  <c r="L43" i="39"/>
  <c r="M43" i="39"/>
  <c r="N43" i="39"/>
  <c r="O43" i="39"/>
  <c r="P43" i="39"/>
  <c r="Q43" i="39"/>
  <c r="R43" i="39"/>
  <c r="S43" i="39"/>
  <c r="T43" i="39"/>
  <c r="U43" i="39"/>
  <c r="A44" i="39"/>
  <c r="C44" i="39"/>
  <c r="D44" i="39"/>
  <c r="E44" i="39"/>
  <c r="F44" i="39"/>
  <c r="G44" i="39"/>
  <c r="H44" i="39"/>
  <c r="I44" i="39"/>
  <c r="J44" i="39"/>
  <c r="K44" i="39"/>
  <c r="L44" i="39"/>
  <c r="M44" i="39"/>
  <c r="N44" i="39"/>
  <c r="O44" i="39"/>
  <c r="P44" i="39"/>
  <c r="Q44" i="39"/>
  <c r="R44" i="39"/>
  <c r="S44" i="39"/>
  <c r="T44" i="39"/>
  <c r="U44" i="39"/>
  <c r="A45" i="39"/>
  <c r="C45" i="39"/>
  <c r="D45" i="39"/>
  <c r="E45" i="39"/>
  <c r="F45" i="39"/>
  <c r="G45" i="39"/>
  <c r="H45" i="39"/>
  <c r="I45" i="39"/>
  <c r="J45" i="39"/>
  <c r="K45" i="39"/>
  <c r="L45" i="39"/>
  <c r="M45" i="39"/>
  <c r="N45" i="39"/>
  <c r="O45" i="39"/>
  <c r="P45" i="39"/>
  <c r="Q45" i="39"/>
  <c r="R45" i="39"/>
  <c r="S45" i="39"/>
  <c r="T45" i="39"/>
  <c r="U45" i="39"/>
  <c r="A46" i="39"/>
  <c r="C46" i="39"/>
  <c r="D46" i="39"/>
  <c r="E46" i="39"/>
  <c r="F46" i="39"/>
  <c r="G46" i="39"/>
  <c r="H46" i="39"/>
  <c r="I46" i="39"/>
  <c r="J46" i="39"/>
  <c r="K46" i="39"/>
  <c r="L46" i="39"/>
  <c r="M46" i="39"/>
  <c r="N46" i="39"/>
  <c r="O46" i="39"/>
  <c r="P46" i="39"/>
  <c r="Q46" i="39"/>
  <c r="R46" i="39"/>
  <c r="S46" i="39"/>
  <c r="T46" i="39"/>
  <c r="U46" i="39"/>
  <c r="A47" i="39"/>
  <c r="C47" i="39"/>
  <c r="D47" i="39"/>
  <c r="E47" i="39"/>
  <c r="F47" i="39"/>
  <c r="G47" i="39"/>
  <c r="H47" i="39"/>
  <c r="I47" i="39"/>
  <c r="J47" i="39"/>
  <c r="K47" i="39"/>
  <c r="L47" i="39"/>
  <c r="M47" i="39"/>
  <c r="N47" i="39"/>
  <c r="O47" i="39"/>
  <c r="P47" i="39"/>
  <c r="Q47" i="39"/>
  <c r="R47" i="39"/>
  <c r="S47" i="39"/>
  <c r="T47" i="39"/>
  <c r="U47" i="39"/>
  <c r="A48" i="39"/>
  <c r="C48" i="39"/>
  <c r="D48" i="39"/>
  <c r="E48" i="39"/>
  <c r="F48" i="39"/>
  <c r="G48" i="39"/>
  <c r="H48" i="39"/>
  <c r="I48" i="39"/>
  <c r="J48" i="39"/>
  <c r="K48" i="39"/>
  <c r="L48" i="39"/>
  <c r="M48" i="39"/>
  <c r="N48" i="39"/>
  <c r="O48" i="39"/>
  <c r="P48" i="39"/>
  <c r="Q48" i="39"/>
  <c r="R48" i="39"/>
  <c r="S48" i="39"/>
  <c r="T48" i="39"/>
  <c r="U48" i="39"/>
  <c r="A49" i="39"/>
  <c r="C49" i="39"/>
  <c r="D49" i="39"/>
  <c r="E49" i="39"/>
  <c r="F49" i="39"/>
  <c r="G49" i="39"/>
  <c r="H49" i="39"/>
  <c r="I49" i="39"/>
  <c r="J49" i="39"/>
  <c r="K49" i="39"/>
  <c r="L49" i="39"/>
  <c r="M49" i="39"/>
  <c r="N49" i="39"/>
  <c r="O49" i="39"/>
  <c r="P49" i="39"/>
  <c r="Q49" i="39"/>
  <c r="R49" i="39"/>
  <c r="S49" i="39"/>
  <c r="T49" i="39"/>
  <c r="U49" i="39"/>
  <c r="A50" i="39"/>
  <c r="C50" i="39"/>
  <c r="D50" i="39"/>
  <c r="E50" i="39"/>
  <c r="F50" i="39"/>
  <c r="G50" i="39"/>
  <c r="H50" i="39"/>
  <c r="I50" i="39"/>
  <c r="J50" i="39"/>
  <c r="K50" i="39"/>
  <c r="L50" i="39"/>
  <c r="M50" i="39"/>
  <c r="N50" i="39"/>
  <c r="O50" i="39"/>
  <c r="P50" i="39"/>
  <c r="Q50" i="39"/>
  <c r="R50" i="39"/>
  <c r="S50" i="39"/>
  <c r="T50" i="39"/>
  <c r="U50" i="39"/>
  <c r="A51" i="39"/>
  <c r="C51" i="39"/>
  <c r="D51" i="39"/>
  <c r="E51" i="39"/>
  <c r="F51" i="39"/>
  <c r="G51" i="39"/>
  <c r="H51" i="39"/>
  <c r="I51" i="39"/>
  <c r="J51" i="39"/>
  <c r="K51" i="39"/>
  <c r="L51" i="39"/>
  <c r="M51" i="39"/>
  <c r="N51" i="39"/>
  <c r="O51" i="39"/>
  <c r="P51" i="39"/>
  <c r="Q51" i="39"/>
  <c r="R51" i="39"/>
  <c r="S51" i="39"/>
  <c r="T51" i="39"/>
  <c r="U51" i="39"/>
  <c r="A52" i="39"/>
  <c r="C52" i="39"/>
  <c r="D52" i="39"/>
  <c r="E52" i="39"/>
  <c r="F52" i="39"/>
  <c r="G52" i="39"/>
  <c r="H52" i="39"/>
  <c r="I52" i="39"/>
  <c r="J52" i="39"/>
  <c r="K52" i="39"/>
  <c r="L52" i="39"/>
  <c r="M52" i="39"/>
  <c r="N52" i="39"/>
  <c r="O52" i="39"/>
  <c r="P52" i="39"/>
  <c r="Q52" i="39"/>
  <c r="R52" i="39"/>
  <c r="S52" i="39"/>
  <c r="T52" i="39"/>
  <c r="U52" i="39"/>
  <c r="A53" i="39"/>
  <c r="C53" i="39"/>
  <c r="D53" i="39"/>
  <c r="E53" i="39"/>
  <c r="F53" i="39"/>
  <c r="G53" i="39"/>
  <c r="H53" i="39"/>
  <c r="I53" i="39"/>
  <c r="J53" i="39"/>
  <c r="K53" i="39"/>
  <c r="L53" i="39"/>
  <c r="M53" i="39"/>
  <c r="N53" i="39"/>
  <c r="O53" i="39"/>
  <c r="P53" i="39"/>
  <c r="Q53" i="39"/>
  <c r="R53" i="39"/>
  <c r="S53" i="39"/>
  <c r="T53" i="39"/>
  <c r="U53" i="39"/>
  <c r="A54" i="39"/>
  <c r="C54" i="39"/>
  <c r="D54" i="39"/>
  <c r="E54" i="39"/>
  <c r="F54" i="39"/>
  <c r="G54" i="39"/>
  <c r="H54" i="39"/>
  <c r="I54" i="39"/>
  <c r="J54" i="39"/>
  <c r="K54" i="39"/>
  <c r="L54" i="39"/>
  <c r="M54" i="39"/>
  <c r="N54" i="39"/>
  <c r="O54" i="39"/>
  <c r="P54" i="39"/>
  <c r="Q54" i="39"/>
  <c r="R54" i="39"/>
  <c r="S54" i="39"/>
  <c r="T54" i="39"/>
  <c r="U54" i="39"/>
  <c r="A55" i="39"/>
  <c r="C55" i="39"/>
  <c r="D55" i="39"/>
  <c r="E55" i="39"/>
  <c r="F55" i="39"/>
  <c r="G55" i="39"/>
  <c r="H55" i="39"/>
  <c r="I55" i="39"/>
  <c r="J55" i="39"/>
  <c r="K55" i="39"/>
  <c r="L55" i="39"/>
  <c r="M55" i="39"/>
  <c r="N55" i="39"/>
  <c r="O55" i="39"/>
  <c r="P55" i="39"/>
  <c r="Q55" i="39"/>
  <c r="R55" i="39"/>
  <c r="S55" i="39"/>
  <c r="T55" i="39"/>
  <c r="U55" i="39"/>
  <c r="A56" i="39"/>
  <c r="C56" i="39"/>
  <c r="D56" i="39"/>
  <c r="E56" i="39"/>
  <c r="F56" i="39"/>
  <c r="G56" i="39"/>
  <c r="H56" i="39"/>
  <c r="I56" i="39"/>
  <c r="J56" i="39"/>
  <c r="K56" i="39"/>
  <c r="L56" i="39"/>
  <c r="M56" i="39"/>
  <c r="N56" i="39"/>
  <c r="O56" i="39"/>
  <c r="P56" i="39"/>
  <c r="Q56" i="39"/>
  <c r="R56" i="39"/>
  <c r="S56" i="39"/>
  <c r="T56" i="39"/>
  <c r="U56" i="39"/>
  <c r="A57" i="39"/>
  <c r="C57" i="39"/>
  <c r="D57" i="39"/>
  <c r="E57" i="39"/>
  <c r="F57" i="39"/>
  <c r="G57" i="39"/>
  <c r="H57" i="39"/>
  <c r="I57" i="39"/>
  <c r="J57" i="39"/>
  <c r="K57" i="39"/>
  <c r="L57" i="39"/>
  <c r="M57" i="39"/>
  <c r="N57" i="39"/>
  <c r="O57" i="39"/>
  <c r="P57" i="39"/>
  <c r="Q57" i="39"/>
  <c r="R57" i="39"/>
  <c r="S57" i="39"/>
  <c r="T57" i="39"/>
  <c r="U57" i="39"/>
  <c r="A58" i="39"/>
  <c r="C58" i="39"/>
  <c r="D58" i="39"/>
  <c r="E58" i="39"/>
  <c r="F58" i="39"/>
  <c r="G58" i="39"/>
  <c r="H58" i="39"/>
  <c r="I58" i="39"/>
  <c r="J58" i="39"/>
  <c r="K58" i="39"/>
  <c r="L58" i="39"/>
  <c r="M58" i="39"/>
  <c r="N58" i="39"/>
  <c r="O58" i="39"/>
  <c r="P58" i="39"/>
  <c r="Q58" i="39"/>
  <c r="R58" i="39"/>
  <c r="S58" i="39"/>
  <c r="T58" i="39"/>
  <c r="U58" i="39"/>
  <c r="A59" i="39"/>
  <c r="C59" i="39"/>
  <c r="D59" i="39"/>
  <c r="E59" i="39"/>
  <c r="F59" i="39"/>
  <c r="G59" i="39"/>
  <c r="H59" i="39"/>
  <c r="I59" i="39"/>
  <c r="J59" i="39"/>
  <c r="K59" i="39"/>
  <c r="L59" i="39"/>
  <c r="M59" i="39"/>
  <c r="N59" i="39"/>
  <c r="O59" i="39"/>
  <c r="P59" i="39"/>
  <c r="Q59" i="39"/>
  <c r="R59" i="39"/>
  <c r="S59" i="39"/>
  <c r="T59" i="39"/>
  <c r="U59" i="39"/>
  <c r="A60" i="39"/>
  <c r="C60" i="39"/>
  <c r="D60" i="39"/>
  <c r="E60" i="39"/>
  <c r="F60" i="39"/>
  <c r="G60" i="39"/>
  <c r="H60" i="39"/>
  <c r="I60" i="39"/>
  <c r="J60" i="39"/>
  <c r="K60" i="39"/>
  <c r="L60" i="39"/>
  <c r="M60" i="39"/>
  <c r="N60" i="39"/>
  <c r="O60" i="39"/>
  <c r="P60" i="39"/>
  <c r="Q60" i="39"/>
  <c r="R60" i="39"/>
  <c r="S60" i="39"/>
  <c r="T60" i="39"/>
  <c r="U60" i="39"/>
  <c r="A61" i="39"/>
  <c r="C61" i="39"/>
  <c r="D61" i="39"/>
  <c r="E61" i="39"/>
  <c r="F61" i="39"/>
  <c r="G61" i="39"/>
  <c r="H61" i="39"/>
  <c r="I61" i="39"/>
  <c r="J61" i="39"/>
  <c r="K61" i="39"/>
  <c r="L61" i="39"/>
  <c r="M61" i="39"/>
  <c r="N61" i="39"/>
  <c r="O61" i="39"/>
  <c r="P61" i="39"/>
  <c r="Q61" i="39"/>
  <c r="R61" i="39"/>
  <c r="S61" i="39"/>
  <c r="T61" i="39"/>
  <c r="U61" i="39"/>
  <c r="A62" i="39"/>
  <c r="C62" i="39"/>
  <c r="D62" i="39"/>
  <c r="E62" i="39"/>
  <c r="F62" i="39"/>
  <c r="G62" i="39"/>
  <c r="H62" i="39"/>
  <c r="I62" i="39"/>
  <c r="J62" i="39"/>
  <c r="K62" i="39"/>
  <c r="L62" i="39"/>
  <c r="M62" i="39"/>
  <c r="N62" i="39"/>
  <c r="O62" i="39"/>
  <c r="P62" i="39"/>
  <c r="Q62" i="39"/>
  <c r="R62" i="39"/>
  <c r="S62" i="39"/>
  <c r="T62" i="39"/>
  <c r="U62" i="39"/>
  <c r="A63" i="39"/>
  <c r="C63" i="39"/>
  <c r="D63" i="39"/>
  <c r="E63" i="39"/>
  <c r="F63" i="39"/>
  <c r="G63" i="39"/>
  <c r="H63" i="39"/>
  <c r="I63" i="39"/>
  <c r="J63" i="39"/>
  <c r="K63" i="39"/>
  <c r="L63" i="39"/>
  <c r="M63" i="39"/>
  <c r="N63" i="39"/>
  <c r="O63" i="39"/>
  <c r="P63" i="39"/>
  <c r="Q63" i="39"/>
  <c r="R63" i="39"/>
  <c r="S63" i="39"/>
  <c r="T63" i="39"/>
  <c r="U63" i="39"/>
  <c r="A64" i="39"/>
  <c r="C64" i="39"/>
  <c r="D64" i="39"/>
  <c r="E64" i="39"/>
  <c r="F64" i="39"/>
  <c r="G64" i="39"/>
  <c r="H64" i="39"/>
  <c r="I64" i="39"/>
  <c r="J64" i="39"/>
  <c r="K64" i="39"/>
  <c r="L64" i="39"/>
  <c r="M64" i="39"/>
  <c r="N64" i="39"/>
  <c r="O64" i="39"/>
  <c r="P64" i="39"/>
  <c r="Q64" i="39"/>
  <c r="R64" i="39"/>
  <c r="S64" i="39"/>
  <c r="T64" i="39"/>
  <c r="U64" i="39"/>
  <c r="A65" i="39"/>
  <c r="C65" i="39"/>
  <c r="D65" i="39"/>
  <c r="E65" i="39"/>
  <c r="F65" i="39"/>
  <c r="G65" i="39"/>
  <c r="H65" i="39"/>
  <c r="I65" i="39"/>
  <c r="J65" i="39"/>
  <c r="K65" i="39"/>
  <c r="L65" i="39"/>
  <c r="M65" i="39"/>
  <c r="N65" i="39"/>
  <c r="O65" i="39"/>
  <c r="P65" i="39"/>
  <c r="Q65" i="39"/>
  <c r="R65" i="39"/>
  <c r="S65" i="39"/>
  <c r="T65" i="39"/>
  <c r="U65" i="39"/>
  <c r="A66" i="39"/>
  <c r="C66" i="39"/>
  <c r="D66" i="39"/>
  <c r="E66" i="39"/>
  <c r="F66" i="39"/>
  <c r="G66" i="39"/>
  <c r="H66" i="39"/>
  <c r="I66" i="39"/>
  <c r="J66" i="39"/>
  <c r="K66" i="39"/>
  <c r="L66" i="39"/>
  <c r="M66" i="39"/>
  <c r="N66" i="39"/>
  <c r="O66" i="39"/>
  <c r="P66" i="39"/>
  <c r="Q66" i="39"/>
  <c r="R66" i="39"/>
  <c r="S66" i="39"/>
  <c r="T66" i="39"/>
  <c r="U66" i="39"/>
  <c r="A67" i="39"/>
  <c r="C67" i="39"/>
  <c r="D67" i="39"/>
  <c r="E67" i="39"/>
  <c r="F67" i="39"/>
  <c r="G67" i="39"/>
  <c r="H67" i="39"/>
  <c r="I67" i="39"/>
  <c r="J67" i="39"/>
  <c r="K67" i="39"/>
  <c r="L67" i="39"/>
  <c r="M67" i="39"/>
  <c r="N67" i="39"/>
  <c r="O67" i="39"/>
  <c r="P67" i="39"/>
  <c r="Q67" i="39"/>
  <c r="R67" i="39"/>
  <c r="S67" i="39"/>
  <c r="T67" i="39"/>
  <c r="U67" i="39"/>
  <c r="A68" i="39"/>
  <c r="C68" i="39"/>
  <c r="D68" i="39"/>
  <c r="E68" i="39"/>
  <c r="F68" i="39"/>
  <c r="G68" i="39"/>
  <c r="H68" i="39"/>
  <c r="I68" i="39"/>
  <c r="J68" i="39"/>
  <c r="K68" i="39"/>
  <c r="L68" i="39"/>
  <c r="M68" i="39"/>
  <c r="N68" i="39"/>
  <c r="O68" i="39"/>
  <c r="P68" i="39"/>
  <c r="Q68" i="39"/>
  <c r="R68" i="39"/>
  <c r="S68" i="39"/>
  <c r="T68" i="39"/>
  <c r="U68" i="39"/>
  <c r="A69" i="39"/>
  <c r="C69" i="39"/>
  <c r="D69" i="39"/>
  <c r="E69" i="39"/>
  <c r="F69" i="39"/>
  <c r="G69" i="39"/>
  <c r="H69" i="39"/>
  <c r="I69" i="39"/>
  <c r="J69" i="39"/>
  <c r="K69" i="39"/>
  <c r="L69" i="39"/>
  <c r="M69" i="39"/>
  <c r="N69" i="39"/>
  <c r="O69" i="39"/>
  <c r="P69" i="39"/>
  <c r="Q69" i="39"/>
  <c r="R69" i="39"/>
  <c r="S69" i="39"/>
  <c r="T69" i="39"/>
  <c r="U69" i="39"/>
  <c r="A70" i="39"/>
  <c r="C70" i="39"/>
  <c r="D70" i="39"/>
  <c r="E70" i="39"/>
  <c r="F70" i="39"/>
  <c r="G70" i="39"/>
  <c r="H70" i="39"/>
  <c r="I70" i="39"/>
  <c r="J70" i="39"/>
  <c r="K70" i="39"/>
  <c r="L70" i="39"/>
  <c r="M70" i="39"/>
  <c r="N70" i="39"/>
  <c r="O70" i="39"/>
  <c r="P70" i="39"/>
  <c r="Q70" i="39"/>
  <c r="R70" i="39"/>
  <c r="S70" i="39"/>
  <c r="T70" i="39"/>
  <c r="U70" i="39"/>
  <c r="A71" i="39"/>
  <c r="C71" i="39"/>
  <c r="D71" i="39"/>
  <c r="E71" i="39"/>
  <c r="F71" i="39"/>
  <c r="G71" i="39"/>
  <c r="H71" i="39"/>
  <c r="I71" i="39"/>
  <c r="J71" i="39"/>
  <c r="K71" i="39"/>
  <c r="L71" i="39"/>
  <c r="M71" i="39"/>
  <c r="N71" i="39"/>
  <c r="O71" i="39"/>
  <c r="P71" i="39"/>
  <c r="Q71" i="39"/>
  <c r="R71" i="39"/>
  <c r="S71" i="39"/>
  <c r="T71" i="39"/>
  <c r="U71" i="39"/>
  <c r="A72" i="39"/>
  <c r="C72" i="39"/>
  <c r="D72" i="39"/>
  <c r="E72" i="39"/>
  <c r="F72" i="39"/>
  <c r="G72" i="39"/>
  <c r="H72" i="39"/>
  <c r="I72" i="39"/>
  <c r="J72" i="39"/>
  <c r="K72" i="39"/>
  <c r="L72" i="39"/>
  <c r="M72" i="39"/>
  <c r="N72" i="39"/>
  <c r="O72" i="39"/>
  <c r="P72" i="39"/>
  <c r="Q72" i="39"/>
  <c r="R72" i="39"/>
  <c r="S72" i="39"/>
  <c r="T72" i="39"/>
  <c r="U72" i="39"/>
  <c r="A73" i="39"/>
  <c r="C73" i="39"/>
  <c r="D73" i="39"/>
  <c r="E73" i="39"/>
  <c r="F73" i="39"/>
  <c r="G73" i="39"/>
  <c r="H73" i="39"/>
  <c r="I73" i="39"/>
  <c r="J73" i="39"/>
  <c r="K73" i="39"/>
  <c r="L73" i="39"/>
  <c r="M73" i="39"/>
  <c r="N73" i="39"/>
  <c r="O73" i="39"/>
  <c r="P73" i="39"/>
  <c r="Q73" i="39"/>
  <c r="R73" i="39"/>
  <c r="S73" i="39"/>
  <c r="T73" i="39"/>
  <c r="U73" i="39"/>
  <c r="A74" i="39"/>
  <c r="C74" i="39"/>
  <c r="D74" i="39"/>
  <c r="E74" i="39"/>
  <c r="F74" i="39"/>
  <c r="G74" i="39"/>
  <c r="H74" i="39"/>
  <c r="I74" i="39"/>
  <c r="J74" i="39"/>
  <c r="K74" i="39"/>
  <c r="L74" i="39"/>
  <c r="M74" i="39"/>
  <c r="N74" i="39"/>
  <c r="O74" i="39"/>
  <c r="P74" i="39"/>
  <c r="Q74" i="39"/>
  <c r="R74" i="39"/>
  <c r="S74" i="39"/>
  <c r="T74" i="39"/>
  <c r="U74" i="39"/>
  <c r="A75" i="39"/>
  <c r="C75" i="39"/>
  <c r="D75" i="39"/>
  <c r="E75" i="39"/>
  <c r="F75" i="39"/>
  <c r="G75" i="39"/>
  <c r="H75" i="39"/>
  <c r="I75" i="39"/>
  <c r="J75" i="39"/>
  <c r="K75" i="39"/>
  <c r="L75" i="39"/>
  <c r="M75" i="39"/>
  <c r="N75" i="39"/>
  <c r="O75" i="39"/>
  <c r="P75" i="39"/>
  <c r="Q75" i="39"/>
  <c r="R75" i="39"/>
  <c r="S75" i="39"/>
  <c r="T75" i="39"/>
  <c r="U75" i="39"/>
  <c r="A76" i="39"/>
  <c r="C76" i="39"/>
  <c r="D76" i="39"/>
  <c r="E76" i="39"/>
  <c r="F76" i="39"/>
  <c r="G76" i="39"/>
  <c r="H76" i="39"/>
  <c r="I76" i="39"/>
  <c r="J76" i="39"/>
  <c r="K76" i="39"/>
  <c r="L76" i="39"/>
  <c r="M76" i="39"/>
  <c r="N76" i="39"/>
  <c r="O76" i="39"/>
  <c r="P76" i="39"/>
  <c r="Q76" i="39"/>
  <c r="R76" i="39"/>
  <c r="S76" i="39"/>
  <c r="T76" i="39"/>
  <c r="U76" i="39"/>
  <c r="A77" i="39"/>
  <c r="C77" i="39"/>
  <c r="D77" i="39"/>
  <c r="E77" i="39"/>
  <c r="F77" i="39"/>
  <c r="G77" i="39"/>
  <c r="H77" i="39"/>
  <c r="I77" i="39"/>
  <c r="J77" i="39"/>
  <c r="K77" i="39"/>
  <c r="L77" i="39"/>
  <c r="M77" i="39"/>
  <c r="N77" i="39"/>
  <c r="O77" i="39"/>
  <c r="P77" i="39"/>
  <c r="Q77" i="39"/>
  <c r="R77" i="39"/>
  <c r="S77" i="39"/>
  <c r="T77" i="39"/>
  <c r="U77" i="39"/>
  <c r="A78" i="39"/>
  <c r="C78" i="39"/>
  <c r="D78" i="39"/>
  <c r="E78" i="39"/>
  <c r="F78" i="39"/>
  <c r="G78" i="39"/>
  <c r="H78" i="39"/>
  <c r="I78" i="39"/>
  <c r="J78" i="39"/>
  <c r="K78" i="39"/>
  <c r="L78" i="39"/>
  <c r="M78" i="39"/>
  <c r="N78" i="39"/>
  <c r="O78" i="39"/>
  <c r="P78" i="39"/>
  <c r="Q78" i="39"/>
  <c r="R78" i="39"/>
  <c r="S78" i="39"/>
  <c r="T78" i="39"/>
  <c r="U78" i="39"/>
  <c r="A79" i="39"/>
  <c r="C79" i="39"/>
  <c r="D79" i="39"/>
  <c r="E79" i="39"/>
  <c r="F79" i="39"/>
  <c r="G79" i="39"/>
  <c r="H79" i="39"/>
  <c r="I79" i="39"/>
  <c r="J79" i="39"/>
  <c r="K79" i="39"/>
  <c r="L79" i="39"/>
  <c r="M79" i="39"/>
  <c r="N79" i="39"/>
  <c r="O79" i="39"/>
  <c r="P79" i="39"/>
  <c r="Q79" i="39"/>
  <c r="R79" i="39"/>
  <c r="S79" i="39"/>
  <c r="T79" i="39"/>
  <c r="U79" i="39"/>
  <c r="A80" i="39"/>
  <c r="C80" i="39"/>
  <c r="D80" i="39"/>
  <c r="E80" i="39"/>
  <c r="F80" i="39"/>
  <c r="G80" i="39"/>
  <c r="H80" i="39"/>
  <c r="I80" i="39"/>
  <c r="J80" i="39"/>
  <c r="K80" i="39"/>
  <c r="L80" i="39"/>
  <c r="M80" i="39"/>
  <c r="N80" i="39"/>
  <c r="O80" i="39"/>
  <c r="P80" i="39"/>
  <c r="Q80" i="39"/>
  <c r="R80" i="39"/>
  <c r="S80" i="39"/>
  <c r="T80" i="39"/>
  <c r="U80" i="39"/>
  <c r="A81" i="39"/>
  <c r="C81" i="39"/>
  <c r="D81" i="39"/>
  <c r="E81" i="39"/>
  <c r="F81" i="39"/>
  <c r="G81" i="39"/>
  <c r="H81" i="39"/>
  <c r="I81" i="39"/>
  <c r="J81" i="39"/>
  <c r="K81" i="39"/>
  <c r="L81" i="39"/>
  <c r="M81" i="39"/>
  <c r="N81" i="39"/>
  <c r="O81" i="39"/>
  <c r="P81" i="39"/>
  <c r="Q81" i="39"/>
  <c r="R81" i="39"/>
  <c r="S81" i="39"/>
  <c r="T81" i="39"/>
  <c r="U81" i="39"/>
  <c r="A82" i="39"/>
  <c r="C82" i="39"/>
  <c r="D82" i="39"/>
  <c r="E82" i="39"/>
  <c r="F82" i="39"/>
  <c r="G82" i="39"/>
  <c r="H82" i="39"/>
  <c r="I82" i="39"/>
  <c r="J82" i="39"/>
  <c r="K82" i="39"/>
  <c r="L82" i="39"/>
  <c r="M82" i="39"/>
  <c r="N82" i="39"/>
  <c r="O82" i="39"/>
  <c r="P82" i="39"/>
  <c r="Q82" i="39"/>
  <c r="R82" i="39"/>
  <c r="S82" i="39"/>
  <c r="T82" i="39"/>
  <c r="U82" i="39"/>
  <c r="A83" i="39"/>
  <c r="C83" i="39"/>
  <c r="D83" i="39"/>
  <c r="E83" i="39"/>
  <c r="F83" i="39"/>
  <c r="G83" i="39"/>
  <c r="H83" i="39"/>
  <c r="I83" i="39"/>
  <c r="J83" i="39"/>
  <c r="K83" i="39"/>
  <c r="L83" i="39"/>
  <c r="M83" i="39"/>
  <c r="N83" i="39"/>
  <c r="O83" i="39"/>
  <c r="P83" i="39"/>
  <c r="Q83" i="39"/>
  <c r="R83" i="39"/>
  <c r="S83" i="39"/>
  <c r="T83" i="39"/>
  <c r="U83" i="39"/>
  <c r="A84" i="39"/>
  <c r="C84" i="39"/>
  <c r="D84" i="39"/>
  <c r="E84" i="39"/>
  <c r="F84" i="39"/>
  <c r="G84" i="39"/>
  <c r="H84" i="39"/>
  <c r="I84" i="39"/>
  <c r="J84" i="39"/>
  <c r="K84" i="39"/>
  <c r="L84" i="39"/>
  <c r="M84" i="39"/>
  <c r="N84" i="39"/>
  <c r="O84" i="39"/>
  <c r="P84" i="39"/>
  <c r="Q84" i="39"/>
  <c r="R84" i="39"/>
  <c r="S84" i="39"/>
  <c r="T84" i="39"/>
  <c r="U84" i="39"/>
  <c r="A85" i="39"/>
  <c r="C85" i="39"/>
  <c r="D85" i="39"/>
  <c r="E85" i="39"/>
  <c r="F85" i="39"/>
  <c r="G85" i="39"/>
  <c r="H85" i="39"/>
  <c r="I85" i="39"/>
  <c r="J85" i="39"/>
  <c r="K85" i="39"/>
  <c r="L85" i="39"/>
  <c r="M85" i="39"/>
  <c r="N85" i="39"/>
  <c r="O85" i="39"/>
  <c r="P85" i="39"/>
  <c r="Q85" i="39"/>
  <c r="R85" i="39"/>
  <c r="S85" i="39"/>
  <c r="T85" i="39"/>
  <c r="U85" i="39"/>
  <c r="A86" i="39"/>
  <c r="C86" i="39"/>
  <c r="D86" i="39"/>
  <c r="E86" i="39"/>
  <c r="F86" i="39"/>
  <c r="G86" i="39"/>
  <c r="H86" i="39"/>
  <c r="I86" i="39"/>
  <c r="J86" i="39"/>
  <c r="K86" i="39"/>
  <c r="L86" i="39"/>
  <c r="M86" i="39"/>
  <c r="N86" i="39"/>
  <c r="O86" i="39"/>
  <c r="P86" i="39"/>
  <c r="Q86" i="39"/>
  <c r="R86" i="39"/>
  <c r="S86" i="39"/>
  <c r="T86" i="39"/>
  <c r="U86" i="39"/>
  <c r="A87" i="39"/>
  <c r="C87" i="39"/>
  <c r="D87" i="39"/>
  <c r="E87" i="39"/>
  <c r="F87" i="39"/>
  <c r="G87" i="39"/>
  <c r="H87" i="39"/>
  <c r="I87" i="39"/>
  <c r="J87" i="39"/>
  <c r="K87" i="39"/>
  <c r="L87" i="39"/>
  <c r="M87" i="39"/>
  <c r="N87" i="39"/>
  <c r="O87" i="39"/>
  <c r="P87" i="39"/>
  <c r="Q87" i="39"/>
  <c r="R87" i="39"/>
  <c r="S87" i="39"/>
  <c r="T87" i="39"/>
  <c r="U87" i="39"/>
  <c r="A88" i="39"/>
  <c r="C88" i="39"/>
  <c r="D88" i="39"/>
  <c r="E88" i="39"/>
  <c r="F88" i="39"/>
  <c r="G88" i="39"/>
  <c r="H88" i="39"/>
  <c r="I88" i="39"/>
  <c r="J88" i="39"/>
  <c r="K88" i="39"/>
  <c r="L88" i="39"/>
  <c r="M88" i="39"/>
  <c r="N88" i="39"/>
  <c r="O88" i="39"/>
  <c r="P88" i="39"/>
  <c r="Q88" i="39"/>
  <c r="R88" i="39"/>
  <c r="S88" i="39"/>
  <c r="T88" i="39"/>
  <c r="U88" i="39"/>
  <c r="A89" i="39"/>
  <c r="C89" i="39"/>
  <c r="D89" i="39"/>
  <c r="E89" i="39"/>
  <c r="F89" i="39"/>
  <c r="G89" i="39"/>
  <c r="H89" i="39"/>
  <c r="I89" i="39"/>
  <c r="J89" i="39"/>
  <c r="K89" i="39"/>
  <c r="L89" i="39"/>
  <c r="M89" i="39"/>
  <c r="N89" i="39"/>
  <c r="O89" i="39"/>
  <c r="P89" i="39"/>
  <c r="Q89" i="39"/>
  <c r="R89" i="39"/>
  <c r="S89" i="39"/>
  <c r="T89" i="39"/>
  <c r="U89" i="39"/>
  <c r="A90" i="39"/>
  <c r="C90" i="39"/>
  <c r="D90" i="39"/>
  <c r="E90" i="39"/>
  <c r="F90" i="39"/>
  <c r="G90" i="39"/>
  <c r="H90" i="39"/>
  <c r="I90" i="39"/>
  <c r="J90" i="39"/>
  <c r="K90" i="39"/>
  <c r="L90" i="39"/>
  <c r="M90" i="39"/>
  <c r="N90" i="39"/>
  <c r="O90" i="39"/>
  <c r="P90" i="39"/>
  <c r="Q90" i="39"/>
  <c r="R90" i="39"/>
  <c r="S90" i="39"/>
  <c r="T90" i="39"/>
  <c r="U90" i="39"/>
  <c r="A91" i="39"/>
  <c r="C91" i="39"/>
  <c r="D91" i="39"/>
  <c r="E91" i="39"/>
  <c r="F91" i="39"/>
  <c r="G91" i="39"/>
  <c r="H91" i="39"/>
  <c r="I91" i="39"/>
  <c r="J91" i="39"/>
  <c r="K91" i="39"/>
  <c r="L91" i="39"/>
  <c r="M91" i="39"/>
  <c r="N91" i="39"/>
  <c r="O91" i="39"/>
  <c r="P91" i="39"/>
  <c r="Q91" i="39"/>
  <c r="R91" i="39"/>
  <c r="S91" i="39"/>
  <c r="T91" i="39"/>
  <c r="U91" i="39"/>
  <c r="A92" i="39"/>
  <c r="C92" i="39"/>
  <c r="D92" i="39"/>
  <c r="E92" i="39"/>
  <c r="F92" i="39"/>
  <c r="G92" i="39"/>
  <c r="H92" i="39"/>
  <c r="I92" i="39"/>
  <c r="J92" i="39"/>
  <c r="K92" i="39"/>
  <c r="L92" i="39"/>
  <c r="M92" i="39"/>
  <c r="N92" i="39"/>
  <c r="O92" i="39"/>
  <c r="P92" i="39"/>
  <c r="Q92" i="39"/>
  <c r="R92" i="39"/>
  <c r="S92" i="39"/>
  <c r="T92" i="39"/>
  <c r="U92" i="39"/>
  <c r="A93" i="39"/>
  <c r="C93" i="39"/>
  <c r="D93" i="39"/>
  <c r="E93" i="39"/>
  <c r="F93" i="39"/>
  <c r="G93" i="39"/>
  <c r="H93" i="39"/>
  <c r="I93" i="39"/>
  <c r="J93" i="39"/>
  <c r="K93" i="39"/>
  <c r="L93" i="39"/>
  <c r="M93" i="39"/>
  <c r="N93" i="39"/>
  <c r="O93" i="39"/>
  <c r="P93" i="39"/>
  <c r="Q93" i="39"/>
  <c r="R93" i="39"/>
  <c r="S93" i="39"/>
  <c r="T93" i="39"/>
  <c r="U93" i="39"/>
  <c r="A94" i="39"/>
  <c r="C94" i="39"/>
  <c r="D94" i="39"/>
  <c r="E94" i="39"/>
  <c r="F94" i="39"/>
  <c r="G94" i="39"/>
  <c r="H94" i="39"/>
  <c r="I94" i="39"/>
  <c r="J94" i="39"/>
  <c r="K94" i="39"/>
  <c r="L94" i="39"/>
  <c r="M94" i="39"/>
  <c r="N94" i="39"/>
  <c r="O94" i="39"/>
  <c r="P94" i="39"/>
  <c r="Q94" i="39"/>
  <c r="R94" i="39"/>
  <c r="S94" i="39"/>
  <c r="T94" i="39"/>
  <c r="U94" i="39"/>
  <c r="A95" i="39"/>
  <c r="C95" i="39"/>
  <c r="D95" i="39"/>
  <c r="E95" i="39"/>
  <c r="F95" i="39"/>
  <c r="G95" i="39"/>
  <c r="H95" i="39"/>
  <c r="I95" i="39"/>
  <c r="J95" i="39"/>
  <c r="K95" i="39"/>
  <c r="L95" i="39"/>
  <c r="M95" i="39"/>
  <c r="N95" i="39"/>
  <c r="O95" i="39"/>
  <c r="P95" i="39"/>
  <c r="Q95" i="39"/>
  <c r="R95" i="39"/>
  <c r="S95" i="39"/>
  <c r="T95" i="39"/>
  <c r="U95" i="39"/>
  <c r="A96" i="39"/>
  <c r="C96" i="39"/>
  <c r="D96" i="39"/>
  <c r="E96" i="39"/>
  <c r="F96" i="39"/>
  <c r="G96" i="39"/>
  <c r="H96" i="39"/>
  <c r="I96" i="39"/>
  <c r="J96" i="39"/>
  <c r="K96" i="39"/>
  <c r="L96" i="39"/>
  <c r="M96" i="39"/>
  <c r="N96" i="39"/>
  <c r="O96" i="39"/>
  <c r="P96" i="39"/>
  <c r="Q96" i="39"/>
  <c r="R96" i="39"/>
  <c r="S96" i="39"/>
  <c r="T96" i="39"/>
  <c r="U96" i="39"/>
  <c r="A97" i="39"/>
  <c r="C97" i="39"/>
  <c r="D97" i="39"/>
  <c r="E97" i="39"/>
  <c r="F97" i="39"/>
  <c r="G97" i="39"/>
  <c r="H97" i="39"/>
  <c r="I97" i="39"/>
  <c r="J97" i="39"/>
  <c r="K97" i="39"/>
  <c r="L97" i="39"/>
  <c r="M97" i="39"/>
  <c r="N97" i="39"/>
  <c r="O97" i="39"/>
  <c r="P97" i="39"/>
  <c r="Q97" i="39"/>
  <c r="R97" i="39"/>
  <c r="S97" i="39"/>
  <c r="T97" i="39"/>
  <c r="U97" i="39"/>
  <c r="A98" i="39"/>
  <c r="C98" i="39"/>
  <c r="D98" i="39"/>
  <c r="E98" i="39"/>
  <c r="F98" i="39"/>
  <c r="G98" i="39"/>
  <c r="H98" i="39"/>
  <c r="I98" i="39"/>
  <c r="J98" i="39"/>
  <c r="K98" i="39"/>
  <c r="L98" i="39"/>
  <c r="M98" i="39"/>
  <c r="N98" i="39"/>
  <c r="O98" i="39"/>
  <c r="P98" i="39"/>
  <c r="Q98" i="39"/>
  <c r="R98" i="39"/>
  <c r="S98" i="39"/>
  <c r="T98" i="39"/>
  <c r="U98" i="39"/>
  <c r="A99" i="39"/>
  <c r="C99" i="39"/>
  <c r="D99" i="39"/>
  <c r="E99" i="39"/>
  <c r="F99" i="39"/>
  <c r="G99" i="39"/>
  <c r="H99" i="39"/>
  <c r="I99" i="39"/>
  <c r="J99" i="39"/>
  <c r="K99" i="39"/>
  <c r="L99" i="39"/>
  <c r="M99" i="39"/>
  <c r="N99" i="39"/>
  <c r="O99" i="39"/>
  <c r="P99" i="39"/>
  <c r="Q99" i="39"/>
  <c r="R99" i="39"/>
  <c r="S99" i="39"/>
  <c r="T99" i="39"/>
  <c r="U99" i="39"/>
  <c r="A100" i="39"/>
  <c r="C100" i="39"/>
  <c r="D100" i="39"/>
  <c r="E100" i="39"/>
  <c r="F100" i="39"/>
  <c r="G100" i="39"/>
  <c r="H100" i="39"/>
  <c r="I100" i="39"/>
  <c r="J100" i="39"/>
  <c r="K100" i="39"/>
  <c r="L100" i="39"/>
  <c r="M100" i="39"/>
  <c r="N100" i="39"/>
  <c r="O100" i="39"/>
  <c r="P100" i="39"/>
  <c r="Q100" i="39"/>
  <c r="R100" i="39"/>
  <c r="S100" i="39"/>
  <c r="T100" i="39"/>
  <c r="U100" i="39"/>
  <c r="A101" i="39"/>
  <c r="C101" i="39"/>
  <c r="D101" i="39"/>
  <c r="E101" i="39"/>
  <c r="F101" i="39"/>
  <c r="G101" i="39"/>
  <c r="H101" i="39"/>
  <c r="I101" i="39"/>
  <c r="J101" i="39"/>
  <c r="K101" i="39"/>
  <c r="L101" i="39"/>
  <c r="M101" i="39"/>
  <c r="N101" i="39"/>
  <c r="O101" i="39"/>
  <c r="P101" i="39"/>
  <c r="Q101" i="39"/>
  <c r="R101" i="39"/>
  <c r="S101" i="39"/>
  <c r="T101" i="39"/>
  <c r="U101" i="39"/>
  <c r="A102" i="39"/>
  <c r="C102" i="39"/>
  <c r="D102" i="39"/>
  <c r="E102" i="39"/>
  <c r="F102" i="39"/>
  <c r="G102" i="39"/>
  <c r="H102" i="39"/>
  <c r="I102" i="39"/>
  <c r="J102" i="39"/>
  <c r="K102" i="39"/>
  <c r="L102" i="39"/>
  <c r="M102" i="39"/>
  <c r="N102" i="39"/>
  <c r="O102" i="39"/>
  <c r="P102" i="39"/>
  <c r="Q102" i="39"/>
  <c r="R102" i="39"/>
  <c r="S102" i="39"/>
  <c r="T102" i="39"/>
  <c r="U102" i="39"/>
  <c r="A103" i="39"/>
  <c r="C103" i="39"/>
  <c r="D103" i="39"/>
  <c r="E103" i="39"/>
  <c r="F103" i="39"/>
  <c r="G103" i="39"/>
  <c r="H103" i="39"/>
  <c r="I103" i="39"/>
  <c r="J103" i="39"/>
  <c r="K103" i="39"/>
  <c r="L103" i="39"/>
  <c r="M103" i="39"/>
  <c r="N103" i="39"/>
  <c r="O103" i="39"/>
  <c r="P103" i="39"/>
  <c r="Q103" i="39"/>
  <c r="R103" i="39"/>
  <c r="S103" i="39"/>
  <c r="T103" i="39"/>
  <c r="U103" i="39"/>
  <c r="A104" i="39"/>
  <c r="C104" i="39"/>
  <c r="D104" i="39"/>
  <c r="E104" i="39"/>
  <c r="F104" i="39"/>
  <c r="G104" i="39"/>
  <c r="H104" i="39"/>
  <c r="I104" i="39"/>
  <c r="J104" i="39"/>
  <c r="K104" i="39"/>
  <c r="L104" i="39"/>
  <c r="M104" i="39"/>
  <c r="N104" i="39"/>
  <c r="O104" i="39"/>
  <c r="P104" i="39"/>
  <c r="Q104" i="39"/>
  <c r="R104" i="39"/>
  <c r="S104" i="39"/>
  <c r="T104" i="39"/>
  <c r="U104" i="39"/>
  <c r="A105" i="39"/>
  <c r="C105" i="39"/>
  <c r="D105" i="39"/>
  <c r="E105" i="39"/>
  <c r="F105" i="39"/>
  <c r="G105" i="39"/>
  <c r="H105" i="39"/>
  <c r="I105" i="39"/>
  <c r="J105" i="39"/>
  <c r="K105" i="39"/>
  <c r="L105" i="39"/>
  <c r="M105" i="39"/>
  <c r="N105" i="39"/>
  <c r="O105" i="39"/>
  <c r="P105" i="39"/>
  <c r="Q105" i="39"/>
  <c r="R105" i="39"/>
  <c r="S105" i="39"/>
  <c r="T105" i="39"/>
  <c r="U105" i="39"/>
  <c r="A106" i="39"/>
  <c r="C106" i="39"/>
  <c r="D106" i="39"/>
  <c r="E106" i="39"/>
  <c r="F106" i="39"/>
  <c r="G106" i="39"/>
  <c r="H106" i="39"/>
  <c r="I106" i="39"/>
  <c r="J106" i="39"/>
  <c r="K106" i="39"/>
  <c r="L106" i="39"/>
  <c r="M106" i="39"/>
  <c r="N106" i="39"/>
  <c r="O106" i="39"/>
  <c r="P106" i="39"/>
  <c r="Q106" i="39"/>
  <c r="R106" i="39"/>
  <c r="S106" i="39"/>
  <c r="T106" i="39"/>
  <c r="U106" i="39"/>
  <c r="A107" i="39"/>
  <c r="C107" i="39"/>
  <c r="D107" i="39"/>
  <c r="E107" i="39"/>
  <c r="F107" i="39"/>
  <c r="G107" i="39"/>
  <c r="H107" i="39"/>
  <c r="I107" i="39"/>
  <c r="J107" i="39"/>
  <c r="K107" i="39"/>
  <c r="L107" i="39"/>
  <c r="M107" i="39"/>
  <c r="N107" i="39"/>
  <c r="O107" i="39"/>
  <c r="P107" i="39"/>
  <c r="Q107" i="39"/>
  <c r="R107" i="39"/>
  <c r="S107" i="39"/>
  <c r="T107" i="39"/>
  <c r="U107" i="39"/>
  <c r="A108" i="39"/>
  <c r="C108" i="39"/>
  <c r="D108" i="39"/>
  <c r="E108" i="39"/>
  <c r="F108" i="39"/>
  <c r="G108" i="39"/>
  <c r="H108" i="39"/>
  <c r="I108" i="39"/>
  <c r="J108" i="39"/>
  <c r="K108" i="39"/>
  <c r="L108" i="39"/>
  <c r="M108" i="39"/>
  <c r="N108" i="39"/>
  <c r="O108" i="39"/>
  <c r="P108" i="39"/>
  <c r="Q108" i="39"/>
  <c r="R108" i="39"/>
  <c r="S108" i="39"/>
  <c r="T108" i="39"/>
  <c r="U108" i="39"/>
  <c r="A109" i="39"/>
  <c r="C109" i="39"/>
  <c r="D109" i="39"/>
  <c r="E109" i="39"/>
  <c r="F109" i="39"/>
  <c r="G109" i="39"/>
  <c r="H109" i="39"/>
  <c r="I109" i="39"/>
  <c r="J109" i="39"/>
  <c r="K109" i="39"/>
  <c r="L109" i="39"/>
  <c r="M109" i="39"/>
  <c r="N109" i="39"/>
  <c r="O109" i="39"/>
  <c r="P109" i="39"/>
  <c r="Q109" i="39"/>
  <c r="R109" i="39"/>
  <c r="S109" i="39"/>
  <c r="T109" i="39"/>
  <c r="U109" i="39"/>
  <c r="A110" i="39"/>
  <c r="C110" i="39"/>
  <c r="D110" i="39"/>
  <c r="E110" i="39"/>
  <c r="F110" i="39"/>
  <c r="G110" i="39"/>
  <c r="H110" i="39"/>
  <c r="I110" i="39"/>
  <c r="J110" i="39"/>
  <c r="K110" i="39"/>
  <c r="L110" i="39"/>
  <c r="M110" i="39"/>
  <c r="N110" i="39"/>
  <c r="O110" i="39"/>
  <c r="P110" i="39"/>
  <c r="Q110" i="39"/>
  <c r="R110" i="39"/>
  <c r="S110" i="39"/>
  <c r="T110" i="39"/>
  <c r="U110" i="39"/>
  <c r="A111" i="39"/>
  <c r="C111" i="39"/>
  <c r="D111" i="39"/>
  <c r="E111" i="39"/>
  <c r="F111" i="39"/>
  <c r="G111" i="39"/>
  <c r="H111" i="39"/>
  <c r="I111" i="39"/>
  <c r="J111" i="39"/>
  <c r="K111" i="39"/>
  <c r="L111" i="39"/>
  <c r="M111" i="39"/>
  <c r="N111" i="39"/>
  <c r="O111" i="39"/>
  <c r="P111" i="39"/>
  <c r="Q111" i="39"/>
  <c r="R111" i="39"/>
  <c r="S111" i="39"/>
  <c r="T111" i="39"/>
  <c r="U111" i="39"/>
  <c r="A112" i="39"/>
  <c r="C112" i="39"/>
  <c r="D112" i="39"/>
  <c r="E112" i="39"/>
  <c r="F112" i="39"/>
  <c r="G112" i="39"/>
  <c r="H112" i="39"/>
  <c r="I112" i="39"/>
  <c r="J112" i="39"/>
  <c r="K112" i="39"/>
  <c r="L112" i="39"/>
  <c r="M112" i="39"/>
  <c r="N112" i="39"/>
  <c r="O112" i="39"/>
  <c r="P112" i="39"/>
  <c r="Q112" i="39"/>
  <c r="R112" i="39"/>
  <c r="S112" i="39"/>
  <c r="T112" i="39"/>
  <c r="U112" i="39"/>
  <c r="A113" i="39"/>
  <c r="C113" i="39"/>
  <c r="D113" i="39"/>
  <c r="E113" i="39"/>
  <c r="F113" i="39"/>
  <c r="G113" i="39"/>
  <c r="H113" i="39"/>
  <c r="I113" i="39"/>
  <c r="J113" i="39"/>
  <c r="K113" i="39"/>
  <c r="L113" i="39"/>
  <c r="M113" i="39"/>
  <c r="N113" i="39"/>
  <c r="O113" i="39"/>
  <c r="P113" i="39"/>
  <c r="Q113" i="39"/>
  <c r="R113" i="39"/>
  <c r="S113" i="39"/>
  <c r="T113" i="39"/>
  <c r="U113" i="39"/>
  <c r="A114" i="39"/>
  <c r="C114" i="39"/>
  <c r="D114" i="39"/>
  <c r="E114" i="39"/>
  <c r="F114" i="39"/>
  <c r="G114" i="39"/>
  <c r="H114" i="39"/>
  <c r="I114" i="39"/>
  <c r="J114" i="39"/>
  <c r="K114" i="39"/>
  <c r="L114" i="39"/>
  <c r="M114" i="39"/>
  <c r="N114" i="39"/>
  <c r="O114" i="39"/>
  <c r="P114" i="39"/>
  <c r="Q114" i="39"/>
  <c r="R114" i="39"/>
  <c r="S114" i="39"/>
  <c r="T114" i="39"/>
  <c r="U114" i="39"/>
  <c r="A115" i="39"/>
  <c r="C115" i="39"/>
  <c r="D115" i="39"/>
  <c r="E115" i="39"/>
  <c r="F115" i="39"/>
  <c r="G115" i="39"/>
  <c r="H115" i="39"/>
  <c r="I115" i="39"/>
  <c r="J115" i="39"/>
  <c r="K115" i="39"/>
  <c r="L115" i="39"/>
  <c r="M115" i="39"/>
  <c r="N115" i="39"/>
  <c r="O115" i="39"/>
  <c r="P115" i="39"/>
  <c r="Q115" i="39"/>
  <c r="R115" i="39"/>
  <c r="S115" i="39"/>
  <c r="T115" i="39"/>
  <c r="U115" i="39"/>
  <c r="A116" i="39"/>
  <c r="C116" i="39"/>
  <c r="D116" i="39"/>
  <c r="E116" i="39"/>
  <c r="F116" i="39"/>
  <c r="G116" i="39"/>
  <c r="H116" i="39"/>
  <c r="I116" i="39"/>
  <c r="J116" i="39"/>
  <c r="K116" i="39"/>
  <c r="L116" i="39"/>
  <c r="M116" i="39"/>
  <c r="N116" i="39"/>
  <c r="O116" i="39"/>
  <c r="P116" i="39"/>
  <c r="Q116" i="39"/>
  <c r="R116" i="39"/>
  <c r="S116" i="39"/>
  <c r="T116" i="39"/>
  <c r="U116" i="39"/>
  <c r="A117" i="39"/>
  <c r="C117" i="39"/>
  <c r="D117" i="39"/>
  <c r="E117" i="39"/>
  <c r="F117" i="39"/>
  <c r="G117" i="39"/>
  <c r="H117" i="39"/>
  <c r="I117" i="39"/>
  <c r="J117" i="39"/>
  <c r="K117" i="39"/>
  <c r="L117" i="39"/>
  <c r="M117" i="39"/>
  <c r="N117" i="39"/>
  <c r="O117" i="39"/>
  <c r="P117" i="39"/>
  <c r="Q117" i="39"/>
  <c r="R117" i="39"/>
  <c r="S117" i="39"/>
  <c r="T117" i="39"/>
  <c r="U117" i="39"/>
  <c r="A118" i="39"/>
  <c r="C118" i="39"/>
  <c r="D118" i="39"/>
  <c r="E118" i="39"/>
  <c r="F118" i="39"/>
  <c r="G118" i="39"/>
  <c r="H118" i="39"/>
  <c r="I118" i="39"/>
  <c r="J118" i="39"/>
  <c r="K118" i="39"/>
  <c r="L118" i="39"/>
  <c r="M118" i="39"/>
  <c r="N118" i="39"/>
  <c r="O118" i="39"/>
  <c r="P118" i="39"/>
  <c r="Q118" i="39"/>
  <c r="R118" i="39"/>
  <c r="S118" i="39"/>
  <c r="T118" i="39"/>
  <c r="U118" i="39"/>
  <c r="A119" i="39"/>
  <c r="C119" i="39"/>
  <c r="D119" i="39"/>
  <c r="E119" i="39"/>
  <c r="F119" i="39"/>
  <c r="G119" i="39"/>
  <c r="H119" i="39"/>
  <c r="I119" i="39"/>
  <c r="J119" i="39"/>
  <c r="K119" i="39"/>
  <c r="L119" i="39"/>
  <c r="M119" i="39"/>
  <c r="N119" i="39"/>
  <c r="O119" i="39"/>
  <c r="P119" i="39"/>
  <c r="Q119" i="39"/>
  <c r="R119" i="39"/>
  <c r="S119" i="39"/>
  <c r="T119" i="39"/>
  <c r="U119" i="39"/>
  <c r="A120" i="39"/>
  <c r="C120" i="39"/>
  <c r="D120" i="39"/>
  <c r="E120" i="39"/>
  <c r="F120" i="39"/>
  <c r="G120" i="39"/>
  <c r="H120" i="39"/>
  <c r="I120" i="39"/>
  <c r="J120" i="39"/>
  <c r="K120" i="39"/>
  <c r="L120" i="39"/>
  <c r="M120" i="39"/>
  <c r="N120" i="39"/>
  <c r="O120" i="39"/>
  <c r="P120" i="39"/>
  <c r="Q120" i="39"/>
  <c r="R120" i="39"/>
  <c r="S120" i="39"/>
  <c r="T120" i="39"/>
  <c r="U120" i="39"/>
  <c r="A121" i="39"/>
  <c r="C121" i="39"/>
  <c r="D121" i="39"/>
  <c r="E121" i="39"/>
  <c r="F121" i="39"/>
  <c r="G121" i="39"/>
  <c r="H121" i="39"/>
  <c r="I121" i="39"/>
  <c r="J121" i="39"/>
  <c r="K121" i="39"/>
  <c r="L121" i="39"/>
  <c r="M121" i="39"/>
  <c r="N121" i="39"/>
  <c r="O121" i="39"/>
  <c r="P121" i="39"/>
  <c r="Q121" i="39"/>
  <c r="R121" i="39"/>
  <c r="S121" i="39"/>
  <c r="T121" i="39"/>
  <c r="U121" i="39"/>
  <c r="A122" i="39"/>
  <c r="C122" i="39"/>
  <c r="D122" i="39"/>
  <c r="E122" i="39"/>
  <c r="F122" i="39"/>
  <c r="G122" i="39"/>
  <c r="H122" i="39"/>
  <c r="I122" i="39"/>
  <c r="J122" i="39"/>
  <c r="K122" i="39"/>
  <c r="L122" i="39"/>
  <c r="M122" i="39"/>
  <c r="N122" i="39"/>
  <c r="O122" i="39"/>
  <c r="P122" i="39"/>
  <c r="Q122" i="39"/>
  <c r="R122" i="39"/>
  <c r="S122" i="39"/>
  <c r="T122" i="39"/>
  <c r="U122" i="39"/>
  <c r="A123" i="39"/>
  <c r="C123" i="39"/>
  <c r="D123" i="39"/>
  <c r="E123" i="39"/>
  <c r="F123" i="39"/>
  <c r="G123" i="39"/>
  <c r="H123" i="39"/>
  <c r="I123" i="39"/>
  <c r="J123" i="39"/>
  <c r="K123" i="39"/>
  <c r="L123" i="39"/>
  <c r="M123" i="39"/>
  <c r="N123" i="39"/>
  <c r="O123" i="39"/>
  <c r="P123" i="39"/>
  <c r="Q123" i="39"/>
  <c r="R123" i="39"/>
  <c r="S123" i="39"/>
  <c r="T123" i="39"/>
  <c r="U123" i="39"/>
  <c r="A124" i="39"/>
  <c r="C124" i="39"/>
  <c r="D124" i="39"/>
  <c r="E124" i="39"/>
  <c r="F124" i="39"/>
  <c r="G124" i="39"/>
  <c r="H124" i="39"/>
  <c r="I124" i="39"/>
  <c r="J124" i="39"/>
  <c r="K124" i="39"/>
  <c r="L124" i="39"/>
  <c r="M124" i="39"/>
  <c r="N124" i="39"/>
  <c r="O124" i="39"/>
  <c r="P124" i="39"/>
  <c r="Q124" i="39"/>
  <c r="R124" i="39"/>
  <c r="S124" i="39"/>
  <c r="T124" i="39"/>
  <c r="U124" i="39"/>
  <c r="A125" i="39"/>
  <c r="C125" i="39"/>
  <c r="D125" i="39"/>
  <c r="E125" i="39"/>
  <c r="F125" i="39"/>
  <c r="G125" i="39"/>
  <c r="H125" i="39"/>
  <c r="I125" i="39"/>
  <c r="J125" i="39"/>
  <c r="K125" i="39"/>
  <c r="L125" i="39"/>
  <c r="M125" i="39"/>
  <c r="N125" i="39"/>
  <c r="O125" i="39"/>
  <c r="P125" i="39"/>
  <c r="Q125" i="39"/>
  <c r="R125" i="39"/>
  <c r="S125" i="39"/>
  <c r="T125" i="39"/>
  <c r="U125" i="39"/>
  <c r="A126" i="39"/>
  <c r="C126" i="39"/>
  <c r="D126" i="39"/>
  <c r="E126" i="39"/>
  <c r="F126" i="39"/>
  <c r="G126" i="39"/>
  <c r="H126" i="39"/>
  <c r="I126" i="39"/>
  <c r="J126" i="39"/>
  <c r="K126" i="39"/>
  <c r="L126" i="39"/>
  <c r="M126" i="39"/>
  <c r="N126" i="39"/>
  <c r="O126" i="39"/>
  <c r="P126" i="39"/>
  <c r="Q126" i="39"/>
  <c r="R126" i="39"/>
  <c r="S126" i="39"/>
  <c r="T126" i="39"/>
  <c r="U126" i="39"/>
  <c r="A127" i="39"/>
  <c r="C127" i="39"/>
  <c r="D127" i="39"/>
  <c r="E127" i="39"/>
  <c r="F127" i="39"/>
  <c r="G127" i="39"/>
  <c r="H127" i="39"/>
  <c r="I127" i="39"/>
  <c r="J127" i="39"/>
  <c r="K127" i="39"/>
  <c r="L127" i="39"/>
  <c r="M127" i="39"/>
  <c r="N127" i="39"/>
  <c r="O127" i="39"/>
  <c r="P127" i="39"/>
  <c r="Q127" i="39"/>
  <c r="R127" i="39"/>
  <c r="S127" i="39"/>
  <c r="T127" i="39"/>
  <c r="U127" i="39"/>
  <c r="A128" i="39"/>
  <c r="C128" i="39"/>
  <c r="D128" i="39"/>
  <c r="E128" i="39"/>
  <c r="F128" i="39"/>
  <c r="G128" i="39"/>
  <c r="H128" i="39"/>
  <c r="I128" i="39"/>
  <c r="J128" i="39"/>
  <c r="K128" i="39"/>
  <c r="L128" i="39"/>
  <c r="M128" i="39"/>
  <c r="N128" i="39"/>
  <c r="O128" i="39"/>
  <c r="P128" i="39"/>
  <c r="Q128" i="39"/>
  <c r="R128" i="39"/>
  <c r="S128" i="39"/>
  <c r="T128" i="39"/>
  <c r="U128" i="39"/>
  <c r="A129" i="39"/>
  <c r="C129" i="39"/>
  <c r="D129" i="39"/>
  <c r="E129" i="39"/>
  <c r="F129" i="39"/>
  <c r="G129" i="39"/>
  <c r="H129" i="39"/>
  <c r="I129" i="39"/>
  <c r="J129" i="39"/>
  <c r="K129" i="39"/>
  <c r="L129" i="39"/>
  <c r="M129" i="39"/>
  <c r="N129" i="39"/>
  <c r="O129" i="39"/>
  <c r="P129" i="39"/>
  <c r="Q129" i="39"/>
  <c r="R129" i="39"/>
  <c r="S129" i="39"/>
  <c r="T129" i="39"/>
  <c r="U129" i="39"/>
  <c r="A130" i="39"/>
  <c r="C130" i="39"/>
  <c r="D130" i="39"/>
  <c r="E130" i="39"/>
  <c r="F130" i="39"/>
  <c r="G130" i="39"/>
  <c r="H130" i="39"/>
  <c r="I130" i="39"/>
  <c r="J130" i="39"/>
  <c r="K130" i="39"/>
  <c r="L130" i="39"/>
  <c r="M130" i="39"/>
  <c r="N130" i="39"/>
  <c r="O130" i="39"/>
  <c r="P130" i="39"/>
  <c r="Q130" i="39"/>
  <c r="R130" i="39"/>
  <c r="S130" i="39"/>
  <c r="T130" i="39"/>
  <c r="U130" i="39"/>
  <c r="A131" i="39"/>
  <c r="C131" i="39"/>
  <c r="D131" i="39"/>
  <c r="E131" i="39"/>
  <c r="F131" i="39"/>
  <c r="G131" i="39"/>
  <c r="H131" i="39"/>
  <c r="I131" i="39"/>
  <c r="J131" i="39"/>
  <c r="K131" i="39"/>
  <c r="L131" i="39"/>
  <c r="M131" i="39"/>
  <c r="N131" i="39"/>
  <c r="O131" i="39"/>
  <c r="P131" i="39"/>
  <c r="Q131" i="39"/>
  <c r="R131" i="39"/>
  <c r="S131" i="39"/>
  <c r="T131" i="39"/>
  <c r="U131" i="39"/>
  <c r="A132" i="39"/>
  <c r="C132" i="39"/>
  <c r="D132" i="39"/>
  <c r="E132" i="39"/>
  <c r="F132" i="39"/>
  <c r="G132" i="39"/>
  <c r="H132" i="39"/>
  <c r="I132" i="39"/>
  <c r="J132" i="39"/>
  <c r="K132" i="39"/>
  <c r="L132" i="39"/>
  <c r="M132" i="39"/>
  <c r="N132" i="39"/>
  <c r="O132" i="39"/>
  <c r="P132" i="39"/>
  <c r="Q132" i="39"/>
  <c r="R132" i="39"/>
  <c r="S132" i="39"/>
  <c r="T132" i="39"/>
  <c r="U132" i="39"/>
  <c r="A133" i="39"/>
  <c r="C133" i="39"/>
  <c r="D133" i="39"/>
  <c r="E133" i="39"/>
  <c r="F133" i="39"/>
  <c r="G133" i="39"/>
  <c r="H133" i="39"/>
  <c r="I133" i="39"/>
  <c r="J133" i="39"/>
  <c r="K133" i="39"/>
  <c r="L133" i="39"/>
  <c r="M133" i="39"/>
  <c r="N133" i="39"/>
  <c r="O133" i="39"/>
  <c r="P133" i="39"/>
  <c r="Q133" i="39"/>
  <c r="R133" i="39"/>
  <c r="S133" i="39"/>
  <c r="T133" i="39"/>
  <c r="U133" i="39"/>
  <c r="A134" i="39"/>
  <c r="C134" i="39"/>
  <c r="D134" i="39"/>
  <c r="E134" i="39"/>
  <c r="F134" i="39"/>
  <c r="G134" i="39"/>
  <c r="H134" i="39"/>
  <c r="I134" i="39"/>
  <c r="J134" i="39"/>
  <c r="K134" i="39"/>
  <c r="L134" i="39"/>
  <c r="M134" i="39"/>
  <c r="N134" i="39"/>
  <c r="O134" i="39"/>
  <c r="P134" i="39"/>
  <c r="Q134" i="39"/>
  <c r="R134" i="39"/>
  <c r="S134" i="39"/>
  <c r="T134" i="39"/>
  <c r="U134" i="39"/>
  <c r="A135" i="39"/>
  <c r="C135" i="39"/>
  <c r="D135" i="39"/>
  <c r="E135" i="39"/>
  <c r="F135" i="39"/>
  <c r="G135" i="39"/>
  <c r="H135" i="39"/>
  <c r="I135" i="39"/>
  <c r="J135" i="39"/>
  <c r="K135" i="39"/>
  <c r="L135" i="39"/>
  <c r="M135" i="39"/>
  <c r="N135" i="39"/>
  <c r="O135" i="39"/>
  <c r="P135" i="39"/>
  <c r="Q135" i="39"/>
  <c r="R135" i="39"/>
  <c r="S135" i="39"/>
  <c r="T135" i="39"/>
  <c r="U135" i="39"/>
  <c r="A136" i="39"/>
  <c r="C136" i="39"/>
  <c r="D136" i="39"/>
  <c r="E136" i="39"/>
  <c r="F136" i="39"/>
  <c r="G136" i="39"/>
  <c r="H136" i="39"/>
  <c r="I136" i="39"/>
  <c r="J136" i="39"/>
  <c r="K136" i="39"/>
  <c r="L136" i="39"/>
  <c r="M136" i="39"/>
  <c r="N136" i="39"/>
  <c r="O136" i="39"/>
  <c r="P136" i="39"/>
  <c r="Q136" i="39"/>
  <c r="R136" i="39"/>
  <c r="S136" i="39"/>
  <c r="T136" i="39"/>
  <c r="U136" i="39"/>
  <c r="A137" i="39"/>
  <c r="C137" i="39"/>
  <c r="D137" i="39"/>
  <c r="E137" i="39"/>
  <c r="F137" i="39"/>
  <c r="G137" i="39"/>
  <c r="H137" i="39"/>
  <c r="I137" i="39"/>
  <c r="J137" i="39"/>
  <c r="K137" i="39"/>
  <c r="L137" i="39"/>
  <c r="M137" i="39"/>
  <c r="N137" i="39"/>
  <c r="O137" i="39"/>
  <c r="P137" i="39"/>
  <c r="Q137" i="39"/>
  <c r="R137" i="39"/>
  <c r="S137" i="39"/>
  <c r="T137" i="39"/>
  <c r="U137" i="39"/>
  <c r="A138" i="39"/>
  <c r="C138" i="39"/>
  <c r="D138" i="39"/>
  <c r="E138" i="39"/>
  <c r="F138" i="39"/>
  <c r="G138" i="39"/>
  <c r="H138" i="39"/>
  <c r="I138" i="39"/>
  <c r="J138" i="39"/>
  <c r="K138" i="39"/>
  <c r="L138" i="39"/>
  <c r="M138" i="39"/>
  <c r="N138" i="39"/>
  <c r="O138" i="39"/>
  <c r="P138" i="39"/>
  <c r="Q138" i="39"/>
  <c r="R138" i="39"/>
  <c r="S138" i="39"/>
  <c r="T138" i="39"/>
  <c r="U138" i="39"/>
  <c r="A139" i="39"/>
  <c r="C139" i="39"/>
  <c r="D139" i="39"/>
  <c r="E139" i="39"/>
  <c r="F139" i="39"/>
  <c r="G139" i="39"/>
  <c r="H139" i="39"/>
  <c r="I139" i="39"/>
  <c r="J139" i="39"/>
  <c r="K139" i="39"/>
  <c r="L139" i="39"/>
  <c r="M139" i="39"/>
  <c r="N139" i="39"/>
  <c r="O139" i="39"/>
  <c r="P139" i="39"/>
  <c r="Q139" i="39"/>
  <c r="R139" i="39"/>
  <c r="S139" i="39"/>
  <c r="T139" i="39"/>
  <c r="U139" i="39"/>
  <c r="A140" i="39"/>
  <c r="C140" i="39"/>
  <c r="D140" i="39"/>
  <c r="E140" i="39"/>
  <c r="F140" i="39"/>
  <c r="G140" i="39"/>
  <c r="H140" i="39"/>
  <c r="I140" i="39"/>
  <c r="J140" i="39"/>
  <c r="K140" i="39"/>
  <c r="L140" i="39"/>
  <c r="M140" i="39"/>
  <c r="N140" i="39"/>
  <c r="O140" i="39"/>
  <c r="P140" i="39"/>
  <c r="Q140" i="39"/>
  <c r="R140" i="39"/>
  <c r="S140" i="39"/>
  <c r="T140" i="39"/>
  <c r="U140" i="39"/>
  <c r="A141" i="39"/>
  <c r="C141" i="39"/>
  <c r="D141" i="39"/>
  <c r="E141" i="39"/>
  <c r="F141" i="39"/>
  <c r="G141" i="39"/>
  <c r="H141" i="39"/>
  <c r="I141" i="39"/>
  <c r="J141" i="39"/>
  <c r="K141" i="39"/>
  <c r="L141" i="39"/>
  <c r="M141" i="39"/>
  <c r="N141" i="39"/>
  <c r="O141" i="39"/>
  <c r="P141" i="39"/>
  <c r="Q141" i="39"/>
  <c r="R141" i="39"/>
  <c r="S141" i="39"/>
  <c r="T141" i="39"/>
  <c r="U141" i="39"/>
  <c r="A142" i="39"/>
  <c r="C142" i="39"/>
  <c r="D142" i="39"/>
  <c r="E142" i="39"/>
  <c r="F142" i="39"/>
  <c r="G142" i="39"/>
  <c r="H142" i="39"/>
  <c r="I142" i="39"/>
  <c r="J142" i="39"/>
  <c r="K142" i="39"/>
  <c r="L142" i="39"/>
  <c r="M142" i="39"/>
  <c r="N142" i="39"/>
  <c r="O142" i="39"/>
  <c r="P142" i="39"/>
  <c r="Q142" i="39"/>
  <c r="R142" i="39"/>
  <c r="S142" i="39"/>
  <c r="T142" i="39"/>
  <c r="U142" i="39"/>
  <c r="A143" i="39"/>
  <c r="C143" i="39"/>
  <c r="D143" i="39"/>
  <c r="E143" i="39"/>
  <c r="F143" i="39"/>
  <c r="G143" i="39"/>
  <c r="H143" i="39"/>
  <c r="I143" i="39"/>
  <c r="J143" i="39"/>
  <c r="K143" i="39"/>
  <c r="L143" i="39"/>
  <c r="M143" i="39"/>
  <c r="N143" i="39"/>
  <c r="O143" i="39"/>
  <c r="P143" i="39"/>
  <c r="Q143" i="39"/>
  <c r="R143" i="39"/>
  <c r="S143" i="39"/>
  <c r="T143" i="39"/>
  <c r="U143" i="39"/>
  <c r="A144" i="39"/>
  <c r="C144" i="39"/>
  <c r="D144" i="39"/>
  <c r="E144" i="39"/>
  <c r="F144" i="39"/>
  <c r="G144" i="39"/>
  <c r="H144" i="39"/>
  <c r="I144" i="39"/>
  <c r="J144" i="39"/>
  <c r="K144" i="39"/>
  <c r="L144" i="39"/>
  <c r="M144" i="39"/>
  <c r="N144" i="39"/>
  <c r="O144" i="39"/>
  <c r="P144" i="39"/>
  <c r="Q144" i="39"/>
  <c r="R144" i="39"/>
  <c r="S144" i="39"/>
  <c r="T144" i="39"/>
  <c r="U144" i="39"/>
  <c r="A145" i="39"/>
  <c r="C145" i="39"/>
  <c r="D145" i="39"/>
  <c r="E145" i="39"/>
  <c r="F145" i="39"/>
  <c r="G145" i="39"/>
  <c r="H145" i="39"/>
  <c r="I145" i="39"/>
  <c r="J145" i="39"/>
  <c r="K145" i="39"/>
  <c r="L145" i="39"/>
  <c r="M145" i="39"/>
  <c r="N145" i="39"/>
  <c r="O145" i="39"/>
  <c r="P145" i="39"/>
  <c r="Q145" i="39"/>
  <c r="R145" i="39"/>
  <c r="S145" i="39"/>
  <c r="T145" i="39"/>
  <c r="U145" i="39"/>
  <c r="A146" i="39"/>
  <c r="C146" i="39"/>
  <c r="D146" i="39"/>
  <c r="E146" i="39"/>
  <c r="F146" i="39"/>
  <c r="G146" i="39"/>
  <c r="H146" i="39"/>
  <c r="I146" i="39"/>
  <c r="J146" i="39"/>
  <c r="K146" i="39"/>
  <c r="L146" i="39"/>
  <c r="M146" i="39"/>
  <c r="N146" i="39"/>
  <c r="O146" i="39"/>
  <c r="P146" i="39"/>
  <c r="Q146" i="39"/>
  <c r="R146" i="39"/>
  <c r="S146" i="39"/>
  <c r="T146" i="39"/>
  <c r="U146" i="39"/>
  <c r="A147" i="39"/>
  <c r="C147" i="39"/>
  <c r="D147" i="39"/>
  <c r="E147" i="39"/>
  <c r="F147" i="39"/>
  <c r="G147" i="39"/>
  <c r="H147" i="39"/>
  <c r="I147" i="39"/>
  <c r="J147" i="39"/>
  <c r="K147" i="39"/>
  <c r="L147" i="39"/>
  <c r="M147" i="39"/>
  <c r="N147" i="39"/>
  <c r="O147" i="39"/>
  <c r="P147" i="39"/>
  <c r="Q147" i="39"/>
  <c r="R147" i="39"/>
  <c r="S147" i="39"/>
  <c r="T147" i="39"/>
  <c r="U147" i="39"/>
  <c r="A148" i="39"/>
  <c r="C148" i="39"/>
  <c r="D148" i="39"/>
  <c r="E148" i="39"/>
  <c r="F148" i="39"/>
  <c r="G148" i="39"/>
  <c r="H148" i="39"/>
  <c r="I148" i="39"/>
  <c r="J148" i="39"/>
  <c r="K148" i="39"/>
  <c r="L148" i="39"/>
  <c r="M148" i="39"/>
  <c r="N148" i="39"/>
  <c r="O148" i="39"/>
  <c r="P148" i="39"/>
  <c r="Q148" i="39"/>
  <c r="R148" i="39"/>
  <c r="S148" i="39"/>
  <c r="T148" i="39"/>
  <c r="U148" i="39"/>
  <c r="A149" i="39"/>
  <c r="C149" i="39"/>
  <c r="D149" i="39"/>
  <c r="E149" i="39"/>
  <c r="F149" i="39"/>
  <c r="G149" i="39"/>
  <c r="H149" i="39"/>
  <c r="I149" i="39"/>
  <c r="J149" i="39"/>
  <c r="K149" i="39"/>
  <c r="L149" i="39"/>
  <c r="M149" i="39"/>
  <c r="N149" i="39"/>
  <c r="O149" i="39"/>
  <c r="P149" i="39"/>
  <c r="Q149" i="39"/>
  <c r="R149" i="39"/>
  <c r="S149" i="39"/>
  <c r="T149" i="39"/>
  <c r="U149" i="39"/>
  <c r="A150" i="39"/>
  <c r="C150" i="39"/>
  <c r="D150" i="39"/>
  <c r="E150" i="39"/>
  <c r="F150" i="39"/>
  <c r="G150" i="39"/>
  <c r="H150" i="39"/>
  <c r="I150" i="39"/>
  <c r="J150" i="39"/>
  <c r="K150" i="39"/>
  <c r="L150" i="39"/>
  <c r="M150" i="39"/>
  <c r="N150" i="39"/>
  <c r="O150" i="39"/>
  <c r="P150" i="39"/>
  <c r="Q150" i="39"/>
  <c r="R150" i="39"/>
  <c r="S150" i="39"/>
  <c r="T150" i="39"/>
  <c r="U150" i="39"/>
  <c r="A151" i="39"/>
  <c r="C151" i="39"/>
  <c r="D151" i="39"/>
  <c r="E151" i="39"/>
  <c r="F151" i="39"/>
  <c r="G151" i="39"/>
  <c r="H151" i="39"/>
  <c r="I151" i="39"/>
  <c r="J151" i="39"/>
  <c r="K151" i="39"/>
  <c r="L151" i="39"/>
  <c r="M151" i="39"/>
  <c r="N151" i="39"/>
  <c r="O151" i="39"/>
  <c r="P151" i="39"/>
  <c r="Q151" i="39"/>
  <c r="R151" i="39"/>
  <c r="S151" i="39"/>
  <c r="T151" i="39"/>
  <c r="U151" i="39"/>
  <c r="A152" i="39"/>
  <c r="C152" i="39"/>
  <c r="D152" i="39"/>
  <c r="E152" i="39"/>
  <c r="F152" i="39"/>
  <c r="G152" i="39"/>
  <c r="H152" i="39"/>
  <c r="I152" i="39"/>
  <c r="J152" i="39"/>
  <c r="K152" i="39"/>
  <c r="L152" i="39"/>
  <c r="M152" i="39"/>
  <c r="N152" i="39"/>
  <c r="O152" i="39"/>
  <c r="P152" i="39"/>
  <c r="Q152" i="39"/>
  <c r="R152" i="39"/>
  <c r="S152" i="39"/>
  <c r="T152" i="39"/>
  <c r="U152" i="39"/>
  <c r="A153" i="39"/>
  <c r="C153" i="39"/>
  <c r="D153" i="39"/>
  <c r="E153" i="39"/>
  <c r="F153" i="39"/>
  <c r="G153" i="39"/>
  <c r="H153" i="39"/>
  <c r="I153" i="39"/>
  <c r="J153" i="39"/>
  <c r="K153" i="39"/>
  <c r="L153" i="39"/>
  <c r="M153" i="39"/>
  <c r="N153" i="39"/>
  <c r="O153" i="39"/>
  <c r="P153" i="39"/>
  <c r="Q153" i="39"/>
  <c r="R153" i="39"/>
  <c r="S153" i="39"/>
  <c r="T153" i="39"/>
  <c r="U153" i="39"/>
  <c r="A154" i="39"/>
  <c r="C154" i="39"/>
  <c r="D154" i="39"/>
  <c r="E154" i="39"/>
  <c r="F154" i="39"/>
  <c r="G154" i="39"/>
  <c r="H154" i="39"/>
  <c r="I154" i="39"/>
  <c r="J154" i="39"/>
  <c r="K154" i="39"/>
  <c r="L154" i="39"/>
  <c r="M154" i="39"/>
  <c r="N154" i="39"/>
  <c r="O154" i="39"/>
  <c r="P154" i="39"/>
  <c r="Q154" i="39"/>
  <c r="R154" i="39"/>
  <c r="S154" i="39"/>
  <c r="T154" i="39"/>
  <c r="U154" i="39"/>
  <c r="A155" i="39"/>
  <c r="C155" i="39"/>
  <c r="D155" i="39"/>
  <c r="E155" i="39"/>
  <c r="F155" i="39"/>
  <c r="G155" i="39"/>
  <c r="H155" i="39"/>
  <c r="I155" i="39"/>
  <c r="J155" i="39"/>
  <c r="K155" i="39"/>
  <c r="L155" i="39"/>
  <c r="M155" i="39"/>
  <c r="N155" i="39"/>
  <c r="O155" i="39"/>
  <c r="P155" i="39"/>
  <c r="Q155" i="39"/>
  <c r="R155" i="39"/>
  <c r="S155" i="39"/>
  <c r="T155" i="39"/>
  <c r="U155" i="39"/>
  <c r="A156" i="39"/>
  <c r="C156" i="39"/>
  <c r="D156" i="39"/>
  <c r="E156" i="39"/>
  <c r="F156" i="39"/>
  <c r="G156" i="39"/>
  <c r="H156" i="39"/>
  <c r="I156" i="39"/>
  <c r="J156" i="39"/>
  <c r="K156" i="39"/>
  <c r="L156" i="39"/>
  <c r="M156" i="39"/>
  <c r="N156" i="39"/>
  <c r="O156" i="39"/>
  <c r="P156" i="39"/>
  <c r="Q156" i="39"/>
  <c r="R156" i="39"/>
  <c r="S156" i="39"/>
  <c r="T156" i="39"/>
  <c r="U156" i="39"/>
  <c r="A157" i="39"/>
  <c r="C157" i="39"/>
  <c r="D157" i="39"/>
  <c r="E157" i="39"/>
  <c r="F157" i="39"/>
  <c r="G157" i="39"/>
  <c r="H157" i="39"/>
  <c r="I157" i="39"/>
  <c r="J157" i="39"/>
  <c r="K157" i="39"/>
  <c r="L157" i="39"/>
  <c r="M157" i="39"/>
  <c r="N157" i="39"/>
  <c r="O157" i="39"/>
  <c r="P157" i="39"/>
  <c r="Q157" i="39"/>
  <c r="R157" i="39"/>
  <c r="S157" i="39"/>
  <c r="T157" i="39"/>
  <c r="U157" i="39"/>
  <c r="A158" i="39"/>
  <c r="C158" i="39"/>
  <c r="D158" i="39"/>
  <c r="E158" i="39"/>
  <c r="F158" i="39"/>
  <c r="G158" i="39"/>
  <c r="H158" i="39"/>
  <c r="I158" i="39"/>
  <c r="J158" i="39"/>
  <c r="K158" i="39"/>
  <c r="L158" i="39"/>
  <c r="M158" i="39"/>
  <c r="N158" i="39"/>
  <c r="O158" i="39"/>
  <c r="P158" i="39"/>
  <c r="Q158" i="39"/>
  <c r="R158" i="39"/>
  <c r="S158" i="39"/>
  <c r="T158" i="39"/>
  <c r="U158" i="39"/>
  <c r="A159" i="39"/>
  <c r="C159" i="39"/>
  <c r="D159" i="39"/>
  <c r="E159" i="39"/>
  <c r="F159" i="39"/>
  <c r="G159" i="39"/>
  <c r="H159" i="39"/>
  <c r="I159" i="39"/>
  <c r="J159" i="39"/>
  <c r="K159" i="39"/>
  <c r="L159" i="39"/>
  <c r="M159" i="39"/>
  <c r="N159" i="39"/>
  <c r="O159" i="39"/>
  <c r="P159" i="39"/>
  <c r="Q159" i="39"/>
  <c r="R159" i="39"/>
  <c r="S159" i="39"/>
  <c r="T159" i="39"/>
  <c r="U159" i="39"/>
  <c r="A160" i="39"/>
  <c r="C160" i="39"/>
  <c r="D160" i="39"/>
  <c r="E160" i="39"/>
  <c r="F160" i="39"/>
  <c r="G160" i="39"/>
  <c r="H160" i="39"/>
  <c r="I160" i="39"/>
  <c r="J160" i="39"/>
  <c r="K160" i="39"/>
  <c r="L160" i="39"/>
  <c r="M160" i="39"/>
  <c r="N160" i="39"/>
  <c r="O160" i="39"/>
  <c r="P160" i="39"/>
  <c r="Q160" i="39"/>
  <c r="R160" i="39"/>
  <c r="S160" i="39"/>
  <c r="T160" i="39"/>
  <c r="U160" i="39"/>
  <c r="A161" i="39"/>
  <c r="C161" i="39"/>
  <c r="D161" i="39"/>
  <c r="E161" i="39"/>
  <c r="F161" i="39"/>
  <c r="G161" i="39"/>
  <c r="H161" i="39"/>
  <c r="I161" i="39"/>
  <c r="J161" i="39"/>
  <c r="K161" i="39"/>
  <c r="L161" i="39"/>
  <c r="M161" i="39"/>
  <c r="N161" i="39"/>
  <c r="O161" i="39"/>
  <c r="P161" i="39"/>
  <c r="Q161" i="39"/>
  <c r="R161" i="39"/>
  <c r="S161" i="39"/>
  <c r="T161" i="39"/>
  <c r="U161" i="39"/>
  <c r="A162" i="39"/>
  <c r="C162" i="39"/>
  <c r="D162" i="39"/>
  <c r="E162" i="39"/>
  <c r="F162" i="39"/>
  <c r="G162" i="39"/>
  <c r="H162" i="39"/>
  <c r="I162" i="39"/>
  <c r="J162" i="39"/>
  <c r="K162" i="39"/>
  <c r="L162" i="39"/>
  <c r="M162" i="39"/>
  <c r="N162" i="39"/>
  <c r="O162" i="39"/>
  <c r="P162" i="39"/>
  <c r="Q162" i="39"/>
  <c r="R162" i="39"/>
  <c r="S162" i="39"/>
  <c r="T162" i="39"/>
  <c r="U162" i="39"/>
  <c r="A163" i="39"/>
  <c r="C163" i="39"/>
  <c r="D163" i="39"/>
  <c r="E163" i="39"/>
  <c r="F163" i="39"/>
  <c r="G163" i="39"/>
  <c r="H163" i="39"/>
  <c r="I163" i="39"/>
  <c r="J163" i="39"/>
  <c r="K163" i="39"/>
  <c r="L163" i="39"/>
  <c r="M163" i="39"/>
  <c r="N163" i="39"/>
  <c r="O163" i="39"/>
  <c r="P163" i="39"/>
  <c r="Q163" i="39"/>
  <c r="R163" i="39"/>
  <c r="S163" i="39"/>
  <c r="T163" i="39"/>
  <c r="U163" i="39"/>
  <c r="A164" i="39"/>
  <c r="C164" i="39"/>
  <c r="D164" i="39"/>
  <c r="E164" i="39"/>
  <c r="F164" i="39"/>
  <c r="G164" i="39"/>
  <c r="H164" i="39"/>
  <c r="I164" i="39"/>
  <c r="J164" i="39"/>
  <c r="K164" i="39"/>
  <c r="L164" i="39"/>
  <c r="M164" i="39"/>
  <c r="N164" i="39"/>
  <c r="O164" i="39"/>
  <c r="P164" i="39"/>
  <c r="Q164" i="39"/>
  <c r="R164" i="39"/>
  <c r="S164" i="39"/>
  <c r="T164" i="39"/>
  <c r="U164" i="39"/>
  <c r="A165" i="39"/>
  <c r="C165" i="39"/>
  <c r="D165" i="39"/>
  <c r="E165" i="39"/>
  <c r="F165" i="39"/>
  <c r="G165" i="39"/>
  <c r="H165" i="39"/>
  <c r="I165" i="39"/>
  <c r="J165" i="39"/>
  <c r="K165" i="39"/>
  <c r="L165" i="39"/>
  <c r="M165" i="39"/>
  <c r="N165" i="39"/>
  <c r="O165" i="39"/>
  <c r="P165" i="39"/>
  <c r="Q165" i="39"/>
  <c r="R165" i="39"/>
  <c r="S165" i="39"/>
  <c r="T165" i="39"/>
  <c r="U165" i="39"/>
  <c r="A166" i="39"/>
  <c r="C166" i="39"/>
  <c r="D166" i="39"/>
  <c r="E166" i="39"/>
  <c r="F166" i="39"/>
  <c r="G166" i="39"/>
  <c r="H166" i="39"/>
  <c r="I166" i="39"/>
  <c r="J166" i="39"/>
  <c r="K166" i="39"/>
  <c r="L166" i="39"/>
  <c r="M166" i="39"/>
  <c r="N166" i="39"/>
  <c r="O166" i="39"/>
  <c r="P166" i="39"/>
  <c r="Q166" i="39"/>
  <c r="R166" i="39"/>
  <c r="S166" i="39"/>
  <c r="T166" i="39"/>
  <c r="U166" i="39"/>
  <c r="A167" i="39"/>
  <c r="C167" i="39"/>
  <c r="D167" i="39"/>
  <c r="E167" i="39"/>
  <c r="F167" i="39"/>
  <c r="G167" i="39"/>
  <c r="H167" i="39"/>
  <c r="I167" i="39"/>
  <c r="J167" i="39"/>
  <c r="K167" i="39"/>
  <c r="L167" i="39"/>
  <c r="M167" i="39"/>
  <c r="N167" i="39"/>
  <c r="O167" i="39"/>
  <c r="P167" i="39"/>
  <c r="Q167" i="39"/>
  <c r="R167" i="39"/>
  <c r="S167" i="39"/>
  <c r="T167" i="39"/>
  <c r="U167" i="39"/>
  <c r="A168" i="39"/>
  <c r="C168" i="39"/>
  <c r="D168" i="39"/>
  <c r="E168" i="39"/>
  <c r="F168" i="39"/>
  <c r="G168" i="39"/>
  <c r="H168" i="39"/>
  <c r="I168" i="39"/>
  <c r="J168" i="39"/>
  <c r="K168" i="39"/>
  <c r="L168" i="39"/>
  <c r="M168" i="39"/>
  <c r="N168" i="39"/>
  <c r="O168" i="39"/>
  <c r="P168" i="39"/>
  <c r="Q168" i="39"/>
  <c r="R168" i="39"/>
  <c r="S168" i="39"/>
  <c r="T168" i="39"/>
  <c r="U168" i="39"/>
  <c r="A169" i="39"/>
  <c r="C169" i="39"/>
  <c r="D169" i="39"/>
  <c r="E169" i="39"/>
  <c r="F169" i="39"/>
  <c r="G169" i="39"/>
  <c r="H169" i="39"/>
  <c r="I169" i="39"/>
  <c r="J169" i="39"/>
  <c r="K169" i="39"/>
  <c r="L169" i="39"/>
  <c r="M169" i="39"/>
  <c r="N169" i="39"/>
  <c r="O169" i="39"/>
  <c r="P169" i="39"/>
  <c r="Q169" i="39"/>
  <c r="R169" i="39"/>
  <c r="S169" i="39"/>
  <c r="T169" i="39"/>
  <c r="U169" i="39"/>
  <c r="A170" i="39"/>
  <c r="C170" i="39"/>
  <c r="D170" i="39"/>
  <c r="E170" i="39"/>
  <c r="F170" i="39"/>
  <c r="G170" i="39"/>
  <c r="H170" i="39"/>
  <c r="I170" i="39"/>
  <c r="J170" i="39"/>
  <c r="K170" i="39"/>
  <c r="L170" i="39"/>
  <c r="M170" i="39"/>
  <c r="N170" i="39"/>
  <c r="O170" i="39"/>
  <c r="P170" i="39"/>
  <c r="Q170" i="39"/>
  <c r="R170" i="39"/>
  <c r="S170" i="39"/>
  <c r="T170" i="39"/>
  <c r="U170" i="39"/>
  <c r="A171" i="39"/>
  <c r="C171" i="39"/>
  <c r="D171" i="39"/>
  <c r="E171" i="39"/>
  <c r="F171" i="39"/>
  <c r="G171" i="39"/>
  <c r="H171" i="39"/>
  <c r="I171" i="39"/>
  <c r="J171" i="39"/>
  <c r="K171" i="39"/>
  <c r="L171" i="39"/>
  <c r="M171" i="39"/>
  <c r="N171" i="39"/>
  <c r="O171" i="39"/>
  <c r="P171" i="39"/>
  <c r="Q171" i="39"/>
  <c r="R171" i="39"/>
  <c r="S171" i="39"/>
  <c r="T171" i="39"/>
  <c r="U171" i="39"/>
  <c r="A172" i="39"/>
  <c r="C172" i="39"/>
  <c r="D172" i="39"/>
  <c r="E172" i="39"/>
  <c r="F172" i="39"/>
  <c r="G172" i="39"/>
  <c r="H172" i="39"/>
  <c r="I172" i="39"/>
  <c r="J172" i="39"/>
  <c r="K172" i="39"/>
  <c r="L172" i="39"/>
  <c r="M172" i="39"/>
  <c r="N172" i="39"/>
  <c r="O172" i="39"/>
  <c r="P172" i="39"/>
  <c r="Q172" i="39"/>
  <c r="R172" i="39"/>
  <c r="S172" i="39"/>
  <c r="T172" i="39"/>
  <c r="U172" i="39"/>
  <c r="A173" i="39"/>
  <c r="C173" i="39"/>
  <c r="D173" i="39"/>
  <c r="E173" i="39"/>
  <c r="F173" i="39"/>
  <c r="G173" i="39"/>
  <c r="H173" i="39"/>
  <c r="I173" i="39"/>
  <c r="J173" i="39"/>
  <c r="K173" i="39"/>
  <c r="L173" i="39"/>
  <c r="M173" i="39"/>
  <c r="N173" i="39"/>
  <c r="O173" i="39"/>
  <c r="P173" i="39"/>
  <c r="Q173" i="39"/>
  <c r="R173" i="39"/>
  <c r="S173" i="39"/>
  <c r="T173" i="39"/>
  <c r="U173" i="39"/>
  <c r="A174" i="39"/>
  <c r="C174" i="39"/>
  <c r="D174" i="39"/>
  <c r="E174" i="39"/>
  <c r="F174" i="39"/>
  <c r="G174" i="39"/>
  <c r="H174" i="39"/>
  <c r="I174" i="39"/>
  <c r="J174" i="39"/>
  <c r="K174" i="39"/>
  <c r="L174" i="39"/>
  <c r="M174" i="39"/>
  <c r="N174" i="39"/>
  <c r="O174" i="39"/>
  <c r="P174" i="39"/>
  <c r="Q174" i="39"/>
  <c r="R174" i="39"/>
  <c r="S174" i="39"/>
  <c r="T174" i="39"/>
  <c r="U174" i="39"/>
  <c r="A175" i="39"/>
  <c r="C175" i="39"/>
  <c r="D175" i="39"/>
  <c r="E175" i="39"/>
  <c r="F175" i="39"/>
  <c r="G175" i="39"/>
  <c r="H175" i="39"/>
  <c r="I175" i="39"/>
  <c r="J175" i="39"/>
  <c r="K175" i="39"/>
  <c r="L175" i="39"/>
  <c r="M175" i="39"/>
  <c r="N175" i="39"/>
  <c r="O175" i="39"/>
  <c r="P175" i="39"/>
  <c r="Q175" i="39"/>
  <c r="R175" i="39"/>
  <c r="S175" i="39"/>
  <c r="T175" i="39"/>
  <c r="U175" i="39"/>
  <c r="A176" i="39"/>
  <c r="C176" i="39"/>
  <c r="D176" i="39"/>
  <c r="E176" i="39"/>
  <c r="F176" i="39"/>
  <c r="G176" i="39"/>
  <c r="H176" i="39"/>
  <c r="I176" i="39"/>
  <c r="J176" i="39"/>
  <c r="K176" i="39"/>
  <c r="L176" i="39"/>
  <c r="M176" i="39"/>
  <c r="N176" i="39"/>
  <c r="O176" i="39"/>
  <c r="P176" i="39"/>
  <c r="Q176" i="39"/>
  <c r="R176" i="39"/>
  <c r="S176" i="39"/>
  <c r="T176" i="39"/>
  <c r="U176" i="39"/>
  <c r="A177" i="39"/>
  <c r="C177" i="39"/>
  <c r="D177" i="39"/>
  <c r="E177" i="39"/>
  <c r="F177" i="39"/>
  <c r="G177" i="39"/>
  <c r="H177" i="39"/>
  <c r="I177" i="39"/>
  <c r="J177" i="39"/>
  <c r="K177" i="39"/>
  <c r="L177" i="39"/>
  <c r="M177" i="39"/>
  <c r="N177" i="39"/>
  <c r="O177" i="39"/>
  <c r="P177" i="39"/>
  <c r="Q177" i="39"/>
  <c r="R177" i="39"/>
  <c r="S177" i="39"/>
  <c r="T177" i="39"/>
  <c r="U177" i="39"/>
  <c r="A178" i="39"/>
  <c r="C178" i="39"/>
  <c r="D178" i="39"/>
  <c r="E178" i="39"/>
  <c r="F178" i="39"/>
  <c r="G178" i="39"/>
  <c r="H178" i="39"/>
  <c r="I178" i="39"/>
  <c r="J178" i="39"/>
  <c r="K178" i="39"/>
  <c r="L178" i="39"/>
  <c r="M178" i="39"/>
  <c r="N178" i="39"/>
  <c r="O178" i="39"/>
  <c r="P178" i="39"/>
  <c r="Q178" i="39"/>
  <c r="R178" i="39"/>
  <c r="S178" i="39"/>
  <c r="T178" i="39"/>
  <c r="U178" i="39"/>
  <c r="A179" i="39"/>
  <c r="C179" i="39"/>
  <c r="D179" i="39"/>
  <c r="E179" i="39"/>
  <c r="F179" i="39"/>
  <c r="G179" i="39"/>
  <c r="H179" i="39"/>
  <c r="I179" i="39"/>
  <c r="J179" i="39"/>
  <c r="K179" i="39"/>
  <c r="L179" i="39"/>
  <c r="M179" i="39"/>
  <c r="N179" i="39"/>
  <c r="O179" i="39"/>
  <c r="P179" i="39"/>
  <c r="Q179" i="39"/>
  <c r="R179" i="39"/>
  <c r="S179" i="39"/>
  <c r="T179" i="39"/>
  <c r="U179" i="39"/>
  <c r="A180" i="39"/>
  <c r="C180" i="39"/>
  <c r="D180" i="39"/>
  <c r="E180" i="39"/>
  <c r="F180" i="39"/>
  <c r="G180" i="39"/>
  <c r="H180" i="39"/>
  <c r="I180" i="39"/>
  <c r="J180" i="39"/>
  <c r="K180" i="39"/>
  <c r="L180" i="39"/>
  <c r="M180" i="39"/>
  <c r="N180" i="39"/>
  <c r="O180" i="39"/>
  <c r="P180" i="39"/>
  <c r="Q180" i="39"/>
  <c r="R180" i="39"/>
  <c r="S180" i="39"/>
  <c r="T180" i="39"/>
  <c r="U180" i="39"/>
  <c r="A181" i="39"/>
  <c r="C181" i="39"/>
  <c r="D181" i="39"/>
  <c r="E181" i="39"/>
  <c r="F181" i="39"/>
  <c r="G181" i="39"/>
  <c r="H181" i="39"/>
  <c r="I181" i="39"/>
  <c r="J181" i="39"/>
  <c r="K181" i="39"/>
  <c r="L181" i="39"/>
  <c r="M181" i="39"/>
  <c r="N181" i="39"/>
  <c r="O181" i="39"/>
  <c r="P181" i="39"/>
  <c r="Q181" i="39"/>
  <c r="R181" i="39"/>
  <c r="S181" i="39"/>
  <c r="T181" i="39"/>
  <c r="U181" i="39"/>
  <c r="A182" i="39"/>
  <c r="C182" i="39"/>
  <c r="D182" i="39"/>
  <c r="E182" i="39"/>
  <c r="F182" i="39"/>
  <c r="G182" i="39"/>
  <c r="H182" i="39"/>
  <c r="I182" i="39"/>
  <c r="J182" i="39"/>
  <c r="K182" i="39"/>
  <c r="L182" i="39"/>
  <c r="M182" i="39"/>
  <c r="N182" i="39"/>
  <c r="O182" i="39"/>
  <c r="P182" i="39"/>
  <c r="Q182" i="39"/>
  <c r="R182" i="39"/>
  <c r="S182" i="39"/>
  <c r="T182" i="39"/>
  <c r="U182" i="39"/>
  <c r="A183" i="39"/>
  <c r="C183" i="39"/>
  <c r="D183" i="39"/>
  <c r="E183" i="39"/>
  <c r="F183" i="39"/>
  <c r="G183" i="39"/>
  <c r="H183" i="39"/>
  <c r="I183" i="39"/>
  <c r="J183" i="39"/>
  <c r="K183" i="39"/>
  <c r="L183" i="39"/>
  <c r="M183" i="39"/>
  <c r="N183" i="39"/>
  <c r="O183" i="39"/>
  <c r="P183" i="39"/>
  <c r="Q183" i="39"/>
  <c r="R183" i="39"/>
  <c r="S183" i="39"/>
  <c r="T183" i="39"/>
  <c r="U183" i="39"/>
  <c r="A184" i="39"/>
  <c r="C184" i="39"/>
  <c r="D184" i="39"/>
  <c r="E184" i="39"/>
  <c r="F184" i="39"/>
  <c r="G184" i="39"/>
  <c r="H184" i="39"/>
  <c r="I184" i="39"/>
  <c r="J184" i="39"/>
  <c r="K184" i="39"/>
  <c r="L184" i="39"/>
  <c r="M184" i="39"/>
  <c r="N184" i="39"/>
  <c r="O184" i="39"/>
  <c r="P184" i="39"/>
  <c r="Q184" i="39"/>
  <c r="R184" i="39"/>
  <c r="S184" i="39"/>
  <c r="T184" i="39"/>
  <c r="U184" i="39"/>
  <c r="A185" i="39"/>
  <c r="C185" i="39"/>
  <c r="D185" i="39"/>
  <c r="E185" i="39"/>
  <c r="F185" i="39"/>
  <c r="G185" i="39"/>
  <c r="H185" i="39"/>
  <c r="I185" i="39"/>
  <c r="J185" i="39"/>
  <c r="K185" i="39"/>
  <c r="L185" i="39"/>
  <c r="M185" i="39"/>
  <c r="N185" i="39"/>
  <c r="O185" i="39"/>
  <c r="P185" i="39"/>
  <c r="Q185" i="39"/>
  <c r="R185" i="39"/>
  <c r="S185" i="39"/>
  <c r="T185" i="39"/>
  <c r="U185" i="39"/>
  <c r="A186" i="39"/>
  <c r="C186" i="39"/>
  <c r="D186" i="39"/>
  <c r="E186" i="39"/>
  <c r="F186" i="39"/>
  <c r="G186" i="39"/>
  <c r="H186" i="39"/>
  <c r="I186" i="39"/>
  <c r="J186" i="39"/>
  <c r="K186" i="39"/>
  <c r="L186" i="39"/>
  <c r="M186" i="39"/>
  <c r="N186" i="39"/>
  <c r="O186" i="39"/>
  <c r="P186" i="39"/>
  <c r="Q186" i="39"/>
  <c r="R186" i="39"/>
  <c r="S186" i="39"/>
  <c r="T186" i="39"/>
  <c r="U186" i="39"/>
  <c r="A187" i="39"/>
  <c r="C187" i="39"/>
  <c r="D187" i="39"/>
  <c r="E187" i="39"/>
  <c r="F187" i="39"/>
  <c r="G187" i="39"/>
  <c r="H187" i="39"/>
  <c r="I187" i="39"/>
  <c r="J187" i="39"/>
  <c r="K187" i="39"/>
  <c r="L187" i="39"/>
  <c r="M187" i="39"/>
  <c r="N187" i="39"/>
  <c r="O187" i="39"/>
  <c r="P187" i="39"/>
  <c r="Q187" i="39"/>
  <c r="R187" i="39"/>
  <c r="S187" i="39"/>
  <c r="T187" i="39"/>
  <c r="U187" i="39"/>
  <c r="A188" i="39"/>
  <c r="C188" i="39"/>
  <c r="D188" i="39"/>
  <c r="E188" i="39"/>
  <c r="F188" i="39"/>
  <c r="G188" i="39"/>
  <c r="H188" i="39"/>
  <c r="I188" i="39"/>
  <c r="J188" i="39"/>
  <c r="K188" i="39"/>
  <c r="L188" i="39"/>
  <c r="M188" i="39"/>
  <c r="N188" i="39"/>
  <c r="O188" i="39"/>
  <c r="P188" i="39"/>
  <c r="Q188" i="39"/>
  <c r="R188" i="39"/>
  <c r="S188" i="39"/>
  <c r="T188" i="39"/>
  <c r="U188" i="39"/>
  <c r="A189" i="39"/>
  <c r="C189" i="39"/>
  <c r="D189" i="39"/>
  <c r="E189" i="39"/>
  <c r="F189" i="39"/>
  <c r="G189" i="39"/>
  <c r="H189" i="39"/>
  <c r="I189" i="39"/>
  <c r="J189" i="39"/>
  <c r="K189" i="39"/>
  <c r="L189" i="39"/>
  <c r="M189" i="39"/>
  <c r="N189" i="39"/>
  <c r="O189" i="39"/>
  <c r="P189" i="39"/>
  <c r="Q189" i="39"/>
  <c r="R189" i="39"/>
  <c r="S189" i="39"/>
  <c r="T189" i="39"/>
  <c r="U189" i="39"/>
  <c r="A190" i="39"/>
  <c r="C190" i="39"/>
  <c r="D190" i="39"/>
  <c r="E190" i="39"/>
  <c r="F190" i="39"/>
  <c r="G190" i="39"/>
  <c r="H190" i="39"/>
  <c r="I190" i="39"/>
  <c r="J190" i="39"/>
  <c r="K190" i="39"/>
  <c r="L190" i="39"/>
  <c r="M190" i="39"/>
  <c r="N190" i="39"/>
  <c r="O190" i="39"/>
  <c r="P190" i="39"/>
  <c r="Q190" i="39"/>
  <c r="R190" i="39"/>
  <c r="S190" i="39"/>
  <c r="T190" i="39"/>
  <c r="U190" i="39"/>
  <c r="A191" i="39"/>
  <c r="C191" i="39"/>
  <c r="D191" i="39"/>
  <c r="E191" i="39"/>
  <c r="F191" i="39"/>
  <c r="G191" i="39"/>
  <c r="H191" i="39"/>
  <c r="I191" i="39"/>
  <c r="J191" i="39"/>
  <c r="K191" i="39"/>
  <c r="L191" i="39"/>
  <c r="M191" i="39"/>
  <c r="N191" i="39"/>
  <c r="O191" i="39"/>
  <c r="P191" i="39"/>
  <c r="Q191" i="39"/>
  <c r="R191" i="39"/>
  <c r="S191" i="39"/>
  <c r="T191" i="39"/>
  <c r="U191" i="39"/>
  <c r="A192" i="39"/>
  <c r="C192" i="39"/>
  <c r="D192" i="39"/>
  <c r="E192" i="39"/>
  <c r="F192" i="39"/>
  <c r="G192" i="39"/>
  <c r="H192" i="39"/>
  <c r="I192" i="39"/>
  <c r="J192" i="39"/>
  <c r="K192" i="39"/>
  <c r="L192" i="39"/>
  <c r="M192" i="39"/>
  <c r="N192" i="39"/>
  <c r="O192" i="39"/>
  <c r="P192" i="39"/>
  <c r="Q192" i="39"/>
  <c r="R192" i="39"/>
  <c r="S192" i="39"/>
  <c r="T192" i="39"/>
  <c r="U192" i="39"/>
  <c r="A193" i="39"/>
  <c r="C193" i="39"/>
  <c r="D193" i="39"/>
  <c r="E193" i="39"/>
  <c r="F193" i="39"/>
  <c r="G193" i="39"/>
  <c r="H193" i="39"/>
  <c r="I193" i="39"/>
  <c r="J193" i="39"/>
  <c r="K193" i="39"/>
  <c r="L193" i="39"/>
  <c r="M193" i="39"/>
  <c r="N193" i="39"/>
  <c r="O193" i="39"/>
  <c r="P193" i="39"/>
  <c r="Q193" i="39"/>
  <c r="R193" i="39"/>
  <c r="S193" i="39"/>
  <c r="T193" i="39"/>
  <c r="U193" i="39"/>
  <c r="A194" i="39"/>
  <c r="C194" i="39"/>
  <c r="D194" i="39"/>
  <c r="E194" i="39"/>
  <c r="F194" i="39"/>
  <c r="G194" i="39"/>
  <c r="H194" i="39"/>
  <c r="I194" i="39"/>
  <c r="J194" i="39"/>
  <c r="K194" i="39"/>
  <c r="L194" i="39"/>
  <c r="M194" i="39"/>
  <c r="N194" i="39"/>
  <c r="O194" i="39"/>
  <c r="P194" i="39"/>
  <c r="Q194" i="39"/>
  <c r="R194" i="39"/>
  <c r="S194" i="39"/>
  <c r="T194" i="39"/>
  <c r="U194" i="39"/>
  <c r="A195" i="39"/>
  <c r="C195" i="39"/>
  <c r="D195" i="39"/>
  <c r="E195" i="39"/>
  <c r="F195" i="39"/>
  <c r="G195" i="39"/>
  <c r="H195" i="39"/>
  <c r="I195" i="39"/>
  <c r="J195" i="39"/>
  <c r="K195" i="39"/>
  <c r="L195" i="39"/>
  <c r="M195" i="39"/>
  <c r="N195" i="39"/>
  <c r="O195" i="39"/>
  <c r="P195" i="39"/>
  <c r="Q195" i="39"/>
  <c r="R195" i="39"/>
  <c r="S195" i="39"/>
  <c r="T195" i="39"/>
  <c r="U195" i="39"/>
  <c r="A196" i="39"/>
  <c r="C196" i="39"/>
  <c r="D196" i="39"/>
  <c r="E196" i="39"/>
  <c r="F196" i="39"/>
  <c r="G196" i="39"/>
  <c r="H196" i="39"/>
  <c r="I196" i="39"/>
  <c r="J196" i="39"/>
  <c r="K196" i="39"/>
  <c r="L196" i="39"/>
  <c r="M196" i="39"/>
  <c r="N196" i="39"/>
  <c r="O196" i="39"/>
  <c r="P196" i="39"/>
  <c r="Q196" i="39"/>
  <c r="R196" i="39"/>
  <c r="S196" i="39"/>
  <c r="T196" i="39"/>
  <c r="U196" i="39"/>
  <c r="A197" i="39"/>
  <c r="C197" i="39"/>
  <c r="D197" i="39"/>
  <c r="E197" i="39"/>
  <c r="F197" i="39"/>
  <c r="G197" i="39"/>
  <c r="H197" i="39"/>
  <c r="I197" i="39"/>
  <c r="J197" i="39"/>
  <c r="K197" i="39"/>
  <c r="L197" i="39"/>
  <c r="M197" i="39"/>
  <c r="N197" i="39"/>
  <c r="O197" i="39"/>
  <c r="P197" i="39"/>
  <c r="Q197" i="39"/>
  <c r="R197" i="39"/>
  <c r="S197" i="39"/>
  <c r="T197" i="39"/>
  <c r="U197" i="39"/>
  <c r="A198" i="39"/>
  <c r="C198" i="39"/>
  <c r="D198" i="39"/>
  <c r="E198" i="39"/>
  <c r="F198" i="39"/>
  <c r="G198" i="39"/>
  <c r="H198" i="39"/>
  <c r="I198" i="39"/>
  <c r="J198" i="39"/>
  <c r="K198" i="39"/>
  <c r="L198" i="39"/>
  <c r="M198" i="39"/>
  <c r="N198" i="39"/>
  <c r="O198" i="39"/>
  <c r="P198" i="39"/>
  <c r="Q198" i="39"/>
  <c r="R198" i="39"/>
  <c r="S198" i="39"/>
  <c r="T198" i="39"/>
  <c r="U198" i="39"/>
  <c r="A199" i="39"/>
  <c r="C199" i="39"/>
  <c r="D199" i="39"/>
  <c r="E199" i="39"/>
  <c r="F199" i="39"/>
  <c r="G199" i="39"/>
  <c r="H199" i="39"/>
  <c r="I199" i="39"/>
  <c r="J199" i="39"/>
  <c r="K199" i="39"/>
  <c r="L199" i="39"/>
  <c r="M199" i="39"/>
  <c r="N199" i="39"/>
  <c r="O199" i="39"/>
  <c r="P199" i="39"/>
  <c r="Q199" i="39"/>
  <c r="R199" i="39"/>
  <c r="S199" i="39"/>
  <c r="T199" i="39"/>
  <c r="U199" i="39"/>
  <c r="A200" i="39"/>
  <c r="C200" i="39"/>
  <c r="D200" i="39"/>
  <c r="E200" i="39"/>
  <c r="F200" i="39"/>
  <c r="G200" i="39"/>
  <c r="H200" i="39"/>
  <c r="I200" i="39"/>
  <c r="J200" i="39"/>
  <c r="K200" i="39"/>
  <c r="L200" i="39"/>
  <c r="M200" i="39"/>
  <c r="N200" i="39"/>
  <c r="O200" i="39"/>
  <c r="P200" i="39"/>
  <c r="Q200" i="39"/>
  <c r="R200" i="39"/>
  <c r="S200" i="39"/>
  <c r="T200" i="39"/>
  <c r="U200" i="39"/>
  <c r="A201" i="39"/>
  <c r="C201" i="39"/>
  <c r="D201" i="39"/>
  <c r="E201" i="39"/>
  <c r="F201" i="39"/>
  <c r="G201" i="39"/>
  <c r="H201" i="39"/>
  <c r="I201" i="39"/>
  <c r="J201" i="39"/>
  <c r="K201" i="39"/>
  <c r="L201" i="39"/>
  <c r="M201" i="39"/>
  <c r="N201" i="39"/>
  <c r="O201" i="39"/>
  <c r="P201" i="39"/>
  <c r="Q201" i="39"/>
  <c r="R201" i="39"/>
  <c r="S201" i="39"/>
  <c r="T201" i="39"/>
  <c r="U201" i="39"/>
  <c r="A202" i="39"/>
  <c r="C202" i="39"/>
  <c r="D202" i="39"/>
  <c r="E202" i="39"/>
  <c r="F202" i="39"/>
  <c r="G202" i="39"/>
  <c r="H202" i="39"/>
  <c r="I202" i="39"/>
  <c r="J202" i="39"/>
  <c r="K202" i="39"/>
  <c r="L202" i="39"/>
  <c r="M202" i="39"/>
  <c r="N202" i="39"/>
  <c r="O202" i="39"/>
  <c r="P202" i="39"/>
  <c r="Q202" i="39"/>
  <c r="R202" i="39"/>
  <c r="S202" i="39"/>
  <c r="T202" i="39"/>
  <c r="U202" i="39"/>
  <c r="A203" i="39"/>
  <c r="C203" i="39"/>
  <c r="D203" i="39"/>
  <c r="E203" i="39"/>
  <c r="F203" i="39"/>
  <c r="G203" i="39"/>
  <c r="H203" i="39"/>
  <c r="I203" i="39"/>
  <c r="J203" i="39"/>
  <c r="K203" i="39"/>
  <c r="L203" i="39"/>
  <c r="M203" i="39"/>
  <c r="N203" i="39"/>
  <c r="O203" i="39"/>
  <c r="P203" i="39"/>
  <c r="Q203" i="39"/>
  <c r="R203" i="39"/>
  <c r="S203" i="39"/>
  <c r="T203" i="39"/>
  <c r="U203" i="39"/>
  <c r="A204" i="39"/>
  <c r="C204" i="39"/>
  <c r="D204" i="39"/>
  <c r="E204" i="39"/>
  <c r="F204" i="39"/>
  <c r="G204" i="39"/>
  <c r="H204" i="39"/>
  <c r="I204" i="39"/>
  <c r="J204" i="39"/>
  <c r="K204" i="39"/>
  <c r="L204" i="39"/>
  <c r="M204" i="39"/>
  <c r="N204" i="39"/>
  <c r="O204" i="39"/>
  <c r="P204" i="39"/>
  <c r="Q204" i="39"/>
  <c r="R204" i="39"/>
  <c r="S204" i="39"/>
  <c r="T204" i="39"/>
  <c r="U204" i="39"/>
  <c r="A205" i="39"/>
  <c r="C205" i="39"/>
  <c r="D205" i="39"/>
  <c r="E205" i="39"/>
  <c r="F205" i="39"/>
  <c r="G205" i="39"/>
  <c r="H205" i="39"/>
  <c r="I205" i="39"/>
  <c r="J205" i="39"/>
  <c r="K205" i="39"/>
  <c r="L205" i="39"/>
  <c r="M205" i="39"/>
  <c r="N205" i="39"/>
  <c r="O205" i="39"/>
  <c r="P205" i="39"/>
  <c r="Q205" i="39"/>
  <c r="R205" i="39"/>
  <c r="S205" i="39"/>
  <c r="T205" i="39"/>
  <c r="U205" i="39"/>
  <c r="A206" i="39"/>
  <c r="C206" i="39"/>
  <c r="D206" i="39"/>
  <c r="E206" i="39"/>
  <c r="F206" i="39"/>
  <c r="G206" i="39"/>
  <c r="H206" i="39"/>
  <c r="I206" i="39"/>
  <c r="J206" i="39"/>
  <c r="K206" i="39"/>
  <c r="L206" i="39"/>
  <c r="M206" i="39"/>
  <c r="N206" i="39"/>
  <c r="O206" i="39"/>
  <c r="P206" i="39"/>
  <c r="Q206" i="39"/>
  <c r="R206" i="39"/>
  <c r="S206" i="39"/>
  <c r="T206" i="39"/>
  <c r="U206" i="39"/>
  <c r="A207" i="39"/>
  <c r="C207" i="39"/>
  <c r="D207" i="39"/>
  <c r="E207" i="39"/>
  <c r="F207" i="39"/>
  <c r="G207" i="39"/>
  <c r="H207" i="39"/>
  <c r="I207" i="39"/>
  <c r="J207" i="39"/>
  <c r="K207" i="39"/>
  <c r="L207" i="39"/>
  <c r="M207" i="39"/>
  <c r="N207" i="39"/>
  <c r="O207" i="39"/>
  <c r="P207" i="39"/>
  <c r="Q207" i="39"/>
  <c r="R207" i="39"/>
  <c r="S207" i="39"/>
  <c r="T207" i="39"/>
  <c r="U207" i="39"/>
  <c r="A208" i="39"/>
  <c r="C208" i="39"/>
  <c r="D208" i="39"/>
  <c r="E208" i="39"/>
  <c r="F208" i="39"/>
  <c r="G208" i="39"/>
  <c r="H208" i="39"/>
  <c r="I208" i="39"/>
  <c r="J208" i="39"/>
  <c r="K208" i="39"/>
  <c r="L208" i="39"/>
  <c r="M208" i="39"/>
  <c r="N208" i="39"/>
  <c r="O208" i="39"/>
  <c r="P208" i="39"/>
  <c r="Q208" i="39"/>
  <c r="R208" i="39"/>
  <c r="S208" i="39"/>
  <c r="T208" i="39"/>
  <c r="U208" i="39"/>
  <c r="A209" i="39"/>
  <c r="C209" i="39"/>
  <c r="D209" i="39"/>
  <c r="E209" i="39"/>
  <c r="F209" i="39"/>
  <c r="G209" i="39"/>
  <c r="H209" i="39"/>
  <c r="I209" i="39"/>
  <c r="J209" i="39"/>
  <c r="K209" i="39"/>
  <c r="L209" i="39"/>
  <c r="M209" i="39"/>
  <c r="N209" i="39"/>
  <c r="O209" i="39"/>
  <c r="P209" i="39"/>
  <c r="Q209" i="39"/>
  <c r="R209" i="39"/>
  <c r="S209" i="39"/>
  <c r="T209" i="39"/>
  <c r="U209" i="39"/>
  <c r="A210" i="39"/>
  <c r="C210" i="39"/>
  <c r="D210" i="39"/>
  <c r="E210" i="39"/>
  <c r="F210" i="39"/>
  <c r="G210" i="39"/>
  <c r="H210" i="39"/>
  <c r="I210" i="39"/>
  <c r="J210" i="39"/>
  <c r="K210" i="39"/>
  <c r="L210" i="39"/>
  <c r="M210" i="39"/>
  <c r="N210" i="39"/>
  <c r="O210" i="39"/>
  <c r="P210" i="39"/>
  <c r="Q210" i="39"/>
  <c r="R210" i="39"/>
  <c r="S210" i="39"/>
  <c r="T210" i="39"/>
  <c r="U210" i="39"/>
  <c r="A211" i="39"/>
  <c r="C211" i="39"/>
  <c r="D211" i="39"/>
  <c r="E211" i="39"/>
  <c r="F211" i="39"/>
  <c r="G211" i="39"/>
  <c r="H211" i="39"/>
  <c r="I211" i="39"/>
  <c r="J211" i="39"/>
  <c r="K211" i="39"/>
  <c r="L211" i="39"/>
  <c r="M211" i="39"/>
  <c r="N211" i="39"/>
  <c r="O211" i="39"/>
  <c r="P211" i="39"/>
  <c r="Q211" i="39"/>
  <c r="R211" i="39"/>
  <c r="S211" i="39"/>
  <c r="T211" i="39"/>
  <c r="U211" i="39"/>
  <c r="A212" i="39"/>
  <c r="C212" i="39"/>
  <c r="D212" i="39"/>
  <c r="E212" i="39"/>
  <c r="F212" i="39"/>
  <c r="G212" i="39"/>
  <c r="H212" i="39"/>
  <c r="I212" i="39"/>
  <c r="J212" i="39"/>
  <c r="K212" i="39"/>
  <c r="L212" i="39"/>
  <c r="M212" i="39"/>
  <c r="N212" i="39"/>
  <c r="O212" i="39"/>
  <c r="P212" i="39"/>
  <c r="Q212" i="39"/>
  <c r="R212" i="39"/>
  <c r="S212" i="39"/>
  <c r="T212" i="39"/>
  <c r="U212" i="39"/>
  <c r="A213" i="39"/>
  <c r="C213" i="39"/>
  <c r="D213" i="39"/>
  <c r="E213" i="39"/>
  <c r="F213" i="39"/>
  <c r="G213" i="39"/>
  <c r="H213" i="39"/>
  <c r="I213" i="39"/>
  <c r="J213" i="39"/>
  <c r="K213" i="39"/>
  <c r="L213" i="39"/>
  <c r="M213" i="39"/>
  <c r="N213" i="39"/>
  <c r="O213" i="39"/>
  <c r="P213" i="39"/>
  <c r="Q213" i="39"/>
  <c r="R213" i="39"/>
  <c r="S213" i="39"/>
  <c r="T213" i="39"/>
  <c r="U213" i="39"/>
  <c r="A214" i="39"/>
  <c r="C214" i="39"/>
  <c r="D214" i="39"/>
  <c r="E214" i="39"/>
  <c r="F214" i="39"/>
  <c r="G214" i="39"/>
  <c r="H214" i="39"/>
  <c r="I214" i="39"/>
  <c r="J214" i="39"/>
  <c r="K214" i="39"/>
  <c r="L214" i="39"/>
  <c r="M214" i="39"/>
  <c r="N214" i="39"/>
  <c r="O214" i="39"/>
  <c r="P214" i="39"/>
  <c r="Q214" i="39"/>
  <c r="R214" i="39"/>
  <c r="S214" i="39"/>
  <c r="T214" i="39"/>
  <c r="U214" i="39"/>
  <c r="A215" i="39"/>
  <c r="C215" i="39"/>
  <c r="D215" i="39"/>
  <c r="E215" i="39"/>
  <c r="F215" i="39"/>
  <c r="G215" i="39"/>
  <c r="H215" i="39"/>
  <c r="I215" i="39"/>
  <c r="J215" i="39"/>
  <c r="K215" i="39"/>
  <c r="L215" i="39"/>
  <c r="M215" i="39"/>
  <c r="N215" i="39"/>
  <c r="O215" i="39"/>
  <c r="P215" i="39"/>
  <c r="Q215" i="39"/>
  <c r="R215" i="39"/>
  <c r="S215" i="39"/>
  <c r="T215" i="39"/>
  <c r="U215" i="39"/>
  <c r="A216" i="39"/>
  <c r="C216" i="39"/>
  <c r="D216" i="39"/>
  <c r="E216" i="39"/>
  <c r="F216" i="39"/>
  <c r="G216" i="39"/>
  <c r="H216" i="39"/>
  <c r="I216" i="39"/>
  <c r="J216" i="39"/>
  <c r="K216" i="39"/>
  <c r="L216" i="39"/>
  <c r="M216" i="39"/>
  <c r="N216" i="39"/>
  <c r="O216" i="39"/>
  <c r="P216" i="39"/>
  <c r="Q216" i="39"/>
  <c r="R216" i="39"/>
  <c r="S216" i="39"/>
  <c r="T216" i="39"/>
  <c r="U216" i="39"/>
  <c r="A217" i="39"/>
  <c r="C217" i="39"/>
  <c r="D217" i="39"/>
  <c r="E217" i="39"/>
  <c r="F217" i="39"/>
  <c r="G217" i="39"/>
  <c r="H217" i="39"/>
  <c r="I217" i="39"/>
  <c r="J217" i="39"/>
  <c r="K217" i="39"/>
  <c r="L217" i="39"/>
  <c r="M217" i="39"/>
  <c r="N217" i="39"/>
  <c r="O217" i="39"/>
  <c r="P217" i="39"/>
  <c r="Q217" i="39"/>
  <c r="R217" i="39"/>
  <c r="S217" i="39"/>
  <c r="T217" i="39"/>
  <c r="U217" i="39"/>
  <c r="A218" i="39"/>
  <c r="C218" i="39"/>
  <c r="D218" i="39"/>
  <c r="E218" i="39"/>
  <c r="F218" i="39"/>
  <c r="G218" i="39"/>
  <c r="H218" i="39"/>
  <c r="I218" i="39"/>
  <c r="J218" i="39"/>
  <c r="K218" i="39"/>
  <c r="L218" i="39"/>
  <c r="M218" i="39"/>
  <c r="N218" i="39"/>
  <c r="O218" i="39"/>
  <c r="P218" i="39"/>
  <c r="Q218" i="39"/>
  <c r="R218" i="39"/>
  <c r="S218" i="39"/>
  <c r="T218" i="39"/>
  <c r="U218" i="39"/>
  <c r="A219" i="39"/>
  <c r="C219" i="39"/>
  <c r="D219" i="39"/>
  <c r="E219" i="39"/>
  <c r="F219" i="39"/>
  <c r="G219" i="39"/>
  <c r="H219" i="39"/>
  <c r="I219" i="39"/>
  <c r="J219" i="39"/>
  <c r="K219" i="39"/>
  <c r="L219" i="39"/>
  <c r="M219" i="39"/>
  <c r="N219" i="39"/>
  <c r="O219" i="39"/>
  <c r="P219" i="39"/>
  <c r="Q219" i="39"/>
  <c r="R219" i="39"/>
  <c r="S219" i="39"/>
  <c r="T219" i="39"/>
  <c r="U219" i="39"/>
  <c r="A220" i="39"/>
  <c r="C220" i="39"/>
  <c r="D220" i="39"/>
  <c r="E220" i="39"/>
  <c r="F220" i="39"/>
  <c r="G220" i="39"/>
  <c r="H220" i="39"/>
  <c r="I220" i="39"/>
  <c r="J220" i="39"/>
  <c r="K220" i="39"/>
  <c r="L220" i="39"/>
  <c r="M220" i="39"/>
  <c r="N220" i="39"/>
  <c r="O220" i="39"/>
  <c r="P220" i="39"/>
  <c r="Q220" i="39"/>
  <c r="R220" i="39"/>
  <c r="S220" i="39"/>
  <c r="T220" i="39"/>
  <c r="U220" i="39"/>
  <c r="A221" i="39"/>
  <c r="C221" i="39"/>
  <c r="D221" i="39"/>
  <c r="E221" i="39"/>
  <c r="F221" i="39"/>
  <c r="G221" i="39"/>
  <c r="H221" i="39"/>
  <c r="I221" i="39"/>
  <c r="J221" i="39"/>
  <c r="K221" i="39"/>
  <c r="L221" i="39"/>
  <c r="M221" i="39"/>
  <c r="N221" i="39"/>
  <c r="O221" i="39"/>
  <c r="P221" i="39"/>
  <c r="Q221" i="39"/>
  <c r="R221" i="39"/>
  <c r="S221" i="39"/>
  <c r="T221" i="39"/>
  <c r="U221" i="39"/>
  <c r="A222" i="39"/>
  <c r="C222" i="39"/>
  <c r="D222" i="39"/>
  <c r="E222" i="39"/>
  <c r="F222" i="39"/>
  <c r="G222" i="39"/>
  <c r="H222" i="39"/>
  <c r="I222" i="39"/>
  <c r="J222" i="39"/>
  <c r="K222" i="39"/>
  <c r="L222" i="39"/>
  <c r="M222" i="39"/>
  <c r="N222" i="39"/>
  <c r="O222" i="39"/>
  <c r="P222" i="39"/>
  <c r="Q222" i="39"/>
  <c r="R222" i="39"/>
  <c r="S222" i="39"/>
  <c r="T222" i="39"/>
  <c r="U222" i="39"/>
  <c r="A223" i="39"/>
  <c r="C223" i="39"/>
  <c r="D223" i="39"/>
  <c r="E223" i="39"/>
  <c r="F223" i="39"/>
  <c r="G223" i="39"/>
  <c r="H223" i="39"/>
  <c r="I223" i="39"/>
  <c r="J223" i="39"/>
  <c r="K223" i="39"/>
  <c r="L223" i="39"/>
  <c r="M223" i="39"/>
  <c r="N223" i="39"/>
  <c r="O223" i="39"/>
  <c r="P223" i="39"/>
  <c r="Q223" i="39"/>
  <c r="R223" i="39"/>
  <c r="S223" i="39"/>
  <c r="T223" i="39"/>
  <c r="U223" i="39"/>
  <c r="A224" i="39"/>
  <c r="C224" i="39"/>
  <c r="D224" i="39"/>
  <c r="E224" i="39"/>
  <c r="F224" i="39"/>
  <c r="G224" i="39"/>
  <c r="H224" i="39"/>
  <c r="I224" i="39"/>
  <c r="J224" i="39"/>
  <c r="K224" i="39"/>
  <c r="L224" i="39"/>
  <c r="M224" i="39"/>
  <c r="N224" i="39"/>
  <c r="O224" i="39"/>
  <c r="P224" i="39"/>
  <c r="Q224" i="39"/>
  <c r="R224" i="39"/>
  <c r="S224" i="39"/>
  <c r="T224" i="39"/>
  <c r="U224" i="39"/>
  <c r="A225" i="39"/>
  <c r="C225" i="39"/>
  <c r="D225" i="39"/>
  <c r="E225" i="39"/>
  <c r="F225" i="39"/>
  <c r="G225" i="39"/>
  <c r="H225" i="39"/>
  <c r="I225" i="39"/>
  <c r="J225" i="39"/>
  <c r="K225" i="39"/>
  <c r="L225" i="39"/>
  <c r="M225" i="39"/>
  <c r="N225" i="39"/>
  <c r="O225" i="39"/>
  <c r="P225" i="39"/>
  <c r="Q225" i="39"/>
  <c r="R225" i="39"/>
  <c r="S225" i="39"/>
  <c r="T225" i="39"/>
  <c r="U225" i="39"/>
  <c r="A226" i="39"/>
  <c r="C226" i="39"/>
  <c r="D226" i="39"/>
  <c r="E226" i="39"/>
  <c r="F226" i="39"/>
  <c r="G226" i="39"/>
  <c r="H226" i="39"/>
  <c r="I226" i="39"/>
  <c r="J226" i="39"/>
  <c r="K226" i="39"/>
  <c r="L226" i="39"/>
  <c r="M226" i="39"/>
  <c r="N226" i="39"/>
  <c r="O226" i="39"/>
  <c r="P226" i="39"/>
  <c r="Q226" i="39"/>
  <c r="R226" i="39"/>
  <c r="S226" i="39"/>
  <c r="T226" i="39"/>
  <c r="U226" i="39"/>
  <c r="A227" i="39"/>
  <c r="C227" i="39"/>
  <c r="D227" i="39"/>
  <c r="E227" i="39"/>
  <c r="F227" i="39"/>
  <c r="G227" i="39"/>
  <c r="H227" i="39"/>
  <c r="I227" i="39"/>
  <c r="J227" i="39"/>
  <c r="K227" i="39"/>
  <c r="L227" i="39"/>
  <c r="M227" i="39"/>
  <c r="N227" i="39"/>
  <c r="O227" i="39"/>
  <c r="P227" i="39"/>
  <c r="Q227" i="39"/>
  <c r="R227" i="39"/>
  <c r="S227" i="39"/>
  <c r="T227" i="39"/>
  <c r="U227" i="39"/>
  <c r="A228" i="39"/>
  <c r="C228" i="39"/>
  <c r="D228" i="39"/>
  <c r="E228" i="39"/>
  <c r="F228" i="39"/>
  <c r="G228" i="39"/>
  <c r="H228" i="39"/>
  <c r="I228" i="39"/>
  <c r="J228" i="39"/>
  <c r="K228" i="39"/>
  <c r="L228" i="39"/>
  <c r="M228" i="39"/>
  <c r="N228" i="39"/>
  <c r="O228" i="39"/>
  <c r="P228" i="39"/>
  <c r="Q228" i="39"/>
  <c r="R228" i="39"/>
  <c r="S228" i="39"/>
  <c r="T228" i="39"/>
  <c r="U228" i="39"/>
  <c r="A229" i="39"/>
  <c r="C229" i="39"/>
  <c r="D229" i="39"/>
  <c r="E229" i="39"/>
  <c r="F229" i="39"/>
  <c r="G229" i="39"/>
  <c r="H229" i="39"/>
  <c r="I229" i="39"/>
  <c r="J229" i="39"/>
  <c r="K229" i="39"/>
  <c r="L229" i="39"/>
  <c r="M229" i="39"/>
  <c r="N229" i="39"/>
  <c r="O229" i="39"/>
  <c r="P229" i="39"/>
  <c r="Q229" i="39"/>
  <c r="R229" i="39"/>
  <c r="S229" i="39"/>
  <c r="T229" i="39"/>
  <c r="U229" i="39"/>
  <c r="A230" i="39"/>
  <c r="C230" i="39"/>
  <c r="D230" i="39"/>
  <c r="E230" i="39"/>
  <c r="F230" i="39"/>
  <c r="G230" i="39"/>
  <c r="H230" i="39"/>
  <c r="I230" i="39"/>
  <c r="J230" i="39"/>
  <c r="K230" i="39"/>
  <c r="L230" i="39"/>
  <c r="M230" i="39"/>
  <c r="N230" i="39"/>
  <c r="O230" i="39"/>
  <c r="P230" i="39"/>
  <c r="Q230" i="39"/>
  <c r="R230" i="39"/>
  <c r="S230" i="39"/>
  <c r="T230" i="39"/>
  <c r="U230" i="39"/>
  <c r="A231" i="39"/>
  <c r="C231" i="39"/>
  <c r="D231" i="39"/>
  <c r="E231" i="39"/>
  <c r="F231" i="39"/>
  <c r="G231" i="39"/>
  <c r="H231" i="39"/>
  <c r="I231" i="39"/>
  <c r="J231" i="39"/>
  <c r="K231" i="39"/>
  <c r="L231" i="39"/>
  <c r="M231" i="39"/>
  <c r="N231" i="39"/>
  <c r="O231" i="39"/>
  <c r="P231" i="39"/>
  <c r="Q231" i="39"/>
  <c r="R231" i="39"/>
  <c r="S231" i="39"/>
  <c r="T231" i="39"/>
  <c r="U231" i="39"/>
  <c r="A232" i="39"/>
  <c r="C232" i="39"/>
  <c r="D232" i="39"/>
  <c r="E232" i="39"/>
  <c r="F232" i="39"/>
  <c r="G232" i="39"/>
  <c r="H232" i="39"/>
  <c r="I232" i="39"/>
  <c r="J232" i="39"/>
  <c r="K232" i="39"/>
  <c r="L232" i="39"/>
  <c r="M232" i="39"/>
  <c r="N232" i="39"/>
  <c r="O232" i="39"/>
  <c r="P232" i="39"/>
  <c r="Q232" i="39"/>
  <c r="R232" i="39"/>
  <c r="S232" i="39"/>
  <c r="T232" i="39"/>
  <c r="U232" i="39"/>
  <c r="A233" i="39"/>
  <c r="C233" i="39"/>
  <c r="D233" i="39"/>
  <c r="E233" i="39"/>
  <c r="F233" i="39"/>
  <c r="G233" i="39"/>
  <c r="H233" i="39"/>
  <c r="I233" i="39"/>
  <c r="J233" i="39"/>
  <c r="K233" i="39"/>
  <c r="L233" i="39"/>
  <c r="M233" i="39"/>
  <c r="N233" i="39"/>
  <c r="O233" i="39"/>
  <c r="P233" i="39"/>
  <c r="Q233" i="39"/>
  <c r="R233" i="39"/>
  <c r="S233" i="39"/>
  <c r="T233" i="39"/>
  <c r="U233" i="39"/>
  <c r="A234" i="39"/>
  <c r="C234" i="39"/>
  <c r="D234" i="39"/>
  <c r="E234" i="39"/>
  <c r="F234" i="39"/>
  <c r="G234" i="39"/>
  <c r="H234" i="39"/>
  <c r="I234" i="39"/>
  <c r="J234" i="39"/>
  <c r="K234" i="39"/>
  <c r="L234" i="39"/>
  <c r="M234" i="39"/>
  <c r="N234" i="39"/>
  <c r="O234" i="39"/>
  <c r="P234" i="39"/>
  <c r="Q234" i="39"/>
  <c r="R234" i="39"/>
  <c r="S234" i="39"/>
  <c r="T234" i="39"/>
  <c r="U234" i="39"/>
  <c r="A235" i="39"/>
  <c r="C235" i="39"/>
  <c r="D235" i="39"/>
  <c r="E235" i="39"/>
  <c r="F235" i="39"/>
  <c r="G235" i="39"/>
  <c r="H235" i="39"/>
  <c r="I235" i="39"/>
  <c r="J235" i="39"/>
  <c r="K235" i="39"/>
  <c r="L235" i="39"/>
  <c r="M235" i="39"/>
  <c r="N235" i="39"/>
  <c r="O235" i="39"/>
  <c r="P235" i="39"/>
  <c r="Q235" i="39"/>
  <c r="R235" i="39"/>
  <c r="S235" i="39"/>
  <c r="T235" i="39"/>
  <c r="U235" i="39"/>
  <c r="A236" i="39"/>
  <c r="C236" i="39"/>
  <c r="D236" i="39"/>
  <c r="E236" i="39"/>
  <c r="F236" i="39"/>
  <c r="G236" i="39"/>
  <c r="H236" i="39"/>
  <c r="I236" i="39"/>
  <c r="J236" i="39"/>
  <c r="K236" i="39"/>
  <c r="L236" i="39"/>
  <c r="M236" i="39"/>
  <c r="N236" i="39"/>
  <c r="O236" i="39"/>
  <c r="P236" i="39"/>
  <c r="Q236" i="39"/>
  <c r="R236" i="39"/>
  <c r="S236" i="39"/>
  <c r="T236" i="39"/>
  <c r="U236" i="39"/>
  <c r="A237" i="39"/>
  <c r="C237" i="39"/>
  <c r="D237" i="39"/>
  <c r="E237" i="39"/>
  <c r="F237" i="39"/>
  <c r="G237" i="39"/>
  <c r="H237" i="39"/>
  <c r="I237" i="39"/>
  <c r="J237" i="39"/>
  <c r="K237" i="39"/>
  <c r="L237" i="39"/>
  <c r="M237" i="39"/>
  <c r="N237" i="39"/>
  <c r="O237" i="39"/>
  <c r="P237" i="39"/>
  <c r="Q237" i="39"/>
  <c r="R237" i="39"/>
  <c r="S237" i="39"/>
  <c r="T237" i="39"/>
  <c r="U237" i="39"/>
  <c r="A238" i="39"/>
  <c r="C238" i="39"/>
  <c r="D238" i="39"/>
  <c r="E238" i="39"/>
  <c r="F238" i="39"/>
  <c r="G238" i="39"/>
  <c r="H238" i="39"/>
  <c r="I238" i="39"/>
  <c r="J238" i="39"/>
  <c r="K238" i="39"/>
  <c r="L238" i="39"/>
  <c r="M238" i="39"/>
  <c r="N238" i="39"/>
  <c r="O238" i="39"/>
  <c r="P238" i="39"/>
  <c r="Q238" i="39"/>
  <c r="R238" i="39"/>
  <c r="S238" i="39"/>
  <c r="T238" i="39"/>
  <c r="U238" i="39"/>
  <c r="A239" i="39"/>
  <c r="C239" i="39"/>
  <c r="D239" i="39"/>
  <c r="E239" i="39"/>
  <c r="F239" i="39"/>
  <c r="G239" i="39"/>
  <c r="H239" i="39"/>
  <c r="I239" i="39"/>
  <c r="J239" i="39"/>
  <c r="K239" i="39"/>
  <c r="L239" i="39"/>
  <c r="M239" i="39"/>
  <c r="N239" i="39"/>
  <c r="O239" i="39"/>
  <c r="P239" i="39"/>
  <c r="Q239" i="39"/>
  <c r="R239" i="39"/>
  <c r="S239" i="39"/>
  <c r="T239" i="39"/>
  <c r="U239" i="39"/>
  <c r="A240" i="39"/>
  <c r="C240" i="39"/>
  <c r="D240" i="39"/>
  <c r="E240" i="39"/>
  <c r="F240" i="39"/>
  <c r="G240" i="39"/>
  <c r="H240" i="39"/>
  <c r="I240" i="39"/>
  <c r="J240" i="39"/>
  <c r="K240" i="39"/>
  <c r="L240" i="39"/>
  <c r="M240" i="39"/>
  <c r="N240" i="39"/>
  <c r="O240" i="39"/>
  <c r="P240" i="39"/>
  <c r="Q240" i="39"/>
  <c r="R240" i="39"/>
  <c r="S240" i="39"/>
  <c r="T240" i="39"/>
  <c r="U240" i="39"/>
  <c r="A241" i="39"/>
  <c r="C241" i="39"/>
  <c r="D241" i="39"/>
  <c r="E241" i="39"/>
  <c r="F241" i="39"/>
  <c r="G241" i="39"/>
  <c r="H241" i="39"/>
  <c r="I241" i="39"/>
  <c r="J241" i="39"/>
  <c r="K241" i="39"/>
  <c r="L241" i="39"/>
  <c r="M241" i="39"/>
  <c r="N241" i="39"/>
  <c r="O241" i="39"/>
  <c r="P241" i="39"/>
  <c r="Q241" i="39"/>
  <c r="R241" i="39"/>
  <c r="S241" i="39"/>
  <c r="T241" i="39"/>
  <c r="U241" i="39"/>
  <c r="A242" i="39"/>
  <c r="C242" i="39"/>
  <c r="D242" i="39"/>
  <c r="E242" i="39"/>
  <c r="F242" i="39"/>
  <c r="G242" i="39"/>
  <c r="H242" i="39"/>
  <c r="I242" i="39"/>
  <c r="J242" i="39"/>
  <c r="K242" i="39"/>
  <c r="L242" i="39"/>
  <c r="M242" i="39"/>
  <c r="N242" i="39"/>
  <c r="O242" i="39"/>
  <c r="P242" i="39"/>
  <c r="Q242" i="39"/>
  <c r="R242" i="39"/>
  <c r="S242" i="39"/>
  <c r="T242" i="39"/>
  <c r="U242" i="39"/>
  <c r="A243" i="39"/>
  <c r="C243" i="39"/>
  <c r="D243" i="39"/>
  <c r="E243" i="39"/>
  <c r="F243" i="39"/>
  <c r="G243" i="39"/>
  <c r="H243" i="39"/>
  <c r="I243" i="39"/>
  <c r="J243" i="39"/>
  <c r="K243" i="39"/>
  <c r="L243" i="39"/>
  <c r="M243" i="39"/>
  <c r="N243" i="39"/>
  <c r="O243" i="39"/>
  <c r="P243" i="39"/>
  <c r="Q243" i="39"/>
  <c r="R243" i="39"/>
  <c r="S243" i="39"/>
  <c r="T243" i="39"/>
  <c r="U243" i="39"/>
  <c r="A244" i="39"/>
  <c r="C244" i="39"/>
  <c r="D244" i="39"/>
  <c r="E244" i="39"/>
  <c r="F244" i="39"/>
  <c r="G244" i="39"/>
  <c r="H244" i="39"/>
  <c r="I244" i="39"/>
  <c r="J244" i="39"/>
  <c r="K244" i="39"/>
  <c r="L244" i="39"/>
  <c r="M244" i="39"/>
  <c r="N244" i="39"/>
  <c r="O244" i="39"/>
  <c r="P244" i="39"/>
  <c r="Q244" i="39"/>
  <c r="R244" i="39"/>
  <c r="S244" i="39"/>
  <c r="T244" i="39"/>
  <c r="U244" i="39"/>
  <c r="A245" i="39"/>
  <c r="C245" i="39"/>
  <c r="D245" i="39"/>
  <c r="E245" i="39"/>
  <c r="F245" i="39"/>
  <c r="G245" i="39"/>
  <c r="H245" i="39"/>
  <c r="I245" i="39"/>
  <c r="J245" i="39"/>
  <c r="K245" i="39"/>
  <c r="L245" i="39"/>
  <c r="M245" i="39"/>
  <c r="N245" i="39"/>
  <c r="O245" i="39"/>
  <c r="P245" i="39"/>
  <c r="Q245" i="39"/>
  <c r="R245" i="39"/>
  <c r="S245" i="39"/>
  <c r="T245" i="39"/>
  <c r="U245" i="39"/>
  <c r="A246" i="39"/>
  <c r="C246" i="39"/>
  <c r="D246" i="39"/>
  <c r="E246" i="39"/>
  <c r="F246" i="39"/>
  <c r="G246" i="39"/>
  <c r="H246" i="39"/>
  <c r="I246" i="39"/>
  <c r="J246" i="39"/>
  <c r="K246" i="39"/>
  <c r="L246" i="39"/>
  <c r="M246" i="39"/>
  <c r="N246" i="39"/>
  <c r="O246" i="39"/>
  <c r="P246" i="39"/>
  <c r="Q246" i="39"/>
  <c r="R246" i="39"/>
  <c r="S246" i="39"/>
  <c r="T246" i="39"/>
  <c r="U246" i="39"/>
  <c r="A247" i="39"/>
  <c r="C247" i="39"/>
  <c r="D247" i="39"/>
  <c r="E247" i="39"/>
  <c r="F247" i="39"/>
  <c r="G247" i="39"/>
  <c r="H247" i="39"/>
  <c r="I247" i="39"/>
  <c r="J247" i="39"/>
  <c r="K247" i="39"/>
  <c r="L247" i="39"/>
  <c r="M247" i="39"/>
  <c r="N247" i="39"/>
  <c r="O247" i="39"/>
  <c r="P247" i="39"/>
  <c r="Q247" i="39"/>
  <c r="R247" i="39"/>
  <c r="S247" i="39"/>
  <c r="T247" i="39"/>
  <c r="U247" i="39"/>
  <c r="A248" i="39"/>
  <c r="C248" i="39"/>
  <c r="D248" i="39"/>
  <c r="E248" i="39"/>
  <c r="F248" i="39"/>
  <c r="G248" i="39"/>
  <c r="H248" i="39"/>
  <c r="I248" i="39"/>
  <c r="J248" i="39"/>
  <c r="K248" i="39"/>
  <c r="L248" i="39"/>
  <c r="M248" i="39"/>
  <c r="N248" i="39"/>
  <c r="O248" i="39"/>
  <c r="P248" i="39"/>
  <c r="Q248" i="39"/>
  <c r="R248" i="39"/>
  <c r="S248" i="39"/>
  <c r="T248" i="39"/>
  <c r="U248" i="39"/>
  <c r="A249" i="39"/>
  <c r="C249" i="39"/>
  <c r="D249" i="39"/>
  <c r="E249" i="39"/>
  <c r="F249" i="39"/>
  <c r="G249" i="39"/>
  <c r="H249" i="39"/>
  <c r="I249" i="39"/>
  <c r="J249" i="39"/>
  <c r="K249" i="39"/>
  <c r="L249" i="39"/>
  <c r="M249" i="39"/>
  <c r="N249" i="39"/>
  <c r="O249" i="39"/>
  <c r="P249" i="39"/>
  <c r="Q249" i="39"/>
  <c r="R249" i="39"/>
  <c r="S249" i="39"/>
  <c r="T249" i="39"/>
  <c r="U249" i="39"/>
  <c r="A250" i="39"/>
  <c r="C250" i="39"/>
  <c r="D250" i="39"/>
  <c r="E250" i="39"/>
  <c r="F250" i="39"/>
  <c r="G250" i="39"/>
  <c r="H250" i="39"/>
  <c r="I250" i="39"/>
  <c r="J250" i="39"/>
  <c r="K250" i="39"/>
  <c r="L250" i="39"/>
  <c r="M250" i="39"/>
  <c r="N250" i="39"/>
  <c r="O250" i="39"/>
  <c r="P250" i="39"/>
  <c r="Q250" i="39"/>
  <c r="R250" i="39"/>
  <c r="S250" i="39"/>
  <c r="T250" i="39"/>
  <c r="U250" i="39"/>
  <c r="A251" i="39"/>
  <c r="C251" i="39"/>
  <c r="D251" i="39"/>
  <c r="E251" i="39"/>
  <c r="F251" i="39"/>
  <c r="G251" i="39"/>
  <c r="H251" i="39"/>
  <c r="I251" i="39"/>
  <c r="J251" i="39"/>
  <c r="K251" i="39"/>
  <c r="L251" i="39"/>
  <c r="M251" i="39"/>
  <c r="N251" i="39"/>
  <c r="O251" i="39"/>
  <c r="P251" i="39"/>
  <c r="Q251" i="39"/>
  <c r="R251" i="39"/>
  <c r="S251" i="39"/>
  <c r="T251" i="39"/>
  <c r="U251" i="39"/>
  <c r="A252" i="39"/>
  <c r="C252" i="39"/>
  <c r="D252" i="39"/>
  <c r="E252" i="39"/>
  <c r="F252" i="39"/>
  <c r="G252" i="39"/>
  <c r="H252" i="39"/>
  <c r="I252" i="39"/>
  <c r="J252" i="39"/>
  <c r="K252" i="39"/>
  <c r="L252" i="39"/>
  <c r="M252" i="39"/>
  <c r="N252" i="39"/>
  <c r="O252" i="39"/>
  <c r="P252" i="39"/>
  <c r="Q252" i="39"/>
  <c r="R252" i="39"/>
  <c r="S252" i="39"/>
  <c r="T252" i="39"/>
  <c r="U252" i="39"/>
  <c r="A253" i="39"/>
  <c r="C253" i="39"/>
  <c r="D253" i="39"/>
  <c r="E253" i="39"/>
  <c r="F253" i="39"/>
  <c r="G253" i="39"/>
  <c r="H253" i="39"/>
  <c r="I253" i="39"/>
  <c r="J253" i="39"/>
  <c r="K253" i="39"/>
  <c r="L253" i="39"/>
  <c r="M253" i="39"/>
  <c r="N253" i="39"/>
  <c r="O253" i="39"/>
  <c r="P253" i="39"/>
  <c r="Q253" i="39"/>
  <c r="R253" i="39"/>
  <c r="S253" i="39"/>
  <c r="T253" i="39"/>
  <c r="U253" i="39"/>
  <c r="A254" i="39"/>
  <c r="C254" i="39"/>
  <c r="D254" i="39"/>
  <c r="E254" i="39"/>
  <c r="F254" i="39"/>
  <c r="G254" i="39"/>
  <c r="H254" i="39"/>
  <c r="I254" i="39"/>
  <c r="J254" i="39"/>
  <c r="K254" i="39"/>
  <c r="L254" i="39"/>
  <c r="M254" i="39"/>
  <c r="N254" i="39"/>
  <c r="O254" i="39"/>
  <c r="P254" i="39"/>
  <c r="Q254" i="39"/>
  <c r="R254" i="39"/>
  <c r="S254" i="39"/>
  <c r="T254" i="39"/>
  <c r="U254" i="39"/>
  <c r="A255" i="39"/>
  <c r="C255" i="39"/>
  <c r="D255" i="39"/>
  <c r="E255" i="39"/>
  <c r="F255" i="39"/>
  <c r="G255" i="39"/>
  <c r="H255" i="39"/>
  <c r="I255" i="39"/>
  <c r="J255" i="39"/>
  <c r="K255" i="39"/>
  <c r="L255" i="39"/>
  <c r="M255" i="39"/>
  <c r="N255" i="39"/>
  <c r="O255" i="39"/>
  <c r="P255" i="39"/>
  <c r="Q255" i="39"/>
  <c r="R255" i="39"/>
  <c r="S255" i="39"/>
  <c r="T255" i="39"/>
  <c r="U255" i="39"/>
  <c r="A256" i="39"/>
  <c r="C256" i="39"/>
  <c r="D256" i="39"/>
  <c r="E256" i="39"/>
  <c r="F256" i="39"/>
  <c r="G256" i="39"/>
  <c r="H256" i="39"/>
  <c r="I256" i="39"/>
  <c r="J256" i="39"/>
  <c r="K256" i="39"/>
  <c r="L256" i="39"/>
  <c r="M256" i="39"/>
  <c r="N256" i="39"/>
  <c r="O256" i="39"/>
  <c r="P256" i="39"/>
  <c r="Q256" i="39"/>
  <c r="R256" i="39"/>
  <c r="S256" i="39"/>
  <c r="T256" i="39"/>
  <c r="U256" i="39"/>
  <c r="A257" i="39"/>
  <c r="C257" i="39"/>
  <c r="D257" i="39"/>
  <c r="E257" i="39"/>
  <c r="F257" i="39"/>
  <c r="G257" i="39"/>
  <c r="H257" i="39"/>
  <c r="I257" i="39"/>
  <c r="J257" i="39"/>
  <c r="K257" i="39"/>
  <c r="L257" i="39"/>
  <c r="M257" i="39"/>
  <c r="N257" i="39"/>
  <c r="O257" i="39"/>
  <c r="P257" i="39"/>
  <c r="Q257" i="39"/>
  <c r="R257" i="39"/>
  <c r="S257" i="39"/>
  <c r="T257" i="39"/>
  <c r="U257" i="39"/>
  <c r="A258" i="39"/>
  <c r="C258" i="39"/>
  <c r="D258" i="39"/>
  <c r="E258" i="39"/>
  <c r="F258" i="39"/>
  <c r="G258" i="39"/>
  <c r="H258" i="39"/>
  <c r="I258" i="39"/>
  <c r="J258" i="39"/>
  <c r="K258" i="39"/>
  <c r="L258" i="39"/>
  <c r="M258" i="39"/>
  <c r="N258" i="39"/>
  <c r="O258" i="39"/>
  <c r="P258" i="39"/>
  <c r="Q258" i="39"/>
  <c r="R258" i="39"/>
  <c r="S258" i="39"/>
  <c r="T258" i="39"/>
  <c r="U258" i="39"/>
  <c r="A259" i="39"/>
  <c r="C259" i="39"/>
  <c r="D259" i="39"/>
  <c r="E259" i="39"/>
  <c r="F259" i="39"/>
  <c r="G259" i="39"/>
  <c r="H259" i="39"/>
  <c r="I259" i="39"/>
  <c r="J259" i="39"/>
  <c r="K259" i="39"/>
  <c r="L259" i="39"/>
  <c r="M259" i="39"/>
  <c r="N259" i="39"/>
  <c r="O259" i="39"/>
  <c r="P259" i="39"/>
  <c r="Q259" i="39"/>
  <c r="R259" i="39"/>
  <c r="S259" i="39"/>
  <c r="T259" i="39"/>
  <c r="U259" i="39"/>
  <c r="A260" i="39"/>
  <c r="C260" i="39"/>
  <c r="D260" i="39"/>
  <c r="E260" i="39"/>
  <c r="F260" i="39"/>
  <c r="G260" i="39"/>
  <c r="H260" i="39"/>
  <c r="I260" i="39"/>
  <c r="J260" i="39"/>
  <c r="K260" i="39"/>
  <c r="L260" i="39"/>
  <c r="M260" i="39"/>
  <c r="N260" i="39"/>
  <c r="O260" i="39"/>
  <c r="P260" i="39"/>
  <c r="Q260" i="39"/>
  <c r="R260" i="39"/>
  <c r="S260" i="39"/>
  <c r="T260" i="39"/>
  <c r="U260" i="39"/>
  <c r="A261" i="39"/>
  <c r="C261" i="39"/>
  <c r="D261" i="39"/>
  <c r="E261" i="39"/>
  <c r="F261" i="39"/>
  <c r="G261" i="39"/>
  <c r="H261" i="39"/>
  <c r="I261" i="39"/>
  <c r="J261" i="39"/>
  <c r="K261" i="39"/>
  <c r="L261" i="39"/>
  <c r="M261" i="39"/>
  <c r="N261" i="39"/>
  <c r="O261" i="39"/>
  <c r="P261" i="39"/>
  <c r="Q261" i="39"/>
  <c r="R261" i="39"/>
  <c r="S261" i="39"/>
  <c r="T261" i="39"/>
  <c r="U261" i="39"/>
  <c r="A262" i="39"/>
  <c r="C262" i="39"/>
  <c r="D262" i="39"/>
  <c r="E262" i="39"/>
  <c r="F262" i="39"/>
  <c r="G262" i="39"/>
  <c r="H262" i="39"/>
  <c r="I262" i="39"/>
  <c r="J262" i="39"/>
  <c r="K262" i="39"/>
  <c r="L262" i="39"/>
  <c r="M262" i="39"/>
  <c r="N262" i="39"/>
  <c r="O262" i="39"/>
  <c r="P262" i="39"/>
  <c r="Q262" i="39"/>
  <c r="R262" i="39"/>
  <c r="S262" i="39"/>
  <c r="T262" i="39"/>
  <c r="U262" i="39"/>
  <c r="A263" i="39"/>
  <c r="C263" i="39"/>
  <c r="D263" i="39"/>
  <c r="E263" i="39"/>
  <c r="F263" i="39"/>
  <c r="G263" i="39"/>
  <c r="H263" i="39"/>
  <c r="I263" i="39"/>
  <c r="J263" i="39"/>
  <c r="K263" i="39"/>
  <c r="L263" i="39"/>
  <c r="M263" i="39"/>
  <c r="N263" i="39"/>
  <c r="O263" i="39"/>
  <c r="P263" i="39"/>
  <c r="Q263" i="39"/>
  <c r="R263" i="39"/>
  <c r="S263" i="39"/>
  <c r="T263" i="39"/>
  <c r="U263" i="39"/>
  <c r="A264" i="39"/>
  <c r="C264" i="39"/>
  <c r="D264" i="39"/>
  <c r="E264" i="39"/>
  <c r="F264" i="39"/>
  <c r="G264" i="39"/>
  <c r="H264" i="39"/>
  <c r="I264" i="39"/>
  <c r="J264" i="39"/>
  <c r="K264" i="39"/>
  <c r="L264" i="39"/>
  <c r="M264" i="39"/>
  <c r="N264" i="39"/>
  <c r="O264" i="39"/>
  <c r="P264" i="39"/>
  <c r="Q264" i="39"/>
  <c r="R264" i="39"/>
  <c r="S264" i="39"/>
  <c r="T264" i="39"/>
  <c r="U264" i="39"/>
  <c r="A265" i="39"/>
  <c r="C265" i="39"/>
  <c r="D265" i="39"/>
  <c r="E265" i="39"/>
  <c r="F265" i="39"/>
  <c r="G265" i="39"/>
  <c r="H265" i="39"/>
  <c r="I265" i="39"/>
  <c r="J265" i="39"/>
  <c r="K265" i="39"/>
  <c r="L265" i="39"/>
  <c r="M265" i="39"/>
  <c r="N265" i="39"/>
  <c r="O265" i="39"/>
  <c r="P265" i="39"/>
  <c r="Q265" i="39"/>
  <c r="R265" i="39"/>
  <c r="S265" i="39"/>
  <c r="T265" i="39"/>
  <c r="U265" i="39"/>
  <c r="A266" i="39"/>
  <c r="C266" i="39"/>
  <c r="D266" i="39"/>
  <c r="E266" i="39"/>
  <c r="F266" i="39"/>
  <c r="G266" i="39"/>
  <c r="H266" i="39"/>
  <c r="I266" i="39"/>
  <c r="J266" i="39"/>
  <c r="K266" i="39"/>
  <c r="L266" i="39"/>
  <c r="M266" i="39"/>
  <c r="N266" i="39"/>
  <c r="O266" i="39"/>
  <c r="P266" i="39"/>
  <c r="Q266" i="39"/>
  <c r="R266" i="39"/>
  <c r="S266" i="39"/>
  <c r="T266" i="39"/>
  <c r="U266" i="39"/>
  <c r="A267" i="39"/>
  <c r="J268" i="39"/>
  <c r="N268" i="39"/>
  <c r="Q268" i="39"/>
  <c r="S268" i="39"/>
  <c r="U268" i="39"/>
  <c r="B270" i="39"/>
  <c r="C270" i="39"/>
  <c r="D270" i="39"/>
  <c r="E270" i="39"/>
  <c r="F270" i="39"/>
  <c r="G270" i="39"/>
  <c r="H270" i="39"/>
  <c r="I270" i="39"/>
  <c r="J270" i="39"/>
  <c r="K270" i="39"/>
  <c r="L270" i="39"/>
  <c r="M270" i="39"/>
  <c r="N270" i="39"/>
  <c r="O270" i="39"/>
  <c r="P270" i="39"/>
  <c r="Q270" i="39"/>
  <c r="R270" i="39"/>
  <c r="S270" i="39"/>
  <c r="T270" i="39"/>
  <c r="U270" i="39"/>
  <c r="A1" i="41"/>
  <c r="A2" i="41"/>
  <c r="A3" i="41"/>
  <c r="E6" i="41"/>
  <c r="F6" i="41"/>
  <c r="G6" i="41"/>
  <c r="H6" i="41"/>
  <c r="I6" i="41"/>
  <c r="J6" i="41"/>
  <c r="K6" i="41"/>
  <c r="L6" i="41"/>
  <c r="M6" i="41"/>
  <c r="N6" i="41"/>
  <c r="O6" i="41"/>
  <c r="P6" i="41"/>
  <c r="Q6" i="41"/>
  <c r="R6" i="41"/>
  <c r="S6" i="41"/>
  <c r="T6" i="41"/>
  <c r="U6" i="41"/>
  <c r="V6" i="41"/>
  <c r="W6" i="41"/>
  <c r="X6" i="41"/>
  <c r="Y6" i="41"/>
  <c r="Z6" i="41"/>
  <c r="AA6" i="41"/>
  <c r="E7" i="41"/>
  <c r="F7" i="41"/>
  <c r="G7" i="41"/>
  <c r="H7" i="41"/>
  <c r="I7" i="41"/>
  <c r="J7" i="41"/>
  <c r="K7" i="41"/>
  <c r="L7" i="41"/>
  <c r="M7" i="41"/>
  <c r="N7" i="41"/>
  <c r="O7" i="41"/>
  <c r="P7" i="41"/>
  <c r="Q7" i="41"/>
  <c r="R7" i="41"/>
  <c r="S7" i="41"/>
  <c r="T7" i="41"/>
  <c r="U7" i="41"/>
  <c r="V7" i="41"/>
  <c r="W7" i="41"/>
  <c r="X7" i="41"/>
  <c r="Y7" i="41"/>
  <c r="Z7" i="41"/>
  <c r="AA7" i="41"/>
  <c r="E9" i="41"/>
  <c r="F9" i="41"/>
  <c r="G9" i="41"/>
  <c r="H9" i="41"/>
  <c r="I9" i="41"/>
  <c r="J9" i="41"/>
  <c r="K9" i="41"/>
  <c r="L9" i="41"/>
  <c r="M9" i="41"/>
  <c r="N9" i="41"/>
  <c r="O9" i="41"/>
  <c r="P9" i="41"/>
  <c r="Q9" i="41"/>
  <c r="R9" i="41"/>
  <c r="S9" i="41"/>
  <c r="T9" i="41"/>
  <c r="U9" i="41"/>
  <c r="V9" i="41"/>
  <c r="W9" i="41"/>
  <c r="X9" i="41"/>
  <c r="Y9" i="41"/>
  <c r="Z9" i="41"/>
  <c r="AA9" i="41"/>
  <c r="AB9" i="41"/>
  <c r="E10" i="41"/>
  <c r="F10" i="41"/>
  <c r="G10" i="41"/>
  <c r="H10" i="41"/>
  <c r="I10" i="41"/>
  <c r="J10" i="41"/>
  <c r="K10" i="41"/>
  <c r="L10" i="41"/>
  <c r="M10" i="41"/>
  <c r="N10" i="41"/>
  <c r="O10" i="41"/>
  <c r="P10" i="41"/>
  <c r="Q10" i="41"/>
  <c r="R10" i="41"/>
  <c r="S10" i="41"/>
  <c r="T10" i="41"/>
  <c r="U10" i="41"/>
  <c r="V10" i="41"/>
  <c r="W10" i="41"/>
  <c r="X10" i="41"/>
  <c r="Y10" i="41"/>
  <c r="Z10" i="41"/>
  <c r="AA10" i="41"/>
  <c r="AB10" i="41"/>
  <c r="E11" i="41"/>
  <c r="F11" i="41"/>
  <c r="G11" i="41"/>
  <c r="H11" i="41"/>
  <c r="I11" i="41"/>
  <c r="J11" i="41"/>
  <c r="K11" i="41"/>
  <c r="L11" i="41"/>
  <c r="M11" i="41"/>
  <c r="N11" i="41"/>
  <c r="O11" i="41"/>
  <c r="P11" i="41"/>
  <c r="Q11" i="41"/>
  <c r="R11" i="41"/>
  <c r="S11" i="41"/>
  <c r="T11" i="41"/>
  <c r="U11" i="41"/>
  <c r="V11" i="41"/>
  <c r="W11" i="41"/>
  <c r="X11" i="41"/>
  <c r="Y11" i="41"/>
  <c r="Z11" i="41"/>
  <c r="AA11" i="41"/>
  <c r="AB11" i="41"/>
  <c r="E12" i="41"/>
  <c r="F12" i="41"/>
  <c r="G12" i="41"/>
  <c r="H12" i="41"/>
  <c r="I12" i="41"/>
  <c r="J12" i="41"/>
  <c r="K12" i="41"/>
  <c r="L12" i="41"/>
  <c r="M12" i="41"/>
  <c r="N12" i="41"/>
  <c r="O12" i="41"/>
  <c r="P12" i="41"/>
  <c r="Q12" i="41"/>
  <c r="R12" i="41"/>
  <c r="S12" i="41"/>
  <c r="T12" i="41"/>
  <c r="U12" i="41"/>
  <c r="V12" i="41"/>
  <c r="W12" i="41"/>
  <c r="X12" i="41"/>
  <c r="Y12" i="41"/>
  <c r="Z12" i="41"/>
  <c r="AA12" i="41"/>
  <c r="AB12" i="41"/>
  <c r="F15" i="41"/>
  <c r="G15" i="41"/>
  <c r="H15" i="41"/>
  <c r="I15" i="41"/>
  <c r="J15" i="41"/>
  <c r="K15" i="41"/>
  <c r="L15" i="41"/>
  <c r="M15" i="41"/>
  <c r="N15" i="41"/>
  <c r="O15" i="41"/>
  <c r="P15" i="41"/>
  <c r="Q15" i="41"/>
  <c r="R15" i="41"/>
  <c r="S15" i="41"/>
  <c r="T15" i="41"/>
  <c r="U15" i="41"/>
  <c r="V15" i="41"/>
  <c r="W15" i="41"/>
  <c r="X15" i="41"/>
  <c r="Y15" i="41"/>
  <c r="Z15" i="41"/>
  <c r="AA15" i="41"/>
  <c r="AB15" i="41"/>
  <c r="E16" i="41"/>
  <c r="F16" i="41"/>
  <c r="G16" i="41"/>
  <c r="H16" i="41"/>
  <c r="I16" i="41"/>
  <c r="J16" i="41"/>
  <c r="K16" i="41"/>
  <c r="L16" i="41"/>
  <c r="M16" i="41"/>
  <c r="N16" i="41"/>
  <c r="O16" i="41"/>
  <c r="P16" i="41"/>
  <c r="Q16" i="41"/>
  <c r="R16" i="41"/>
  <c r="S16" i="41"/>
  <c r="T16" i="41"/>
  <c r="U16" i="41"/>
  <c r="V16" i="41"/>
  <c r="W16" i="41"/>
  <c r="X16" i="41"/>
  <c r="Y16" i="41"/>
  <c r="Z16" i="41"/>
  <c r="AA16" i="41"/>
  <c r="AB16" i="41"/>
  <c r="E17" i="41"/>
  <c r="F17" i="41"/>
  <c r="G17" i="41"/>
  <c r="H17" i="41"/>
  <c r="I17" i="41"/>
  <c r="J17" i="41"/>
  <c r="K17" i="41"/>
  <c r="L17" i="41"/>
  <c r="M17" i="41"/>
  <c r="N17" i="41"/>
  <c r="O17" i="41"/>
  <c r="P17" i="41"/>
  <c r="Q17" i="41"/>
  <c r="R17" i="41"/>
  <c r="S17" i="41"/>
  <c r="T17" i="41"/>
  <c r="U17" i="41"/>
  <c r="V17" i="41"/>
  <c r="W17" i="41"/>
  <c r="X17" i="41"/>
  <c r="Y17" i="41"/>
  <c r="Z17" i="41"/>
  <c r="AA17" i="41"/>
  <c r="AB17" i="41"/>
  <c r="E18" i="41"/>
  <c r="F18" i="41"/>
  <c r="G18" i="41"/>
  <c r="H18" i="41"/>
  <c r="I18" i="41"/>
  <c r="J18" i="41"/>
  <c r="K18" i="41"/>
  <c r="L18" i="41"/>
  <c r="M18" i="41"/>
  <c r="N18" i="41"/>
  <c r="O18" i="41"/>
  <c r="P18" i="41"/>
  <c r="Q18" i="41"/>
  <c r="R18" i="41"/>
  <c r="S18" i="41"/>
  <c r="T18" i="41"/>
  <c r="U18" i="41"/>
  <c r="V18" i="41"/>
  <c r="W18" i="41"/>
  <c r="X18" i="41"/>
  <c r="Y18" i="41"/>
  <c r="Z18" i="41"/>
  <c r="AA18" i="41"/>
  <c r="AB18" i="41"/>
  <c r="E19" i="41"/>
  <c r="F19" i="41"/>
  <c r="G19" i="41"/>
  <c r="H19" i="41"/>
  <c r="I19" i="41"/>
  <c r="J19" i="41"/>
  <c r="K19" i="41"/>
  <c r="L19" i="41"/>
  <c r="M19" i="41"/>
  <c r="N19" i="41"/>
  <c r="O19" i="41"/>
  <c r="P19" i="41"/>
  <c r="Q19" i="41"/>
  <c r="R19" i="41"/>
  <c r="S19" i="41"/>
  <c r="T19" i="41"/>
  <c r="U19" i="41"/>
  <c r="V19" i="41"/>
  <c r="W19" i="41"/>
  <c r="X19" i="41"/>
  <c r="Y19" i="41"/>
  <c r="Z19" i="41"/>
  <c r="AA19" i="41"/>
  <c r="AB19" i="41"/>
  <c r="E22" i="41"/>
  <c r="F22" i="41"/>
  <c r="G22" i="41"/>
  <c r="H22" i="41"/>
  <c r="I22" i="41"/>
  <c r="J22" i="41"/>
  <c r="K22" i="41"/>
  <c r="L22" i="41"/>
  <c r="M22" i="41"/>
  <c r="N22" i="41"/>
  <c r="O22" i="41"/>
  <c r="P22" i="41"/>
  <c r="Q22" i="41"/>
  <c r="R22" i="41"/>
  <c r="S22" i="41"/>
  <c r="T22" i="41"/>
  <c r="U22" i="41"/>
  <c r="V22" i="41"/>
  <c r="W22" i="41"/>
  <c r="X22" i="41"/>
  <c r="Y22" i="41"/>
  <c r="Z22" i="41"/>
  <c r="AA22" i="41"/>
  <c r="E23" i="41"/>
  <c r="F23" i="41"/>
  <c r="G23" i="41"/>
  <c r="H23" i="41"/>
  <c r="I23" i="41"/>
  <c r="J23" i="41"/>
  <c r="K23" i="41"/>
  <c r="L23" i="41"/>
  <c r="M23" i="41"/>
  <c r="N23" i="41"/>
  <c r="O23" i="41"/>
  <c r="P23" i="41"/>
  <c r="Q23" i="41"/>
  <c r="R23" i="41"/>
  <c r="S23" i="41"/>
  <c r="T23" i="41"/>
  <c r="U23" i="41"/>
  <c r="V23" i="41"/>
  <c r="W23" i="41"/>
  <c r="X23" i="41"/>
  <c r="Y23" i="41"/>
  <c r="Z23" i="41"/>
  <c r="AA23" i="41"/>
  <c r="E24" i="41"/>
  <c r="F24" i="41"/>
  <c r="G24" i="41"/>
  <c r="H24" i="41"/>
  <c r="I24" i="41"/>
  <c r="J24" i="41"/>
  <c r="K24" i="41"/>
  <c r="L24" i="41"/>
  <c r="M24" i="41"/>
  <c r="N24" i="41"/>
  <c r="O24" i="41"/>
  <c r="P24" i="41"/>
  <c r="Q24" i="41"/>
  <c r="R24" i="41"/>
  <c r="S24" i="41"/>
  <c r="T24" i="41"/>
  <c r="U24" i="41"/>
  <c r="V24" i="41"/>
  <c r="W24" i="41"/>
  <c r="X24" i="41"/>
  <c r="Y24" i="41"/>
  <c r="Z24" i="41"/>
  <c r="AA24" i="41"/>
  <c r="E26" i="41"/>
  <c r="F26" i="41"/>
  <c r="G26" i="41"/>
  <c r="H26" i="41"/>
  <c r="I26" i="41"/>
  <c r="J26" i="41"/>
  <c r="K26" i="41"/>
  <c r="L26" i="41"/>
  <c r="M26" i="41"/>
  <c r="N26" i="41"/>
  <c r="O26" i="41"/>
  <c r="P26" i="41"/>
  <c r="Q26" i="41"/>
  <c r="R26" i="41"/>
  <c r="S26" i="41"/>
  <c r="T26" i="41"/>
  <c r="U26" i="41"/>
  <c r="V26" i="41"/>
  <c r="W26" i="41"/>
  <c r="X26" i="41"/>
  <c r="Y26" i="41"/>
  <c r="Z26" i="41"/>
  <c r="AA26" i="41"/>
  <c r="E27" i="41"/>
  <c r="F27" i="41"/>
  <c r="G27" i="41"/>
  <c r="H27" i="41"/>
  <c r="I27" i="41"/>
  <c r="J27" i="41"/>
  <c r="K27" i="41"/>
  <c r="L27" i="41"/>
  <c r="M27" i="41"/>
  <c r="N27" i="41"/>
  <c r="O27" i="41"/>
  <c r="P27" i="41"/>
  <c r="Q27" i="41"/>
  <c r="R27" i="41"/>
  <c r="S27" i="41"/>
  <c r="T27" i="41"/>
  <c r="U27" i="41"/>
  <c r="V27" i="41"/>
  <c r="W27" i="41"/>
  <c r="X27" i="41"/>
  <c r="Y27" i="41"/>
  <c r="Z27" i="41"/>
  <c r="AA27" i="41"/>
  <c r="E28" i="41"/>
  <c r="F28" i="41"/>
  <c r="G28" i="41"/>
  <c r="H28" i="41"/>
  <c r="I28" i="41"/>
  <c r="J28" i="41"/>
  <c r="K28" i="41"/>
  <c r="L28" i="41"/>
  <c r="M28" i="41"/>
  <c r="N28" i="41"/>
  <c r="O28" i="41"/>
  <c r="P28" i="41"/>
  <c r="Q28" i="41"/>
  <c r="R28" i="41"/>
  <c r="S28" i="41"/>
  <c r="T28" i="41"/>
  <c r="U28" i="41"/>
  <c r="V28" i="41"/>
  <c r="W28" i="41"/>
  <c r="X28" i="41"/>
  <c r="Y28" i="41"/>
  <c r="Z28" i="41"/>
  <c r="AA28" i="41"/>
  <c r="E30" i="41"/>
  <c r="F30" i="41"/>
  <c r="G30" i="41"/>
  <c r="H30" i="41"/>
  <c r="I30" i="41"/>
  <c r="J30" i="41"/>
  <c r="K30" i="41"/>
  <c r="L30" i="41"/>
  <c r="M30" i="41"/>
  <c r="N30" i="41"/>
  <c r="O30" i="41"/>
  <c r="P30" i="41"/>
  <c r="Q30" i="41"/>
  <c r="R30" i="41"/>
  <c r="S30" i="41"/>
  <c r="T30" i="41"/>
  <c r="U30" i="41"/>
  <c r="V30" i="41"/>
  <c r="W30" i="41"/>
  <c r="X30" i="41"/>
  <c r="Y30" i="41"/>
  <c r="Z30" i="41"/>
  <c r="AA30" i="41"/>
  <c r="E31" i="41"/>
  <c r="F31" i="41"/>
  <c r="G31" i="41"/>
  <c r="H31" i="41"/>
  <c r="I31" i="41"/>
  <c r="J31" i="41"/>
  <c r="K31" i="41"/>
  <c r="L31" i="41"/>
  <c r="M31" i="41"/>
  <c r="N31" i="41"/>
  <c r="O31" i="41"/>
  <c r="P31" i="41"/>
  <c r="Q31" i="41"/>
  <c r="R31" i="41"/>
  <c r="S31" i="41"/>
  <c r="T31" i="41"/>
  <c r="U31" i="41"/>
  <c r="V31" i="41"/>
  <c r="W31" i="41"/>
  <c r="X31" i="41"/>
  <c r="Y31" i="41"/>
  <c r="Z31" i="41"/>
  <c r="AA31" i="41"/>
  <c r="E33" i="41"/>
  <c r="F33" i="41"/>
  <c r="G33" i="41"/>
  <c r="H33" i="41"/>
  <c r="I33" i="41"/>
  <c r="J33" i="41"/>
  <c r="K33" i="41"/>
  <c r="L33" i="41"/>
  <c r="M33" i="41"/>
  <c r="N33" i="41"/>
  <c r="O33" i="41"/>
  <c r="P33" i="41"/>
  <c r="Q33" i="41"/>
  <c r="R33" i="41"/>
  <c r="S33" i="41"/>
  <c r="T33" i="41"/>
  <c r="U33" i="41"/>
  <c r="V33" i="41"/>
  <c r="W33" i="41"/>
  <c r="X33" i="41"/>
  <c r="Y33" i="41"/>
  <c r="Z33" i="41"/>
  <c r="AA33" i="41"/>
  <c r="C34" i="41"/>
  <c r="E34" i="41"/>
  <c r="F34" i="41"/>
  <c r="G34" i="41"/>
  <c r="H34" i="41"/>
  <c r="I34" i="41"/>
  <c r="J34" i="41"/>
  <c r="K34" i="41"/>
  <c r="L34" i="41"/>
  <c r="M34" i="41"/>
  <c r="N34" i="41"/>
  <c r="O34" i="41"/>
  <c r="P34" i="41"/>
  <c r="Q34" i="41"/>
  <c r="R34" i="41"/>
  <c r="S34" i="41"/>
  <c r="T34" i="41"/>
  <c r="U34" i="41"/>
  <c r="V34" i="41"/>
  <c r="W34" i="41"/>
  <c r="X34" i="41"/>
  <c r="Y34" i="41"/>
  <c r="Z34" i="41"/>
  <c r="AA34" i="41"/>
  <c r="E35" i="41"/>
  <c r="F35" i="41"/>
  <c r="G35" i="41"/>
  <c r="H35" i="41"/>
  <c r="I35" i="41"/>
  <c r="J35" i="41"/>
  <c r="K35" i="41"/>
  <c r="L35" i="41"/>
  <c r="M35" i="41"/>
  <c r="N35" i="41"/>
  <c r="O35" i="41"/>
  <c r="P35" i="41"/>
  <c r="Q35" i="41"/>
  <c r="R35" i="41"/>
  <c r="S35" i="41"/>
  <c r="T35" i="41"/>
  <c r="U35" i="41"/>
  <c r="V35" i="41"/>
  <c r="W35" i="41"/>
  <c r="X35" i="41"/>
  <c r="Y35" i="41"/>
  <c r="Z35" i="41"/>
  <c r="AA35" i="41"/>
  <c r="AB35" i="41"/>
  <c r="F38" i="41"/>
  <c r="G38" i="41"/>
  <c r="H38" i="41"/>
  <c r="I38" i="41"/>
  <c r="J38" i="41"/>
  <c r="K38" i="41"/>
  <c r="L38" i="41"/>
  <c r="M38" i="41"/>
  <c r="N38" i="41"/>
  <c r="O38" i="41"/>
  <c r="P38" i="41"/>
  <c r="Q38" i="41"/>
  <c r="R38" i="41"/>
  <c r="S38" i="41"/>
  <c r="T38" i="41"/>
  <c r="U38" i="41"/>
  <c r="V38" i="41"/>
  <c r="W38" i="41"/>
  <c r="X38" i="41"/>
  <c r="Y38" i="41"/>
  <c r="Z38" i="41"/>
  <c r="AA38" i="41"/>
  <c r="AB38" i="41"/>
  <c r="E39" i="41"/>
  <c r="F39" i="41"/>
  <c r="G39" i="41"/>
  <c r="H39" i="41"/>
  <c r="I39" i="41"/>
  <c r="J39" i="41"/>
  <c r="K39" i="41"/>
  <c r="L39" i="41"/>
  <c r="M39" i="41"/>
  <c r="N39" i="41"/>
  <c r="O39" i="41"/>
  <c r="P39" i="41"/>
  <c r="Q39" i="41"/>
  <c r="R39" i="41"/>
  <c r="S39" i="41"/>
  <c r="T39" i="41"/>
  <c r="U39" i="41"/>
  <c r="V39" i="41"/>
  <c r="W39" i="41"/>
  <c r="X39" i="41"/>
  <c r="Y39" i="41"/>
  <c r="Z39" i="41"/>
  <c r="AA39" i="41"/>
  <c r="AB39" i="41"/>
  <c r="E40" i="41"/>
  <c r="F40" i="41"/>
  <c r="G40" i="41"/>
  <c r="H40" i="41"/>
  <c r="I40" i="41"/>
  <c r="J40" i="41"/>
  <c r="K40" i="41"/>
  <c r="L40" i="41"/>
  <c r="M40" i="41"/>
  <c r="N40" i="41"/>
  <c r="O40" i="41"/>
  <c r="P40" i="41"/>
  <c r="Q40" i="41"/>
  <c r="R40" i="41"/>
  <c r="S40" i="41"/>
  <c r="T40" i="41"/>
  <c r="U40" i="41"/>
  <c r="V40" i="41"/>
  <c r="W40" i="41"/>
  <c r="X40" i="41"/>
  <c r="Y40" i="41"/>
  <c r="Z40" i="41"/>
  <c r="AA40" i="41"/>
  <c r="AB40" i="41"/>
  <c r="E43" i="41"/>
  <c r="F43" i="41"/>
  <c r="G43" i="41"/>
  <c r="H43" i="41"/>
  <c r="I43" i="41"/>
  <c r="J43" i="41"/>
  <c r="K43" i="41"/>
  <c r="L43" i="41"/>
  <c r="M43" i="41"/>
  <c r="N43" i="41"/>
  <c r="O43" i="41"/>
  <c r="P43" i="41"/>
  <c r="Q43" i="41"/>
  <c r="R43" i="41"/>
  <c r="S43" i="41"/>
  <c r="T43" i="41"/>
  <c r="U43" i="41"/>
  <c r="V43" i="41"/>
  <c r="W43" i="41"/>
  <c r="X43" i="41"/>
  <c r="Y43" i="41"/>
  <c r="Z43" i="41"/>
  <c r="AA43" i="41"/>
  <c r="E44" i="41"/>
  <c r="F44" i="41"/>
  <c r="G44" i="41"/>
  <c r="H44" i="41"/>
  <c r="I44" i="41"/>
  <c r="J44" i="41"/>
  <c r="K44" i="41"/>
  <c r="L44" i="41"/>
  <c r="M44" i="41"/>
  <c r="N44" i="41"/>
  <c r="O44" i="41"/>
  <c r="P44" i="41"/>
  <c r="Q44" i="41"/>
  <c r="R44" i="41"/>
  <c r="S44" i="41"/>
  <c r="T44" i="41"/>
  <c r="U44" i="41"/>
  <c r="V44" i="41"/>
  <c r="W44" i="41"/>
  <c r="X44" i="41"/>
  <c r="Y44" i="41"/>
  <c r="Z44" i="41"/>
  <c r="AA44" i="41"/>
  <c r="E45" i="41"/>
  <c r="F45" i="41"/>
  <c r="G45" i="41"/>
  <c r="H45" i="41"/>
  <c r="I45" i="41"/>
  <c r="J45" i="41"/>
  <c r="K45" i="41"/>
  <c r="L45" i="41"/>
  <c r="M45" i="41"/>
  <c r="N45" i="41"/>
  <c r="O45" i="41"/>
  <c r="P45" i="41"/>
  <c r="Q45" i="41"/>
  <c r="R45" i="41"/>
  <c r="S45" i="41"/>
  <c r="T45" i="41"/>
  <c r="U45" i="41"/>
  <c r="V45" i="41"/>
  <c r="W45" i="41"/>
  <c r="X45" i="41"/>
  <c r="Y45" i="41"/>
  <c r="Z45" i="41"/>
  <c r="AA45" i="41"/>
  <c r="E47" i="41"/>
  <c r="F47" i="41"/>
  <c r="G47" i="41"/>
  <c r="H47" i="41"/>
  <c r="I47" i="41"/>
  <c r="J47" i="41"/>
  <c r="K47" i="41"/>
  <c r="L47" i="41"/>
  <c r="M47" i="41"/>
  <c r="N47" i="41"/>
  <c r="O47" i="41"/>
  <c r="P47" i="41"/>
  <c r="Q47" i="41"/>
  <c r="R47" i="41"/>
  <c r="S47" i="41"/>
  <c r="T47" i="41"/>
  <c r="U47" i="41"/>
  <c r="V47" i="41"/>
  <c r="W47" i="41"/>
  <c r="X47" i="41"/>
  <c r="Y47" i="41"/>
  <c r="Z47" i="41"/>
  <c r="AA47" i="41"/>
  <c r="E48" i="41"/>
  <c r="F48" i="41"/>
  <c r="G48" i="41"/>
  <c r="H48" i="41"/>
  <c r="I48" i="41"/>
  <c r="J48" i="41"/>
  <c r="K48" i="41"/>
  <c r="L48" i="41"/>
  <c r="M48" i="41"/>
  <c r="N48" i="41"/>
  <c r="O48" i="41"/>
  <c r="P48" i="41"/>
  <c r="Q48" i="41"/>
  <c r="R48" i="41"/>
  <c r="S48" i="41"/>
  <c r="T48" i="41"/>
  <c r="U48" i="41"/>
  <c r="V48" i="41"/>
  <c r="W48" i="41"/>
  <c r="X48" i="41"/>
  <c r="Y48" i="41"/>
  <c r="Z48" i="41"/>
  <c r="AA48" i="41"/>
  <c r="E49" i="41"/>
  <c r="F49" i="41"/>
  <c r="G49" i="41"/>
  <c r="H49" i="41"/>
  <c r="I49" i="41"/>
  <c r="J49" i="41"/>
  <c r="K49" i="41"/>
  <c r="L49" i="41"/>
  <c r="M49" i="41"/>
  <c r="N49" i="41"/>
  <c r="O49" i="41"/>
  <c r="P49" i="41"/>
  <c r="Q49" i="41"/>
  <c r="R49" i="41"/>
  <c r="S49" i="41"/>
  <c r="T49" i="41"/>
  <c r="U49" i="41"/>
  <c r="V49" i="41"/>
  <c r="W49" i="41"/>
  <c r="X49" i="41"/>
  <c r="Y49" i="41"/>
  <c r="Z49" i="41"/>
  <c r="AA49" i="41"/>
  <c r="E51" i="41"/>
  <c r="F51" i="41"/>
  <c r="G51" i="41"/>
  <c r="H51" i="41"/>
  <c r="I51" i="41"/>
  <c r="J51" i="41"/>
  <c r="K51" i="41"/>
  <c r="L51" i="41"/>
  <c r="M51" i="41"/>
  <c r="N51" i="41"/>
  <c r="O51" i="41"/>
  <c r="P51" i="41"/>
  <c r="Q51" i="41"/>
  <c r="R51" i="41"/>
  <c r="S51" i="41"/>
  <c r="T51" i="41"/>
  <c r="U51" i="41"/>
  <c r="V51" i="41"/>
  <c r="W51" i="41"/>
  <c r="X51" i="41"/>
  <c r="Y51" i="41"/>
  <c r="Z51" i="41"/>
  <c r="AA51" i="41"/>
  <c r="E52" i="41"/>
  <c r="F52" i="41"/>
  <c r="G52" i="41"/>
  <c r="H52" i="41"/>
  <c r="I52" i="41"/>
  <c r="J52" i="41"/>
  <c r="K52" i="41"/>
  <c r="L52" i="41"/>
  <c r="M52" i="41"/>
  <c r="N52" i="41"/>
  <c r="O52" i="41"/>
  <c r="P52" i="41"/>
  <c r="Q52" i="41"/>
  <c r="R52" i="41"/>
  <c r="S52" i="41"/>
  <c r="T52" i="41"/>
  <c r="U52" i="41"/>
  <c r="V52" i="41"/>
  <c r="W52" i="41"/>
  <c r="X52" i="41"/>
  <c r="Y52" i="41"/>
  <c r="Z52" i="41"/>
  <c r="AA52" i="41"/>
  <c r="E54" i="41"/>
  <c r="F54" i="41"/>
  <c r="G54" i="41"/>
  <c r="H54" i="41"/>
  <c r="I54" i="41"/>
  <c r="J54" i="41"/>
  <c r="K54" i="41"/>
  <c r="L54" i="41"/>
  <c r="M54" i="41"/>
  <c r="N54" i="41"/>
  <c r="O54" i="41"/>
  <c r="P54" i="41"/>
  <c r="Q54" i="41"/>
  <c r="R54" i="41"/>
  <c r="S54" i="41"/>
  <c r="T54" i="41"/>
  <c r="U54" i="41"/>
  <c r="V54" i="41"/>
  <c r="W54" i="41"/>
  <c r="X54" i="41"/>
  <c r="Y54" i="41"/>
  <c r="Z54" i="41"/>
  <c r="AA54" i="41"/>
  <c r="C55" i="41"/>
  <c r="E55" i="41"/>
  <c r="F55" i="41"/>
  <c r="G55" i="41"/>
  <c r="H55" i="41"/>
  <c r="I55" i="41"/>
  <c r="J55" i="41"/>
  <c r="K55" i="41"/>
  <c r="L55" i="41"/>
  <c r="M55" i="41"/>
  <c r="N55" i="41"/>
  <c r="O55" i="41"/>
  <c r="P55" i="41"/>
  <c r="Q55" i="41"/>
  <c r="R55" i="41"/>
  <c r="S55" i="41"/>
  <c r="T55" i="41"/>
  <c r="U55" i="41"/>
  <c r="V55" i="41"/>
  <c r="W55" i="41"/>
  <c r="X55" i="41"/>
  <c r="Y55" i="41"/>
  <c r="Z55" i="41"/>
  <c r="AA55" i="41"/>
  <c r="E56" i="41"/>
  <c r="F56" i="41"/>
  <c r="G56" i="41"/>
  <c r="H56" i="41"/>
  <c r="I56" i="41"/>
  <c r="J56" i="41"/>
  <c r="K56" i="41"/>
  <c r="L56" i="41"/>
  <c r="M56" i="41"/>
  <c r="N56" i="41"/>
  <c r="O56" i="41"/>
  <c r="P56" i="41"/>
  <c r="Q56" i="41"/>
  <c r="R56" i="41"/>
  <c r="S56" i="41"/>
  <c r="T56" i="41"/>
  <c r="U56" i="41"/>
  <c r="V56" i="41"/>
  <c r="W56" i="41"/>
  <c r="X56" i="41"/>
  <c r="Y56" i="41"/>
  <c r="Z56" i="41"/>
  <c r="AA56" i="41"/>
  <c r="AB56" i="41"/>
  <c r="E59" i="41"/>
  <c r="F59" i="41"/>
  <c r="G59" i="41"/>
  <c r="H59" i="41"/>
  <c r="I59" i="41"/>
  <c r="J59" i="41"/>
  <c r="K59" i="41"/>
  <c r="L59" i="41"/>
  <c r="M59" i="41"/>
  <c r="N59" i="41"/>
  <c r="O59" i="41"/>
  <c r="P59" i="41"/>
  <c r="Q59" i="41"/>
  <c r="R59" i="41"/>
  <c r="S59" i="41"/>
  <c r="T59" i="41"/>
  <c r="U59" i="41"/>
  <c r="V59" i="41"/>
  <c r="W59" i="41"/>
  <c r="X59" i="41"/>
  <c r="Y59" i="41"/>
  <c r="Z59" i="41"/>
  <c r="AA59" i="41"/>
  <c r="E60" i="41"/>
  <c r="F60" i="41"/>
  <c r="G60" i="41"/>
  <c r="H60" i="41"/>
  <c r="I60" i="41"/>
  <c r="J60" i="41"/>
  <c r="K60" i="41"/>
  <c r="L60" i="41"/>
  <c r="M60" i="41"/>
  <c r="N60" i="41"/>
  <c r="O60" i="41"/>
  <c r="P60" i="41"/>
  <c r="Q60" i="41"/>
  <c r="R60" i="41"/>
  <c r="S60" i="41"/>
  <c r="T60" i="41"/>
  <c r="U60" i="41"/>
  <c r="V60" i="41"/>
  <c r="W60" i="41"/>
  <c r="X60" i="41"/>
  <c r="Y60" i="41"/>
  <c r="Z60" i="41"/>
  <c r="AA60" i="41"/>
  <c r="E62" i="41"/>
  <c r="F62" i="41"/>
  <c r="G62" i="41"/>
  <c r="H62" i="41"/>
  <c r="I62" i="41"/>
  <c r="J62" i="41"/>
  <c r="K62" i="41"/>
  <c r="L62" i="41"/>
  <c r="M62" i="41"/>
  <c r="N62" i="41"/>
  <c r="O62" i="41"/>
  <c r="P62" i="41"/>
  <c r="Q62" i="41"/>
  <c r="R62" i="41"/>
  <c r="S62" i="41"/>
  <c r="T62" i="41"/>
  <c r="U62" i="41"/>
  <c r="V62" i="41"/>
  <c r="W62" i="41"/>
  <c r="X62" i="41"/>
  <c r="Y62" i="41"/>
  <c r="Z62" i="41"/>
  <c r="AA62" i="41"/>
  <c r="E63" i="41"/>
  <c r="F63" i="41"/>
  <c r="G63" i="41"/>
  <c r="H63" i="41"/>
  <c r="I63" i="41"/>
  <c r="J63" i="41"/>
  <c r="K63" i="41"/>
  <c r="L63" i="41"/>
  <c r="M63" i="41"/>
  <c r="N63" i="41"/>
  <c r="O63" i="41"/>
  <c r="P63" i="41"/>
  <c r="Q63" i="41"/>
  <c r="R63" i="41"/>
  <c r="S63" i="41"/>
  <c r="T63" i="41"/>
  <c r="U63" i="41"/>
  <c r="V63" i="41"/>
  <c r="W63" i="41"/>
  <c r="X63" i="41"/>
  <c r="Y63" i="41"/>
  <c r="Z63" i="41"/>
  <c r="AA63" i="41"/>
  <c r="E65" i="41"/>
  <c r="F65" i="41"/>
  <c r="G65" i="41"/>
  <c r="H65" i="41"/>
  <c r="I65" i="41"/>
  <c r="J65" i="41"/>
  <c r="K65" i="41"/>
  <c r="L65" i="41"/>
  <c r="M65" i="41"/>
  <c r="N65" i="41"/>
  <c r="O65" i="41"/>
  <c r="P65" i="41"/>
  <c r="Q65" i="41"/>
  <c r="R65" i="41"/>
  <c r="S65" i="41"/>
  <c r="T65" i="41"/>
  <c r="U65" i="41"/>
  <c r="V65" i="41"/>
  <c r="W65" i="41"/>
  <c r="X65" i="41"/>
  <c r="Y65" i="41"/>
  <c r="Z65" i="41"/>
  <c r="AA65" i="41"/>
  <c r="C66" i="41"/>
  <c r="E66" i="41"/>
  <c r="F66" i="41"/>
  <c r="G66" i="41"/>
  <c r="H66" i="41"/>
  <c r="I66" i="41"/>
  <c r="J66" i="41"/>
  <c r="K66" i="41"/>
  <c r="L66" i="41"/>
  <c r="M66" i="41"/>
  <c r="N66" i="41"/>
  <c r="O66" i="41"/>
  <c r="P66" i="41"/>
  <c r="Q66" i="41"/>
  <c r="R66" i="41"/>
  <c r="S66" i="41"/>
  <c r="T66" i="41"/>
  <c r="U66" i="41"/>
  <c r="V66" i="41"/>
  <c r="W66" i="41"/>
  <c r="X66" i="41"/>
  <c r="Y66" i="41"/>
  <c r="Z66" i="41"/>
  <c r="AA66" i="41"/>
  <c r="E67" i="41"/>
  <c r="F67" i="41"/>
  <c r="G67" i="41"/>
  <c r="H67" i="41"/>
  <c r="I67" i="41"/>
  <c r="J67" i="41"/>
  <c r="K67" i="41"/>
  <c r="L67" i="41"/>
  <c r="M67" i="41"/>
  <c r="N67" i="41"/>
  <c r="O67" i="41"/>
  <c r="P67" i="41"/>
  <c r="Q67" i="41"/>
  <c r="R67" i="41"/>
  <c r="S67" i="41"/>
  <c r="T67" i="41"/>
  <c r="U67" i="41"/>
  <c r="V67" i="41"/>
  <c r="W67" i="41"/>
  <c r="X67" i="41"/>
  <c r="Y67" i="41"/>
  <c r="Z67" i="41"/>
  <c r="AA67" i="41"/>
  <c r="AB67" i="41"/>
  <c r="E70" i="41"/>
  <c r="F70" i="41"/>
  <c r="G70" i="41"/>
  <c r="H70" i="41"/>
  <c r="I70" i="41"/>
  <c r="J70" i="41"/>
  <c r="K70" i="41"/>
  <c r="L70" i="41"/>
  <c r="M70" i="41"/>
  <c r="N70" i="41"/>
  <c r="O70" i="41"/>
  <c r="P70" i="41"/>
  <c r="Q70" i="41"/>
  <c r="R70" i="41"/>
  <c r="S70" i="41"/>
  <c r="T70" i="41"/>
  <c r="U70" i="41"/>
  <c r="V70" i="41"/>
  <c r="W70" i="41"/>
  <c r="X70" i="41"/>
  <c r="Y70" i="41"/>
  <c r="Z70" i="41"/>
  <c r="AA70" i="41"/>
  <c r="E71" i="41"/>
  <c r="F71" i="41"/>
  <c r="G71" i="41"/>
  <c r="H71" i="41"/>
  <c r="I71" i="41"/>
  <c r="J71" i="41"/>
  <c r="K71" i="41"/>
  <c r="L71" i="41"/>
  <c r="M71" i="41"/>
  <c r="N71" i="41"/>
  <c r="O71" i="41"/>
  <c r="P71" i="41"/>
  <c r="Q71" i="41"/>
  <c r="R71" i="41"/>
  <c r="S71" i="41"/>
  <c r="T71" i="41"/>
  <c r="U71" i="41"/>
  <c r="V71" i="41"/>
  <c r="W71" i="41"/>
  <c r="X71" i="41"/>
  <c r="Y71" i="41"/>
  <c r="Z71" i="41"/>
  <c r="AA71" i="41"/>
  <c r="E73" i="41"/>
  <c r="F73" i="41"/>
  <c r="G73" i="41"/>
  <c r="H73" i="41"/>
  <c r="I73" i="41"/>
  <c r="J73" i="41"/>
  <c r="K73" i="41"/>
  <c r="L73" i="41"/>
  <c r="M73" i="41"/>
  <c r="N73" i="41"/>
  <c r="O73" i="41"/>
  <c r="P73" i="41"/>
  <c r="Q73" i="41"/>
  <c r="R73" i="41"/>
  <c r="S73" i="41"/>
  <c r="T73" i="41"/>
  <c r="U73" i="41"/>
  <c r="V73" i="41"/>
  <c r="W73" i="41"/>
  <c r="X73" i="41"/>
  <c r="Y73" i="41"/>
  <c r="Z73" i="41"/>
  <c r="AA73" i="41"/>
  <c r="E74" i="41"/>
  <c r="F74" i="41"/>
  <c r="G74" i="41"/>
  <c r="H74" i="41"/>
  <c r="I74" i="41"/>
  <c r="J74" i="41"/>
  <c r="K74" i="41"/>
  <c r="L74" i="41"/>
  <c r="M74" i="41"/>
  <c r="N74" i="41"/>
  <c r="O74" i="41"/>
  <c r="P74" i="41"/>
  <c r="Q74" i="41"/>
  <c r="R74" i="41"/>
  <c r="S74" i="41"/>
  <c r="T74" i="41"/>
  <c r="U74" i="41"/>
  <c r="V74" i="41"/>
  <c r="W74" i="41"/>
  <c r="X74" i="41"/>
  <c r="Y74" i="41"/>
  <c r="Z74" i="41"/>
  <c r="AA74" i="41"/>
  <c r="E76" i="41"/>
  <c r="F76" i="41"/>
  <c r="G76" i="41"/>
  <c r="H76" i="41"/>
  <c r="I76" i="41"/>
  <c r="J76" i="41"/>
  <c r="K76" i="41"/>
  <c r="L76" i="41"/>
  <c r="M76" i="41"/>
  <c r="N76" i="41"/>
  <c r="O76" i="41"/>
  <c r="P76" i="41"/>
  <c r="Q76" i="41"/>
  <c r="R76" i="41"/>
  <c r="S76" i="41"/>
  <c r="T76" i="41"/>
  <c r="U76" i="41"/>
  <c r="V76" i="41"/>
  <c r="W76" i="41"/>
  <c r="X76" i="41"/>
  <c r="Y76" i="41"/>
  <c r="Z76" i="41"/>
  <c r="AA76" i="41"/>
  <c r="C77" i="41"/>
  <c r="E77" i="41"/>
  <c r="F77" i="41"/>
  <c r="G77" i="41"/>
  <c r="H77" i="41"/>
  <c r="I77" i="41"/>
  <c r="J77" i="41"/>
  <c r="K77" i="41"/>
  <c r="L77" i="41"/>
  <c r="M77" i="41"/>
  <c r="N77" i="41"/>
  <c r="O77" i="41"/>
  <c r="P77" i="41"/>
  <c r="Q77" i="41"/>
  <c r="R77" i="41"/>
  <c r="S77" i="41"/>
  <c r="T77" i="41"/>
  <c r="U77" i="41"/>
  <c r="V77" i="41"/>
  <c r="W77" i="41"/>
  <c r="X77" i="41"/>
  <c r="Y77" i="41"/>
  <c r="Z77" i="41"/>
  <c r="AA77" i="41"/>
  <c r="E78" i="41"/>
  <c r="F78" i="41"/>
  <c r="G78" i="41"/>
  <c r="H78" i="41"/>
  <c r="I78" i="41"/>
  <c r="J78" i="41"/>
  <c r="K78" i="41"/>
  <c r="L78" i="41"/>
  <c r="M78" i="41"/>
  <c r="N78" i="41"/>
  <c r="O78" i="41"/>
  <c r="P78" i="41"/>
  <c r="Q78" i="41"/>
  <c r="R78" i="41"/>
  <c r="S78" i="41"/>
  <c r="T78" i="41"/>
  <c r="U78" i="41"/>
  <c r="V78" i="41"/>
  <c r="W78" i="41"/>
  <c r="X78" i="41"/>
  <c r="Y78" i="41"/>
  <c r="Z78" i="41"/>
  <c r="AA78" i="41"/>
  <c r="AB78" i="41"/>
  <c r="F81" i="41"/>
  <c r="G81" i="41"/>
  <c r="H81" i="41"/>
  <c r="I81" i="41"/>
  <c r="J81" i="41"/>
  <c r="K81" i="41"/>
  <c r="L81" i="41"/>
  <c r="M81" i="41"/>
  <c r="N81" i="41"/>
  <c r="O81" i="41"/>
  <c r="P81" i="41"/>
  <c r="Q81" i="41"/>
  <c r="R81" i="41"/>
  <c r="S81" i="41"/>
  <c r="T81" i="41"/>
  <c r="U81" i="41"/>
  <c r="V81" i="41"/>
  <c r="W81" i="41"/>
  <c r="X81" i="41"/>
  <c r="Y81" i="41"/>
  <c r="Z81" i="41"/>
  <c r="AA81" i="41"/>
  <c r="F82" i="41"/>
  <c r="G82" i="41"/>
  <c r="H82" i="41"/>
  <c r="I82" i="41"/>
  <c r="J82" i="41"/>
  <c r="K82" i="41"/>
  <c r="L82" i="41"/>
  <c r="M82" i="41"/>
  <c r="N82" i="41"/>
  <c r="O82" i="41"/>
  <c r="P82" i="41"/>
  <c r="Q82" i="41"/>
  <c r="R82" i="41"/>
  <c r="S82" i="41"/>
  <c r="T82" i="41"/>
  <c r="U82" i="41"/>
  <c r="V82" i="41"/>
  <c r="W82" i="41"/>
  <c r="X82" i="41"/>
  <c r="Y82" i="41"/>
  <c r="Z82" i="41"/>
  <c r="AA82" i="41"/>
  <c r="F83" i="41"/>
  <c r="G83" i="41"/>
  <c r="H83" i="41"/>
  <c r="I83" i="41"/>
  <c r="J83" i="41"/>
  <c r="K83" i="41"/>
  <c r="L83" i="41"/>
  <c r="M83" i="41"/>
  <c r="N83" i="41"/>
  <c r="O83" i="41"/>
  <c r="P83" i="41"/>
  <c r="Q83" i="41"/>
  <c r="R83" i="41"/>
  <c r="S83" i="41"/>
  <c r="T83" i="41"/>
  <c r="U83" i="41"/>
  <c r="V83" i="41"/>
  <c r="W83" i="41"/>
  <c r="X83" i="41"/>
  <c r="Y83" i="41"/>
  <c r="Z83" i="41"/>
  <c r="AA83" i="41"/>
  <c r="F85" i="41"/>
  <c r="G85" i="41"/>
  <c r="H85" i="41"/>
  <c r="I85" i="41"/>
  <c r="J85" i="41"/>
  <c r="K85" i="41"/>
  <c r="L85" i="41"/>
  <c r="M85" i="41"/>
  <c r="N85" i="41"/>
  <c r="O85" i="41"/>
  <c r="P85" i="41"/>
  <c r="Q85" i="41"/>
  <c r="R85" i="41"/>
  <c r="S85" i="41"/>
  <c r="T85" i="41"/>
  <c r="U85" i="41"/>
  <c r="V85" i="41"/>
  <c r="W85" i="41"/>
  <c r="X85" i="41"/>
  <c r="Y85" i="41"/>
  <c r="Z85" i="41"/>
  <c r="AA85" i="41"/>
  <c r="F86" i="41"/>
  <c r="G86" i="41"/>
  <c r="H86" i="41"/>
  <c r="I86" i="41"/>
  <c r="J86" i="41"/>
  <c r="K86" i="41"/>
  <c r="L86" i="41"/>
  <c r="M86" i="41"/>
  <c r="N86" i="41"/>
  <c r="O86" i="41"/>
  <c r="P86" i="41"/>
  <c r="Q86" i="41"/>
  <c r="R86" i="41"/>
  <c r="S86" i="41"/>
  <c r="T86" i="41"/>
  <c r="U86" i="41"/>
  <c r="V86" i="41"/>
  <c r="W86" i="41"/>
  <c r="X86" i="41"/>
  <c r="Y86" i="41"/>
  <c r="Z86" i="41"/>
  <c r="AA86" i="41"/>
  <c r="F87" i="41"/>
  <c r="G87" i="41"/>
  <c r="H87" i="41"/>
  <c r="I87" i="41"/>
  <c r="J87" i="41"/>
  <c r="K87" i="41"/>
  <c r="L87" i="41"/>
  <c r="M87" i="41"/>
  <c r="N87" i="41"/>
  <c r="O87" i="41"/>
  <c r="P87" i="41"/>
  <c r="Q87" i="41"/>
  <c r="R87" i="41"/>
  <c r="S87" i="41"/>
  <c r="T87" i="41"/>
  <c r="U87" i="41"/>
  <c r="V87" i="41"/>
  <c r="W87" i="41"/>
  <c r="X87" i="41"/>
  <c r="Y87" i="41"/>
  <c r="Z87" i="41"/>
  <c r="AA87" i="41"/>
  <c r="F88" i="41"/>
  <c r="G88" i="41"/>
  <c r="H88" i="41"/>
  <c r="I88" i="41"/>
  <c r="J88" i="41"/>
  <c r="K88" i="41"/>
  <c r="L88" i="41"/>
  <c r="M88" i="41"/>
  <c r="N88" i="41"/>
  <c r="O88" i="41"/>
  <c r="P88" i="41"/>
  <c r="Q88" i="41"/>
  <c r="R88" i="41"/>
  <c r="S88" i="41"/>
  <c r="T88" i="41"/>
  <c r="U88" i="41"/>
  <c r="V88" i="41"/>
  <c r="W88" i="41"/>
  <c r="X88" i="41"/>
  <c r="Y88" i="41"/>
  <c r="Z88" i="41"/>
  <c r="AA88" i="41"/>
  <c r="F89" i="41"/>
  <c r="G89" i="41"/>
  <c r="H89" i="41"/>
  <c r="I89" i="41"/>
  <c r="J89" i="41"/>
  <c r="K89" i="41"/>
  <c r="L89" i="41"/>
  <c r="M89" i="41"/>
  <c r="N89" i="41"/>
  <c r="O89" i="41"/>
  <c r="P89" i="41"/>
  <c r="Q89" i="41"/>
  <c r="R89" i="41"/>
  <c r="S89" i="41"/>
  <c r="T89" i="41"/>
  <c r="U89" i="41"/>
  <c r="V89" i="41"/>
  <c r="W89" i="41"/>
  <c r="X89" i="41"/>
  <c r="Y89" i="41"/>
  <c r="Z89" i="41"/>
  <c r="AA89" i="41"/>
  <c r="A1" i="8"/>
  <c r="A2" i="8"/>
  <c r="A3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AC16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C19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C20" i="8"/>
  <c r="B22" i="8"/>
  <c r="C22" i="8"/>
  <c r="C23" i="8"/>
  <c r="C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26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C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C40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C41" i="8"/>
  <c r="B43" i="8"/>
  <c r="C43" i="8"/>
  <c r="B44" i="8"/>
  <c r="C44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A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Y47" i="8"/>
  <c r="Z47" i="8"/>
  <c r="AA47" i="8"/>
  <c r="AB47" i="8"/>
  <c r="AC47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Z48" i="8"/>
  <c r="AA48" i="8"/>
  <c r="AB48" i="8"/>
  <c r="AC48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Z49" i="8"/>
  <c r="AA49" i="8"/>
  <c r="AB49" i="8"/>
  <c r="AC49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Y50" i="8"/>
  <c r="Z50" i="8"/>
  <c r="AA50" i="8"/>
  <c r="AB50" i="8"/>
  <c r="AC50" i="8"/>
  <c r="C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Y51" i="8"/>
  <c r="Z51" i="8"/>
  <c r="AA51" i="8"/>
  <c r="AB51" i="8"/>
  <c r="AC51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AB53" i="8"/>
  <c r="AC53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Y54" i="8"/>
  <c r="Z54" i="8"/>
  <c r="AA54" i="8"/>
  <c r="AC54" i="8"/>
  <c r="AD54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Y55" i="8"/>
  <c r="Z55" i="8"/>
  <c r="AA55" i="8"/>
  <c r="AC55" i="8"/>
  <c r="AD55" i="8"/>
  <c r="B57" i="8"/>
  <c r="C57" i="8"/>
  <c r="D57" i="8"/>
  <c r="B58" i="8"/>
  <c r="C58" i="8"/>
  <c r="D58" i="8"/>
  <c r="A1" i="58"/>
  <c r="A2" i="58"/>
  <c r="A3" i="58"/>
  <c r="R6" i="58"/>
  <c r="V6" i="58"/>
  <c r="W6" i="58"/>
  <c r="Q8" i="58"/>
  <c r="B9" i="58"/>
  <c r="C9" i="58"/>
  <c r="E9" i="58"/>
  <c r="F9" i="58"/>
  <c r="G9" i="58"/>
  <c r="H9" i="58"/>
  <c r="I9" i="58"/>
  <c r="J9" i="58"/>
  <c r="K9" i="58"/>
  <c r="M9" i="58"/>
  <c r="N9" i="58"/>
  <c r="O9" i="58"/>
  <c r="P9" i="58"/>
  <c r="Q9" i="58"/>
  <c r="R9" i="58"/>
  <c r="S9" i="58"/>
  <c r="U9" i="58"/>
  <c r="V9" i="58"/>
  <c r="W9" i="58"/>
  <c r="X9" i="58"/>
  <c r="Y9" i="58"/>
  <c r="Z9" i="58"/>
  <c r="AA9" i="58"/>
  <c r="AB9" i="58"/>
  <c r="B10" i="58"/>
  <c r="C10" i="58"/>
  <c r="E10" i="58"/>
  <c r="F10" i="58"/>
  <c r="G10" i="58"/>
  <c r="H10" i="58"/>
  <c r="I10" i="58"/>
  <c r="J10" i="58"/>
  <c r="K10" i="58"/>
  <c r="M10" i="58"/>
  <c r="N10" i="58"/>
  <c r="O10" i="58"/>
  <c r="P10" i="58"/>
  <c r="Q10" i="58"/>
  <c r="R10" i="58"/>
  <c r="S10" i="58"/>
  <c r="U10" i="58"/>
  <c r="V10" i="58"/>
  <c r="W10" i="58"/>
  <c r="X10" i="58"/>
  <c r="Y10" i="58"/>
  <c r="Z10" i="58"/>
  <c r="AA10" i="58"/>
  <c r="AB10" i="58"/>
  <c r="B11" i="58"/>
  <c r="C11" i="58"/>
  <c r="E11" i="58"/>
  <c r="F11" i="58"/>
  <c r="G11" i="58"/>
  <c r="H11" i="58"/>
  <c r="I11" i="58"/>
  <c r="J11" i="58"/>
  <c r="K11" i="58"/>
  <c r="M11" i="58"/>
  <c r="N11" i="58"/>
  <c r="O11" i="58"/>
  <c r="P11" i="58"/>
  <c r="Q11" i="58"/>
  <c r="R11" i="58"/>
  <c r="S11" i="58"/>
  <c r="U11" i="58"/>
  <c r="V11" i="58"/>
  <c r="W11" i="58"/>
  <c r="X11" i="58"/>
  <c r="Y11" i="58"/>
  <c r="Z11" i="58"/>
  <c r="AA11" i="58"/>
  <c r="B12" i="58"/>
  <c r="C12" i="58"/>
  <c r="E12" i="58"/>
  <c r="F12" i="58"/>
  <c r="G12" i="58"/>
  <c r="H12" i="58"/>
  <c r="I12" i="58"/>
  <c r="J12" i="58"/>
  <c r="K12" i="58"/>
  <c r="M12" i="58"/>
  <c r="N12" i="58"/>
  <c r="O12" i="58"/>
  <c r="P12" i="58"/>
  <c r="Q12" i="58"/>
  <c r="R12" i="58"/>
  <c r="S12" i="58"/>
  <c r="U12" i="58"/>
  <c r="V12" i="58"/>
  <c r="W12" i="58"/>
  <c r="X12" i="58"/>
  <c r="Y12" i="58"/>
  <c r="Z12" i="58"/>
  <c r="AA12" i="58"/>
  <c r="B13" i="58"/>
  <c r="C13" i="58"/>
  <c r="E13" i="58"/>
  <c r="F13" i="58"/>
  <c r="G13" i="58"/>
  <c r="H13" i="58"/>
  <c r="I13" i="58"/>
  <c r="J13" i="58"/>
  <c r="K13" i="58"/>
  <c r="M13" i="58"/>
  <c r="N13" i="58"/>
  <c r="O13" i="58"/>
  <c r="P13" i="58"/>
  <c r="Q13" i="58"/>
  <c r="R13" i="58"/>
  <c r="S13" i="58"/>
  <c r="U13" i="58"/>
  <c r="V13" i="58"/>
  <c r="W13" i="58"/>
  <c r="X13" i="58"/>
  <c r="Y13" i="58"/>
  <c r="Z13" i="58"/>
  <c r="AA13" i="58"/>
  <c r="AB13" i="58"/>
  <c r="B14" i="58"/>
  <c r="C14" i="58"/>
  <c r="E14" i="58"/>
  <c r="F14" i="58"/>
  <c r="G14" i="58"/>
  <c r="H14" i="58"/>
  <c r="I14" i="58"/>
  <c r="J14" i="58"/>
  <c r="K14" i="58"/>
  <c r="M14" i="58"/>
  <c r="N14" i="58"/>
  <c r="O14" i="58"/>
  <c r="P14" i="58"/>
  <c r="Q14" i="58"/>
  <c r="R14" i="58"/>
  <c r="S14" i="58"/>
  <c r="U14" i="58"/>
  <c r="V14" i="58"/>
  <c r="W14" i="58"/>
  <c r="X14" i="58"/>
  <c r="Y14" i="58"/>
  <c r="Z14" i="58"/>
  <c r="AA14" i="58"/>
  <c r="B15" i="58"/>
  <c r="C15" i="58"/>
  <c r="E15" i="58"/>
  <c r="F15" i="58"/>
  <c r="G15" i="58"/>
  <c r="H15" i="58"/>
  <c r="I15" i="58"/>
  <c r="J15" i="58"/>
  <c r="K15" i="58"/>
  <c r="M15" i="58"/>
  <c r="N15" i="58"/>
  <c r="O15" i="58"/>
  <c r="P15" i="58"/>
  <c r="Q15" i="58"/>
  <c r="R15" i="58"/>
  <c r="S15" i="58"/>
  <c r="U15" i="58"/>
  <c r="V15" i="58"/>
  <c r="W15" i="58"/>
  <c r="X15" i="58"/>
  <c r="Y15" i="58"/>
  <c r="Z15" i="58"/>
  <c r="AA15" i="58"/>
  <c r="AB15" i="58"/>
  <c r="B16" i="58"/>
  <c r="C16" i="58"/>
  <c r="E16" i="58"/>
  <c r="F16" i="58"/>
  <c r="G16" i="58"/>
  <c r="H16" i="58"/>
  <c r="I16" i="58"/>
  <c r="J16" i="58"/>
  <c r="K16" i="58"/>
  <c r="M16" i="58"/>
  <c r="N16" i="58"/>
  <c r="O16" i="58"/>
  <c r="P16" i="58"/>
  <c r="Q16" i="58"/>
  <c r="R16" i="58"/>
  <c r="S16" i="58"/>
  <c r="U16" i="58"/>
  <c r="V16" i="58"/>
  <c r="W16" i="58"/>
  <c r="X16" i="58"/>
  <c r="Y16" i="58"/>
  <c r="Z16" i="58"/>
  <c r="AA16" i="58"/>
  <c r="B17" i="58"/>
  <c r="C17" i="58"/>
  <c r="E17" i="58"/>
  <c r="F17" i="58"/>
  <c r="G17" i="58"/>
  <c r="H17" i="58"/>
  <c r="I17" i="58"/>
  <c r="J17" i="58"/>
  <c r="K17" i="58"/>
  <c r="M17" i="58"/>
  <c r="N17" i="58"/>
  <c r="O17" i="58"/>
  <c r="P17" i="58"/>
  <c r="Q17" i="58"/>
  <c r="R17" i="58"/>
  <c r="S17" i="58"/>
  <c r="U17" i="58"/>
  <c r="V17" i="58"/>
  <c r="W17" i="58"/>
  <c r="X17" i="58"/>
  <c r="Y17" i="58"/>
  <c r="Z17" i="58"/>
  <c r="AA17" i="58"/>
  <c r="AB17" i="58"/>
  <c r="B18" i="58"/>
  <c r="C18" i="58"/>
  <c r="E18" i="58"/>
  <c r="F18" i="58"/>
  <c r="G18" i="58"/>
  <c r="H18" i="58"/>
  <c r="I18" i="58"/>
  <c r="J18" i="58"/>
  <c r="K18" i="58"/>
  <c r="M18" i="58"/>
  <c r="N18" i="58"/>
  <c r="O18" i="58"/>
  <c r="P18" i="58"/>
  <c r="Q18" i="58"/>
  <c r="R18" i="58"/>
  <c r="S18" i="58"/>
  <c r="U18" i="58"/>
  <c r="V18" i="58"/>
  <c r="W18" i="58"/>
  <c r="X18" i="58"/>
  <c r="Y18" i="58"/>
  <c r="Z18" i="58"/>
  <c r="AA18" i="58"/>
  <c r="B19" i="58"/>
  <c r="C19" i="58"/>
  <c r="E19" i="58"/>
  <c r="F19" i="58"/>
  <c r="G19" i="58"/>
  <c r="H19" i="58"/>
  <c r="I19" i="58"/>
  <c r="J19" i="58"/>
  <c r="K19" i="58"/>
  <c r="M19" i="58"/>
  <c r="N19" i="58"/>
  <c r="O19" i="58"/>
  <c r="P19" i="58"/>
  <c r="Q19" i="58"/>
  <c r="R19" i="58"/>
  <c r="S19" i="58"/>
  <c r="U19" i="58"/>
  <c r="V19" i="58"/>
  <c r="W19" i="58"/>
  <c r="X19" i="58"/>
  <c r="Y19" i="58"/>
  <c r="Z19" i="58"/>
  <c r="AA19" i="58"/>
  <c r="AB19" i="58"/>
  <c r="B20" i="58"/>
  <c r="C20" i="58"/>
  <c r="E20" i="58"/>
  <c r="F20" i="58"/>
  <c r="G20" i="58"/>
  <c r="H20" i="58"/>
  <c r="I20" i="58"/>
  <c r="J20" i="58"/>
  <c r="K20" i="58"/>
  <c r="M20" i="58"/>
  <c r="N20" i="58"/>
  <c r="O20" i="58"/>
  <c r="P20" i="58"/>
  <c r="Q20" i="58"/>
  <c r="R20" i="58"/>
  <c r="S20" i="58"/>
  <c r="U20" i="58"/>
  <c r="V20" i="58"/>
  <c r="W20" i="58"/>
  <c r="X20" i="58"/>
  <c r="Y20" i="58"/>
  <c r="Z20" i="58"/>
  <c r="AA20" i="58"/>
  <c r="B21" i="58"/>
  <c r="C21" i="58"/>
  <c r="E21" i="58"/>
  <c r="F21" i="58"/>
  <c r="G21" i="58"/>
  <c r="H21" i="58"/>
  <c r="I21" i="58"/>
  <c r="J21" i="58"/>
  <c r="K21" i="58"/>
  <c r="M21" i="58"/>
  <c r="N21" i="58"/>
  <c r="O21" i="58"/>
  <c r="P21" i="58"/>
  <c r="Q21" i="58"/>
  <c r="R21" i="58"/>
  <c r="S21" i="58"/>
  <c r="U21" i="58"/>
  <c r="V21" i="58"/>
  <c r="W21" i="58"/>
  <c r="X21" i="58"/>
  <c r="Y21" i="58"/>
  <c r="Z21" i="58"/>
  <c r="AA21" i="58"/>
  <c r="AB21" i="58"/>
  <c r="B22" i="58"/>
  <c r="C22" i="58"/>
  <c r="E22" i="58"/>
  <c r="F22" i="58"/>
  <c r="G22" i="58"/>
  <c r="H22" i="58"/>
  <c r="I22" i="58"/>
  <c r="J22" i="58"/>
  <c r="K22" i="58"/>
  <c r="M22" i="58"/>
  <c r="N22" i="58"/>
  <c r="O22" i="58"/>
  <c r="P22" i="58"/>
  <c r="Q22" i="58"/>
  <c r="R22" i="58"/>
  <c r="S22" i="58"/>
  <c r="U22" i="58"/>
  <c r="V22" i="58"/>
  <c r="W22" i="58"/>
  <c r="X22" i="58"/>
  <c r="Y22" i="58"/>
  <c r="Z22" i="58"/>
  <c r="AA22" i="58"/>
  <c r="B23" i="58"/>
  <c r="C23" i="58"/>
  <c r="E23" i="58"/>
  <c r="F23" i="58"/>
  <c r="G23" i="58"/>
  <c r="H23" i="58"/>
  <c r="I23" i="58"/>
  <c r="J23" i="58"/>
  <c r="K23" i="58"/>
  <c r="M23" i="58"/>
  <c r="N23" i="58"/>
  <c r="O23" i="58"/>
  <c r="P23" i="58"/>
  <c r="Q23" i="58"/>
  <c r="R23" i="58"/>
  <c r="S23" i="58"/>
  <c r="U23" i="58"/>
  <c r="V23" i="58"/>
  <c r="W23" i="58"/>
  <c r="X23" i="58"/>
  <c r="Y23" i="58"/>
  <c r="Z23" i="58"/>
  <c r="AA23" i="58"/>
  <c r="AB23" i="58"/>
  <c r="B24" i="58"/>
  <c r="C24" i="58"/>
  <c r="E24" i="58"/>
  <c r="F24" i="58"/>
  <c r="G24" i="58"/>
  <c r="H24" i="58"/>
  <c r="I24" i="58"/>
  <c r="J24" i="58"/>
  <c r="K24" i="58"/>
  <c r="M24" i="58"/>
  <c r="N24" i="58"/>
  <c r="O24" i="58"/>
  <c r="P24" i="58"/>
  <c r="Q24" i="58"/>
  <c r="R24" i="58"/>
  <c r="S24" i="58"/>
  <c r="U24" i="58"/>
  <c r="V24" i="58"/>
  <c r="W24" i="58"/>
  <c r="X24" i="58"/>
  <c r="Y24" i="58"/>
  <c r="Z24" i="58"/>
  <c r="AA24" i="58"/>
  <c r="B25" i="58"/>
  <c r="C25" i="58"/>
  <c r="E25" i="58"/>
  <c r="F25" i="58"/>
  <c r="G25" i="58"/>
  <c r="H25" i="58"/>
  <c r="I25" i="58"/>
  <c r="J25" i="58"/>
  <c r="K25" i="58"/>
  <c r="M25" i="58"/>
  <c r="N25" i="58"/>
  <c r="O25" i="58"/>
  <c r="P25" i="58"/>
  <c r="Q25" i="58"/>
  <c r="R25" i="58"/>
  <c r="S25" i="58"/>
  <c r="U25" i="58"/>
  <c r="V25" i="58"/>
  <c r="W25" i="58"/>
  <c r="X25" i="58"/>
  <c r="Y25" i="58"/>
  <c r="Z25" i="58"/>
  <c r="AA25" i="58"/>
  <c r="AB25" i="58"/>
  <c r="B26" i="58"/>
  <c r="C26" i="58"/>
  <c r="E26" i="58"/>
  <c r="F26" i="58"/>
  <c r="G26" i="58"/>
  <c r="H26" i="58"/>
  <c r="I26" i="58"/>
  <c r="J26" i="58"/>
  <c r="K26" i="58"/>
  <c r="M26" i="58"/>
  <c r="N26" i="58"/>
  <c r="O26" i="58"/>
  <c r="P26" i="58"/>
  <c r="Q26" i="58"/>
  <c r="R26" i="58"/>
  <c r="S26" i="58"/>
  <c r="U26" i="58"/>
  <c r="V26" i="58"/>
  <c r="W26" i="58"/>
  <c r="X26" i="58"/>
  <c r="Y26" i="58"/>
  <c r="Z26" i="58"/>
  <c r="AA26" i="58"/>
  <c r="B27" i="58"/>
  <c r="C27" i="58"/>
  <c r="E27" i="58"/>
  <c r="F27" i="58"/>
  <c r="G27" i="58"/>
  <c r="H27" i="58"/>
  <c r="I27" i="58"/>
  <c r="J27" i="58"/>
  <c r="K27" i="58"/>
  <c r="M27" i="58"/>
  <c r="N27" i="58"/>
  <c r="O27" i="58"/>
  <c r="P27" i="58"/>
  <c r="Q27" i="58"/>
  <c r="R27" i="58"/>
  <c r="S27" i="58"/>
  <c r="U27" i="58"/>
  <c r="V27" i="58"/>
  <c r="W27" i="58"/>
  <c r="X27" i="58"/>
  <c r="Y27" i="58"/>
  <c r="Z27" i="58"/>
  <c r="AA27" i="58"/>
  <c r="AB27" i="58"/>
  <c r="B28" i="58"/>
  <c r="C28" i="58"/>
  <c r="E28" i="58"/>
  <c r="F28" i="58"/>
  <c r="G28" i="58"/>
  <c r="H28" i="58"/>
  <c r="I28" i="58"/>
  <c r="J28" i="58"/>
  <c r="K28" i="58"/>
  <c r="M28" i="58"/>
  <c r="N28" i="58"/>
  <c r="O28" i="58"/>
  <c r="P28" i="58"/>
  <c r="Q28" i="58"/>
  <c r="R28" i="58"/>
  <c r="S28" i="58"/>
  <c r="U28" i="58"/>
  <c r="V28" i="58"/>
  <c r="W28" i="58"/>
  <c r="X28" i="58"/>
  <c r="Y28" i="58"/>
  <c r="Z28" i="58"/>
  <c r="AA28" i="58"/>
  <c r="B29" i="58"/>
  <c r="C29" i="58"/>
  <c r="E29" i="58"/>
  <c r="F29" i="58"/>
  <c r="G29" i="58"/>
  <c r="H29" i="58"/>
  <c r="I29" i="58"/>
  <c r="J29" i="58"/>
  <c r="K29" i="58"/>
  <c r="M29" i="58"/>
  <c r="N29" i="58"/>
  <c r="O29" i="58"/>
  <c r="P29" i="58"/>
  <c r="Q29" i="58"/>
  <c r="R29" i="58"/>
  <c r="S29" i="58"/>
  <c r="U29" i="58"/>
  <c r="V29" i="58"/>
  <c r="W29" i="58"/>
  <c r="X29" i="58"/>
  <c r="Y29" i="58"/>
  <c r="Z29" i="58"/>
  <c r="AA29" i="58"/>
  <c r="AB29" i="58"/>
  <c r="B30" i="58"/>
  <c r="C30" i="58"/>
  <c r="E30" i="58"/>
  <c r="F30" i="58"/>
  <c r="G30" i="58"/>
  <c r="H30" i="58"/>
  <c r="I30" i="58"/>
  <c r="J30" i="58"/>
  <c r="K30" i="58"/>
  <c r="M30" i="58"/>
  <c r="N30" i="58"/>
  <c r="O30" i="58"/>
  <c r="P30" i="58"/>
  <c r="Q30" i="58"/>
  <c r="R30" i="58"/>
  <c r="S30" i="58"/>
  <c r="U30" i="58"/>
  <c r="V30" i="58"/>
  <c r="W30" i="58"/>
  <c r="X30" i="58"/>
  <c r="Y30" i="58"/>
  <c r="Z30" i="58"/>
  <c r="AA30" i="58"/>
  <c r="B31" i="58"/>
  <c r="C31" i="58"/>
  <c r="E31" i="58"/>
  <c r="F31" i="58"/>
  <c r="G31" i="58"/>
  <c r="H31" i="58"/>
  <c r="I31" i="58"/>
  <c r="J31" i="58"/>
  <c r="K31" i="58"/>
  <c r="M31" i="58"/>
  <c r="N31" i="58"/>
  <c r="O31" i="58"/>
  <c r="P31" i="58"/>
  <c r="Q31" i="58"/>
  <c r="R31" i="58"/>
  <c r="S31" i="58"/>
  <c r="U31" i="58"/>
  <c r="V31" i="58"/>
  <c r="W31" i="58"/>
  <c r="X31" i="58"/>
  <c r="Y31" i="58"/>
  <c r="Z31" i="58"/>
  <c r="AA31" i="58"/>
  <c r="AB31" i="58"/>
  <c r="B32" i="58"/>
  <c r="C32" i="58"/>
  <c r="E32" i="58"/>
  <c r="F32" i="58"/>
  <c r="G32" i="58"/>
  <c r="H32" i="58"/>
  <c r="I32" i="58"/>
  <c r="J32" i="58"/>
  <c r="K32" i="58"/>
  <c r="M32" i="58"/>
  <c r="N32" i="58"/>
  <c r="O32" i="58"/>
  <c r="P32" i="58"/>
  <c r="Q32" i="58"/>
  <c r="R32" i="58"/>
  <c r="S32" i="58"/>
  <c r="U32" i="58"/>
  <c r="V32" i="58"/>
  <c r="W32" i="58"/>
  <c r="X32" i="58"/>
  <c r="Y32" i="58"/>
  <c r="Z32" i="58"/>
  <c r="AA32" i="58"/>
  <c r="B33" i="58"/>
  <c r="C33" i="58"/>
  <c r="E33" i="58"/>
  <c r="F33" i="58"/>
  <c r="G33" i="58"/>
  <c r="H33" i="58"/>
  <c r="I33" i="58"/>
  <c r="J33" i="58"/>
  <c r="K33" i="58"/>
  <c r="M33" i="58"/>
  <c r="N33" i="58"/>
  <c r="O33" i="58"/>
  <c r="P33" i="58"/>
  <c r="Q33" i="58"/>
  <c r="R33" i="58"/>
  <c r="S33" i="58"/>
  <c r="U33" i="58"/>
  <c r="V33" i="58"/>
  <c r="W33" i="58"/>
  <c r="X33" i="58"/>
  <c r="Y33" i="58"/>
  <c r="Z33" i="58"/>
  <c r="AA33" i="58"/>
  <c r="AB33" i="58"/>
  <c r="B34" i="58"/>
  <c r="C34" i="58"/>
  <c r="E34" i="58"/>
  <c r="F34" i="58"/>
  <c r="G34" i="58"/>
  <c r="H34" i="58"/>
  <c r="I34" i="58"/>
  <c r="J34" i="58"/>
  <c r="K34" i="58"/>
  <c r="M34" i="58"/>
  <c r="N34" i="58"/>
  <c r="O34" i="58"/>
  <c r="P34" i="58"/>
  <c r="Q34" i="58"/>
  <c r="R34" i="58"/>
  <c r="S34" i="58"/>
  <c r="U34" i="58"/>
  <c r="V34" i="58"/>
  <c r="W34" i="58"/>
  <c r="X34" i="58"/>
  <c r="Y34" i="58"/>
  <c r="Z34" i="58"/>
  <c r="AA34" i="58"/>
  <c r="B35" i="58"/>
  <c r="C35" i="58"/>
  <c r="E35" i="58"/>
  <c r="F35" i="58"/>
  <c r="G35" i="58"/>
  <c r="H35" i="58"/>
  <c r="I35" i="58"/>
  <c r="J35" i="58"/>
  <c r="K35" i="58"/>
  <c r="M35" i="58"/>
  <c r="N35" i="58"/>
  <c r="O35" i="58"/>
  <c r="P35" i="58"/>
  <c r="Q35" i="58"/>
  <c r="R35" i="58"/>
  <c r="S35" i="58"/>
  <c r="U35" i="58"/>
  <c r="V35" i="58"/>
  <c r="W35" i="58"/>
  <c r="X35" i="58"/>
  <c r="Y35" i="58"/>
  <c r="Z35" i="58"/>
  <c r="AA35" i="58"/>
  <c r="AB35" i="58"/>
  <c r="B36" i="58"/>
  <c r="C36" i="58"/>
  <c r="E36" i="58"/>
  <c r="F36" i="58"/>
  <c r="G36" i="58"/>
  <c r="H36" i="58"/>
  <c r="I36" i="58"/>
  <c r="J36" i="58"/>
  <c r="K36" i="58"/>
  <c r="M36" i="58"/>
  <c r="N36" i="58"/>
  <c r="O36" i="58"/>
  <c r="P36" i="58"/>
  <c r="Q36" i="58"/>
  <c r="R36" i="58"/>
  <c r="S36" i="58"/>
  <c r="U36" i="58"/>
  <c r="V36" i="58"/>
  <c r="W36" i="58"/>
  <c r="X36" i="58"/>
  <c r="Y36" i="58"/>
  <c r="Z36" i="58"/>
  <c r="AA36" i="58"/>
  <c r="B37" i="58"/>
  <c r="C37" i="58"/>
  <c r="E37" i="58"/>
  <c r="F37" i="58"/>
  <c r="G37" i="58"/>
  <c r="H37" i="58"/>
  <c r="I37" i="58"/>
  <c r="J37" i="58"/>
  <c r="K37" i="58"/>
  <c r="M37" i="58"/>
  <c r="N37" i="58"/>
  <c r="O37" i="58"/>
  <c r="P37" i="58"/>
  <c r="Q37" i="58"/>
  <c r="R37" i="58"/>
  <c r="S37" i="58"/>
  <c r="U37" i="58"/>
  <c r="V37" i="58"/>
  <c r="W37" i="58"/>
  <c r="X37" i="58"/>
  <c r="Y37" i="58"/>
  <c r="Z37" i="58"/>
  <c r="AA37" i="58"/>
  <c r="AB37" i="58"/>
  <c r="B38" i="58"/>
  <c r="C38" i="58"/>
  <c r="E38" i="58"/>
  <c r="F38" i="58"/>
  <c r="G38" i="58"/>
  <c r="H38" i="58"/>
  <c r="I38" i="58"/>
  <c r="J38" i="58"/>
  <c r="K38" i="58"/>
  <c r="M38" i="58"/>
  <c r="N38" i="58"/>
  <c r="O38" i="58"/>
  <c r="P38" i="58"/>
  <c r="Q38" i="58"/>
  <c r="R38" i="58"/>
  <c r="S38" i="58"/>
  <c r="U38" i="58"/>
  <c r="V38" i="58"/>
  <c r="W38" i="58"/>
  <c r="X38" i="58"/>
  <c r="Y38" i="58"/>
  <c r="Z38" i="58"/>
  <c r="AA38" i="58"/>
  <c r="B39" i="58"/>
  <c r="C39" i="58"/>
  <c r="E39" i="58"/>
  <c r="F39" i="58"/>
  <c r="G39" i="58"/>
  <c r="H39" i="58"/>
  <c r="I39" i="58"/>
  <c r="J39" i="58"/>
  <c r="K39" i="58"/>
  <c r="M39" i="58"/>
  <c r="N39" i="58"/>
  <c r="O39" i="58"/>
  <c r="P39" i="58"/>
  <c r="Q39" i="58"/>
  <c r="R39" i="58"/>
  <c r="S39" i="58"/>
  <c r="U39" i="58"/>
  <c r="V39" i="58"/>
  <c r="W39" i="58"/>
  <c r="X39" i="58"/>
  <c r="Y39" i="58"/>
  <c r="Z39" i="58"/>
  <c r="AA39" i="58"/>
  <c r="AB39" i="58"/>
  <c r="B40" i="58"/>
  <c r="C40" i="58"/>
  <c r="E40" i="58"/>
  <c r="F40" i="58"/>
  <c r="G40" i="58"/>
  <c r="H40" i="58"/>
  <c r="I40" i="58"/>
  <c r="J40" i="58"/>
  <c r="K40" i="58"/>
  <c r="M40" i="58"/>
  <c r="N40" i="58"/>
  <c r="O40" i="58"/>
  <c r="P40" i="58"/>
  <c r="Q40" i="58"/>
  <c r="R40" i="58"/>
  <c r="S40" i="58"/>
  <c r="U40" i="58"/>
  <c r="V40" i="58"/>
  <c r="W40" i="58"/>
  <c r="X40" i="58"/>
  <c r="Y40" i="58"/>
  <c r="Z40" i="58"/>
  <c r="AA40" i="58"/>
  <c r="B41" i="58"/>
  <c r="C41" i="58"/>
  <c r="E41" i="58"/>
  <c r="F41" i="58"/>
  <c r="G41" i="58"/>
  <c r="H41" i="58"/>
  <c r="I41" i="58"/>
  <c r="J41" i="58"/>
  <c r="K41" i="58"/>
  <c r="M41" i="58"/>
  <c r="N41" i="58"/>
  <c r="O41" i="58"/>
  <c r="P41" i="58"/>
  <c r="Q41" i="58"/>
  <c r="R41" i="58"/>
  <c r="S41" i="58"/>
  <c r="U41" i="58"/>
  <c r="V41" i="58"/>
  <c r="W41" i="58"/>
  <c r="X41" i="58"/>
  <c r="Y41" i="58"/>
  <c r="Z41" i="58"/>
  <c r="AA41" i="58"/>
  <c r="AB41" i="58"/>
  <c r="B42" i="58"/>
  <c r="C42" i="58"/>
  <c r="E42" i="58"/>
  <c r="F42" i="58"/>
  <c r="G42" i="58"/>
  <c r="H42" i="58"/>
  <c r="I42" i="58"/>
  <c r="J42" i="58"/>
  <c r="K42" i="58"/>
  <c r="M42" i="58"/>
  <c r="N42" i="58"/>
  <c r="O42" i="58"/>
  <c r="P42" i="58"/>
  <c r="Q42" i="58"/>
  <c r="R42" i="58"/>
  <c r="S42" i="58"/>
  <c r="U42" i="58"/>
  <c r="V42" i="58"/>
  <c r="W42" i="58"/>
  <c r="X42" i="58"/>
  <c r="Y42" i="58"/>
  <c r="Z42" i="58"/>
  <c r="AA42" i="58"/>
  <c r="B43" i="58"/>
  <c r="C43" i="58"/>
  <c r="E43" i="58"/>
  <c r="F43" i="58"/>
  <c r="G43" i="58"/>
  <c r="H43" i="58"/>
  <c r="I43" i="58"/>
  <c r="J43" i="58"/>
  <c r="K43" i="58"/>
  <c r="M43" i="58"/>
  <c r="N43" i="58"/>
  <c r="O43" i="58"/>
  <c r="P43" i="58"/>
  <c r="Q43" i="58"/>
  <c r="R43" i="58"/>
  <c r="S43" i="58"/>
  <c r="U43" i="58"/>
  <c r="V43" i="58"/>
  <c r="W43" i="58"/>
  <c r="X43" i="58"/>
  <c r="Y43" i="58"/>
  <c r="Z43" i="58"/>
  <c r="AA43" i="58"/>
  <c r="AB43" i="58"/>
  <c r="B44" i="58"/>
  <c r="C44" i="58"/>
  <c r="E44" i="58"/>
  <c r="F44" i="58"/>
  <c r="G44" i="58"/>
  <c r="H44" i="58"/>
  <c r="I44" i="58"/>
  <c r="J44" i="58"/>
  <c r="K44" i="58"/>
  <c r="M44" i="58"/>
  <c r="N44" i="58"/>
  <c r="O44" i="58"/>
  <c r="P44" i="58"/>
  <c r="Q44" i="58"/>
  <c r="R44" i="58"/>
  <c r="S44" i="58"/>
  <c r="U44" i="58"/>
  <c r="V44" i="58"/>
  <c r="W44" i="58"/>
  <c r="X44" i="58"/>
  <c r="Y44" i="58"/>
  <c r="Z44" i="58"/>
  <c r="AA44" i="58"/>
  <c r="B45" i="58"/>
  <c r="C45" i="58"/>
  <c r="E45" i="58"/>
  <c r="F45" i="58"/>
  <c r="G45" i="58"/>
  <c r="H45" i="58"/>
  <c r="I45" i="58"/>
  <c r="J45" i="58"/>
  <c r="K45" i="58"/>
  <c r="M45" i="58"/>
  <c r="N45" i="58"/>
  <c r="O45" i="58"/>
  <c r="P45" i="58"/>
  <c r="Q45" i="58"/>
  <c r="R45" i="58"/>
  <c r="S45" i="58"/>
  <c r="U45" i="58"/>
  <c r="V45" i="58"/>
  <c r="W45" i="58"/>
  <c r="X45" i="58"/>
  <c r="Y45" i="58"/>
  <c r="Z45" i="58"/>
  <c r="AA45" i="58"/>
  <c r="AB45" i="58"/>
  <c r="B46" i="58"/>
  <c r="C46" i="58"/>
  <c r="E46" i="58"/>
  <c r="F46" i="58"/>
  <c r="G46" i="58"/>
  <c r="H46" i="58"/>
  <c r="I46" i="58"/>
  <c r="J46" i="58"/>
  <c r="K46" i="58"/>
  <c r="M46" i="58"/>
  <c r="N46" i="58"/>
  <c r="O46" i="58"/>
  <c r="P46" i="58"/>
  <c r="Q46" i="58"/>
  <c r="R46" i="58"/>
  <c r="S46" i="58"/>
  <c r="U46" i="58"/>
  <c r="V46" i="58"/>
  <c r="W46" i="58"/>
  <c r="X46" i="58"/>
  <c r="Y46" i="58"/>
  <c r="Z46" i="58"/>
  <c r="AA46" i="58"/>
  <c r="B47" i="58"/>
  <c r="C47" i="58"/>
  <c r="E47" i="58"/>
  <c r="F47" i="58"/>
  <c r="G47" i="58"/>
  <c r="H47" i="58"/>
  <c r="I47" i="58"/>
  <c r="J47" i="58"/>
  <c r="K47" i="58"/>
  <c r="M47" i="58"/>
  <c r="N47" i="58"/>
  <c r="O47" i="58"/>
  <c r="P47" i="58"/>
  <c r="Q47" i="58"/>
  <c r="R47" i="58"/>
  <c r="S47" i="58"/>
  <c r="U47" i="58"/>
  <c r="V47" i="58"/>
  <c r="W47" i="58"/>
  <c r="X47" i="58"/>
  <c r="Y47" i="58"/>
  <c r="Z47" i="58"/>
  <c r="AA47" i="58"/>
  <c r="AB47" i="58"/>
  <c r="E49" i="58"/>
  <c r="F49" i="58"/>
  <c r="G49" i="58"/>
  <c r="H49" i="58"/>
  <c r="I49" i="58"/>
  <c r="J49" i="58"/>
  <c r="K49" i="58"/>
  <c r="M49" i="58"/>
  <c r="N49" i="58"/>
  <c r="O49" i="58"/>
  <c r="P49" i="58"/>
  <c r="Q49" i="58"/>
  <c r="R49" i="58"/>
  <c r="S49" i="58"/>
  <c r="U49" i="58"/>
  <c r="V49" i="58"/>
  <c r="W49" i="58"/>
  <c r="Z49" i="58"/>
  <c r="C50" i="58"/>
  <c r="D50" i="58"/>
  <c r="E50" i="58"/>
  <c r="F50" i="58"/>
  <c r="G50" i="58"/>
  <c r="H50" i="58"/>
  <c r="I50" i="58"/>
  <c r="J50" i="58"/>
  <c r="K50" i="58"/>
  <c r="L50" i="58"/>
  <c r="M50" i="58"/>
  <c r="N50" i="58"/>
  <c r="O50" i="58"/>
  <c r="P50" i="58"/>
  <c r="Q50" i="58"/>
  <c r="R50" i="58"/>
  <c r="S50" i="58"/>
  <c r="T50" i="58"/>
  <c r="U50" i="58"/>
  <c r="V50" i="58"/>
  <c r="W50" i="58"/>
  <c r="X50" i="58"/>
  <c r="Y50" i="58"/>
  <c r="Z50" i="58"/>
  <c r="AA50" i="58"/>
  <c r="AB50" i="58"/>
  <c r="C55" i="58"/>
  <c r="E55" i="58"/>
  <c r="F55" i="58"/>
  <c r="G55" i="58"/>
  <c r="H55" i="58"/>
  <c r="I55" i="58"/>
  <c r="J55" i="58"/>
  <c r="K55" i="58"/>
  <c r="C56" i="58"/>
  <c r="E56" i="58"/>
  <c r="F56" i="58"/>
  <c r="G56" i="58"/>
  <c r="H56" i="58"/>
  <c r="I56" i="58"/>
  <c r="J56" i="58"/>
  <c r="K56" i="58"/>
  <c r="C57" i="58"/>
  <c r="E57" i="58"/>
  <c r="F57" i="58"/>
  <c r="G57" i="58"/>
  <c r="H57" i="58"/>
  <c r="I57" i="58"/>
  <c r="J57" i="58"/>
  <c r="K57" i="58"/>
  <c r="C58" i="58"/>
  <c r="E58" i="58"/>
  <c r="F58" i="58"/>
  <c r="G58" i="58"/>
  <c r="H58" i="58"/>
  <c r="I58" i="58"/>
  <c r="J58" i="58"/>
  <c r="K58" i="58"/>
  <c r="C59" i="58"/>
  <c r="E59" i="58"/>
  <c r="F59" i="58"/>
  <c r="G59" i="58"/>
  <c r="H59" i="58"/>
  <c r="I59" i="58"/>
  <c r="J59" i="58"/>
  <c r="K59" i="58"/>
  <c r="C60" i="58"/>
  <c r="E60" i="58"/>
  <c r="F60" i="58"/>
  <c r="G60" i="58"/>
  <c r="H60" i="58"/>
  <c r="I60" i="58"/>
  <c r="J60" i="58"/>
  <c r="K60" i="58"/>
  <c r="C61" i="58"/>
  <c r="E61" i="58"/>
  <c r="F61" i="58"/>
  <c r="G61" i="58"/>
  <c r="H61" i="58"/>
  <c r="I61" i="58"/>
  <c r="J61" i="58"/>
  <c r="K61" i="58"/>
  <c r="C62" i="58"/>
  <c r="E62" i="58"/>
  <c r="F62" i="58"/>
  <c r="G62" i="58"/>
  <c r="H62" i="58"/>
  <c r="I62" i="58"/>
  <c r="J62" i="58"/>
  <c r="K62" i="58"/>
  <c r="C63" i="58"/>
  <c r="E63" i="58"/>
  <c r="F63" i="58"/>
  <c r="G63" i="58"/>
  <c r="H63" i="58"/>
  <c r="I63" i="58"/>
  <c r="J63" i="58"/>
  <c r="K63" i="58"/>
  <c r="C64" i="58"/>
  <c r="E64" i="58"/>
  <c r="F64" i="58"/>
  <c r="G64" i="58"/>
  <c r="H64" i="58"/>
  <c r="I64" i="58"/>
  <c r="J64" i="58"/>
  <c r="K64" i="58"/>
  <c r="C65" i="58"/>
  <c r="E65" i="58"/>
  <c r="F65" i="58"/>
  <c r="G65" i="58"/>
  <c r="H65" i="58"/>
  <c r="I65" i="58"/>
  <c r="J65" i="58"/>
  <c r="K65" i="58"/>
  <c r="C66" i="58"/>
  <c r="E66" i="58"/>
  <c r="F66" i="58"/>
  <c r="G66" i="58"/>
  <c r="H66" i="58"/>
  <c r="I66" i="58"/>
  <c r="J66" i="58"/>
  <c r="K66" i="58"/>
  <c r="C67" i="58"/>
  <c r="E67" i="58"/>
  <c r="F67" i="58"/>
  <c r="G67" i="58"/>
  <c r="H67" i="58"/>
  <c r="I67" i="58"/>
  <c r="J67" i="58"/>
  <c r="K67" i="58"/>
  <c r="C68" i="58"/>
  <c r="E68" i="58"/>
  <c r="F68" i="58"/>
  <c r="G68" i="58"/>
  <c r="H68" i="58"/>
  <c r="I68" i="58"/>
  <c r="J68" i="58"/>
  <c r="K68" i="58"/>
  <c r="C69" i="58"/>
  <c r="E69" i="58"/>
  <c r="F69" i="58"/>
  <c r="G69" i="58"/>
  <c r="H69" i="58"/>
  <c r="I69" i="58"/>
  <c r="J69" i="58"/>
  <c r="K69" i="58"/>
  <c r="C70" i="58"/>
  <c r="E70" i="58"/>
  <c r="F70" i="58"/>
  <c r="G70" i="58"/>
  <c r="H70" i="58"/>
  <c r="I70" i="58"/>
  <c r="J70" i="58"/>
  <c r="K70" i="58"/>
  <c r="C71" i="58"/>
  <c r="E71" i="58"/>
  <c r="F71" i="58"/>
  <c r="G71" i="58"/>
  <c r="H71" i="58"/>
  <c r="I71" i="58"/>
  <c r="J71" i="58"/>
  <c r="K71" i="58"/>
  <c r="C72" i="58"/>
  <c r="E72" i="58"/>
  <c r="F72" i="58"/>
  <c r="G72" i="58"/>
  <c r="H72" i="58"/>
  <c r="I72" i="58"/>
  <c r="J72" i="58"/>
  <c r="K72" i="58"/>
  <c r="C73" i="58"/>
  <c r="E73" i="58"/>
  <c r="F73" i="58"/>
  <c r="G73" i="58"/>
  <c r="H73" i="58"/>
  <c r="I73" i="58"/>
  <c r="J73" i="58"/>
  <c r="K73" i="58"/>
  <c r="C74" i="58"/>
  <c r="E74" i="58"/>
  <c r="F74" i="58"/>
  <c r="G74" i="58"/>
  <c r="H74" i="58"/>
  <c r="I74" i="58"/>
  <c r="J74" i="58"/>
  <c r="K74" i="58"/>
  <c r="C75" i="58"/>
  <c r="E75" i="58"/>
  <c r="F75" i="58"/>
  <c r="G75" i="58"/>
  <c r="H75" i="58"/>
  <c r="I75" i="58"/>
  <c r="J75" i="58"/>
  <c r="K75" i="58"/>
  <c r="D77" i="58"/>
  <c r="E77" i="58"/>
  <c r="F77" i="58"/>
  <c r="G77" i="58"/>
  <c r="H77" i="58"/>
  <c r="I77" i="58"/>
  <c r="J77" i="58"/>
  <c r="K77" i="58"/>
  <c r="D78" i="58"/>
  <c r="E78" i="58"/>
  <c r="F78" i="58"/>
  <c r="G78" i="58"/>
  <c r="H78" i="58"/>
  <c r="I78" i="58"/>
  <c r="J78" i="58"/>
  <c r="K78" i="58"/>
  <c r="F6" i="65"/>
  <c r="F7" i="65"/>
  <c r="F8" i="65"/>
  <c r="G8" i="65"/>
  <c r="F9" i="65"/>
  <c r="C15" i="65"/>
  <c r="D15" i="65"/>
  <c r="F15" i="65"/>
  <c r="H15" i="65"/>
  <c r="C16" i="65"/>
  <c r="D16" i="65"/>
  <c r="F16" i="65"/>
  <c r="H16" i="65"/>
  <c r="C17" i="65"/>
  <c r="D17" i="65"/>
  <c r="F17" i="65"/>
  <c r="H17" i="65"/>
  <c r="C18" i="65"/>
  <c r="D18" i="65"/>
  <c r="F18" i="65"/>
  <c r="H18" i="65"/>
  <c r="C19" i="65"/>
  <c r="D19" i="65"/>
  <c r="F19" i="65"/>
  <c r="H19" i="65"/>
  <c r="C20" i="65"/>
  <c r="D20" i="65"/>
  <c r="F20" i="65"/>
  <c r="H20" i="65"/>
  <c r="C21" i="65"/>
  <c r="D21" i="65"/>
  <c r="F21" i="65"/>
  <c r="H21" i="65"/>
  <c r="C22" i="65"/>
  <c r="D22" i="65"/>
  <c r="F22" i="65"/>
  <c r="H22" i="65"/>
  <c r="C23" i="65"/>
  <c r="D23" i="65"/>
  <c r="F23" i="65"/>
  <c r="H23" i="65"/>
  <c r="C24" i="65"/>
  <c r="D24" i="65"/>
  <c r="F24" i="65"/>
  <c r="H24" i="65"/>
  <c r="C25" i="65"/>
  <c r="D25" i="65"/>
  <c r="F25" i="65"/>
  <c r="H25" i="65"/>
  <c r="C26" i="65"/>
  <c r="D26" i="65"/>
  <c r="F26" i="65"/>
  <c r="H26" i="65"/>
  <c r="C27" i="65"/>
  <c r="D27" i="65"/>
  <c r="F27" i="65"/>
  <c r="G27" i="65"/>
  <c r="H27" i="65"/>
  <c r="C28" i="65"/>
  <c r="D28" i="65"/>
  <c r="F28" i="65"/>
  <c r="G28" i="65"/>
  <c r="H28" i="65"/>
  <c r="C29" i="65"/>
  <c r="D29" i="65"/>
  <c r="F29" i="65"/>
  <c r="G29" i="65"/>
  <c r="H29" i="65"/>
  <c r="C30" i="65"/>
  <c r="D30" i="65"/>
  <c r="F30" i="65"/>
  <c r="G30" i="65"/>
  <c r="H30" i="65"/>
  <c r="C31" i="65"/>
  <c r="D31" i="65"/>
  <c r="F31" i="65"/>
  <c r="G31" i="65"/>
  <c r="H31" i="65"/>
  <c r="C32" i="65"/>
  <c r="D32" i="65"/>
  <c r="F32" i="65"/>
  <c r="G32" i="65"/>
  <c r="H32" i="65"/>
  <c r="C33" i="65"/>
  <c r="D33" i="65"/>
  <c r="F33" i="65"/>
  <c r="G33" i="65"/>
  <c r="H33" i="65"/>
  <c r="C34" i="65"/>
  <c r="D34" i="65"/>
  <c r="F34" i="65"/>
  <c r="G34" i="65"/>
  <c r="H34" i="65"/>
  <c r="C35" i="65"/>
  <c r="D35" i="65"/>
  <c r="F35" i="65"/>
  <c r="G35" i="65"/>
  <c r="H35" i="65"/>
  <c r="C36" i="65"/>
  <c r="D36" i="65"/>
  <c r="F36" i="65"/>
  <c r="G36" i="65"/>
  <c r="H36" i="65"/>
  <c r="C37" i="65"/>
  <c r="D37" i="65"/>
  <c r="F37" i="65"/>
  <c r="G37" i="65"/>
  <c r="H37" i="65"/>
  <c r="C38" i="65"/>
  <c r="D38" i="65"/>
  <c r="F38" i="65"/>
  <c r="G38" i="65"/>
  <c r="H38" i="65"/>
  <c r="C39" i="65"/>
  <c r="D39" i="65"/>
  <c r="F39" i="65"/>
  <c r="G39" i="65"/>
  <c r="H39" i="65"/>
  <c r="C40" i="65"/>
  <c r="D40" i="65"/>
  <c r="F40" i="65"/>
  <c r="G40" i="65"/>
  <c r="H40" i="65"/>
  <c r="C41" i="65"/>
  <c r="D41" i="65"/>
  <c r="F41" i="65"/>
  <c r="G41" i="65"/>
  <c r="H41" i="65"/>
  <c r="C42" i="65"/>
  <c r="D42" i="65"/>
  <c r="F42" i="65"/>
  <c r="G42" i="65"/>
  <c r="H42" i="65"/>
  <c r="C43" i="65"/>
  <c r="D43" i="65"/>
  <c r="F43" i="65"/>
  <c r="G43" i="65"/>
  <c r="H43" i="65"/>
  <c r="C44" i="65"/>
  <c r="D44" i="65"/>
  <c r="F44" i="65"/>
  <c r="G44" i="65"/>
  <c r="H44" i="65"/>
  <c r="C45" i="65"/>
  <c r="D45" i="65"/>
  <c r="F45" i="65"/>
  <c r="G45" i="65"/>
  <c r="H45" i="65"/>
  <c r="C46" i="65"/>
  <c r="D46" i="65"/>
  <c r="F46" i="65"/>
  <c r="G46" i="65"/>
  <c r="H46" i="65"/>
  <c r="C47" i="65"/>
  <c r="D47" i="65"/>
  <c r="F47" i="65"/>
  <c r="G47" i="65"/>
  <c r="H47" i="65"/>
  <c r="C48" i="65"/>
  <c r="D48" i="65"/>
  <c r="F48" i="65"/>
  <c r="G48" i="65"/>
  <c r="H48" i="65"/>
  <c r="C49" i="65"/>
  <c r="D49" i="65"/>
  <c r="F49" i="65"/>
  <c r="G49" i="65"/>
  <c r="H49" i="65"/>
  <c r="C50" i="65"/>
  <c r="D50" i="65"/>
  <c r="F50" i="65"/>
  <c r="G50" i="65"/>
  <c r="H50" i="65"/>
  <c r="C51" i="65"/>
  <c r="D51" i="65"/>
  <c r="F51" i="65"/>
  <c r="G51" i="65"/>
  <c r="H51" i="65"/>
  <c r="C52" i="65"/>
  <c r="D52" i="65"/>
  <c r="F52" i="65"/>
  <c r="G52" i="65"/>
  <c r="H52" i="65"/>
  <c r="C53" i="65"/>
  <c r="D53" i="65"/>
  <c r="F53" i="65"/>
  <c r="G53" i="65"/>
  <c r="H53" i="65"/>
  <c r="C54" i="65"/>
  <c r="D54" i="65"/>
  <c r="F54" i="65"/>
  <c r="G54" i="65"/>
  <c r="H54" i="65"/>
  <c r="C55" i="65"/>
  <c r="D55" i="65"/>
  <c r="F55" i="65"/>
  <c r="G55" i="65"/>
  <c r="H55" i="65"/>
  <c r="C56" i="65"/>
  <c r="D56" i="65"/>
  <c r="F56" i="65"/>
  <c r="G56" i="65"/>
  <c r="H56" i="65"/>
  <c r="C57" i="65"/>
  <c r="D57" i="65"/>
  <c r="F57" i="65"/>
  <c r="G57" i="65"/>
  <c r="H57" i="65"/>
  <c r="C58" i="65"/>
  <c r="D58" i="65"/>
  <c r="F58" i="65"/>
  <c r="G58" i="65"/>
  <c r="H58" i="65"/>
  <c r="C59" i="65"/>
  <c r="D59" i="65"/>
  <c r="F59" i="65"/>
  <c r="G59" i="65"/>
  <c r="H59" i="65"/>
  <c r="C60" i="65"/>
  <c r="D60" i="65"/>
  <c r="F60" i="65"/>
  <c r="G60" i="65"/>
  <c r="H60" i="65"/>
  <c r="C61" i="65"/>
  <c r="D61" i="65"/>
  <c r="F61" i="65"/>
  <c r="G61" i="65"/>
  <c r="H61" i="65"/>
  <c r="C62" i="65"/>
  <c r="D62" i="65"/>
  <c r="F62" i="65"/>
  <c r="G62" i="65"/>
  <c r="H62" i="65"/>
  <c r="C63" i="65"/>
  <c r="D63" i="65"/>
  <c r="F63" i="65"/>
  <c r="G63" i="65"/>
  <c r="H63" i="65"/>
  <c r="C64" i="65"/>
  <c r="D64" i="65"/>
  <c r="F64" i="65"/>
  <c r="G64" i="65"/>
  <c r="H64" i="65"/>
  <c r="C65" i="65"/>
  <c r="D65" i="65"/>
  <c r="F65" i="65"/>
  <c r="G65" i="65"/>
  <c r="H65" i="65"/>
  <c r="C66" i="65"/>
  <c r="D66" i="65"/>
  <c r="F66" i="65"/>
  <c r="G66" i="65"/>
  <c r="H66" i="65"/>
  <c r="C67" i="65"/>
  <c r="D67" i="65"/>
  <c r="F67" i="65"/>
  <c r="G67" i="65"/>
  <c r="H67" i="65"/>
  <c r="C68" i="65"/>
  <c r="D68" i="65"/>
  <c r="F68" i="65"/>
  <c r="G68" i="65"/>
  <c r="H68" i="65"/>
  <c r="C69" i="65"/>
  <c r="D69" i="65"/>
  <c r="F69" i="65"/>
  <c r="G69" i="65"/>
  <c r="H69" i="65"/>
  <c r="C70" i="65"/>
  <c r="D70" i="65"/>
  <c r="F70" i="65"/>
  <c r="G70" i="65"/>
  <c r="H70" i="65"/>
  <c r="C71" i="65"/>
  <c r="D71" i="65"/>
  <c r="F71" i="65"/>
  <c r="G71" i="65"/>
  <c r="H71" i="65"/>
  <c r="C72" i="65"/>
  <c r="D72" i="65"/>
  <c r="F72" i="65"/>
  <c r="G72" i="65"/>
  <c r="H72" i="65"/>
  <c r="C73" i="65"/>
  <c r="D73" i="65"/>
  <c r="F73" i="65"/>
  <c r="G73" i="65"/>
  <c r="H73" i="65"/>
  <c r="C74" i="65"/>
  <c r="D74" i="65"/>
  <c r="F74" i="65"/>
  <c r="G74" i="65"/>
  <c r="H74" i="65"/>
  <c r="C75" i="65"/>
  <c r="D75" i="65"/>
  <c r="F75" i="65"/>
  <c r="G75" i="65"/>
  <c r="H75" i="65"/>
  <c r="C76" i="65"/>
  <c r="D76" i="65"/>
  <c r="F76" i="65"/>
  <c r="G76" i="65"/>
  <c r="H76" i="65"/>
  <c r="C77" i="65"/>
  <c r="D77" i="65"/>
  <c r="F77" i="65"/>
  <c r="G77" i="65"/>
  <c r="H77" i="65"/>
  <c r="C78" i="65"/>
  <c r="D78" i="65"/>
  <c r="F78" i="65"/>
  <c r="G78" i="65"/>
  <c r="H78" i="65"/>
  <c r="C79" i="65"/>
  <c r="D79" i="65"/>
  <c r="F79" i="65"/>
  <c r="G79" i="65"/>
  <c r="H79" i="65"/>
  <c r="C80" i="65"/>
  <c r="D80" i="65"/>
  <c r="F80" i="65"/>
  <c r="G80" i="65"/>
  <c r="H80" i="65"/>
  <c r="C81" i="65"/>
  <c r="D81" i="65"/>
  <c r="F81" i="65"/>
  <c r="G81" i="65"/>
  <c r="H81" i="65"/>
  <c r="C82" i="65"/>
  <c r="D82" i="65"/>
  <c r="F82" i="65"/>
  <c r="G82" i="65"/>
  <c r="H82" i="65"/>
  <c r="C83" i="65"/>
  <c r="D83" i="65"/>
  <c r="F83" i="65"/>
  <c r="G83" i="65"/>
  <c r="H83" i="65"/>
  <c r="C84" i="65"/>
  <c r="D84" i="65"/>
  <c r="F84" i="65"/>
  <c r="G84" i="65"/>
  <c r="H84" i="65"/>
  <c r="C85" i="65"/>
  <c r="D85" i="65"/>
  <c r="F85" i="65"/>
  <c r="G85" i="65"/>
  <c r="H85" i="65"/>
  <c r="C86" i="65"/>
  <c r="D86" i="65"/>
  <c r="F86" i="65"/>
  <c r="G86" i="65"/>
  <c r="H86" i="65"/>
  <c r="C87" i="65"/>
  <c r="D87" i="65"/>
  <c r="F87" i="65"/>
  <c r="G87" i="65"/>
  <c r="H87" i="65"/>
  <c r="C88" i="65"/>
  <c r="D88" i="65"/>
  <c r="F88" i="65"/>
  <c r="G88" i="65"/>
  <c r="H88" i="65"/>
  <c r="C89" i="65"/>
  <c r="D89" i="65"/>
  <c r="F89" i="65"/>
  <c r="G89" i="65"/>
  <c r="H89" i="65"/>
  <c r="C90" i="65"/>
  <c r="D90" i="65"/>
  <c r="F90" i="65"/>
  <c r="G90" i="65"/>
  <c r="H90" i="65"/>
  <c r="C91" i="65"/>
  <c r="D91" i="65"/>
  <c r="F91" i="65"/>
  <c r="G91" i="65"/>
  <c r="H91" i="65"/>
  <c r="C92" i="65"/>
  <c r="D92" i="65"/>
  <c r="F92" i="65"/>
  <c r="G92" i="65"/>
  <c r="H92" i="65"/>
  <c r="C93" i="65"/>
  <c r="D93" i="65"/>
  <c r="F93" i="65"/>
  <c r="G93" i="65"/>
  <c r="H93" i="65"/>
  <c r="C94" i="65"/>
  <c r="D94" i="65"/>
  <c r="F94" i="65"/>
  <c r="G94" i="65"/>
  <c r="H94" i="65"/>
  <c r="C95" i="65"/>
  <c r="D95" i="65"/>
  <c r="F95" i="65"/>
  <c r="G95" i="65"/>
  <c r="H95" i="65"/>
  <c r="C96" i="65"/>
  <c r="D96" i="65"/>
  <c r="F96" i="65"/>
  <c r="G96" i="65"/>
  <c r="H96" i="65"/>
  <c r="C97" i="65"/>
  <c r="D97" i="65"/>
  <c r="F97" i="65"/>
  <c r="G97" i="65"/>
  <c r="H97" i="65"/>
  <c r="C98" i="65"/>
  <c r="D98" i="65"/>
  <c r="F98" i="65"/>
  <c r="G98" i="65"/>
  <c r="H98" i="65"/>
  <c r="C99" i="65"/>
  <c r="D99" i="65"/>
  <c r="F99" i="65"/>
  <c r="G99" i="65"/>
  <c r="H99" i="65"/>
  <c r="C100" i="65"/>
  <c r="D100" i="65"/>
  <c r="F100" i="65"/>
  <c r="G100" i="65"/>
  <c r="H100" i="65"/>
  <c r="C101" i="65"/>
  <c r="D101" i="65"/>
  <c r="F101" i="65"/>
  <c r="G101" i="65"/>
  <c r="H101" i="65"/>
  <c r="C102" i="65"/>
  <c r="D102" i="65"/>
  <c r="F102" i="65"/>
  <c r="G102" i="65"/>
  <c r="H102" i="65"/>
  <c r="C103" i="65"/>
  <c r="D103" i="65"/>
  <c r="F103" i="65"/>
  <c r="G103" i="65"/>
  <c r="H103" i="65"/>
  <c r="C104" i="65"/>
  <c r="D104" i="65"/>
  <c r="F104" i="65"/>
  <c r="G104" i="65"/>
  <c r="H104" i="65"/>
  <c r="C105" i="65"/>
  <c r="D105" i="65"/>
  <c r="F105" i="65"/>
  <c r="G105" i="65"/>
  <c r="H105" i="65"/>
  <c r="C106" i="65"/>
  <c r="D106" i="65"/>
  <c r="F106" i="65"/>
  <c r="G106" i="65"/>
  <c r="H106" i="65"/>
  <c r="C107" i="65"/>
  <c r="D107" i="65"/>
  <c r="F107" i="65"/>
  <c r="G107" i="65"/>
  <c r="H107" i="65"/>
  <c r="C108" i="65"/>
  <c r="D108" i="65"/>
  <c r="F108" i="65"/>
  <c r="G108" i="65"/>
  <c r="H108" i="65"/>
  <c r="C109" i="65"/>
  <c r="D109" i="65"/>
  <c r="F109" i="65"/>
  <c r="G109" i="65"/>
  <c r="H109" i="65"/>
  <c r="C110" i="65"/>
  <c r="D110" i="65"/>
  <c r="F110" i="65"/>
  <c r="G110" i="65"/>
  <c r="H110" i="65"/>
  <c r="C111" i="65"/>
  <c r="D111" i="65"/>
  <c r="F111" i="65"/>
  <c r="G111" i="65"/>
  <c r="H111" i="65"/>
  <c r="C112" i="65"/>
  <c r="D112" i="65"/>
  <c r="F112" i="65"/>
  <c r="G112" i="65"/>
  <c r="H112" i="65"/>
  <c r="C113" i="65"/>
  <c r="D113" i="65"/>
  <c r="F113" i="65"/>
  <c r="G113" i="65"/>
  <c r="H113" i="65"/>
  <c r="C114" i="65"/>
  <c r="D114" i="65"/>
  <c r="F114" i="65"/>
  <c r="G114" i="65"/>
  <c r="H114" i="65"/>
  <c r="C115" i="65"/>
  <c r="D115" i="65"/>
  <c r="F115" i="65"/>
  <c r="G115" i="65"/>
  <c r="H115" i="65"/>
  <c r="C116" i="65"/>
  <c r="D116" i="65"/>
  <c r="F116" i="65"/>
  <c r="G116" i="65"/>
  <c r="H116" i="65"/>
  <c r="C117" i="65"/>
  <c r="D117" i="65"/>
  <c r="F117" i="65"/>
  <c r="G117" i="65"/>
  <c r="H117" i="65"/>
  <c r="C118" i="65"/>
  <c r="D118" i="65"/>
  <c r="F118" i="65"/>
  <c r="G118" i="65"/>
  <c r="H118" i="65"/>
  <c r="C119" i="65"/>
  <c r="D119" i="65"/>
  <c r="F119" i="65"/>
  <c r="G119" i="65"/>
  <c r="H119" i="65"/>
  <c r="C120" i="65"/>
  <c r="D120" i="65"/>
  <c r="F120" i="65"/>
  <c r="G120" i="65"/>
  <c r="H120" i="65"/>
  <c r="C121" i="65"/>
  <c r="D121" i="65"/>
  <c r="F121" i="65"/>
  <c r="G121" i="65"/>
  <c r="H121" i="65"/>
  <c r="C122" i="65"/>
  <c r="D122" i="65"/>
  <c r="F122" i="65"/>
  <c r="G122" i="65"/>
  <c r="H122" i="65"/>
  <c r="C123" i="65"/>
  <c r="D123" i="65"/>
  <c r="F123" i="65"/>
  <c r="G123" i="65"/>
  <c r="H123" i="65"/>
  <c r="C124" i="65"/>
  <c r="D124" i="65"/>
  <c r="F124" i="65"/>
  <c r="G124" i="65"/>
  <c r="H124" i="65"/>
  <c r="C125" i="65"/>
  <c r="D125" i="65"/>
  <c r="F125" i="65"/>
  <c r="G125" i="65"/>
  <c r="H125" i="65"/>
  <c r="C126" i="65"/>
  <c r="D126" i="65"/>
  <c r="F126" i="65"/>
  <c r="G126" i="65"/>
  <c r="H126" i="65"/>
  <c r="C127" i="65"/>
  <c r="D127" i="65"/>
  <c r="F127" i="65"/>
  <c r="G127" i="65"/>
  <c r="H127" i="65"/>
  <c r="C128" i="65"/>
  <c r="D128" i="65"/>
  <c r="F128" i="65"/>
  <c r="G128" i="65"/>
  <c r="H128" i="65"/>
  <c r="C129" i="65"/>
  <c r="D129" i="65"/>
  <c r="F129" i="65"/>
  <c r="G129" i="65"/>
  <c r="H129" i="65"/>
  <c r="C130" i="65"/>
  <c r="D130" i="65"/>
  <c r="F130" i="65"/>
  <c r="G130" i="65"/>
  <c r="H130" i="65"/>
  <c r="C131" i="65"/>
  <c r="D131" i="65"/>
  <c r="F131" i="65"/>
  <c r="G131" i="65"/>
  <c r="H131" i="65"/>
  <c r="C132" i="65"/>
  <c r="D132" i="65"/>
  <c r="F132" i="65"/>
  <c r="G132" i="65"/>
  <c r="H132" i="65"/>
  <c r="C133" i="65"/>
  <c r="D133" i="65"/>
  <c r="F133" i="65"/>
  <c r="G133" i="65"/>
  <c r="H133" i="65"/>
  <c r="C134" i="65"/>
  <c r="D134" i="65"/>
  <c r="F134" i="65"/>
  <c r="G134" i="65"/>
  <c r="H134" i="65"/>
  <c r="C135" i="65"/>
  <c r="D135" i="65"/>
  <c r="F135" i="65"/>
  <c r="G135" i="65"/>
  <c r="H135" i="65"/>
  <c r="C136" i="65"/>
  <c r="D136" i="65"/>
  <c r="F136" i="65"/>
  <c r="G136" i="65"/>
  <c r="H136" i="65"/>
  <c r="C137" i="65"/>
  <c r="D137" i="65"/>
  <c r="F137" i="65"/>
  <c r="G137" i="65"/>
  <c r="H137" i="65"/>
  <c r="C138" i="65"/>
  <c r="D138" i="65"/>
  <c r="F138" i="65"/>
  <c r="G138" i="65"/>
  <c r="H138" i="65"/>
  <c r="C139" i="65"/>
  <c r="D139" i="65"/>
  <c r="F139" i="65"/>
  <c r="G139" i="65"/>
  <c r="H139" i="65"/>
  <c r="C140" i="65"/>
  <c r="D140" i="65"/>
  <c r="F140" i="65"/>
  <c r="G140" i="65"/>
  <c r="H140" i="65"/>
  <c r="C141" i="65"/>
  <c r="D141" i="65"/>
  <c r="F141" i="65"/>
  <c r="G141" i="65"/>
  <c r="H141" i="65"/>
  <c r="C142" i="65"/>
  <c r="D142" i="65"/>
  <c r="F142" i="65"/>
  <c r="G142" i="65"/>
  <c r="H142" i="65"/>
  <c r="C143" i="65"/>
  <c r="D143" i="65"/>
  <c r="F143" i="65"/>
  <c r="G143" i="65"/>
  <c r="H143" i="65"/>
  <c r="C144" i="65"/>
  <c r="D144" i="65"/>
  <c r="F144" i="65"/>
  <c r="G144" i="65"/>
  <c r="H144" i="65"/>
  <c r="C145" i="65"/>
  <c r="D145" i="65"/>
  <c r="F145" i="65"/>
  <c r="G145" i="65"/>
  <c r="H145" i="65"/>
  <c r="C146" i="65"/>
  <c r="D146" i="65"/>
  <c r="F146" i="65"/>
  <c r="G146" i="65"/>
  <c r="H146" i="65"/>
  <c r="C147" i="65"/>
  <c r="D147" i="65"/>
  <c r="F147" i="65"/>
  <c r="G147" i="65"/>
  <c r="H147" i="65"/>
  <c r="C148" i="65"/>
  <c r="D148" i="65"/>
  <c r="F148" i="65"/>
  <c r="G148" i="65"/>
  <c r="H148" i="65"/>
  <c r="C149" i="65"/>
  <c r="D149" i="65"/>
  <c r="F149" i="65"/>
  <c r="G149" i="65"/>
  <c r="H149" i="65"/>
  <c r="C150" i="65"/>
  <c r="D150" i="65"/>
  <c r="F150" i="65"/>
  <c r="G150" i="65"/>
  <c r="H150" i="65"/>
  <c r="C151" i="65"/>
  <c r="D151" i="65"/>
  <c r="F151" i="65"/>
  <c r="G151" i="65"/>
  <c r="H151" i="65"/>
  <c r="C152" i="65"/>
  <c r="D152" i="65"/>
  <c r="F152" i="65"/>
  <c r="G152" i="65"/>
  <c r="H152" i="65"/>
  <c r="C153" i="65"/>
  <c r="D153" i="65"/>
  <c r="F153" i="65"/>
  <c r="G153" i="65"/>
  <c r="H153" i="65"/>
  <c r="C154" i="65"/>
  <c r="D154" i="65"/>
  <c r="F154" i="65"/>
  <c r="G154" i="65"/>
  <c r="H154" i="65"/>
  <c r="C155" i="65"/>
  <c r="D155" i="65"/>
  <c r="F155" i="65"/>
  <c r="G155" i="65"/>
  <c r="H155" i="65"/>
  <c r="C156" i="65"/>
  <c r="D156" i="65"/>
  <c r="F156" i="65"/>
  <c r="G156" i="65"/>
  <c r="H156" i="65"/>
  <c r="C157" i="65"/>
  <c r="D157" i="65"/>
  <c r="F157" i="65"/>
  <c r="G157" i="65"/>
  <c r="H157" i="65"/>
  <c r="C158" i="65"/>
  <c r="D158" i="65"/>
  <c r="F158" i="65"/>
  <c r="G158" i="65"/>
  <c r="H158" i="65"/>
  <c r="C159" i="65"/>
  <c r="D159" i="65"/>
  <c r="F159" i="65"/>
  <c r="G159" i="65"/>
  <c r="H159" i="65"/>
  <c r="C160" i="65"/>
  <c r="D160" i="65"/>
  <c r="F160" i="65"/>
  <c r="G160" i="65"/>
  <c r="H160" i="65"/>
  <c r="C161" i="65"/>
  <c r="D161" i="65"/>
  <c r="F161" i="65"/>
  <c r="G161" i="65"/>
  <c r="H161" i="65"/>
  <c r="C162" i="65"/>
  <c r="D162" i="65"/>
  <c r="F162" i="65"/>
  <c r="G162" i="65"/>
  <c r="H162" i="65"/>
  <c r="C163" i="65"/>
  <c r="D163" i="65"/>
  <c r="F163" i="65"/>
  <c r="G163" i="65"/>
  <c r="H163" i="65"/>
  <c r="C164" i="65"/>
  <c r="D164" i="65"/>
  <c r="F164" i="65"/>
  <c r="G164" i="65"/>
  <c r="H164" i="65"/>
  <c r="C165" i="65"/>
  <c r="D165" i="65"/>
  <c r="F165" i="65"/>
  <c r="G165" i="65"/>
  <c r="H165" i="65"/>
  <c r="C166" i="65"/>
  <c r="D166" i="65"/>
  <c r="F166" i="65"/>
  <c r="G166" i="65"/>
  <c r="H166" i="65"/>
  <c r="C167" i="65"/>
  <c r="D167" i="65"/>
  <c r="F167" i="65"/>
  <c r="G167" i="65"/>
  <c r="H167" i="65"/>
  <c r="C168" i="65"/>
  <c r="D168" i="65"/>
  <c r="F168" i="65"/>
  <c r="G168" i="65"/>
  <c r="H168" i="65"/>
  <c r="C169" i="65"/>
  <c r="D169" i="65"/>
  <c r="F169" i="65"/>
  <c r="G169" i="65"/>
  <c r="H169" i="65"/>
  <c r="C170" i="65"/>
  <c r="D170" i="65"/>
  <c r="F170" i="65"/>
  <c r="G170" i="65"/>
  <c r="H170" i="65"/>
  <c r="C171" i="65"/>
  <c r="D171" i="65"/>
  <c r="F171" i="65"/>
  <c r="G171" i="65"/>
  <c r="H171" i="65"/>
  <c r="C172" i="65"/>
  <c r="D172" i="65"/>
  <c r="F172" i="65"/>
  <c r="G172" i="65"/>
  <c r="H172" i="65"/>
  <c r="C173" i="65"/>
  <c r="D173" i="65"/>
  <c r="F173" i="65"/>
  <c r="G173" i="65"/>
  <c r="H173" i="65"/>
  <c r="C174" i="65"/>
  <c r="D174" i="65"/>
  <c r="F174" i="65"/>
  <c r="G174" i="65"/>
  <c r="H174" i="65"/>
  <c r="C175" i="65"/>
  <c r="D175" i="65"/>
  <c r="F175" i="65"/>
  <c r="G175" i="65"/>
  <c r="H175" i="65"/>
  <c r="C176" i="65"/>
  <c r="D176" i="65"/>
  <c r="F176" i="65"/>
  <c r="G176" i="65"/>
  <c r="H176" i="65"/>
  <c r="C177" i="65"/>
  <c r="D177" i="65"/>
  <c r="F177" i="65"/>
  <c r="G177" i="65"/>
  <c r="H177" i="65"/>
  <c r="C178" i="65"/>
  <c r="D178" i="65"/>
  <c r="F178" i="65"/>
  <c r="G178" i="65"/>
  <c r="H178" i="65"/>
  <c r="C179" i="65"/>
  <c r="D179" i="65"/>
  <c r="F179" i="65"/>
  <c r="G179" i="65"/>
  <c r="H179" i="65"/>
  <c r="C180" i="65"/>
  <c r="D180" i="65"/>
  <c r="F180" i="65"/>
  <c r="G180" i="65"/>
  <c r="H180" i="65"/>
  <c r="C181" i="65"/>
  <c r="D181" i="65"/>
  <c r="F181" i="65"/>
  <c r="G181" i="65"/>
  <c r="H181" i="65"/>
  <c r="C182" i="65"/>
  <c r="D182" i="65"/>
  <c r="F182" i="65"/>
  <c r="G182" i="65"/>
  <c r="H182" i="65"/>
  <c r="C183" i="65"/>
  <c r="D183" i="65"/>
  <c r="F183" i="65"/>
  <c r="G183" i="65"/>
  <c r="H183" i="65"/>
  <c r="C184" i="65"/>
  <c r="D184" i="65"/>
  <c r="F184" i="65"/>
  <c r="G184" i="65"/>
  <c r="H184" i="65"/>
  <c r="C185" i="65"/>
  <c r="D185" i="65"/>
  <c r="F185" i="65"/>
  <c r="G185" i="65"/>
  <c r="H185" i="65"/>
  <c r="C186" i="65"/>
  <c r="D186" i="65"/>
  <c r="F186" i="65"/>
  <c r="G186" i="65"/>
  <c r="H186" i="65"/>
  <c r="C187" i="65"/>
  <c r="D187" i="65"/>
  <c r="F187" i="65"/>
  <c r="G187" i="65"/>
  <c r="H187" i="65"/>
  <c r="C188" i="65"/>
  <c r="D188" i="65"/>
  <c r="F188" i="65"/>
  <c r="G188" i="65"/>
  <c r="H188" i="65"/>
  <c r="C189" i="65"/>
  <c r="D189" i="65"/>
  <c r="F189" i="65"/>
  <c r="G189" i="65"/>
  <c r="H189" i="65"/>
  <c r="C190" i="65"/>
  <c r="D190" i="65"/>
  <c r="F190" i="65"/>
  <c r="G190" i="65"/>
  <c r="H190" i="65"/>
  <c r="C191" i="65"/>
  <c r="D191" i="65"/>
  <c r="F191" i="65"/>
  <c r="G191" i="65"/>
  <c r="H191" i="65"/>
  <c r="C192" i="65"/>
  <c r="D192" i="65"/>
  <c r="F192" i="65"/>
  <c r="G192" i="65"/>
  <c r="H192" i="65"/>
  <c r="C193" i="65"/>
  <c r="D193" i="65"/>
  <c r="F193" i="65"/>
  <c r="G193" i="65"/>
  <c r="H193" i="65"/>
  <c r="C194" i="65"/>
  <c r="D194" i="65"/>
  <c r="F194" i="65"/>
  <c r="G194" i="65"/>
  <c r="H194" i="65"/>
  <c r="C195" i="65"/>
  <c r="D195" i="65"/>
  <c r="F195" i="65"/>
  <c r="G195" i="65"/>
  <c r="H195" i="65"/>
  <c r="C196" i="65"/>
  <c r="D196" i="65"/>
  <c r="F196" i="65"/>
  <c r="G196" i="65"/>
  <c r="H196" i="65"/>
  <c r="C197" i="65"/>
  <c r="D197" i="65"/>
  <c r="F197" i="65"/>
  <c r="G197" i="65"/>
  <c r="H197" i="65"/>
  <c r="C198" i="65"/>
  <c r="D198" i="65"/>
  <c r="F198" i="65"/>
  <c r="G198" i="65"/>
  <c r="H198" i="65"/>
  <c r="C199" i="65"/>
  <c r="D199" i="65"/>
  <c r="F199" i="65"/>
  <c r="G199" i="65"/>
  <c r="H199" i="65"/>
  <c r="C200" i="65"/>
  <c r="D200" i="65"/>
  <c r="F200" i="65"/>
  <c r="G200" i="65"/>
  <c r="H200" i="65"/>
  <c r="C201" i="65"/>
  <c r="D201" i="65"/>
  <c r="F201" i="65"/>
  <c r="G201" i="65"/>
  <c r="H201" i="65"/>
  <c r="C202" i="65"/>
  <c r="D202" i="65"/>
  <c r="F202" i="65"/>
  <c r="G202" i="65"/>
  <c r="H202" i="65"/>
  <c r="C203" i="65"/>
  <c r="D203" i="65"/>
  <c r="F203" i="65"/>
  <c r="G203" i="65"/>
  <c r="H203" i="65"/>
  <c r="C204" i="65"/>
  <c r="D204" i="65"/>
  <c r="F204" i="65"/>
  <c r="G204" i="65"/>
  <c r="H204" i="65"/>
  <c r="C205" i="65"/>
  <c r="D205" i="65"/>
  <c r="F205" i="65"/>
  <c r="G205" i="65"/>
  <c r="H205" i="65"/>
  <c r="C206" i="65"/>
  <c r="D206" i="65"/>
  <c r="F206" i="65"/>
  <c r="G206" i="65"/>
  <c r="H206" i="65"/>
  <c r="C207" i="65"/>
  <c r="D207" i="65"/>
  <c r="F207" i="65"/>
  <c r="G207" i="65"/>
  <c r="H207" i="65"/>
  <c r="C208" i="65"/>
  <c r="D208" i="65"/>
  <c r="F208" i="65"/>
  <c r="G208" i="65"/>
  <c r="H208" i="65"/>
  <c r="C209" i="65"/>
  <c r="D209" i="65"/>
  <c r="F209" i="65"/>
  <c r="G209" i="65"/>
  <c r="H209" i="65"/>
  <c r="C210" i="65"/>
  <c r="D210" i="65"/>
  <c r="F210" i="65"/>
  <c r="G210" i="65"/>
  <c r="H210" i="65"/>
  <c r="C211" i="65"/>
  <c r="D211" i="65"/>
  <c r="F211" i="65"/>
  <c r="G211" i="65"/>
  <c r="H211" i="65"/>
  <c r="C212" i="65"/>
  <c r="D212" i="65"/>
  <c r="F212" i="65"/>
  <c r="G212" i="65"/>
  <c r="H212" i="65"/>
  <c r="C213" i="65"/>
  <c r="D213" i="65"/>
  <c r="F213" i="65"/>
  <c r="G213" i="65"/>
  <c r="H213" i="65"/>
  <c r="C214" i="65"/>
  <c r="D214" i="65"/>
  <c r="F214" i="65"/>
  <c r="G214" i="65"/>
  <c r="H214" i="65"/>
  <c r="C215" i="65"/>
  <c r="D215" i="65"/>
  <c r="F215" i="65"/>
  <c r="G215" i="65"/>
  <c r="H215" i="65"/>
  <c r="C216" i="65"/>
  <c r="D216" i="65"/>
  <c r="F216" i="65"/>
  <c r="G216" i="65"/>
  <c r="H216" i="65"/>
  <c r="C217" i="65"/>
  <c r="D217" i="65"/>
  <c r="F217" i="65"/>
  <c r="G217" i="65"/>
  <c r="H217" i="65"/>
  <c r="C218" i="65"/>
  <c r="D218" i="65"/>
  <c r="F218" i="65"/>
  <c r="G218" i="65"/>
  <c r="H218" i="65"/>
  <c r="C219" i="65"/>
  <c r="D219" i="65"/>
  <c r="F219" i="65"/>
  <c r="G219" i="65"/>
  <c r="H219" i="65"/>
  <c r="C220" i="65"/>
  <c r="D220" i="65"/>
  <c r="F220" i="65"/>
  <c r="G220" i="65"/>
  <c r="H220" i="65"/>
  <c r="C221" i="65"/>
  <c r="D221" i="65"/>
  <c r="F221" i="65"/>
  <c r="G221" i="65"/>
  <c r="H221" i="65"/>
  <c r="C222" i="65"/>
  <c r="D222" i="65"/>
  <c r="F222" i="65"/>
  <c r="G222" i="65"/>
  <c r="H222" i="65"/>
  <c r="C223" i="65"/>
  <c r="D223" i="65"/>
  <c r="F223" i="65"/>
  <c r="G223" i="65"/>
  <c r="H223" i="65"/>
  <c r="C224" i="65"/>
  <c r="D224" i="65"/>
  <c r="F224" i="65"/>
  <c r="G224" i="65"/>
  <c r="H224" i="65"/>
  <c r="C225" i="65"/>
  <c r="D225" i="65"/>
  <c r="F225" i="65"/>
  <c r="G225" i="65"/>
  <c r="H225" i="65"/>
  <c r="C226" i="65"/>
  <c r="D226" i="65"/>
  <c r="F226" i="65"/>
  <c r="G226" i="65"/>
  <c r="H226" i="65"/>
  <c r="C227" i="65"/>
  <c r="D227" i="65"/>
  <c r="F227" i="65"/>
  <c r="G227" i="65"/>
  <c r="H227" i="65"/>
  <c r="C228" i="65"/>
  <c r="D228" i="65"/>
  <c r="F228" i="65"/>
  <c r="G228" i="65"/>
  <c r="H228" i="65"/>
  <c r="C229" i="65"/>
  <c r="D229" i="65"/>
  <c r="F229" i="65"/>
  <c r="G229" i="65"/>
  <c r="H229" i="65"/>
  <c r="C230" i="65"/>
  <c r="D230" i="65"/>
  <c r="F230" i="65"/>
  <c r="G230" i="65"/>
  <c r="H230" i="65"/>
  <c r="C231" i="65"/>
  <c r="D231" i="65"/>
  <c r="F231" i="65"/>
  <c r="G231" i="65"/>
  <c r="H231" i="65"/>
  <c r="C232" i="65"/>
  <c r="D232" i="65"/>
  <c r="F232" i="65"/>
  <c r="G232" i="65"/>
  <c r="H232" i="65"/>
  <c r="C233" i="65"/>
  <c r="D233" i="65"/>
  <c r="F233" i="65"/>
  <c r="G233" i="65"/>
  <c r="H233" i="65"/>
  <c r="C234" i="65"/>
  <c r="D234" i="65"/>
  <c r="F234" i="65"/>
  <c r="G234" i="65"/>
  <c r="H234" i="65"/>
  <c r="C235" i="65"/>
  <c r="D235" i="65"/>
  <c r="F235" i="65"/>
  <c r="G235" i="65"/>
  <c r="H235" i="65"/>
  <c r="C236" i="65"/>
  <c r="D236" i="65"/>
  <c r="F236" i="65"/>
  <c r="G236" i="65"/>
  <c r="H236" i="65"/>
  <c r="C237" i="65"/>
  <c r="D237" i="65"/>
  <c r="F237" i="65"/>
  <c r="G237" i="65"/>
  <c r="H237" i="65"/>
  <c r="C238" i="65"/>
  <c r="D238" i="65"/>
  <c r="F238" i="65"/>
  <c r="G238" i="65"/>
  <c r="H238" i="65"/>
  <c r="C239" i="65"/>
  <c r="D239" i="65"/>
  <c r="F239" i="65"/>
  <c r="G239" i="65"/>
  <c r="H239" i="65"/>
  <c r="C240" i="65"/>
  <c r="D240" i="65"/>
  <c r="F240" i="65"/>
  <c r="G240" i="65"/>
  <c r="H240" i="65"/>
  <c r="C241" i="65"/>
  <c r="D241" i="65"/>
  <c r="F241" i="65"/>
  <c r="G241" i="65"/>
  <c r="H241" i="65"/>
  <c r="C242" i="65"/>
  <c r="D242" i="65"/>
  <c r="F242" i="65"/>
  <c r="G242" i="65"/>
  <c r="H242" i="65"/>
  <c r="C243" i="65"/>
  <c r="D243" i="65"/>
  <c r="F243" i="65"/>
  <c r="G243" i="65"/>
  <c r="H243" i="65"/>
  <c r="C244" i="65"/>
  <c r="D244" i="65"/>
  <c r="F244" i="65"/>
  <c r="G244" i="65"/>
  <c r="H244" i="65"/>
  <c r="C245" i="65"/>
  <c r="D245" i="65"/>
  <c r="F245" i="65"/>
  <c r="G245" i="65"/>
  <c r="H245" i="65"/>
  <c r="C246" i="65"/>
  <c r="D246" i="65"/>
  <c r="F246" i="65"/>
  <c r="G246" i="65"/>
  <c r="H246" i="65"/>
  <c r="C247" i="65"/>
  <c r="D247" i="65"/>
  <c r="F247" i="65"/>
  <c r="G247" i="65"/>
  <c r="H247" i="65"/>
  <c r="C248" i="65"/>
  <c r="D248" i="65"/>
  <c r="F248" i="65"/>
  <c r="G248" i="65"/>
  <c r="H248" i="65"/>
  <c r="C249" i="65"/>
  <c r="D249" i="65"/>
  <c r="F249" i="65"/>
  <c r="G249" i="65"/>
  <c r="H249" i="65"/>
  <c r="C250" i="65"/>
  <c r="D250" i="65"/>
  <c r="F250" i="65"/>
  <c r="G250" i="65"/>
  <c r="H250" i="65"/>
  <c r="C251" i="65"/>
  <c r="D251" i="65"/>
  <c r="F251" i="65"/>
  <c r="G251" i="65"/>
  <c r="H251" i="65"/>
  <c r="C252" i="65"/>
  <c r="D252" i="65"/>
  <c r="F252" i="65"/>
  <c r="G252" i="65"/>
  <c r="H252" i="65"/>
  <c r="C253" i="65"/>
  <c r="D253" i="65"/>
  <c r="F253" i="65"/>
  <c r="G253" i="65"/>
  <c r="H253" i="65"/>
  <c r="C254" i="65"/>
  <c r="D254" i="65"/>
  <c r="F254" i="65"/>
  <c r="G254" i="65"/>
  <c r="H254" i="65"/>
  <c r="C255" i="65"/>
  <c r="D255" i="65"/>
  <c r="F255" i="65"/>
  <c r="G255" i="65"/>
  <c r="H255" i="65"/>
  <c r="B4" i="67"/>
  <c r="C4" i="67"/>
  <c r="D4" i="67"/>
  <c r="E4" i="67"/>
  <c r="F4" i="67"/>
  <c r="G4" i="67"/>
  <c r="H4" i="67"/>
  <c r="I4" i="67"/>
  <c r="J4" i="67"/>
  <c r="K4" i="67"/>
  <c r="L4" i="67"/>
  <c r="M4" i="67"/>
  <c r="N4" i="67"/>
  <c r="O4" i="67"/>
  <c r="P4" i="67"/>
  <c r="Q4" i="67"/>
  <c r="R4" i="67"/>
  <c r="S4" i="67"/>
  <c r="T4" i="67"/>
  <c r="U4" i="67"/>
  <c r="V4" i="67"/>
  <c r="W4" i="67"/>
  <c r="X4" i="67"/>
  <c r="B8" i="67"/>
  <c r="C8" i="67"/>
  <c r="D8" i="67"/>
  <c r="E8" i="67"/>
  <c r="F8" i="67"/>
  <c r="G8" i="67"/>
  <c r="H8" i="67"/>
  <c r="I8" i="67"/>
  <c r="J8" i="67"/>
  <c r="K8" i="67"/>
  <c r="L8" i="67"/>
  <c r="M8" i="67"/>
  <c r="N8" i="67"/>
  <c r="O8" i="67"/>
  <c r="P8" i="67"/>
  <c r="Q8" i="67"/>
  <c r="R8" i="67"/>
  <c r="S8" i="67"/>
  <c r="T8" i="67"/>
  <c r="U8" i="67"/>
  <c r="V8" i="67"/>
  <c r="W8" i="67"/>
  <c r="X8" i="67"/>
  <c r="C9" i="67"/>
  <c r="D9" i="67"/>
  <c r="E9" i="67"/>
  <c r="F9" i="67"/>
  <c r="G9" i="67"/>
  <c r="H9" i="67"/>
  <c r="I9" i="67"/>
  <c r="J9" i="67"/>
  <c r="K9" i="67"/>
  <c r="L9" i="67"/>
  <c r="M9" i="67"/>
  <c r="N9" i="67"/>
  <c r="O9" i="67"/>
  <c r="P9" i="67"/>
  <c r="Q9" i="67"/>
  <c r="R9" i="67"/>
  <c r="S9" i="67"/>
  <c r="T9" i="67"/>
  <c r="U9" i="67"/>
  <c r="V9" i="67"/>
  <c r="W9" i="67"/>
  <c r="X9" i="67"/>
  <c r="C10" i="67"/>
  <c r="D10" i="67"/>
  <c r="E10" i="67"/>
  <c r="F10" i="67"/>
  <c r="G10" i="67"/>
  <c r="H10" i="67"/>
  <c r="I10" i="67"/>
  <c r="J10" i="67"/>
  <c r="K10" i="67"/>
  <c r="L10" i="67"/>
  <c r="M10" i="67"/>
  <c r="N10" i="67"/>
  <c r="O10" i="67"/>
  <c r="P10" i="67"/>
  <c r="Q10" i="67"/>
  <c r="R10" i="67"/>
  <c r="S10" i="67"/>
  <c r="T10" i="67"/>
  <c r="U10" i="67"/>
  <c r="V10" i="67"/>
  <c r="W10" i="67"/>
  <c r="X10" i="67"/>
  <c r="C11" i="67"/>
  <c r="D11" i="67"/>
  <c r="E11" i="67"/>
  <c r="F11" i="67"/>
  <c r="G11" i="67"/>
  <c r="H11" i="67"/>
  <c r="I11" i="67"/>
  <c r="J11" i="67"/>
  <c r="K11" i="67"/>
  <c r="L11" i="67"/>
  <c r="M11" i="67"/>
  <c r="N11" i="67"/>
  <c r="O11" i="67"/>
  <c r="P11" i="67"/>
  <c r="Q11" i="67"/>
  <c r="R11" i="67"/>
  <c r="S11" i="67"/>
  <c r="T11" i="67"/>
  <c r="U11" i="67"/>
  <c r="V11" i="67"/>
  <c r="W11" i="67"/>
  <c r="X11" i="67"/>
  <c r="B12" i="67"/>
  <c r="C12" i="67"/>
  <c r="D12" i="67"/>
  <c r="E12" i="67"/>
  <c r="F12" i="67"/>
  <c r="G12" i="67"/>
  <c r="H12" i="67"/>
  <c r="I12" i="67"/>
  <c r="J12" i="67"/>
  <c r="K12" i="67"/>
  <c r="L12" i="67"/>
  <c r="M12" i="67"/>
  <c r="N12" i="67"/>
  <c r="O12" i="67"/>
  <c r="P12" i="67"/>
  <c r="Q12" i="67"/>
  <c r="R12" i="67"/>
  <c r="S12" i="67"/>
  <c r="T12" i="67"/>
  <c r="U12" i="67"/>
  <c r="V12" i="67"/>
  <c r="W12" i="67"/>
  <c r="X12" i="67"/>
  <c r="B14" i="67"/>
  <c r="C14" i="67"/>
  <c r="D14" i="67"/>
  <c r="E14" i="67"/>
  <c r="F14" i="67"/>
  <c r="G14" i="67"/>
  <c r="H14" i="67"/>
  <c r="I14" i="67"/>
  <c r="J14" i="67"/>
  <c r="K14" i="67"/>
  <c r="L14" i="67"/>
  <c r="M14" i="67"/>
  <c r="N14" i="67"/>
  <c r="O14" i="67"/>
  <c r="P14" i="67"/>
  <c r="Q14" i="67"/>
  <c r="R14" i="67"/>
  <c r="S14" i="67"/>
  <c r="T14" i="67"/>
  <c r="U14" i="67"/>
  <c r="V14" i="67"/>
  <c r="W14" i="67"/>
  <c r="X14" i="67"/>
  <c r="C15" i="67"/>
  <c r="D15" i="67"/>
  <c r="E15" i="67"/>
  <c r="F15" i="67"/>
  <c r="G15" i="67"/>
  <c r="H15" i="67"/>
  <c r="I15" i="67"/>
  <c r="J15" i="67"/>
  <c r="K15" i="67"/>
  <c r="L15" i="67"/>
  <c r="M15" i="67"/>
  <c r="N15" i="67"/>
  <c r="O15" i="67"/>
  <c r="P15" i="67"/>
  <c r="Q15" i="67"/>
  <c r="R15" i="67"/>
  <c r="S15" i="67"/>
  <c r="T15" i="67"/>
  <c r="U15" i="67"/>
  <c r="V15" i="67"/>
  <c r="W15" i="67"/>
  <c r="X15" i="67"/>
  <c r="C16" i="67"/>
  <c r="D16" i="67"/>
  <c r="E16" i="67"/>
  <c r="F16" i="67"/>
  <c r="G16" i="67"/>
  <c r="H16" i="67"/>
  <c r="I16" i="67"/>
  <c r="J16" i="67"/>
  <c r="K16" i="67"/>
  <c r="L16" i="67"/>
  <c r="M16" i="67"/>
  <c r="N16" i="67"/>
  <c r="O16" i="67"/>
  <c r="P16" i="67"/>
  <c r="Q16" i="67"/>
  <c r="R16" i="67"/>
  <c r="S16" i="67"/>
  <c r="T16" i="67"/>
  <c r="U16" i="67"/>
  <c r="V16" i="67"/>
  <c r="W16" i="67"/>
  <c r="X16" i="67"/>
  <c r="C17" i="67"/>
  <c r="D17" i="67"/>
  <c r="E17" i="67"/>
  <c r="F17" i="67"/>
  <c r="G17" i="67"/>
  <c r="H17" i="67"/>
  <c r="I17" i="67"/>
  <c r="J17" i="67"/>
  <c r="K17" i="67"/>
  <c r="L17" i="67"/>
  <c r="M17" i="67"/>
  <c r="N17" i="67"/>
  <c r="O17" i="67"/>
  <c r="P17" i="67"/>
  <c r="Q17" i="67"/>
  <c r="R17" i="67"/>
  <c r="S17" i="67"/>
  <c r="T17" i="67"/>
  <c r="U17" i="67"/>
  <c r="V17" i="67"/>
  <c r="W17" i="67"/>
  <c r="X17" i="67"/>
  <c r="B18" i="67"/>
  <c r="C18" i="67"/>
  <c r="D18" i="67"/>
  <c r="E18" i="67"/>
  <c r="F18" i="67"/>
  <c r="G18" i="67"/>
  <c r="H18" i="67"/>
  <c r="I18" i="67"/>
  <c r="J18" i="67"/>
  <c r="K18" i="67"/>
  <c r="L18" i="67"/>
  <c r="M18" i="67"/>
  <c r="N18" i="67"/>
  <c r="O18" i="67"/>
  <c r="P18" i="67"/>
  <c r="Q18" i="67"/>
  <c r="R18" i="67"/>
  <c r="S18" i="67"/>
  <c r="T18" i="67"/>
  <c r="U18" i="67"/>
  <c r="V18" i="67"/>
  <c r="W18" i="67"/>
  <c r="X18" i="67"/>
  <c r="B20" i="67"/>
  <c r="C20" i="67"/>
  <c r="D20" i="67"/>
  <c r="E20" i="67"/>
  <c r="F20" i="67"/>
  <c r="G20" i="67"/>
  <c r="H20" i="67"/>
  <c r="I20" i="67"/>
  <c r="J20" i="67"/>
  <c r="K20" i="67"/>
  <c r="L20" i="67"/>
  <c r="M20" i="67"/>
  <c r="N20" i="67"/>
  <c r="O20" i="67"/>
  <c r="P20" i="67"/>
  <c r="Q20" i="67"/>
  <c r="R20" i="67"/>
  <c r="S20" i="67"/>
  <c r="T20" i="67"/>
  <c r="U20" i="67"/>
  <c r="V20" i="67"/>
  <c r="W20" i="67"/>
  <c r="X20" i="67"/>
  <c r="C21" i="67"/>
  <c r="D21" i="67"/>
  <c r="E21" i="67"/>
  <c r="F21" i="67"/>
  <c r="G21" i="67"/>
  <c r="H21" i="67"/>
  <c r="I21" i="67"/>
  <c r="J21" i="67"/>
  <c r="K21" i="67"/>
  <c r="L21" i="67"/>
  <c r="M21" i="67"/>
  <c r="N21" i="67"/>
  <c r="O21" i="67"/>
  <c r="P21" i="67"/>
  <c r="Q21" i="67"/>
  <c r="R21" i="67"/>
  <c r="S21" i="67"/>
  <c r="T21" i="67"/>
  <c r="U21" i="67"/>
  <c r="V21" i="67"/>
  <c r="W21" i="67"/>
  <c r="X21" i="67"/>
  <c r="C22" i="67"/>
  <c r="D22" i="67"/>
  <c r="E22" i="67"/>
  <c r="F22" i="67"/>
  <c r="G22" i="67"/>
  <c r="H22" i="67"/>
  <c r="I22" i="67"/>
  <c r="J22" i="67"/>
  <c r="K22" i="67"/>
  <c r="L22" i="67"/>
  <c r="M22" i="67"/>
  <c r="N22" i="67"/>
  <c r="O22" i="67"/>
  <c r="P22" i="67"/>
  <c r="Q22" i="67"/>
  <c r="R22" i="67"/>
  <c r="S22" i="67"/>
  <c r="T22" i="67"/>
  <c r="U22" i="67"/>
  <c r="V22" i="67"/>
  <c r="W22" i="67"/>
  <c r="X22" i="67"/>
  <c r="C23" i="67"/>
  <c r="D23" i="67"/>
  <c r="E23" i="67"/>
  <c r="F23" i="67"/>
  <c r="G23" i="67"/>
  <c r="H23" i="67"/>
  <c r="I23" i="67"/>
  <c r="J23" i="67"/>
  <c r="K23" i="67"/>
  <c r="L23" i="67"/>
  <c r="M23" i="67"/>
  <c r="N23" i="67"/>
  <c r="O23" i="67"/>
  <c r="P23" i="67"/>
  <c r="Q23" i="67"/>
  <c r="R23" i="67"/>
  <c r="S23" i="67"/>
  <c r="T23" i="67"/>
  <c r="U23" i="67"/>
  <c r="V23" i="67"/>
  <c r="W23" i="67"/>
  <c r="X23" i="67"/>
  <c r="B24" i="67"/>
  <c r="C24" i="67"/>
  <c r="D24" i="67"/>
  <c r="E24" i="67"/>
  <c r="F24" i="67"/>
  <c r="G24" i="67"/>
  <c r="H24" i="67"/>
  <c r="I24" i="67"/>
  <c r="J24" i="67"/>
  <c r="K24" i="67"/>
  <c r="L24" i="67"/>
  <c r="M24" i="67"/>
  <c r="N24" i="67"/>
  <c r="O24" i="67"/>
  <c r="P24" i="67"/>
  <c r="Q24" i="67"/>
  <c r="R24" i="67"/>
  <c r="S24" i="67"/>
  <c r="T24" i="67"/>
  <c r="U24" i="67"/>
  <c r="V24" i="67"/>
  <c r="W24" i="67"/>
  <c r="X24" i="67"/>
  <c r="C27" i="67"/>
  <c r="D27" i="67"/>
  <c r="E27" i="67"/>
  <c r="F27" i="67"/>
  <c r="G27" i="67"/>
  <c r="H27" i="67"/>
  <c r="I27" i="67"/>
  <c r="J27" i="67"/>
  <c r="K27" i="67"/>
  <c r="L27" i="67"/>
  <c r="M27" i="67"/>
  <c r="N27" i="67"/>
  <c r="O27" i="67"/>
  <c r="P27" i="67"/>
  <c r="Q27" i="67"/>
  <c r="R27" i="67"/>
  <c r="S27" i="67"/>
  <c r="T27" i="67"/>
  <c r="U27" i="67"/>
  <c r="V27" i="67"/>
  <c r="W27" i="67"/>
  <c r="X27" i="67"/>
  <c r="C28" i="67"/>
  <c r="D28" i="67"/>
  <c r="E28" i="67"/>
  <c r="F28" i="67"/>
  <c r="G28" i="67"/>
  <c r="H28" i="67"/>
  <c r="I28" i="67"/>
  <c r="J28" i="67"/>
  <c r="K28" i="67"/>
  <c r="L28" i="67"/>
  <c r="M28" i="67"/>
  <c r="N28" i="67"/>
  <c r="O28" i="67"/>
  <c r="P28" i="67"/>
  <c r="Q28" i="67"/>
  <c r="R28" i="67"/>
  <c r="S28" i="67"/>
  <c r="T28" i="67"/>
  <c r="U28" i="67"/>
  <c r="V28" i="67"/>
  <c r="W28" i="67"/>
  <c r="X28" i="67"/>
  <c r="C29" i="67"/>
  <c r="D29" i="67"/>
  <c r="E29" i="67"/>
  <c r="F29" i="67"/>
  <c r="G29" i="67"/>
  <c r="H29" i="67"/>
  <c r="I29" i="67"/>
  <c r="J29" i="67"/>
  <c r="K29" i="67"/>
  <c r="L29" i="67"/>
  <c r="M29" i="67"/>
  <c r="N29" i="67"/>
  <c r="O29" i="67"/>
  <c r="P29" i="67"/>
  <c r="Q29" i="67"/>
  <c r="R29" i="67"/>
  <c r="S29" i="67"/>
  <c r="T29" i="67"/>
  <c r="U29" i="67"/>
  <c r="V29" i="67"/>
  <c r="W29" i="67"/>
  <c r="X29" i="67"/>
  <c r="B30" i="67"/>
  <c r="C30" i="67"/>
  <c r="D30" i="67"/>
  <c r="E30" i="67"/>
  <c r="F30" i="67"/>
  <c r="G30" i="67"/>
  <c r="H30" i="67"/>
  <c r="I30" i="67"/>
  <c r="J30" i="67"/>
  <c r="K30" i="67"/>
  <c r="L30" i="67"/>
  <c r="M30" i="67"/>
  <c r="N30" i="67"/>
  <c r="O30" i="67"/>
  <c r="P30" i="67"/>
  <c r="Q30" i="67"/>
  <c r="R30" i="67"/>
  <c r="S30" i="67"/>
  <c r="T30" i="67"/>
  <c r="U30" i="67"/>
  <c r="V30" i="67"/>
  <c r="W30" i="67"/>
  <c r="X30" i="67"/>
  <c r="B32" i="67"/>
  <c r="C32" i="67"/>
  <c r="D32" i="67"/>
  <c r="E32" i="67"/>
  <c r="F32" i="67"/>
  <c r="G32" i="67"/>
  <c r="H32" i="67"/>
  <c r="I32" i="67"/>
  <c r="J32" i="67"/>
  <c r="K32" i="67"/>
  <c r="L32" i="67"/>
  <c r="M32" i="67"/>
  <c r="N32" i="67"/>
  <c r="O32" i="67"/>
  <c r="P32" i="67"/>
  <c r="Q32" i="67"/>
  <c r="R32" i="67"/>
  <c r="S32" i="67"/>
  <c r="T32" i="67"/>
  <c r="U32" i="67"/>
  <c r="V32" i="67"/>
  <c r="W32" i="67"/>
  <c r="X32" i="67"/>
  <c r="B33" i="67"/>
  <c r="C33" i="67"/>
  <c r="D33" i="67"/>
  <c r="E33" i="67"/>
  <c r="F33" i="67"/>
  <c r="G33" i="67"/>
  <c r="H33" i="67"/>
  <c r="I33" i="67"/>
  <c r="J33" i="67"/>
  <c r="K33" i="67"/>
  <c r="L33" i="67"/>
  <c r="M33" i="67"/>
  <c r="N33" i="67"/>
  <c r="O33" i="67"/>
  <c r="P33" i="67"/>
  <c r="Q33" i="67"/>
  <c r="R33" i="67"/>
  <c r="S33" i="67"/>
  <c r="T33" i="67"/>
  <c r="U33" i="67"/>
  <c r="V33" i="67"/>
  <c r="W33" i="67"/>
  <c r="X33" i="67"/>
  <c r="B34" i="67"/>
  <c r="C34" i="67"/>
  <c r="D34" i="67"/>
  <c r="E34" i="67"/>
  <c r="F34" i="67"/>
  <c r="G34" i="67"/>
  <c r="H34" i="67"/>
  <c r="I34" i="67"/>
  <c r="J34" i="67"/>
  <c r="K34" i="67"/>
  <c r="L34" i="67"/>
  <c r="M34" i="67"/>
  <c r="N34" i="67"/>
  <c r="O34" i="67"/>
  <c r="P34" i="67"/>
  <c r="Q34" i="67"/>
  <c r="R34" i="67"/>
  <c r="S34" i="67"/>
  <c r="T34" i="67"/>
  <c r="U34" i="67"/>
  <c r="V34" i="67"/>
  <c r="W34" i="67"/>
  <c r="X34" i="67"/>
  <c r="B35" i="67"/>
  <c r="C35" i="67"/>
  <c r="D35" i="67"/>
  <c r="E35" i="67"/>
  <c r="F35" i="67"/>
  <c r="G35" i="67"/>
  <c r="H35" i="67"/>
  <c r="I35" i="67"/>
  <c r="J35" i="67"/>
  <c r="K35" i="67"/>
  <c r="L35" i="67"/>
  <c r="M35" i="67"/>
  <c r="N35" i="67"/>
  <c r="O35" i="67"/>
  <c r="P35" i="67"/>
  <c r="Q35" i="67"/>
  <c r="R35" i="67"/>
  <c r="S35" i="67"/>
  <c r="T35" i="67"/>
  <c r="U35" i="67"/>
  <c r="V35" i="67"/>
  <c r="W35" i="67"/>
  <c r="X35" i="67"/>
  <c r="B36" i="67"/>
  <c r="C36" i="67"/>
  <c r="D36" i="67"/>
  <c r="E36" i="67"/>
  <c r="F36" i="67"/>
  <c r="G36" i="67"/>
  <c r="H36" i="67"/>
  <c r="I36" i="67"/>
  <c r="J36" i="67"/>
  <c r="K36" i="67"/>
  <c r="L36" i="67"/>
  <c r="M36" i="67"/>
  <c r="N36" i="67"/>
  <c r="O36" i="67"/>
  <c r="P36" i="67"/>
  <c r="Q36" i="67"/>
  <c r="R36" i="67"/>
  <c r="S36" i="67"/>
  <c r="T36" i="67"/>
  <c r="U36" i="67"/>
  <c r="V36" i="67"/>
  <c r="W36" i="67"/>
  <c r="X36" i="67"/>
  <c r="C37" i="67"/>
  <c r="D37" i="67"/>
  <c r="E37" i="67"/>
  <c r="F37" i="67"/>
  <c r="G37" i="67"/>
  <c r="H37" i="67"/>
  <c r="I37" i="67"/>
  <c r="J37" i="67"/>
  <c r="K37" i="67"/>
  <c r="L37" i="67"/>
  <c r="M37" i="67"/>
  <c r="N37" i="67"/>
  <c r="O37" i="67"/>
  <c r="P37" i="67"/>
  <c r="Q37" i="67"/>
  <c r="R37" i="67"/>
  <c r="S37" i="67"/>
  <c r="T37" i="67"/>
  <c r="U37" i="67"/>
  <c r="V37" i="67"/>
  <c r="W37" i="67"/>
  <c r="X37" i="67"/>
  <c r="C39" i="67"/>
  <c r="D39" i="67"/>
  <c r="E39" i="67"/>
  <c r="F39" i="67"/>
  <c r="G39" i="67"/>
  <c r="H39" i="67"/>
  <c r="I39" i="67"/>
  <c r="J39" i="67"/>
  <c r="K39" i="67"/>
  <c r="L39" i="67"/>
  <c r="M39" i="67"/>
  <c r="N39" i="67"/>
  <c r="O39" i="67"/>
  <c r="P39" i="67"/>
  <c r="Q39" i="67"/>
  <c r="R39" i="67"/>
  <c r="S39" i="67"/>
  <c r="T39" i="67"/>
  <c r="U39" i="67"/>
  <c r="V39" i="67"/>
  <c r="W39" i="67"/>
  <c r="X39" i="67"/>
  <c r="B40" i="67"/>
  <c r="C40" i="67"/>
  <c r="D40" i="67"/>
  <c r="E40" i="67"/>
  <c r="F40" i="67"/>
  <c r="G40" i="67"/>
  <c r="H40" i="67"/>
  <c r="I40" i="67"/>
  <c r="J40" i="67"/>
  <c r="K40" i="67"/>
  <c r="L40" i="67"/>
  <c r="M40" i="67"/>
  <c r="N40" i="67"/>
  <c r="O40" i="67"/>
  <c r="P40" i="67"/>
  <c r="Q40" i="67"/>
  <c r="R40" i="67"/>
  <c r="S40" i="67"/>
  <c r="T40" i="67"/>
  <c r="U40" i="67"/>
  <c r="V40" i="67"/>
  <c r="W40" i="67"/>
  <c r="X40" i="67"/>
  <c r="C41" i="67"/>
  <c r="D41" i="67"/>
  <c r="E41" i="67"/>
  <c r="F41" i="67"/>
  <c r="G41" i="67"/>
  <c r="H41" i="67"/>
  <c r="I41" i="67"/>
  <c r="J41" i="67"/>
  <c r="K41" i="67"/>
  <c r="L41" i="67"/>
  <c r="M41" i="67"/>
  <c r="N41" i="67"/>
  <c r="O41" i="67"/>
  <c r="P41" i="67"/>
  <c r="Q41" i="67"/>
  <c r="R41" i="67"/>
  <c r="S41" i="67"/>
  <c r="T41" i="67"/>
  <c r="U41" i="67"/>
  <c r="V41" i="67"/>
  <c r="W41" i="67"/>
  <c r="X41" i="67"/>
  <c r="B42" i="67"/>
  <c r="C42" i="67"/>
  <c r="D42" i="67"/>
  <c r="E42" i="67"/>
  <c r="F42" i="67"/>
  <c r="G42" i="67"/>
  <c r="H42" i="67"/>
  <c r="I42" i="67"/>
  <c r="J42" i="67"/>
  <c r="K42" i="67"/>
  <c r="L42" i="67"/>
  <c r="M42" i="67"/>
  <c r="N42" i="67"/>
  <c r="O42" i="67"/>
  <c r="P42" i="67"/>
  <c r="Q42" i="67"/>
  <c r="R42" i="67"/>
  <c r="S42" i="67"/>
  <c r="T42" i="67"/>
  <c r="U42" i="67"/>
  <c r="V42" i="67"/>
  <c r="W42" i="67"/>
  <c r="X42" i="67"/>
  <c r="C43" i="67"/>
  <c r="D43" i="67"/>
  <c r="E43" i="67"/>
  <c r="F43" i="67"/>
  <c r="G43" i="67"/>
  <c r="H43" i="67"/>
  <c r="I43" i="67"/>
  <c r="J43" i="67"/>
  <c r="K43" i="67"/>
  <c r="L43" i="67"/>
  <c r="M43" i="67"/>
  <c r="N43" i="67"/>
  <c r="O43" i="67"/>
  <c r="P43" i="67"/>
  <c r="Q43" i="67"/>
  <c r="R43" i="67"/>
  <c r="S43" i="67"/>
  <c r="T43" i="67"/>
  <c r="U43" i="67"/>
  <c r="V43" i="67"/>
  <c r="W43" i="67"/>
  <c r="X43" i="67"/>
  <c r="B44" i="67"/>
  <c r="C44" i="67"/>
  <c r="D44" i="67"/>
  <c r="E44" i="67"/>
  <c r="F44" i="67"/>
  <c r="G44" i="67"/>
  <c r="H44" i="67"/>
  <c r="I44" i="67"/>
  <c r="J44" i="67"/>
  <c r="K44" i="67"/>
  <c r="L44" i="67"/>
  <c r="M44" i="67"/>
  <c r="N44" i="67"/>
  <c r="O44" i="67"/>
  <c r="P44" i="67"/>
  <c r="Q44" i="67"/>
  <c r="R44" i="67"/>
  <c r="S44" i="67"/>
  <c r="T44" i="67"/>
  <c r="U44" i="67"/>
  <c r="V44" i="67"/>
  <c r="W44" i="67"/>
  <c r="X44" i="67"/>
  <c r="C45" i="67"/>
  <c r="D45" i="67"/>
  <c r="E45" i="67"/>
  <c r="F45" i="67"/>
  <c r="G45" i="67"/>
  <c r="H45" i="67"/>
  <c r="I45" i="67"/>
  <c r="J45" i="67"/>
  <c r="K45" i="67"/>
  <c r="L45" i="67"/>
  <c r="M45" i="67"/>
  <c r="N45" i="67"/>
  <c r="O45" i="67"/>
  <c r="P45" i="67"/>
  <c r="Q45" i="67"/>
  <c r="R45" i="67"/>
  <c r="S45" i="67"/>
  <c r="T45" i="67"/>
  <c r="U45" i="67"/>
  <c r="V45" i="67"/>
  <c r="W45" i="67"/>
  <c r="X45" i="67"/>
  <c r="B46" i="67"/>
  <c r="C46" i="67"/>
  <c r="D46" i="67"/>
  <c r="E46" i="67"/>
  <c r="F46" i="67"/>
  <c r="G46" i="67"/>
  <c r="H46" i="67"/>
  <c r="I46" i="67"/>
  <c r="J46" i="67"/>
  <c r="K46" i="67"/>
  <c r="L46" i="67"/>
  <c r="M46" i="67"/>
  <c r="N46" i="67"/>
  <c r="O46" i="67"/>
  <c r="P46" i="67"/>
  <c r="Q46" i="67"/>
  <c r="R46" i="67"/>
  <c r="S46" i="67"/>
  <c r="T46" i="67"/>
  <c r="U46" i="67"/>
  <c r="V46" i="67"/>
  <c r="W46" i="67"/>
  <c r="X46" i="67"/>
  <c r="C47" i="67"/>
  <c r="D47" i="67"/>
  <c r="E47" i="67"/>
  <c r="F47" i="67"/>
  <c r="G47" i="67"/>
  <c r="H47" i="67"/>
  <c r="I47" i="67"/>
  <c r="J47" i="67"/>
  <c r="K47" i="67"/>
  <c r="L47" i="67"/>
  <c r="M47" i="67"/>
  <c r="N47" i="67"/>
  <c r="O47" i="67"/>
  <c r="P47" i="67"/>
  <c r="Q47" i="67"/>
  <c r="R47" i="67"/>
  <c r="S47" i="67"/>
  <c r="T47" i="67"/>
  <c r="U47" i="67"/>
  <c r="V47" i="67"/>
  <c r="W47" i="67"/>
  <c r="X47" i="67"/>
  <c r="B48" i="67"/>
  <c r="C48" i="67"/>
  <c r="D48" i="67"/>
  <c r="E48" i="67"/>
  <c r="F48" i="67"/>
  <c r="G48" i="67"/>
  <c r="H48" i="67"/>
  <c r="I48" i="67"/>
  <c r="J48" i="67"/>
  <c r="K48" i="67"/>
  <c r="L48" i="67"/>
  <c r="M48" i="67"/>
  <c r="N48" i="67"/>
  <c r="O48" i="67"/>
  <c r="P48" i="67"/>
  <c r="Q48" i="67"/>
  <c r="R48" i="67"/>
  <c r="S48" i="67"/>
  <c r="T48" i="67"/>
  <c r="U48" i="67"/>
  <c r="V48" i="67"/>
  <c r="W48" i="67"/>
  <c r="X48" i="67"/>
  <c r="J50" i="67"/>
  <c r="J51" i="67"/>
  <c r="B52" i="67"/>
  <c r="D52" i="67"/>
  <c r="J52" i="67"/>
  <c r="B53" i="67"/>
  <c r="B54" i="67"/>
  <c r="B56" i="67"/>
  <c r="C56" i="67"/>
  <c r="D56" i="67"/>
  <c r="E56" i="67"/>
  <c r="F56" i="67"/>
  <c r="G56" i="67"/>
  <c r="H56" i="67"/>
  <c r="I56" i="67"/>
  <c r="J56" i="67"/>
  <c r="K56" i="67"/>
  <c r="L56" i="67"/>
  <c r="M56" i="67"/>
  <c r="N56" i="67"/>
  <c r="O56" i="67"/>
  <c r="P56" i="67"/>
  <c r="Q56" i="67"/>
  <c r="R56" i="67"/>
  <c r="S56" i="67"/>
  <c r="T56" i="67"/>
  <c r="U56" i="67"/>
  <c r="V56" i="67"/>
  <c r="W56" i="67"/>
  <c r="X56" i="67"/>
  <c r="A57" i="67"/>
  <c r="C59" i="67"/>
  <c r="D59" i="67"/>
  <c r="E59" i="67"/>
  <c r="F59" i="67"/>
  <c r="G59" i="67"/>
  <c r="H59" i="67"/>
  <c r="I59" i="67"/>
  <c r="J59" i="67"/>
  <c r="K59" i="67"/>
  <c r="L59" i="67"/>
  <c r="M59" i="67"/>
  <c r="N59" i="67"/>
  <c r="O59" i="67"/>
  <c r="P59" i="67"/>
  <c r="Q59" i="67"/>
  <c r="R59" i="67"/>
  <c r="S59" i="67"/>
  <c r="T59" i="67"/>
  <c r="U59" i="67"/>
  <c r="V59" i="67"/>
  <c r="W59" i="67"/>
  <c r="X59" i="67"/>
  <c r="C61" i="67"/>
  <c r="D61" i="67"/>
  <c r="E61" i="67"/>
  <c r="F61" i="67"/>
  <c r="G61" i="67"/>
  <c r="H61" i="67"/>
  <c r="I61" i="67"/>
  <c r="J61" i="67"/>
  <c r="K61" i="67"/>
  <c r="L61" i="67"/>
  <c r="M61" i="67"/>
  <c r="N61" i="67"/>
  <c r="O61" i="67"/>
  <c r="P61" i="67"/>
  <c r="Q61" i="67"/>
  <c r="R61" i="67"/>
  <c r="S61" i="67"/>
  <c r="T61" i="67"/>
  <c r="U61" i="67"/>
  <c r="V61" i="67"/>
  <c r="W61" i="67"/>
  <c r="X61" i="67"/>
  <c r="D62" i="67"/>
  <c r="E62" i="67"/>
  <c r="F62" i="67"/>
  <c r="G62" i="67"/>
  <c r="H62" i="67"/>
  <c r="I62" i="67"/>
  <c r="J62" i="67"/>
  <c r="K62" i="67"/>
  <c r="L62" i="67"/>
  <c r="M62" i="67"/>
  <c r="N62" i="67"/>
  <c r="O62" i="67"/>
  <c r="P62" i="67"/>
  <c r="Q62" i="67"/>
  <c r="R62" i="67"/>
  <c r="S62" i="67"/>
  <c r="T62" i="67"/>
  <c r="U62" i="67"/>
  <c r="V62" i="67"/>
  <c r="W62" i="67"/>
  <c r="X62" i="67"/>
  <c r="E64" i="67"/>
  <c r="F64" i="67"/>
  <c r="G64" i="67"/>
  <c r="H64" i="67"/>
  <c r="I64" i="67"/>
  <c r="J64" i="67"/>
  <c r="K64" i="67"/>
  <c r="L64" i="67"/>
  <c r="M64" i="67"/>
  <c r="N64" i="67"/>
  <c r="O64" i="67"/>
  <c r="P64" i="67"/>
  <c r="Q64" i="67"/>
  <c r="R64" i="67"/>
  <c r="S64" i="67"/>
  <c r="T64" i="67"/>
  <c r="U64" i="67"/>
  <c r="V64" i="67"/>
  <c r="W64" i="67"/>
  <c r="X64" i="67"/>
  <c r="E66" i="67"/>
  <c r="F66" i="67"/>
  <c r="G66" i="67"/>
  <c r="H66" i="67"/>
  <c r="I66" i="67"/>
  <c r="J66" i="67"/>
  <c r="K66" i="67"/>
  <c r="L66" i="67"/>
  <c r="M66" i="67"/>
  <c r="N66" i="67"/>
  <c r="O66" i="67"/>
  <c r="P66" i="67"/>
  <c r="Q66" i="67"/>
  <c r="R66" i="67"/>
  <c r="S66" i="67"/>
  <c r="T66" i="67"/>
  <c r="U66" i="67"/>
  <c r="V66" i="67"/>
  <c r="W66" i="67"/>
  <c r="X66" i="67"/>
  <c r="E67" i="67"/>
  <c r="F67" i="67"/>
  <c r="G67" i="67"/>
  <c r="H67" i="67"/>
  <c r="I67" i="67"/>
  <c r="J67" i="67"/>
  <c r="K67" i="67"/>
  <c r="L67" i="67"/>
  <c r="M67" i="67"/>
  <c r="N67" i="67"/>
  <c r="O67" i="67"/>
  <c r="P67" i="67"/>
  <c r="Q67" i="67"/>
  <c r="R67" i="67"/>
  <c r="S67" i="67"/>
  <c r="T67" i="67"/>
  <c r="U67" i="67"/>
  <c r="V67" i="67"/>
  <c r="W67" i="67"/>
  <c r="X67" i="67"/>
  <c r="E68" i="67"/>
  <c r="F68" i="67"/>
  <c r="G68" i="67"/>
  <c r="H68" i="67"/>
  <c r="I68" i="67"/>
  <c r="J68" i="67"/>
  <c r="K68" i="67"/>
  <c r="L68" i="67"/>
  <c r="M68" i="67"/>
  <c r="N68" i="67"/>
  <c r="O68" i="67"/>
  <c r="P68" i="67"/>
  <c r="Q68" i="67"/>
  <c r="R68" i="67"/>
  <c r="S68" i="67"/>
  <c r="T68" i="67"/>
  <c r="U68" i="67"/>
  <c r="V68" i="67"/>
  <c r="W68" i="67"/>
  <c r="X68" i="67"/>
  <c r="E69" i="67"/>
  <c r="F69" i="67"/>
  <c r="G69" i="67"/>
  <c r="H69" i="67"/>
  <c r="I69" i="67"/>
  <c r="J69" i="67"/>
  <c r="K69" i="67"/>
  <c r="L69" i="67"/>
  <c r="M69" i="67"/>
  <c r="N69" i="67"/>
  <c r="O69" i="67"/>
  <c r="P69" i="67"/>
  <c r="Q69" i="67"/>
  <c r="R69" i="67"/>
  <c r="S69" i="67"/>
  <c r="T69" i="67"/>
  <c r="U69" i="67"/>
  <c r="V69" i="67"/>
  <c r="W69" i="67"/>
  <c r="X69" i="67"/>
  <c r="C72" i="67"/>
  <c r="D72" i="67"/>
  <c r="E72" i="67"/>
  <c r="F72" i="67"/>
  <c r="G72" i="67"/>
  <c r="H72" i="67"/>
  <c r="I72" i="67"/>
  <c r="J72" i="67"/>
  <c r="K72" i="67"/>
  <c r="L72" i="67"/>
  <c r="M72" i="67"/>
  <c r="N72" i="67"/>
  <c r="O72" i="67"/>
  <c r="P72" i="67"/>
  <c r="Q72" i="67"/>
  <c r="R72" i="67"/>
  <c r="S72" i="67"/>
  <c r="T72" i="67"/>
  <c r="U72" i="67"/>
  <c r="V72" i="67"/>
  <c r="W72" i="67"/>
  <c r="X72" i="67"/>
  <c r="B74" i="67"/>
  <c r="C74" i="67"/>
  <c r="D74" i="67"/>
  <c r="E74" i="67"/>
  <c r="F74" i="67"/>
  <c r="G74" i="67"/>
  <c r="H74" i="67"/>
  <c r="I74" i="67"/>
  <c r="J74" i="67"/>
  <c r="K74" i="67"/>
  <c r="L74" i="67"/>
  <c r="M74" i="67"/>
  <c r="N74" i="67"/>
  <c r="O74" i="67"/>
  <c r="P74" i="67"/>
  <c r="Q74" i="67"/>
  <c r="R74" i="67"/>
  <c r="S74" i="67"/>
  <c r="T74" i="67"/>
  <c r="U74" i="67"/>
  <c r="V74" i="67"/>
  <c r="W74" i="67"/>
  <c r="X74" i="67"/>
  <c r="C76" i="67"/>
  <c r="D76" i="67"/>
  <c r="E76" i="67"/>
  <c r="F76" i="67"/>
  <c r="G76" i="67"/>
  <c r="H76" i="67"/>
  <c r="I76" i="67"/>
  <c r="J76" i="67"/>
  <c r="K76" i="67"/>
  <c r="L76" i="67"/>
  <c r="M76" i="67"/>
  <c r="N76" i="67"/>
  <c r="O76" i="67"/>
  <c r="P76" i="67"/>
  <c r="Q76" i="67"/>
  <c r="R76" i="67"/>
  <c r="S76" i="67"/>
  <c r="T76" i="67"/>
  <c r="U76" i="67"/>
  <c r="V76" i="67"/>
  <c r="W76" i="67"/>
  <c r="X76" i="67"/>
  <c r="D80" i="67"/>
  <c r="E85" i="67"/>
  <c r="F85" i="67"/>
  <c r="G85" i="67"/>
  <c r="H85" i="67"/>
  <c r="I85" i="67"/>
  <c r="J85" i="67"/>
  <c r="K85" i="67"/>
  <c r="L85" i="67"/>
  <c r="M85" i="67"/>
  <c r="N85" i="67"/>
  <c r="O85" i="67"/>
  <c r="P85" i="67"/>
  <c r="Q85" i="67"/>
  <c r="R85" i="67"/>
  <c r="S85" i="67"/>
  <c r="T85" i="67"/>
  <c r="U85" i="67"/>
  <c r="V85" i="67"/>
  <c r="W85" i="67"/>
  <c r="X85" i="67"/>
  <c r="B94" i="67"/>
  <c r="C94" i="67"/>
  <c r="D94" i="67"/>
  <c r="E94" i="67"/>
  <c r="B95" i="67"/>
  <c r="C95" i="67"/>
  <c r="D95" i="67"/>
  <c r="E95" i="67"/>
  <c r="A107" i="67"/>
  <c r="A108" i="67"/>
  <c r="A109" i="67"/>
  <c r="A110" i="67"/>
  <c r="A111" i="67"/>
  <c r="A112" i="67"/>
  <c r="A113" i="67"/>
  <c r="B121" i="67"/>
  <c r="B137" i="67"/>
  <c r="A1" i="20"/>
  <c r="A2" i="20"/>
  <c r="A3" i="20"/>
  <c r="A10" i="20"/>
  <c r="C10" i="20"/>
  <c r="D10" i="20"/>
  <c r="E10" i="20"/>
  <c r="B11" i="20"/>
  <c r="C11" i="20"/>
  <c r="D11" i="20"/>
  <c r="E11" i="20"/>
  <c r="F11" i="20"/>
  <c r="B12" i="20"/>
  <c r="C12" i="20"/>
  <c r="B13" i="20"/>
  <c r="C13" i="20"/>
  <c r="D13" i="20"/>
  <c r="E13" i="20"/>
  <c r="F13" i="20"/>
  <c r="B14" i="20"/>
  <c r="C14" i="20"/>
  <c r="B15" i="20"/>
  <c r="C15" i="20"/>
  <c r="A17" i="20"/>
  <c r="B17" i="20"/>
  <c r="C17" i="20"/>
  <c r="D17" i="20"/>
  <c r="E17" i="20"/>
  <c r="B18" i="20"/>
  <c r="C18" i="20"/>
  <c r="D18" i="20"/>
  <c r="E18" i="20"/>
  <c r="B19" i="20"/>
  <c r="C19" i="20"/>
  <c r="D19" i="20"/>
  <c r="E19" i="20"/>
  <c r="B20" i="20"/>
  <c r="C20" i="20"/>
  <c r="D20" i="20"/>
  <c r="E20" i="20"/>
  <c r="B21" i="20"/>
  <c r="E21" i="20"/>
  <c r="B22" i="20"/>
  <c r="E22" i="20"/>
  <c r="B23" i="20"/>
  <c r="E23" i="20"/>
  <c r="A25" i="20"/>
  <c r="B25" i="20"/>
  <c r="C25" i="20"/>
  <c r="B26" i="20"/>
  <c r="C26" i="20"/>
  <c r="B27" i="20"/>
  <c r="C27" i="20"/>
  <c r="A29" i="20"/>
  <c r="B29" i="20"/>
  <c r="C29" i="20"/>
  <c r="B30" i="20"/>
  <c r="C30" i="20"/>
  <c r="D30" i="20"/>
  <c r="B32" i="20"/>
  <c r="C32" i="20"/>
  <c r="F32" i="20"/>
  <c r="B33" i="20"/>
  <c r="C33" i="20"/>
  <c r="F33" i="20"/>
  <c r="B34" i="20"/>
  <c r="C34" i="20"/>
  <c r="F34" i="20"/>
  <c r="B35" i="20"/>
  <c r="B36" i="20"/>
  <c r="C36" i="20"/>
  <c r="F36" i="20"/>
  <c r="B37" i="20"/>
  <c r="C37" i="20"/>
  <c r="F37" i="20"/>
  <c r="A39" i="20"/>
  <c r="C39" i="20"/>
  <c r="B40" i="20"/>
  <c r="B41" i="20"/>
  <c r="D41" i="20"/>
  <c r="B42" i="20"/>
  <c r="D42" i="20"/>
  <c r="B43" i="20"/>
  <c r="D43" i="20"/>
  <c r="B44" i="20"/>
  <c r="D44" i="20"/>
  <c r="B45" i="20"/>
  <c r="D45" i="20"/>
  <c r="F45" i="20"/>
  <c r="B47" i="20"/>
  <c r="B48" i="20"/>
  <c r="C48" i="20"/>
  <c r="D48" i="20"/>
  <c r="F48" i="20"/>
  <c r="B49" i="20"/>
  <c r="C49" i="20"/>
  <c r="D49" i="20"/>
  <c r="F49" i="20"/>
  <c r="B50" i="20"/>
  <c r="B51" i="20"/>
  <c r="C51" i="20"/>
  <c r="F51" i="20"/>
  <c r="D53" i="20"/>
  <c r="E53" i="20"/>
  <c r="F53" i="20"/>
  <c r="B54" i="20"/>
  <c r="C54" i="20"/>
  <c r="D54" i="20"/>
  <c r="E54" i="20"/>
  <c r="F54" i="20"/>
  <c r="B55" i="20"/>
  <c r="C55" i="20"/>
  <c r="D55" i="20"/>
  <c r="E55" i="20"/>
  <c r="F55" i="20"/>
  <c r="A57" i="20"/>
  <c r="C57" i="20"/>
  <c r="C58" i="20"/>
  <c r="B59" i="20"/>
  <c r="C59" i="20"/>
  <c r="D59" i="20"/>
  <c r="E59" i="20"/>
  <c r="B60" i="20"/>
  <c r="C60" i="20"/>
  <c r="D60" i="20"/>
  <c r="E60" i="20"/>
  <c r="F60" i="20"/>
  <c r="B61" i="20"/>
  <c r="C61" i="20"/>
  <c r="D61" i="20"/>
  <c r="E61" i="20"/>
  <c r="F61" i="20"/>
  <c r="B62" i="20"/>
  <c r="C62" i="20"/>
  <c r="D62" i="20"/>
  <c r="E62" i="20"/>
  <c r="F62" i="20"/>
  <c r="B63" i="20"/>
  <c r="C63" i="20"/>
  <c r="D63" i="20"/>
  <c r="E63" i="20"/>
  <c r="F63" i="20"/>
  <c r="B64" i="20"/>
  <c r="C64" i="20"/>
  <c r="D64" i="20"/>
  <c r="E64" i="20"/>
  <c r="F64" i="20"/>
  <c r="B65" i="20"/>
  <c r="C65" i="20"/>
  <c r="D65" i="20"/>
  <c r="E65" i="20"/>
  <c r="F65" i="20"/>
  <c r="B66" i="20"/>
  <c r="B67" i="20"/>
  <c r="C67" i="20"/>
  <c r="D67" i="20"/>
  <c r="E67" i="20"/>
  <c r="F67" i="20"/>
  <c r="B68" i="20"/>
  <c r="C68" i="20"/>
  <c r="D68" i="20"/>
  <c r="E68" i="20"/>
  <c r="F68" i="20"/>
  <c r="B69" i="20"/>
  <c r="C69" i="20"/>
  <c r="D69" i="20"/>
  <c r="E69" i="20"/>
  <c r="F69" i="20"/>
  <c r="B70" i="20"/>
  <c r="C70" i="20"/>
  <c r="D70" i="20"/>
  <c r="E70" i="20"/>
  <c r="F70" i="20"/>
  <c r="B71" i="20"/>
  <c r="C71" i="20"/>
  <c r="D71" i="20"/>
  <c r="E71" i="20"/>
  <c r="F71" i="20"/>
  <c r="B72" i="20"/>
  <c r="B73" i="20"/>
  <c r="C73" i="20"/>
  <c r="D73" i="20"/>
  <c r="E73" i="20"/>
  <c r="F73" i="20"/>
  <c r="B74" i="20"/>
  <c r="C74" i="20"/>
  <c r="D74" i="20"/>
  <c r="E74" i="20"/>
  <c r="B75" i="20"/>
  <c r="C75" i="20"/>
  <c r="D75" i="20"/>
  <c r="E75" i="20"/>
  <c r="A1" i="22"/>
  <c r="A2" i="22"/>
  <c r="A3" i="22"/>
  <c r="A10" i="22"/>
  <c r="B10" i="22"/>
  <c r="B11" i="22"/>
  <c r="C11" i="22"/>
  <c r="B12" i="22"/>
  <c r="C12" i="22"/>
  <c r="D12" i="22"/>
  <c r="B13" i="22"/>
  <c r="C13" i="22"/>
  <c r="D13" i="22"/>
  <c r="B14" i="22"/>
  <c r="C14" i="22"/>
  <c r="D14" i="22"/>
  <c r="B15" i="22"/>
  <c r="C15" i="22"/>
  <c r="D15" i="22"/>
  <c r="B16" i="22"/>
  <c r="C16" i="22"/>
  <c r="D16" i="22"/>
  <c r="B17" i="22"/>
  <c r="C17" i="22"/>
  <c r="D17" i="22"/>
  <c r="B18" i="22"/>
  <c r="C18" i="22"/>
  <c r="D18" i="22"/>
  <c r="B19" i="22"/>
  <c r="C19" i="22"/>
  <c r="D19" i="22"/>
  <c r="B20" i="22"/>
  <c r="C20" i="22"/>
  <c r="D20" i="22"/>
  <c r="B21" i="22"/>
  <c r="C21" i="22"/>
  <c r="D21" i="22"/>
  <c r="B22" i="22"/>
  <c r="C22" i="22"/>
  <c r="D22" i="22"/>
  <c r="B23" i="22"/>
  <c r="C23" i="22"/>
  <c r="D23" i="22"/>
  <c r="B24" i="22"/>
  <c r="C24" i="22"/>
  <c r="D24" i="22"/>
  <c r="B25" i="22"/>
  <c r="C25" i="22"/>
  <c r="D25" i="22"/>
  <c r="B26" i="22"/>
  <c r="C26" i="22"/>
  <c r="D26" i="22"/>
  <c r="B27" i="22"/>
  <c r="C27" i="22"/>
  <c r="D27" i="22"/>
  <c r="B28" i="22"/>
  <c r="C28" i="22"/>
  <c r="D28" i="22"/>
  <c r="B29" i="22"/>
  <c r="C29" i="22"/>
  <c r="D29" i="22"/>
  <c r="B30" i="22"/>
  <c r="C30" i="22"/>
  <c r="D30" i="22"/>
  <c r="B31" i="22"/>
  <c r="C31" i="22"/>
  <c r="D31" i="22"/>
  <c r="B32" i="22"/>
  <c r="B33" i="22"/>
  <c r="C33" i="22"/>
  <c r="D33" i="22"/>
  <c r="B34" i="22"/>
  <c r="C34" i="22"/>
  <c r="D34" i="22"/>
  <c r="B35" i="22"/>
  <c r="C35" i="22"/>
  <c r="D35" i="22"/>
  <c r="B36" i="22"/>
  <c r="C36" i="22"/>
  <c r="D36" i="22"/>
  <c r="A38" i="22"/>
  <c r="B38" i="22"/>
  <c r="C38" i="22"/>
  <c r="B39" i="22"/>
  <c r="B40" i="22"/>
  <c r="B41" i="22"/>
  <c r="B42" i="22"/>
  <c r="C42" i="22"/>
  <c r="B43" i="22"/>
  <c r="C43" i="22"/>
  <c r="D43" i="22"/>
  <c r="E43" i="22"/>
  <c r="B44" i="22"/>
  <c r="C44" i="22"/>
  <c r="D44" i="22"/>
  <c r="E44" i="22"/>
  <c r="A46" i="22"/>
  <c r="B46" i="22"/>
  <c r="C46" i="22"/>
  <c r="B47" i="22"/>
  <c r="C47" i="22"/>
  <c r="A49" i="22"/>
  <c r="B49" i="22"/>
  <c r="C50" i="22"/>
  <c r="D50" i="22"/>
  <c r="E50" i="22"/>
  <c r="F50" i="22"/>
  <c r="C51" i="22"/>
  <c r="B52" i="22"/>
  <c r="C53" i="22"/>
  <c r="D53" i="22"/>
  <c r="E53" i="22"/>
  <c r="F53" i="22"/>
  <c r="C54" i="22"/>
  <c r="C56" i="22"/>
  <c r="D56" i="22"/>
  <c r="E56" i="22"/>
  <c r="F56" i="22"/>
  <c r="C57" i="22"/>
  <c r="A59" i="22"/>
  <c r="B59" i="22"/>
  <c r="B60" i="22"/>
  <c r="D60" i="22"/>
  <c r="B61" i="22"/>
  <c r="D61" i="22"/>
  <c r="A63" i="22"/>
  <c r="B63" i="22"/>
  <c r="C63" i="22"/>
  <c r="B64" i="22"/>
  <c r="C64" i="22"/>
  <c r="A66" i="22"/>
  <c r="B66" i="22"/>
  <c r="C66" i="22"/>
  <c r="D66" i="22"/>
  <c r="C67" i="22"/>
  <c r="D67" i="22"/>
  <c r="A69" i="22"/>
  <c r="B69" i="22"/>
  <c r="B70" i="22"/>
  <c r="C70" i="22"/>
  <c r="D70" i="22"/>
  <c r="A72" i="22"/>
  <c r="B73" i="22"/>
  <c r="D73" i="22"/>
  <c r="B74" i="22"/>
  <c r="D74" i="22"/>
  <c r="B75" i="22"/>
  <c r="D75" i="22"/>
  <c r="B76" i="22"/>
  <c r="D76" i="22"/>
  <c r="B77" i="22"/>
  <c r="D77" i="22"/>
  <c r="A1" i="21"/>
  <c r="A2" i="21"/>
  <c r="A3" i="21"/>
  <c r="A10" i="21"/>
  <c r="C10" i="21"/>
  <c r="D10" i="21"/>
  <c r="E10" i="21"/>
  <c r="F10" i="21"/>
  <c r="B11" i="21"/>
  <c r="C11" i="21"/>
  <c r="D11" i="21"/>
  <c r="E11" i="21"/>
  <c r="F11" i="21"/>
  <c r="B12" i="21"/>
  <c r="C12" i="21"/>
  <c r="D12" i="21"/>
  <c r="E12" i="21"/>
  <c r="F12" i="21"/>
  <c r="B13" i="21"/>
  <c r="C13" i="21"/>
  <c r="D13" i="21"/>
  <c r="E13" i="21"/>
  <c r="F13" i="21"/>
  <c r="B14" i="21"/>
  <c r="C14" i="21"/>
  <c r="D14" i="21"/>
  <c r="E14" i="21"/>
  <c r="F14" i="21"/>
  <c r="B15" i="21"/>
  <c r="C15" i="21"/>
  <c r="D15" i="21"/>
  <c r="E15" i="21"/>
  <c r="F15" i="21"/>
  <c r="B16" i="21"/>
  <c r="C16" i="21"/>
  <c r="D16" i="21"/>
  <c r="E16" i="21"/>
  <c r="F16" i="21"/>
  <c r="B17" i="21"/>
  <c r="C17" i="21"/>
  <c r="D17" i="21"/>
  <c r="E17" i="21"/>
  <c r="F17" i="21"/>
  <c r="B19" i="21"/>
  <c r="C19" i="21"/>
  <c r="D19" i="21"/>
  <c r="E19" i="21"/>
  <c r="F19" i="21"/>
  <c r="B20" i="21"/>
  <c r="C20" i="21"/>
  <c r="D20" i="21"/>
  <c r="E20" i="21"/>
  <c r="F20" i="21"/>
  <c r="B21" i="21"/>
  <c r="C21" i="21"/>
  <c r="D21" i="21"/>
  <c r="E21" i="21"/>
  <c r="F21" i="21"/>
  <c r="B22" i="21"/>
  <c r="C22" i="21"/>
  <c r="D22" i="21"/>
  <c r="E22" i="21"/>
  <c r="F22" i="21"/>
  <c r="B23" i="21"/>
  <c r="C23" i="21"/>
  <c r="D23" i="21"/>
  <c r="E23" i="21"/>
  <c r="F23" i="21"/>
  <c r="B24" i="21"/>
  <c r="C24" i="21"/>
  <c r="D24" i="21"/>
  <c r="E24" i="21"/>
  <c r="F24" i="21"/>
  <c r="B26" i="21"/>
  <c r="C26" i="21"/>
  <c r="D26" i="21"/>
  <c r="E26" i="21"/>
  <c r="F26" i="21"/>
  <c r="B27" i="21"/>
  <c r="C27" i="21"/>
  <c r="D27" i="21"/>
  <c r="E27" i="21"/>
  <c r="F27" i="21"/>
  <c r="B28" i="21"/>
  <c r="C28" i="21"/>
  <c r="D28" i="21"/>
  <c r="E28" i="21"/>
  <c r="F28" i="21"/>
  <c r="B29" i="21"/>
  <c r="C29" i="21"/>
  <c r="D29" i="21"/>
  <c r="E29" i="21"/>
  <c r="F29" i="21"/>
  <c r="B30" i="21"/>
  <c r="C30" i="21"/>
  <c r="D30" i="21"/>
  <c r="E30" i="21"/>
  <c r="F30" i="21"/>
  <c r="B31" i="21"/>
  <c r="C31" i="21"/>
  <c r="D31" i="21"/>
  <c r="E31" i="21"/>
  <c r="F31" i="21"/>
  <c r="B32" i="21"/>
  <c r="C32" i="21"/>
  <c r="D32" i="21"/>
  <c r="E32" i="21"/>
  <c r="F32" i="21"/>
  <c r="B33" i="21"/>
  <c r="C33" i="21"/>
  <c r="D33" i="21"/>
  <c r="E33" i="21"/>
  <c r="F33" i="21"/>
  <c r="B34" i="21"/>
  <c r="C34" i="21"/>
  <c r="D34" i="21"/>
  <c r="E34" i="21"/>
  <c r="F34" i="21"/>
  <c r="B36" i="21"/>
  <c r="C36" i="21"/>
  <c r="D36" i="21"/>
  <c r="E36" i="21"/>
  <c r="F36" i="21"/>
  <c r="B37" i="21"/>
  <c r="C37" i="21"/>
  <c r="D37" i="21"/>
  <c r="E37" i="21"/>
  <c r="F37" i="21"/>
  <c r="B38" i="21"/>
  <c r="C38" i="21"/>
  <c r="D38" i="21"/>
  <c r="E38" i="21"/>
  <c r="F38" i="21"/>
  <c r="B39" i="21"/>
  <c r="C39" i="21"/>
  <c r="D39" i="21"/>
  <c r="E39" i="21"/>
  <c r="F39" i="21"/>
  <c r="B41" i="21"/>
  <c r="C41" i="21"/>
  <c r="D41" i="21"/>
  <c r="E41" i="21"/>
  <c r="F41" i="21"/>
  <c r="B42" i="21"/>
  <c r="C42" i="21"/>
  <c r="D42" i="21"/>
  <c r="E42" i="21"/>
  <c r="F42" i="21"/>
  <c r="B43" i="21"/>
  <c r="C43" i="21"/>
  <c r="D43" i="21"/>
  <c r="E43" i="21"/>
  <c r="F43" i="21"/>
  <c r="B45" i="21"/>
  <c r="C45" i="21"/>
  <c r="D45" i="21"/>
  <c r="E45" i="21"/>
  <c r="F45" i="21"/>
  <c r="B46" i="21"/>
  <c r="C46" i="21"/>
  <c r="D46" i="21"/>
  <c r="E46" i="21"/>
  <c r="F46" i="21"/>
  <c r="B47" i="21"/>
  <c r="C47" i="21"/>
  <c r="D47" i="21"/>
  <c r="E47" i="21"/>
  <c r="F47" i="21"/>
  <c r="B48" i="21"/>
  <c r="C48" i="21"/>
  <c r="D48" i="21"/>
  <c r="E48" i="21"/>
  <c r="F48" i="21"/>
  <c r="B50" i="21"/>
  <c r="C50" i="21"/>
  <c r="D50" i="21"/>
  <c r="E50" i="21"/>
  <c r="F50" i="21"/>
  <c r="B51" i="21"/>
  <c r="C51" i="21"/>
  <c r="D51" i="21"/>
  <c r="E51" i="21"/>
  <c r="F51" i="21"/>
  <c r="A53" i="21"/>
  <c r="E53" i="21"/>
  <c r="F53" i="21"/>
  <c r="C54" i="21"/>
  <c r="D54" i="21"/>
  <c r="E54" i="21"/>
  <c r="F54" i="21"/>
  <c r="B55" i="21"/>
  <c r="C55" i="21"/>
  <c r="D55" i="21"/>
  <c r="E55" i="21"/>
  <c r="F55" i="21"/>
  <c r="C56" i="21"/>
  <c r="D56" i="21"/>
  <c r="E56" i="21"/>
  <c r="F56" i="21"/>
  <c r="B58" i="21"/>
  <c r="C58" i="21"/>
  <c r="D58" i="21"/>
  <c r="E58" i="21"/>
  <c r="F58" i="21"/>
  <c r="C59" i="21"/>
  <c r="D59" i="21"/>
  <c r="E59" i="21"/>
  <c r="F59" i="21"/>
  <c r="B61" i="21"/>
  <c r="C61" i="21"/>
  <c r="D61" i="21"/>
  <c r="E61" i="21"/>
  <c r="F61" i="21"/>
  <c r="C62" i="21"/>
  <c r="D62" i="21"/>
  <c r="E62" i="21"/>
  <c r="F62" i="21"/>
  <c r="B64" i="21"/>
  <c r="F64" i="21"/>
  <c r="B65" i="21"/>
  <c r="F65" i="21"/>
  <c r="B66" i="21"/>
  <c r="F66" i="21"/>
  <c r="A68" i="21"/>
  <c r="C68" i="21"/>
  <c r="E68" i="21"/>
  <c r="B69" i="21"/>
  <c r="C69" i="21"/>
  <c r="E69" i="21"/>
  <c r="B70" i="21"/>
  <c r="C70" i="21"/>
  <c r="E70" i="21"/>
  <c r="B71" i="21"/>
  <c r="C71" i="21"/>
  <c r="E71" i="21"/>
  <c r="C72" i="21"/>
  <c r="E72" i="21"/>
  <c r="A74" i="21"/>
  <c r="B74" i="21"/>
  <c r="C76" i="21"/>
  <c r="D76" i="21"/>
  <c r="C77" i="21"/>
  <c r="D77" i="21"/>
  <c r="A1" i="23"/>
  <c r="A2" i="23"/>
  <c r="A3" i="23"/>
  <c r="A10" i="23"/>
  <c r="B11" i="23"/>
  <c r="B12" i="23"/>
  <c r="C12" i="23"/>
  <c r="B13" i="23"/>
  <c r="C13" i="23"/>
  <c r="B14" i="23"/>
  <c r="C14" i="23"/>
  <c r="B15" i="23"/>
  <c r="C15" i="23"/>
  <c r="B16" i="23"/>
  <c r="C16" i="23"/>
  <c r="B17" i="23"/>
  <c r="C17" i="23"/>
  <c r="B18" i="23"/>
  <c r="C18" i="23"/>
  <c r="B19" i="23"/>
  <c r="C19" i="23"/>
  <c r="B20" i="23"/>
  <c r="B21" i="23"/>
  <c r="C21" i="23"/>
  <c r="B22" i="23"/>
  <c r="C22" i="23"/>
  <c r="B23" i="23"/>
  <c r="C23" i="23"/>
  <c r="B24" i="23"/>
  <c r="C24" i="23"/>
  <c r="B25" i="23"/>
  <c r="C25" i="23"/>
  <c r="B26" i="23"/>
  <c r="C26" i="23"/>
  <c r="B27" i="23"/>
  <c r="C27" i="23"/>
  <c r="B28" i="23"/>
  <c r="C28" i="23"/>
  <c r="B29" i="23"/>
  <c r="B30" i="23"/>
  <c r="C30" i="23"/>
  <c r="B31" i="23"/>
  <c r="C31" i="23"/>
  <c r="B32" i="23"/>
  <c r="C32" i="23"/>
  <c r="B33" i="23"/>
  <c r="C33" i="23"/>
  <c r="B34" i="23"/>
  <c r="C34" i="23"/>
  <c r="B35" i="23"/>
  <c r="C35" i="23"/>
  <c r="B36" i="23"/>
  <c r="C36" i="23"/>
  <c r="B37" i="23"/>
  <c r="C37" i="23"/>
  <c r="B38" i="23"/>
  <c r="B39" i="23"/>
  <c r="C39" i="23"/>
  <c r="B40" i="23"/>
  <c r="C40" i="23"/>
  <c r="B41" i="23"/>
  <c r="C41" i="23"/>
  <c r="B42" i="23"/>
  <c r="C42" i="23"/>
  <c r="B43" i="23"/>
  <c r="C43" i="23"/>
  <c r="B44" i="23"/>
  <c r="C44" i="23"/>
  <c r="B45" i="23"/>
  <c r="C45" i="23"/>
  <c r="B46" i="23"/>
  <c r="C46" i="23"/>
  <c r="B47" i="23"/>
  <c r="B48" i="23"/>
  <c r="C48" i="23"/>
  <c r="B49" i="23"/>
  <c r="C49" i="23"/>
  <c r="B50" i="23"/>
  <c r="C50" i="23"/>
  <c r="B51" i="23"/>
  <c r="C51" i="23"/>
  <c r="B52" i="23"/>
  <c r="C52" i="23"/>
  <c r="B53" i="23"/>
  <c r="C53" i="23"/>
  <c r="B54" i="23"/>
  <c r="C54" i="23"/>
  <c r="B55" i="23"/>
  <c r="C55" i="23"/>
  <c r="B56" i="23"/>
  <c r="B57" i="23"/>
  <c r="C57" i="23"/>
  <c r="B58" i="23"/>
  <c r="C58" i="23"/>
  <c r="B59" i="23"/>
  <c r="C59" i="23"/>
  <c r="B60" i="23"/>
  <c r="C60" i="23"/>
  <c r="B61" i="23"/>
  <c r="C61" i="23"/>
  <c r="B62" i="23"/>
  <c r="C62" i="23"/>
  <c r="B63" i="23"/>
  <c r="C63" i="23"/>
  <c r="B64" i="23"/>
  <c r="C64" i="23"/>
  <c r="A66" i="23"/>
  <c r="B66" i="23"/>
  <c r="C66" i="23"/>
  <c r="B67" i="23"/>
  <c r="C67" i="23"/>
  <c r="B68" i="23"/>
  <c r="C68" i="23"/>
  <c r="B69" i="23"/>
  <c r="C69" i="23"/>
  <c r="A1" i="62"/>
  <c r="A2" i="62"/>
  <c r="A3" i="62"/>
  <c r="A10" i="62"/>
  <c r="B10" i="62"/>
  <c r="D10" i="62"/>
  <c r="B11" i="62"/>
  <c r="C11" i="62"/>
  <c r="D11" i="62"/>
  <c r="B12" i="62"/>
  <c r="C12" i="62"/>
  <c r="A14" i="62"/>
  <c r="C15" i="62"/>
  <c r="D15" i="62"/>
  <c r="C16" i="62"/>
  <c r="D16" i="62"/>
  <c r="C17" i="62"/>
  <c r="D17" i="62"/>
  <c r="A19" i="62"/>
  <c r="B19" i="62"/>
  <c r="C19" i="62"/>
  <c r="B20" i="62"/>
  <c r="C20" i="62"/>
  <c r="B21" i="62"/>
  <c r="C21" i="62"/>
  <c r="A23" i="62"/>
  <c r="B23" i="62"/>
  <c r="C23" i="62"/>
  <c r="B24" i="62"/>
  <c r="C24" i="62"/>
  <c r="B25" i="62"/>
  <c r="C25" i="62"/>
  <c r="A27" i="62"/>
  <c r="B27" i="62"/>
  <c r="C27" i="62"/>
  <c r="D27" i="62"/>
  <c r="E27" i="62"/>
  <c r="F27" i="62"/>
  <c r="C28" i="62"/>
  <c r="D28" i="62"/>
  <c r="E28" i="62"/>
  <c r="F28" i="62"/>
  <c r="A30" i="62"/>
  <c r="B30" i="62"/>
  <c r="C30" i="62"/>
  <c r="B31" i="62"/>
  <c r="C31" i="62"/>
  <c r="A33" i="62"/>
  <c r="B34" i="62"/>
  <c r="C34" i="62"/>
  <c r="A36" i="62"/>
  <c r="B36" i="62"/>
  <c r="B37" i="62"/>
  <c r="C37" i="62"/>
  <c r="D37" i="62"/>
  <c r="E37" i="62"/>
  <c r="F37" i="62"/>
  <c r="J37" i="62"/>
  <c r="B38" i="62"/>
  <c r="C38" i="62"/>
  <c r="D38" i="62"/>
  <c r="E38" i="62"/>
  <c r="F38" i="62"/>
  <c r="B39" i="62"/>
  <c r="C39" i="62"/>
  <c r="D39" i="62"/>
  <c r="E39" i="62"/>
  <c r="F39" i="62"/>
  <c r="B40" i="62"/>
  <c r="C40" i="62"/>
  <c r="D40" i="62"/>
  <c r="E40" i="62"/>
  <c r="F40" i="62"/>
  <c r="B41" i="62"/>
  <c r="D41" i="62"/>
  <c r="F41" i="62"/>
  <c r="A1" i="27"/>
  <c r="A2" i="27"/>
  <c r="A3" i="27"/>
  <c r="E6" i="27"/>
  <c r="F6" i="27"/>
  <c r="G6" i="27"/>
  <c r="H6" i="27"/>
  <c r="I6" i="27"/>
  <c r="J6" i="27"/>
  <c r="K6" i="27"/>
  <c r="L6" i="27"/>
  <c r="M6" i="27"/>
  <c r="N6" i="27"/>
  <c r="O6" i="27"/>
  <c r="P6" i="27"/>
  <c r="Q6" i="27"/>
  <c r="R6" i="27"/>
  <c r="S6" i="27"/>
  <c r="T6" i="27"/>
  <c r="U6" i="27"/>
  <c r="V6" i="27"/>
  <c r="W6" i="27"/>
  <c r="X6" i="27"/>
  <c r="Y6" i="27"/>
  <c r="E7" i="27"/>
  <c r="F7" i="27"/>
  <c r="G7" i="27"/>
  <c r="H7" i="27"/>
  <c r="I7" i="27"/>
  <c r="J7" i="27"/>
  <c r="K7" i="27"/>
  <c r="L7" i="27"/>
  <c r="M7" i="27"/>
  <c r="N7" i="27"/>
  <c r="O7" i="27"/>
  <c r="P7" i="27"/>
  <c r="Q7" i="27"/>
  <c r="R7" i="27"/>
  <c r="S7" i="27"/>
  <c r="T7" i="27"/>
  <c r="U7" i="27"/>
  <c r="V7" i="27"/>
  <c r="W7" i="27"/>
  <c r="X7" i="27"/>
  <c r="Y7" i="27"/>
  <c r="AA8" i="27"/>
  <c r="D9" i="27"/>
  <c r="E9" i="27"/>
  <c r="F9" i="27"/>
  <c r="H9" i="27"/>
  <c r="I9" i="27"/>
  <c r="J9" i="27"/>
  <c r="K9" i="27"/>
  <c r="L9" i="27"/>
  <c r="M9" i="27"/>
  <c r="N9" i="27"/>
  <c r="O9" i="27"/>
  <c r="P9" i="27"/>
  <c r="Q9" i="27"/>
  <c r="R9" i="27"/>
  <c r="S9" i="27"/>
  <c r="T9" i="27"/>
  <c r="U9" i="27"/>
  <c r="V9" i="27"/>
  <c r="W9" i="27"/>
  <c r="X9" i="27"/>
  <c r="Y9" i="27"/>
  <c r="Z9" i="27"/>
  <c r="AA9" i="27"/>
  <c r="D10" i="27"/>
  <c r="E10" i="27"/>
  <c r="F10" i="27"/>
  <c r="G10" i="27"/>
  <c r="H10" i="27"/>
  <c r="I10" i="27"/>
  <c r="J10" i="27"/>
  <c r="K10" i="27"/>
  <c r="L10" i="27"/>
  <c r="M10" i="27"/>
  <c r="N10" i="27"/>
  <c r="O10" i="27"/>
  <c r="P10" i="27"/>
  <c r="Q10" i="27"/>
  <c r="R10" i="27"/>
  <c r="S10" i="27"/>
  <c r="T10" i="27"/>
  <c r="U10" i="27"/>
  <c r="V10" i="27"/>
  <c r="W10" i="27"/>
  <c r="X10" i="27"/>
  <c r="Y10" i="27"/>
  <c r="Z10" i="27"/>
  <c r="AA10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R11" i="27"/>
  <c r="S11" i="27"/>
  <c r="T11" i="27"/>
  <c r="U11" i="27"/>
  <c r="V11" i="27"/>
  <c r="W11" i="27"/>
  <c r="X11" i="27"/>
  <c r="Y11" i="27"/>
  <c r="Z11" i="27"/>
  <c r="AA11" i="27"/>
  <c r="D12" i="27"/>
  <c r="E12" i="27"/>
  <c r="F12" i="27"/>
  <c r="G12" i="27"/>
  <c r="H12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A13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A17" i="27"/>
  <c r="D18" i="27"/>
  <c r="E18" i="27"/>
  <c r="F18" i="27"/>
  <c r="G18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A21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A23" i="27"/>
  <c r="AA24" i="27"/>
  <c r="D25" i="27"/>
  <c r="E25" i="27"/>
  <c r="F25" i="27"/>
  <c r="G25" i="27"/>
  <c r="H25" i="27"/>
  <c r="I25" i="27"/>
  <c r="J25" i="27"/>
  <c r="K25" i="27"/>
  <c r="L25" i="27"/>
  <c r="M25" i="27"/>
  <c r="N25" i="27"/>
  <c r="O25" i="27"/>
  <c r="P25" i="27"/>
  <c r="Q25" i="27"/>
  <c r="R25" i="27"/>
  <c r="S25" i="27"/>
  <c r="T25" i="27"/>
  <c r="U25" i="27"/>
  <c r="V25" i="27"/>
  <c r="W25" i="27"/>
  <c r="X25" i="27"/>
  <c r="Y25" i="27"/>
  <c r="AA25" i="27"/>
  <c r="D26" i="27"/>
  <c r="E26" i="27"/>
  <c r="F26" i="27"/>
  <c r="G26" i="27"/>
  <c r="H26" i="27"/>
  <c r="I26" i="27"/>
  <c r="J26" i="27"/>
  <c r="K26" i="27"/>
  <c r="L26" i="27"/>
  <c r="M26" i="27"/>
  <c r="N26" i="27"/>
  <c r="O26" i="27"/>
  <c r="P26" i="27"/>
  <c r="Q26" i="27"/>
  <c r="R26" i="27"/>
  <c r="S26" i="27"/>
  <c r="T26" i="27"/>
  <c r="U26" i="27"/>
  <c r="V26" i="27"/>
  <c r="W26" i="27"/>
  <c r="X26" i="27"/>
  <c r="Y26" i="27"/>
  <c r="AA26" i="27"/>
  <c r="D27" i="27"/>
  <c r="E27" i="27"/>
  <c r="F27" i="27"/>
  <c r="G27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X27" i="27"/>
  <c r="Y27" i="27"/>
  <c r="AA27" i="27"/>
  <c r="AA28" i="27"/>
  <c r="AA29" i="27"/>
  <c r="AA30" i="27"/>
  <c r="D31" i="27"/>
  <c r="E31" i="27"/>
  <c r="F31" i="27"/>
  <c r="G31" i="27"/>
  <c r="H31" i="27"/>
  <c r="I31" i="27"/>
  <c r="J31" i="27"/>
  <c r="K31" i="27"/>
  <c r="L31" i="27"/>
  <c r="M31" i="27"/>
  <c r="N31" i="27"/>
  <c r="O31" i="27"/>
  <c r="P31" i="27"/>
  <c r="Q31" i="27"/>
  <c r="R31" i="27"/>
  <c r="S31" i="27"/>
  <c r="T31" i="27"/>
  <c r="U31" i="27"/>
  <c r="V31" i="27"/>
  <c r="W31" i="27"/>
  <c r="X31" i="27"/>
  <c r="Y31" i="27"/>
  <c r="Z31" i="27"/>
  <c r="AA31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A36" i="27"/>
  <c r="AA37" i="27"/>
  <c r="D38" i="27"/>
  <c r="E38" i="27"/>
  <c r="F38" i="27"/>
  <c r="G38" i="27"/>
  <c r="H38" i="27"/>
  <c r="I38" i="27"/>
  <c r="J38" i="27"/>
  <c r="K38" i="27"/>
  <c r="L38" i="27"/>
  <c r="M38" i="27"/>
  <c r="N38" i="27"/>
  <c r="O38" i="27"/>
  <c r="P38" i="27"/>
  <c r="Q38" i="27"/>
  <c r="R38" i="27"/>
  <c r="S38" i="27"/>
  <c r="T38" i="27"/>
  <c r="U38" i="27"/>
  <c r="V38" i="27"/>
  <c r="W38" i="27"/>
  <c r="X38" i="27"/>
  <c r="Y38" i="27"/>
  <c r="Z38" i="27"/>
  <c r="AA38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A41" i="27"/>
  <c r="D42" i="27"/>
  <c r="E42" i="27"/>
  <c r="F42" i="27"/>
  <c r="G42" i="27"/>
  <c r="H42" i="27"/>
  <c r="I42" i="27"/>
  <c r="J42" i="27"/>
  <c r="K42" i="27"/>
  <c r="L42" i="27"/>
  <c r="M42" i="27"/>
  <c r="N42" i="27"/>
  <c r="O42" i="27"/>
  <c r="P42" i="27"/>
  <c r="Q42" i="27"/>
  <c r="R42" i="27"/>
  <c r="S42" i="27"/>
  <c r="T42" i="27"/>
  <c r="U42" i="27"/>
  <c r="V42" i="27"/>
  <c r="W42" i="27"/>
  <c r="X42" i="27"/>
  <c r="Y42" i="27"/>
  <c r="Z42" i="27"/>
  <c r="AA42" i="27"/>
  <c r="B43" i="27"/>
  <c r="D43" i="27"/>
  <c r="E43" i="27"/>
  <c r="F43" i="27"/>
  <c r="G43" i="27"/>
  <c r="H43" i="27"/>
  <c r="I43" i="27"/>
  <c r="J43" i="27"/>
  <c r="K43" i="27"/>
  <c r="L43" i="27"/>
  <c r="M43" i="27"/>
  <c r="N43" i="27"/>
  <c r="O43" i="27"/>
  <c r="P43" i="27"/>
  <c r="Q43" i="27"/>
  <c r="R43" i="27"/>
  <c r="S43" i="27"/>
  <c r="T43" i="27"/>
  <c r="U43" i="27"/>
  <c r="V43" i="27"/>
  <c r="W43" i="27"/>
  <c r="X43" i="27"/>
  <c r="Y43" i="27"/>
  <c r="Z43" i="27"/>
  <c r="AA43" i="27"/>
  <c r="D44" i="27"/>
  <c r="E44" i="27"/>
  <c r="F44" i="27"/>
  <c r="G44" i="27"/>
  <c r="H44" i="27"/>
  <c r="I44" i="27"/>
  <c r="J44" i="27"/>
  <c r="K44" i="27"/>
  <c r="L44" i="27"/>
  <c r="M44" i="27"/>
  <c r="N44" i="27"/>
  <c r="O44" i="27"/>
  <c r="P44" i="27"/>
  <c r="Q44" i="27"/>
  <c r="R44" i="27"/>
  <c r="S44" i="27"/>
  <c r="T44" i="27"/>
  <c r="U44" i="27"/>
  <c r="V44" i="27"/>
  <c r="W44" i="27"/>
  <c r="X44" i="27"/>
  <c r="Y44" i="27"/>
  <c r="Z44" i="27"/>
  <c r="AA44" i="27"/>
  <c r="AA45" i="27"/>
  <c r="D46" i="27"/>
  <c r="E46" i="27"/>
  <c r="F46" i="27"/>
  <c r="G46" i="27"/>
  <c r="H46" i="27"/>
  <c r="I46" i="27"/>
  <c r="J46" i="27"/>
  <c r="K46" i="27"/>
  <c r="L46" i="27"/>
  <c r="M46" i="27"/>
  <c r="N46" i="27"/>
  <c r="O46" i="27"/>
  <c r="P46" i="27"/>
  <c r="Q46" i="27"/>
  <c r="R46" i="27"/>
  <c r="S46" i="27"/>
  <c r="T46" i="27"/>
  <c r="U46" i="27"/>
  <c r="V46" i="27"/>
  <c r="W46" i="27"/>
  <c r="X46" i="27"/>
  <c r="Y46" i="27"/>
  <c r="AA46" i="27"/>
  <c r="D47" i="27"/>
  <c r="E47" i="27"/>
  <c r="F47" i="27"/>
  <c r="G47" i="27"/>
  <c r="H47" i="27"/>
  <c r="I47" i="27"/>
  <c r="J47" i="27"/>
  <c r="K47" i="27"/>
  <c r="L47" i="27"/>
  <c r="M47" i="27"/>
  <c r="N47" i="27"/>
  <c r="O47" i="27"/>
  <c r="P47" i="27"/>
  <c r="Q47" i="27"/>
  <c r="R47" i="27"/>
  <c r="S47" i="27"/>
  <c r="T47" i="27"/>
  <c r="U47" i="27"/>
  <c r="V47" i="27"/>
  <c r="W47" i="27"/>
  <c r="X47" i="27"/>
  <c r="Y47" i="27"/>
  <c r="AA47" i="27"/>
  <c r="D48" i="27"/>
  <c r="E48" i="27"/>
  <c r="F48" i="27"/>
  <c r="G48" i="27"/>
  <c r="H48" i="27"/>
  <c r="I48" i="27"/>
  <c r="J48" i="27"/>
  <c r="K48" i="27"/>
  <c r="L48" i="27"/>
  <c r="M48" i="27"/>
  <c r="N48" i="27"/>
  <c r="O48" i="27"/>
  <c r="P48" i="27"/>
  <c r="Q48" i="27"/>
  <c r="R48" i="27"/>
  <c r="S48" i="27"/>
  <c r="T48" i="27"/>
  <c r="U48" i="27"/>
  <c r="V48" i="27"/>
  <c r="W48" i="27"/>
  <c r="X48" i="27"/>
  <c r="Y48" i="27"/>
  <c r="AA48" i="27"/>
  <c r="D49" i="27"/>
  <c r="E49" i="27"/>
  <c r="F49" i="27"/>
  <c r="G49" i="27"/>
  <c r="H49" i="27"/>
  <c r="I49" i="27"/>
  <c r="J49" i="27"/>
  <c r="K49" i="27"/>
  <c r="L49" i="27"/>
  <c r="M49" i="27"/>
  <c r="N49" i="27"/>
  <c r="O49" i="27"/>
  <c r="P49" i="27"/>
  <c r="Q49" i="27"/>
  <c r="R49" i="27"/>
  <c r="S49" i="27"/>
  <c r="T49" i="27"/>
  <c r="U49" i="27"/>
  <c r="V49" i="27"/>
  <c r="W49" i="27"/>
  <c r="X49" i="27"/>
  <c r="Y49" i="27"/>
  <c r="AA49" i="27"/>
  <c r="AA50" i="27"/>
  <c r="AA51" i="27"/>
  <c r="AA52" i="27"/>
  <c r="D53" i="27"/>
  <c r="E53" i="27"/>
  <c r="F53" i="27"/>
  <c r="G53" i="27"/>
  <c r="H53" i="27"/>
  <c r="I53" i="27"/>
  <c r="J53" i="27"/>
  <c r="K53" i="27"/>
  <c r="L53" i="27"/>
  <c r="M53" i="27"/>
  <c r="N53" i="27"/>
  <c r="O53" i="27"/>
  <c r="P53" i="27"/>
  <c r="Q53" i="27"/>
  <c r="R53" i="27"/>
  <c r="S53" i="27"/>
  <c r="T53" i="27"/>
  <c r="U53" i="27"/>
  <c r="V53" i="27"/>
  <c r="W53" i="27"/>
  <c r="X53" i="27"/>
  <c r="Y53" i="27"/>
  <c r="Z53" i="27"/>
  <c r="AA53" i="27"/>
  <c r="D54" i="27"/>
  <c r="E54" i="27"/>
  <c r="F54" i="27"/>
  <c r="G54" i="27"/>
  <c r="H54" i="27"/>
  <c r="I54" i="27"/>
  <c r="J54" i="27"/>
  <c r="K54" i="27"/>
  <c r="L54" i="27"/>
  <c r="M54" i="27"/>
  <c r="N54" i="27"/>
  <c r="O54" i="27"/>
  <c r="P54" i="27"/>
  <c r="Q54" i="27"/>
  <c r="R54" i="27"/>
  <c r="S54" i="27"/>
  <c r="T54" i="27"/>
  <c r="U54" i="27"/>
  <c r="V54" i="27"/>
  <c r="W54" i="27"/>
  <c r="X54" i="27"/>
  <c r="Y54" i="27"/>
  <c r="Z54" i="27"/>
  <c r="AA54" i="27"/>
  <c r="D55" i="27"/>
  <c r="E55" i="27"/>
  <c r="F55" i="27"/>
  <c r="G55" i="27"/>
  <c r="H55" i="27"/>
  <c r="I55" i="27"/>
  <c r="J55" i="27"/>
  <c r="K55" i="27"/>
  <c r="L55" i="27"/>
  <c r="M55" i="27"/>
  <c r="N55" i="27"/>
  <c r="O55" i="27"/>
  <c r="P55" i="27"/>
  <c r="Q55" i="27"/>
  <c r="R55" i="27"/>
  <c r="S55" i="27"/>
  <c r="T55" i="27"/>
  <c r="U55" i="27"/>
  <c r="V55" i="27"/>
  <c r="W55" i="27"/>
  <c r="X55" i="27"/>
  <c r="Y55" i="27"/>
  <c r="Z55" i="27"/>
  <c r="AA55" i="27"/>
  <c r="B56" i="27"/>
  <c r="D56" i="27"/>
  <c r="E56" i="27"/>
  <c r="F56" i="27"/>
  <c r="G56" i="27"/>
  <c r="H56" i="27"/>
  <c r="I56" i="27"/>
  <c r="J56" i="27"/>
  <c r="K56" i="27"/>
  <c r="L56" i="27"/>
  <c r="M56" i="27"/>
  <c r="N56" i="27"/>
  <c r="O56" i="27"/>
  <c r="P56" i="27"/>
  <c r="Q56" i="27"/>
  <c r="R56" i="27"/>
  <c r="S56" i="27"/>
  <c r="T56" i="27"/>
  <c r="U56" i="27"/>
  <c r="V56" i="27"/>
  <c r="W56" i="27"/>
  <c r="X56" i="27"/>
  <c r="Y56" i="27"/>
  <c r="Z56" i="27"/>
  <c r="AA56" i="27"/>
  <c r="D57" i="27"/>
  <c r="E57" i="27"/>
  <c r="F57" i="27"/>
  <c r="G57" i="27"/>
  <c r="H57" i="27"/>
  <c r="I57" i="27"/>
  <c r="J57" i="27"/>
  <c r="K57" i="27"/>
  <c r="L57" i="27"/>
  <c r="M57" i="27"/>
  <c r="N57" i="27"/>
  <c r="O57" i="27"/>
  <c r="P57" i="27"/>
  <c r="Q57" i="27"/>
  <c r="R57" i="27"/>
  <c r="S57" i="27"/>
  <c r="T57" i="27"/>
  <c r="U57" i="27"/>
  <c r="V57" i="27"/>
  <c r="W57" i="27"/>
  <c r="X57" i="27"/>
  <c r="Y57" i="27"/>
  <c r="Z57" i="27"/>
  <c r="AA57" i="27"/>
  <c r="B58" i="27"/>
  <c r="D58" i="27"/>
  <c r="E58" i="27"/>
  <c r="F58" i="27"/>
  <c r="G58" i="27"/>
  <c r="H58" i="27"/>
  <c r="I58" i="27"/>
  <c r="J58" i="27"/>
  <c r="K58" i="27"/>
  <c r="L58" i="27"/>
  <c r="M58" i="27"/>
  <c r="N58" i="27"/>
  <c r="O58" i="27"/>
  <c r="P58" i="27"/>
  <c r="Q58" i="27"/>
  <c r="R58" i="27"/>
  <c r="S58" i="27"/>
  <c r="T58" i="27"/>
  <c r="U58" i="27"/>
  <c r="V58" i="27"/>
  <c r="W58" i="27"/>
  <c r="X58" i="27"/>
  <c r="Y58" i="27"/>
  <c r="Z58" i="27"/>
  <c r="AA58" i="27"/>
  <c r="D59" i="27"/>
  <c r="E59" i="27"/>
  <c r="F59" i="27"/>
  <c r="G59" i="27"/>
  <c r="H59" i="27"/>
  <c r="I59" i="27"/>
  <c r="J59" i="27"/>
  <c r="K59" i="27"/>
  <c r="L59" i="27"/>
  <c r="M59" i="27"/>
  <c r="N59" i="27"/>
  <c r="O59" i="27"/>
  <c r="P59" i="27"/>
  <c r="Q59" i="27"/>
  <c r="R59" i="27"/>
  <c r="S59" i="27"/>
  <c r="T59" i="27"/>
  <c r="U59" i="27"/>
  <c r="V59" i="27"/>
  <c r="W59" i="27"/>
  <c r="X59" i="27"/>
  <c r="Y59" i="27"/>
  <c r="Z59" i="27"/>
  <c r="AA59" i="27"/>
  <c r="D60" i="27"/>
  <c r="E60" i="27"/>
  <c r="F60" i="27"/>
  <c r="G60" i="27"/>
  <c r="H60" i="27"/>
  <c r="I60" i="27"/>
  <c r="J60" i="27"/>
  <c r="K60" i="27"/>
  <c r="L60" i="27"/>
  <c r="M60" i="27"/>
  <c r="N60" i="27"/>
  <c r="O60" i="27"/>
  <c r="P60" i="27"/>
  <c r="Q60" i="27"/>
  <c r="R60" i="27"/>
  <c r="S60" i="27"/>
  <c r="T60" i="27"/>
  <c r="U60" i="27"/>
  <c r="V60" i="27"/>
  <c r="W60" i="27"/>
  <c r="X60" i="27"/>
  <c r="Y60" i="27"/>
  <c r="Z60" i="27"/>
  <c r="AA60" i="27"/>
  <c r="D61" i="27"/>
  <c r="E61" i="27"/>
  <c r="F61" i="27"/>
  <c r="G61" i="27"/>
  <c r="H61" i="27"/>
  <c r="I61" i="27"/>
  <c r="J61" i="27"/>
  <c r="K61" i="27"/>
  <c r="L61" i="27"/>
  <c r="M61" i="27"/>
  <c r="N61" i="27"/>
  <c r="O61" i="27"/>
  <c r="P61" i="27"/>
  <c r="Q61" i="27"/>
  <c r="R61" i="27"/>
  <c r="S61" i="27"/>
  <c r="T61" i="27"/>
  <c r="U61" i="27"/>
  <c r="V61" i="27"/>
  <c r="W61" i="27"/>
  <c r="X61" i="27"/>
  <c r="Y61" i="27"/>
  <c r="Z61" i="27"/>
  <c r="AA61" i="27"/>
  <c r="AA62" i="27"/>
  <c r="AA63" i="27"/>
  <c r="D64" i="27"/>
  <c r="E64" i="27"/>
  <c r="F64" i="27"/>
  <c r="G64" i="27"/>
  <c r="H64" i="27"/>
  <c r="I64" i="27"/>
  <c r="J64" i="27"/>
  <c r="K64" i="27"/>
  <c r="L64" i="27"/>
  <c r="M64" i="27"/>
  <c r="N64" i="27"/>
  <c r="O64" i="27"/>
  <c r="P64" i="27"/>
  <c r="Q64" i="27"/>
  <c r="R64" i="27"/>
  <c r="S64" i="27"/>
  <c r="T64" i="27"/>
  <c r="U64" i="27"/>
  <c r="V64" i="27"/>
  <c r="W64" i="27"/>
  <c r="X64" i="27"/>
  <c r="Y64" i="27"/>
  <c r="Z64" i="27"/>
  <c r="AA64" i="27"/>
  <c r="D65" i="27"/>
  <c r="E65" i="27"/>
  <c r="F65" i="27"/>
  <c r="G65" i="27"/>
  <c r="H65" i="27"/>
  <c r="I65" i="27"/>
  <c r="J65" i="27"/>
  <c r="K65" i="27"/>
  <c r="L65" i="27"/>
  <c r="M65" i="27"/>
  <c r="N65" i="27"/>
  <c r="O65" i="27"/>
  <c r="P65" i="27"/>
  <c r="Q65" i="27"/>
  <c r="R65" i="27"/>
  <c r="S65" i="27"/>
  <c r="T65" i="27"/>
  <c r="U65" i="27"/>
  <c r="V65" i="27"/>
  <c r="W65" i="27"/>
  <c r="X65" i="27"/>
  <c r="Y65" i="27"/>
  <c r="Z65" i="27"/>
  <c r="AA65" i="27"/>
  <c r="B66" i="27"/>
  <c r="D66" i="27"/>
  <c r="E66" i="27"/>
  <c r="F66" i="27"/>
  <c r="G66" i="27"/>
  <c r="H66" i="27"/>
  <c r="I66" i="27"/>
  <c r="J66" i="27"/>
  <c r="K66" i="27"/>
  <c r="L66" i="27"/>
  <c r="M66" i="27"/>
  <c r="N66" i="27"/>
  <c r="O66" i="27"/>
  <c r="P66" i="27"/>
  <c r="Q66" i="27"/>
  <c r="R66" i="27"/>
  <c r="S66" i="27"/>
  <c r="T66" i="27"/>
  <c r="U66" i="27"/>
  <c r="V66" i="27"/>
  <c r="W66" i="27"/>
  <c r="X66" i="27"/>
  <c r="Y66" i="27"/>
  <c r="Z66" i="27"/>
  <c r="AA66" i="27"/>
  <c r="D67" i="27"/>
  <c r="E67" i="27"/>
  <c r="F67" i="27"/>
  <c r="G67" i="27"/>
  <c r="H67" i="27"/>
  <c r="I67" i="27"/>
  <c r="J67" i="27"/>
  <c r="K67" i="27"/>
  <c r="L67" i="27"/>
  <c r="M67" i="27"/>
  <c r="N67" i="27"/>
  <c r="O67" i="27"/>
  <c r="P67" i="27"/>
  <c r="Q67" i="27"/>
  <c r="R67" i="27"/>
  <c r="S67" i="27"/>
  <c r="T67" i="27"/>
  <c r="U67" i="27"/>
  <c r="V67" i="27"/>
  <c r="W67" i="27"/>
  <c r="X67" i="27"/>
  <c r="Y67" i="27"/>
  <c r="Z67" i="27"/>
  <c r="AA67" i="27"/>
  <c r="B68" i="27"/>
  <c r="D68" i="27"/>
  <c r="E68" i="27"/>
  <c r="F68" i="27"/>
  <c r="G68" i="27"/>
  <c r="H68" i="27"/>
  <c r="I68" i="27"/>
  <c r="J68" i="27"/>
  <c r="K68" i="27"/>
  <c r="L68" i="27"/>
  <c r="M68" i="27"/>
  <c r="N68" i="27"/>
  <c r="O68" i="27"/>
  <c r="P68" i="27"/>
  <c r="Q68" i="27"/>
  <c r="R68" i="27"/>
  <c r="S68" i="27"/>
  <c r="T68" i="27"/>
  <c r="U68" i="27"/>
  <c r="V68" i="27"/>
  <c r="W68" i="27"/>
  <c r="X68" i="27"/>
  <c r="Y68" i="27"/>
  <c r="Z68" i="27"/>
  <c r="AA68" i="27"/>
  <c r="D69" i="27"/>
  <c r="E69" i="27"/>
  <c r="F69" i="27"/>
  <c r="G69" i="27"/>
  <c r="H69" i="27"/>
  <c r="I69" i="27"/>
  <c r="J69" i="27"/>
  <c r="K69" i="27"/>
  <c r="L69" i="27"/>
  <c r="M69" i="27"/>
  <c r="N69" i="27"/>
  <c r="O69" i="27"/>
  <c r="P69" i="27"/>
  <c r="Q69" i="27"/>
  <c r="R69" i="27"/>
  <c r="S69" i="27"/>
  <c r="T69" i="27"/>
  <c r="U69" i="27"/>
  <c r="V69" i="27"/>
  <c r="W69" i="27"/>
  <c r="X69" i="27"/>
  <c r="Y69" i="27"/>
  <c r="Z69" i="27"/>
  <c r="AA69" i="27"/>
  <c r="AA70" i="27"/>
  <c r="AA71" i="27"/>
  <c r="A72" i="27"/>
  <c r="D72" i="27"/>
  <c r="E72" i="27"/>
  <c r="F72" i="27"/>
  <c r="G72" i="27"/>
  <c r="H72" i="27"/>
  <c r="I72" i="27"/>
  <c r="J72" i="27"/>
  <c r="K72" i="27"/>
  <c r="L72" i="27"/>
  <c r="M72" i="27"/>
  <c r="N72" i="27"/>
  <c r="O72" i="27"/>
  <c r="P72" i="27"/>
  <c r="Q72" i="27"/>
  <c r="R72" i="27"/>
  <c r="S72" i="27"/>
  <c r="T72" i="27"/>
  <c r="U72" i="27"/>
  <c r="V72" i="27"/>
  <c r="W72" i="27"/>
  <c r="X72" i="27"/>
  <c r="Y72" i="27"/>
  <c r="Z72" i="27"/>
  <c r="AA72" i="27"/>
  <c r="A73" i="27"/>
  <c r="D73" i="27"/>
  <c r="E73" i="27"/>
  <c r="F73" i="27"/>
  <c r="G73" i="27"/>
  <c r="H73" i="27"/>
  <c r="I73" i="27"/>
  <c r="J73" i="27"/>
  <c r="K73" i="27"/>
  <c r="L73" i="27"/>
  <c r="M73" i="27"/>
  <c r="N73" i="27"/>
  <c r="O73" i="27"/>
  <c r="P73" i="27"/>
  <c r="Q73" i="27"/>
  <c r="R73" i="27"/>
  <c r="S73" i="27"/>
  <c r="T73" i="27"/>
  <c r="U73" i="27"/>
  <c r="V73" i="27"/>
  <c r="W73" i="27"/>
  <c r="X73" i="27"/>
  <c r="Y73" i="27"/>
  <c r="Z73" i="27"/>
  <c r="AA73" i="27"/>
  <c r="A74" i="27"/>
  <c r="D74" i="27"/>
  <c r="E74" i="27"/>
  <c r="F74" i="27"/>
  <c r="G74" i="27"/>
  <c r="H74" i="27"/>
  <c r="I74" i="27"/>
  <c r="J74" i="27"/>
  <c r="K74" i="27"/>
  <c r="L74" i="27"/>
  <c r="M74" i="27"/>
  <c r="N74" i="27"/>
  <c r="O74" i="27"/>
  <c r="P74" i="27"/>
  <c r="Q74" i="27"/>
  <c r="R74" i="27"/>
  <c r="S74" i="27"/>
  <c r="T74" i="27"/>
  <c r="U74" i="27"/>
  <c r="V74" i="27"/>
  <c r="W74" i="27"/>
  <c r="X74" i="27"/>
  <c r="Y74" i="27"/>
  <c r="Z74" i="27"/>
  <c r="AA74" i="27"/>
  <c r="A75" i="27"/>
  <c r="D75" i="27"/>
  <c r="E75" i="27"/>
  <c r="F75" i="27"/>
  <c r="G75" i="27"/>
  <c r="H75" i="27"/>
  <c r="I75" i="27"/>
  <c r="J75" i="27"/>
  <c r="K75" i="27"/>
  <c r="L75" i="27"/>
  <c r="M75" i="27"/>
  <c r="N75" i="27"/>
  <c r="O75" i="27"/>
  <c r="P75" i="27"/>
  <c r="Q75" i="27"/>
  <c r="R75" i="27"/>
  <c r="S75" i="27"/>
  <c r="T75" i="27"/>
  <c r="U75" i="27"/>
  <c r="V75" i="27"/>
  <c r="W75" i="27"/>
  <c r="X75" i="27"/>
  <c r="Y75" i="27"/>
  <c r="Z75" i="27"/>
  <c r="AA75" i="27"/>
  <c r="A76" i="27"/>
  <c r="D76" i="27"/>
  <c r="E76" i="27"/>
  <c r="F76" i="27"/>
  <c r="G76" i="27"/>
  <c r="H76" i="27"/>
  <c r="I76" i="27"/>
  <c r="J76" i="27"/>
  <c r="K76" i="27"/>
  <c r="L76" i="27"/>
  <c r="M76" i="27"/>
  <c r="N76" i="27"/>
  <c r="O76" i="27"/>
  <c r="P76" i="27"/>
  <c r="Q76" i="27"/>
  <c r="R76" i="27"/>
  <c r="S76" i="27"/>
  <c r="T76" i="27"/>
  <c r="U76" i="27"/>
  <c r="V76" i="27"/>
  <c r="W76" i="27"/>
  <c r="X76" i="27"/>
  <c r="Y76" i="27"/>
  <c r="Z76" i="27"/>
  <c r="AA76" i="27"/>
  <c r="A77" i="27"/>
  <c r="D77" i="27"/>
  <c r="E77" i="27"/>
  <c r="F77" i="27"/>
  <c r="G77" i="27"/>
  <c r="H77" i="27"/>
  <c r="I77" i="27"/>
  <c r="J77" i="27"/>
  <c r="K77" i="27"/>
  <c r="L77" i="27"/>
  <c r="M77" i="27"/>
  <c r="N77" i="27"/>
  <c r="O77" i="27"/>
  <c r="P77" i="27"/>
  <c r="Q77" i="27"/>
  <c r="R77" i="27"/>
  <c r="S77" i="27"/>
  <c r="T77" i="27"/>
  <c r="U77" i="27"/>
  <c r="V77" i="27"/>
  <c r="W77" i="27"/>
  <c r="X77" i="27"/>
  <c r="Y77" i="27"/>
  <c r="Z77" i="27"/>
  <c r="AA77" i="27"/>
  <c r="D78" i="27"/>
  <c r="E78" i="27"/>
  <c r="F78" i="27"/>
  <c r="G78" i="27"/>
  <c r="H78" i="27"/>
  <c r="I78" i="27"/>
  <c r="J78" i="27"/>
  <c r="K78" i="27"/>
  <c r="L78" i="27"/>
  <c r="M78" i="27"/>
  <c r="N78" i="27"/>
  <c r="O78" i="27"/>
  <c r="P78" i="27"/>
  <c r="Q78" i="27"/>
  <c r="R78" i="27"/>
  <c r="S78" i="27"/>
  <c r="T78" i="27"/>
  <c r="U78" i="27"/>
  <c r="V78" i="27"/>
  <c r="W78" i="27"/>
  <c r="X78" i="27"/>
  <c r="Y78" i="27"/>
  <c r="Z78" i="27"/>
  <c r="AA78" i="27"/>
  <c r="AA79" i="27"/>
  <c r="AA80" i="27"/>
  <c r="A81" i="27"/>
  <c r="D81" i="27"/>
  <c r="E81" i="27"/>
  <c r="F81" i="27"/>
  <c r="G81" i="27"/>
  <c r="H81" i="27"/>
  <c r="I81" i="27"/>
  <c r="J81" i="27"/>
  <c r="K81" i="27"/>
  <c r="L81" i="27"/>
  <c r="M81" i="27"/>
  <c r="N81" i="27"/>
  <c r="O81" i="27"/>
  <c r="P81" i="27"/>
  <c r="Q81" i="27"/>
  <c r="R81" i="27"/>
  <c r="S81" i="27"/>
  <c r="T81" i="27"/>
  <c r="U81" i="27"/>
  <c r="V81" i="27"/>
  <c r="W81" i="27"/>
  <c r="X81" i="27"/>
  <c r="Y81" i="27"/>
  <c r="Z81" i="27"/>
  <c r="AA81" i="27"/>
  <c r="AB81" i="27"/>
  <c r="AD81" i="27"/>
  <c r="A82" i="27"/>
  <c r="D82" i="27"/>
  <c r="E82" i="27"/>
  <c r="F82" i="27"/>
  <c r="G82" i="27"/>
  <c r="H82" i="27"/>
  <c r="I82" i="27"/>
  <c r="J82" i="27"/>
  <c r="K82" i="27"/>
  <c r="L82" i="27"/>
  <c r="M82" i="27"/>
  <c r="N82" i="27"/>
  <c r="O82" i="27"/>
  <c r="P82" i="27"/>
  <c r="Q82" i="27"/>
  <c r="R82" i="27"/>
  <c r="S82" i="27"/>
  <c r="T82" i="27"/>
  <c r="U82" i="27"/>
  <c r="V82" i="27"/>
  <c r="W82" i="27"/>
  <c r="X82" i="27"/>
  <c r="Y82" i="27"/>
  <c r="Z82" i="27"/>
  <c r="AA82" i="27"/>
  <c r="A83" i="27"/>
  <c r="D83" i="27"/>
  <c r="E83" i="27"/>
  <c r="F83" i="27"/>
  <c r="G83" i="27"/>
  <c r="H83" i="27"/>
  <c r="I83" i="27"/>
  <c r="J83" i="27"/>
  <c r="K83" i="27"/>
  <c r="L83" i="27"/>
  <c r="M83" i="27"/>
  <c r="N83" i="27"/>
  <c r="O83" i="27"/>
  <c r="P83" i="27"/>
  <c r="Q83" i="27"/>
  <c r="R83" i="27"/>
  <c r="S83" i="27"/>
  <c r="T83" i="27"/>
  <c r="U83" i="27"/>
  <c r="V83" i="27"/>
  <c r="W83" i="27"/>
  <c r="X83" i="27"/>
  <c r="Y83" i="27"/>
  <c r="Z83" i="27"/>
  <c r="AA83" i="27"/>
  <c r="A84" i="27"/>
  <c r="D84" i="27"/>
  <c r="E84" i="27"/>
  <c r="F84" i="27"/>
  <c r="G84" i="27"/>
  <c r="H84" i="27"/>
  <c r="I84" i="27"/>
  <c r="J84" i="27"/>
  <c r="K84" i="27"/>
  <c r="L84" i="27"/>
  <c r="M84" i="27"/>
  <c r="N84" i="27"/>
  <c r="O84" i="27"/>
  <c r="P84" i="27"/>
  <c r="Q84" i="27"/>
  <c r="R84" i="27"/>
  <c r="S84" i="27"/>
  <c r="T84" i="27"/>
  <c r="U84" i="27"/>
  <c r="V84" i="27"/>
  <c r="W84" i="27"/>
  <c r="X84" i="27"/>
  <c r="Y84" i="27"/>
  <c r="Z84" i="27"/>
  <c r="AA84" i="27"/>
  <c r="A85" i="27"/>
  <c r="D85" i="27"/>
  <c r="E85" i="27"/>
  <c r="F85" i="27"/>
  <c r="G85" i="27"/>
  <c r="H85" i="27"/>
  <c r="I85" i="27"/>
  <c r="J85" i="27"/>
  <c r="K85" i="27"/>
  <c r="L85" i="27"/>
  <c r="M85" i="27"/>
  <c r="N85" i="27"/>
  <c r="O85" i="27"/>
  <c r="P85" i="27"/>
  <c r="Q85" i="27"/>
  <c r="R85" i="27"/>
  <c r="S85" i="27"/>
  <c r="T85" i="27"/>
  <c r="U85" i="27"/>
  <c r="V85" i="27"/>
  <c r="W85" i="27"/>
  <c r="X85" i="27"/>
  <c r="Y85" i="27"/>
  <c r="Z85" i="27"/>
  <c r="AA85" i="27"/>
  <c r="B86" i="27"/>
  <c r="D86" i="27"/>
  <c r="E86" i="27"/>
  <c r="F86" i="27"/>
  <c r="G86" i="27"/>
  <c r="H86" i="27"/>
  <c r="I86" i="27"/>
  <c r="J86" i="27"/>
  <c r="K86" i="27"/>
  <c r="L86" i="27"/>
  <c r="M86" i="27"/>
  <c r="N86" i="27"/>
  <c r="O86" i="27"/>
  <c r="P86" i="27"/>
  <c r="Q86" i="27"/>
  <c r="R86" i="27"/>
  <c r="S86" i="27"/>
  <c r="T86" i="27"/>
  <c r="U86" i="27"/>
  <c r="V86" i="27"/>
  <c r="W86" i="27"/>
  <c r="X86" i="27"/>
  <c r="Y86" i="27"/>
  <c r="Z86" i="27"/>
  <c r="AA86" i="27"/>
  <c r="D87" i="27"/>
  <c r="E87" i="27"/>
  <c r="F87" i="27"/>
  <c r="G87" i="27"/>
  <c r="H87" i="27"/>
  <c r="I87" i="27"/>
  <c r="J87" i="27"/>
  <c r="K87" i="27"/>
  <c r="L87" i="27"/>
  <c r="M87" i="27"/>
  <c r="N87" i="27"/>
  <c r="O87" i="27"/>
  <c r="P87" i="27"/>
  <c r="Q87" i="27"/>
  <c r="R87" i="27"/>
  <c r="S87" i="27"/>
  <c r="T87" i="27"/>
  <c r="U87" i="27"/>
  <c r="V87" i="27"/>
  <c r="W87" i="27"/>
  <c r="X87" i="27"/>
  <c r="Y87" i="27"/>
  <c r="Z87" i="27"/>
  <c r="AA87" i="27"/>
  <c r="AA88" i="27"/>
  <c r="AA89" i="27"/>
  <c r="A90" i="27"/>
  <c r="D90" i="27"/>
  <c r="E90" i="27"/>
  <c r="F90" i="27"/>
  <c r="G90" i="27"/>
  <c r="H90" i="27"/>
  <c r="I90" i="27"/>
  <c r="J90" i="27"/>
  <c r="K90" i="27"/>
  <c r="L90" i="27"/>
  <c r="M90" i="27"/>
  <c r="N90" i="27"/>
  <c r="O90" i="27"/>
  <c r="P90" i="27"/>
  <c r="Q90" i="27"/>
  <c r="R90" i="27"/>
  <c r="S90" i="27"/>
  <c r="T90" i="27"/>
  <c r="U90" i="27"/>
  <c r="V90" i="27"/>
  <c r="W90" i="27"/>
  <c r="X90" i="27"/>
  <c r="Y90" i="27"/>
  <c r="Z90" i="27"/>
  <c r="AA90" i="27"/>
  <c r="D91" i="27"/>
  <c r="E91" i="27"/>
  <c r="F91" i="27"/>
  <c r="G91" i="27"/>
  <c r="H91" i="27"/>
  <c r="I91" i="27"/>
  <c r="J91" i="27"/>
  <c r="K91" i="27"/>
  <c r="L91" i="27"/>
  <c r="M91" i="27"/>
  <c r="N91" i="27"/>
  <c r="O91" i="27"/>
  <c r="P91" i="27"/>
  <c r="Q91" i="27"/>
  <c r="R91" i="27"/>
  <c r="S91" i="27"/>
  <c r="T91" i="27"/>
  <c r="U91" i="27"/>
  <c r="V91" i="27"/>
  <c r="W91" i="27"/>
  <c r="X91" i="27"/>
  <c r="Y91" i="27"/>
  <c r="Z91" i="27"/>
  <c r="AA91" i="27"/>
  <c r="AA92" i="27"/>
  <c r="D93" i="27"/>
  <c r="E93" i="27"/>
  <c r="F93" i="27"/>
  <c r="G93" i="27"/>
  <c r="H93" i="27"/>
  <c r="I93" i="27"/>
  <c r="J93" i="27"/>
  <c r="K93" i="27"/>
  <c r="L93" i="27"/>
  <c r="M93" i="27"/>
  <c r="N93" i="27"/>
  <c r="O93" i="27"/>
  <c r="P93" i="27"/>
  <c r="Q93" i="27"/>
  <c r="R93" i="27"/>
  <c r="S93" i="27"/>
  <c r="T93" i="27"/>
  <c r="U93" i="27"/>
  <c r="V93" i="27"/>
  <c r="W93" i="27"/>
  <c r="X93" i="27"/>
  <c r="Y93" i="27"/>
  <c r="Z93" i="27"/>
  <c r="AA93" i="27"/>
  <c r="A1" i="52"/>
  <c r="A2" i="52"/>
  <c r="A3" i="52"/>
  <c r="E6" i="52"/>
  <c r="F6" i="52"/>
  <c r="G6" i="52"/>
  <c r="H6" i="52"/>
  <c r="I6" i="52"/>
  <c r="J6" i="52"/>
  <c r="K6" i="52"/>
  <c r="L6" i="52"/>
  <c r="M6" i="52"/>
  <c r="N6" i="52"/>
  <c r="O6" i="52"/>
  <c r="P6" i="52"/>
  <c r="Q6" i="52"/>
  <c r="R6" i="52"/>
  <c r="S6" i="52"/>
  <c r="T6" i="52"/>
  <c r="U6" i="52"/>
  <c r="V6" i="52"/>
  <c r="W6" i="52"/>
  <c r="X6" i="52"/>
  <c r="Y6" i="52"/>
  <c r="Z6" i="52"/>
  <c r="AA6" i="52"/>
  <c r="E7" i="52"/>
  <c r="F7" i="52"/>
  <c r="G7" i="52"/>
  <c r="H7" i="52"/>
  <c r="I7" i="52"/>
  <c r="J7" i="52"/>
  <c r="K7" i="52"/>
  <c r="L7" i="52"/>
  <c r="M7" i="52"/>
  <c r="N7" i="52"/>
  <c r="O7" i="52"/>
  <c r="P7" i="52"/>
  <c r="Q7" i="52"/>
  <c r="R7" i="52"/>
  <c r="S7" i="52"/>
  <c r="T7" i="52"/>
  <c r="U7" i="52"/>
  <c r="V7" i="52"/>
  <c r="W7" i="52"/>
  <c r="X7" i="52"/>
  <c r="Y7" i="52"/>
  <c r="Z7" i="52"/>
  <c r="AA7" i="52"/>
  <c r="A9" i="52"/>
  <c r="A10" i="52"/>
  <c r="E10" i="52"/>
  <c r="F10" i="52"/>
  <c r="G10" i="52"/>
  <c r="H10" i="52"/>
  <c r="I10" i="52"/>
  <c r="J10" i="52"/>
  <c r="K10" i="52"/>
  <c r="L10" i="52"/>
  <c r="M10" i="52"/>
  <c r="N10" i="52"/>
  <c r="O10" i="52"/>
  <c r="P10" i="52"/>
  <c r="Q10" i="52"/>
  <c r="R10" i="52"/>
  <c r="S10" i="52"/>
  <c r="T10" i="52"/>
  <c r="U10" i="52"/>
  <c r="V10" i="52"/>
  <c r="W10" i="52"/>
  <c r="X10" i="52"/>
  <c r="Y10" i="52"/>
  <c r="Z10" i="52"/>
  <c r="AA10" i="52"/>
  <c r="AB10" i="52"/>
  <c r="AC10" i="52"/>
  <c r="A11" i="52"/>
  <c r="E11" i="52"/>
  <c r="F11" i="52"/>
  <c r="G11" i="52"/>
  <c r="H11" i="52"/>
  <c r="I11" i="52"/>
  <c r="J11" i="52"/>
  <c r="K11" i="52"/>
  <c r="L11" i="52"/>
  <c r="M11" i="52"/>
  <c r="N11" i="52"/>
  <c r="O11" i="52"/>
  <c r="P11" i="52"/>
  <c r="Q11" i="52"/>
  <c r="R11" i="52"/>
  <c r="S11" i="52"/>
  <c r="T11" i="52"/>
  <c r="U11" i="52"/>
  <c r="V11" i="52"/>
  <c r="W11" i="52"/>
  <c r="X11" i="52"/>
  <c r="Y11" i="52"/>
  <c r="Z11" i="52"/>
  <c r="AA11" i="52"/>
  <c r="AB11" i="52"/>
  <c r="AC11" i="52"/>
  <c r="E12" i="52"/>
  <c r="F12" i="52"/>
  <c r="G12" i="52"/>
  <c r="H12" i="52"/>
  <c r="I12" i="52"/>
  <c r="J12" i="52"/>
  <c r="K12" i="52"/>
  <c r="L12" i="52"/>
  <c r="M12" i="52"/>
  <c r="N12" i="52"/>
  <c r="O12" i="52"/>
  <c r="P12" i="52"/>
  <c r="Q12" i="52"/>
  <c r="R12" i="52"/>
  <c r="S12" i="52"/>
  <c r="T12" i="52"/>
  <c r="U12" i="52"/>
  <c r="V12" i="52"/>
  <c r="W12" i="52"/>
  <c r="X12" i="52"/>
  <c r="Y12" i="52"/>
  <c r="Z12" i="52"/>
  <c r="AA12" i="52"/>
  <c r="AB12" i="52"/>
  <c r="AC12" i="52"/>
  <c r="E13" i="52"/>
  <c r="F13" i="52"/>
  <c r="G13" i="52"/>
  <c r="H13" i="52"/>
  <c r="I13" i="52"/>
  <c r="J13" i="52"/>
  <c r="K13" i="52"/>
  <c r="L13" i="52"/>
  <c r="M13" i="52"/>
  <c r="N13" i="52"/>
  <c r="O13" i="52"/>
  <c r="P13" i="52"/>
  <c r="Q13" i="52"/>
  <c r="R13" i="52"/>
  <c r="S13" i="52"/>
  <c r="T13" i="52"/>
  <c r="U13" i="52"/>
  <c r="V13" i="52"/>
  <c r="W13" i="52"/>
  <c r="X13" i="52"/>
  <c r="Y13" i="52"/>
  <c r="Z13" i="52"/>
  <c r="AA13" i="52"/>
  <c r="AB13" i="52"/>
  <c r="AC13" i="52"/>
  <c r="E14" i="52"/>
  <c r="F14" i="52"/>
  <c r="G14" i="52"/>
  <c r="H14" i="52"/>
  <c r="I14" i="52"/>
  <c r="J14" i="52"/>
  <c r="K14" i="52"/>
  <c r="L14" i="52"/>
  <c r="M14" i="52"/>
  <c r="N14" i="52"/>
  <c r="O14" i="52"/>
  <c r="P14" i="52"/>
  <c r="Q14" i="52"/>
  <c r="R14" i="52"/>
  <c r="S14" i="52"/>
  <c r="T14" i="52"/>
  <c r="U14" i="52"/>
  <c r="V14" i="52"/>
  <c r="W14" i="52"/>
  <c r="X14" i="52"/>
  <c r="Y14" i="52"/>
  <c r="Z14" i="52"/>
  <c r="AA14" i="52"/>
  <c r="AB14" i="52"/>
  <c r="AC14" i="52"/>
  <c r="C15" i="52"/>
  <c r="E15" i="52"/>
  <c r="F15" i="52"/>
  <c r="G15" i="52"/>
  <c r="H15" i="52"/>
  <c r="I15" i="52"/>
  <c r="J15" i="52"/>
  <c r="K15" i="52"/>
  <c r="L15" i="52"/>
  <c r="M15" i="52"/>
  <c r="N15" i="52"/>
  <c r="O15" i="52"/>
  <c r="P15" i="52"/>
  <c r="Q15" i="52"/>
  <c r="R15" i="52"/>
  <c r="S15" i="52"/>
  <c r="T15" i="52"/>
  <c r="U15" i="52"/>
  <c r="V15" i="52"/>
  <c r="W15" i="52"/>
  <c r="X15" i="52"/>
  <c r="Y15" i="52"/>
  <c r="Z15" i="52"/>
  <c r="AA15" i="52"/>
  <c r="AB15" i="52"/>
  <c r="AC15" i="52"/>
  <c r="C16" i="52"/>
  <c r="E16" i="52"/>
  <c r="F16" i="52"/>
  <c r="G16" i="52"/>
  <c r="H16" i="52"/>
  <c r="I16" i="52"/>
  <c r="J16" i="52"/>
  <c r="K16" i="52"/>
  <c r="L16" i="52"/>
  <c r="M16" i="52"/>
  <c r="N16" i="52"/>
  <c r="O16" i="52"/>
  <c r="P16" i="52"/>
  <c r="Q16" i="52"/>
  <c r="R16" i="52"/>
  <c r="S16" i="52"/>
  <c r="T16" i="52"/>
  <c r="U16" i="52"/>
  <c r="V16" i="52"/>
  <c r="W16" i="52"/>
  <c r="X16" i="52"/>
  <c r="Y16" i="52"/>
  <c r="Z16" i="52"/>
  <c r="AA16" i="52"/>
  <c r="AB16" i="52"/>
  <c r="AC16" i="52"/>
  <c r="E17" i="52"/>
  <c r="F17" i="52"/>
  <c r="G17" i="52"/>
  <c r="H17" i="52"/>
  <c r="I17" i="52"/>
  <c r="J17" i="52"/>
  <c r="K17" i="52"/>
  <c r="L17" i="52"/>
  <c r="M17" i="52"/>
  <c r="N17" i="52"/>
  <c r="O17" i="52"/>
  <c r="P17" i="52"/>
  <c r="Q17" i="52"/>
  <c r="R17" i="52"/>
  <c r="S17" i="52"/>
  <c r="T17" i="52"/>
  <c r="U17" i="52"/>
  <c r="V17" i="52"/>
  <c r="W17" i="52"/>
  <c r="X17" i="52"/>
  <c r="Y17" i="52"/>
  <c r="Z17" i="52"/>
  <c r="AA17" i="52"/>
  <c r="AB17" i="52"/>
  <c r="AC17" i="52"/>
  <c r="E19" i="52"/>
  <c r="F19" i="52"/>
  <c r="G19" i="52"/>
  <c r="H19" i="52"/>
  <c r="I19" i="52"/>
  <c r="J19" i="52"/>
  <c r="K19" i="52"/>
  <c r="L19" i="52"/>
  <c r="M19" i="52"/>
  <c r="N19" i="52"/>
  <c r="O19" i="52"/>
  <c r="P19" i="52"/>
  <c r="Q19" i="52"/>
  <c r="R19" i="52"/>
  <c r="S19" i="52"/>
  <c r="T19" i="52"/>
  <c r="U19" i="52"/>
  <c r="V19" i="52"/>
  <c r="W19" i="52"/>
  <c r="X19" i="52"/>
  <c r="Y19" i="52"/>
  <c r="Z19" i="52"/>
  <c r="AA19" i="52"/>
  <c r="AC19" i="52"/>
  <c r="E20" i="52"/>
  <c r="F20" i="52"/>
  <c r="G20" i="52"/>
  <c r="H20" i="52"/>
  <c r="I20" i="52"/>
  <c r="J20" i="52"/>
  <c r="K20" i="52"/>
  <c r="L20" i="52"/>
  <c r="M20" i="52"/>
  <c r="N20" i="52"/>
  <c r="O20" i="52"/>
  <c r="P20" i="52"/>
  <c r="Q20" i="52"/>
  <c r="R20" i="52"/>
  <c r="S20" i="52"/>
  <c r="T20" i="52"/>
  <c r="U20" i="52"/>
  <c r="V20" i="52"/>
  <c r="W20" i="52"/>
  <c r="X20" i="52"/>
  <c r="Y20" i="52"/>
  <c r="Z20" i="52"/>
  <c r="AA20" i="52"/>
  <c r="AC20" i="52"/>
  <c r="B22" i="52"/>
  <c r="C22" i="52"/>
  <c r="B23" i="52"/>
  <c r="C23" i="52"/>
  <c r="E25" i="52"/>
  <c r="F25" i="52"/>
  <c r="G25" i="52"/>
  <c r="H25" i="52"/>
  <c r="I25" i="52"/>
  <c r="J25" i="52"/>
  <c r="K25" i="52"/>
  <c r="L25" i="52"/>
  <c r="M25" i="52"/>
  <c r="N25" i="52"/>
  <c r="O25" i="52"/>
  <c r="P25" i="52"/>
  <c r="Q25" i="52"/>
  <c r="R25" i="52"/>
  <c r="S25" i="52"/>
  <c r="T25" i="52"/>
  <c r="U25" i="52"/>
  <c r="V25" i="52"/>
  <c r="W25" i="52"/>
  <c r="X25" i="52"/>
  <c r="Y25" i="52"/>
  <c r="Z25" i="52"/>
  <c r="AA25" i="52"/>
  <c r="AB25" i="52"/>
  <c r="AC25" i="52"/>
  <c r="A26" i="52"/>
  <c r="E26" i="52"/>
  <c r="F26" i="52"/>
  <c r="G26" i="52"/>
  <c r="H26" i="52"/>
  <c r="I26" i="52"/>
  <c r="J26" i="52"/>
  <c r="K26" i="52"/>
  <c r="L26" i="52"/>
  <c r="M26" i="52"/>
  <c r="N26" i="52"/>
  <c r="O26" i="52"/>
  <c r="P26" i="52"/>
  <c r="Q26" i="52"/>
  <c r="R26" i="52"/>
  <c r="S26" i="52"/>
  <c r="T26" i="52"/>
  <c r="U26" i="52"/>
  <c r="V26" i="52"/>
  <c r="W26" i="52"/>
  <c r="X26" i="52"/>
  <c r="Y26" i="52"/>
  <c r="Z26" i="52"/>
  <c r="AA26" i="52"/>
  <c r="AB26" i="52"/>
  <c r="AC26" i="52"/>
  <c r="E27" i="52"/>
  <c r="F27" i="52"/>
  <c r="G27" i="52"/>
  <c r="H27" i="52"/>
  <c r="I27" i="52"/>
  <c r="J27" i="52"/>
  <c r="K27" i="52"/>
  <c r="L27" i="52"/>
  <c r="M27" i="52"/>
  <c r="N27" i="52"/>
  <c r="O27" i="52"/>
  <c r="P27" i="52"/>
  <c r="Q27" i="52"/>
  <c r="R27" i="52"/>
  <c r="S27" i="52"/>
  <c r="T27" i="52"/>
  <c r="U27" i="52"/>
  <c r="V27" i="52"/>
  <c r="W27" i="52"/>
  <c r="X27" i="52"/>
  <c r="Y27" i="52"/>
  <c r="Z27" i="52"/>
  <c r="AA27" i="52"/>
  <c r="AB27" i="52"/>
  <c r="AC27" i="52"/>
  <c r="E28" i="52"/>
  <c r="F28" i="52"/>
  <c r="G28" i="52"/>
  <c r="H28" i="52"/>
  <c r="I28" i="52"/>
  <c r="J28" i="52"/>
  <c r="K28" i="52"/>
  <c r="L28" i="52"/>
  <c r="M28" i="52"/>
  <c r="N28" i="52"/>
  <c r="O28" i="52"/>
  <c r="P28" i="52"/>
  <c r="Q28" i="52"/>
  <c r="R28" i="52"/>
  <c r="S28" i="52"/>
  <c r="T28" i="52"/>
  <c r="U28" i="52"/>
  <c r="V28" i="52"/>
  <c r="W28" i="52"/>
  <c r="X28" i="52"/>
  <c r="Y28" i="52"/>
  <c r="Z28" i="52"/>
  <c r="AA28" i="52"/>
  <c r="AB28" i="52"/>
  <c r="AC28" i="52"/>
  <c r="C29" i="52"/>
  <c r="E29" i="52"/>
  <c r="F29" i="52"/>
  <c r="G29" i="52"/>
  <c r="H29" i="52"/>
  <c r="I29" i="52"/>
  <c r="J29" i="52"/>
  <c r="K29" i="52"/>
  <c r="L29" i="52"/>
  <c r="M29" i="52"/>
  <c r="N29" i="52"/>
  <c r="O29" i="52"/>
  <c r="P29" i="52"/>
  <c r="Q29" i="52"/>
  <c r="R29" i="52"/>
  <c r="S29" i="52"/>
  <c r="T29" i="52"/>
  <c r="U29" i="52"/>
  <c r="V29" i="52"/>
  <c r="W29" i="52"/>
  <c r="X29" i="52"/>
  <c r="Y29" i="52"/>
  <c r="Z29" i="52"/>
  <c r="AA29" i="52"/>
  <c r="AB29" i="52"/>
  <c r="AC29" i="52"/>
  <c r="C30" i="52"/>
  <c r="E30" i="52"/>
  <c r="F30" i="52"/>
  <c r="G30" i="52"/>
  <c r="H30" i="52"/>
  <c r="I30" i="52"/>
  <c r="J30" i="52"/>
  <c r="K30" i="52"/>
  <c r="L30" i="52"/>
  <c r="M30" i="52"/>
  <c r="N30" i="52"/>
  <c r="O30" i="52"/>
  <c r="P30" i="52"/>
  <c r="Q30" i="52"/>
  <c r="R30" i="52"/>
  <c r="S30" i="52"/>
  <c r="T30" i="52"/>
  <c r="U30" i="52"/>
  <c r="V30" i="52"/>
  <c r="W30" i="52"/>
  <c r="X30" i="52"/>
  <c r="Y30" i="52"/>
  <c r="Z30" i="52"/>
  <c r="AA30" i="52"/>
  <c r="AB30" i="52"/>
  <c r="AC30" i="52"/>
  <c r="E31" i="52"/>
  <c r="F31" i="52"/>
  <c r="G31" i="52"/>
  <c r="H31" i="52"/>
  <c r="I31" i="52"/>
  <c r="J31" i="52"/>
  <c r="K31" i="52"/>
  <c r="L31" i="52"/>
  <c r="M31" i="52"/>
  <c r="N31" i="52"/>
  <c r="O31" i="52"/>
  <c r="P31" i="52"/>
  <c r="Q31" i="52"/>
  <c r="R31" i="52"/>
  <c r="S31" i="52"/>
  <c r="T31" i="52"/>
  <c r="U31" i="52"/>
  <c r="V31" i="52"/>
  <c r="W31" i="52"/>
  <c r="X31" i="52"/>
  <c r="Y31" i="52"/>
  <c r="Z31" i="52"/>
  <c r="AA31" i="52"/>
  <c r="AB31" i="52"/>
  <c r="AC31" i="52"/>
  <c r="E32" i="52"/>
  <c r="F32" i="52"/>
  <c r="G32" i="52"/>
  <c r="H32" i="52"/>
  <c r="I32" i="52"/>
  <c r="J32" i="52"/>
  <c r="K32" i="52"/>
  <c r="L32" i="52"/>
  <c r="M32" i="52"/>
  <c r="N32" i="52"/>
  <c r="O32" i="52"/>
  <c r="P32" i="52"/>
  <c r="Q32" i="52"/>
  <c r="R32" i="52"/>
  <c r="S32" i="52"/>
  <c r="T32" i="52"/>
  <c r="U32" i="52"/>
  <c r="V32" i="52"/>
  <c r="W32" i="52"/>
  <c r="X32" i="52"/>
  <c r="Y32" i="52"/>
  <c r="Z32" i="52"/>
  <c r="AA32" i="52"/>
  <c r="AB32" i="52"/>
  <c r="AC32" i="52"/>
  <c r="E33" i="52"/>
  <c r="F33" i="52"/>
  <c r="G33" i="52"/>
  <c r="H33" i="52"/>
  <c r="I33" i="52"/>
  <c r="J33" i="52"/>
  <c r="K33" i="52"/>
  <c r="L33" i="52"/>
  <c r="M33" i="52"/>
  <c r="N33" i="52"/>
  <c r="O33" i="52"/>
  <c r="P33" i="52"/>
  <c r="Q33" i="52"/>
  <c r="R33" i="52"/>
  <c r="S33" i="52"/>
  <c r="T33" i="52"/>
  <c r="U33" i="52"/>
  <c r="V33" i="52"/>
  <c r="W33" i="52"/>
  <c r="X33" i="52"/>
  <c r="Y33" i="52"/>
  <c r="Z33" i="52"/>
  <c r="AA33" i="52"/>
  <c r="AC33" i="52"/>
  <c r="AD33" i="52"/>
  <c r="E34" i="52"/>
  <c r="F34" i="52"/>
  <c r="G34" i="52"/>
  <c r="H34" i="52"/>
  <c r="I34" i="52"/>
  <c r="J34" i="52"/>
  <c r="K34" i="52"/>
  <c r="L34" i="52"/>
  <c r="M34" i="52"/>
  <c r="N34" i="52"/>
  <c r="O34" i="52"/>
  <c r="P34" i="52"/>
  <c r="Q34" i="52"/>
  <c r="R34" i="52"/>
  <c r="S34" i="52"/>
  <c r="T34" i="52"/>
  <c r="U34" i="52"/>
  <c r="V34" i="52"/>
  <c r="W34" i="52"/>
  <c r="X34" i="52"/>
  <c r="Y34" i="52"/>
  <c r="Z34" i="52"/>
  <c r="AA34" i="52"/>
  <c r="AC34" i="52"/>
  <c r="AD34" i="52"/>
  <c r="B36" i="52"/>
  <c r="C36" i="52"/>
  <c r="D36" i="52"/>
  <c r="C37" i="52"/>
  <c r="D37" i="52"/>
  <c r="E39" i="52"/>
  <c r="F39" i="52"/>
  <c r="G39" i="52"/>
  <c r="H39" i="52"/>
  <c r="I39" i="52"/>
  <c r="J39" i="52"/>
  <c r="K39" i="52"/>
  <c r="L39" i="52"/>
  <c r="M39" i="52"/>
  <c r="N39" i="52"/>
  <c r="O39" i="52"/>
  <c r="P39" i="52"/>
  <c r="Q39" i="52"/>
  <c r="R39" i="52"/>
  <c r="S39" i="52"/>
  <c r="T39" i="52"/>
  <c r="U39" i="52"/>
  <c r="V39" i="52"/>
  <c r="W39" i="52"/>
  <c r="X39" i="52"/>
  <c r="Y39" i="52"/>
  <c r="Z39" i="52"/>
  <c r="AA39" i="52"/>
  <c r="AB39" i="52"/>
  <c r="AC39" i="52"/>
  <c r="A40" i="52"/>
  <c r="E40" i="52"/>
  <c r="F40" i="52"/>
  <c r="G40" i="52"/>
  <c r="H40" i="52"/>
  <c r="I40" i="52"/>
  <c r="J40" i="52"/>
  <c r="K40" i="52"/>
  <c r="L40" i="52"/>
  <c r="M40" i="52"/>
  <c r="N40" i="52"/>
  <c r="O40" i="52"/>
  <c r="P40" i="52"/>
  <c r="Q40" i="52"/>
  <c r="R40" i="52"/>
  <c r="S40" i="52"/>
  <c r="T40" i="52"/>
  <c r="U40" i="52"/>
  <c r="V40" i="52"/>
  <c r="W40" i="52"/>
  <c r="X40" i="52"/>
  <c r="Y40" i="52"/>
  <c r="Z40" i="52"/>
  <c r="AA40" i="52"/>
  <c r="AB40" i="52"/>
  <c r="AC40" i="52"/>
  <c r="E41" i="52"/>
  <c r="F41" i="52"/>
  <c r="G41" i="52"/>
  <c r="H41" i="52"/>
  <c r="I41" i="52"/>
  <c r="J41" i="52"/>
  <c r="K41" i="52"/>
  <c r="L41" i="52"/>
  <c r="M41" i="52"/>
  <c r="N41" i="52"/>
  <c r="O41" i="52"/>
  <c r="P41" i="52"/>
  <c r="Q41" i="52"/>
  <c r="R41" i="52"/>
  <c r="S41" i="52"/>
  <c r="T41" i="52"/>
  <c r="U41" i="52"/>
  <c r="V41" i="52"/>
  <c r="W41" i="52"/>
  <c r="X41" i="52"/>
  <c r="Y41" i="52"/>
  <c r="Z41" i="52"/>
  <c r="AA41" i="52"/>
  <c r="AB41" i="52"/>
  <c r="AC41" i="52"/>
  <c r="E42" i="52"/>
  <c r="F42" i="52"/>
  <c r="G42" i="52"/>
  <c r="H42" i="52"/>
  <c r="I42" i="52"/>
  <c r="J42" i="52"/>
  <c r="K42" i="52"/>
  <c r="L42" i="52"/>
  <c r="M42" i="52"/>
  <c r="N42" i="52"/>
  <c r="O42" i="52"/>
  <c r="P42" i="52"/>
  <c r="Q42" i="52"/>
  <c r="R42" i="52"/>
  <c r="S42" i="52"/>
  <c r="T42" i="52"/>
  <c r="U42" i="52"/>
  <c r="V42" i="52"/>
  <c r="W42" i="52"/>
  <c r="X42" i="52"/>
  <c r="Y42" i="52"/>
  <c r="Z42" i="52"/>
  <c r="AA42" i="52"/>
  <c r="AB42" i="52"/>
  <c r="AC42" i="52"/>
  <c r="C43" i="52"/>
  <c r="E43" i="52"/>
  <c r="F43" i="52"/>
  <c r="G43" i="52"/>
  <c r="H43" i="52"/>
  <c r="I43" i="52"/>
  <c r="J43" i="52"/>
  <c r="K43" i="52"/>
  <c r="L43" i="52"/>
  <c r="M43" i="52"/>
  <c r="N43" i="52"/>
  <c r="O43" i="52"/>
  <c r="P43" i="52"/>
  <c r="Q43" i="52"/>
  <c r="R43" i="52"/>
  <c r="S43" i="52"/>
  <c r="T43" i="52"/>
  <c r="U43" i="52"/>
  <c r="V43" i="52"/>
  <c r="W43" i="52"/>
  <c r="X43" i="52"/>
  <c r="Y43" i="52"/>
  <c r="Z43" i="52"/>
  <c r="AA43" i="52"/>
  <c r="AB43" i="52"/>
  <c r="AC43" i="52"/>
  <c r="E44" i="52"/>
  <c r="F44" i="52"/>
  <c r="G44" i="52"/>
  <c r="H44" i="52"/>
  <c r="I44" i="52"/>
  <c r="J44" i="52"/>
  <c r="K44" i="52"/>
  <c r="L44" i="52"/>
  <c r="M44" i="52"/>
  <c r="N44" i="52"/>
  <c r="O44" i="52"/>
  <c r="P44" i="52"/>
  <c r="Q44" i="52"/>
  <c r="R44" i="52"/>
  <c r="S44" i="52"/>
  <c r="T44" i="52"/>
  <c r="U44" i="52"/>
  <c r="V44" i="52"/>
  <c r="W44" i="52"/>
  <c r="X44" i="52"/>
  <c r="Y44" i="52"/>
  <c r="Z44" i="52"/>
  <c r="AA44" i="52"/>
  <c r="AB44" i="52"/>
  <c r="AC44" i="52"/>
  <c r="C45" i="52"/>
  <c r="E45" i="52"/>
  <c r="F45" i="52"/>
  <c r="G45" i="52"/>
  <c r="H45" i="52"/>
  <c r="I45" i="52"/>
  <c r="J45" i="52"/>
  <c r="K45" i="52"/>
  <c r="L45" i="52"/>
  <c r="M45" i="52"/>
  <c r="N45" i="52"/>
  <c r="O45" i="52"/>
  <c r="P45" i="52"/>
  <c r="Q45" i="52"/>
  <c r="R45" i="52"/>
  <c r="S45" i="52"/>
  <c r="T45" i="52"/>
  <c r="U45" i="52"/>
  <c r="V45" i="52"/>
  <c r="W45" i="52"/>
  <c r="X45" i="52"/>
  <c r="Y45" i="52"/>
  <c r="Z45" i="52"/>
  <c r="AA45" i="52"/>
  <c r="AB45" i="52"/>
  <c r="AC45" i="52"/>
  <c r="E46" i="52"/>
  <c r="F46" i="52"/>
  <c r="G46" i="52"/>
  <c r="H46" i="52"/>
  <c r="I46" i="52"/>
  <c r="J46" i="52"/>
  <c r="K46" i="52"/>
  <c r="L46" i="52"/>
  <c r="M46" i="52"/>
  <c r="N46" i="52"/>
  <c r="O46" i="52"/>
  <c r="P46" i="52"/>
  <c r="Q46" i="52"/>
  <c r="R46" i="52"/>
  <c r="S46" i="52"/>
  <c r="T46" i="52"/>
  <c r="U46" i="52"/>
  <c r="V46" i="52"/>
  <c r="W46" i="52"/>
  <c r="X46" i="52"/>
  <c r="Y46" i="52"/>
  <c r="Z46" i="52"/>
  <c r="AA46" i="52"/>
  <c r="AB46" i="52"/>
  <c r="AC46" i="52"/>
  <c r="E47" i="52"/>
  <c r="F47" i="52"/>
  <c r="G47" i="52"/>
  <c r="H47" i="52"/>
  <c r="I47" i="52"/>
  <c r="J47" i="52"/>
  <c r="K47" i="52"/>
  <c r="L47" i="52"/>
  <c r="M47" i="52"/>
  <c r="N47" i="52"/>
  <c r="O47" i="52"/>
  <c r="P47" i="52"/>
  <c r="Q47" i="52"/>
  <c r="R47" i="52"/>
  <c r="S47" i="52"/>
  <c r="T47" i="52"/>
  <c r="U47" i="52"/>
  <c r="V47" i="52"/>
  <c r="W47" i="52"/>
  <c r="X47" i="52"/>
  <c r="Y47" i="52"/>
  <c r="Z47" i="52"/>
  <c r="AA47" i="52"/>
  <c r="AB47" i="52"/>
  <c r="AC47" i="52"/>
  <c r="E48" i="52"/>
  <c r="F48" i="52"/>
  <c r="G48" i="52"/>
  <c r="H48" i="52"/>
  <c r="I48" i="52"/>
  <c r="J48" i="52"/>
  <c r="K48" i="52"/>
  <c r="L48" i="52"/>
  <c r="M48" i="52"/>
  <c r="N48" i="52"/>
  <c r="O48" i="52"/>
  <c r="P48" i="52"/>
  <c r="Q48" i="52"/>
  <c r="R48" i="52"/>
  <c r="S48" i="52"/>
  <c r="T48" i="52"/>
  <c r="U48" i="52"/>
  <c r="V48" i="52"/>
  <c r="W48" i="52"/>
  <c r="X48" i="52"/>
  <c r="Y48" i="52"/>
  <c r="Z48" i="52"/>
  <c r="AA48" i="52"/>
  <c r="AC48" i="52"/>
  <c r="AD48" i="52"/>
  <c r="E49" i="52"/>
  <c r="F49" i="52"/>
  <c r="G49" i="52"/>
  <c r="H49" i="52"/>
  <c r="I49" i="52"/>
  <c r="J49" i="52"/>
  <c r="K49" i="52"/>
  <c r="L49" i="52"/>
  <c r="M49" i="52"/>
  <c r="N49" i="52"/>
  <c r="O49" i="52"/>
  <c r="P49" i="52"/>
  <c r="Q49" i="52"/>
  <c r="R49" i="52"/>
  <c r="S49" i="52"/>
  <c r="T49" i="52"/>
  <c r="U49" i="52"/>
  <c r="V49" i="52"/>
  <c r="W49" i="52"/>
  <c r="X49" i="52"/>
  <c r="Y49" i="52"/>
  <c r="Z49" i="52"/>
  <c r="AA49" i="52"/>
  <c r="AC49" i="52"/>
  <c r="AD49" i="52"/>
  <c r="B51" i="52"/>
  <c r="C51" i="52"/>
  <c r="D51" i="52"/>
  <c r="C52" i="52"/>
  <c r="D52" i="52"/>
  <c r="A54" i="52"/>
  <c r="A55" i="52"/>
  <c r="E55" i="52"/>
  <c r="F55" i="52"/>
  <c r="G55" i="52"/>
  <c r="H55" i="52"/>
  <c r="I55" i="52"/>
  <c r="J55" i="52"/>
  <c r="K55" i="52"/>
  <c r="L55" i="52"/>
  <c r="M55" i="52"/>
  <c r="N55" i="52"/>
  <c r="O55" i="52"/>
  <c r="P55" i="52"/>
  <c r="Q55" i="52"/>
  <c r="R55" i="52"/>
  <c r="S55" i="52"/>
  <c r="T55" i="52"/>
  <c r="U55" i="52"/>
  <c r="V55" i="52"/>
  <c r="W55" i="52"/>
  <c r="X55" i="52"/>
  <c r="Y55" i="52"/>
  <c r="Z55" i="52"/>
  <c r="AA55" i="52"/>
  <c r="AB55" i="52"/>
  <c r="AC55" i="52"/>
  <c r="A56" i="52"/>
  <c r="E56" i="52"/>
  <c r="F56" i="52"/>
  <c r="G56" i="52"/>
  <c r="H56" i="52"/>
  <c r="I56" i="52"/>
  <c r="J56" i="52"/>
  <c r="K56" i="52"/>
  <c r="L56" i="52"/>
  <c r="M56" i="52"/>
  <c r="N56" i="52"/>
  <c r="O56" i="52"/>
  <c r="P56" i="52"/>
  <c r="Q56" i="52"/>
  <c r="R56" i="52"/>
  <c r="S56" i="52"/>
  <c r="T56" i="52"/>
  <c r="U56" i="52"/>
  <c r="V56" i="52"/>
  <c r="W56" i="52"/>
  <c r="X56" i="52"/>
  <c r="Y56" i="52"/>
  <c r="Z56" i="52"/>
  <c r="AA56" i="52"/>
  <c r="AB56" i="52"/>
  <c r="AC56" i="52"/>
  <c r="E57" i="52"/>
  <c r="F57" i="52"/>
  <c r="G57" i="52"/>
  <c r="H57" i="52"/>
  <c r="I57" i="52"/>
  <c r="J57" i="52"/>
  <c r="K57" i="52"/>
  <c r="L57" i="52"/>
  <c r="M57" i="52"/>
  <c r="N57" i="52"/>
  <c r="O57" i="52"/>
  <c r="P57" i="52"/>
  <c r="Q57" i="52"/>
  <c r="R57" i="52"/>
  <c r="S57" i="52"/>
  <c r="T57" i="52"/>
  <c r="U57" i="52"/>
  <c r="V57" i="52"/>
  <c r="W57" i="52"/>
  <c r="X57" i="52"/>
  <c r="Y57" i="52"/>
  <c r="Z57" i="52"/>
  <c r="AA57" i="52"/>
  <c r="AB57" i="52"/>
  <c r="AC57" i="52"/>
  <c r="E58" i="52"/>
  <c r="F58" i="52"/>
  <c r="G58" i="52"/>
  <c r="H58" i="52"/>
  <c r="I58" i="52"/>
  <c r="J58" i="52"/>
  <c r="K58" i="52"/>
  <c r="L58" i="52"/>
  <c r="M58" i="52"/>
  <c r="N58" i="52"/>
  <c r="O58" i="52"/>
  <c r="P58" i="52"/>
  <c r="Q58" i="52"/>
  <c r="R58" i="52"/>
  <c r="S58" i="52"/>
  <c r="T58" i="52"/>
  <c r="U58" i="52"/>
  <c r="V58" i="52"/>
  <c r="W58" i="52"/>
  <c r="X58" i="52"/>
  <c r="Y58" i="52"/>
  <c r="Z58" i="52"/>
  <c r="AA58" i="52"/>
  <c r="AB58" i="52"/>
  <c r="AC58" i="52"/>
  <c r="E59" i="52"/>
  <c r="F59" i="52"/>
  <c r="G59" i="52"/>
  <c r="H59" i="52"/>
  <c r="I59" i="52"/>
  <c r="J59" i="52"/>
  <c r="K59" i="52"/>
  <c r="L59" i="52"/>
  <c r="M59" i="52"/>
  <c r="N59" i="52"/>
  <c r="O59" i="52"/>
  <c r="P59" i="52"/>
  <c r="Q59" i="52"/>
  <c r="R59" i="52"/>
  <c r="S59" i="52"/>
  <c r="T59" i="52"/>
  <c r="U59" i="52"/>
  <c r="V59" i="52"/>
  <c r="W59" i="52"/>
  <c r="X59" i="52"/>
  <c r="Y59" i="52"/>
  <c r="Z59" i="52"/>
  <c r="AA59" i="52"/>
  <c r="AB59" i="52"/>
  <c r="AC59" i="52"/>
  <c r="C60" i="52"/>
  <c r="E60" i="52"/>
  <c r="F60" i="52"/>
  <c r="G60" i="52"/>
  <c r="H60" i="52"/>
  <c r="I60" i="52"/>
  <c r="J60" i="52"/>
  <c r="K60" i="52"/>
  <c r="L60" i="52"/>
  <c r="M60" i="52"/>
  <c r="N60" i="52"/>
  <c r="O60" i="52"/>
  <c r="P60" i="52"/>
  <c r="Q60" i="52"/>
  <c r="R60" i="52"/>
  <c r="S60" i="52"/>
  <c r="T60" i="52"/>
  <c r="U60" i="52"/>
  <c r="V60" i="52"/>
  <c r="W60" i="52"/>
  <c r="X60" i="52"/>
  <c r="Y60" i="52"/>
  <c r="Z60" i="52"/>
  <c r="AA60" i="52"/>
  <c r="AB60" i="52"/>
  <c r="AC60" i="52"/>
  <c r="C61" i="52"/>
  <c r="E61" i="52"/>
  <c r="F61" i="52"/>
  <c r="G61" i="52"/>
  <c r="H61" i="52"/>
  <c r="I61" i="52"/>
  <c r="J61" i="52"/>
  <c r="K61" i="52"/>
  <c r="L61" i="52"/>
  <c r="M61" i="52"/>
  <c r="N61" i="52"/>
  <c r="O61" i="52"/>
  <c r="P61" i="52"/>
  <c r="Q61" i="52"/>
  <c r="R61" i="52"/>
  <c r="S61" i="52"/>
  <c r="T61" i="52"/>
  <c r="U61" i="52"/>
  <c r="V61" i="52"/>
  <c r="W61" i="52"/>
  <c r="X61" i="52"/>
  <c r="Y61" i="52"/>
  <c r="Z61" i="52"/>
  <c r="AA61" i="52"/>
  <c r="AB61" i="52"/>
  <c r="AC61" i="52"/>
  <c r="E62" i="52"/>
  <c r="F62" i="52"/>
  <c r="G62" i="52"/>
  <c r="H62" i="52"/>
  <c r="I62" i="52"/>
  <c r="J62" i="52"/>
  <c r="K62" i="52"/>
  <c r="L62" i="52"/>
  <c r="M62" i="52"/>
  <c r="N62" i="52"/>
  <c r="O62" i="52"/>
  <c r="P62" i="52"/>
  <c r="Q62" i="52"/>
  <c r="R62" i="52"/>
  <c r="S62" i="52"/>
  <c r="T62" i="52"/>
  <c r="U62" i="52"/>
  <c r="V62" i="52"/>
  <c r="W62" i="52"/>
  <c r="X62" i="52"/>
  <c r="Y62" i="52"/>
  <c r="Z62" i="52"/>
  <c r="AA62" i="52"/>
  <c r="AB62" i="52"/>
  <c r="AC62" i="52"/>
  <c r="E64" i="52"/>
  <c r="F64" i="52"/>
  <c r="G64" i="52"/>
  <c r="H64" i="52"/>
  <c r="I64" i="52"/>
  <c r="J64" i="52"/>
  <c r="K64" i="52"/>
  <c r="L64" i="52"/>
  <c r="M64" i="52"/>
  <c r="N64" i="52"/>
  <c r="O64" i="52"/>
  <c r="P64" i="52"/>
  <c r="Q64" i="52"/>
  <c r="R64" i="52"/>
  <c r="S64" i="52"/>
  <c r="T64" i="52"/>
  <c r="U64" i="52"/>
  <c r="V64" i="52"/>
  <c r="W64" i="52"/>
  <c r="X64" i="52"/>
  <c r="Y64" i="52"/>
  <c r="Z64" i="52"/>
  <c r="AA64" i="52"/>
  <c r="AC64" i="52"/>
  <c r="E65" i="52"/>
  <c r="F65" i="52"/>
  <c r="G65" i="52"/>
  <c r="H65" i="52"/>
  <c r="I65" i="52"/>
  <c r="J65" i="52"/>
  <c r="K65" i="52"/>
  <c r="L65" i="52"/>
  <c r="M65" i="52"/>
  <c r="N65" i="52"/>
  <c r="O65" i="52"/>
  <c r="P65" i="52"/>
  <c r="Q65" i="52"/>
  <c r="R65" i="52"/>
  <c r="S65" i="52"/>
  <c r="T65" i="52"/>
  <c r="U65" i="52"/>
  <c r="V65" i="52"/>
  <c r="W65" i="52"/>
  <c r="X65" i="52"/>
  <c r="Y65" i="52"/>
  <c r="Z65" i="52"/>
  <c r="AA65" i="52"/>
  <c r="AC65" i="52"/>
  <c r="B67" i="52"/>
  <c r="C67" i="52"/>
  <c r="B68" i="52"/>
  <c r="C68" i="52"/>
  <c r="E70" i="52"/>
  <c r="F70" i="52"/>
  <c r="G70" i="52"/>
  <c r="H70" i="52"/>
  <c r="I70" i="52"/>
  <c r="J70" i="52"/>
  <c r="K70" i="52"/>
  <c r="L70" i="52"/>
  <c r="M70" i="52"/>
  <c r="N70" i="52"/>
  <c r="O70" i="52"/>
  <c r="P70" i="52"/>
  <c r="Q70" i="52"/>
  <c r="R70" i="52"/>
  <c r="S70" i="52"/>
  <c r="T70" i="52"/>
  <c r="U70" i="52"/>
  <c r="V70" i="52"/>
  <c r="W70" i="52"/>
  <c r="X70" i="52"/>
  <c r="Y70" i="52"/>
  <c r="Z70" i="52"/>
  <c r="AA70" i="52"/>
  <c r="AB70" i="52"/>
  <c r="AC70" i="52"/>
  <c r="A71" i="52"/>
  <c r="E71" i="52"/>
  <c r="F71" i="52"/>
  <c r="G71" i="52"/>
  <c r="H71" i="52"/>
  <c r="I71" i="52"/>
  <c r="J71" i="52"/>
  <c r="K71" i="52"/>
  <c r="L71" i="52"/>
  <c r="M71" i="52"/>
  <c r="N71" i="52"/>
  <c r="O71" i="52"/>
  <c r="P71" i="52"/>
  <c r="Q71" i="52"/>
  <c r="R71" i="52"/>
  <c r="S71" i="52"/>
  <c r="T71" i="52"/>
  <c r="U71" i="52"/>
  <c r="V71" i="52"/>
  <c r="W71" i="52"/>
  <c r="X71" i="52"/>
  <c r="Y71" i="52"/>
  <c r="Z71" i="52"/>
  <c r="AA71" i="52"/>
  <c r="AB71" i="52"/>
  <c r="AC71" i="52"/>
  <c r="E72" i="52"/>
  <c r="F72" i="52"/>
  <c r="G72" i="52"/>
  <c r="H72" i="52"/>
  <c r="I72" i="52"/>
  <c r="J72" i="52"/>
  <c r="K72" i="52"/>
  <c r="L72" i="52"/>
  <c r="M72" i="52"/>
  <c r="N72" i="52"/>
  <c r="O72" i="52"/>
  <c r="P72" i="52"/>
  <c r="Q72" i="52"/>
  <c r="R72" i="52"/>
  <c r="S72" i="52"/>
  <c r="T72" i="52"/>
  <c r="U72" i="52"/>
  <c r="V72" i="52"/>
  <c r="W72" i="52"/>
  <c r="X72" i="52"/>
  <c r="Y72" i="52"/>
  <c r="Z72" i="52"/>
  <c r="AA72" i="52"/>
  <c r="AB72" i="52"/>
  <c r="AC72" i="52"/>
  <c r="E73" i="52"/>
  <c r="F73" i="52"/>
  <c r="G73" i="52"/>
  <c r="H73" i="52"/>
  <c r="I73" i="52"/>
  <c r="J73" i="52"/>
  <c r="K73" i="52"/>
  <c r="L73" i="52"/>
  <c r="M73" i="52"/>
  <c r="N73" i="52"/>
  <c r="O73" i="52"/>
  <c r="P73" i="52"/>
  <c r="Q73" i="52"/>
  <c r="R73" i="52"/>
  <c r="S73" i="52"/>
  <c r="T73" i="52"/>
  <c r="U73" i="52"/>
  <c r="V73" i="52"/>
  <c r="W73" i="52"/>
  <c r="X73" i="52"/>
  <c r="Y73" i="52"/>
  <c r="Z73" i="52"/>
  <c r="AA73" i="52"/>
  <c r="AB73" i="52"/>
  <c r="AC73" i="52"/>
  <c r="C74" i="52"/>
  <c r="E74" i="52"/>
  <c r="F74" i="52"/>
  <c r="G74" i="52"/>
  <c r="H74" i="52"/>
  <c r="I74" i="52"/>
  <c r="J74" i="52"/>
  <c r="K74" i="52"/>
  <c r="L74" i="52"/>
  <c r="M74" i="52"/>
  <c r="N74" i="52"/>
  <c r="O74" i="52"/>
  <c r="P74" i="52"/>
  <c r="Q74" i="52"/>
  <c r="R74" i="52"/>
  <c r="S74" i="52"/>
  <c r="T74" i="52"/>
  <c r="U74" i="52"/>
  <c r="V74" i="52"/>
  <c r="W74" i="52"/>
  <c r="X74" i="52"/>
  <c r="Y74" i="52"/>
  <c r="Z74" i="52"/>
  <c r="AA74" i="52"/>
  <c r="AB74" i="52"/>
  <c r="AC74" i="52"/>
  <c r="C75" i="52"/>
  <c r="E75" i="52"/>
  <c r="F75" i="52"/>
  <c r="G75" i="52"/>
  <c r="H75" i="52"/>
  <c r="I75" i="52"/>
  <c r="J75" i="52"/>
  <c r="K75" i="52"/>
  <c r="L75" i="52"/>
  <c r="M75" i="52"/>
  <c r="N75" i="52"/>
  <c r="O75" i="52"/>
  <c r="P75" i="52"/>
  <c r="Q75" i="52"/>
  <c r="R75" i="52"/>
  <c r="S75" i="52"/>
  <c r="T75" i="52"/>
  <c r="U75" i="52"/>
  <c r="V75" i="52"/>
  <c r="W75" i="52"/>
  <c r="X75" i="52"/>
  <c r="Y75" i="52"/>
  <c r="Z75" i="52"/>
  <c r="AA75" i="52"/>
  <c r="AB75" i="52"/>
  <c r="AC75" i="52"/>
  <c r="E76" i="52"/>
  <c r="F76" i="52"/>
  <c r="G76" i="52"/>
  <c r="H76" i="52"/>
  <c r="I76" i="52"/>
  <c r="J76" i="52"/>
  <c r="K76" i="52"/>
  <c r="L76" i="52"/>
  <c r="M76" i="52"/>
  <c r="N76" i="52"/>
  <c r="O76" i="52"/>
  <c r="P76" i="52"/>
  <c r="Q76" i="52"/>
  <c r="R76" i="52"/>
  <c r="S76" i="52"/>
  <c r="T76" i="52"/>
  <c r="U76" i="52"/>
  <c r="V76" i="52"/>
  <c r="W76" i="52"/>
  <c r="X76" i="52"/>
  <c r="Y76" i="52"/>
  <c r="Z76" i="52"/>
  <c r="AA76" i="52"/>
  <c r="AB76" i="52"/>
  <c r="AC76" i="52"/>
  <c r="E77" i="52"/>
  <c r="F77" i="52"/>
  <c r="G77" i="52"/>
  <c r="H77" i="52"/>
  <c r="I77" i="52"/>
  <c r="J77" i="52"/>
  <c r="K77" i="52"/>
  <c r="L77" i="52"/>
  <c r="M77" i="52"/>
  <c r="N77" i="52"/>
  <c r="O77" i="52"/>
  <c r="P77" i="52"/>
  <c r="Q77" i="52"/>
  <c r="R77" i="52"/>
  <c r="S77" i="52"/>
  <c r="T77" i="52"/>
  <c r="U77" i="52"/>
  <c r="V77" i="52"/>
  <c r="W77" i="52"/>
  <c r="X77" i="52"/>
  <c r="Y77" i="52"/>
  <c r="Z77" i="52"/>
  <c r="AA77" i="52"/>
  <c r="AB77" i="52"/>
  <c r="AC77" i="52"/>
  <c r="E78" i="52"/>
  <c r="F78" i="52"/>
  <c r="G78" i="52"/>
  <c r="H78" i="52"/>
  <c r="I78" i="52"/>
  <c r="J78" i="52"/>
  <c r="K78" i="52"/>
  <c r="L78" i="52"/>
  <c r="M78" i="52"/>
  <c r="N78" i="52"/>
  <c r="O78" i="52"/>
  <c r="P78" i="52"/>
  <c r="Q78" i="52"/>
  <c r="R78" i="52"/>
  <c r="S78" i="52"/>
  <c r="T78" i="52"/>
  <c r="U78" i="52"/>
  <c r="V78" i="52"/>
  <c r="W78" i="52"/>
  <c r="X78" i="52"/>
  <c r="Y78" i="52"/>
  <c r="Z78" i="52"/>
  <c r="AA78" i="52"/>
  <c r="AC78" i="52"/>
  <c r="AD78" i="52"/>
  <c r="E79" i="52"/>
  <c r="F79" i="52"/>
  <c r="G79" i="52"/>
  <c r="H79" i="52"/>
  <c r="I79" i="52"/>
  <c r="J79" i="52"/>
  <c r="K79" i="52"/>
  <c r="L79" i="52"/>
  <c r="M79" i="52"/>
  <c r="N79" i="52"/>
  <c r="O79" i="52"/>
  <c r="P79" i="52"/>
  <c r="Q79" i="52"/>
  <c r="R79" i="52"/>
  <c r="S79" i="52"/>
  <c r="T79" i="52"/>
  <c r="U79" i="52"/>
  <c r="V79" i="52"/>
  <c r="W79" i="52"/>
  <c r="X79" i="52"/>
  <c r="Y79" i="52"/>
  <c r="Z79" i="52"/>
  <c r="AA79" i="52"/>
  <c r="AC79" i="52"/>
  <c r="AD79" i="52"/>
  <c r="B81" i="52"/>
  <c r="C81" i="52"/>
  <c r="D81" i="52"/>
  <c r="C82" i="52"/>
  <c r="D82" i="52"/>
  <c r="E84" i="52"/>
  <c r="F84" i="52"/>
  <c r="G84" i="52"/>
  <c r="H84" i="52"/>
  <c r="I84" i="52"/>
  <c r="J84" i="52"/>
  <c r="K84" i="52"/>
  <c r="L84" i="52"/>
  <c r="M84" i="52"/>
  <c r="N84" i="52"/>
  <c r="O84" i="52"/>
  <c r="P84" i="52"/>
  <c r="Q84" i="52"/>
  <c r="R84" i="52"/>
  <c r="S84" i="52"/>
  <c r="T84" i="52"/>
  <c r="U84" i="52"/>
  <c r="V84" i="52"/>
  <c r="W84" i="52"/>
  <c r="X84" i="52"/>
  <c r="Y84" i="52"/>
  <c r="Z84" i="52"/>
  <c r="AA84" i="52"/>
  <c r="AB84" i="52"/>
  <c r="AC84" i="52"/>
  <c r="A85" i="52"/>
  <c r="E85" i="52"/>
  <c r="F85" i="52"/>
  <c r="G85" i="52"/>
  <c r="H85" i="52"/>
  <c r="I85" i="52"/>
  <c r="J85" i="52"/>
  <c r="K85" i="52"/>
  <c r="L85" i="52"/>
  <c r="M85" i="52"/>
  <c r="N85" i="52"/>
  <c r="O85" i="52"/>
  <c r="P85" i="52"/>
  <c r="Q85" i="52"/>
  <c r="R85" i="52"/>
  <c r="S85" i="52"/>
  <c r="T85" i="52"/>
  <c r="U85" i="52"/>
  <c r="V85" i="52"/>
  <c r="W85" i="52"/>
  <c r="X85" i="52"/>
  <c r="Y85" i="52"/>
  <c r="Z85" i="52"/>
  <c r="AA85" i="52"/>
  <c r="AB85" i="52"/>
  <c r="AC85" i="52"/>
  <c r="E86" i="52"/>
  <c r="F86" i="52"/>
  <c r="G86" i="52"/>
  <c r="H86" i="52"/>
  <c r="I86" i="52"/>
  <c r="J86" i="52"/>
  <c r="K86" i="52"/>
  <c r="L86" i="52"/>
  <c r="M86" i="52"/>
  <c r="N86" i="52"/>
  <c r="O86" i="52"/>
  <c r="P86" i="52"/>
  <c r="Q86" i="52"/>
  <c r="R86" i="52"/>
  <c r="S86" i="52"/>
  <c r="T86" i="52"/>
  <c r="U86" i="52"/>
  <c r="V86" i="52"/>
  <c r="W86" i="52"/>
  <c r="X86" i="52"/>
  <c r="Y86" i="52"/>
  <c r="Z86" i="52"/>
  <c r="AA86" i="52"/>
  <c r="AB86" i="52"/>
  <c r="AC86" i="52"/>
  <c r="E87" i="52"/>
  <c r="F87" i="52"/>
  <c r="G87" i="52"/>
  <c r="H87" i="52"/>
  <c r="I87" i="52"/>
  <c r="J87" i="52"/>
  <c r="K87" i="52"/>
  <c r="L87" i="52"/>
  <c r="M87" i="52"/>
  <c r="N87" i="52"/>
  <c r="O87" i="52"/>
  <c r="P87" i="52"/>
  <c r="Q87" i="52"/>
  <c r="R87" i="52"/>
  <c r="S87" i="52"/>
  <c r="T87" i="52"/>
  <c r="U87" i="52"/>
  <c r="V87" i="52"/>
  <c r="W87" i="52"/>
  <c r="X87" i="52"/>
  <c r="Y87" i="52"/>
  <c r="Z87" i="52"/>
  <c r="AA87" i="52"/>
  <c r="AB87" i="52"/>
  <c r="AC87" i="52"/>
  <c r="C88" i="52"/>
  <c r="E88" i="52"/>
  <c r="F88" i="52"/>
  <c r="G88" i="52"/>
  <c r="H88" i="52"/>
  <c r="I88" i="52"/>
  <c r="J88" i="52"/>
  <c r="K88" i="52"/>
  <c r="L88" i="52"/>
  <c r="M88" i="52"/>
  <c r="N88" i="52"/>
  <c r="O88" i="52"/>
  <c r="P88" i="52"/>
  <c r="Q88" i="52"/>
  <c r="R88" i="52"/>
  <c r="S88" i="52"/>
  <c r="T88" i="52"/>
  <c r="U88" i="52"/>
  <c r="V88" i="52"/>
  <c r="W88" i="52"/>
  <c r="X88" i="52"/>
  <c r="Y88" i="52"/>
  <c r="Z88" i="52"/>
  <c r="AA88" i="52"/>
  <c r="AB88" i="52"/>
  <c r="AC88" i="52"/>
  <c r="E89" i="52"/>
  <c r="F89" i="52"/>
  <c r="G89" i="52"/>
  <c r="H89" i="52"/>
  <c r="I89" i="52"/>
  <c r="J89" i="52"/>
  <c r="K89" i="52"/>
  <c r="L89" i="52"/>
  <c r="M89" i="52"/>
  <c r="N89" i="52"/>
  <c r="O89" i="52"/>
  <c r="P89" i="52"/>
  <c r="Q89" i="52"/>
  <c r="R89" i="52"/>
  <c r="S89" i="52"/>
  <c r="T89" i="52"/>
  <c r="U89" i="52"/>
  <c r="V89" i="52"/>
  <c r="W89" i="52"/>
  <c r="X89" i="52"/>
  <c r="Y89" i="52"/>
  <c r="Z89" i="52"/>
  <c r="AA89" i="52"/>
  <c r="AB89" i="52"/>
  <c r="AC89" i="52"/>
  <c r="C90" i="52"/>
  <c r="E90" i="52"/>
  <c r="F90" i="52"/>
  <c r="G90" i="52"/>
  <c r="H90" i="52"/>
  <c r="I90" i="52"/>
  <c r="J90" i="52"/>
  <c r="K90" i="52"/>
  <c r="L90" i="52"/>
  <c r="M90" i="52"/>
  <c r="N90" i="52"/>
  <c r="O90" i="52"/>
  <c r="P90" i="52"/>
  <c r="Q90" i="52"/>
  <c r="R90" i="52"/>
  <c r="S90" i="52"/>
  <c r="T90" i="52"/>
  <c r="U90" i="52"/>
  <c r="V90" i="52"/>
  <c r="W90" i="52"/>
  <c r="X90" i="52"/>
  <c r="Y90" i="52"/>
  <c r="Z90" i="52"/>
  <c r="AA90" i="52"/>
  <c r="AB90" i="52"/>
  <c r="AC90" i="52"/>
  <c r="E91" i="52"/>
  <c r="F91" i="52"/>
  <c r="G91" i="52"/>
  <c r="H91" i="52"/>
  <c r="I91" i="52"/>
  <c r="J91" i="52"/>
  <c r="K91" i="52"/>
  <c r="L91" i="52"/>
  <c r="M91" i="52"/>
  <c r="N91" i="52"/>
  <c r="O91" i="52"/>
  <c r="P91" i="52"/>
  <c r="Q91" i="52"/>
  <c r="R91" i="52"/>
  <c r="S91" i="52"/>
  <c r="T91" i="52"/>
  <c r="U91" i="52"/>
  <c r="V91" i="52"/>
  <c r="W91" i="52"/>
  <c r="X91" i="52"/>
  <c r="Y91" i="52"/>
  <c r="Z91" i="52"/>
  <c r="AA91" i="52"/>
  <c r="AB91" i="52"/>
  <c r="AC91" i="52"/>
  <c r="E92" i="52"/>
  <c r="F92" i="52"/>
  <c r="G92" i="52"/>
  <c r="H92" i="52"/>
  <c r="I92" i="52"/>
  <c r="J92" i="52"/>
  <c r="K92" i="52"/>
  <c r="L92" i="52"/>
  <c r="M92" i="52"/>
  <c r="N92" i="52"/>
  <c r="O92" i="52"/>
  <c r="P92" i="52"/>
  <c r="Q92" i="52"/>
  <c r="R92" i="52"/>
  <c r="S92" i="52"/>
  <c r="T92" i="52"/>
  <c r="U92" i="52"/>
  <c r="V92" i="52"/>
  <c r="W92" i="52"/>
  <c r="X92" i="52"/>
  <c r="Y92" i="52"/>
  <c r="Z92" i="52"/>
  <c r="AA92" i="52"/>
  <c r="AB92" i="52"/>
  <c r="AC92" i="52"/>
  <c r="E93" i="52"/>
  <c r="F93" i="52"/>
  <c r="G93" i="52"/>
  <c r="H93" i="52"/>
  <c r="I93" i="52"/>
  <c r="J93" i="52"/>
  <c r="K93" i="52"/>
  <c r="L93" i="52"/>
  <c r="M93" i="52"/>
  <c r="N93" i="52"/>
  <c r="O93" i="52"/>
  <c r="P93" i="52"/>
  <c r="Q93" i="52"/>
  <c r="R93" i="52"/>
  <c r="S93" i="52"/>
  <c r="T93" i="52"/>
  <c r="U93" i="52"/>
  <c r="V93" i="52"/>
  <c r="W93" i="52"/>
  <c r="X93" i="52"/>
  <c r="Y93" i="52"/>
  <c r="Z93" i="52"/>
  <c r="AA93" i="52"/>
  <c r="AC93" i="52"/>
  <c r="AD93" i="52"/>
  <c r="E94" i="52"/>
  <c r="F94" i="52"/>
  <c r="G94" i="52"/>
  <c r="H94" i="52"/>
  <c r="I94" i="52"/>
  <c r="J94" i="52"/>
  <c r="K94" i="52"/>
  <c r="L94" i="52"/>
  <c r="M94" i="52"/>
  <c r="N94" i="52"/>
  <c r="O94" i="52"/>
  <c r="P94" i="52"/>
  <c r="Q94" i="52"/>
  <c r="R94" i="52"/>
  <c r="S94" i="52"/>
  <c r="T94" i="52"/>
  <c r="U94" i="52"/>
  <c r="V94" i="52"/>
  <c r="W94" i="52"/>
  <c r="X94" i="52"/>
  <c r="Y94" i="52"/>
  <c r="Z94" i="52"/>
  <c r="AA94" i="52"/>
  <c r="AC94" i="52"/>
  <c r="AD94" i="52"/>
  <c r="B96" i="52"/>
  <c r="C96" i="52"/>
  <c r="D96" i="52"/>
  <c r="C97" i="52"/>
  <c r="D97" i="52"/>
  <c r="A1" i="40"/>
  <c r="A2" i="40"/>
  <c r="A3" i="40"/>
  <c r="D6" i="40"/>
  <c r="E6" i="40"/>
  <c r="F6" i="40"/>
  <c r="G6" i="40"/>
  <c r="H6" i="40"/>
  <c r="I6" i="40"/>
  <c r="J6" i="40"/>
  <c r="K6" i="40"/>
  <c r="L6" i="40"/>
  <c r="M6" i="40"/>
  <c r="N6" i="40"/>
  <c r="O6" i="40"/>
  <c r="P6" i="40"/>
  <c r="Q6" i="40"/>
  <c r="R6" i="40"/>
  <c r="S6" i="40"/>
  <c r="T6" i="40"/>
  <c r="U6" i="40"/>
  <c r="V6" i="40"/>
  <c r="W6" i="40"/>
  <c r="X6" i="40"/>
  <c r="Y6" i="40"/>
  <c r="D7" i="40"/>
  <c r="E7" i="40"/>
  <c r="F7" i="40"/>
  <c r="G7" i="40"/>
  <c r="H7" i="40"/>
  <c r="I7" i="40"/>
  <c r="J7" i="40"/>
  <c r="K7" i="40"/>
  <c r="L7" i="40"/>
  <c r="M7" i="40"/>
  <c r="N7" i="40"/>
  <c r="O7" i="40"/>
  <c r="P7" i="40"/>
  <c r="Q7" i="40"/>
  <c r="R7" i="40"/>
  <c r="S7" i="40"/>
  <c r="T7" i="40"/>
  <c r="U7" i="40"/>
  <c r="V7" i="40"/>
  <c r="W7" i="40"/>
  <c r="X7" i="40"/>
  <c r="Y7" i="40"/>
  <c r="D9" i="40"/>
  <c r="E9" i="40"/>
  <c r="F9" i="40"/>
  <c r="G9" i="40"/>
  <c r="H9" i="40"/>
  <c r="I9" i="40"/>
  <c r="J9" i="40"/>
  <c r="K9" i="40"/>
  <c r="L9" i="40"/>
  <c r="M9" i="40"/>
  <c r="N9" i="40"/>
  <c r="O9" i="40"/>
  <c r="P9" i="40"/>
  <c r="Q9" i="40"/>
  <c r="R9" i="40"/>
  <c r="S9" i="40"/>
  <c r="T9" i="40"/>
  <c r="U9" i="40"/>
  <c r="V9" i="40"/>
  <c r="W9" i="40"/>
  <c r="X9" i="40"/>
  <c r="Y9" i="40"/>
  <c r="Z9" i="40"/>
  <c r="D12" i="40"/>
  <c r="E12" i="40"/>
  <c r="F12" i="40"/>
  <c r="G12" i="40"/>
  <c r="H12" i="40"/>
  <c r="I12" i="40"/>
  <c r="J12" i="40"/>
  <c r="K12" i="40"/>
  <c r="L12" i="40"/>
  <c r="M12" i="40"/>
  <c r="N12" i="40"/>
  <c r="O12" i="40"/>
  <c r="P12" i="40"/>
  <c r="Q12" i="40"/>
  <c r="R12" i="40"/>
  <c r="S12" i="40"/>
  <c r="T12" i="40"/>
  <c r="U12" i="40"/>
  <c r="V12" i="40"/>
  <c r="W12" i="40"/>
  <c r="X12" i="40"/>
  <c r="Y12" i="40"/>
  <c r="Z12" i="40"/>
  <c r="D13" i="40"/>
  <c r="E13" i="40"/>
  <c r="F13" i="40"/>
  <c r="G13" i="40"/>
  <c r="H13" i="40"/>
  <c r="I13" i="40"/>
  <c r="J13" i="40"/>
  <c r="K13" i="40"/>
  <c r="L13" i="40"/>
  <c r="M13" i="40"/>
  <c r="N13" i="40"/>
  <c r="O13" i="40"/>
  <c r="P13" i="40"/>
  <c r="Q13" i="40"/>
  <c r="R13" i="40"/>
  <c r="S13" i="40"/>
  <c r="T13" i="40"/>
  <c r="U13" i="40"/>
  <c r="V13" i="40"/>
  <c r="W13" i="40"/>
  <c r="X13" i="40"/>
  <c r="Y13" i="40"/>
  <c r="Z13" i="40"/>
  <c r="D14" i="40"/>
  <c r="E14" i="40"/>
  <c r="F14" i="40"/>
  <c r="G14" i="40"/>
  <c r="H14" i="40"/>
  <c r="I14" i="40"/>
  <c r="J14" i="40"/>
  <c r="K14" i="40"/>
  <c r="L14" i="40"/>
  <c r="M14" i="40"/>
  <c r="N14" i="40"/>
  <c r="O14" i="40"/>
  <c r="P14" i="40"/>
  <c r="Q14" i="40"/>
  <c r="R14" i="40"/>
  <c r="S14" i="40"/>
  <c r="T14" i="40"/>
  <c r="U14" i="40"/>
  <c r="V14" i="40"/>
  <c r="W14" i="40"/>
  <c r="X14" i="40"/>
  <c r="Y14" i="40"/>
  <c r="Z14" i="40"/>
  <c r="D15" i="40"/>
  <c r="E15" i="40"/>
  <c r="F15" i="40"/>
  <c r="G15" i="40"/>
  <c r="H15" i="40"/>
  <c r="I15" i="40"/>
  <c r="J15" i="40"/>
  <c r="K15" i="40"/>
  <c r="L15" i="40"/>
  <c r="M15" i="40"/>
  <c r="N15" i="40"/>
  <c r="O15" i="40"/>
  <c r="P15" i="40"/>
  <c r="Q15" i="40"/>
  <c r="R15" i="40"/>
  <c r="S15" i="40"/>
  <c r="T15" i="40"/>
  <c r="U15" i="40"/>
  <c r="V15" i="40"/>
  <c r="W15" i="40"/>
  <c r="X15" i="40"/>
  <c r="Y15" i="40"/>
  <c r="Z15" i="40"/>
  <c r="D16" i="40"/>
  <c r="E16" i="40"/>
  <c r="F16" i="40"/>
  <c r="G16" i="40"/>
  <c r="H16" i="40"/>
  <c r="I16" i="40"/>
  <c r="J16" i="40"/>
  <c r="K16" i="40"/>
  <c r="L16" i="40"/>
  <c r="M16" i="40"/>
  <c r="N16" i="40"/>
  <c r="O16" i="40"/>
  <c r="P16" i="40"/>
  <c r="Q16" i="40"/>
  <c r="R16" i="40"/>
  <c r="S16" i="40"/>
  <c r="T16" i="40"/>
  <c r="U16" i="40"/>
  <c r="V16" i="40"/>
  <c r="W16" i="40"/>
  <c r="X16" i="40"/>
  <c r="Y16" i="40"/>
  <c r="Z16" i="40"/>
  <c r="D17" i="40"/>
  <c r="E17" i="40"/>
  <c r="F17" i="40"/>
  <c r="G17" i="40"/>
  <c r="H17" i="40"/>
  <c r="I17" i="40"/>
  <c r="J17" i="40"/>
  <c r="K17" i="40"/>
  <c r="L17" i="40"/>
  <c r="M17" i="40"/>
  <c r="N17" i="40"/>
  <c r="O17" i="40"/>
  <c r="P17" i="40"/>
  <c r="Q17" i="40"/>
  <c r="R17" i="40"/>
  <c r="S17" i="40"/>
  <c r="T17" i="40"/>
  <c r="U17" i="40"/>
  <c r="V17" i="40"/>
  <c r="W17" i="40"/>
  <c r="X17" i="40"/>
  <c r="Y17" i="40"/>
  <c r="Z17" i="40"/>
  <c r="D18" i="40"/>
  <c r="E18" i="40"/>
  <c r="F18" i="40"/>
  <c r="G18" i="40"/>
  <c r="H18" i="40"/>
  <c r="I18" i="40"/>
  <c r="J18" i="40"/>
  <c r="K18" i="40"/>
  <c r="L18" i="40"/>
  <c r="M18" i="40"/>
  <c r="N18" i="40"/>
  <c r="O18" i="40"/>
  <c r="P18" i="40"/>
  <c r="Q18" i="40"/>
  <c r="R18" i="40"/>
  <c r="S18" i="40"/>
  <c r="T18" i="40"/>
  <c r="U18" i="40"/>
  <c r="V18" i="40"/>
  <c r="W18" i="40"/>
  <c r="X18" i="40"/>
  <c r="Y18" i="40"/>
  <c r="Z18" i="40"/>
  <c r="D21" i="40"/>
  <c r="E21" i="40"/>
  <c r="F21" i="40"/>
  <c r="G21" i="40"/>
  <c r="H21" i="40"/>
  <c r="I21" i="40"/>
  <c r="J21" i="40"/>
  <c r="K21" i="40"/>
  <c r="L21" i="40"/>
  <c r="M21" i="40"/>
  <c r="N21" i="40"/>
  <c r="O21" i="40"/>
  <c r="P21" i="40"/>
  <c r="Q21" i="40"/>
  <c r="R21" i="40"/>
  <c r="S21" i="40"/>
  <c r="T21" i="40"/>
  <c r="U21" i="40"/>
  <c r="V21" i="40"/>
  <c r="W21" i="40"/>
  <c r="X21" i="40"/>
  <c r="Y21" i="40"/>
  <c r="Z21" i="40"/>
  <c r="D22" i="40"/>
  <c r="E22" i="40"/>
  <c r="F22" i="40"/>
  <c r="G22" i="40"/>
  <c r="H22" i="40"/>
  <c r="I22" i="40"/>
  <c r="J22" i="40"/>
  <c r="K22" i="40"/>
  <c r="L22" i="40"/>
  <c r="M22" i="40"/>
  <c r="N22" i="40"/>
  <c r="O22" i="40"/>
  <c r="P22" i="40"/>
  <c r="Q22" i="40"/>
  <c r="R22" i="40"/>
  <c r="S22" i="40"/>
  <c r="T22" i="40"/>
  <c r="U22" i="40"/>
  <c r="V22" i="40"/>
  <c r="W22" i="40"/>
  <c r="X22" i="40"/>
  <c r="Y22" i="40"/>
  <c r="Z22" i="40"/>
  <c r="D23" i="40"/>
  <c r="E23" i="40"/>
  <c r="F23" i="40"/>
  <c r="G23" i="40"/>
  <c r="H23" i="40"/>
  <c r="I23" i="40"/>
  <c r="J23" i="40"/>
  <c r="K23" i="40"/>
  <c r="L23" i="40"/>
  <c r="M23" i="40"/>
  <c r="N23" i="40"/>
  <c r="O23" i="40"/>
  <c r="P23" i="40"/>
  <c r="Q23" i="40"/>
  <c r="R23" i="40"/>
  <c r="S23" i="40"/>
  <c r="T23" i="40"/>
  <c r="U23" i="40"/>
  <c r="V23" i="40"/>
  <c r="W23" i="40"/>
  <c r="X23" i="40"/>
  <c r="Y23" i="40"/>
  <c r="Z23" i="40"/>
  <c r="D24" i="40"/>
  <c r="E24" i="40"/>
  <c r="F24" i="40"/>
  <c r="G24" i="40"/>
  <c r="H24" i="40"/>
  <c r="I24" i="40"/>
  <c r="J24" i="40"/>
  <c r="K24" i="40"/>
  <c r="L24" i="40"/>
  <c r="M24" i="40"/>
  <c r="N24" i="40"/>
  <c r="O24" i="40"/>
  <c r="P24" i="40"/>
  <c r="Q24" i="40"/>
  <c r="R24" i="40"/>
  <c r="S24" i="40"/>
  <c r="T24" i="40"/>
  <c r="U24" i="40"/>
  <c r="V24" i="40"/>
  <c r="W24" i="40"/>
  <c r="X24" i="40"/>
  <c r="Y24" i="40"/>
  <c r="Z24" i="40"/>
  <c r="D25" i="40"/>
  <c r="E25" i="40"/>
  <c r="F25" i="40"/>
  <c r="G25" i="40"/>
  <c r="H25" i="40"/>
  <c r="I25" i="40"/>
  <c r="J25" i="40"/>
  <c r="K25" i="40"/>
  <c r="L25" i="40"/>
  <c r="M25" i="40"/>
  <c r="N25" i="40"/>
  <c r="O25" i="40"/>
  <c r="P25" i="40"/>
  <c r="Q25" i="40"/>
  <c r="R25" i="40"/>
  <c r="S25" i="40"/>
  <c r="T25" i="40"/>
  <c r="U25" i="40"/>
  <c r="V25" i="40"/>
  <c r="W25" i="40"/>
  <c r="X25" i="40"/>
  <c r="Y25" i="40"/>
  <c r="Z25" i="40"/>
  <c r="D26" i="40"/>
  <c r="E26" i="40"/>
  <c r="F26" i="40"/>
  <c r="G26" i="40"/>
  <c r="H26" i="40"/>
  <c r="I26" i="40"/>
  <c r="J26" i="40"/>
  <c r="K26" i="40"/>
  <c r="L26" i="40"/>
  <c r="M26" i="40"/>
  <c r="N26" i="40"/>
  <c r="O26" i="40"/>
  <c r="P26" i="40"/>
  <c r="Q26" i="40"/>
  <c r="R26" i="40"/>
  <c r="S26" i="40"/>
  <c r="T26" i="40"/>
  <c r="U26" i="40"/>
  <c r="V26" i="40"/>
  <c r="W26" i="40"/>
  <c r="X26" i="40"/>
  <c r="Y26" i="40"/>
  <c r="Z26" i="40"/>
  <c r="D27" i="40"/>
  <c r="E27" i="40"/>
  <c r="F27" i="40"/>
  <c r="G27" i="40"/>
  <c r="H27" i="40"/>
  <c r="I27" i="40"/>
  <c r="J27" i="40"/>
  <c r="K27" i="40"/>
  <c r="L27" i="40"/>
  <c r="M27" i="40"/>
  <c r="N27" i="40"/>
  <c r="O27" i="40"/>
  <c r="P27" i="40"/>
  <c r="Q27" i="40"/>
  <c r="R27" i="40"/>
  <c r="S27" i="40"/>
  <c r="T27" i="40"/>
  <c r="U27" i="40"/>
  <c r="V27" i="40"/>
  <c r="W27" i="40"/>
  <c r="X27" i="40"/>
  <c r="Y27" i="40"/>
  <c r="Z27" i="40"/>
  <c r="D28" i="40"/>
  <c r="E28" i="40"/>
  <c r="F28" i="40"/>
  <c r="G28" i="40"/>
  <c r="H28" i="40"/>
  <c r="I28" i="40"/>
  <c r="J28" i="40"/>
  <c r="K28" i="40"/>
  <c r="L28" i="40"/>
  <c r="M28" i="40"/>
  <c r="N28" i="40"/>
  <c r="O28" i="40"/>
  <c r="P28" i="40"/>
  <c r="Q28" i="40"/>
  <c r="R28" i="40"/>
  <c r="S28" i="40"/>
  <c r="T28" i="40"/>
  <c r="U28" i="40"/>
  <c r="V28" i="40"/>
  <c r="W28" i="40"/>
  <c r="X28" i="40"/>
  <c r="Y28" i="40"/>
  <c r="Z28" i="40"/>
  <c r="D29" i="40"/>
  <c r="E29" i="40"/>
  <c r="F29" i="40"/>
  <c r="G29" i="40"/>
  <c r="H29" i="40"/>
  <c r="I29" i="40"/>
  <c r="J29" i="40"/>
  <c r="K29" i="40"/>
  <c r="L29" i="40"/>
  <c r="M29" i="40"/>
  <c r="N29" i="40"/>
  <c r="O29" i="40"/>
  <c r="P29" i="40"/>
  <c r="Q29" i="40"/>
  <c r="R29" i="40"/>
  <c r="S29" i="40"/>
  <c r="T29" i="40"/>
  <c r="U29" i="40"/>
  <c r="V29" i="40"/>
  <c r="W29" i="40"/>
  <c r="X29" i="40"/>
  <c r="Y29" i="40"/>
  <c r="Z29" i="40"/>
  <c r="D30" i="40"/>
  <c r="E30" i="40"/>
  <c r="F30" i="40"/>
  <c r="G30" i="40"/>
  <c r="H30" i="40"/>
  <c r="I30" i="40"/>
  <c r="J30" i="40"/>
  <c r="K30" i="40"/>
  <c r="L30" i="40"/>
  <c r="M30" i="40"/>
  <c r="N30" i="40"/>
  <c r="O30" i="40"/>
  <c r="P30" i="40"/>
  <c r="Q30" i="40"/>
  <c r="R30" i="40"/>
  <c r="S30" i="40"/>
  <c r="T30" i="40"/>
  <c r="U30" i="40"/>
  <c r="V30" i="40"/>
  <c r="W30" i="40"/>
  <c r="X30" i="40"/>
  <c r="Y30" i="40"/>
  <c r="Z30" i="40"/>
  <c r="D31" i="40"/>
  <c r="E31" i="40"/>
  <c r="F31" i="40"/>
  <c r="G31" i="40"/>
  <c r="H31" i="40"/>
  <c r="I31" i="40"/>
  <c r="J31" i="40"/>
  <c r="K31" i="40"/>
  <c r="L31" i="40"/>
  <c r="M31" i="40"/>
  <c r="N31" i="40"/>
  <c r="O31" i="40"/>
  <c r="P31" i="40"/>
  <c r="Q31" i="40"/>
  <c r="R31" i="40"/>
  <c r="S31" i="40"/>
  <c r="T31" i="40"/>
  <c r="U31" i="40"/>
  <c r="V31" i="40"/>
  <c r="W31" i="40"/>
  <c r="X31" i="40"/>
  <c r="Y31" i="40"/>
  <c r="Z31" i="40"/>
  <c r="D33" i="40"/>
  <c r="E33" i="40"/>
  <c r="F33" i="40"/>
  <c r="G33" i="40"/>
  <c r="H33" i="40"/>
  <c r="I33" i="40"/>
  <c r="J33" i="40"/>
  <c r="K33" i="40"/>
  <c r="L33" i="40"/>
  <c r="M33" i="40"/>
  <c r="N33" i="40"/>
  <c r="O33" i="40"/>
  <c r="P33" i="40"/>
  <c r="Q33" i="40"/>
  <c r="R33" i="40"/>
  <c r="S33" i="40"/>
  <c r="T33" i="40"/>
  <c r="U33" i="40"/>
  <c r="V33" i="40"/>
  <c r="W33" i="40"/>
  <c r="X33" i="40"/>
  <c r="Y33" i="40"/>
  <c r="Z33" i="40"/>
  <c r="AA33" i="40"/>
  <c r="D34" i="40"/>
  <c r="E34" i="40"/>
  <c r="F34" i="40"/>
  <c r="G34" i="40"/>
  <c r="H34" i="40"/>
  <c r="I34" i="40"/>
  <c r="J34" i="40"/>
  <c r="K34" i="40"/>
  <c r="L34" i="40"/>
  <c r="M34" i="40"/>
  <c r="N34" i="40"/>
  <c r="O34" i="40"/>
  <c r="P34" i="40"/>
  <c r="Q34" i="40"/>
  <c r="R34" i="40"/>
  <c r="S34" i="40"/>
  <c r="T34" i="40"/>
  <c r="U34" i="40"/>
  <c r="V34" i="40"/>
  <c r="W34" i="40"/>
  <c r="X34" i="40"/>
  <c r="Y34" i="40"/>
  <c r="Z34" i="40"/>
  <c r="D35" i="40"/>
  <c r="E35" i="40"/>
  <c r="F35" i="40"/>
  <c r="G35" i="40"/>
  <c r="H35" i="40"/>
  <c r="I35" i="40"/>
  <c r="J35" i="40"/>
  <c r="K35" i="40"/>
  <c r="L35" i="40"/>
  <c r="M35" i="40"/>
  <c r="N35" i="40"/>
  <c r="O35" i="40"/>
  <c r="P35" i="40"/>
  <c r="Q35" i="40"/>
  <c r="R35" i="40"/>
  <c r="S35" i="40"/>
  <c r="T35" i="40"/>
  <c r="U35" i="40"/>
  <c r="V35" i="40"/>
  <c r="W35" i="40"/>
  <c r="X35" i="40"/>
  <c r="Y35" i="40"/>
  <c r="Z35" i="40"/>
  <c r="D38" i="40"/>
  <c r="E38" i="40"/>
  <c r="F38" i="40"/>
  <c r="G38" i="40"/>
  <c r="H38" i="40"/>
  <c r="I38" i="40"/>
  <c r="J38" i="40"/>
  <c r="K38" i="40"/>
  <c r="L38" i="40"/>
  <c r="M38" i="40"/>
  <c r="N38" i="40"/>
  <c r="O38" i="40"/>
  <c r="P38" i="40"/>
  <c r="Q38" i="40"/>
  <c r="R38" i="40"/>
  <c r="S38" i="40"/>
  <c r="T38" i="40"/>
  <c r="U38" i="40"/>
  <c r="V38" i="40"/>
  <c r="W38" i="40"/>
  <c r="X38" i="40"/>
  <c r="Y38" i="40"/>
  <c r="Z38" i="40"/>
  <c r="D39" i="40"/>
  <c r="E39" i="40"/>
  <c r="F39" i="40"/>
  <c r="G39" i="40"/>
  <c r="H39" i="40"/>
  <c r="I39" i="40"/>
  <c r="J39" i="40"/>
  <c r="K39" i="40"/>
  <c r="L39" i="40"/>
  <c r="M39" i="40"/>
  <c r="N39" i="40"/>
  <c r="O39" i="40"/>
  <c r="P39" i="40"/>
  <c r="Q39" i="40"/>
  <c r="R39" i="40"/>
  <c r="S39" i="40"/>
  <c r="T39" i="40"/>
  <c r="U39" i="40"/>
  <c r="V39" i="40"/>
  <c r="W39" i="40"/>
  <c r="X39" i="40"/>
  <c r="Y39" i="40"/>
  <c r="D40" i="40"/>
  <c r="E40" i="40"/>
  <c r="F40" i="40"/>
  <c r="G40" i="40"/>
  <c r="H40" i="40"/>
  <c r="I40" i="40"/>
  <c r="J40" i="40"/>
  <c r="K40" i="40"/>
  <c r="L40" i="40"/>
  <c r="M40" i="40"/>
  <c r="N40" i="40"/>
  <c r="O40" i="40"/>
  <c r="P40" i="40"/>
  <c r="Q40" i="40"/>
  <c r="R40" i="40"/>
  <c r="S40" i="40"/>
  <c r="T40" i="40"/>
  <c r="U40" i="40"/>
  <c r="V40" i="40"/>
  <c r="W40" i="40"/>
  <c r="X40" i="40"/>
  <c r="Y40" i="40"/>
  <c r="Z40" i="40"/>
  <c r="D43" i="40"/>
  <c r="E43" i="40"/>
  <c r="F43" i="40"/>
  <c r="G43" i="40"/>
  <c r="H43" i="40"/>
  <c r="I43" i="40"/>
  <c r="J43" i="40"/>
  <c r="K43" i="40"/>
  <c r="L43" i="40"/>
  <c r="M43" i="40"/>
  <c r="N43" i="40"/>
  <c r="O43" i="40"/>
  <c r="P43" i="40"/>
  <c r="Q43" i="40"/>
  <c r="R43" i="40"/>
  <c r="S43" i="40"/>
  <c r="T43" i="40"/>
  <c r="U43" i="40"/>
  <c r="V43" i="40"/>
  <c r="W43" i="40"/>
  <c r="X43" i="40"/>
  <c r="Y43" i="40"/>
  <c r="Z43" i="40"/>
  <c r="D44" i="40"/>
  <c r="E44" i="40"/>
  <c r="F44" i="40"/>
  <c r="G44" i="40"/>
  <c r="H44" i="40"/>
  <c r="I44" i="40"/>
  <c r="J44" i="40"/>
  <c r="K44" i="40"/>
  <c r="L44" i="40"/>
  <c r="M44" i="40"/>
  <c r="N44" i="40"/>
  <c r="O44" i="40"/>
  <c r="P44" i="40"/>
  <c r="Q44" i="40"/>
  <c r="R44" i="40"/>
  <c r="S44" i="40"/>
  <c r="T44" i="40"/>
  <c r="U44" i="40"/>
  <c r="V44" i="40"/>
  <c r="W44" i="40"/>
  <c r="X44" i="40"/>
  <c r="Y44" i="40"/>
  <c r="Z44" i="40"/>
  <c r="D45" i="40"/>
  <c r="E45" i="40"/>
  <c r="F45" i="40"/>
  <c r="G45" i="40"/>
  <c r="H45" i="40"/>
  <c r="I45" i="40"/>
  <c r="J45" i="40"/>
  <c r="K45" i="40"/>
  <c r="L45" i="40"/>
  <c r="M45" i="40"/>
  <c r="N45" i="40"/>
  <c r="O45" i="40"/>
  <c r="P45" i="40"/>
  <c r="Q45" i="40"/>
  <c r="R45" i="40"/>
  <c r="S45" i="40"/>
  <c r="T45" i="40"/>
  <c r="U45" i="40"/>
  <c r="V45" i="40"/>
  <c r="W45" i="40"/>
  <c r="X45" i="40"/>
  <c r="Y45" i="40"/>
  <c r="Z45" i="40"/>
  <c r="D46" i="40"/>
  <c r="E46" i="40"/>
  <c r="F46" i="40"/>
  <c r="G46" i="40"/>
  <c r="H46" i="40"/>
  <c r="I46" i="40"/>
  <c r="J46" i="40"/>
  <c r="K46" i="40"/>
  <c r="L46" i="40"/>
  <c r="M46" i="40"/>
  <c r="N46" i="40"/>
  <c r="O46" i="40"/>
  <c r="P46" i="40"/>
  <c r="Q46" i="40"/>
  <c r="R46" i="40"/>
  <c r="S46" i="40"/>
  <c r="T46" i="40"/>
  <c r="U46" i="40"/>
  <c r="V46" i="40"/>
  <c r="W46" i="40"/>
  <c r="X46" i="40"/>
  <c r="Y46" i="40"/>
  <c r="D47" i="40"/>
  <c r="E47" i="40"/>
  <c r="F47" i="40"/>
  <c r="G47" i="40"/>
  <c r="H47" i="40"/>
  <c r="I47" i="40"/>
  <c r="J47" i="40"/>
  <c r="K47" i="40"/>
  <c r="L47" i="40"/>
  <c r="M47" i="40"/>
  <c r="N47" i="40"/>
  <c r="O47" i="40"/>
  <c r="P47" i="40"/>
  <c r="Q47" i="40"/>
  <c r="R47" i="40"/>
  <c r="S47" i="40"/>
  <c r="T47" i="40"/>
  <c r="U47" i="40"/>
  <c r="V47" i="40"/>
  <c r="W47" i="40"/>
  <c r="X47" i="40"/>
  <c r="Y47" i="40"/>
  <c r="Z47" i="40"/>
  <c r="D49" i="40"/>
  <c r="E49" i="40"/>
  <c r="F49" i="40"/>
  <c r="G49" i="40"/>
  <c r="H49" i="40"/>
  <c r="I49" i="40"/>
  <c r="J49" i="40"/>
  <c r="K49" i="40"/>
  <c r="L49" i="40"/>
  <c r="M49" i="40"/>
  <c r="N49" i="40"/>
  <c r="O49" i="40"/>
  <c r="P49" i="40"/>
  <c r="Q49" i="40"/>
  <c r="R49" i="40"/>
  <c r="S49" i="40"/>
  <c r="T49" i="40"/>
  <c r="U49" i="40"/>
  <c r="V49" i="40"/>
  <c r="W49" i="40"/>
  <c r="X49" i="40"/>
  <c r="Y49" i="40"/>
  <c r="Z49" i="40"/>
  <c r="B50" i="40"/>
  <c r="D50" i="40"/>
  <c r="E50" i="40"/>
  <c r="F50" i="40"/>
  <c r="G50" i="40"/>
  <c r="H50" i="40"/>
  <c r="I50" i="40"/>
  <c r="J50" i="40"/>
  <c r="K50" i="40"/>
  <c r="L50" i="40"/>
  <c r="M50" i="40"/>
  <c r="N50" i="40"/>
  <c r="O50" i="40"/>
  <c r="P50" i="40"/>
  <c r="Q50" i="40"/>
  <c r="R50" i="40"/>
  <c r="S50" i="40"/>
  <c r="T50" i="40"/>
  <c r="U50" i="40"/>
  <c r="V50" i="40"/>
  <c r="W50" i="40"/>
  <c r="X50" i="40"/>
  <c r="Y50" i="40"/>
  <c r="D51" i="40"/>
  <c r="E51" i="40"/>
  <c r="F51" i="40"/>
  <c r="G51" i="40"/>
  <c r="H51" i="40"/>
  <c r="I51" i="40"/>
  <c r="J51" i="40"/>
  <c r="K51" i="40"/>
  <c r="L51" i="40"/>
  <c r="M51" i="40"/>
  <c r="N51" i="40"/>
  <c r="O51" i="40"/>
  <c r="P51" i="40"/>
  <c r="Q51" i="40"/>
  <c r="R51" i="40"/>
  <c r="S51" i="40"/>
  <c r="T51" i="40"/>
  <c r="U51" i="40"/>
  <c r="V51" i="40"/>
  <c r="W51" i="40"/>
  <c r="X51" i="40"/>
  <c r="Y51" i="40"/>
  <c r="Z51" i="40"/>
  <c r="D56" i="40"/>
  <c r="E56" i="40"/>
  <c r="F56" i="40"/>
  <c r="G56" i="40"/>
  <c r="H56" i="40"/>
  <c r="I56" i="40"/>
  <c r="J56" i="40"/>
  <c r="K56" i="40"/>
  <c r="L56" i="40"/>
  <c r="M56" i="40"/>
  <c r="N56" i="40"/>
  <c r="O56" i="40"/>
  <c r="P56" i="40"/>
  <c r="Q56" i="40"/>
  <c r="R56" i="40"/>
  <c r="S56" i="40"/>
  <c r="T56" i="40"/>
  <c r="U56" i="40"/>
  <c r="V56" i="40"/>
  <c r="W56" i="40"/>
  <c r="X56" i="40"/>
  <c r="Y56" i="40"/>
  <c r="D57" i="40"/>
  <c r="E57" i="40"/>
  <c r="F57" i="40"/>
  <c r="G57" i="40"/>
  <c r="H57" i="40"/>
  <c r="I57" i="40"/>
  <c r="J57" i="40"/>
  <c r="K57" i="40"/>
  <c r="L57" i="40"/>
  <c r="M57" i="40"/>
  <c r="N57" i="40"/>
  <c r="O57" i="40"/>
  <c r="P57" i="40"/>
  <c r="Q57" i="40"/>
  <c r="R57" i="40"/>
  <c r="S57" i="40"/>
  <c r="T57" i="40"/>
  <c r="U57" i="40"/>
  <c r="V57" i="40"/>
  <c r="W57" i="40"/>
  <c r="X57" i="40"/>
  <c r="Y57" i="40"/>
  <c r="D58" i="40"/>
  <c r="E58" i="40"/>
  <c r="F58" i="40"/>
  <c r="G58" i="40"/>
  <c r="H58" i="40"/>
  <c r="I58" i="40"/>
  <c r="J58" i="40"/>
  <c r="K58" i="40"/>
  <c r="L58" i="40"/>
  <c r="M58" i="40"/>
  <c r="N58" i="40"/>
  <c r="O58" i="40"/>
  <c r="P58" i="40"/>
  <c r="Q58" i="40"/>
  <c r="R58" i="40"/>
  <c r="S58" i="40"/>
  <c r="T58" i="40"/>
  <c r="U58" i="40"/>
  <c r="V58" i="40"/>
  <c r="W58" i="40"/>
  <c r="X58" i="40"/>
  <c r="Y58" i="40"/>
  <c r="Z58" i="40"/>
  <c r="D60" i="40"/>
  <c r="E60" i="40"/>
  <c r="F60" i="40"/>
  <c r="G60" i="40"/>
  <c r="H60" i="40"/>
  <c r="I60" i="40"/>
  <c r="J60" i="40"/>
  <c r="K60" i="40"/>
  <c r="L60" i="40"/>
  <c r="M60" i="40"/>
  <c r="N60" i="40"/>
  <c r="O60" i="40"/>
  <c r="P60" i="40"/>
  <c r="Q60" i="40"/>
  <c r="R60" i="40"/>
  <c r="S60" i="40"/>
  <c r="T60" i="40"/>
  <c r="U60" i="40"/>
  <c r="V60" i="40"/>
  <c r="W60" i="40"/>
  <c r="X60" i="40"/>
  <c r="Y60" i="40"/>
  <c r="Z60" i="40"/>
  <c r="D61" i="40"/>
  <c r="E61" i="40"/>
  <c r="F61" i="40"/>
  <c r="G61" i="40"/>
  <c r="H61" i="40"/>
  <c r="I61" i="40"/>
  <c r="J61" i="40"/>
  <c r="K61" i="40"/>
  <c r="L61" i="40"/>
  <c r="M61" i="40"/>
  <c r="N61" i="40"/>
  <c r="O61" i="40"/>
  <c r="P61" i="40"/>
  <c r="Q61" i="40"/>
  <c r="R61" i="40"/>
  <c r="S61" i="40"/>
  <c r="T61" i="40"/>
  <c r="U61" i="40"/>
  <c r="V61" i="40"/>
  <c r="W61" i="40"/>
  <c r="X61" i="40"/>
  <c r="Y61" i="40"/>
  <c r="D62" i="40"/>
  <c r="E62" i="40"/>
  <c r="F62" i="40"/>
  <c r="G62" i="40"/>
  <c r="H62" i="40"/>
  <c r="I62" i="40"/>
  <c r="J62" i="40"/>
  <c r="K62" i="40"/>
  <c r="L62" i="40"/>
  <c r="M62" i="40"/>
  <c r="N62" i="40"/>
  <c r="O62" i="40"/>
  <c r="P62" i="40"/>
  <c r="Q62" i="40"/>
  <c r="R62" i="40"/>
  <c r="S62" i="40"/>
  <c r="T62" i="40"/>
  <c r="U62" i="40"/>
  <c r="V62" i="40"/>
  <c r="W62" i="40"/>
  <c r="X62" i="40"/>
  <c r="Y62" i="40"/>
  <c r="Z62" i="40"/>
  <c r="D64" i="40"/>
  <c r="E64" i="40"/>
  <c r="F64" i="40"/>
  <c r="G64" i="40"/>
  <c r="H64" i="40"/>
  <c r="I64" i="40"/>
  <c r="J64" i="40"/>
  <c r="K64" i="40"/>
  <c r="L64" i="40"/>
  <c r="M64" i="40"/>
  <c r="N64" i="40"/>
  <c r="O64" i="40"/>
  <c r="P64" i="40"/>
  <c r="Q64" i="40"/>
  <c r="R64" i="40"/>
  <c r="S64" i="40"/>
  <c r="T64" i="40"/>
  <c r="U64" i="40"/>
  <c r="V64" i="40"/>
  <c r="W64" i="40"/>
  <c r="X64" i="40"/>
  <c r="Y64" i="40"/>
  <c r="Z64" i="40"/>
  <c r="A1" i="5"/>
  <c r="A2" i="5"/>
  <c r="A3" i="5"/>
  <c r="D6" i="5"/>
  <c r="Y10" i="5"/>
  <c r="C11" i="5"/>
  <c r="D11" i="5"/>
  <c r="E11" i="5"/>
  <c r="F11" i="5"/>
  <c r="L11" i="5"/>
  <c r="M11" i="5"/>
  <c r="Q11" i="5"/>
  <c r="U11" i="5"/>
  <c r="W11" i="5"/>
  <c r="Y11" i="5"/>
  <c r="C12" i="5"/>
  <c r="D12" i="5"/>
  <c r="E12" i="5"/>
  <c r="F12" i="5"/>
  <c r="L12" i="5"/>
  <c r="M12" i="5"/>
  <c r="Q12" i="5"/>
  <c r="U12" i="5"/>
  <c r="W12" i="5"/>
  <c r="Y12" i="5"/>
  <c r="C13" i="5"/>
  <c r="D13" i="5"/>
  <c r="E13" i="5"/>
  <c r="F13" i="5"/>
  <c r="L13" i="5"/>
  <c r="M13" i="5"/>
  <c r="Q13" i="5"/>
  <c r="S13" i="5"/>
  <c r="U13" i="5"/>
  <c r="W13" i="5"/>
  <c r="Y13" i="5"/>
  <c r="D14" i="5"/>
  <c r="E14" i="5"/>
  <c r="F14" i="5"/>
  <c r="L14" i="5"/>
  <c r="M14" i="5"/>
  <c r="Q14" i="5"/>
  <c r="R14" i="5"/>
  <c r="S14" i="5"/>
  <c r="U14" i="5"/>
  <c r="W14" i="5"/>
  <c r="Y14" i="5"/>
  <c r="B15" i="5"/>
  <c r="C15" i="5"/>
  <c r="D15" i="5"/>
  <c r="E15" i="5"/>
  <c r="F15" i="5"/>
  <c r="L15" i="5"/>
  <c r="M15" i="5"/>
  <c r="Q15" i="5"/>
  <c r="U15" i="5"/>
  <c r="W15" i="5"/>
  <c r="Y15" i="5"/>
  <c r="B16" i="5"/>
  <c r="C16" i="5"/>
  <c r="D16" i="5"/>
  <c r="E16" i="5"/>
  <c r="F16" i="5"/>
  <c r="L16" i="5"/>
  <c r="M16" i="5"/>
  <c r="W16" i="5"/>
  <c r="Y16" i="5"/>
  <c r="B17" i="5"/>
  <c r="C17" i="5"/>
  <c r="D17" i="5"/>
  <c r="E17" i="5"/>
  <c r="F17" i="5"/>
  <c r="L17" i="5"/>
  <c r="M17" i="5"/>
  <c r="W17" i="5"/>
  <c r="Y17" i="5"/>
  <c r="B18" i="5"/>
  <c r="C18" i="5"/>
  <c r="D18" i="5"/>
  <c r="E18" i="5"/>
  <c r="F18" i="5"/>
  <c r="L18" i="5"/>
  <c r="M18" i="5"/>
  <c r="R18" i="5"/>
  <c r="S18" i="5"/>
  <c r="T18" i="5"/>
  <c r="U18" i="5"/>
  <c r="W18" i="5"/>
  <c r="Y18" i="5"/>
  <c r="B19" i="5"/>
  <c r="C19" i="5"/>
  <c r="D19" i="5"/>
  <c r="E19" i="5"/>
  <c r="F19" i="5"/>
  <c r="L19" i="5"/>
  <c r="M19" i="5"/>
  <c r="W19" i="5"/>
  <c r="Y19" i="5"/>
  <c r="B20" i="5"/>
  <c r="C20" i="5"/>
  <c r="D20" i="5"/>
  <c r="E20" i="5"/>
  <c r="F20" i="5"/>
  <c r="L20" i="5"/>
  <c r="M20" i="5"/>
  <c r="W20" i="5"/>
  <c r="Y20" i="5"/>
  <c r="B21" i="5"/>
  <c r="C21" i="5"/>
  <c r="D21" i="5"/>
  <c r="E21" i="5"/>
  <c r="F21" i="5"/>
  <c r="L21" i="5"/>
  <c r="M21" i="5"/>
  <c r="W21" i="5"/>
  <c r="Y21" i="5"/>
  <c r="B22" i="5"/>
  <c r="C22" i="5"/>
  <c r="D22" i="5"/>
  <c r="E22" i="5"/>
  <c r="F22" i="5"/>
  <c r="L22" i="5"/>
  <c r="M22" i="5"/>
  <c r="Q22" i="5"/>
  <c r="S22" i="5"/>
  <c r="W22" i="5"/>
  <c r="Y22" i="5"/>
  <c r="B23" i="5"/>
  <c r="C23" i="5"/>
  <c r="D23" i="5"/>
  <c r="E23" i="5"/>
  <c r="F23" i="5"/>
  <c r="L23" i="5"/>
  <c r="M23" i="5"/>
  <c r="W23" i="5"/>
  <c r="Y23" i="5"/>
  <c r="B24" i="5"/>
  <c r="C24" i="5"/>
  <c r="D24" i="5"/>
  <c r="E24" i="5"/>
  <c r="F24" i="5"/>
  <c r="L24" i="5"/>
  <c r="M24" i="5"/>
  <c r="U24" i="5"/>
  <c r="W24" i="5"/>
  <c r="Y24" i="5"/>
  <c r="B25" i="5"/>
  <c r="C25" i="5"/>
  <c r="D25" i="5"/>
  <c r="E25" i="5"/>
  <c r="F25" i="5"/>
  <c r="L25" i="5"/>
  <c r="M25" i="5"/>
  <c r="U25" i="5"/>
  <c r="B26" i="5"/>
  <c r="C26" i="5"/>
  <c r="D26" i="5"/>
  <c r="E26" i="5"/>
  <c r="F26" i="5"/>
  <c r="L26" i="5"/>
  <c r="M26" i="5"/>
  <c r="U26" i="5"/>
  <c r="X26" i="5"/>
  <c r="Y26" i="5"/>
  <c r="B27" i="5"/>
  <c r="C27" i="5"/>
  <c r="D27" i="5"/>
  <c r="E27" i="5"/>
  <c r="F27" i="5"/>
  <c r="L27" i="5"/>
  <c r="M27" i="5"/>
  <c r="U27" i="5"/>
  <c r="B28" i="5"/>
  <c r="C28" i="5"/>
  <c r="D28" i="5"/>
  <c r="E28" i="5"/>
  <c r="F28" i="5"/>
  <c r="L28" i="5"/>
  <c r="M28" i="5"/>
  <c r="U28" i="5"/>
  <c r="B29" i="5"/>
  <c r="C29" i="5"/>
  <c r="D29" i="5"/>
  <c r="E29" i="5"/>
  <c r="F29" i="5"/>
  <c r="L29" i="5"/>
  <c r="M29" i="5"/>
  <c r="B30" i="5"/>
  <c r="C30" i="5"/>
  <c r="D30" i="5"/>
  <c r="E30" i="5"/>
  <c r="F30" i="5"/>
  <c r="L30" i="5"/>
  <c r="M30" i="5"/>
  <c r="B31" i="5"/>
  <c r="C31" i="5"/>
  <c r="D31" i="5"/>
  <c r="E31" i="5"/>
  <c r="F31" i="5"/>
  <c r="L31" i="5"/>
  <c r="M31" i="5"/>
  <c r="Y31" i="5"/>
  <c r="AB31" i="5"/>
  <c r="W32" i="5"/>
  <c r="Y32" i="5"/>
  <c r="AB32" i="5"/>
  <c r="D33" i="5"/>
  <c r="E33" i="5"/>
  <c r="F33" i="5"/>
  <c r="G33" i="5"/>
  <c r="H33" i="5"/>
  <c r="I33" i="5"/>
  <c r="J33" i="5"/>
  <c r="K33" i="5"/>
  <c r="L33" i="5"/>
  <c r="M33" i="5"/>
  <c r="N33" i="5"/>
  <c r="O33" i="5"/>
  <c r="W33" i="5"/>
  <c r="Y33" i="5"/>
  <c r="AB33" i="5"/>
  <c r="W34" i="5"/>
  <c r="Y34" i="5"/>
  <c r="AB34" i="5"/>
  <c r="W35" i="5"/>
  <c r="Y35" i="5"/>
  <c r="AB35" i="5"/>
  <c r="W36" i="5"/>
  <c r="Y36" i="5"/>
  <c r="AB36" i="5"/>
  <c r="W37" i="5"/>
  <c r="Y37" i="5"/>
  <c r="AB37" i="5"/>
  <c r="G38" i="5"/>
  <c r="W38" i="5"/>
  <c r="Y38" i="5"/>
  <c r="AA38" i="5"/>
  <c r="W39" i="5"/>
  <c r="Y39" i="5"/>
  <c r="O40" i="5"/>
  <c r="B41" i="5"/>
  <c r="C41" i="5"/>
  <c r="I41" i="5"/>
  <c r="O41" i="5"/>
  <c r="X41" i="5"/>
  <c r="Y41" i="5"/>
  <c r="B42" i="5"/>
  <c r="C42" i="5"/>
  <c r="I42" i="5"/>
  <c r="N42" i="5"/>
  <c r="O42" i="5"/>
  <c r="B43" i="5"/>
  <c r="C43" i="5"/>
  <c r="G43" i="5"/>
  <c r="I43" i="5"/>
  <c r="B44" i="5"/>
  <c r="C44" i="5"/>
  <c r="I44" i="5"/>
  <c r="B45" i="5"/>
  <c r="C45" i="5"/>
  <c r="I45" i="5"/>
  <c r="Z45" i="5"/>
  <c r="AA45" i="5"/>
  <c r="B46" i="5"/>
  <c r="C46" i="5"/>
  <c r="I46" i="5"/>
  <c r="W46" i="5"/>
  <c r="Y46" i="5"/>
  <c r="Z46" i="5"/>
  <c r="AA46" i="5"/>
  <c r="B47" i="5"/>
  <c r="C47" i="5"/>
  <c r="I47" i="5"/>
  <c r="W47" i="5"/>
  <c r="Y47" i="5"/>
  <c r="Z47" i="5"/>
  <c r="AA47" i="5"/>
  <c r="B48" i="5"/>
  <c r="C48" i="5"/>
  <c r="I48" i="5"/>
  <c r="W48" i="5"/>
  <c r="Y48" i="5"/>
  <c r="Z48" i="5"/>
  <c r="AA48" i="5"/>
  <c r="B49" i="5"/>
  <c r="C49" i="5"/>
  <c r="I49" i="5"/>
  <c r="W49" i="5"/>
  <c r="Y49" i="5"/>
  <c r="Z49" i="5"/>
  <c r="AA49" i="5"/>
  <c r="B50" i="5"/>
  <c r="C50" i="5"/>
  <c r="I50" i="5"/>
  <c r="W50" i="5"/>
  <c r="Y50" i="5"/>
  <c r="Z50" i="5"/>
  <c r="B51" i="5"/>
  <c r="C51" i="5"/>
  <c r="I51" i="5"/>
  <c r="W51" i="5"/>
  <c r="Y51" i="5"/>
  <c r="B52" i="5"/>
  <c r="C52" i="5"/>
  <c r="I52" i="5"/>
  <c r="W52" i="5"/>
  <c r="Y52" i="5"/>
  <c r="B53" i="5"/>
  <c r="C53" i="5"/>
  <c r="I53" i="5"/>
  <c r="B54" i="5"/>
  <c r="C54" i="5"/>
  <c r="I54" i="5"/>
  <c r="X54" i="5"/>
  <c r="Y54" i="5"/>
  <c r="B55" i="5"/>
  <c r="C55" i="5"/>
  <c r="I55" i="5"/>
  <c r="B56" i="5"/>
  <c r="C56" i="5"/>
  <c r="I56" i="5"/>
  <c r="B57" i="5"/>
  <c r="C57" i="5"/>
  <c r="I57" i="5"/>
  <c r="B58" i="5"/>
  <c r="C58" i="5"/>
  <c r="I58" i="5"/>
  <c r="B59" i="5"/>
  <c r="C59" i="5"/>
  <c r="I59" i="5"/>
  <c r="B60" i="5"/>
  <c r="C60" i="5"/>
  <c r="I60" i="5"/>
  <c r="B61" i="5"/>
  <c r="C61" i="5"/>
  <c r="I61" i="5"/>
  <c r="C63" i="5"/>
  <c r="D63" i="5"/>
  <c r="E63" i="5"/>
  <c r="F63" i="5"/>
  <c r="G63" i="5"/>
  <c r="H63" i="5"/>
  <c r="I63" i="5"/>
  <c r="A1" i="17"/>
  <c r="A2" i="17"/>
  <c r="A3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D7" i="17"/>
  <c r="E7" i="17"/>
  <c r="F7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D9" i="17"/>
  <c r="E9" i="17"/>
  <c r="F9" i="17"/>
  <c r="G9" i="17"/>
  <c r="H9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X9" i="17"/>
  <c r="Y9" i="17"/>
  <c r="Z9" i="17"/>
  <c r="D13" i="17"/>
  <c r="E13" i="17"/>
  <c r="F13" i="17"/>
  <c r="G13" i="17"/>
  <c r="H13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D14" i="17"/>
  <c r="E14" i="17"/>
  <c r="F14" i="17"/>
  <c r="G14" i="17"/>
  <c r="H14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D15" i="17"/>
  <c r="E15" i="17"/>
  <c r="F15" i="17"/>
  <c r="G15" i="17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D16" i="17"/>
  <c r="E16" i="17"/>
  <c r="F16" i="17"/>
  <c r="G16" i="17"/>
  <c r="H16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D17" i="17"/>
  <c r="E17" i="17"/>
  <c r="F17" i="17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D18" i="17"/>
  <c r="E18" i="17"/>
  <c r="F18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D19" i="17"/>
  <c r="E19" i="17"/>
  <c r="F19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D20" i="17"/>
  <c r="E20" i="17"/>
  <c r="F20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D21" i="17"/>
  <c r="E21" i="17"/>
  <c r="F21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D22" i="17"/>
  <c r="E22" i="17"/>
  <c r="F22" i="17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D23" i="17"/>
  <c r="E23" i="17"/>
  <c r="F23" i="17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E26" i="17"/>
  <c r="F26" i="17"/>
  <c r="G26" i="17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V26" i="17"/>
  <c r="W26" i="17"/>
  <c r="X26" i="17"/>
  <c r="Y26" i="17"/>
  <c r="Z26" i="17"/>
  <c r="D27" i="17"/>
  <c r="E27" i="17"/>
  <c r="F27" i="17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W27" i="17"/>
  <c r="X27" i="17"/>
  <c r="Y27" i="17"/>
  <c r="Z27" i="17"/>
  <c r="B28" i="17"/>
  <c r="D28" i="17"/>
  <c r="E28" i="17"/>
  <c r="F28" i="17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X28" i="17"/>
  <c r="Y28" i="17"/>
  <c r="Z28" i="17"/>
  <c r="D29" i="17"/>
  <c r="E29" i="17"/>
  <c r="F29" i="17"/>
  <c r="G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X29" i="17"/>
  <c r="Y29" i="17"/>
  <c r="Z29" i="17"/>
  <c r="D32" i="17"/>
  <c r="E32" i="17"/>
  <c r="F32" i="17"/>
  <c r="G32" i="17"/>
  <c r="H32" i="17"/>
  <c r="I32" i="17"/>
  <c r="J32" i="17"/>
  <c r="K32" i="17"/>
  <c r="L32" i="17"/>
  <c r="M32" i="17"/>
  <c r="N32" i="17"/>
  <c r="O32" i="17"/>
  <c r="P32" i="17"/>
  <c r="Q32" i="17"/>
  <c r="R32" i="17"/>
  <c r="S32" i="17"/>
  <c r="T32" i="17"/>
  <c r="U32" i="17"/>
  <c r="V32" i="17"/>
  <c r="W32" i="17"/>
  <c r="X32" i="17"/>
  <c r="Y32" i="17"/>
  <c r="Z32" i="17"/>
  <c r="D33" i="17"/>
  <c r="E33" i="17"/>
  <c r="F33" i="17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D34" i="17"/>
  <c r="E34" i="17"/>
  <c r="F34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D37" i="17"/>
  <c r="E37" i="17"/>
  <c r="F37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D38" i="17"/>
  <c r="E38" i="17"/>
  <c r="F38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D39" i="17"/>
  <c r="E39" i="17"/>
  <c r="F39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D40" i="17"/>
  <c r="E40" i="17"/>
  <c r="F40" i="17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W40" i="17"/>
  <c r="X40" i="17"/>
  <c r="Y40" i="17"/>
  <c r="D41" i="17"/>
  <c r="E41" i="17"/>
  <c r="F41" i="17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Z41" i="17"/>
  <c r="D43" i="17"/>
  <c r="E43" i="17"/>
  <c r="F43" i="17"/>
  <c r="G43" i="17"/>
  <c r="H43" i="17"/>
  <c r="I43" i="17"/>
  <c r="J43" i="17"/>
  <c r="K43" i="17"/>
  <c r="L43" i="17"/>
  <c r="M43" i="17"/>
  <c r="N43" i="17"/>
  <c r="O43" i="17"/>
  <c r="P43" i="17"/>
  <c r="Q43" i="17"/>
  <c r="R43" i="17"/>
  <c r="S43" i="17"/>
  <c r="T43" i="17"/>
  <c r="U43" i="17"/>
  <c r="V43" i="17"/>
  <c r="W43" i="17"/>
  <c r="X43" i="17"/>
  <c r="Y43" i="17"/>
  <c r="Z43" i="17"/>
  <c r="D44" i="17"/>
  <c r="E44" i="17"/>
  <c r="F44" i="17"/>
  <c r="G44" i="17"/>
  <c r="H44" i="17"/>
  <c r="I44" i="17"/>
  <c r="J44" i="17"/>
  <c r="K44" i="17"/>
  <c r="L44" i="17"/>
  <c r="M44" i="17"/>
  <c r="N44" i="17"/>
  <c r="O44" i="17"/>
  <c r="P44" i="17"/>
  <c r="Q44" i="17"/>
  <c r="R44" i="17"/>
  <c r="S44" i="17"/>
  <c r="T44" i="17"/>
  <c r="U44" i="17"/>
  <c r="V44" i="17"/>
  <c r="W44" i="17"/>
  <c r="X44" i="17"/>
  <c r="Y44" i="17"/>
  <c r="Z44" i="17"/>
  <c r="D45" i="17"/>
  <c r="E45" i="17"/>
  <c r="F45" i="17"/>
  <c r="G45" i="17"/>
  <c r="H45" i="17"/>
  <c r="I45" i="17"/>
  <c r="J45" i="17"/>
  <c r="K45" i="17"/>
  <c r="L45" i="17"/>
  <c r="M45" i="17"/>
  <c r="N45" i="17"/>
  <c r="O45" i="17"/>
  <c r="P45" i="17"/>
  <c r="Q45" i="17"/>
  <c r="R45" i="17"/>
  <c r="S45" i="17"/>
  <c r="T45" i="17"/>
  <c r="U45" i="17"/>
  <c r="V45" i="17"/>
  <c r="W45" i="17"/>
  <c r="X45" i="17"/>
  <c r="Y45" i="17"/>
  <c r="Z45" i="17"/>
  <c r="D48" i="17"/>
  <c r="E48" i="17"/>
  <c r="F48" i="17"/>
  <c r="G48" i="17"/>
  <c r="H48" i="17"/>
  <c r="I48" i="17"/>
  <c r="J48" i="17"/>
  <c r="K48" i="17"/>
  <c r="L48" i="17"/>
  <c r="M48" i="17"/>
  <c r="N48" i="17"/>
  <c r="O48" i="17"/>
  <c r="P48" i="17"/>
  <c r="Q48" i="17"/>
  <c r="R48" i="17"/>
  <c r="S48" i="17"/>
  <c r="T48" i="17"/>
  <c r="U48" i="17"/>
  <c r="V48" i="17"/>
  <c r="W48" i="17"/>
  <c r="X48" i="17"/>
  <c r="Y48" i="17"/>
  <c r="Z48" i="17"/>
  <c r="D49" i="17"/>
  <c r="E49" i="17"/>
  <c r="F49" i="17"/>
  <c r="G49" i="17"/>
  <c r="H49" i="17"/>
  <c r="I49" i="17"/>
  <c r="J49" i="17"/>
  <c r="K49" i="17"/>
  <c r="L49" i="17"/>
  <c r="M49" i="17"/>
  <c r="N49" i="17"/>
  <c r="O49" i="17"/>
  <c r="P49" i="17"/>
  <c r="Q49" i="17"/>
  <c r="R49" i="17"/>
  <c r="S49" i="17"/>
  <c r="T49" i="17"/>
  <c r="U49" i="17"/>
  <c r="V49" i="17"/>
  <c r="W49" i="17"/>
  <c r="X49" i="17"/>
  <c r="Y49" i="17"/>
  <c r="D50" i="17"/>
  <c r="E50" i="17"/>
  <c r="F50" i="17"/>
  <c r="G50" i="17"/>
  <c r="H50" i="17"/>
  <c r="I50" i="17"/>
  <c r="J50" i="17"/>
  <c r="K50" i="17"/>
  <c r="L50" i="17"/>
  <c r="M50" i="17"/>
  <c r="N50" i="17"/>
  <c r="O50" i="17"/>
  <c r="P50" i="17"/>
  <c r="Q50" i="17"/>
  <c r="R50" i="17"/>
  <c r="S50" i="17"/>
  <c r="T50" i="17"/>
  <c r="U50" i="17"/>
  <c r="V50" i="17"/>
  <c r="W50" i="17"/>
  <c r="X50" i="17"/>
  <c r="Y50" i="17"/>
  <c r="Z50" i="17"/>
  <c r="D52" i="17"/>
  <c r="E52" i="17"/>
  <c r="F52" i="17"/>
  <c r="G52" i="17"/>
  <c r="H52" i="17"/>
  <c r="I52" i="17"/>
  <c r="J52" i="17"/>
  <c r="K52" i="17"/>
  <c r="L52" i="17"/>
  <c r="M52" i="17"/>
  <c r="N52" i="17"/>
  <c r="O52" i="17"/>
  <c r="P52" i="17"/>
  <c r="Q52" i="17"/>
  <c r="R52" i="17"/>
  <c r="S52" i="17"/>
  <c r="T52" i="17"/>
  <c r="U52" i="17"/>
  <c r="V52" i="17"/>
  <c r="W52" i="17"/>
  <c r="X52" i="17"/>
  <c r="Y52" i="17"/>
  <c r="Z52" i="17"/>
  <c r="D53" i="17"/>
  <c r="E53" i="17"/>
  <c r="F53" i="17"/>
  <c r="G53" i="17"/>
  <c r="H53" i="17"/>
  <c r="I53" i="17"/>
  <c r="J53" i="17"/>
  <c r="K53" i="17"/>
  <c r="L53" i="17"/>
  <c r="M53" i="17"/>
  <c r="N53" i="17"/>
  <c r="O53" i="17"/>
  <c r="P53" i="17"/>
  <c r="Q53" i="17"/>
  <c r="R53" i="17"/>
  <c r="S53" i="17"/>
  <c r="T53" i="17"/>
  <c r="U53" i="17"/>
  <c r="V53" i="17"/>
  <c r="W53" i="17"/>
  <c r="X53" i="17"/>
  <c r="Y53" i="17"/>
  <c r="Z53" i="17"/>
  <c r="D54" i="17"/>
  <c r="E54" i="17"/>
  <c r="F54" i="17"/>
  <c r="G54" i="17"/>
  <c r="H54" i="17"/>
  <c r="I54" i="17"/>
  <c r="J54" i="17"/>
  <c r="K54" i="17"/>
  <c r="L54" i="17"/>
  <c r="M54" i="17"/>
  <c r="N54" i="17"/>
  <c r="O54" i="17"/>
  <c r="P54" i="17"/>
  <c r="Q54" i="17"/>
  <c r="R54" i="17"/>
  <c r="S54" i="17"/>
  <c r="T54" i="17"/>
  <c r="U54" i="17"/>
  <c r="V54" i="17"/>
  <c r="W54" i="17"/>
  <c r="X54" i="17"/>
  <c r="Y54" i="17"/>
  <c r="Z54" i="17"/>
  <c r="D57" i="17"/>
  <c r="E57" i="17"/>
  <c r="F57" i="17"/>
  <c r="G57" i="17"/>
  <c r="H57" i="17"/>
  <c r="I57" i="17"/>
  <c r="J57" i="17"/>
  <c r="K57" i="17"/>
  <c r="L57" i="17"/>
  <c r="M57" i="17"/>
  <c r="N57" i="17"/>
  <c r="O57" i="17"/>
  <c r="P57" i="17"/>
  <c r="Q57" i="17"/>
  <c r="R57" i="17"/>
  <c r="S57" i="17"/>
  <c r="T57" i="17"/>
  <c r="U57" i="17"/>
  <c r="V57" i="17"/>
  <c r="W57" i="17"/>
  <c r="X57" i="17"/>
  <c r="Y57" i="17"/>
  <c r="Z57" i="17"/>
  <c r="D58" i="17"/>
  <c r="E58" i="17"/>
  <c r="F58" i="17"/>
  <c r="G58" i="17"/>
  <c r="H58" i="17"/>
  <c r="I58" i="17"/>
  <c r="J58" i="17"/>
  <c r="K58" i="17"/>
  <c r="L58" i="17"/>
  <c r="M58" i="17"/>
  <c r="N58" i="17"/>
  <c r="O58" i="17"/>
  <c r="P58" i="17"/>
  <c r="Q58" i="17"/>
  <c r="R58" i="17"/>
  <c r="S58" i="17"/>
  <c r="T58" i="17"/>
  <c r="U58" i="17"/>
  <c r="V58" i="17"/>
  <c r="W58" i="17"/>
  <c r="X58" i="17"/>
  <c r="Y58" i="17"/>
  <c r="D59" i="17"/>
  <c r="E59" i="17"/>
  <c r="F59" i="17"/>
  <c r="G59" i="17"/>
  <c r="H59" i="17"/>
  <c r="I59" i="17"/>
  <c r="J59" i="17"/>
  <c r="K59" i="17"/>
  <c r="L59" i="17"/>
  <c r="M59" i="17"/>
  <c r="N59" i="17"/>
  <c r="O59" i="17"/>
  <c r="P59" i="17"/>
  <c r="Q59" i="17"/>
  <c r="R59" i="17"/>
  <c r="S59" i="17"/>
  <c r="T59" i="17"/>
  <c r="U59" i="17"/>
  <c r="V59" i="17"/>
  <c r="W59" i="17"/>
  <c r="X59" i="17"/>
  <c r="Y59" i="17"/>
  <c r="Z59" i="17"/>
  <c r="E62" i="17"/>
  <c r="F62" i="17"/>
  <c r="G62" i="17"/>
  <c r="H62" i="17"/>
  <c r="I62" i="17"/>
  <c r="J62" i="17"/>
  <c r="K62" i="17"/>
  <c r="L62" i="17"/>
  <c r="M62" i="17"/>
  <c r="N62" i="17"/>
  <c r="O62" i="17"/>
  <c r="P62" i="17"/>
  <c r="Q62" i="17"/>
  <c r="R62" i="17"/>
  <c r="S62" i="17"/>
  <c r="T62" i="17"/>
  <c r="U62" i="17"/>
  <c r="V62" i="17"/>
  <c r="W62" i="17"/>
  <c r="X62" i="17"/>
  <c r="Y62" i="17"/>
  <c r="Z62" i="17"/>
  <c r="D63" i="17"/>
  <c r="E63" i="17"/>
  <c r="F63" i="17"/>
  <c r="G63" i="17"/>
  <c r="H63" i="17"/>
  <c r="I63" i="17"/>
  <c r="J63" i="17"/>
  <c r="K63" i="17"/>
  <c r="L63" i="17"/>
  <c r="M63" i="17"/>
  <c r="N63" i="17"/>
  <c r="O63" i="17"/>
  <c r="P63" i="17"/>
  <c r="Q63" i="17"/>
  <c r="R63" i="17"/>
  <c r="S63" i="17"/>
  <c r="T63" i="17"/>
  <c r="U63" i="17"/>
  <c r="V63" i="17"/>
  <c r="W63" i="17"/>
  <c r="X63" i="17"/>
  <c r="Y63" i="17"/>
  <c r="Z63" i="17"/>
  <c r="B64" i="17"/>
  <c r="D64" i="17"/>
  <c r="E64" i="17"/>
  <c r="F64" i="17"/>
  <c r="G64" i="17"/>
  <c r="H64" i="17"/>
  <c r="I64" i="17"/>
  <c r="J64" i="17"/>
  <c r="K64" i="17"/>
  <c r="L64" i="17"/>
  <c r="M64" i="17"/>
  <c r="N64" i="17"/>
  <c r="O64" i="17"/>
  <c r="P64" i="17"/>
  <c r="Q64" i="17"/>
  <c r="R64" i="17"/>
  <c r="S64" i="17"/>
  <c r="T64" i="17"/>
  <c r="U64" i="17"/>
  <c r="V64" i="17"/>
  <c r="W64" i="17"/>
  <c r="X64" i="17"/>
  <c r="Y64" i="17"/>
  <c r="Z64" i="17"/>
  <c r="D65" i="17"/>
  <c r="E65" i="17"/>
  <c r="F65" i="17"/>
  <c r="G65" i="17"/>
  <c r="H65" i="17"/>
  <c r="I65" i="17"/>
  <c r="J65" i="17"/>
  <c r="K65" i="17"/>
  <c r="L65" i="17"/>
  <c r="M65" i="17"/>
  <c r="N65" i="17"/>
  <c r="O65" i="17"/>
  <c r="P65" i="17"/>
  <c r="Q65" i="17"/>
  <c r="R65" i="17"/>
  <c r="S65" i="17"/>
  <c r="T65" i="17"/>
  <c r="U65" i="17"/>
  <c r="V65" i="17"/>
  <c r="W65" i="17"/>
  <c r="X65" i="17"/>
  <c r="Y65" i="17"/>
  <c r="Z65" i="17"/>
  <c r="D68" i="17"/>
  <c r="E68" i="17"/>
  <c r="F68" i="17"/>
  <c r="G68" i="17"/>
  <c r="H68" i="17"/>
  <c r="I68" i="17"/>
  <c r="J68" i="17"/>
  <c r="K68" i="17"/>
  <c r="L68" i="17"/>
  <c r="M68" i="17"/>
  <c r="N68" i="17"/>
  <c r="O68" i="17"/>
  <c r="P68" i="17"/>
  <c r="Q68" i="17"/>
  <c r="R68" i="17"/>
  <c r="S68" i="17"/>
  <c r="T68" i="17"/>
  <c r="U68" i="17"/>
  <c r="V68" i="17"/>
  <c r="W68" i="17"/>
  <c r="X68" i="17"/>
  <c r="Y68" i="17"/>
  <c r="Z68" i="17"/>
  <c r="D69" i="17"/>
  <c r="E69" i="17"/>
  <c r="F69" i="17"/>
  <c r="G69" i="17"/>
  <c r="H69" i="17"/>
  <c r="I69" i="17"/>
  <c r="J69" i="17"/>
  <c r="K69" i="17"/>
  <c r="L69" i="17"/>
  <c r="M69" i="17"/>
  <c r="N69" i="17"/>
  <c r="O69" i="17"/>
  <c r="P69" i="17"/>
  <c r="Q69" i="17"/>
  <c r="R69" i="17"/>
  <c r="S69" i="17"/>
  <c r="T69" i="17"/>
  <c r="U69" i="17"/>
  <c r="V69" i="17"/>
  <c r="W69" i="17"/>
  <c r="X69" i="17"/>
  <c r="Y69" i="17"/>
  <c r="D70" i="17"/>
  <c r="E70" i="17"/>
  <c r="F70" i="17"/>
  <c r="G70" i="17"/>
  <c r="H70" i="17"/>
  <c r="I70" i="17"/>
  <c r="J70" i="17"/>
  <c r="K70" i="17"/>
  <c r="L70" i="17"/>
  <c r="M70" i="17"/>
  <c r="N70" i="17"/>
  <c r="O70" i="17"/>
  <c r="P70" i="17"/>
  <c r="Q70" i="17"/>
  <c r="R70" i="17"/>
  <c r="S70" i="17"/>
  <c r="T70" i="17"/>
  <c r="U70" i="17"/>
  <c r="V70" i="17"/>
  <c r="W70" i="17"/>
  <c r="X70" i="17"/>
  <c r="Y70" i="17"/>
  <c r="Z70" i="17"/>
  <c r="D73" i="17"/>
  <c r="E73" i="17"/>
  <c r="F73" i="17"/>
  <c r="G73" i="17"/>
  <c r="H73" i="17"/>
  <c r="I73" i="17"/>
  <c r="J73" i="17"/>
  <c r="K73" i="17"/>
  <c r="L73" i="17"/>
  <c r="M73" i="17"/>
  <c r="N73" i="17"/>
  <c r="O73" i="17"/>
  <c r="P73" i="17"/>
  <c r="Q73" i="17"/>
  <c r="R73" i="17"/>
  <c r="S73" i="17"/>
  <c r="T73" i="17"/>
  <c r="U73" i="17"/>
  <c r="V73" i="17"/>
  <c r="W73" i="17"/>
  <c r="X73" i="17"/>
  <c r="Y73" i="17"/>
  <c r="Z73" i="17"/>
  <c r="D74" i="17"/>
  <c r="E74" i="17"/>
  <c r="F74" i="17"/>
  <c r="G74" i="17"/>
  <c r="H74" i="17"/>
  <c r="I74" i="17"/>
  <c r="J74" i="17"/>
  <c r="K74" i="17"/>
  <c r="L74" i="17"/>
  <c r="M74" i="17"/>
  <c r="N74" i="17"/>
  <c r="O74" i="17"/>
  <c r="P74" i="17"/>
  <c r="Q74" i="17"/>
  <c r="R74" i="17"/>
  <c r="S74" i="17"/>
  <c r="T74" i="17"/>
  <c r="U74" i="17"/>
  <c r="V74" i="17"/>
  <c r="W74" i="17"/>
  <c r="X74" i="17"/>
  <c r="Y74" i="17"/>
  <c r="Z74" i="17"/>
  <c r="D75" i="17"/>
  <c r="E75" i="17"/>
  <c r="F75" i="17"/>
  <c r="G75" i="17"/>
  <c r="H75" i="17"/>
  <c r="I75" i="17"/>
  <c r="J75" i="17"/>
  <c r="K75" i="17"/>
  <c r="L75" i="17"/>
  <c r="M75" i="17"/>
  <c r="N75" i="17"/>
  <c r="O75" i="17"/>
  <c r="P75" i="17"/>
  <c r="Q75" i="17"/>
  <c r="R75" i="17"/>
  <c r="S75" i="17"/>
  <c r="T75" i="17"/>
  <c r="U75" i="17"/>
  <c r="V75" i="17"/>
  <c r="W75" i="17"/>
  <c r="X75" i="17"/>
  <c r="Y75" i="17"/>
  <c r="Z75" i="17"/>
  <c r="D76" i="17"/>
  <c r="E76" i="17"/>
  <c r="F76" i="17"/>
  <c r="G76" i="17"/>
  <c r="H76" i="17"/>
  <c r="I76" i="17"/>
  <c r="J76" i="17"/>
  <c r="K76" i="17"/>
  <c r="L76" i="17"/>
  <c r="M76" i="17"/>
  <c r="N76" i="17"/>
  <c r="O76" i="17"/>
  <c r="P76" i="17"/>
  <c r="Q76" i="17"/>
  <c r="R76" i="17"/>
  <c r="S76" i="17"/>
  <c r="T76" i="17"/>
  <c r="U76" i="17"/>
  <c r="V76" i="17"/>
  <c r="W76" i="17"/>
  <c r="X76" i="17"/>
  <c r="Y76" i="17"/>
  <c r="D77" i="17"/>
  <c r="E77" i="17"/>
  <c r="F77" i="17"/>
  <c r="G77" i="17"/>
  <c r="H77" i="17"/>
  <c r="I77" i="17"/>
  <c r="J77" i="17"/>
  <c r="K77" i="17"/>
  <c r="L77" i="17"/>
  <c r="M77" i="17"/>
  <c r="N77" i="17"/>
  <c r="O77" i="17"/>
  <c r="P77" i="17"/>
  <c r="Q77" i="17"/>
  <c r="R77" i="17"/>
  <c r="S77" i="17"/>
  <c r="T77" i="17"/>
  <c r="U77" i="17"/>
  <c r="V77" i="17"/>
  <c r="W77" i="17"/>
  <c r="X77" i="17"/>
  <c r="Y77" i="17"/>
  <c r="Z77" i="17"/>
  <c r="D80" i="17"/>
  <c r="E80" i="17"/>
  <c r="F80" i="17"/>
  <c r="G80" i="17"/>
  <c r="H80" i="17"/>
  <c r="I80" i="17"/>
  <c r="J80" i="17"/>
  <c r="K80" i="17"/>
  <c r="L80" i="17"/>
  <c r="M80" i="17"/>
  <c r="N80" i="17"/>
  <c r="O80" i="17"/>
  <c r="P80" i="17"/>
  <c r="Q80" i="17"/>
  <c r="R80" i="17"/>
  <c r="S80" i="17"/>
  <c r="T80" i="17"/>
  <c r="U80" i="17"/>
  <c r="V80" i="17"/>
  <c r="W80" i="17"/>
  <c r="X80" i="17"/>
  <c r="Y80" i="17"/>
  <c r="Z80" i="17"/>
  <c r="D81" i="17"/>
  <c r="E81" i="17"/>
  <c r="F81" i="17"/>
  <c r="G81" i="17"/>
  <c r="H81" i="17"/>
  <c r="I81" i="17"/>
  <c r="J81" i="17"/>
  <c r="K81" i="17"/>
  <c r="L81" i="17"/>
  <c r="M81" i="17"/>
  <c r="N81" i="17"/>
  <c r="O81" i="17"/>
  <c r="P81" i="17"/>
  <c r="Q81" i="17"/>
  <c r="R81" i="17"/>
  <c r="S81" i="17"/>
  <c r="T81" i="17"/>
  <c r="U81" i="17"/>
  <c r="V81" i="17"/>
  <c r="W81" i="17"/>
  <c r="X81" i="17"/>
  <c r="Y81" i="17"/>
  <c r="D82" i="17"/>
  <c r="E82" i="17"/>
  <c r="F82" i="17"/>
  <c r="G82" i="17"/>
  <c r="H82" i="17"/>
  <c r="I82" i="17"/>
  <c r="J82" i="17"/>
  <c r="K82" i="17"/>
  <c r="L82" i="17"/>
  <c r="M82" i="17"/>
  <c r="N82" i="17"/>
  <c r="O82" i="17"/>
  <c r="P82" i="17"/>
  <c r="Q82" i="17"/>
  <c r="R82" i="17"/>
  <c r="S82" i="17"/>
  <c r="T82" i="17"/>
  <c r="U82" i="17"/>
  <c r="V82" i="17"/>
  <c r="W82" i="17"/>
  <c r="X82" i="17"/>
  <c r="Y82" i="17"/>
  <c r="Z82" i="17"/>
  <c r="D84" i="17"/>
  <c r="E84" i="17"/>
  <c r="F84" i="17"/>
  <c r="G84" i="17"/>
  <c r="H84" i="17"/>
  <c r="I84" i="17"/>
  <c r="J84" i="17"/>
  <c r="K84" i="17"/>
  <c r="L84" i="17"/>
  <c r="M84" i="17"/>
  <c r="N84" i="17"/>
  <c r="O84" i="17"/>
  <c r="P84" i="17"/>
  <c r="Q84" i="17"/>
  <c r="R84" i="17"/>
  <c r="S84" i="17"/>
  <c r="T84" i="17"/>
  <c r="U84" i="17"/>
  <c r="V84" i="17"/>
  <c r="W84" i="17"/>
  <c r="X84" i="17"/>
  <c r="Y84" i="17"/>
  <c r="Z84" i="17"/>
  <c r="E87" i="17"/>
  <c r="F87" i="17"/>
  <c r="G87" i="17"/>
  <c r="H87" i="17"/>
  <c r="I87" i="17"/>
  <c r="J87" i="17"/>
  <c r="K87" i="17"/>
  <c r="L87" i="17"/>
  <c r="M87" i="17"/>
  <c r="N87" i="17"/>
  <c r="O87" i="17"/>
  <c r="P87" i="17"/>
  <c r="Q87" i="17"/>
  <c r="R87" i="17"/>
  <c r="S87" i="17"/>
  <c r="T87" i="17"/>
  <c r="U87" i="17"/>
  <c r="V87" i="17"/>
  <c r="W87" i="17"/>
  <c r="X87" i="17"/>
  <c r="Y87" i="17"/>
  <c r="Z87" i="17"/>
  <c r="D88" i="17"/>
  <c r="E88" i="17"/>
  <c r="F88" i="17"/>
  <c r="G88" i="17"/>
  <c r="H88" i="17"/>
  <c r="I88" i="17"/>
  <c r="J88" i="17"/>
  <c r="K88" i="17"/>
  <c r="L88" i="17"/>
  <c r="M88" i="17"/>
  <c r="N88" i="17"/>
  <c r="O88" i="17"/>
  <c r="P88" i="17"/>
  <c r="Q88" i="17"/>
  <c r="R88" i="17"/>
  <c r="S88" i="17"/>
  <c r="T88" i="17"/>
  <c r="U88" i="17"/>
  <c r="V88" i="17"/>
  <c r="W88" i="17"/>
  <c r="X88" i="17"/>
  <c r="Y88" i="17"/>
  <c r="Z88" i="17"/>
  <c r="D89" i="17"/>
  <c r="E89" i="17"/>
  <c r="F89" i="17"/>
  <c r="G89" i="17"/>
  <c r="H89" i="17"/>
  <c r="I89" i="17"/>
  <c r="J89" i="17"/>
  <c r="K89" i="17"/>
  <c r="L89" i="17"/>
  <c r="M89" i="17"/>
  <c r="N89" i="17"/>
  <c r="O89" i="17"/>
  <c r="P89" i="17"/>
  <c r="Q89" i="17"/>
  <c r="R89" i="17"/>
  <c r="S89" i="17"/>
  <c r="T89" i="17"/>
  <c r="U89" i="17"/>
  <c r="V89" i="17"/>
  <c r="W89" i="17"/>
  <c r="X89" i="17"/>
  <c r="Y89" i="17"/>
  <c r="Z89" i="17"/>
  <c r="D90" i="17"/>
  <c r="E90" i="17"/>
  <c r="F90" i="17"/>
  <c r="G90" i="17"/>
  <c r="H90" i="17"/>
  <c r="I90" i="17"/>
  <c r="J90" i="17"/>
  <c r="K90" i="17"/>
  <c r="L90" i="17"/>
  <c r="M90" i="17"/>
  <c r="N90" i="17"/>
  <c r="O90" i="17"/>
  <c r="P90" i="17"/>
  <c r="Q90" i="17"/>
  <c r="R90" i="17"/>
  <c r="S90" i="17"/>
  <c r="T90" i="17"/>
  <c r="U90" i="17"/>
  <c r="V90" i="17"/>
  <c r="W90" i="17"/>
  <c r="X90" i="17"/>
  <c r="Y90" i="17"/>
  <c r="Z90" i="17"/>
  <c r="A1" i="10"/>
  <c r="A2" i="10"/>
  <c r="A3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D8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D9" i="10"/>
  <c r="AD10" i="10"/>
  <c r="AD11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D12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D13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D14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D15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D16" i="10"/>
  <c r="AD17" i="10"/>
  <c r="AD18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D19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D20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D21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D22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D23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D24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D25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D26" i="10"/>
  <c r="AD27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D28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D29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D30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D31" i="10"/>
  <c r="AD32" i="10"/>
  <c r="AD33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D34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D35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D36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D37" i="10"/>
  <c r="AD38" i="10"/>
  <c r="D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D39" i="10"/>
  <c r="D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D40" i="10"/>
  <c r="AD41" i="10"/>
  <c r="AD42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D43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D44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D45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D46" i="10"/>
  <c r="AD47" i="10"/>
  <c r="F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D48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D49" i="10"/>
  <c r="AD50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D51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D52" i="10"/>
  <c r="AD53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D54" i="10"/>
  <c r="AD55" i="10"/>
  <c r="AD56" i="10"/>
  <c r="AB57" i="10"/>
  <c r="AD57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D58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D59" i="10"/>
  <c r="AD60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D61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D62" i="10"/>
  <c r="AD63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D64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D65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D66" i="10"/>
  <c r="D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D67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D68" i="10"/>
  <c r="AD69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D71" i="10"/>
  <c r="AD72" i="10"/>
  <c r="AD73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D74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D75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D76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D77" i="10"/>
  <c r="AD78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D79" i="10"/>
  <c r="D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D80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D81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D82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D83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D84" i="10"/>
  <c r="AD85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D87" i="10"/>
  <c r="AD88" i="10"/>
  <c r="AD89" i="10"/>
  <c r="G90" i="10"/>
  <c r="H90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D90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D91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D92" i="10"/>
  <c r="F93" i="10"/>
  <c r="G93" i="10"/>
  <c r="H93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D93" i="10"/>
  <c r="AD94" i="10"/>
  <c r="AD95" i="10"/>
  <c r="F96" i="10"/>
  <c r="G96" i="10"/>
  <c r="H96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AA96" i="10"/>
  <c r="AD96" i="10"/>
  <c r="F97" i="10"/>
  <c r="G97" i="10"/>
  <c r="H97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D97" i="10"/>
  <c r="F98" i="10"/>
  <c r="G98" i="10"/>
  <c r="H98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D98" i="10"/>
  <c r="AD99" i="10"/>
  <c r="D100" i="10"/>
  <c r="F100" i="10"/>
  <c r="G100" i="10"/>
  <c r="H100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Y100" i="10"/>
  <c r="Z100" i="10"/>
  <c r="AA100" i="10"/>
  <c r="AB100" i="10"/>
  <c r="AD100" i="10"/>
  <c r="A1" i="44"/>
  <c r="A2" i="44"/>
  <c r="A3" i="44"/>
  <c r="H7" i="44"/>
  <c r="I7" i="44"/>
  <c r="J7" i="44"/>
  <c r="T7" i="44"/>
  <c r="U7" i="44"/>
  <c r="V7" i="44"/>
  <c r="T8" i="44"/>
  <c r="U8" i="44"/>
  <c r="V8" i="44"/>
  <c r="W8" i="44"/>
  <c r="H9" i="44"/>
  <c r="I9" i="44"/>
  <c r="J9" i="44"/>
  <c r="K9" i="44"/>
  <c r="T9" i="44"/>
  <c r="U9" i="44"/>
  <c r="V9" i="44"/>
  <c r="W9" i="44"/>
  <c r="G10" i="44"/>
  <c r="H10" i="44"/>
  <c r="I10" i="44"/>
  <c r="J10" i="44"/>
  <c r="K10" i="44"/>
  <c r="T10" i="44"/>
  <c r="U10" i="44"/>
  <c r="V10" i="44"/>
  <c r="W10" i="44"/>
  <c r="T11" i="44"/>
  <c r="U11" i="44"/>
  <c r="V11" i="44"/>
  <c r="W11" i="44"/>
  <c r="H12" i="44"/>
  <c r="I12" i="44"/>
  <c r="J12" i="44"/>
  <c r="K12" i="44"/>
  <c r="T12" i="44"/>
  <c r="U12" i="44"/>
  <c r="V12" i="44"/>
  <c r="W12" i="44"/>
  <c r="H13" i="44"/>
  <c r="I13" i="44"/>
  <c r="J13" i="44"/>
  <c r="K13" i="44"/>
  <c r="T13" i="44"/>
  <c r="U13" i="44"/>
  <c r="V13" i="44"/>
  <c r="W13" i="44"/>
  <c r="H14" i="44"/>
  <c r="I14" i="44"/>
  <c r="J14" i="44"/>
  <c r="K14" i="44"/>
  <c r="T14" i="44"/>
  <c r="U14" i="44"/>
  <c r="V14" i="44"/>
  <c r="W14" i="44"/>
  <c r="H15" i="44"/>
  <c r="I15" i="44"/>
  <c r="J15" i="44"/>
  <c r="K15" i="44"/>
  <c r="T15" i="44"/>
  <c r="U15" i="44"/>
  <c r="V15" i="44"/>
  <c r="W15" i="44"/>
  <c r="H16" i="44"/>
  <c r="I16" i="44"/>
  <c r="J16" i="44"/>
  <c r="K16" i="44"/>
  <c r="T16" i="44"/>
  <c r="U16" i="44"/>
  <c r="V16" i="44"/>
  <c r="W16" i="44"/>
  <c r="H17" i="44"/>
  <c r="I17" i="44"/>
  <c r="J17" i="44"/>
  <c r="K17" i="44"/>
  <c r="T17" i="44"/>
  <c r="U17" i="44"/>
  <c r="V17" i="44"/>
  <c r="W17" i="44"/>
  <c r="H18" i="44"/>
  <c r="I18" i="44"/>
  <c r="J18" i="44"/>
  <c r="K18" i="44"/>
  <c r="T18" i="44"/>
  <c r="U18" i="44"/>
  <c r="V18" i="44"/>
  <c r="W18" i="44"/>
  <c r="H19" i="44"/>
  <c r="I19" i="44"/>
  <c r="J19" i="44"/>
  <c r="K19" i="44"/>
  <c r="T19" i="44"/>
  <c r="U19" i="44"/>
  <c r="V19" i="44"/>
  <c r="W19" i="44"/>
  <c r="H20" i="44"/>
  <c r="I20" i="44"/>
  <c r="J20" i="44"/>
  <c r="K20" i="44"/>
  <c r="T20" i="44"/>
  <c r="U20" i="44"/>
  <c r="V20" i="44"/>
  <c r="W20" i="44"/>
  <c r="G21" i="44"/>
  <c r="H21" i="44"/>
  <c r="I21" i="44"/>
  <c r="J21" i="44"/>
  <c r="K21" i="44"/>
  <c r="T21" i="44"/>
  <c r="U21" i="44"/>
  <c r="V21" i="44"/>
  <c r="W21" i="44"/>
  <c r="T22" i="44"/>
  <c r="U22" i="44"/>
  <c r="V22" i="44"/>
  <c r="W22" i="44"/>
  <c r="H23" i="44"/>
  <c r="I23" i="44"/>
  <c r="J23" i="44"/>
  <c r="K23" i="44"/>
  <c r="T23" i="44"/>
  <c r="U23" i="44"/>
  <c r="V23" i="44"/>
  <c r="W23" i="44"/>
  <c r="H24" i="44"/>
  <c r="I24" i="44"/>
  <c r="J24" i="44"/>
  <c r="K24" i="44"/>
  <c r="T24" i="44"/>
  <c r="U24" i="44"/>
  <c r="V24" i="44"/>
  <c r="W24" i="44"/>
  <c r="H25" i="44"/>
  <c r="I25" i="44"/>
  <c r="J25" i="44"/>
  <c r="K25" i="44"/>
  <c r="T25" i="44"/>
  <c r="U25" i="44"/>
  <c r="V25" i="44"/>
  <c r="W25" i="44"/>
  <c r="H26" i="44"/>
  <c r="I26" i="44"/>
  <c r="J26" i="44"/>
  <c r="K26" i="44"/>
  <c r="T26" i="44"/>
  <c r="U26" i="44"/>
  <c r="V26" i="44"/>
  <c r="W26" i="44"/>
  <c r="G27" i="44"/>
  <c r="H27" i="44"/>
  <c r="I27" i="44"/>
  <c r="J27" i="44"/>
  <c r="K27" i="44"/>
  <c r="T27" i="44"/>
  <c r="U27" i="44"/>
  <c r="V27" i="44"/>
  <c r="W27" i="44"/>
  <c r="T28" i="44"/>
  <c r="U28" i="44"/>
  <c r="V28" i="44"/>
  <c r="W28" i="44"/>
  <c r="H29" i="44"/>
  <c r="I29" i="44"/>
  <c r="J29" i="44"/>
  <c r="K29" i="44"/>
  <c r="T29" i="44"/>
  <c r="U29" i="44"/>
  <c r="V29" i="44"/>
  <c r="W29" i="44"/>
  <c r="H30" i="44"/>
  <c r="I30" i="44"/>
  <c r="J30" i="44"/>
  <c r="K30" i="44"/>
  <c r="S30" i="44"/>
  <c r="T30" i="44"/>
  <c r="U30" i="44"/>
  <c r="W30" i="44"/>
  <c r="H31" i="44"/>
  <c r="I31" i="44"/>
  <c r="J31" i="44"/>
  <c r="K31" i="44"/>
  <c r="H32" i="44"/>
  <c r="I32" i="44"/>
  <c r="J32" i="44"/>
  <c r="K32" i="44"/>
  <c r="T32" i="44"/>
  <c r="U32" i="44"/>
  <c r="V32" i="44"/>
  <c r="H33" i="44"/>
  <c r="I33" i="44"/>
  <c r="J33" i="44"/>
  <c r="K33" i="44"/>
  <c r="T33" i="44"/>
  <c r="U33" i="44"/>
  <c r="V33" i="44"/>
  <c r="W33" i="44"/>
  <c r="G34" i="44"/>
  <c r="H34" i="44"/>
  <c r="I34" i="44"/>
  <c r="J34" i="44"/>
  <c r="K34" i="44"/>
  <c r="T34" i="44"/>
  <c r="U34" i="44"/>
  <c r="V34" i="44"/>
  <c r="W34" i="44"/>
  <c r="T35" i="44"/>
  <c r="U35" i="44"/>
  <c r="V35" i="44"/>
  <c r="W35" i="44"/>
  <c r="H36" i="44"/>
  <c r="I36" i="44"/>
  <c r="J36" i="44"/>
  <c r="K36" i="44"/>
  <c r="S36" i="44"/>
  <c r="T36" i="44"/>
  <c r="U36" i="44"/>
  <c r="V36" i="44"/>
  <c r="W36" i="44"/>
  <c r="G37" i="44"/>
  <c r="H37" i="44"/>
  <c r="I37" i="44"/>
  <c r="J37" i="44"/>
  <c r="K37" i="44"/>
  <c r="S37" i="44"/>
  <c r="T37" i="44"/>
  <c r="U37" i="44"/>
  <c r="V37" i="44"/>
  <c r="W37" i="44"/>
  <c r="G39" i="44"/>
  <c r="H39" i="44"/>
  <c r="I39" i="44"/>
  <c r="J39" i="44"/>
  <c r="K39" i="44"/>
  <c r="S41" i="44"/>
  <c r="T41" i="44"/>
  <c r="U41" i="44"/>
  <c r="W41" i="44"/>
  <c r="S42" i="44"/>
  <c r="T42" i="44"/>
  <c r="U42" i="44"/>
  <c r="W42" i="44"/>
  <c r="S43" i="44"/>
  <c r="U43" i="44"/>
  <c r="W43" i="44"/>
  <c r="S44" i="44"/>
  <c r="T44" i="44"/>
  <c r="U44" i="44"/>
  <c r="W44" i="44"/>
  <c r="S45" i="44"/>
  <c r="T45" i="44"/>
  <c r="U45" i="44"/>
  <c r="W45" i="44"/>
  <c r="S46" i="44"/>
  <c r="U46" i="44"/>
  <c r="W46" i="44"/>
  <c r="S47" i="44"/>
  <c r="T47" i="44"/>
  <c r="U47" i="44"/>
  <c r="W47" i="44"/>
  <c r="S48" i="44"/>
  <c r="U48" i="44"/>
  <c r="W48" i="44"/>
  <c r="S49" i="44"/>
  <c r="T49" i="44"/>
  <c r="U49" i="44"/>
  <c r="W49" i="44"/>
  <c r="S50" i="44"/>
  <c r="T50" i="44"/>
  <c r="U50" i="44"/>
  <c r="W50" i="44"/>
  <c r="D55" i="44"/>
  <c r="F55" i="44"/>
  <c r="H55" i="44"/>
  <c r="I55" i="44"/>
  <c r="K55" i="44"/>
  <c r="M55" i="44"/>
  <c r="N55" i="44"/>
  <c r="P55" i="44"/>
  <c r="R55" i="44"/>
  <c r="T55" i="44"/>
  <c r="U55" i="44"/>
  <c r="W55" i="44"/>
  <c r="X55" i="44"/>
  <c r="Z55" i="44"/>
  <c r="D56" i="44"/>
  <c r="F56" i="44"/>
  <c r="H56" i="44"/>
  <c r="I56" i="44"/>
  <c r="K56" i="44"/>
  <c r="M56" i="44"/>
  <c r="N56" i="44"/>
  <c r="P56" i="44"/>
  <c r="R56" i="44"/>
  <c r="T56" i="44"/>
  <c r="U56" i="44"/>
  <c r="W56" i="44"/>
  <c r="X56" i="44"/>
  <c r="Z56" i="44"/>
  <c r="D57" i="44"/>
  <c r="F57" i="44"/>
  <c r="H57" i="44"/>
  <c r="I57" i="44"/>
  <c r="K57" i="44"/>
  <c r="M57" i="44"/>
  <c r="N57" i="44"/>
  <c r="P57" i="44"/>
  <c r="R57" i="44"/>
  <c r="T57" i="44"/>
  <c r="U57" i="44"/>
  <c r="W57" i="44"/>
  <c r="X57" i="44"/>
  <c r="Z57" i="44"/>
  <c r="B58" i="44"/>
  <c r="C58" i="44"/>
  <c r="D58" i="44"/>
  <c r="E58" i="44"/>
  <c r="F58" i="44"/>
  <c r="H58" i="44"/>
  <c r="I58" i="44"/>
  <c r="K58" i="44"/>
  <c r="M58" i="44"/>
  <c r="N58" i="44"/>
  <c r="P58" i="44"/>
  <c r="R58" i="44"/>
  <c r="T58" i="44"/>
  <c r="U58" i="44"/>
  <c r="W58" i="44"/>
  <c r="X58" i="44"/>
  <c r="Z58" i="44"/>
  <c r="D60" i="44"/>
  <c r="F60" i="44"/>
  <c r="H60" i="44"/>
  <c r="I60" i="44"/>
  <c r="K60" i="44"/>
  <c r="M60" i="44"/>
  <c r="N60" i="44"/>
  <c r="P60" i="44"/>
  <c r="R60" i="44"/>
  <c r="T60" i="44"/>
  <c r="U60" i="44"/>
  <c r="W60" i="44"/>
  <c r="X60" i="44"/>
  <c r="Z60" i="44"/>
  <c r="D61" i="44"/>
  <c r="F61" i="44"/>
  <c r="H61" i="44"/>
  <c r="I61" i="44"/>
  <c r="K61" i="44"/>
  <c r="M61" i="44"/>
  <c r="N61" i="44"/>
  <c r="P61" i="44"/>
  <c r="R61" i="44"/>
  <c r="T61" i="44"/>
  <c r="U61" i="44"/>
  <c r="W61" i="44"/>
  <c r="X61" i="44"/>
  <c r="Z61" i="44"/>
  <c r="D62" i="44"/>
  <c r="F62" i="44"/>
  <c r="H62" i="44"/>
  <c r="I62" i="44"/>
  <c r="K62" i="44"/>
  <c r="M62" i="44"/>
  <c r="N62" i="44"/>
  <c r="P62" i="44"/>
  <c r="R62" i="44"/>
  <c r="T62" i="44"/>
  <c r="U62" i="44"/>
  <c r="W62" i="44"/>
  <c r="X62" i="44"/>
  <c r="Z62" i="44"/>
  <c r="D63" i="44"/>
  <c r="F63" i="44"/>
  <c r="H63" i="44"/>
  <c r="I63" i="44"/>
  <c r="K63" i="44"/>
  <c r="M63" i="44"/>
  <c r="N63" i="44"/>
  <c r="P63" i="44"/>
  <c r="R63" i="44"/>
  <c r="T63" i="44"/>
  <c r="U63" i="44"/>
  <c r="W63" i="44"/>
  <c r="X63" i="44"/>
  <c r="Z63" i="44"/>
  <c r="D64" i="44"/>
  <c r="F64" i="44"/>
  <c r="H64" i="44"/>
  <c r="I64" i="44"/>
  <c r="K64" i="44"/>
  <c r="M64" i="44"/>
  <c r="N64" i="44"/>
  <c r="P64" i="44"/>
  <c r="R64" i="44"/>
  <c r="T64" i="44"/>
  <c r="U64" i="44"/>
  <c r="W64" i="44"/>
  <c r="X64" i="44"/>
  <c r="Z64" i="44"/>
  <c r="D65" i="44"/>
  <c r="F65" i="44"/>
  <c r="H65" i="44"/>
  <c r="I65" i="44"/>
  <c r="K65" i="44"/>
  <c r="M65" i="44"/>
  <c r="N65" i="44"/>
  <c r="P65" i="44"/>
  <c r="R65" i="44"/>
  <c r="T65" i="44"/>
  <c r="U65" i="44"/>
  <c r="W65" i="44"/>
  <c r="X65" i="44"/>
  <c r="Z65" i="44"/>
  <c r="D66" i="44"/>
  <c r="F66" i="44"/>
  <c r="H66" i="44"/>
  <c r="I66" i="44"/>
  <c r="K66" i="44"/>
  <c r="M66" i="44"/>
  <c r="N66" i="44"/>
  <c r="P66" i="44"/>
  <c r="R66" i="44"/>
  <c r="T66" i="44"/>
  <c r="U66" i="44"/>
  <c r="W66" i="44"/>
  <c r="X66" i="44"/>
  <c r="Z66" i="44"/>
  <c r="D67" i="44"/>
  <c r="F67" i="44"/>
  <c r="H67" i="44"/>
  <c r="I67" i="44"/>
  <c r="K67" i="44"/>
  <c r="M67" i="44"/>
  <c r="N67" i="44"/>
  <c r="P67" i="44"/>
  <c r="R67" i="44"/>
  <c r="T67" i="44"/>
  <c r="U67" i="44"/>
  <c r="W67" i="44"/>
  <c r="X67" i="44"/>
  <c r="Z67" i="44"/>
  <c r="D68" i="44"/>
  <c r="F68" i="44"/>
  <c r="H68" i="44"/>
  <c r="I68" i="44"/>
  <c r="K68" i="44"/>
  <c r="M68" i="44"/>
  <c r="N68" i="44"/>
  <c r="P68" i="44"/>
  <c r="R68" i="44"/>
  <c r="T68" i="44"/>
  <c r="U68" i="44"/>
  <c r="W68" i="44"/>
  <c r="X68" i="44"/>
  <c r="Z68" i="44"/>
  <c r="D69" i="44"/>
  <c r="F69" i="44"/>
  <c r="H69" i="44"/>
  <c r="I69" i="44"/>
  <c r="K69" i="44"/>
  <c r="M69" i="44"/>
  <c r="N69" i="44"/>
  <c r="P69" i="44"/>
  <c r="R69" i="44"/>
  <c r="T69" i="44"/>
  <c r="U69" i="44"/>
  <c r="W69" i="44"/>
  <c r="X69" i="44"/>
  <c r="Z69" i="44"/>
  <c r="D70" i="44"/>
  <c r="F70" i="44"/>
  <c r="H70" i="44"/>
  <c r="I70" i="44"/>
  <c r="K70" i="44"/>
  <c r="M70" i="44"/>
  <c r="N70" i="44"/>
  <c r="P70" i="44"/>
  <c r="R70" i="44"/>
  <c r="T70" i="44"/>
  <c r="U70" i="44"/>
  <c r="W70" i="44"/>
  <c r="X70" i="44"/>
  <c r="Z70" i="44"/>
  <c r="D71" i="44"/>
  <c r="F71" i="44"/>
  <c r="H71" i="44"/>
  <c r="I71" i="44"/>
  <c r="K71" i="44"/>
  <c r="M71" i="44"/>
  <c r="N71" i="44"/>
  <c r="P71" i="44"/>
  <c r="R71" i="44"/>
  <c r="T71" i="44"/>
  <c r="U71" i="44"/>
  <c r="W71" i="44"/>
  <c r="X71" i="44"/>
  <c r="Z71" i="44"/>
  <c r="D72" i="44"/>
  <c r="F72" i="44"/>
  <c r="H72" i="44"/>
  <c r="I72" i="44"/>
  <c r="K72" i="44"/>
  <c r="M72" i="44"/>
  <c r="N72" i="44"/>
  <c r="P72" i="44"/>
  <c r="R72" i="44"/>
  <c r="T72" i="44"/>
  <c r="U72" i="44"/>
  <c r="W72" i="44"/>
  <c r="X72" i="44"/>
  <c r="Z72" i="44"/>
  <c r="D73" i="44"/>
  <c r="F73" i="44"/>
  <c r="H73" i="44"/>
  <c r="I73" i="44"/>
  <c r="K73" i="44"/>
  <c r="M73" i="44"/>
  <c r="N73" i="44"/>
  <c r="P73" i="44"/>
  <c r="R73" i="44"/>
  <c r="T73" i="44"/>
  <c r="U73" i="44"/>
  <c r="W73" i="44"/>
  <c r="X73" i="44"/>
  <c r="Z73" i="44"/>
  <c r="B74" i="44"/>
  <c r="C74" i="44"/>
  <c r="D74" i="44"/>
  <c r="E74" i="44"/>
  <c r="F74" i="44"/>
  <c r="H74" i="44"/>
  <c r="I74" i="44"/>
  <c r="K74" i="44"/>
  <c r="M74" i="44"/>
  <c r="N74" i="44"/>
  <c r="P74" i="44"/>
  <c r="R74" i="44"/>
  <c r="T74" i="44"/>
  <c r="U74" i="44"/>
  <c r="W74" i="44"/>
  <c r="X74" i="44"/>
  <c r="Z74" i="44"/>
  <c r="B76" i="44"/>
  <c r="C76" i="44"/>
  <c r="D76" i="44"/>
  <c r="E76" i="44"/>
  <c r="F76" i="44"/>
  <c r="H76" i="44"/>
  <c r="I76" i="44"/>
  <c r="K76" i="44"/>
  <c r="M76" i="44"/>
  <c r="N76" i="44"/>
  <c r="P76" i="44"/>
  <c r="R76" i="44"/>
  <c r="T76" i="44"/>
  <c r="U76" i="44"/>
  <c r="W76" i="44"/>
  <c r="X76" i="44"/>
  <c r="Z76" i="44"/>
  <c r="E82" i="44"/>
  <c r="F82" i="44"/>
  <c r="L82" i="44"/>
  <c r="M82" i="44"/>
  <c r="N82" i="44"/>
  <c r="O82" i="44"/>
  <c r="P82" i="44"/>
  <c r="R82" i="44"/>
  <c r="E83" i="44"/>
  <c r="F83" i="44"/>
  <c r="L83" i="44"/>
  <c r="M83" i="44"/>
  <c r="N83" i="44"/>
  <c r="O83" i="44"/>
  <c r="P83" i="44"/>
  <c r="R83" i="44"/>
  <c r="E84" i="44"/>
  <c r="F84" i="44"/>
  <c r="L84" i="44"/>
  <c r="M84" i="44"/>
  <c r="N84" i="44"/>
  <c r="O84" i="44"/>
  <c r="P84" i="44"/>
  <c r="R84" i="44"/>
  <c r="E85" i="44"/>
  <c r="F85" i="44"/>
  <c r="L85" i="44"/>
  <c r="M85" i="44"/>
  <c r="N85" i="44"/>
  <c r="O85" i="44"/>
  <c r="P85" i="44"/>
  <c r="R85" i="44"/>
  <c r="E86" i="44"/>
  <c r="F86" i="44"/>
  <c r="L86" i="44"/>
  <c r="M86" i="44"/>
  <c r="N86" i="44"/>
  <c r="O86" i="44"/>
  <c r="P86" i="44"/>
  <c r="R86" i="44"/>
  <c r="E87" i="44"/>
  <c r="F87" i="44"/>
  <c r="L87" i="44"/>
  <c r="M87" i="44"/>
  <c r="N87" i="44"/>
  <c r="O87" i="44"/>
  <c r="P87" i="44"/>
  <c r="R87" i="44"/>
  <c r="E88" i="44"/>
  <c r="F88" i="44"/>
  <c r="L88" i="44"/>
  <c r="M88" i="44"/>
  <c r="N88" i="44"/>
  <c r="O88" i="44"/>
  <c r="P88" i="44"/>
  <c r="R88" i="44"/>
  <c r="E89" i="44"/>
  <c r="F89" i="44"/>
  <c r="L89" i="44"/>
  <c r="M89" i="44"/>
  <c r="N89" i="44"/>
  <c r="O89" i="44"/>
  <c r="P89" i="44"/>
  <c r="R89" i="44"/>
  <c r="E90" i="44"/>
  <c r="F90" i="44"/>
  <c r="L90" i="44"/>
  <c r="M90" i="44"/>
  <c r="N90" i="44"/>
  <c r="O90" i="44"/>
  <c r="P90" i="44"/>
  <c r="R90" i="44"/>
  <c r="E91" i="44"/>
  <c r="F91" i="44"/>
  <c r="L91" i="44"/>
  <c r="M91" i="44"/>
  <c r="N91" i="44"/>
  <c r="O91" i="44"/>
  <c r="P91" i="44"/>
  <c r="R91" i="44"/>
  <c r="E92" i="44"/>
  <c r="F92" i="44"/>
  <c r="L92" i="44"/>
  <c r="M92" i="44"/>
  <c r="N92" i="44"/>
  <c r="O92" i="44"/>
  <c r="P92" i="44"/>
  <c r="R92" i="44"/>
  <c r="E93" i="44"/>
  <c r="F93" i="44"/>
  <c r="L93" i="44"/>
  <c r="M93" i="44"/>
  <c r="N93" i="44"/>
  <c r="O93" i="44"/>
  <c r="P93" i="44"/>
  <c r="R93" i="44"/>
  <c r="E94" i="44"/>
  <c r="F94" i="44"/>
  <c r="L94" i="44"/>
  <c r="M94" i="44"/>
  <c r="N94" i="44"/>
  <c r="O94" i="44"/>
  <c r="P94" i="44"/>
  <c r="R94" i="44"/>
  <c r="E95" i="44"/>
  <c r="F95" i="44"/>
  <c r="L95" i="44"/>
  <c r="M95" i="44"/>
  <c r="N95" i="44"/>
  <c r="O95" i="44"/>
  <c r="P95" i="44"/>
  <c r="R95" i="44"/>
  <c r="E96" i="44"/>
  <c r="F96" i="44"/>
  <c r="L96" i="44"/>
  <c r="M96" i="44"/>
  <c r="N96" i="44"/>
  <c r="O96" i="44"/>
  <c r="P96" i="44"/>
  <c r="R96" i="44"/>
  <c r="E97" i="44"/>
  <c r="F97" i="44"/>
  <c r="L97" i="44"/>
  <c r="M97" i="44"/>
  <c r="N97" i="44"/>
  <c r="O97" i="44"/>
  <c r="P97" i="44"/>
  <c r="R97" i="44"/>
  <c r="E98" i="44"/>
  <c r="F98" i="44"/>
  <c r="L98" i="44"/>
  <c r="M98" i="44"/>
  <c r="N98" i="44"/>
  <c r="O98" i="44"/>
  <c r="P98" i="44"/>
  <c r="R98" i="44"/>
  <c r="E99" i="44"/>
  <c r="F99" i="44"/>
  <c r="L99" i="44"/>
  <c r="M99" i="44"/>
  <c r="N99" i="44"/>
  <c r="O99" i="44"/>
  <c r="P99" i="44"/>
  <c r="R99" i="44"/>
  <c r="E100" i="44"/>
  <c r="F100" i="44"/>
  <c r="L100" i="44"/>
  <c r="M100" i="44"/>
  <c r="N100" i="44"/>
  <c r="O100" i="44"/>
  <c r="P100" i="44"/>
  <c r="R100" i="44"/>
  <c r="E101" i="44"/>
  <c r="F101" i="44"/>
  <c r="L101" i="44"/>
  <c r="M101" i="44"/>
  <c r="N101" i="44"/>
  <c r="O101" i="44"/>
  <c r="P101" i="44"/>
  <c r="R101" i="44"/>
  <c r="E102" i="44"/>
  <c r="F102" i="44"/>
  <c r="L102" i="44"/>
  <c r="M102" i="44"/>
  <c r="N102" i="44"/>
  <c r="O102" i="44"/>
  <c r="P102" i="44"/>
  <c r="R102" i="44"/>
  <c r="E103" i="44"/>
  <c r="F103" i="44"/>
  <c r="L103" i="44"/>
  <c r="M103" i="44"/>
  <c r="N103" i="44"/>
  <c r="O103" i="44"/>
  <c r="P103" i="44"/>
  <c r="R103" i="44"/>
  <c r="E104" i="44"/>
  <c r="F104" i="44"/>
  <c r="L104" i="44"/>
  <c r="M104" i="44"/>
  <c r="N104" i="44"/>
  <c r="O104" i="44"/>
  <c r="P104" i="44"/>
  <c r="R104" i="44"/>
  <c r="E105" i="44"/>
  <c r="F105" i="44"/>
  <c r="L105" i="44"/>
  <c r="M105" i="44"/>
  <c r="N105" i="44"/>
  <c r="O105" i="44"/>
  <c r="P105" i="44"/>
  <c r="R105" i="44"/>
  <c r="E106" i="44"/>
  <c r="F106" i="44"/>
  <c r="L106" i="44"/>
  <c r="M106" i="44"/>
  <c r="N106" i="44"/>
  <c r="O106" i="44"/>
  <c r="P106" i="44"/>
  <c r="R106" i="44"/>
  <c r="E107" i="44"/>
  <c r="F107" i="44"/>
  <c r="L107" i="44"/>
  <c r="M107" i="44"/>
  <c r="N107" i="44"/>
  <c r="O107" i="44"/>
  <c r="P107" i="44"/>
  <c r="R107" i="44"/>
  <c r="E108" i="44"/>
  <c r="F108" i="44"/>
  <c r="L108" i="44"/>
  <c r="M108" i="44"/>
  <c r="N108" i="44"/>
  <c r="O108" i="44"/>
  <c r="P108" i="44"/>
  <c r="R108" i="44"/>
  <c r="E109" i="44"/>
  <c r="F109" i="44"/>
  <c r="L109" i="44"/>
  <c r="M109" i="44"/>
  <c r="N109" i="44"/>
  <c r="O109" i="44"/>
  <c r="P109" i="44"/>
  <c r="R109" i="44"/>
  <c r="E110" i="44"/>
  <c r="F110" i="44"/>
  <c r="L110" i="44"/>
  <c r="M110" i="44"/>
  <c r="N110" i="44"/>
  <c r="O110" i="44"/>
  <c r="P110" i="44"/>
  <c r="R110" i="44"/>
  <c r="R111" i="44"/>
  <c r="B113" i="44"/>
  <c r="E113" i="44"/>
  <c r="F113" i="44"/>
  <c r="L113" i="44"/>
  <c r="M113" i="44"/>
  <c r="N113" i="44"/>
  <c r="O113" i="44"/>
  <c r="P113" i="44"/>
  <c r="Q113" i="44"/>
  <c r="R113" i="44"/>
  <c r="A1" i="57"/>
  <c r="A2" i="57"/>
  <c r="A3" i="57"/>
  <c r="AA6" i="57"/>
  <c r="AB6" i="57"/>
  <c r="AT6" i="57"/>
  <c r="BJ6" i="57"/>
  <c r="BK6" i="57"/>
  <c r="CA6" i="57"/>
  <c r="CQ6" i="57"/>
  <c r="CR6" i="57"/>
  <c r="W8" i="57"/>
  <c r="BF8" i="57"/>
  <c r="CM8" i="57"/>
  <c r="C9" i="57"/>
  <c r="E9" i="57"/>
  <c r="F9" i="57"/>
  <c r="G9" i="57"/>
  <c r="H9" i="57"/>
  <c r="I9" i="57"/>
  <c r="K9" i="57"/>
  <c r="L9" i="57"/>
  <c r="N9" i="57"/>
  <c r="O9" i="57"/>
  <c r="P9" i="57"/>
  <c r="R9" i="57"/>
  <c r="S9" i="57"/>
  <c r="T9" i="57"/>
  <c r="U9" i="57"/>
  <c r="V9" i="57"/>
  <c r="W9" i="57"/>
  <c r="X9" i="57"/>
  <c r="Z9" i="57"/>
  <c r="AA9" i="57"/>
  <c r="AB9" i="57"/>
  <c r="AC9" i="57"/>
  <c r="AD9" i="57"/>
  <c r="AE9" i="57"/>
  <c r="AG9" i="57"/>
  <c r="AK9" i="57"/>
  <c r="AL9" i="57"/>
  <c r="AN9" i="57"/>
  <c r="AO9" i="57"/>
  <c r="AP9" i="57"/>
  <c r="AQ9" i="57"/>
  <c r="AR9" i="57"/>
  <c r="AT9" i="57"/>
  <c r="AU9" i="57"/>
  <c r="AW9" i="57"/>
  <c r="AX9" i="57"/>
  <c r="AY9" i="57"/>
  <c r="BA9" i="57"/>
  <c r="BB9" i="57"/>
  <c r="BC9" i="57"/>
  <c r="BD9" i="57"/>
  <c r="BE9" i="57"/>
  <c r="BF9" i="57"/>
  <c r="BG9" i="57"/>
  <c r="BI9" i="57"/>
  <c r="BJ9" i="57"/>
  <c r="BK9" i="57"/>
  <c r="BM9" i="57"/>
  <c r="BN9" i="57"/>
  <c r="BP9" i="57"/>
  <c r="BR9" i="57"/>
  <c r="BS9" i="57"/>
  <c r="BU9" i="57"/>
  <c r="BV9" i="57"/>
  <c r="BW9" i="57"/>
  <c r="BX9" i="57"/>
  <c r="BY9" i="57"/>
  <c r="CA9" i="57"/>
  <c r="CB9" i="57"/>
  <c r="CD9" i="57"/>
  <c r="CE9" i="57"/>
  <c r="CF9" i="57"/>
  <c r="CH9" i="57"/>
  <c r="CI9" i="57"/>
  <c r="CJ9" i="57"/>
  <c r="CK9" i="57"/>
  <c r="CL9" i="57"/>
  <c r="CM9" i="57"/>
  <c r="CN9" i="57"/>
  <c r="CP9" i="57"/>
  <c r="CQ9" i="57"/>
  <c r="CR9" i="57"/>
  <c r="CT9" i="57"/>
  <c r="CU9" i="57"/>
  <c r="CV9" i="57"/>
  <c r="CW9" i="57"/>
  <c r="C10" i="57"/>
  <c r="E10" i="57"/>
  <c r="F10" i="57"/>
  <c r="G10" i="57"/>
  <c r="H10" i="57"/>
  <c r="I10" i="57"/>
  <c r="K10" i="57"/>
  <c r="L10" i="57"/>
  <c r="N10" i="57"/>
  <c r="O10" i="57"/>
  <c r="P10" i="57"/>
  <c r="R10" i="57"/>
  <c r="S10" i="57"/>
  <c r="T10" i="57"/>
  <c r="U10" i="57"/>
  <c r="V10" i="57"/>
  <c r="W10" i="57"/>
  <c r="X10" i="57"/>
  <c r="Z10" i="57"/>
  <c r="AA10" i="57"/>
  <c r="AB10" i="57"/>
  <c r="AC10" i="57"/>
  <c r="AD10" i="57"/>
  <c r="AE10" i="57"/>
  <c r="AG10" i="57"/>
  <c r="AK10" i="57"/>
  <c r="AL10" i="57"/>
  <c r="AN10" i="57"/>
  <c r="AO10" i="57"/>
  <c r="AP10" i="57"/>
  <c r="AQ10" i="57"/>
  <c r="AR10" i="57"/>
  <c r="AT10" i="57"/>
  <c r="AU10" i="57"/>
  <c r="AW10" i="57"/>
  <c r="AX10" i="57"/>
  <c r="AY10" i="57"/>
  <c r="BA10" i="57"/>
  <c r="BB10" i="57"/>
  <c r="BC10" i="57"/>
  <c r="BD10" i="57"/>
  <c r="BE10" i="57"/>
  <c r="BF10" i="57"/>
  <c r="BG10" i="57"/>
  <c r="BI10" i="57"/>
  <c r="BJ10" i="57"/>
  <c r="BK10" i="57"/>
  <c r="BM10" i="57"/>
  <c r="BN10" i="57"/>
  <c r="BP10" i="57"/>
  <c r="BR10" i="57"/>
  <c r="BS10" i="57"/>
  <c r="BU10" i="57"/>
  <c r="BV10" i="57"/>
  <c r="BW10" i="57"/>
  <c r="BX10" i="57"/>
  <c r="BY10" i="57"/>
  <c r="CA10" i="57"/>
  <c r="CB10" i="57"/>
  <c r="CD10" i="57"/>
  <c r="CE10" i="57"/>
  <c r="CF10" i="57"/>
  <c r="CH10" i="57"/>
  <c r="CI10" i="57"/>
  <c r="CJ10" i="57"/>
  <c r="CK10" i="57"/>
  <c r="CL10" i="57"/>
  <c r="CM10" i="57"/>
  <c r="CN10" i="57"/>
  <c r="CP10" i="57"/>
  <c r="CQ10" i="57"/>
  <c r="CR10" i="57"/>
  <c r="CT10" i="57"/>
  <c r="CU10" i="57"/>
  <c r="CV10" i="57"/>
  <c r="CW10" i="57"/>
  <c r="C11" i="57"/>
  <c r="E11" i="57"/>
  <c r="F11" i="57"/>
  <c r="G11" i="57"/>
  <c r="H11" i="57"/>
  <c r="I11" i="57"/>
  <c r="K11" i="57"/>
  <c r="L11" i="57"/>
  <c r="N11" i="57"/>
  <c r="O11" i="57"/>
  <c r="P11" i="57"/>
  <c r="R11" i="57"/>
  <c r="S11" i="57"/>
  <c r="T11" i="57"/>
  <c r="U11" i="57"/>
  <c r="V11" i="57"/>
  <c r="W11" i="57"/>
  <c r="X11" i="57"/>
  <c r="Z11" i="57"/>
  <c r="AA11" i="57"/>
  <c r="AB11" i="57"/>
  <c r="AC11" i="57"/>
  <c r="AD11" i="57"/>
  <c r="AE11" i="57"/>
  <c r="AK11" i="57"/>
  <c r="AL11" i="57"/>
  <c r="AN11" i="57"/>
  <c r="AO11" i="57"/>
  <c r="AP11" i="57"/>
  <c r="AQ11" i="57"/>
  <c r="AR11" i="57"/>
  <c r="AT11" i="57"/>
  <c r="AU11" i="57"/>
  <c r="AW11" i="57"/>
  <c r="AX11" i="57"/>
  <c r="AY11" i="57"/>
  <c r="BA11" i="57"/>
  <c r="BB11" i="57"/>
  <c r="BC11" i="57"/>
  <c r="BD11" i="57"/>
  <c r="BE11" i="57"/>
  <c r="BF11" i="57"/>
  <c r="BG11" i="57"/>
  <c r="BI11" i="57"/>
  <c r="BJ11" i="57"/>
  <c r="BK11" i="57"/>
  <c r="BR11" i="57"/>
  <c r="BS11" i="57"/>
  <c r="C12" i="57"/>
  <c r="E12" i="57"/>
  <c r="F12" i="57"/>
  <c r="G12" i="57"/>
  <c r="H12" i="57"/>
  <c r="I12" i="57"/>
  <c r="K12" i="57"/>
  <c r="L12" i="57"/>
  <c r="N12" i="57"/>
  <c r="O12" i="57"/>
  <c r="P12" i="57"/>
  <c r="R12" i="57"/>
  <c r="S12" i="57"/>
  <c r="T12" i="57"/>
  <c r="U12" i="57"/>
  <c r="V12" i="57"/>
  <c r="W12" i="57"/>
  <c r="X12" i="57"/>
  <c r="Z12" i="57"/>
  <c r="AA12" i="57"/>
  <c r="AB12" i="57"/>
  <c r="AC12" i="57"/>
  <c r="AD12" i="57"/>
  <c r="AE12" i="57"/>
  <c r="AK12" i="57"/>
  <c r="AL12" i="57"/>
  <c r="AN12" i="57"/>
  <c r="AO12" i="57"/>
  <c r="AP12" i="57"/>
  <c r="AQ12" i="57"/>
  <c r="AR12" i="57"/>
  <c r="AT12" i="57"/>
  <c r="AU12" i="57"/>
  <c r="AW12" i="57"/>
  <c r="AX12" i="57"/>
  <c r="AY12" i="57"/>
  <c r="BA12" i="57"/>
  <c r="BB12" i="57"/>
  <c r="BC12" i="57"/>
  <c r="BD12" i="57"/>
  <c r="BE12" i="57"/>
  <c r="BF12" i="57"/>
  <c r="BG12" i="57"/>
  <c r="BI12" i="57"/>
  <c r="BJ12" i="57"/>
  <c r="BK12" i="57"/>
  <c r="BR12" i="57"/>
  <c r="BS12" i="57"/>
  <c r="C13" i="57"/>
  <c r="E13" i="57"/>
  <c r="F13" i="57"/>
  <c r="G13" i="57"/>
  <c r="H13" i="57"/>
  <c r="I13" i="57"/>
  <c r="K13" i="57"/>
  <c r="L13" i="57"/>
  <c r="N13" i="57"/>
  <c r="O13" i="57"/>
  <c r="P13" i="57"/>
  <c r="R13" i="57"/>
  <c r="S13" i="57"/>
  <c r="T13" i="57"/>
  <c r="U13" i="57"/>
  <c r="V13" i="57"/>
  <c r="W13" i="57"/>
  <c r="X13" i="57"/>
  <c r="Z13" i="57"/>
  <c r="AA13" i="57"/>
  <c r="AB13" i="57"/>
  <c r="AC13" i="57"/>
  <c r="AD13" i="57"/>
  <c r="AE13" i="57"/>
  <c r="AG13" i="57"/>
  <c r="AK13" i="57"/>
  <c r="AL13" i="57"/>
  <c r="AN13" i="57"/>
  <c r="AO13" i="57"/>
  <c r="AP13" i="57"/>
  <c r="AQ13" i="57"/>
  <c r="AR13" i="57"/>
  <c r="AT13" i="57"/>
  <c r="AU13" i="57"/>
  <c r="AW13" i="57"/>
  <c r="AX13" i="57"/>
  <c r="AY13" i="57"/>
  <c r="BA13" i="57"/>
  <c r="BB13" i="57"/>
  <c r="BC13" i="57"/>
  <c r="BD13" i="57"/>
  <c r="BE13" i="57"/>
  <c r="BF13" i="57"/>
  <c r="BG13" i="57"/>
  <c r="BI13" i="57"/>
  <c r="BJ13" i="57"/>
  <c r="BK13" i="57"/>
  <c r="BM13" i="57"/>
  <c r="BN13" i="57"/>
  <c r="BP13" i="57"/>
  <c r="BR13" i="57"/>
  <c r="BS13" i="57"/>
  <c r="BU13" i="57"/>
  <c r="BV13" i="57"/>
  <c r="BW13" i="57"/>
  <c r="BX13" i="57"/>
  <c r="BY13" i="57"/>
  <c r="CA13" i="57"/>
  <c r="CB13" i="57"/>
  <c r="CD13" i="57"/>
  <c r="CE13" i="57"/>
  <c r="CF13" i="57"/>
  <c r="CH13" i="57"/>
  <c r="CI13" i="57"/>
  <c r="CJ13" i="57"/>
  <c r="CK13" i="57"/>
  <c r="CL13" i="57"/>
  <c r="CM13" i="57"/>
  <c r="CN13" i="57"/>
  <c r="CP13" i="57"/>
  <c r="CQ13" i="57"/>
  <c r="CR13" i="57"/>
  <c r="CT13" i="57"/>
  <c r="CU13" i="57"/>
  <c r="CV13" i="57"/>
  <c r="CW13" i="57"/>
  <c r="C14" i="57"/>
  <c r="E14" i="57"/>
  <c r="F14" i="57"/>
  <c r="G14" i="57"/>
  <c r="H14" i="57"/>
  <c r="I14" i="57"/>
  <c r="K14" i="57"/>
  <c r="L14" i="57"/>
  <c r="N14" i="57"/>
  <c r="O14" i="57"/>
  <c r="P14" i="57"/>
  <c r="R14" i="57"/>
  <c r="S14" i="57"/>
  <c r="T14" i="57"/>
  <c r="U14" i="57"/>
  <c r="V14" i="57"/>
  <c r="W14" i="57"/>
  <c r="X14" i="57"/>
  <c r="Z14" i="57"/>
  <c r="AA14" i="57"/>
  <c r="AB14" i="57"/>
  <c r="AD14" i="57"/>
  <c r="AE14" i="57"/>
  <c r="AK14" i="57"/>
  <c r="AL14" i="57"/>
  <c r="AN14" i="57"/>
  <c r="AO14" i="57"/>
  <c r="AP14" i="57"/>
  <c r="AQ14" i="57"/>
  <c r="AR14" i="57"/>
  <c r="AT14" i="57"/>
  <c r="AU14" i="57"/>
  <c r="AW14" i="57"/>
  <c r="AX14" i="57"/>
  <c r="AY14" i="57"/>
  <c r="BA14" i="57"/>
  <c r="BB14" i="57"/>
  <c r="BC14" i="57"/>
  <c r="BD14" i="57"/>
  <c r="BE14" i="57"/>
  <c r="BF14" i="57"/>
  <c r="BG14" i="57"/>
  <c r="BI14" i="57"/>
  <c r="BJ14" i="57"/>
  <c r="BK14" i="57"/>
  <c r="BR14" i="57"/>
  <c r="BS14" i="57"/>
  <c r="B15" i="57"/>
  <c r="C15" i="57"/>
  <c r="E15" i="57"/>
  <c r="F15" i="57"/>
  <c r="G15" i="57"/>
  <c r="H15" i="57"/>
  <c r="I15" i="57"/>
  <c r="K15" i="57"/>
  <c r="L15" i="57"/>
  <c r="N15" i="57"/>
  <c r="O15" i="57"/>
  <c r="P15" i="57"/>
  <c r="R15" i="57"/>
  <c r="S15" i="57"/>
  <c r="T15" i="57"/>
  <c r="U15" i="57"/>
  <c r="V15" i="57"/>
  <c r="W15" i="57"/>
  <c r="X15" i="57"/>
  <c r="Z15" i="57"/>
  <c r="AA15" i="57"/>
  <c r="AB15" i="57"/>
  <c r="AC15" i="57"/>
  <c r="AD15" i="57"/>
  <c r="AE15" i="57"/>
  <c r="AG15" i="57"/>
  <c r="AK15" i="57"/>
  <c r="AL15" i="57"/>
  <c r="AN15" i="57"/>
  <c r="AO15" i="57"/>
  <c r="AP15" i="57"/>
  <c r="AQ15" i="57"/>
  <c r="AR15" i="57"/>
  <c r="AT15" i="57"/>
  <c r="AU15" i="57"/>
  <c r="AW15" i="57"/>
  <c r="AX15" i="57"/>
  <c r="AY15" i="57"/>
  <c r="BA15" i="57"/>
  <c r="BB15" i="57"/>
  <c r="BC15" i="57"/>
  <c r="BD15" i="57"/>
  <c r="BE15" i="57"/>
  <c r="BF15" i="57"/>
  <c r="BG15" i="57"/>
  <c r="BI15" i="57"/>
  <c r="BJ15" i="57"/>
  <c r="BK15" i="57"/>
  <c r="BM15" i="57"/>
  <c r="BN15" i="57"/>
  <c r="BP15" i="57"/>
  <c r="BR15" i="57"/>
  <c r="BS15" i="57"/>
  <c r="BU15" i="57"/>
  <c r="BV15" i="57"/>
  <c r="BW15" i="57"/>
  <c r="BX15" i="57"/>
  <c r="BY15" i="57"/>
  <c r="CA15" i="57"/>
  <c r="CB15" i="57"/>
  <c r="CD15" i="57"/>
  <c r="CE15" i="57"/>
  <c r="CF15" i="57"/>
  <c r="CH15" i="57"/>
  <c r="CI15" i="57"/>
  <c r="CJ15" i="57"/>
  <c r="CK15" i="57"/>
  <c r="CL15" i="57"/>
  <c r="CM15" i="57"/>
  <c r="CN15" i="57"/>
  <c r="CP15" i="57"/>
  <c r="CQ15" i="57"/>
  <c r="CR15" i="57"/>
  <c r="CT15" i="57"/>
  <c r="CU15" i="57"/>
  <c r="CV15" i="57"/>
  <c r="CW15" i="57"/>
  <c r="B16" i="57"/>
  <c r="C16" i="57"/>
  <c r="E16" i="57"/>
  <c r="F16" i="57"/>
  <c r="G16" i="57"/>
  <c r="H16" i="57"/>
  <c r="I16" i="57"/>
  <c r="K16" i="57"/>
  <c r="L16" i="57"/>
  <c r="N16" i="57"/>
  <c r="O16" i="57"/>
  <c r="P16" i="57"/>
  <c r="R16" i="57"/>
  <c r="S16" i="57"/>
  <c r="T16" i="57"/>
  <c r="U16" i="57"/>
  <c r="V16" i="57"/>
  <c r="W16" i="57"/>
  <c r="X16" i="57"/>
  <c r="Z16" i="57"/>
  <c r="AA16" i="57"/>
  <c r="AB16" i="57"/>
  <c r="AC16" i="57"/>
  <c r="AD16" i="57"/>
  <c r="AE16" i="57"/>
  <c r="AK16" i="57"/>
  <c r="AL16" i="57"/>
  <c r="AN16" i="57"/>
  <c r="AO16" i="57"/>
  <c r="AP16" i="57"/>
  <c r="AQ16" i="57"/>
  <c r="AR16" i="57"/>
  <c r="AT16" i="57"/>
  <c r="AU16" i="57"/>
  <c r="AW16" i="57"/>
  <c r="AX16" i="57"/>
  <c r="AY16" i="57"/>
  <c r="BA16" i="57"/>
  <c r="BB16" i="57"/>
  <c r="BC16" i="57"/>
  <c r="BD16" i="57"/>
  <c r="BE16" i="57"/>
  <c r="BF16" i="57"/>
  <c r="BG16" i="57"/>
  <c r="BI16" i="57"/>
  <c r="BJ16" i="57"/>
  <c r="BK16" i="57"/>
  <c r="BR16" i="57"/>
  <c r="BS16" i="57"/>
  <c r="B17" i="57"/>
  <c r="C17" i="57"/>
  <c r="E17" i="57"/>
  <c r="F17" i="57"/>
  <c r="G17" i="57"/>
  <c r="H17" i="57"/>
  <c r="I17" i="57"/>
  <c r="K17" i="57"/>
  <c r="L17" i="57"/>
  <c r="N17" i="57"/>
  <c r="O17" i="57"/>
  <c r="P17" i="57"/>
  <c r="R17" i="57"/>
  <c r="S17" i="57"/>
  <c r="T17" i="57"/>
  <c r="U17" i="57"/>
  <c r="V17" i="57"/>
  <c r="W17" i="57"/>
  <c r="X17" i="57"/>
  <c r="Z17" i="57"/>
  <c r="AA17" i="57"/>
  <c r="AB17" i="57"/>
  <c r="AC17" i="57"/>
  <c r="AD17" i="57"/>
  <c r="AE17" i="57"/>
  <c r="AG17" i="57"/>
  <c r="AK17" i="57"/>
  <c r="AL17" i="57"/>
  <c r="AN17" i="57"/>
  <c r="AO17" i="57"/>
  <c r="AP17" i="57"/>
  <c r="AQ17" i="57"/>
  <c r="AR17" i="57"/>
  <c r="AT17" i="57"/>
  <c r="AU17" i="57"/>
  <c r="AW17" i="57"/>
  <c r="AX17" i="57"/>
  <c r="AY17" i="57"/>
  <c r="BA17" i="57"/>
  <c r="BB17" i="57"/>
  <c r="BC17" i="57"/>
  <c r="BD17" i="57"/>
  <c r="BE17" i="57"/>
  <c r="BF17" i="57"/>
  <c r="BG17" i="57"/>
  <c r="BI17" i="57"/>
  <c r="BJ17" i="57"/>
  <c r="BK17" i="57"/>
  <c r="BM17" i="57"/>
  <c r="BN17" i="57"/>
  <c r="BP17" i="57"/>
  <c r="BR17" i="57"/>
  <c r="BS17" i="57"/>
  <c r="BU17" i="57"/>
  <c r="BV17" i="57"/>
  <c r="BW17" i="57"/>
  <c r="BX17" i="57"/>
  <c r="BY17" i="57"/>
  <c r="CA17" i="57"/>
  <c r="CB17" i="57"/>
  <c r="CD17" i="57"/>
  <c r="CE17" i="57"/>
  <c r="CF17" i="57"/>
  <c r="CH17" i="57"/>
  <c r="CI17" i="57"/>
  <c r="CJ17" i="57"/>
  <c r="CK17" i="57"/>
  <c r="CL17" i="57"/>
  <c r="CM17" i="57"/>
  <c r="CN17" i="57"/>
  <c r="CP17" i="57"/>
  <c r="CQ17" i="57"/>
  <c r="CR17" i="57"/>
  <c r="CT17" i="57"/>
  <c r="CU17" i="57"/>
  <c r="CV17" i="57"/>
  <c r="CW17" i="57"/>
  <c r="B18" i="57"/>
  <c r="C18" i="57"/>
  <c r="E18" i="57"/>
  <c r="F18" i="57"/>
  <c r="G18" i="57"/>
  <c r="H18" i="57"/>
  <c r="I18" i="57"/>
  <c r="K18" i="57"/>
  <c r="L18" i="57"/>
  <c r="N18" i="57"/>
  <c r="O18" i="57"/>
  <c r="P18" i="57"/>
  <c r="R18" i="57"/>
  <c r="S18" i="57"/>
  <c r="T18" i="57"/>
  <c r="U18" i="57"/>
  <c r="V18" i="57"/>
  <c r="W18" i="57"/>
  <c r="X18" i="57"/>
  <c r="Z18" i="57"/>
  <c r="AA18" i="57"/>
  <c r="AB18" i="57"/>
  <c r="AC18" i="57"/>
  <c r="AD18" i="57"/>
  <c r="AE18" i="57"/>
  <c r="AK18" i="57"/>
  <c r="AL18" i="57"/>
  <c r="AN18" i="57"/>
  <c r="AO18" i="57"/>
  <c r="AP18" i="57"/>
  <c r="AQ18" i="57"/>
  <c r="AR18" i="57"/>
  <c r="AT18" i="57"/>
  <c r="AU18" i="57"/>
  <c r="AW18" i="57"/>
  <c r="AX18" i="57"/>
  <c r="AY18" i="57"/>
  <c r="BA18" i="57"/>
  <c r="BB18" i="57"/>
  <c r="BC18" i="57"/>
  <c r="BD18" i="57"/>
  <c r="BE18" i="57"/>
  <c r="BF18" i="57"/>
  <c r="BG18" i="57"/>
  <c r="BI18" i="57"/>
  <c r="BJ18" i="57"/>
  <c r="BK18" i="57"/>
  <c r="BR18" i="57"/>
  <c r="BS18" i="57"/>
  <c r="B19" i="57"/>
  <c r="C19" i="57"/>
  <c r="E19" i="57"/>
  <c r="F19" i="57"/>
  <c r="G19" i="57"/>
  <c r="H19" i="57"/>
  <c r="I19" i="57"/>
  <c r="K19" i="57"/>
  <c r="L19" i="57"/>
  <c r="N19" i="57"/>
  <c r="O19" i="57"/>
  <c r="P19" i="57"/>
  <c r="R19" i="57"/>
  <c r="S19" i="57"/>
  <c r="T19" i="57"/>
  <c r="U19" i="57"/>
  <c r="V19" i="57"/>
  <c r="W19" i="57"/>
  <c r="X19" i="57"/>
  <c r="Z19" i="57"/>
  <c r="AA19" i="57"/>
  <c r="AB19" i="57"/>
  <c r="AC19" i="57"/>
  <c r="AD19" i="57"/>
  <c r="AE19" i="57"/>
  <c r="AG19" i="57"/>
  <c r="AK19" i="57"/>
  <c r="AL19" i="57"/>
  <c r="AN19" i="57"/>
  <c r="AO19" i="57"/>
  <c r="AP19" i="57"/>
  <c r="AQ19" i="57"/>
  <c r="AR19" i="57"/>
  <c r="AT19" i="57"/>
  <c r="AU19" i="57"/>
  <c r="AW19" i="57"/>
  <c r="AX19" i="57"/>
  <c r="AY19" i="57"/>
  <c r="BA19" i="57"/>
  <c r="BB19" i="57"/>
  <c r="BC19" i="57"/>
  <c r="BD19" i="57"/>
  <c r="BE19" i="57"/>
  <c r="BF19" i="57"/>
  <c r="BG19" i="57"/>
  <c r="BI19" i="57"/>
  <c r="BJ19" i="57"/>
  <c r="BK19" i="57"/>
  <c r="BM19" i="57"/>
  <c r="BN19" i="57"/>
  <c r="BP19" i="57"/>
  <c r="BR19" i="57"/>
  <c r="BS19" i="57"/>
  <c r="BU19" i="57"/>
  <c r="BV19" i="57"/>
  <c r="BW19" i="57"/>
  <c r="BX19" i="57"/>
  <c r="BY19" i="57"/>
  <c r="CA19" i="57"/>
  <c r="CB19" i="57"/>
  <c r="CD19" i="57"/>
  <c r="CE19" i="57"/>
  <c r="CF19" i="57"/>
  <c r="CH19" i="57"/>
  <c r="CI19" i="57"/>
  <c r="CJ19" i="57"/>
  <c r="CK19" i="57"/>
  <c r="CL19" i="57"/>
  <c r="CM19" i="57"/>
  <c r="CN19" i="57"/>
  <c r="CP19" i="57"/>
  <c r="CQ19" i="57"/>
  <c r="CR19" i="57"/>
  <c r="CT19" i="57"/>
  <c r="CU19" i="57"/>
  <c r="CV19" i="57"/>
  <c r="CW19" i="57"/>
  <c r="B20" i="57"/>
  <c r="C20" i="57"/>
  <c r="E20" i="57"/>
  <c r="F20" i="57"/>
  <c r="G20" i="57"/>
  <c r="H20" i="57"/>
  <c r="I20" i="57"/>
  <c r="K20" i="57"/>
  <c r="L20" i="57"/>
  <c r="N20" i="57"/>
  <c r="O20" i="57"/>
  <c r="P20" i="57"/>
  <c r="R20" i="57"/>
  <c r="S20" i="57"/>
  <c r="T20" i="57"/>
  <c r="U20" i="57"/>
  <c r="V20" i="57"/>
  <c r="W20" i="57"/>
  <c r="X20" i="57"/>
  <c r="Z20" i="57"/>
  <c r="AA20" i="57"/>
  <c r="AB20" i="57"/>
  <c r="AC20" i="57"/>
  <c r="AD20" i="57"/>
  <c r="AE20" i="57"/>
  <c r="AK20" i="57"/>
  <c r="AL20" i="57"/>
  <c r="AN20" i="57"/>
  <c r="AO20" i="57"/>
  <c r="AP20" i="57"/>
  <c r="AQ20" i="57"/>
  <c r="AR20" i="57"/>
  <c r="AT20" i="57"/>
  <c r="AU20" i="57"/>
  <c r="AW20" i="57"/>
  <c r="AX20" i="57"/>
  <c r="AY20" i="57"/>
  <c r="BA20" i="57"/>
  <c r="BB20" i="57"/>
  <c r="BC20" i="57"/>
  <c r="BD20" i="57"/>
  <c r="BE20" i="57"/>
  <c r="BF20" i="57"/>
  <c r="BG20" i="57"/>
  <c r="BI20" i="57"/>
  <c r="BJ20" i="57"/>
  <c r="BK20" i="57"/>
  <c r="BR20" i="57"/>
  <c r="BS20" i="57"/>
  <c r="B21" i="57"/>
  <c r="C21" i="57"/>
  <c r="E21" i="57"/>
  <c r="F21" i="57"/>
  <c r="G21" i="57"/>
  <c r="H21" i="57"/>
  <c r="I21" i="57"/>
  <c r="K21" i="57"/>
  <c r="L21" i="57"/>
  <c r="N21" i="57"/>
  <c r="O21" i="57"/>
  <c r="P21" i="57"/>
  <c r="R21" i="57"/>
  <c r="S21" i="57"/>
  <c r="T21" i="57"/>
  <c r="U21" i="57"/>
  <c r="V21" i="57"/>
  <c r="W21" i="57"/>
  <c r="X21" i="57"/>
  <c r="Z21" i="57"/>
  <c r="AA21" i="57"/>
  <c r="AB21" i="57"/>
  <c r="AC21" i="57"/>
  <c r="AD21" i="57"/>
  <c r="AE21" i="57"/>
  <c r="AG21" i="57"/>
  <c r="AK21" i="57"/>
  <c r="AL21" i="57"/>
  <c r="AN21" i="57"/>
  <c r="AO21" i="57"/>
  <c r="AP21" i="57"/>
  <c r="AQ21" i="57"/>
  <c r="AR21" i="57"/>
  <c r="AT21" i="57"/>
  <c r="AU21" i="57"/>
  <c r="AW21" i="57"/>
  <c r="AX21" i="57"/>
  <c r="AY21" i="57"/>
  <c r="BA21" i="57"/>
  <c r="BB21" i="57"/>
  <c r="BC21" i="57"/>
  <c r="BD21" i="57"/>
  <c r="BE21" i="57"/>
  <c r="BF21" i="57"/>
  <c r="BG21" i="57"/>
  <c r="BI21" i="57"/>
  <c r="BJ21" i="57"/>
  <c r="BK21" i="57"/>
  <c r="BM21" i="57"/>
  <c r="BN21" i="57"/>
  <c r="BP21" i="57"/>
  <c r="BR21" i="57"/>
  <c r="BS21" i="57"/>
  <c r="BU21" i="57"/>
  <c r="BV21" i="57"/>
  <c r="BW21" i="57"/>
  <c r="BX21" i="57"/>
  <c r="BY21" i="57"/>
  <c r="CA21" i="57"/>
  <c r="CB21" i="57"/>
  <c r="CD21" i="57"/>
  <c r="CE21" i="57"/>
  <c r="CF21" i="57"/>
  <c r="CH21" i="57"/>
  <c r="CI21" i="57"/>
  <c r="CJ21" i="57"/>
  <c r="CK21" i="57"/>
  <c r="CL21" i="57"/>
  <c r="CM21" i="57"/>
  <c r="CN21" i="57"/>
  <c r="CP21" i="57"/>
  <c r="CQ21" i="57"/>
  <c r="CR21" i="57"/>
  <c r="CT21" i="57"/>
  <c r="CU21" i="57"/>
  <c r="CV21" i="57"/>
  <c r="CW21" i="57"/>
  <c r="B22" i="57"/>
  <c r="C22" i="57"/>
  <c r="E22" i="57"/>
  <c r="F22" i="57"/>
  <c r="G22" i="57"/>
  <c r="H22" i="57"/>
  <c r="I22" i="57"/>
  <c r="K22" i="57"/>
  <c r="L22" i="57"/>
  <c r="N22" i="57"/>
  <c r="O22" i="57"/>
  <c r="P22" i="57"/>
  <c r="R22" i="57"/>
  <c r="S22" i="57"/>
  <c r="T22" i="57"/>
  <c r="U22" i="57"/>
  <c r="V22" i="57"/>
  <c r="W22" i="57"/>
  <c r="X22" i="57"/>
  <c r="Z22" i="57"/>
  <c r="AA22" i="57"/>
  <c r="AB22" i="57"/>
  <c r="AC22" i="57"/>
  <c r="AD22" i="57"/>
  <c r="AE22" i="57"/>
  <c r="AK22" i="57"/>
  <c r="AL22" i="57"/>
  <c r="AN22" i="57"/>
  <c r="AO22" i="57"/>
  <c r="AP22" i="57"/>
  <c r="AQ22" i="57"/>
  <c r="AR22" i="57"/>
  <c r="AT22" i="57"/>
  <c r="AU22" i="57"/>
  <c r="AW22" i="57"/>
  <c r="AX22" i="57"/>
  <c r="AY22" i="57"/>
  <c r="BA22" i="57"/>
  <c r="BB22" i="57"/>
  <c r="BC22" i="57"/>
  <c r="BD22" i="57"/>
  <c r="BE22" i="57"/>
  <c r="BF22" i="57"/>
  <c r="BG22" i="57"/>
  <c r="BI22" i="57"/>
  <c r="BJ22" i="57"/>
  <c r="BK22" i="57"/>
  <c r="BR22" i="57"/>
  <c r="BS22" i="57"/>
  <c r="B23" i="57"/>
  <c r="C23" i="57"/>
  <c r="E23" i="57"/>
  <c r="F23" i="57"/>
  <c r="G23" i="57"/>
  <c r="H23" i="57"/>
  <c r="I23" i="57"/>
  <c r="K23" i="57"/>
  <c r="L23" i="57"/>
  <c r="N23" i="57"/>
  <c r="O23" i="57"/>
  <c r="P23" i="57"/>
  <c r="R23" i="57"/>
  <c r="S23" i="57"/>
  <c r="T23" i="57"/>
  <c r="U23" i="57"/>
  <c r="V23" i="57"/>
  <c r="W23" i="57"/>
  <c r="X23" i="57"/>
  <c r="Z23" i="57"/>
  <c r="AA23" i="57"/>
  <c r="AB23" i="57"/>
  <c r="AC23" i="57"/>
  <c r="AD23" i="57"/>
  <c r="AE23" i="57"/>
  <c r="AG23" i="57"/>
  <c r="AK23" i="57"/>
  <c r="AL23" i="57"/>
  <c r="AN23" i="57"/>
  <c r="AO23" i="57"/>
  <c r="AP23" i="57"/>
  <c r="AQ23" i="57"/>
  <c r="AR23" i="57"/>
  <c r="AT23" i="57"/>
  <c r="AU23" i="57"/>
  <c r="AW23" i="57"/>
  <c r="AX23" i="57"/>
  <c r="AY23" i="57"/>
  <c r="BA23" i="57"/>
  <c r="BB23" i="57"/>
  <c r="BC23" i="57"/>
  <c r="BD23" i="57"/>
  <c r="BE23" i="57"/>
  <c r="BF23" i="57"/>
  <c r="BG23" i="57"/>
  <c r="BI23" i="57"/>
  <c r="BJ23" i="57"/>
  <c r="BK23" i="57"/>
  <c r="BM23" i="57"/>
  <c r="BN23" i="57"/>
  <c r="BP23" i="57"/>
  <c r="BR23" i="57"/>
  <c r="BS23" i="57"/>
  <c r="BU23" i="57"/>
  <c r="BV23" i="57"/>
  <c r="BW23" i="57"/>
  <c r="BX23" i="57"/>
  <c r="BY23" i="57"/>
  <c r="CA23" i="57"/>
  <c r="CB23" i="57"/>
  <c r="CD23" i="57"/>
  <c r="CE23" i="57"/>
  <c r="CF23" i="57"/>
  <c r="CH23" i="57"/>
  <c r="CI23" i="57"/>
  <c r="CJ23" i="57"/>
  <c r="CK23" i="57"/>
  <c r="CL23" i="57"/>
  <c r="CM23" i="57"/>
  <c r="CN23" i="57"/>
  <c r="CP23" i="57"/>
  <c r="CQ23" i="57"/>
  <c r="CR23" i="57"/>
  <c r="CT23" i="57"/>
  <c r="CU23" i="57"/>
  <c r="CV23" i="57"/>
  <c r="CW23" i="57"/>
  <c r="B24" i="57"/>
  <c r="C24" i="57"/>
  <c r="E24" i="57"/>
  <c r="F24" i="57"/>
  <c r="G24" i="57"/>
  <c r="H24" i="57"/>
  <c r="I24" i="57"/>
  <c r="K24" i="57"/>
  <c r="L24" i="57"/>
  <c r="N24" i="57"/>
  <c r="O24" i="57"/>
  <c r="P24" i="57"/>
  <c r="R24" i="57"/>
  <c r="S24" i="57"/>
  <c r="T24" i="57"/>
  <c r="U24" i="57"/>
  <c r="V24" i="57"/>
  <c r="W24" i="57"/>
  <c r="X24" i="57"/>
  <c r="Z24" i="57"/>
  <c r="AA24" i="57"/>
  <c r="AB24" i="57"/>
  <c r="AC24" i="57"/>
  <c r="AD24" i="57"/>
  <c r="AE24" i="57"/>
  <c r="AK24" i="57"/>
  <c r="AL24" i="57"/>
  <c r="AN24" i="57"/>
  <c r="AO24" i="57"/>
  <c r="AP24" i="57"/>
  <c r="AQ24" i="57"/>
  <c r="AR24" i="57"/>
  <c r="AT24" i="57"/>
  <c r="AU24" i="57"/>
  <c r="AW24" i="57"/>
  <c r="AX24" i="57"/>
  <c r="AY24" i="57"/>
  <c r="BA24" i="57"/>
  <c r="BB24" i="57"/>
  <c r="BC24" i="57"/>
  <c r="BD24" i="57"/>
  <c r="BE24" i="57"/>
  <c r="BF24" i="57"/>
  <c r="BG24" i="57"/>
  <c r="BI24" i="57"/>
  <c r="BJ24" i="57"/>
  <c r="BK24" i="57"/>
  <c r="BR24" i="57"/>
  <c r="BS24" i="57"/>
  <c r="B25" i="57"/>
  <c r="C25" i="57"/>
  <c r="E25" i="57"/>
  <c r="F25" i="57"/>
  <c r="G25" i="57"/>
  <c r="H25" i="57"/>
  <c r="I25" i="57"/>
  <c r="K25" i="57"/>
  <c r="L25" i="57"/>
  <c r="N25" i="57"/>
  <c r="O25" i="57"/>
  <c r="P25" i="57"/>
  <c r="R25" i="57"/>
  <c r="S25" i="57"/>
  <c r="T25" i="57"/>
  <c r="U25" i="57"/>
  <c r="V25" i="57"/>
  <c r="W25" i="57"/>
  <c r="X25" i="57"/>
  <c r="Z25" i="57"/>
  <c r="AA25" i="57"/>
  <c r="AB25" i="57"/>
  <c r="AC25" i="57"/>
  <c r="AD25" i="57"/>
  <c r="AE25" i="57"/>
  <c r="AG25" i="57"/>
  <c r="AK25" i="57"/>
  <c r="AL25" i="57"/>
  <c r="AN25" i="57"/>
  <c r="AO25" i="57"/>
  <c r="AP25" i="57"/>
  <c r="AQ25" i="57"/>
  <c r="AR25" i="57"/>
  <c r="AT25" i="57"/>
  <c r="AU25" i="57"/>
  <c r="AW25" i="57"/>
  <c r="AX25" i="57"/>
  <c r="AY25" i="57"/>
  <c r="BA25" i="57"/>
  <c r="BB25" i="57"/>
  <c r="BC25" i="57"/>
  <c r="BD25" i="57"/>
  <c r="BE25" i="57"/>
  <c r="BF25" i="57"/>
  <c r="BG25" i="57"/>
  <c r="BI25" i="57"/>
  <c r="BJ25" i="57"/>
  <c r="BK25" i="57"/>
  <c r="BM25" i="57"/>
  <c r="BN25" i="57"/>
  <c r="BP25" i="57"/>
  <c r="BR25" i="57"/>
  <c r="BS25" i="57"/>
  <c r="BU25" i="57"/>
  <c r="BV25" i="57"/>
  <c r="BW25" i="57"/>
  <c r="BX25" i="57"/>
  <c r="BY25" i="57"/>
  <c r="CA25" i="57"/>
  <c r="CB25" i="57"/>
  <c r="CD25" i="57"/>
  <c r="CE25" i="57"/>
  <c r="CF25" i="57"/>
  <c r="CH25" i="57"/>
  <c r="CI25" i="57"/>
  <c r="CJ25" i="57"/>
  <c r="CK25" i="57"/>
  <c r="CL25" i="57"/>
  <c r="CM25" i="57"/>
  <c r="CN25" i="57"/>
  <c r="CP25" i="57"/>
  <c r="CQ25" i="57"/>
  <c r="CR25" i="57"/>
  <c r="CT25" i="57"/>
  <c r="CU25" i="57"/>
  <c r="CV25" i="57"/>
  <c r="CW25" i="57"/>
  <c r="B26" i="57"/>
  <c r="C26" i="57"/>
  <c r="E26" i="57"/>
  <c r="F26" i="57"/>
  <c r="G26" i="57"/>
  <c r="H26" i="57"/>
  <c r="I26" i="57"/>
  <c r="K26" i="57"/>
  <c r="L26" i="57"/>
  <c r="N26" i="57"/>
  <c r="O26" i="57"/>
  <c r="P26" i="57"/>
  <c r="R26" i="57"/>
  <c r="S26" i="57"/>
  <c r="T26" i="57"/>
  <c r="U26" i="57"/>
  <c r="V26" i="57"/>
  <c r="W26" i="57"/>
  <c r="X26" i="57"/>
  <c r="Z26" i="57"/>
  <c r="AA26" i="57"/>
  <c r="AB26" i="57"/>
  <c r="AC26" i="57"/>
  <c r="AD26" i="57"/>
  <c r="AE26" i="57"/>
  <c r="AK26" i="57"/>
  <c r="AL26" i="57"/>
  <c r="AN26" i="57"/>
  <c r="AO26" i="57"/>
  <c r="AP26" i="57"/>
  <c r="AQ26" i="57"/>
  <c r="AR26" i="57"/>
  <c r="AT26" i="57"/>
  <c r="AU26" i="57"/>
  <c r="AW26" i="57"/>
  <c r="AX26" i="57"/>
  <c r="AY26" i="57"/>
  <c r="BA26" i="57"/>
  <c r="BB26" i="57"/>
  <c r="BC26" i="57"/>
  <c r="BD26" i="57"/>
  <c r="BE26" i="57"/>
  <c r="BF26" i="57"/>
  <c r="BG26" i="57"/>
  <c r="BI26" i="57"/>
  <c r="BJ26" i="57"/>
  <c r="BK26" i="57"/>
  <c r="BR26" i="57"/>
  <c r="BS26" i="57"/>
  <c r="B27" i="57"/>
  <c r="C27" i="57"/>
  <c r="E27" i="57"/>
  <c r="F27" i="57"/>
  <c r="G27" i="57"/>
  <c r="H27" i="57"/>
  <c r="I27" i="57"/>
  <c r="K27" i="57"/>
  <c r="L27" i="57"/>
  <c r="N27" i="57"/>
  <c r="O27" i="57"/>
  <c r="P27" i="57"/>
  <c r="R27" i="57"/>
  <c r="S27" i="57"/>
  <c r="T27" i="57"/>
  <c r="U27" i="57"/>
  <c r="V27" i="57"/>
  <c r="W27" i="57"/>
  <c r="X27" i="57"/>
  <c r="Z27" i="57"/>
  <c r="AA27" i="57"/>
  <c r="AB27" i="57"/>
  <c r="AC27" i="57"/>
  <c r="AD27" i="57"/>
  <c r="AE27" i="57"/>
  <c r="AG27" i="57"/>
  <c r="AK27" i="57"/>
  <c r="AL27" i="57"/>
  <c r="AN27" i="57"/>
  <c r="AO27" i="57"/>
  <c r="AP27" i="57"/>
  <c r="AQ27" i="57"/>
  <c r="AR27" i="57"/>
  <c r="AT27" i="57"/>
  <c r="AU27" i="57"/>
  <c r="AW27" i="57"/>
  <c r="AX27" i="57"/>
  <c r="AY27" i="57"/>
  <c r="BA27" i="57"/>
  <c r="BB27" i="57"/>
  <c r="BC27" i="57"/>
  <c r="BD27" i="57"/>
  <c r="BE27" i="57"/>
  <c r="BF27" i="57"/>
  <c r="BG27" i="57"/>
  <c r="BI27" i="57"/>
  <c r="BJ27" i="57"/>
  <c r="BK27" i="57"/>
  <c r="BM27" i="57"/>
  <c r="BN27" i="57"/>
  <c r="BP27" i="57"/>
  <c r="BR27" i="57"/>
  <c r="BS27" i="57"/>
  <c r="BU27" i="57"/>
  <c r="BV27" i="57"/>
  <c r="BW27" i="57"/>
  <c r="BX27" i="57"/>
  <c r="BY27" i="57"/>
  <c r="CA27" i="57"/>
  <c r="CB27" i="57"/>
  <c r="CD27" i="57"/>
  <c r="CE27" i="57"/>
  <c r="CF27" i="57"/>
  <c r="CH27" i="57"/>
  <c r="CI27" i="57"/>
  <c r="CJ27" i="57"/>
  <c r="CK27" i="57"/>
  <c r="CL27" i="57"/>
  <c r="CM27" i="57"/>
  <c r="CN27" i="57"/>
  <c r="CP27" i="57"/>
  <c r="CQ27" i="57"/>
  <c r="CR27" i="57"/>
  <c r="CT27" i="57"/>
  <c r="CU27" i="57"/>
  <c r="CV27" i="57"/>
  <c r="CW27" i="57"/>
  <c r="B28" i="57"/>
  <c r="C28" i="57"/>
  <c r="E28" i="57"/>
  <c r="F28" i="57"/>
  <c r="G28" i="57"/>
  <c r="H28" i="57"/>
  <c r="I28" i="57"/>
  <c r="K28" i="57"/>
  <c r="L28" i="57"/>
  <c r="N28" i="57"/>
  <c r="O28" i="57"/>
  <c r="P28" i="57"/>
  <c r="R28" i="57"/>
  <c r="S28" i="57"/>
  <c r="T28" i="57"/>
  <c r="U28" i="57"/>
  <c r="V28" i="57"/>
  <c r="W28" i="57"/>
  <c r="X28" i="57"/>
  <c r="Z28" i="57"/>
  <c r="AA28" i="57"/>
  <c r="AB28" i="57"/>
  <c r="AC28" i="57"/>
  <c r="AD28" i="57"/>
  <c r="AE28" i="57"/>
  <c r="AK28" i="57"/>
  <c r="AL28" i="57"/>
  <c r="AN28" i="57"/>
  <c r="AO28" i="57"/>
  <c r="AP28" i="57"/>
  <c r="AQ28" i="57"/>
  <c r="AR28" i="57"/>
  <c r="AT28" i="57"/>
  <c r="AU28" i="57"/>
  <c r="AW28" i="57"/>
  <c r="AX28" i="57"/>
  <c r="AY28" i="57"/>
  <c r="BA28" i="57"/>
  <c r="BB28" i="57"/>
  <c r="BC28" i="57"/>
  <c r="BD28" i="57"/>
  <c r="BE28" i="57"/>
  <c r="BF28" i="57"/>
  <c r="BG28" i="57"/>
  <c r="BI28" i="57"/>
  <c r="BJ28" i="57"/>
  <c r="BK28" i="57"/>
  <c r="BR28" i="57"/>
  <c r="BS28" i="57"/>
  <c r="B29" i="57"/>
  <c r="C29" i="57"/>
  <c r="E29" i="57"/>
  <c r="F29" i="57"/>
  <c r="G29" i="57"/>
  <c r="H29" i="57"/>
  <c r="I29" i="57"/>
  <c r="K29" i="57"/>
  <c r="L29" i="57"/>
  <c r="N29" i="57"/>
  <c r="O29" i="57"/>
  <c r="P29" i="57"/>
  <c r="R29" i="57"/>
  <c r="S29" i="57"/>
  <c r="T29" i="57"/>
  <c r="U29" i="57"/>
  <c r="V29" i="57"/>
  <c r="W29" i="57"/>
  <c r="X29" i="57"/>
  <c r="Z29" i="57"/>
  <c r="AA29" i="57"/>
  <c r="AB29" i="57"/>
  <c r="AC29" i="57"/>
  <c r="AD29" i="57"/>
  <c r="AE29" i="57"/>
  <c r="AG29" i="57"/>
  <c r="AK29" i="57"/>
  <c r="AL29" i="57"/>
  <c r="AN29" i="57"/>
  <c r="AO29" i="57"/>
  <c r="AP29" i="57"/>
  <c r="AQ29" i="57"/>
  <c r="AR29" i="57"/>
  <c r="AT29" i="57"/>
  <c r="AU29" i="57"/>
  <c r="AW29" i="57"/>
  <c r="AX29" i="57"/>
  <c r="AY29" i="57"/>
  <c r="BA29" i="57"/>
  <c r="BB29" i="57"/>
  <c r="BC29" i="57"/>
  <c r="BD29" i="57"/>
  <c r="BE29" i="57"/>
  <c r="BF29" i="57"/>
  <c r="BG29" i="57"/>
  <c r="BI29" i="57"/>
  <c r="BJ29" i="57"/>
  <c r="BK29" i="57"/>
  <c r="BM29" i="57"/>
  <c r="BN29" i="57"/>
  <c r="BP29" i="57"/>
  <c r="BR29" i="57"/>
  <c r="BS29" i="57"/>
  <c r="BU29" i="57"/>
  <c r="BV29" i="57"/>
  <c r="BW29" i="57"/>
  <c r="BX29" i="57"/>
  <c r="BY29" i="57"/>
  <c r="CA29" i="57"/>
  <c r="CB29" i="57"/>
  <c r="CD29" i="57"/>
  <c r="CE29" i="57"/>
  <c r="CF29" i="57"/>
  <c r="CH29" i="57"/>
  <c r="CI29" i="57"/>
  <c r="CJ29" i="57"/>
  <c r="CK29" i="57"/>
  <c r="CL29" i="57"/>
  <c r="CM29" i="57"/>
  <c r="CN29" i="57"/>
  <c r="CP29" i="57"/>
  <c r="CQ29" i="57"/>
  <c r="CR29" i="57"/>
  <c r="CT29" i="57"/>
  <c r="CU29" i="57"/>
  <c r="CV29" i="57"/>
  <c r="CW29" i="57"/>
  <c r="B30" i="57"/>
  <c r="C30" i="57"/>
  <c r="E30" i="57"/>
  <c r="F30" i="57"/>
  <c r="G30" i="57"/>
  <c r="H30" i="57"/>
  <c r="I30" i="57"/>
  <c r="K30" i="57"/>
  <c r="L30" i="57"/>
  <c r="N30" i="57"/>
  <c r="O30" i="57"/>
  <c r="P30" i="57"/>
  <c r="R30" i="57"/>
  <c r="S30" i="57"/>
  <c r="T30" i="57"/>
  <c r="U30" i="57"/>
  <c r="V30" i="57"/>
  <c r="W30" i="57"/>
  <c r="X30" i="57"/>
  <c r="Z30" i="57"/>
  <c r="AA30" i="57"/>
  <c r="AB30" i="57"/>
  <c r="AC30" i="57"/>
  <c r="AD30" i="57"/>
  <c r="AE30" i="57"/>
  <c r="AK30" i="57"/>
  <c r="AL30" i="57"/>
  <c r="AN30" i="57"/>
  <c r="AO30" i="57"/>
  <c r="AP30" i="57"/>
  <c r="AQ30" i="57"/>
  <c r="AR30" i="57"/>
  <c r="AT30" i="57"/>
  <c r="AU30" i="57"/>
  <c r="AW30" i="57"/>
  <c r="AX30" i="57"/>
  <c r="AY30" i="57"/>
  <c r="BA30" i="57"/>
  <c r="BB30" i="57"/>
  <c r="BC30" i="57"/>
  <c r="BD30" i="57"/>
  <c r="BE30" i="57"/>
  <c r="BF30" i="57"/>
  <c r="BG30" i="57"/>
  <c r="BI30" i="57"/>
  <c r="BJ30" i="57"/>
  <c r="BK30" i="57"/>
  <c r="BR30" i="57"/>
  <c r="BS30" i="57"/>
  <c r="B31" i="57"/>
  <c r="C31" i="57"/>
  <c r="E31" i="57"/>
  <c r="F31" i="57"/>
  <c r="G31" i="57"/>
  <c r="H31" i="57"/>
  <c r="I31" i="57"/>
  <c r="K31" i="57"/>
  <c r="L31" i="57"/>
  <c r="N31" i="57"/>
  <c r="O31" i="57"/>
  <c r="P31" i="57"/>
  <c r="R31" i="57"/>
  <c r="S31" i="57"/>
  <c r="T31" i="57"/>
  <c r="U31" i="57"/>
  <c r="V31" i="57"/>
  <c r="W31" i="57"/>
  <c r="X31" i="57"/>
  <c r="Z31" i="57"/>
  <c r="AA31" i="57"/>
  <c r="AB31" i="57"/>
  <c r="AC31" i="57"/>
  <c r="AD31" i="57"/>
  <c r="AE31" i="57"/>
  <c r="AG31" i="57"/>
  <c r="AK31" i="57"/>
  <c r="AL31" i="57"/>
  <c r="AN31" i="57"/>
  <c r="AO31" i="57"/>
  <c r="AP31" i="57"/>
  <c r="AQ31" i="57"/>
  <c r="AR31" i="57"/>
  <c r="AT31" i="57"/>
  <c r="AU31" i="57"/>
  <c r="AW31" i="57"/>
  <c r="AX31" i="57"/>
  <c r="AY31" i="57"/>
  <c r="BA31" i="57"/>
  <c r="BB31" i="57"/>
  <c r="BC31" i="57"/>
  <c r="BD31" i="57"/>
  <c r="BE31" i="57"/>
  <c r="BF31" i="57"/>
  <c r="BG31" i="57"/>
  <c r="BI31" i="57"/>
  <c r="BJ31" i="57"/>
  <c r="BK31" i="57"/>
  <c r="BM31" i="57"/>
  <c r="BN31" i="57"/>
  <c r="BP31" i="57"/>
  <c r="BR31" i="57"/>
  <c r="BS31" i="57"/>
  <c r="BU31" i="57"/>
  <c r="BV31" i="57"/>
  <c r="BW31" i="57"/>
  <c r="BX31" i="57"/>
  <c r="BY31" i="57"/>
  <c r="CA31" i="57"/>
  <c r="CB31" i="57"/>
  <c r="CD31" i="57"/>
  <c r="CE31" i="57"/>
  <c r="CF31" i="57"/>
  <c r="CH31" i="57"/>
  <c r="CI31" i="57"/>
  <c r="CJ31" i="57"/>
  <c r="CK31" i="57"/>
  <c r="CL31" i="57"/>
  <c r="CM31" i="57"/>
  <c r="CN31" i="57"/>
  <c r="CP31" i="57"/>
  <c r="CQ31" i="57"/>
  <c r="CR31" i="57"/>
  <c r="CT31" i="57"/>
  <c r="CU31" i="57"/>
  <c r="CV31" i="57"/>
  <c r="CW31" i="57"/>
  <c r="B32" i="57"/>
  <c r="C32" i="57"/>
  <c r="E32" i="57"/>
  <c r="F32" i="57"/>
  <c r="G32" i="57"/>
  <c r="H32" i="57"/>
  <c r="I32" i="57"/>
  <c r="K32" i="57"/>
  <c r="L32" i="57"/>
  <c r="N32" i="57"/>
  <c r="O32" i="57"/>
  <c r="P32" i="57"/>
  <c r="R32" i="57"/>
  <c r="S32" i="57"/>
  <c r="T32" i="57"/>
  <c r="U32" i="57"/>
  <c r="V32" i="57"/>
  <c r="W32" i="57"/>
  <c r="X32" i="57"/>
  <c r="Z32" i="57"/>
  <c r="AA32" i="57"/>
  <c r="AB32" i="57"/>
  <c r="AC32" i="57"/>
  <c r="AD32" i="57"/>
  <c r="AE32" i="57"/>
  <c r="AK32" i="57"/>
  <c r="AL32" i="57"/>
  <c r="AN32" i="57"/>
  <c r="AO32" i="57"/>
  <c r="AP32" i="57"/>
  <c r="AQ32" i="57"/>
  <c r="AR32" i="57"/>
  <c r="AT32" i="57"/>
  <c r="AU32" i="57"/>
  <c r="AW32" i="57"/>
  <c r="AX32" i="57"/>
  <c r="AY32" i="57"/>
  <c r="BA32" i="57"/>
  <c r="BB32" i="57"/>
  <c r="BC32" i="57"/>
  <c r="BD32" i="57"/>
  <c r="BE32" i="57"/>
  <c r="BF32" i="57"/>
  <c r="BG32" i="57"/>
  <c r="BI32" i="57"/>
  <c r="BJ32" i="57"/>
  <c r="BK32" i="57"/>
  <c r="BR32" i="57"/>
  <c r="BS32" i="57"/>
  <c r="B33" i="57"/>
  <c r="C33" i="57"/>
  <c r="E33" i="57"/>
  <c r="F33" i="57"/>
  <c r="G33" i="57"/>
  <c r="H33" i="57"/>
  <c r="I33" i="57"/>
  <c r="K33" i="57"/>
  <c r="L33" i="57"/>
  <c r="N33" i="57"/>
  <c r="O33" i="57"/>
  <c r="P33" i="57"/>
  <c r="R33" i="57"/>
  <c r="S33" i="57"/>
  <c r="T33" i="57"/>
  <c r="U33" i="57"/>
  <c r="V33" i="57"/>
  <c r="W33" i="57"/>
  <c r="X33" i="57"/>
  <c r="Z33" i="57"/>
  <c r="AA33" i="57"/>
  <c r="AB33" i="57"/>
  <c r="AC33" i="57"/>
  <c r="AD33" i="57"/>
  <c r="AE33" i="57"/>
  <c r="AG33" i="57"/>
  <c r="AK33" i="57"/>
  <c r="AL33" i="57"/>
  <c r="AN33" i="57"/>
  <c r="AO33" i="57"/>
  <c r="AP33" i="57"/>
  <c r="AQ33" i="57"/>
  <c r="AR33" i="57"/>
  <c r="AT33" i="57"/>
  <c r="AU33" i="57"/>
  <c r="AW33" i="57"/>
  <c r="AX33" i="57"/>
  <c r="AY33" i="57"/>
  <c r="BA33" i="57"/>
  <c r="BB33" i="57"/>
  <c r="BC33" i="57"/>
  <c r="BD33" i="57"/>
  <c r="BE33" i="57"/>
  <c r="BF33" i="57"/>
  <c r="BG33" i="57"/>
  <c r="BI33" i="57"/>
  <c r="BJ33" i="57"/>
  <c r="BK33" i="57"/>
  <c r="BM33" i="57"/>
  <c r="BN33" i="57"/>
  <c r="BP33" i="57"/>
  <c r="BR33" i="57"/>
  <c r="BS33" i="57"/>
  <c r="BU33" i="57"/>
  <c r="BV33" i="57"/>
  <c r="BW33" i="57"/>
  <c r="BX33" i="57"/>
  <c r="BY33" i="57"/>
  <c r="CA33" i="57"/>
  <c r="CB33" i="57"/>
  <c r="CD33" i="57"/>
  <c r="CE33" i="57"/>
  <c r="CF33" i="57"/>
  <c r="CH33" i="57"/>
  <c r="CI33" i="57"/>
  <c r="CJ33" i="57"/>
  <c r="CK33" i="57"/>
  <c r="CL33" i="57"/>
  <c r="CM33" i="57"/>
  <c r="CN33" i="57"/>
  <c r="CP33" i="57"/>
  <c r="CQ33" i="57"/>
  <c r="CR33" i="57"/>
  <c r="CT33" i="57"/>
  <c r="CU33" i="57"/>
  <c r="CV33" i="57"/>
  <c r="CW33" i="57"/>
  <c r="B34" i="57"/>
  <c r="C34" i="57"/>
  <c r="E34" i="57"/>
  <c r="F34" i="57"/>
  <c r="G34" i="57"/>
  <c r="H34" i="57"/>
  <c r="I34" i="57"/>
  <c r="K34" i="57"/>
  <c r="L34" i="57"/>
  <c r="N34" i="57"/>
  <c r="O34" i="57"/>
  <c r="P34" i="57"/>
  <c r="R34" i="57"/>
  <c r="S34" i="57"/>
  <c r="T34" i="57"/>
  <c r="U34" i="57"/>
  <c r="V34" i="57"/>
  <c r="W34" i="57"/>
  <c r="X34" i="57"/>
  <c r="Z34" i="57"/>
  <c r="AA34" i="57"/>
  <c r="AB34" i="57"/>
  <c r="AC34" i="57"/>
  <c r="AD34" i="57"/>
  <c r="AE34" i="57"/>
  <c r="AK34" i="57"/>
  <c r="AL34" i="57"/>
  <c r="AN34" i="57"/>
  <c r="AO34" i="57"/>
  <c r="AP34" i="57"/>
  <c r="AQ34" i="57"/>
  <c r="AR34" i="57"/>
  <c r="AT34" i="57"/>
  <c r="AU34" i="57"/>
  <c r="AW34" i="57"/>
  <c r="AX34" i="57"/>
  <c r="AY34" i="57"/>
  <c r="BA34" i="57"/>
  <c r="BB34" i="57"/>
  <c r="BC34" i="57"/>
  <c r="BD34" i="57"/>
  <c r="BE34" i="57"/>
  <c r="BF34" i="57"/>
  <c r="BG34" i="57"/>
  <c r="BI34" i="57"/>
  <c r="BJ34" i="57"/>
  <c r="BK34" i="57"/>
  <c r="BR34" i="57"/>
  <c r="BS34" i="57"/>
  <c r="B35" i="57"/>
  <c r="C35" i="57"/>
  <c r="E35" i="57"/>
  <c r="F35" i="57"/>
  <c r="G35" i="57"/>
  <c r="H35" i="57"/>
  <c r="I35" i="57"/>
  <c r="K35" i="57"/>
  <c r="L35" i="57"/>
  <c r="N35" i="57"/>
  <c r="O35" i="57"/>
  <c r="P35" i="57"/>
  <c r="R35" i="57"/>
  <c r="S35" i="57"/>
  <c r="T35" i="57"/>
  <c r="U35" i="57"/>
  <c r="V35" i="57"/>
  <c r="W35" i="57"/>
  <c r="X35" i="57"/>
  <c r="Z35" i="57"/>
  <c r="AA35" i="57"/>
  <c r="AB35" i="57"/>
  <c r="AC35" i="57"/>
  <c r="AD35" i="57"/>
  <c r="AE35" i="57"/>
  <c r="AG35" i="57"/>
  <c r="AK35" i="57"/>
  <c r="AL35" i="57"/>
  <c r="AN35" i="57"/>
  <c r="AO35" i="57"/>
  <c r="AP35" i="57"/>
  <c r="AQ35" i="57"/>
  <c r="AR35" i="57"/>
  <c r="AT35" i="57"/>
  <c r="AU35" i="57"/>
  <c r="AW35" i="57"/>
  <c r="AX35" i="57"/>
  <c r="AY35" i="57"/>
  <c r="BA35" i="57"/>
  <c r="BB35" i="57"/>
  <c r="BC35" i="57"/>
  <c r="BD35" i="57"/>
  <c r="BE35" i="57"/>
  <c r="BF35" i="57"/>
  <c r="BG35" i="57"/>
  <c r="BI35" i="57"/>
  <c r="BJ35" i="57"/>
  <c r="BK35" i="57"/>
  <c r="BM35" i="57"/>
  <c r="BN35" i="57"/>
  <c r="BP35" i="57"/>
  <c r="BR35" i="57"/>
  <c r="BS35" i="57"/>
  <c r="BU35" i="57"/>
  <c r="BV35" i="57"/>
  <c r="BW35" i="57"/>
  <c r="BX35" i="57"/>
  <c r="BY35" i="57"/>
  <c r="CA35" i="57"/>
  <c r="CB35" i="57"/>
  <c r="CD35" i="57"/>
  <c r="CE35" i="57"/>
  <c r="CF35" i="57"/>
  <c r="CH35" i="57"/>
  <c r="CI35" i="57"/>
  <c r="CJ35" i="57"/>
  <c r="CK35" i="57"/>
  <c r="CL35" i="57"/>
  <c r="CM35" i="57"/>
  <c r="CN35" i="57"/>
  <c r="CP35" i="57"/>
  <c r="CQ35" i="57"/>
  <c r="CR35" i="57"/>
  <c r="CT35" i="57"/>
  <c r="CU35" i="57"/>
  <c r="CV35" i="57"/>
  <c r="CW35" i="57"/>
  <c r="B36" i="57"/>
  <c r="C36" i="57"/>
  <c r="E36" i="57"/>
  <c r="F36" i="57"/>
  <c r="G36" i="57"/>
  <c r="H36" i="57"/>
  <c r="I36" i="57"/>
  <c r="K36" i="57"/>
  <c r="L36" i="57"/>
  <c r="N36" i="57"/>
  <c r="O36" i="57"/>
  <c r="P36" i="57"/>
  <c r="R36" i="57"/>
  <c r="S36" i="57"/>
  <c r="T36" i="57"/>
  <c r="U36" i="57"/>
  <c r="V36" i="57"/>
  <c r="W36" i="57"/>
  <c r="X36" i="57"/>
  <c r="Z36" i="57"/>
  <c r="AA36" i="57"/>
  <c r="AB36" i="57"/>
  <c r="AC36" i="57"/>
  <c r="AD36" i="57"/>
  <c r="AE36" i="57"/>
  <c r="AK36" i="57"/>
  <c r="AL36" i="57"/>
  <c r="AN36" i="57"/>
  <c r="AO36" i="57"/>
  <c r="AP36" i="57"/>
  <c r="AQ36" i="57"/>
  <c r="AR36" i="57"/>
  <c r="AT36" i="57"/>
  <c r="AU36" i="57"/>
  <c r="AW36" i="57"/>
  <c r="AX36" i="57"/>
  <c r="AY36" i="57"/>
  <c r="BA36" i="57"/>
  <c r="BB36" i="57"/>
  <c r="BC36" i="57"/>
  <c r="BD36" i="57"/>
  <c r="BE36" i="57"/>
  <c r="BF36" i="57"/>
  <c r="BG36" i="57"/>
  <c r="BI36" i="57"/>
  <c r="BJ36" i="57"/>
  <c r="BK36" i="57"/>
  <c r="BR36" i="57"/>
  <c r="BS36" i="57"/>
  <c r="B37" i="57"/>
  <c r="C37" i="57"/>
  <c r="E37" i="57"/>
  <c r="F37" i="57"/>
  <c r="G37" i="57"/>
  <c r="H37" i="57"/>
  <c r="I37" i="57"/>
  <c r="K37" i="57"/>
  <c r="L37" i="57"/>
  <c r="N37" i="57"/>
  <c r="O37" i="57"/>
  <c r="P37" i="57"/>
  <c r="R37" i="57"/>
  <c r="S37" i="57"/>
  <c r="T37" i="57"/>
  <c r="U37" i="57"/>
  <c r="V37" i="57"/>
  <c r="W37" i="57"/>
  <c r="X37" i="57"/>
  <c r="Z37" i="57"/>
  <c r="AA37" i="57"/>
  <c r="AB37" i="57"/>
  <c r="AC37" i="57"/>
  <c r="AD37" i="57"/>
  <c r="AE37" i="57"/>
  <c r="AG37" i="57"/>
  <c r="AK37" i="57"/>
  <c r="AL37" i="57"/>
  <c r="AN37" i="57"/>
  <c r="AO37" i="57"/>
  <c r="AP37" i="57"/>
  <c r="AQ37" i="57"/>
  <c r="AR37" i="57"/>
  <c r="AT37" i="57"/>
  <c r="AU37" i="57"/>
  <c r="AW37" i="57"/>
  <c r="AX37" i="57"/>
  <c r="AY37" i="57"/>
  <c r="BA37" i="57"/>
  <c r="BB37" i="57"/>
  <c r="BC37" i="57"/>
  <c r="BD37" i="57"/>
  <c r="BE37" i="57"/>
  <c r="BF37" i="57"/>
  <c r="BG37" i="57"/>
  <c r="BI37" i="57"/>
  <c r="BJ37" i="57"/>
  <c r="BK37" i="57"/>
  <c r="BM37" i="57"/>
  <c r="BN37" i="57"/>
  <c r="BP37" i="57"/>
  <c r="BR37" i="57"/>
  <c r="BS37" i="57"/>
  <c r="BU37" i="57"/>
  <c r="BV37" i="57"/>
  <c r="BW37" i="57"/>
  <c r="BX37" i="57"/>
  <c r="BY37" i="57"/>
  <c r="CA37" i="57"/>
  <c r="CB37" i="57"/>
  <c r="CD37" i="57"/>
  <c r="CE37" i="57"/>
  <c r="CF37" i="57"/>
  <c r="CH37" i="57"/>
  <c r="CI37" i="57"/>
  <c r="CJ37" i="57"/>
  <c r="CK37" i="57"/>
  <c r="CL37" i="57"/>
  <c r="CM37" i="57"/>
  <c r="CN37" i="57"/>
  <c r="CP37" i="57"/>
  <c r="CQ37" i="57"/>
  <c r="CR37" i="57"/>
  <c r="CT37" i="57"/>
  <c r="CU37" i="57"/>
  <c r="CV37" i="57"/>
  <c r="CW37" i="57"/>
  <c r="B38" i="57"/>
  <c r="C38" i="57"/>
  <c r="E38" i="57"/>
  <c r="F38" i="57"/>
  <c r="G38" i="57"/>
  <c r="H38" i="57"/>
  <c r="I38" i="57"/>
  <c r="K38" i="57"/>
  <c r="L38" i="57"/>
  <c r="N38" i="57"/>
  <c r="O38" i="57"/>
  <c r="P38" i="57"/>
  <c r="R38" i="57"/>
  <c r="S38" i="57"/>
  <c r="T38" i="57"/>
  <c r="U38" i="57"/>
  <c r="V38" i="57"/>
  <c r="W38" i="57"/>
  <c r="X38" i="57"/>
  <c r="Z38" i="57"/>
  <c r="AA38" i="57"/>
  <c r="AB38" i="57"/>
  <c r="AC38" i="57"/>
  <c r="AD38" i="57"/>
  <c r="AE38" i="57"/>
  <c r="AK38" i="57"/>
  <c r="AL38" i="57"/>
  <c r="AN38" i="57"/>
  <c r="AO38" i="57"/>
  <c r="AP38" i="57"/>
  <c r="AQ38" i="57"/>
  <c r="AR38" i="57"/>
  <c r="AT38" i="57"/>
  <c r="AU38" i="57"/>
  <c r="AW38" i="57"/>
  <c r="AX38" i="57"/>
  <c r="AY38" i="57"/>
  <c r="BA38" i="57"/>
  <c r="BB38" i="57"/>
  <c r="BC38" i="57"/>
  <c r="BD38" i="57"/>
  <c r="BE38" i="57"/>
  <c r="BF38" i="57"/>
  <c r="BG38" i="57"/>
  <c r="BI38" i="57"/>
  <c r="BJ38" i="57"/>
  <c r="BK38" i="57"/>
  <c r="BR38" i="57"/>
  <c r="BS38" i="57"/>
  <c r="B39" i="57"/>
  <c r="C39" i="57"/>
  <c r="E39" i="57"/>
  <c r="F39" i="57"/>
  <c r="G39" i="57"/>
  <c r="H39" i="57"/>
  <c r="I39" i="57"/>
  <c r="K39" i="57"/>
  <c r="L39" i="57"/>
  <c r="N39" i="57"/>
  <c r="O39" i="57"/>
  <c r="P39" i="57"/>
  <c r="R39" i="57"/>
  <c r="S39" i="57"/>
  <c r="T39" i="57"/>
  <c r="U39" i="57"/>
  <c r="V39" i="57"/>
  <c r="W39" i="57"/>
  <c r="X39" i="57"/>
  <c r="Z39" i="57"/>
  <c r="AA39" i="57"/>
  <c r="AB39" i="57"/>
  <c r="AC39" i="57"/>
  <c r="AD39" i="57"/>
  <c r="AE39" i="57"/>
  <c r="AG39" i="57"/>
  <c r="AK39" i="57"/>
  <c r="AL39" i="57"/>
  <c r="AN39" i="57"/>
  <c r="AO39" i="57"/>
  <c r="AP39" i="57"/>
  <c r="AQ39" i="57"/>
  <c r="AR39" i="57"/>
  <c r="AT39" i="57"/>
  <c r="AU39" i="57"/>
  <c r="AW39" i="57"/>
  <c r="AX39" i="57"/>
  <c r="AY39" i="57"/>
  <c r="BA39" i="57"/>
  <c r="BB39" i="57"/>
  <c r="BC39" i="57"/>
  <c r="BD39" i="57"/>
  <c r="BE39" i="57"/>
  <c r="BF39" i="57"/>
  <c r="BG39" i="57"/>
  <c r="BI39" i="57"/>
  <c r="BJ39" i="57"/>
  <c r="BK39" i="57"/>
  <c r="BM39" i="57"/>
  <c r="BN39" i="57"/>
  <c r="BP39" i="57"/>
  <c r="BR39" i="57"/>
  <c r="BS39" i="57"/>
  <c r="BU39" i="57"/>
  <c r="BV39" i="57"/>
  <c r="BW39" i="57"/>
  <c r="BX39" i="57"/>
  <c r="BY39" i="57"/>
  <c r="CA39" i="57"/>
  <c r="CB39" i="57"/>
  <c r="CD39" i="57"/>
  <c r="CE39" i="57"/>
  <c r="CF39" i="57"/>
  <c r="CH39" i="57"/>
  <c r="CI39" i="57"/>
  <c r="CJ39" i="57"/>
  <c r="CK39" i="57"/>
  <c r="CL39" i="57"/>
  <c r="CM39" i="57"/>
  <c r="CN39" i="57"/>
  <c r="CP39" i="57"/>
  <c r="CQ39" i="57"/>
  <c r="CR39" i="57"/>
  <c r="CT39" i="57"/>
  <c r="CU39" i="57"/>
  <c r="CV39" i="57"/>
  <c r="CW39" i="57"/>
  <c r="B40" i="57"/>
  <c r="C40" i="57"/>
  <c r="E40" i="57"/>
  <c r="F40" i="57"/>
  <c r="G40" i="57"/>
  <c r="H40" i="57"/>
  <c r="I40" i="57"/>
  <c r="K40" i="57"/>
  <c r="L40" i="57"/>
  <c r="N40" i="57"/>
  <c r="O40" i="57"/>
  <c r="P40" i="57"/>
  <c r="R40" i="57"/>
  <c r="S40" i="57"/>
  <c r="T40" i="57"/>
  <c r="U40" i="57"/>
  <c r="V40" i="57"/>
  <c r="W40" i="57"/>
  <c r="X40" i="57"/>
  <c r="Z40" i="57"/>
  <c r="AA40" i="57"/>
  <c r="AB40" i="57"/>
  <c r="AC40" i="57"/>
  <c r="AD40" i="57"/>
  <c r="AE40" i="57"/>
  <c r="AK40" i="57"/>
  <c r="AL40" i="57"/>
  <c r="AN40" i="57"/>
  <c r="AO40" i="57"/>
  <c r="AP40" i="57"/>
  <c r="AQ40" i="57"/>
  <c r="AR40" i="57"/>
  <c r="AT40" i="57"/>
  <c r="AU40" i="57"/>
  <c r="AW40" i="57"/>
  <c r="AX40" i="57"/>
  <c r="AY40" i="57"/>
  <c r="BA40" i="57"/>
  <c r="BB40" i="57"/>
  <c r="BC40" i="57"/>
  <c r="BD40" i="57"/>
  <c r="BE40" i="57"/>
  <c r="BF40" i="57"/>
  <c r="BG40" i="57"/>
  <c r="BI40" i="57"/>
  <c r="BJ40" i="57"/>
  <c r="BK40" i="57"/>
  <c r="BR40" i="57"/>
  <c r="BS40" i="57"/>
  <c r="B41" i="57"/>
  <c r="C41" i="57"/>
  <c r="E41" i="57"/>
  <c r="F41" i="57"/>
  <c r="G41" i="57"/>
  <c r="H41" i="57"/>
  <c r="I41" i="57"/>
  <c r="K41" i="57"/>
  <c r="L41" i="57"/>
  <c r="N41" i="57"/>
  <c r="O41" i="57"/>
  <c r="P41" i="57"/>
  <c r="R41" i="57"/>
  <c r="S41" i="57"/>
  <c r="T41" i="57"/>
  <c r="U41" i="57"/>
  <c r="V41" i="57"/>
  <c r="W41" i="57"/>
  <c r="X41" i="57"/>
  <c r="Z41" i="57"/>
  <c r="AA41" i="57"/>
  <c r="AB41" i="57"/>
  <c r="AC41" i="57"/>
  <c r="AD41" i="57"/>
  <c r="AE41" i="57"/>
  <c r="AG41" i="57"/>
  <c r="AK41" i="57"/>
  <c r="AL41" i="57"/>
  <c r="AN41" i="57"/>
  <c r="AO41" i="57"/>
  <c r="AP41" i="57"/>
  <c r="AQ41" i="57"/>
  <c r="AR41" i="57"/>
  <c r="AT41" i="57"/>
  <c r="AU41" i="57"/>
  <c r="AW41" i="57"/>
  <c r="AX41" i="57"/>
  <c r="AY41" i="57"/>
  <c r="BA41" i="57"/>
  <c r="BB41" i="57"/>
  <c r="BC41" i="57"/>
  <c r="BD41" i="57"/>
  <c r="BE41" i="57"/>
  <c r="BF41" i="57"/>
  <c r="BG41" i="57"/>
  <c r="BI41" i="57"/>
  <c r="BJ41" i="57"/>
  <c r="BK41" i="57"/>
  <c r="BM41" i="57"/>
  <c r="BN41" i="57"/>
  <c r="BP41" i="57"/>
  <c r="BR41" i="57"/>
  <c r="BS41" i="57"/>
  <c r="BU41" i="57"/>
  <c r="BV41" i="57"/>
  <c r="BW41" i="57"/>
  <c r="BX41" i="57"/>
  <c r="BY41" i="57"/>
  <c r="CA41" i="57"/>
  <c r="CB41" i="57"/>
  <c r="CD41" i="57"/>
  <c r="CE41" i="57"/>
  <c r="CF41" i="57"/>
  <c r="CH41" i="57"/>
  <c r="CI41" i="57"/>
  <c r="CJ41" i="57"/>
  <c r="CK41" i="57"/>
  <c r="CL41" i="57"/>
  <c r="CM41" i="57"/>
  <c r="CN41" i="57"/>
  <c r="CP41" i="57"/>
  <c r="CQ41" i="57"/>
  <c r="CR41" i="57"/>
  <c r="CT41" i="57"/>
  <c r="CU41" i="57"/>
  <c r="CV41" i="57"/>
  <c r="CW41" i="57"/>
  <c r="B42" i="57"/>
  <c r="C42" i="57"/>
  <c r="E42" i="57"/>
  <c r="F42" i="57"/>
  <c r="G42" i="57"/>
  <c r="H42" i="57"/>
  <c r="I42" i="57"/>
  <c r="K42" i="57"/>
  <c r="L42" i="57"/>
  <c r="N42" i="57"/>
  <c r="O42" i="57"/>
  <c r="P42" i="57"/>
  <c r="R42" i="57"/>
  <c r="S42" i="57"/>
  <c r="T42" i="57"/>
  <c r="U42" i="57"/>
  <c r="V42" i="57"/>
  <c r="W42" i="57"/>
  <c r="X42" i="57"/>
  <c r="Z42" i="57"/>
  <c r="AA42" i="57"/>
  <c r="AB42" i="57"/>
  <c r="AC42" i="57"/>
  <c r="AD42" i="57"/>
  <c r="AE42" i="57"/>
  <c r="AK42" i="57"/>
  <c r="AL42" i="57"/>
  <c r="AN42" i="57"/>
  <c r="AO42" i="57"/>
  <c r="AP42" i="57"/>
  <c r="AQ42" i="57"/>
  <c r="AR42" i="57"/>
  <c r="AT42" i="57"/>
  <c r="AU42" i="57"/>
  <c r="AW42" i="57"/>
  <c r="AX42" i="57"/>
  <c r="AY42" i="57"/>
  <c r="BA42" i="57"/>
  <c r="BB42" i="57"/>
  <c r="BC42" i="57"/>
  <c r="BD42" i="57"/>
  <c r="BE42" i="57"/>
  <c r="BF42" i="57"/>
  <c r="BG42" i="57"/>
  <c r="BI42" i="57"/>
  <c r="BJ42" i="57"/>
  <c r="BK42" i="57"/>
  <c r="BR42" i="57"/>
  <c r="BS42" i="57"/>
  <c r="B43" i="57"/>
  <c r="C43" i="57"/>
  <c r="E43" i="57"/>
  <c r="F43" i="57"/>
  <c r="G43" i="57"/>
  <c r="H43" i="57"/>
  <c r="I43" i="57"/>
  <c r="K43" i="57"/>
  <c r="L43" i="57"/>
  <c r="N43" i="57"/>
  <c r="O43" i="57"/>
  <c r="P43" i="57"/>
  <c r="R43" i="57"/>
  <c r="S43" i="57"/>
  <c r="T43" i="57"/>
  <c r="U43" i="57"/>
  <c r="V43" i="57"/>
  <c r="W43" i="57"/>
  <c r="X43" i="57"/>
  <c r="Z43" i="57"/>
  <c r="AA43" i="57"/>
  <c r="AB43" i="57"/>
  <c r="AC43" i="57"/>
  <c r="AD43" i="57"/>
  <c r="AE43" i="57"/>
  <c r="AG43" i="57"/>
  <c r="AK43" i="57"/>
  <c r="AL43" i="57"/>
  <c r="AN43" i="57"/>
  <c r="AO43" i="57"/>
  <c r="AP43" i="57"/>
  <c r="AQ43" i="57"/>
  <c r="AR43" i="57"/>
  <c r="AT43" i="57"/>
  <c r="AU43" i="57"/>
  <c r="AW43" i="57"/>
  <c r="AX43" i="57"/>
  <c r="AY43" i="57"/>
  <c r="BA43" i="57"/>
  <c r="BB43" i="57"/>
  <c r="BC43" i="57"/>
  <c r="BD43" i="57"/>
  <c r="BE43" i="57"/>
  <c r="BF43" i="57"/>
  <c r="BG43" i="57"/>
  <c r="BI43" i="57"/>
  <c r="BJ43" i="57"/>
  <c r="BK43" i="57"/>
  <c r="BM43" i="57"/>
  <c r="BN43" i="57"/>
  <c r="BP43" i="57"/>
  <c r="BR43" i="57"/>
  <c r="BS43" i="57"/>
  <c r="BU43" i="57"/>
  <c r="BV43" i="57"/>
  <c r="BW43" i="57"/>
  <c r="BX43" i="57"/>
  <c r="BY43" i="57"/>
  <c r="CA43" i="57"/>
  <c r="CB43" i="57"/>
  <c r="CD43" i="57"/>
  <c r="CE43" i="57"/>
  <c r="CF43" i="57"/>
  <c r="CH43" i="57"/>
  <c r="CI43" i="57"/>
  <c r="CJ43" i="57"/>
  <c r="CK43" i="57"/>
  <c r="CL43" i="57"/>
  <c r="CM43" i="57"/>
  <c r="CN43" i="57"/>
  <c r="CP43" i="57"/>
  <c r="CQ43" i="57"/>
  <c r="CR43" i="57"/>
  <c r="CT43" i="57"/>
  <c r="CU43" i="57"/>
  <c r="CV43" i="57"/>
  <c r="CW43" i="57"/>
  <c r="B44" i="57"/>
  <c r="C44" i="57"/>
  <c r="E44" i="57"/>
  <c r="F44" i="57"/>
  <c r="G44" i="57"/>
  <c r="H44" i="57"/>
  <c r="I44" i="57"/>
  <c r="K44" i="57"/>
  <c r="L44" i="57"/>
  <c r="N44" i="57"/>
  <c r="O44" i="57"/>
  <c r="P44" i="57"/>
  <c r="R44" i="57"/>
  <c r="S44" i="57"/>
  <c r="T44" i="57"/>
  <c r="U44" i="57"/>
  <c r="V44" i="57"/>
  <c r="W44" i="57"/>
  <c r="X44" i="57"/>
  <c r="Z44" i="57"/>
  <c r="AA44" i="57"/>
  <c r="AB44" i="57"/>
  <c r="AC44" i="57"/>
  <c r="AD44" i="57"/>
  <c r="AE44" i="57"/>
  <c r="AK44" i="57"/>
  <c r="AL44" i="57"/>
  <c r="AN44" i="57"/>
  <c r="AO44" i="57"/>
  <c r="AP44" i="57"/>
  <c r="AQ44" i="57"/>
  <c r="AR44" i="57"/>
  <c r="AT44" i="57"/>
  <c r="AU44" i="57"/>
  <c r="AW44" i="57"/>
  <c r="AX44" i="57"/>
  <c r="AY44" i="57"/>
  <c r="BA44" i="57"/>
  <c r="BB44" i="57"/>
  <c r="BC44" i="57"/>
  <c r="BD44" i="57"/>
  <c r="BE44" i="57"/>
  <c r="BF44" i="57"/>
  <c r="BG44" i="57"/>
  <c r="BI44" i="57"/>
  <c r="BJ44" i="57"/>
  <c r="BK44" i="57"/>
  <c r="BR44" i="57"/>
  <c r="BS44" i="57"/>
  <c r="B45" i="57"/>
  <c r="C45" i="57"/>
  <c r="E45" i="57"/>
  <c r="F45" i="57"/>
  <c r="G45" i="57"/>
  <c r="H45" i="57"/>
  <c r="I45" i="57"/>
  <c r="K45" i="57"/>
  <c r="L45" i="57"/>
  <c r="N45" i="57"/>
  <c r="O45" i="57"/>
  <c r="P45" i="57"/>
  <c r="R45" i="57"/>
  <c r="S45" i="57"/>
  <c r="T45" i="57"/>
  <c r="U45" i="57"/>
  <c r="V45" i="57"/>
  <c r="W45" i="57"/>
  <c r="X45" i="57"/>
  <c r="Z45" i="57"/>
  <c r="AA45" i="57"/>
  <c r="AB45" i="57"/>
  <c r="AC45" i="57"/>
  <c r="AD45" i="57"/>
  <c r="AE45" i="57"/>
  <c r="AG45" i="57"/>
  <c r="AK45" i="57"/>
  <c r="AL45" i="57"/>
  <c r="AN45" i="57"/>
  <c r="AO45" i="57"/>
  <c r="AP45" i="57"/>
  <c r="AQ45" i="57"/>
  <c r="AR45" i="57"/>
  <c r="AT45" i="57"/>
  <c r="AU45" i="57"/>
  <c r="AW45" i="57"/>
  <c r="AX45" i="57"/>
  <c r="AY45" i="57"/>
  <c r="BA45" i="57"/>
  <c r="BB45" i="57"/>
  <c r="BC45" i="57"/>
  <c r="BD45" i="57"/>
  <c r="BE45" i="57"/>
  <c r="BF45" i="57"/>
  <c r="BG45" i="57"/>
  <c r="BI45" i="57"/>
  <c r="BJ45" i="57"/>
  <c r="BK45" i="57"/>
  <c r="BM45" i="57"/>
  <c r="BN45" i="57"/>
  <c r="BP45" i="57"/>
  <c r="BR45" i="57"/>
  <c r="BS45" i="57"/>
  <c r="BU45" i="57"/>
  <c r="BV45" i="57"/>
  <c r="BW45" i="57"/>
  <c r="BX45" i="57"/>
  <c r="BY45" i="57"/>
  <c r="CA45" i="57"/>
  <c r="CB45" i="57"/>
  <c r="CD45" i="57"/>
  <c r="CE45" i="57"/>
  <c r="CF45" i="57"/>
  <c r="CH45" i="57"/>
  <c r="CI45" i="57"/>
  <c r="CJ45" i="57"/>
  <c r="CK45" i="57"/>
  <c r="CL45" i="57"/>
  <c r="CM45" i="57"/>
  <c r="CN45" i="57"/>
  <c r="CP45" i="57"/>
  <c r="CQ45" i="57"/>
  <c r="CR45" i="57"/>
  <c r="CT45" i="57"/>
  <c r="CU45" i="57"/>
  <c r="CV45" i="57"/>
  <c r="CW45" i="57"/>
  <c r="B46" i="57"/>
  <c r="C46" i="57"/>
  <c r="E46" i="57"/>
  <c r="F46" i="57"/>
  <c r="G46" i="57"/>
  <c r="H46" i="57"/>
  <c r="I46" i="57"/>
  <c r="K46" i="57"/>
  <c r="L46" i="57"/>
  <c r="N46" i="57"/>
  <c r="O46" i="57"/>
  <c r="P46" i="57"/>
  <c r="R46" i="57"/>
  <c r="S46" i="57"/>
  <c r="T46" i="57"/>
  <c r="U46" i="57"/>
  <c r="V46" i="57"/>
  <c r="W46" i="57"/>
  <c r="X46" i="57"/>
  <c r="Z46" i="57"/>
  <c r="AA46" i="57"/>
  <c r="AB46" i="57"/>
  <c r="AC46" i="57"/>
  <c r="AD46" i="57"/>
  <c r="AE46" i="57"/>
  <c r="AK46" i="57"/>
  <c r="AL46" i="57"/>
  <c r="AN46" i="57"/>
  <c r="AO46" i="57"/>
  <c r="AP46" i="57"/>
  <c r="AQ46" i="57"/>
  <c r="AR46" i="57"/>
  <c r="AT46" i="57"/>
  <c r="AU46" i="57"/>
  <c r="AW46" i="57"/>
  <c r="AX46" i="57"/>
  <c r="AY46" i="57"/>
  <c r="BA46" i="57"/>
  <c r="BB46" i="57"/>
  <c r="BC46" i="57"/>
  <c r="BD46" i="57"/>
  <c r="BE46" i="57"/>
  <c r="BF46" i="57"/>
  <c r="BG46" i="57"/>
  <c r="BI46" i="57"/>
  <c r="BJ46" i="57"/>
  <c r="BK46" i="57"/>
  <c r="BR46" i="57"/>
  <c r="BS46" i="57"/>
  <c r="B47" i="57"/>
  <c r="C47" i="57"/>
  <c r="E47" i="57"/>
  <c r="F47" i="57"/>
  <c r="G47" i="57"/>
  <c r="H47" i="57"/>
  <c r="I47" i="57"/>
  <c r="K47" i="57"/>
  <c r="L47" i="57"/>
  <c r="N47" i="57"/>
  <c r="O47" i="57"/>
  <c r="P47" i="57"/>
  <c r="R47" i="57"/>
  <c r="S47" i="57"/>
  <c r="T47" i="57"/>
  <c r="U47" i="57"/>
  <c r="V47" i="57"/>
  <c r="W47" i="57"/>
  <c r="X47" i="57"/>
  <c r="Z47" i="57"/>
  <c r="AA47" i="57"/>
  <c r="AB47" i="57"/>
  <c r="AC47" i="57"/>
  <c r="AD47" i="57"/>
  <c r="AE47" i="57"/>
  <c r="AG47" i="57"/>
  <c r="AK47" i="57"/>
  <c r="AL47" i="57"/>
  <c r="AN47" i="57"/>
  <c r="AO47" i="57"/>
  <c r="AP47" i="57"/>
  <c r="AQ47" i="57"/>
  <c r="AR47" i="57"/>
  <c r="AT47" i="57"/>
  <c r="AU47" i="57"/>
  <c r="AW47" i="57"/>
  <c r="AX47" i="57"/>
  <c r="AY47" i="57"/>
  <c r="BA47" i="57"/>
  <c r="BB47" i="57"/>
  <c r="BC47" i="57"/>
  <c r="BD47" i="57"/>
  <c r="BE47" i="57"/>
  <c r="BF47" i="57"/>
  <c r="BG47" i="57"/>
  <c r="BI47" i="57"/>
  <c r="BJ47" i="57"/>
  <c r="BK47" i="57"/>
  <c r="BM47" i="57"/>
  <c r="BN47" i="57"/>
  <c r="BP47" i="57"/>
  <c r="BR47" i="57"/>
  <c r="BS47" i="57"/>
  <c r="BU47" i="57"/>
  <c r="BV47" i="57"/>
  <c r="BW47" i="57"/>
  <c r="BX47" i="57"/>
  <c r="BY47" i="57"/>
  <c r="CA47" i="57"/>
  <c r="CB47" i="57"/>
  <c r="CD47" i="57"/>
  <c r="CE47" i="57"/>
  <c r="CF47" i="57"/>
  <c r="CH47" i="57"/>
  <c r="CI47" i="57"/>
  <c r="CJ47" i="57"/>
  <c r="CK47" i="57"/>
  <c r="CL47" i="57"/>
  <c r="CM47" i="57"/>
  <c r="CN47" i="57"/>
  <c r="CP47" i="57"/>
  <c r="CQ47" i="57"/>
  <c r="CR47" i="57"/>
  <c r="CT47" i="57"/>
  <c r="CU47" i="57"/>
  <c r="CV47" i="57"/>
  <c r="CW47" i="57"/>
  <c r="E49" i="57"/>
  <c r="F49" i="57"/>
  <c r="G49" i="57"/>
  <c r="H49" i="57"/>
  <c r="I49" i="57"/>
  <c r="K49" i="57"/>
  <c r="L49" i="57"/>
  <c r="N49" i="57"/>
  <c r="O49" i="57"/>
  <c r="P49" i="57"/>
  <c r="R49" i="57"/>
  <c r="S49" i="57"/>
  <c r="T49" i="57"/>
  <c r="U49" i="57"/>
  <c r="V49" i="57"/>
  <c r="W49" i="57"/>
  <c r="X49" i="57"/>
  <c r="Z49" i="57"/>
  <c r="AA49" i="57"/>
  <c r="AB49" i="57"/>
  <c r="AE49" i="57"/>
  <c r="AN49" i="57"/>
  <c r="AO49" i="57"/>
  <c r="AP49" i="57"/>
  <c r="AQ49" i="57"/>
  <c r="AR49" i="57"/>
  <c r="AT49" i="57"/>
  <c r="AU49" i="57"/>
  <c r="AW49" i="57"/>
  <c r="AX49" i="57"/>
  <c r="AY49" i="57"/>
  <c r="BA49" i="57"/>
  <c r="BB49" i="57"/>
  <c r="BC49" i="57"/>
  <c r="BD49" i="57"/>
  <c r="BE49" i="57"/>
  <c r="BF49" i="57"/>
  <c r="BG49" i="57"/>
  <c r="BI49" i="57"/>
  <c r="BJ49" i="57"/>
  <c r="BK49" i="57"/>
  <c r="BM49" i="57"/>
  <c r="BU49" i="57"/>
  <c r="BV49" i="57"/>
  <c r="BW49" i="57"/>
  <c r="BX49" i="57"/>
  <c r="BY49" i="57"/>
  <c r="CA49" i="57"/>
  <c r="CB49" i="57"/>
  <c r="CD49" i="57"/>
  <c r="CE49" i="57"/>
  <c r="CF49" i="57"/>
  <c r="CH49" i="57"/>
  <c r="CI49" i="57"/>
  <c r="CJ49" i="57"/>
  <c r="CK49" i="57"/>
  <c r="CL49" i="57"/>
  <c r="CM49" i="57"/>
  <c r="CN49" i="57"/>
  <c r="CP49" i="57"/>
  <c r="CQ49" i="57"/>
  <c r="CR49" i="57"/>
  <c r="CT49" i="57"/>
  <c r="C50" i="57"/>
  <c r="D50" i="57"/>
  <c r="E50" i="57"/>
  <c r="F50" i="57"/>
  <c r="G50" i="57"/>
  <c r="H50" i="57"/>
  <c r="I50" i="57"/>
  <c r="J50" i="57"/>
  <c r="K50" i="57"/>
  <c r="L50" i="57"/>
  <c r="M50" i="57"/>
  <c r="N50" i="57"/>
  <c r="O50" i="57"/>
  <c r="P50" i="57"/>
  <c r="Q50" i="57"/>
  <c r="R50" i="57"/>
  <c r="S50" i="57"/>
  <c r="T50" i="57"/>
  <c r="U50" i="57"/>
  <c r="V50" i="57"/>
  <c r="W50" i="57"/>
  <c r="X50" i="57"/>
  <c r="Y50" i="57"/>
  <c r="Z50" i="57"/>
  <c r="AA50" i="57"/>
  <c r="AB50" i="57"/>
  <c r="AC50" i="57"/>
  <c r="AD50" i="57"/>
  <c r="AE50" i="57"/>
  <c r="AF50" i="57"/>
  <c r="AG50" i="57"/>
  <c r="AL50" i="57"/>
  <c r="AM50" i="57"/>
  <c r="AN50" i="57"/>
  <c r="AO50" i="57"/>
  <c r="AP50" i="57"/>
  <c r="AQ50" i="57"/>
  <c r="AR50" i="57"/>
  <c r="AS50" i="57"/>
  <c r="AT50" i="57"/>
  <c r="AU50" i="57"/>
  <c r="AV50" i="57"/>
  <c r="AW50" i="57"/>
  <c r="AX50" i="57"/>
  <c r="AY50" i="57"/>
  <c r="AZ50" i="57"/>
  <c r="BA50" i="57"/>
  <c r="BB50" i="57"/>
  <c r="BC50" i="57"/>
  <c r="BD50" i="57"/>
  <c r="BE50" i="57"/>
  <c r="BF50" i="57"/>
  <c r="BG50" i="57"/>
  <c r="BH50" i="57"/>
  <c r="BI50" i="57"/>
  <c r="BJ50" i="57"/>
  <c r="BK50" i="57"/>
  <c r="BL50" i="57"/>
  <c r="BM50" i="57"/>
  <c r="BN50" i="57"/>
  <c r="BO50" i="57"/>
  <c r="BP50" i="57"/>
  <c r="BS50" i="57"/>
  <c r="BT50" i="57"/>
  <c r="BU50" i="57"/>
  <c r="BV50" i="57"/>
  <c r="BW50" i="57"/>
  <c r="BX50" i="57"/>
  <c r="BY50" i="57"/>
  <c r="BZ50" i="57"/>
  <c r="CA50" i="57"/>
  <c r="CB50" i="57"/>
  <c r="CC50" i="57"/>
  <c r="CD50" i="57"/>
  <c r="CE50" i="57"/>
  <c r="CF50" i="57"/>
  <c r="CG50" i="57"/>
  <c r="CH50" i="57"/>
  <c r="CI50" i="57"/>
  <c r="CJ50" i="57"/>
  <c r="CK50" i="57"/>
  <c r="CL50" i="57"/>
  <c r="CM50" i="57"/>
  <c r="CN50" i="57"/>
  <c r="CO50" i="57"/>
  <c r="CP50" i="57"/>
  <c r="CQ50" i="57"/>
  <c r="CR50" i="57"/>
  <c r="CS50" i="57"/>
  <c r="CT50" i="57"/>
  <c r="CU50" i="57"/>
  <c r="CV50" i="57"/>
  <c r="CW50" i="57"/>
  <c r="CQ52" i="57"/>
  <c r="CR52" i="57"/>
  <c r="AI54" i="57"/>
  <c r="CM54" i="57"/>
  <c r="C55" i="57"/>
  <c r="E55" i="57"/>
  <c r="F55" i="57"/>
  <c r="G55" i="57"/>
  <c r="H55" i="57"/>
  <c r="I55" i="57"/>
  <c r="K55" i="57"/>
  <c r="N55" i="57"/>
  <c r="O55" i="57"/>
  <c r="P55" i="57"/>
  <c r="R55" i="57"/>
  <c r="S55" i="57"/>
  <c r="T55" i="57"/>
  <c r="W55" i="57"/>
  <c r="X55" i="57"/>
  <c r="Z55" i="57"/>
  <c r="AA55" i="57"/>
  <c r="AC55" i="57"/>
  <c r="AD55" i="57"/>
  <c r="AE55" i="57"/>
  <c r="AF55" i="57"/>
  <c r="AG55" i="57"/>
  <c r="AH55" i="57"/>
  <c r="AI55" i="57"/>
  <c r="AJ55" i="57"/>
  <c r="BR55" i="57"/>
  <c r="BU55" i="57"/>
  <c r="BV55" i="57"/>
  <c r="BW55" i="57"/>
  <c r="BX55" i="57"/>
  <c r="BY55" i="57"/>
  <c r="CA55" i="57"/>
  <c r="CB55" i="57"/>
  <c r="CD55" i="57"/>
  <c r="CE55" i="57"/>
  <c r="CF55" i="57"/>
  <c r="CH55" i="57"/>
  <c r="CI55" i="57"/>
  <c r="CJ55" i="57"/>
  <c r="CK55" i="57"/>
  <c r="CL55" i="57"/>
  <c r="CM55" i="57"/>
  <c r="CN55" i="57"/>
  <c r="CP55" i="57"/>
  <c r="CQ55" i="57"/>
  <c r="CR55" i="57"/>
  <c r="CT55" i="57"/>
  <c r="CU55" i="57"/>
  <c r="CV55" i="57"/>
  <c r="CW55" i="57"/>
  <c r="B56" i="57"/>
  <c r="C56" i="57"/>
  <c r="E56" i="57"/>
  <c r="F56" i="57"/>
  <c r="G56" i="57"/>
  <c r="H56" i="57"/>
  <c r="I56" i="57"/>
  <c r="K56" i="57"/>
  <c r="N56" i="57"/>
  <c r="O56" i="57"/>
  <c r="P56" i="57"/>
  <c r="R56" i="57"/>
  <c r="S56" i="57"/>
  <c r="T56" i="57"/>
  <c r="W56" i="57"/>
  <c r="X56" i="57"/>
  <c r="Z56" i="57"/>
  <c r="AA56" i="57"/>
  <c r="AC56" i="57"/>
  <c r="AD56" i="57"/>
  <c r="AE56" i="57"/>
  <c r="AF56" i="57"/>
  <c r="AG56" i="57"/>
  <c r="AH56" i="57"/>
  <c r="AI56" i="57"/>
  <c r="AJ56" i="57"/>
  <c r="BR56" i="57"/>
  <c r="BU56" i="57"/>
  <c r="BV56" i="57"/>
  <c r="BW56" i="57"/>
  <c r="BX56" i="57"/>
  <c r="BY56" i="57"/>
  <c r="CA56" i="57"/>
  <c r="CB56" i="57"/>
  <c r="CD56" i="57"/>
  <c r="CE56" i="57"/>
  <c r="CF56" i="57"/>
  <c r="CH56" i="57"/>
  <c r="CI56" i="57"/>
  <c r="CJ56" i="57"/>
  <c r="CK56" i="57"/>
  <c r="CL56" i="57"/>
  <c r="CM56" i="57"/>
  <c r="CN56" i="57"/>
  <c r="CP56" i="57"/>
  <c r="CQ56" i="57"/>
  <c r="CR56" i="57"/>
  <c r="CT56" i="57"/>
  <c r="CU56" i="57"/>
  <c r="CV56" i="57"/>
  <c r="CW56" i="57"/>
  <c r="B57" i="57"/>
  <c r="C57" i="57"/>
  <c r="E57" i="57"/>
  <c r="F57" i="57"/>
  <c r="G57" i="57"/>
  <c r="H57" i="57"/>
  <c r="I57" i="57"/>
  <c r="K57" i="57"/>
  <c r="N57" i="57"/>
  <c r="O57" i="57"/>
  <c r="P57" i="57"/>
  <c r="R57" i="57"/>
  <c r="S57" i="57"/>
  <c r="T57" i="57"/>
  <c r="W57" i="57"/>
  <c r="X57" i="57"/>
  <c r="Z57" i="57"/>
  <c r="AA57" i="57"/>
  <c r="AC57" i="57"/>
  <c r="AD57" i="57"/>
  <c r="AE57" i="57"/>
  <c r="AF57" i="57"/>
  <c r="AG57" i="57"/>
  <c r="AH57" i="57"/>
  <c r="AI57" i="57"/>
  <c r="AJ57" i="57"/>
  <c r="BR57" i="57"/>
  <c r="BU57" i="57"/>
  <c r="BV57" i="57"/>
  <c r="BW57" i="57"/>
  <c r="BX57" i="57"/>
  <c r="BY57" i="57"/>
  <c r="CA57" i="57"/>
  <c r="CB57" i="57"/>
  <c r="CD57" i="57"/>
  <c r="CE57" i="57"/>
  <c r="CF57" i="57"/>
  <c r="CH57" i="57"/>
  <c r="CI57" i="57"/>
  <c r="CJ57" i="57"/>
  <c r="CK57" i="57"/>
  <c r="CL57" i="57"/>
  <c r="CM57" i="57"/>
  <c r="CN57" i="57"/>
  <c r="CP57" i="57"/>
  <c r="CQ57" i="57"/>
  <c r="CR57" i="57"/>
  <c r="CT57" i="57"/>
  <c r="CU57" i="57"/>
  <c r="CV57" i="57"/>
  <c r="CW57" i="57"/>
  <c r="B58" i="57"/>
  <c r="C58" i="57"/>
  <c r="E58" i="57"/>
  <c r="F58" i="57"/>
  <c r="G58" i="57"/>
  <c r="H58" i="57"/>
  <c r="I58" i="57"/>
  <c r="K58" i="57"/>
  <c r="N58" i="57"/>
  <c r="O58" i="57"/>
  <c r="P58" i="57"/>
  <c r="R58" i="57"/>
  <c r="S58" i="57"/>
  <c r="T58" i="57"/>
  <c r="W58" i="57"/>
  <c r="X58" i="57"/>
  <c r="Z58" i="57"/>
  <c r="AA58" i="57"/>
  <c r="AC58" i="57"/>
  <c r="AD58" i="57"/>
  <c r="AE58" i="57"/>
  <c r="AF58" i="57"/>
  <c r="AG58" i="57"/>
  <c r="AH58" i="57"/>
  <c r="AI58" i="57"/>
  <c r="AJ58" i="57"/>
  <c r="BR58" i="57"/>
  <c r="BU58" i="57"/>
  <c r="BV58" i="57"/>
  <c r="BW58" i="57"/>
  <c r="BX58" i="57"/>
  <c r="BY58" i="57"/>
  <c r="CA58" i="57"/>
  <c r="CB58" i="57"/>
  <c r="CD58" i="57"/>
  <c r="CE58" i="57"/>
  <c r="CF58" i="57"/>
  <c r="CH58" i="57"/>
  <c r="CI58" i="57"/>
  <c r="CJ58" i="57"/>
  <c r="CK58" i="57"/>
  <c r="CL58" i="57"/>
  <c r="CM58" i="57"/>
  <c r="CN58" i="57"/>
  <c r="CP58" i="57"/>
  <c r="CQ58" i="57"/>
  <c r="CR58" i="57"/>
  <c r="CT58" i="57"/>
  <c r="CU58" i="57"/>
  <c r="CV58" i="57"/>
  <c r="CW58" i="57"/>
  <c r="B59" i="57"/>
  <c r="C59" i="57"/>
  <c r="E59" i="57"/>
  <c r="F59" i="57"/>
  <c r="G59" i="57"/>
  <c r="H59" i="57"/>
  <c r="I59" i="57"/>
  <c r="K59" i="57"/>
  <c r="N59" i="57"/>
  <c r="O59" i="57"/>
  <c r="P59" i="57"/>
  <c r="R59" i="57"/>
  <c r="S59" i="57"/>
  <c r="T59" i="57"/>
  <c r="W59" i="57"/>
  <c r="X59" i="57"/>
  <c r="Z59" i="57"/>
  <c r="AA59" i="57"/>
  <c r="AC59" i="57"/>
  <c r="AD59" i="57"/>
  <c r="AE59" i="57"/>
  <c r="AF59" i="57"/>
  <c r="AG59" i="57"/>
  <c r="AH59" i="57"/>
  <c r="AI59" i="57"/>
  <c r="AJ59" i="57"/>
  <c r="BR59" i="57"/>
  <c r="BU59" i="57"/>
  <c r="BV59" i="57"/>
  <c r="BW59" i="57"/>
  <c r="BX59" i="57"/>
  <c r="BY59" i="57"/>
  <c r="CA59" i="57"/>
  <c r="CB59" i="57"/>
  <c r="CD59" i="57"/>
  <c r="CE59" i="57"/>
  <c r="CF59" i="57"/>
  <c r="CH59" i="57"/>
  <c r="CI59" i="57"/>
  <c r="CJ59" i="57"/>
  <c r="CK59" i="57"/>
  <c r="CL59" i="57"/>
  <c r="CM59" i="57"/>
  <c r="CN59" i="57"/>
  <c r="CP59" i="57"/>
  <c r="CQ59" i="57"/>
  <c r="CR59" i="57"/>
  <c r="CT59" i="57"/>
  <c r="CU59" i="57"/>
  <c r="CV59" i="57"/>
  <c r="CW59" i="57"/>
  <c r="B60" i="57"/>
  <c r="C60" i="57"/>
  <c r="E60" i="57"/>
  <c r="F60" i="57"/>
  <c r="G60" i="57"/>
  <c r="H60" i="57"/>
  <c r="I60" i="57"/>
  <c r="K60" i="57"/>
  <c r="N60" i="57"/>
  <c r="O60" i="57"/>
  <c r="P60" i="57"/>
  <c r="R60" i="57"/>
  <c r="S60" i="57"/>
  <c r="T60" i="57"/>
  <c r="W60" i="57"/>
  <c r="X60" i="57"/>
  <c r="Z60" i="57"/>
  <c r="AA60" i="57"/>
  <c r="AC60" i="57"/>
  <c r="AD60" i="57"/>
  <c r="AE60" i="57"/>
  <c r="AF60" i="57"/>
  <c r="AG60" i="57"/>
  <c r="AH60" i="57"/>
  <c r="AI60" i="57"/>
  <c r="AJ60" i="57"/>
  <c r="BR60" i="57"/>
  <c r="BU60" i="57"/>
  <c r="BV60" i="57"/>
  <c r="BW60" i="57"/>
  <c r="BX60" i="57"/>
  <c r="BY60" i="57"/>
  <c r="CA60" i="57"/>
  <c r="CB60" i="57"/>
  <c r="CD60" i="57"/>
  <c r="CE60" i="57"/>
  <c r="CF60" i="57"/>
  <c r="CH60" i="57"/>
  <c r="CI60" i="57"/>
  <c r="CJ60" i="57"/>
  <c r="CK60" i="57"/>
  <c r="CL60" i="57"/>
  <c r="CM60" i="57"/>
  <c r="CN60" i="57"/>
  <c r="CP60" i="57"/>
  <c r="CQ60" i="57"/>
  <c r="CR60" i="57"/>
  <c r="CT60" i="57"/>
  <c r="CU60" i="57"/>
  <c r="CV60" i="57"/>
  <c r="CW60" i="57"/>
  <c r="B61" i="57"/>
  <c r="C61" i="57"/>
  <c r="E61" i="57"/>
  <c r="F61" i="57"/>
  <c r="G61" i="57"/>
  <c r="H61" i="57"/>
  <c r="I61" i="57"/>
  <c r="K61" i="57"/>
  <c r="N61" i="57"/>
  <c r="O61" i="57"/>
  <c r="P61" i="57"/>
  <c r="R61" i="57"/>
  <c r="S61" i="57"/>
  <c r="T61" i="57"/>
  <c r="W61" i="57"/>
  <c r="X61" i="57"/>
  <c r="Z61" i="57"/>
  <c r="AA61" i="57"/>
  <c r="AC61" i="57"/>
  <c r="AD61" i="57"/>
  <c r="AE61" i="57"/>
  <c r="AF61" i="57"/>
  <c r="AG61" i="57"/>
  <c r="AH61" i="57"/>
  <c r="AI61" i="57"/>
  <c r="AJ61" i="57"/>
  <c r="BR61" i="57"/>
  <c r="BU61" i="57"/>
  <c r="BV61" i="57"/>
  <c r="BW61" i="57"/>
  <c r="BX61" i="57"/>
  <c r="BY61" i="57"/>
  <c r="CA61" i="57"/>
  <c r="CB61" i="57"/>
  <c r="CD61" i="57"/>
  <c r="CE61" i="57"/>
  <c r="CF61" i="57"/>
  <c r="CH61" i="57"/>
  <c r="CI61" i="57"/>
  <c r="CJ61" i="57"/>
  <c r="CK61" i="57"/>
  <c r="CL61" i="57"/>
  <c r="CM61" i="57"/>
  <c r="CN61" i="57"/>
  <c r="CP61" i="57"/>
  <c r="CQ61" i="57"/>
  <c r="CR61" i="57"/>
  <c r="CT61" i="57"/>
  <c r="CU61" i="57"/>
  <c r="CV61" i="57"/>
  <c r="CW61" i="57"/>
  <c r="B62" i="57"/>
  <c r="C62" i="57"/>
  <c r="E62" i="57"/>
  <c r="F62" i="57"/>
  <c r="G62" i="57"/>
  <c r="H62" i="57"/>
  <c r="I62" i="57"/>
  <c r="K62" i="57"/>
  <c r="N62" i="57"/>
  <c r="O62" i="57"/>
  <c r="P62" i="57"/>
  <c r="R62" i="57"/>
  <c r="S62" i="57"/>
  <c r="T62" i="57"/>
  <c r="W62" i="57"/>
  <c r="X62" i="57"/>
  <c r="Z62" i="57"/>
  <c r="AA62" i="57"/>
  <c r="AC62" i="57"/>
  <c r="AD62" i="57"/>
  <c r="AE62" i="57"/>
  <c r="AF62" i="57"/>
  <c r="AG62" i="57"/>
  <c r="AH62" i="57"/>
  <c r="AI62" i="57"/>
  <c r="AJ62" i="57"/>
  <c r="BR62" i="57"/>
  <c r="BU62" i="57"/>
  <c r="BV62" i="57"/>
  <c r="BW62" i="57"/>
  <c r="BX62" i="57"/>
  <c r="BY62" i="57"/>
  <c r="CA62" i="57"/>
  <c r="CB62" i="57"/>
  <c r="CD62" i="57"/>
  <c r="CE62" i="57"/>
  <c r="CF62" i="57"/>
  <c r="CH62" i="57"/>
  <c r="CI62" i="57"/>
  <c r="CJ62" i="57"/>
  <c r="CK62" i="57"/>
  <c r="CL62" i="57"/>
  <c r="CM62" i="57"/>
  <c r="CN62" i="57"/>
  <c r="CP62" i="57"/>
  <c r="CQ62" i="57"/>
  <c r="CR62" i="57"/>
  <c r="CT62" i="57"/>
  <c r="CU62" i="57"/>
  <c r="CV62" i="57"/>
  <c r="CW62" i="57"/>
  <c r="B63" i="57"/>
  <c r="C63" i="57"/>
  <c r="E63" i="57"/>
  <c r="F63" i="57"/>
  <c r="G63" i="57"/>
  <c r="H63" i="57"/>
  <c r="I63" i="57"/>
  <c r="K63" i="57"/>
  <c r="N63" i="57"/>
  <c r="O63" i="57"/>
  <c r="P63" i="57"/>
  <c r="R63" i="57"/>
  <c r="S63" i="57"/>
  <c r="T63" i="57"/>
  <c r="W63" i="57"/>
  <c r="X63" i="57"/>
  <c r="Z63" i="57"/>
  <c r="AA63" i="57"/>
  <c r="AC63" i="57"/>
  <c r="AD63" i="57"/>
  <c r="AE63" i="57"/>
  <c r="AF63" i="57"/>
  <c r="AG63" i="57"/>
  <c r="AH63" i="57"/>
  <c r="AI63" i="57"/>
  <c r="AJ63" i="57"/>
  <c r="BR63" i="57"/>
  <c r="BU63" i="57"/>
  <c r="BV63" i="57"/>
  <c r="BW63" i="57"/>
  <c r="BX63" i="57"/>
  <c r="BY63" i="57"/>
  <c r="CA63" i="57"/>
  <c r="CB63" i="57"/>
  <c r="CD63" i="57"/>
  <c r="CE63" i="57"/>
  <c r="CF63" i="57"/>
  <c r="CH63" i="57"/>
  <c r="CI63" i="57"/>
  <c r="CJ63" i="57"/>
  <c r="CK63" i="57"/>
  <c r="CL63" i="57"/>
  <c r="CM63" i="57"/>
  <c r="CN63" i="57"/>
  <c r="CP63" i="57"/>
  <c r="CQ63" i="57"/>
  <c r="CR63" i="57"/>
  <c r="CT63" i="57"/>
  <c r="CU63" i="57"/>
  <c r="CV63" i="57"/>
  <c r="CW63" i="57"/>
  <c r="B64" i="57"/>
  <c r="C64" i="57"/>
  <c r="E64" i="57"/>
  <c r="F64" i="57"/>
  <c r="G64" i="57"/>
  <c r="H64" i="57"/>
  <c r="I64" i="57"/>
  <c r="K64" i="57"/>
  <c r="N64" i="57"/>
  <c r="O64" i="57"/>
  <c r="P64" i="57"/>
  <c r="R64" i="57"/>
  <c r="S64" i="57"/>
  <c r="T64" i="57"/>
  <c r="W64" i="57"/>
  <c r="X64" i="57"/>
  <c r="Z64" i="57"/>
  <c r="AA64" i="57"/>
  <c r="AC64" i="57"/>
  <c r="AD64" i="57"/>
  <c r="AE64" i="57"/>
  <c r="AF64" i="57"/>
  <c r="AG64" i="57"/>
  <c r="AH64" i="57"/>
  <c r="AI64" i="57"/>
  <c r="AJ64" i="57"/>
  <c r="BR64" i="57"/>
  <c r="BU64" i="57"/>
  <c r="BV64" i="57"/>
  <c r="BW64" i="57"/>
  <c r="BX64" i="57"/>
  <c r="BY64" i="57"/>
  <c r="CA64" i="57"/>
  <c r="CB64" i="57"/>
  <c r="CD64" i="57"/>
  <c r="CE64" i="57"/>
  <c r="CF64" i="57"/>
  <c r="CH64" i="57"/>
  <c r="CI64" i="57"/>
  <c r="CJ64" i="57"/>
  <c r="CK64" i="57"/>
  <c r="CL64" i="57"/>
  <c r="CM64" i="57"/>
  <c r="CN64" i="57"/>
  <c r="CP64" i="57"/>
  <c r="CQ64" i="57"/>
  <c r="CR64" i="57"/>
  <c r="CT64" i="57"/>
  <c r="CU64" i="57"/>
  <c r="CV64" i="57"/>
  <c r="CW64" i="57"/>
  <c r="B65" i="57"/>
  <c r="C65" i="57"/>
  <c r="E65" i="57"/>
  <c r="F65" i="57"/>
  <c r="G65" i="57"/>
  <c r="H65" i="57"/>
  <c r="I65" i="57"/>
  <c r="K65" i="57"/>
  <c r="N65" i="57"/>
  <c r="O65" i="57"/>
  <c r="P65" i="57"/>
  <c r="R65" i="57"/>
  <c r="S65" i="57"/>
  <c r="T65" i="57"/>
  <c r="W65" i="57"/>
  <c r="X65" i="57"/>
  <c r="Z65" i="57"/>
  <c r="AA65" i="57"/>
  <c r="AC65" i="57"/>
  <c r="AD65" i="57"/>
  <c r="AE65" i="57"/>
  <c r="AF65" i="57"/>
  <c r="AG65" i="57"/>
  <c r="AH65" i="57"/>
  <c r="AI65" i="57"/>
  <c r="AJ65" i="57"/>
  <c r="BR65" i="57"/>
  <c r="BU65" i="57"/>
  <c r="BV65" i="57"/>
  <c r="BW65" i="57"/>
  <c r="BX65" i="57"/>
  <c r="BY65" i="57"/>
  <c r="CA65" i="57"/>
  <c r="CB65" i="57"/>
  <c r="CD65" i="57"/>
  <c r="CE65" i="57"/>
  <c r="CF65" i="57"/>
  <c r="CH65" i="57"/>
  <c r="CI65" i="57"/>
  <c r="CJ65" i="57"/>
  <c r="CK65" i="57"/>
  <c r="CL65" i="57"/>
  <c r="CM65" i="57"/>
  <c r="CN65" i="57"/>
  <c r="CP65" i="57"/>
  <c r="CQ65" i="57"/>
  <c r="CR65" i="57"/>
  <c r="CT65" i="57"/>
  <c r="CU65" i="57"/>
  <c r="CV65" i="57"/>
  <c r="CW65" i="57"/>
  <c r="B66" i="57"/>
  <c r="C66" i="57"/>
  <c r="E66" i="57"/>
  <c r="F66" i="57"/>
  <c r="G66" i="57"/>
  <c r="H66" i="57"/>
  <c r="I66" i="57"/>
  <c r="K66" i="57"/>
  <c r="N66" i="57"/>
  <c r="O66" i="57"/>
  <c r="P66" i="57"/>
  <c r="R66" i="57"/>
  <c r="S66" i="57"/>
  <c r="T66" i="57"/>
  <c r="W66" i="57"/>
  <c r="X66" i="57"/>
  <c r="Z66" i="57"/>
  <c r="AA66" i="57"/>
  <c r="AC66" i="57"/>
  <c r="AD66" i="57"/>
  <c r="AE66" i="57"/>
  <c r="AF66" i="57"/>
  <c r="AG66" i="57"/>
  <c r="AH66" i="57"/>
  <c r="AI66" i="57"/>
  <c r="AJ66" i="57"/>
  <c r="BR66" i="57"/>
  <c r="BU66" i="57"/>
  <c r="BV66" i="57"/>
  <c r="BW66" i="57"/>
  <c r="BX66" i="57"/>
  <c r="BY66" i="57"/>
  <c r="CA66" i="57"/>
  <c r="CB66" i="57"/>
  <c r="CD66" i="57"/>
  <c r="CE66" i="57"/>
  <c r="CF66" i="57"/>
  <c r="CH66" i="57"/>
  <c r="CI66" i="57"/>
  <c r="CJ66" i="57"/>
  <c r="CK66" i="57"/>
  <c r="CL66" i="57"/>
  <c r="CM66" i="57"/>
  <c r="CN66" i="57"/>
  <c r="CP66" i="57"/>
  <c r="CQ66" i="57"/>
  <c r="CR66" i="57"/>
  <c r="CT66" i="57"/>
  <c r="CU66" i="57"/>
  <c r="CV66" i="57"/>
  <c r="CW66" i="57"/>
  <c r="B67" i="57"/>
  <c r="C67" i="57"/>
  <c r="E67" i="57"/>
  <c r="F67" i="57"/>
  <c r="G67" i="57"/>
  <c r="H67" i="57"/>
  <c r="I67" i="57"/>
  <c r="K67" i="57"/>
  <c r="N67" i="57"/>
  <c r="O67" i="57"/>
  <c r="P67" i="57"/>
  <c r="R67" i="57"/>
  <c r="S67" i="57"/>
  <c r="T67" i="57"/>
  <c r="W67" i="57"/>
  <c r="X67" i="57"/>
  <c r="Z67" i="57"/>
  <c r="AA67" i="57"/>
  <c r="AC67" i="57"/>
  <c r="AD67" i="57"/>
  <c r="AE67" i="57"/>
  <c r="AF67" i="57"/>
  <c r="AG67" i="57"/>
  <c r="AH67" i="57"/>
  <c r="AI67" i="57"/>
  <c r="AJ67" i="57"/>
  <c r="BR67" i="57"/>
  <c r="BU67" i="57"/>
  <c r="BV67" i="57"/>
  <c r="BW67" i="57"/>
  <c r="BX67" i="57"/>
  <c r="BY67" i="57"/>
  <c r="CA67" i="57"/>
  <c r="CB67" i="57"/>
  <c r="CD67" i="57"/>
  <c r="CE67" i="57"/>
  <c r="CF67" i="57"/>
  <c r="CH67" i="57"/>
  <c r="CI67" i="57"/>
  <c r="CJ67" i="57"/>
  <c r="CK67" i="57"/>
  <c r="CL67" i="57"/>
  <c r="CM67" i="57"/>
  <c r="CN67" i="57"/>
  <c r="CP67" i="57"/>
  <c r="CQ67" i="57"/>
  <c r="CR67" i="57"/>
  <c r="CT67" i="57"/>
  <c r="CU67" i="57"/>
  <c r="CV67" i="57"/>
  <c r="CW67" i="57"/>
  <c r="B68" i="57"/>
  <c r="C68" i="57"/>
  <c r="E68" i="57"/>
  <c r="F68" i="57"/>
  <c r="G68" i="57"/>
  <c r="H68" i="57"/>
  <c r="I68" i="57"/>
  <c r="K68" i="57"/>
  <c r="N68" i="57"/>
  <c r="O68" i="57"/>
  <c r="P68" i="57"/>
  <c r="R68" i="57"/>
  <c r="S68" i="57"/>
  <c r="T68" i="57"/>
  <c r="W68" i="57"/>
  <c r="X68" i="57"/>
  <c r="Z68" i="57"/>
  <c r="AA68" i="57"/>
  <c r="AC68" i="57"/>
  <c r="AD68" i="57"/>
  <c r="AE68" i="57"/>
  <c r="AF68" i="57"/>
  <c r="AG68" i="57"/>
  <c r="AH68" i="57"/>
  <c r="AI68" i="57"/>
  <c r="AJ68" i="57"/>
  <c r="BR68" i="57"/>
  <c r="BU68" i="57"/>
  <c r="BV68" i="57"/>
  <c r="BW68" i="57"/>
  <c r="BX68" i="57"/>
  <c r="BY68" i="57"/>
  <c r="CA68" i="57"/>
  <c r="CB68" i="57"/>
  <c r="CD68" i="57"/>
  <c r="CE68" i="57"/>
  <c r="CF68" i="57"/>
  <c r="CH68" i="57"/>
  <c r="CI68" i="57"/>
  <c r="CJ68" i="57"/>
  <c r="CK68" i="57"/>
  <c r="CL68" i="57"/>
  <c r="CM68" i="57"/>
  <c r="CN68" i="57"/>
  <c r="CP68" i="57"/>
  <c r="CQ68" i="57"/>
  <c r="CR68" i="57"/>
  <c r="CT68" i="57"/>
  <c r="CU68" i="57"/>
  <c r="CV68" i="57"/>
  <c r="CW68" i="57"/>
  <c r="B69" i="57"/>
  <c r="C69" i="57"/>
  <c r="E69" i="57"/>
  <c r="F69" i="57"/>
  <c r="G69" i="57"/>
  <c r="H69" i="57"/>
  <c r="I69" i="57"/>
  <c r="K69" i="57"/>
  <c r="N69" i="57"/>
  <c r="O69" i="57"/>
  <c r="P69" i="57"/>
  <c r="R69" i="57"/>
  <c r="S69" i="57"/>
  <c r="T69" i="57"/>
  <c r="W69" i="57"/>
  <c r="X69" i="57"/>
  <c r="Z69" i="57"/>
  <c r="AA69" i="57"/>
  <c r="AC69" i="57"/>
  <c r="AD69" i="57"/>
  <c r="AE69" i="57"/>
  <c r="AF69" i="57"/>
  <c r="AG69" i="57"/>
  <c r="AH69" i="57"/>
  <c r="AI69" i="57"/>
  <c r="AJ69" i="57"/>
  <c r="BR69" i="57"/>
  <c r="BU69" i="57"/>
  <c r="BV69" i="57"/>
  <c r="BW69" i="57"/>
  <c r="BX69" i="57"/>
  <c r="BY69" i="57"/>
  <c r="CA69" i="57"/>
  <c r="CB69" i="57"/>
  <c r="CD69" i="57"/>
  <c r="CE69" i="57"/>
  <c r="CF69" i="57"/>
  <c r="CH69" i="57"/>
  <c r="CI69" i="57"/>
  <c r="CJ69" i="57"/>
  <c r="CK69" i="57"/>
  <c r="CL69" i="57"/>
  <c r="CM69" i="57"/>
  <c r="CN69" i="57"/>
  <c r="CP69" i="57"/>
  <c r="CQ69" i="57"/>
  <c r="CR69" i="57"/>
  <c r="CT69" i="57"/>
  <c r="CU69" i="57"/>
  <c r="CV69" i="57"/>
  <c r="CW69" i="57"/>
  <c r="B70" i="57"/>
  <c r="C70" i="57"/>
  <c r="E70" i="57"/>
  <c r="F70" i="57"/>
  <c r="G70" i="57"/>
  <c r="H70" i="57"/>
  <c r="I70" i="57"/>
  <c r="K70" i="57"/>
  <c r="N70" i="57"/>
  <c r="O70" i="57"/>
  <c r="P70" i="57"/>
  <c r="R70" i="57"/>
  <c r="S70" i="57"/>
  <c r="T70" i="57"/>
  <c r="W70" i="57"/>
  <c r="X70" i="57"/>
  <c r="Z70" i="57"/>
  <c r="AA70" i="57"/>
  <c r="AC70" i="57"/>
  <c r="AD70" i="57"/>
  <c r="AE70" i="57"/>
  <c r="AF70" i="57"/>
  <c r="AG70" i="57"/>
  <c r="AH70" i="57"/>
  <c r="AI70" i="57"/>
  <c r="AJ70" i="57"/>
  <c r="BR70" i="57"/>
  <c r="BU70" i="57"/>
  <c r="BV70" i="57"/>
  <c r="BW70" i="57"/>
  <c r="BX70" i="57"/>
  <c r="BY70" i="57"/>
  <c r="CA70" i="57"/>
  <c r="CB70" i="57"/>
  <c r="CD70" i="57"/>
  <c r="CE70" i="57"/>
  <c r="CF70" i="57"/>
  <c r="CH70" i="57"/>
  <c r="CI70" i="57"/>
  <c r="CJ70" i="57"/>
  <c r="CK70" i="57"/>
  <c r="CL70" i="57"/>
  <c r="CM70" i="57"/>
  <c r="CN70" i="57"/>
  <c r="CP70" i="57"/>
  <c r="CQ70" i="57"/>
  <c r="CR70" i="57"/>
  <c r="CT70" i="57"/>
  <c r="CU70" i="57"/>
  <c r="CV70" i="57"/>
  <c r="CW70" i="57"/>
  <c r="B71" i="57"/>
  <c r="C71" i="57"/>
  <c r="E71" i="57"/>
  <c r="F71" i="57"/>
  <c r="G71" i="57"/>
  <c r="H71" i="57"/>
  <c r="I71" i="57"/>
  <c r="K71" i="57"/>
  <c r="N71" i="57"/>
  <c r="O71" i="57"/>
  <c r="P71" i="57"/>
  <c r="R71" i="57"/>
  <c r="S71" i="57"/>
  <c r="T71" i="57"/>
  <c r="W71" i="57"/>
  <c r="X71" i="57"/>
  <c r="Z71" i="57"/>
  <c r="AA71" i="57"/>
  <c r="AC71" i="57"/>
  <c r="AD71" i="57"/>
  <c r="AE71" i="57"/>
  <c r="AF71" i="57"/>
  <c r="AG71" i="57"/>
  <c r="AH71" i="57"/>
  <c r="AI71" i="57"/>
  <c r="AJ71" i="57"/>
  <c r="BR71" i="57"/>
  <c r="BU71" i="57"/>
  <c r="BV71" i="57"/>
  <c r="BW71" i="57"/>
  <c r="BX71" i="57"/>
  <c r="BY71" i="57"/>
  <c r="CA71" i="57"/>
  <c r="CB71" i="57"/>
  <c r="CD71" i="57"/>
  <c r="CE71" i="57"/>
  <c r="CF71" i="57"/>
  <c r="CH71" i="57"/>
  <c r="CI71" i="57"/>
  <c r="CJ71" i="57"/>
  <c r="CK71" i="57"/>
  <c r="CL71" i="57"/>
  <c r="CM71" i="57"/>
  <c r="CN71" i="57"/>
  <c r="CP71" i="57"/>
  <c r="CQ71" i="57"/>
  <c r="CR71" i="57"/>
  <c r="CT71" i="57"/>
  <c r="CU71" i="57"/>
  <c r="CV71" i="57"/>
  <c r="CW71" i="57"/>
  <c r="B72" i="57"/>
  <c r="C72" i="57"/>
  <c r="E72" i="57"/>
  <c r="F72" i="57"/>
  <c r="G72" i="57"/>
  <c r="H72" i="57"/>
  <c r="I72" i="57"/>
  <c r="K72" i="57"/>
  <c r="N72" i="57"/>
  <c r="O72" i="57"/>
  <c r="P72" i="57"/>
  <c r="R72" i="57"/>
  <c r="S72" i="57"/>
  <c r="T72" i="57"/>
  <c r="W72" i="57"/>
  <c r="X72" i="57"/>
  <c r="Z72" i="57"/>
  <c r="AA72" i="57"/>
  <c r="AC72" i="57"/>
  <c r="AD72" i="57"/>
  <c r="AE72" i="57"/>
  <c r="AF72" i="57"/>
  <c r="AG72" i="57"/>
  <c r="AH72" i="57"/>
  <c r="AI72" i="57"/>
  <c r="AJ72" i="57"/>
  <c r="BR72" i="57"/>
  <c r="BU72" i="57"/>
  <c r="BV72" i="57"/>
  <c r="BW72" i="57"/>
  <c r="BX72" i="57"/>
  <c r="BY72" i="57"/>
  <c r="CA72" i="57"/>
  <c r="CB72" i="57"/>
  <c r="CD72" i="57"/>
  <c r="CE72" i="57"/>
  <c r="CF72" i="57"/>
  <c r="CH72" i="57"/>
  <c r="CI72" i="57"/>
  <c r="CJ72" i="57"/>
  <c r="CK72" i="57"/>
  <c r="CL72" i="57"/>
  <c r="CM72" i="57"/>
  <c r="CN72" i="57"/>
  <c r="CP72" i="57"/>
  <c r="CQ72" i="57"/>
  <c r="CR72" i="57"/>
  <c r="CT72" i="57"/>
  <c r="CU72" i="57"/>
  <c r="CV72" i="57"/>
  <c r="CW72" i="57"/>
  <c r="B73" i="57"/>
  <c r="C73" i="57"/>
  <c r="E73" i="57"/>
  <c r="F73" i="57"/>
  <c r="G73" i="57"/>
  <c r="H73" i="57"/>
  <c r="I73" i="57"/>
  <c r="K73" i="57"/>
  <c r="N73" i="57"/>
  <c r="O73" i="57"/>
  <c r="P73" i="57"/>
  <c r="R73" i="57"/>
  <c r="S73" i="57"/>
  <c r="T73" i="57"/>
  <c r="W73" i="57"/>
  <c r="X73" i="57"/>
  <c r="Z73" i="57"/>
  <c r="AA73" i="57"/>
  <c r="AC73" i="57"/>
  <c r="AD73" i="57"/>
  <c r="AE73" i="57"/>
  <c r="AF73" i="57"/>
  <c r="AG73" i="57"/>
  <c r="AH73" i="57"/>
  <c r="AI73" i="57"/>
  <c r="AJ73" i="57"/>
  <c r="BR73" i="57"/>
  <c r="BU73" i="57"/>
  <c r="BV73" i="57"/>
  <c r="BW73" i="57"/>
  <c r="BX73" i="57"/>
  <c r="BY73" i="57"/>
  <c r="CA73" i="57"/>
  <c r="CB73" i="57"/>
  <c r="CD73" i="57"/>
  <c r="CE73" i="57"/>
  <c r="CF73" i="57"/>
  <c r="CH73" i="57"/>
  <c r="CI73" i="57"/>
  <c r="CJ73" i="57"/>
  <c r="CK73" i="57"/>
  <c r="CL73" i="57"/>
  <c r="CM73" i="57"/>
  <c r="CN73" i="57"/>
  <c r="CP73" i="57"/>
  <c r="CQ73" i="57"/>
  <c r="CR73" i="57"/>
  <c r="CT73" i="57"/>
  <c r="CU73" i="57"/>
  <c r="CV73" i="57"/>
  <c r="CW73" i="57"/>
  <c r="B74" i="57"/>
  <c r="C74" i="57"/>
  <c r="E74" i="57"/>
  <c r="F74" i="57"/>
  <c r="G74" i="57"/>
  <c r="H74" i="57"/>
  <c r="I74" i="57"/>
  <c r="K74" i="57"/>
  <c r="N74" i="57"/>
  <c r="O74" i="57"/>
  <c r="P74" i="57"/>
  <c r="R74" i="57"/>
  <c r="S74" i="57"/>
  <c r="T74" i="57"/>
  <c r="W74" i="57"/>
  <c r="X74" i="57"/>
  <c r="Z74" i="57"/>
  <c r="AA74" i="57"/>
  <c r="AC74" i="57"/>
  <c r="AD74" i="57"/>
  <c r="AE74" i="57"/>
  <c r="AF74" i="57"/>
  <c r="AG74" i="57"/>
  <c r="AH74" i="57"/>
  <c r="AI74" i="57"/>
  <c r="AJ74" i="57"/>
  <c r="BR74" i="57"/>
  <c r="BU74" i="57"/>
  <c r="BV74" i="57"/>
  <c r="BW74" i="57"/>
  <c r="BX74" i="57"/>
  <c r="BY74" i="57"/>
  <c r="CA74" i="57"/>
  <c r="CB74" i="57"/>
  <c r="CD74" i="57"/>
  <c r="CE74" i="57"/>
  <c r="CF74" i="57"/>
  <c r="CH74" i="57"/>
  <c r="CI74" i="57"/>
  <c r="CJ74" i="57"/>
  <c r="CK74" i="57"/>
  <c r="CL74" i="57"/>
  <c r="CM74" i="57"/>
  <c r="CN74" i="57"/>
  <c r="CP74" i="57"/>
  <c r="CQ74" i="57"/>
  <c r="CR74" i="57"/>
  <c r="CT74" i="57"/>
  <c r="CU74" i="57"/>
  <c r="CV74" i="57"/>
  <c r="CW74" i="57"/>
  <c r="N75" i="57"/>
  <c r="O75" i="57"/>
  <c r="P75" i="57"/>
  <c r="R75" i="57"/>
  <c r="S75" i="57"/>
  <c r="T75" i="57"/>
  <c r="W75" i="57"/>
  <c r="X75" i="57"/>
  <c r="Z75" i="57"/>
  <c r="AA75" i="57"/>
  <c r="AC75" i="57"/>
  <c r="AD75" i="57"/>
  <c r="AE75" i="57"/>
  <c r="AF75" i="57"/>
  <c r="AG75" i="57"/>
  <c r="AH75" i="57"/>
  <c r="AI75" i="57"/>
  <c r="AJ75" i="57"/>
  <c r="O77" i="57"/>
  <c r="P77" i="57"/>
  <c r="R77" i="57"/>
  <c r="S77" i="57"/>
  <c r="T77" i="57"/>
  <c r="X77" i="57"/>
  <c r="Z77" i="57"/>
  <c r="AA77" i="57"/>
  <c r="AD77" i="57"/>
  <c r="AE77" i="57"/>
  <c r="AF77" i="57"/>
  <c r="AG77" i="57"/>
  <c r="AH77" i="57"/>
  <c r="AI77" i="57"/>
  <c r="AJ77" i="57"/>
  <c r="BU77" i="57"/>
  <c r="BV77" i="57"/>
  <c r="BW77" i="57"/>
  <c r="BX77" i="57"/>
  <c r="BY77" i="57"/>
  <c r="CA77" i="57"/>
  <c r="CB77" i="57"/>
  <c r="CD77" i="57"/>
  <c r="CE77" i="57"/>
  <c r="CF77" i="57"/>
  <c r="CH77" i="57"/>
  <c r="CI77" i="57"/>
  <c r="CJ77" i="57"/>
  <c r="CK77" i="57"/>
  <c r="CL77" i="57"/>
  <c r="CM77" i="57"/>
  <c r="CN77" i="57"/>
  <c r="CP77" i="57"/>
  <c r="CQ77" i="57"/>
  <c r="CR77" i="57"/>
  <c r="CT77" i="57"/>
  <c r="C78" i="57"/>
  <c r="D78" i="57"/>
  <c r="E78" i="57"/>
  <c r="F78" i="57"/>
  <c r="G78" i="57"/>
  <c r="O78" i="57"/>
  <c r="P78" i="57"/>
  <c r="Q78" i="57"/>
  <c r="R78" i="57"/>
  <c r="S78" i="57"/>
  <c r="T78" i="57"/>
  <c r="X78" i="57"/>
  <c r="Y78" i="57"/>
  <c r="Z78" i="57"/>
  <c r="AA78" i="57"/>
  <c r="AD78" i="57"/>
  <c r="AE78" i="57"/>
  <c r="AF78" i="57"/>
  <c r="AG78" i="57"/>
  <c r="AH78" i="57"/>
  <c r="AI78" i="57"/>
  <c r="AJ78" i="57"/>
  <c r="BS78" i="57"/>
  <c r="BT78" i="57"/>
  <c r="BU78" i="57"/>
  <c r="BV78" i="57"/>
  <c r="BW78" i="57"/>
  <c r="BX78" i="57"/>
  <c r="BY78" i="57"/>
  <c r="BZ78" i="57"/>
  <c r="CA78" i="57"/>
  <c r="CB78" i="57"/>
  <c r="CC78" i="57"/>
  <c r="CD78" i="57"/>
  <c r="CE78" i="57"/>
  <c r="CF78" i="57"/>
  <c r="CG78" i="57"/>
  <c r="CH78" i="57"/>
  <c r="CI78" i="57"/>
  <c r="CJ78" i="57"/>
  <c r="CK78" i="57"/>
  <c r="CL78" i="57"/>
  <c r="CM78" i="57"/>
  <c r="CN78" i="57"/>
  <c r="CO78" i="57"/>
  <c r="CP78" i="57"/>
  <c r="CQ78" i="57"/>
  <c r="CR78" i="57"/>
  <c r="CS78" i="57"/>
  <c r="CT78" i="57"/>
  <c r="CU78" i="57"/>
  <c r="CV78" i="57"/>
  <c r="CW78" i="57"/>
</calcChain>
</file>

<file path=xl/comments1.xml><?xml version="1.0" encoding="utf-8"?>
<comments xmlns="http://schemas.openxmlformats.org/spreadsheetml/2006/main">
  <authors>
    <author>EI</author>
  </authors>
  <commentList>
    <comment ref="J26" authorId="0" shapeId="0">
      <text>
        <r>
          <rPr>
            <b/>
            <sz val="8"/>
            <color indexed="81"/>
            <rFont val="Tahoma"/>
          </rPr>
          <t>EI:</t>
        </r>
        <r>
          <rPr>
            <sz val="8"/>
            <color indexed="81"/>
            <rFont val="Tahoma"/>
          </rPr>
          <t xml:space="preserve">
Jeremy Dawson says this number is adjusted each quarter and was 14% as of Oct, 1999.</t>
        </r>
      </text>
    </comment>
    <comment ref="AB36" authorId="0" shapeId="0">
      <text>
        <r>
          <rPr>
            <b/>
            <sz val="8"/>
            <color indexed="81"/>
            <rFont val="Tahoma"/>
          </rPr>
          <t>EI:</t>
        </r>
        <r>
          <rPr>
            <sz val="8"/>
            <color indexed="81"/>
            <rFont val="Tahoma"/>
          </rPr>
          <t xml:space="preserve">
BNDES debt is a plug tranche. When turned off, subdebt replaces BNDES.</t>
        </r>
      </text>
    </comment>
    <comment ref="AB45" authorId="0" shapeId="0">
      <text>
        <r>
          <rPr>
            <b/>
            <sz val="8"/>
            <color indexed="81"/>
            <rFont val="Tahoma"/>
          </rPr>
          <t>EI:</t>
        </r>
        <r>
          <rPr>
            <sz val="8"/>
            <color indexed="81"/>
            <rFont val="Tahoma"/>
          </rPr>
          <t xml:space="preserve">
Total OPIC debt is $200MM spread among both pipelines first with the remainder coming to the power plant.</t>
        </r>
      </text>
    </comment>
    <comment ref="T54" authorId="0" shapeId="0">
      <text>
        <r>
          <rPr>
            <b/>
            <sz val="8"/>
            <color indexed="81"/>
            <rFont val="Tahoma"/>
          </rPr>
          <t>EI:</t>
        </r>
        <r>
          <rPr>
            <sz val="8"/>
            <color indexed="81"/>
            <rFont val="Tahoma"/>
          </rPr>
          <t xml:space="preserve">
Disputed Days Per Asset Mgmt:
1998 - 48 Days
1999 - Any Days After Feb 27th
Per R. Lammers (09/04/99) Increase # Of Days To Reach Damages Of $5.7M</t>
        </r>
      </text>
    </comment>
  </commentList>
</comments>
</file>

<file path=xl/comments2.xml><?xml version="1.0" encoding="utf-8"?>
<comments xmlns="http://schemas.openxmlformats.org/spreadsheetml/2006/main">
  <authors>
    <author>D Carneiro</author>
  </authors>
  <commentList>
    <comment ref="A66" authorId="0" shapeId="0">
      <text>
        <r>
          <rPr>
            <b/>
            <sz val="8"/>
            <color indexed="81"/>
            <rFont val="Tahoma"/>
          </rPr>
          <t>D Carneiro:</t>
        </r>
        <r>
          <rPr>
            <sz val="8"/>
            <color indexed="81"/>
            <rFont val="Tahoma"/>
          </rPr>
          <t xml:space="preserve">
Terminal Value of Power Plant is assumed to be ZERO.    Off-taker has an option to purchase the power plant at end of PPA.
</t>
        </r>
      </text>
    </comment>
    <comment ref="A69" authorId="0" shapeId="0">
      <text>
        <r>
          <rPr>
            <b/>
            <sz val="8"/>
            <color indexed="81"/>
            <rFont val="Tahoma"/>
          </rPr>
          <t>D Carneiro:</t>
        </r>
        <r>
          <rPr>
            <sz val="8"/>
            <color indexed="81"/>
            <rFont val="Tahoma"/>
          </rPr>
          <t xml:space="preserve">
TBS does not have material fixed assets to sell off in case of default.
</t>
        </r>
      </text>
    </comment>
    <comment ref="B118" authorId="0" shapeId="0">
      <text>
        <r>
          <rPr>
            <b/>
            <sz val="8"/>
            <color indexed="81"/>
            <rFont val="Tahoma"/>
          </rPr>
          <t>D Carneiro:</t>
        </r>
        <r>
          <rPr>
            <sz val="8"/>
            <color indexed="81"/>
            <rFont val="Tahoma"/>
          </rPr>
          <t xml:space="preserve">
Scenarios pulled from Worst, Modeled, and Best Case on Change Order Logs
</t>
        </r>
      </text>
    </comment>
  </commentList>
</comments>
</file>

<file path=xl/comments3.xml><?xml version="1.0" encoding="utf-8"?>
<comments xmlns="http://schemas.openxmlformats.org/spreadsheetml/2006/main">
  <authors>
    <author>A satisfied Microsoft Office user</author>
  </authors>
  <commentList>
    <comment ref="I12" authorId="0" shapeId="0">
      <text>
        <r>
          <rPr>
            <sz val="8"/>
            <color indexed="81"/>
            <rFont val="Tahoma"/>
          </rPr>
          <t>Carol  E. North:
Per Jose Bestard - March 24, 1998.  Correction To PPA</t>
        </r>
      </text>
    </comment>
    <comment ref="I13" authorId="0" shapeId="0">
      <text>
        <r>
          <rPr>
            <sz val="8"/>
            <color indexed="81"/>
            <rFont val="Tahoma"/>
          </rPr>
          <t>Carol  E. North:
Per Jose Bestard - March 24, 1998.  Correction To PPA</t>
        </r>
      </text>
    </comment>
  </commentList>
</comments>
</file>

<file path=xl/comments4.xml><?xml version="1.0" encoding="utf-8"?>
<comments xmlns="http://schemas.openxmlformats.org/spreadsheetml/2006/main">
  <authors>
    <author>kkindal</author>
  </authors>
  <commentList>
    <comment ref="H22" authorId="0" shapeId="0">
      <text>
        <r>
          <rPr>
            <b/>
            <sz val="8"/>
            <color indexed="81"/>
            <rFont val="Tahoma"/>
          </rPr>
          <t>kkindal:</t>
        </r>
        <r>
          <rPr>
            <sz val="8"/>
            <color indexed="81"/>
            <rFont val="Tahoma"/>
          </rPr>
          <t xml:space="preserve">
This doesn’t match the info in the GTB model.
See [Cash_GTB_Bolivia_0400bMyCopy]CF!I39.</t>
        </r>
      </text>
    </comment>
  </commentList>
</comments>
</file>

<file path=xl/comments5.xml><?xml version="1.0" encoding="utf-8"?>
<comments xmlns="http://schemas.openxmlformats.org/spreadsheetml/2006/main">
  <authors>
    <author>EI</author>
  </authors>
  <commentList>
    <comment ref="S49" authorId="0" shapeId="0">
      <text>
        <r>
          <rPr>
            <b/>
            <sz val="8"/>
            <color indexed="81"/>
            <rFont val="Tahoma"/>
          </rPr>
          <t>EI:</t>
        </r>
        <r>
          <rPr>
            <sz val="8"/>
            <color indexed="81"/>
            <rFont val="Tahoma"/>
          </rPr>
          <t xml:space="preserve">
$1,000 Contingency is reduced by AFRMM amount above.   Per Emmanuel Rengade 05/25/99 Tax savings schedule.</t>
        </r>
      </text>
    </comment>
  </commentList>
</comments>
</file>

<file path=xl/comments6.xml><?xml version="1.0" encoding="utf-8"?>
<comments xmlns="http://schemas.openxmlformats.org/spreadsheetml/2006/main">
  <authors>
    <author>D Carneiro</author>
  </authors>
  <commentList>
    <comment ref="E86" authorId="0" shapeId="0">
      <text>
        <r>
          <rPr>
            <b/>
            <sz val="8"/>
            <color indexed="81"/>
            <rFont val="Tahoma"/>
          </rPr>
          <t>D Carneiro:</t>
        </r>
        <r>
          <rPr>
            <sz val="8"/>
            <color indexed="81"/>
            <rFont val="Tahoma"/>
          </rPr>
          <t xml:space="preserve">
Does not include servicing of Sub Debt which is being treated as additional equity contributions from partners.</t>
        </r>
      </text>
    </comment>
  </commentList>
</comments>
</file>

<file path=xl/comments7.xml><?xml version="1.0" encoding="utf-8"?>
<comments xmlns="http://schemas.openxmlformats.org/spreadsheetml/2006/main">
  <authors>
    <author>kkindal</author>
  </authors>
  <commentList>
    <comment ref="L62" authorId="0" shapeId="0">
      <text>
        <r>
          <rPr>
            <b/>
            <sz val="8"/>
            <color indexed="81"/>
            <rFont val="Tahoma"/>
          </rPr>
          <t>kkindal:</t>
        </r>
        <r>
          <rPr>
            <sz val="8"/>
            <color indexed="81"/>
            <rFont val="Tahoma"/>
          </rPr>
          <t xml:space="preserve">
Trace start here.</t>
        </r>
      </text>
    </comment>
  </commentList>
</comments>
</file>

<file path=xl/sharedStrings.xml><?xml version="1.0" encoding="utf-8"?>
<sst xmlns="http://schemas.openxmlformats.org/spreadsheetml/2006/main" count="3995" uniqueCount="1969">
  <si>
    <t>Disbursments</t>
  </si>
  <si>
    <t>Land &amp; Right Of Way</t>
  </si>
  <si>
    <t>Other (includes development and mobilization)</t>
  </si>
  <si>
    <t>Owner's Engineer (Parsons)</t>
  </si>
  <si>
    <t>Mobilization - Plant</t>
  </si>
  <si>
    <t>Energy Revenue</t>
  </si>
  <si>
    <t>Total Fixed O&amp;M (R$ Based)</t>
  </si>
  <si>
    <t>Total Fixed O&amp;M (US$ Based)</t>
  </si>
  <si>
    <t>Total US$</t>
  </si>
  <si>
    <t>US$ Portion</t>
  </si>
  <si>
    <t>R$ Portion</t>
  </si>
  <si>
    <t>Plus: Liquidation Proceeds - Working Capital</t>
  </si>
  <si>
    <t>MCM @</t>
  </si>
  <si>
    <t>Per MCM</t>
  </si>
  <si>
    <t>Environmental &amp; Permitting</t>
  </si>
  <si>
    <t>O&amp;M Schedule (L. Powell To Review)</t>
  </si>
  <si>
    <t>Total Additional Income Tax</t>
  </si>
  <si>
    <t>Times: Additional Income Tax</t>
  </si>
  <si>
    <t>Total Cash Taxes (Excluding Sudam Credit)</t>
  </si>
  <si>
    <t>B. Blesie</t>
  </si>
  <si>
    <t>Cumulative S/H Constr Loan Interest</t>
  </si>
  <si>
    <t>Cumulative S/H Constr Loan W/H Tax</t>
  </si>
  <si>
    <t>Total Cumulative S/H Constr Loan</t>
  </si>
  <si>
    <t>Cumulative S/H Constr Loan (w/o Interest &amp; W/H)</t>
  </si>
  <si>
    <t>Plus: Debt Committed</t>
  </si>
  <si>
    <t>Book Earnings Method</t>
  </si>
  <si>
    <t>Partner Level Only</t>
  </si>
  <si>
    <t>Project Returns</t>
  </si>
  <si>
    <t>Shell</t>
  </si>
  <si>
    <t>Transredes</t>
  </si>
  <si>
    <t>Bridge Loan Amount</t>
  </si>
  <si>
    <t>Bridge Loan Repayment</t>
  </si>
  <si>
    <t>Plus: Interest Income Bridge Loan</t>
  </si>
  <si>
    <t>Less: Political Risk Insurance - Bridge Loan</t>
  </si>
  <si>
    <t>US Tax (Cost) / Benefit (2)'s Above</t>
  </si>
  <si>
    <t>Enron Earnings From Bridge Loans</t>
  </si>
  <si>
    <t>(3)</t>
  </si>
  <si>
    <t>Subtotal - Enron Earnings From Project Income</t>
  </si>
  <si>
    <t>Disputed Days Given By P. Waggoner</t>
  </si>
  <si>
    <t>Subtotal - Enron Earnings From Other Income / (Expenses)</t>
  </si>
  <si>
    <t>Subtotal - Enron Earnings From Bridge Loans</t>
  </si>
  <si>
    <t>Less: Distribution Of Reserve (See Below)</t>
  </si>
  <si>
    <t>Cumulative Sudam Credits Available</t>
  </si>
  <si>
    <t>Sudam Credits Distributed</t>
  </si>
  <si>
    <t>Operating Income Rate</t>
  </si>
  <si>
    <t>Credit Available = Tax Rate X Operating Income Reduced By Below %</t>
  </si>
  <si>
    <t>Credits Held In A Reserve (Non Distributable As Dividends, Only As Trapped Cash Loans)</t>
  </si>
  <si>
    <t>Income Taxes Subject To Sudam Credit</t>
  </si>
  <si>
    <t>Sudam Credit %</t>
  </si>
  <si>
    <t>Plus: Current Year Cash Taxes (Excluding Sudam Benefits)</t>
  </si>
  <si>
    <t>Sudam Tax Credit Reserve</t>
  </si>
  <si>
    <t>N/R - Shareholder Loans</t>
  </si>
  <si>
    <t>Of Earnings Before Taxes</t>
  </si>
  <si>
    <t>Limited To The Lesser Of</t>
  </si>
  <si>
    <t>B. Rosen - Memo</t>
  </si>
  <si>
    <t>Tariff  Schedule</t>
  </si>
  <si>
    <t>TARIFF SCHEDULE</t>
  </si>
  <si>
    <t>Tranche 1: KFW / Hermes - A Loan</t>
  </si>
  <si>
    <t>Tranche 2: KFW / Hermes - B Loan</t>
  </si>
  <si>
    <t>(0=Off, 1=On)</t>
  </si>
  <si>
    <t>Inventory - Spares</t>
  </si>
  <si>
    <t>Property, Plant &amp; Equipment</t>
  </si>
  <si>
    <t>Cost (Less Sale Of VAT)</t>
  </si>
  <si>
    <t>Operations &amp; Maintenance</t>
  </si>
  <si>
    <t>L/C Fee - Working Capital Facility</t>
  </si>
  <si>
    <t>Bonds</t>
  </si>
  <si>
    <t>Purchase Of Inventory - Spares</t>
  </si>
  <si>
    <t>Liquidation Proceeds - Spares</t>
  </si>
  <si>
    <t>Earnings Before INE Expense &amp; Taxes</t>
  </si>
  <si>
    <t>Earnings Before Sudam Credits</t>
  </si>
  <si>
    <t>Add: Sudam Credits Applied Against Losses</t>
  </si>
  <si>
    <t>Less: Sudam Credits Applied Against Losses</t>
  </si>
  <si>
    <t>Taxable Income Calculation (Excluding Sudam)</t>
  </si>
  <si>
    <t>Earnings Before Depr, Int, &amp; Taxes</t>
  </si>
  <si>
    <t>Less: Tax Depreciation</t>
  </si>
  <si>
    <t>Taxable Income Before NOL Carryforward</t>
  </si>
  <si>
    <t>Book Depreciation</t>
  </si>
  <si>
    <t>Pre-Tax Book Income</t>
  </si>
  <si>
    <t>Less: Financial Income In Excess Of Financial Losses</t>
  </si>
  <si>
    <t>Exploitation Profits</t>
  </si>
  <si>
    <t>Exploitation Profits Subject To Sudam (&gt;0)</t>
  </si>
  <si>
    <t>Current Year Earnings Before Sudam Credit</t>
  </si>
  <si>
    <t>Cumulative Earnings Before Sudam Credit</t>
  </si>
  <si>
    <t>Less: IDC To Be Expensed</t>
  </si>
  <si>
    <t>Monthly IDC To Be Expensed</t>
  </si>
  <si>
    <t>Cumulative IDC To Be Expensed</t>
  </si>
  <si>
    <t>Plus: IDC To Be Expensed</t>
  </si>
  <si>
    <t>Less:  IDC To Be Expensed</t>
  </si>
  <si>
    <t>IDC To Be Expensed</t>
  </si>
  <si>
    <t>INE Interest Expense</t>
  </si>
  <si>
    <t>Tranche 3: KFW (Uncovered Loan)</t>
  </si>
  <si>
    <t>Tranche 4: BNDES</t>
  </si>
  <si>
    <t>Tranche 5: MLA - OPIC</t>
  </si>
  <si>
    <t>Bridge Loan</t>
  </si>
  <si>
    <t>Upfront Fee</t>
  </si>
  <si>
    <t>Cost Of Funds</t>
  </si>
  <si>
    <t>IDC - Cumulative</t>
  </si>
  <si>
    <t>PCO-003 Fuel System Low Flash Consultant</t>
  </si>
  <si>
    <t>PCO-004 Step-Up Transformer Design Changes</t>
  </si>
  <si>
    <t>PCO-012 Cascading Blowdown</t>
  </si>
  <si>
    <t>PCO-016 Water Treatment Chemicals &amp; Safety Equipment</t>
  </si>
  <si>
    <t>W/H Tax - Cumulative</t>
  </si>
  <si>
    <t>APPENDIX V - VARIABLE / FIXED FUEL EXPENSE</t>
  </si>
  <si>
    <t>W/H Tax - Interest</t>
  </si>
  <si>
    <t>Senior Debt Proceeds</t>
  </si>
  <si>
    <t>Subordinated Debt</t>
  </si>
  <si>
    <t>Tranche 6: Subordinated Debt</t>
  </si>
  <si>
    <t>WAvg Financing Fee (Senior Debt)</t>
  </si>
  <si>
    <t>WAvg Rate / Spread (Senior Debt)</t>
  </si>
  <si>
    <t>WAvg Commitment Fee (Senior Debt)</t>
  </si>
  <si>
    <t>Senior Debt Rate</t>
  </si>
  <si>
    <t>Subordinated Debt Rate</t>
  </si>
  <si>
    <t>IDC - Senior Debt</t>
  </si>
  <si>
    <t>IDC - Subordinated Debt</t>
  </si>
  <si>
    <t>Subordinated Debt Proceeds</t>
  </si>
  <si>
    <t>Total IDC</t>
  </si>
  <si>
    <t xml:space="preserve">         Total Senior Debt</t>
  </si>
  <si>
    <t xml:space="preserve">   Interest</t>
  </si>
  <si>
    <t>Less: Interest Expense - Senior Debt</t>
  </si>
  <si>
    <t>Less: Interest Expense - Subordinated Debt</t>
  </si>
  <si>
    <t xml:space="preserve">         Total Subordinated Debt</t>
  </si>
  <si>
    <t>Bridge Loan - Proceeds</t>
  </si>
  <si>
    <t>Bridge Loan - Repayment</t>
  </si>
  <si>
    <t>2(a)</t>
  </si>
  <si>
    <t>2(b)</t>
  </si>
  <si>
    <t>Year 2(b) Average Plant Tariff</t>
  </si>
  <si>
    <t>First 300MW</t>
  </si>
  <si>
    <t>Second 180MW</t>
  </si>
  <si>
    <t>Average Plant Tariff</t>
  </si>
  <si>
    <t>Through</t>
  </si>
  <si>
    <t>Total Mwh Produced During CC Conversion</t>
  </si>
  <si>
    <t>Total Hours During The CC Conversion</t>
  </si>
  <si>
    <t>Average MW Capacity</t>
  </si>
  <si>
    <t>Average MW Capacity During CC Conversion</t>
  </si>
  <si>
    <t>Availability Factor</t>
  </si>
  <si>
    <t>Dispatch Factor</t>
  </si>
  <si>
    <t>Senior Debt - Proceeds</t>
  </si>
  <si>
    <t>Senior Debt - Principal Repayment</t>
  </si>
  <si>
    <t>Interest Payment - Senior Debt</t>
  </si>
  <si>
    <t>Interest Income - Shareholders Loans</t>
  </si>
  <si>
    <t>Shareholders Loans - Trapped Cash</t>
  </si>
  <si>
    <t>Shareholder Loan Repayment</t>
  </si>
  <si>
    <t>W/H Tax - Subordinated Debt</t>
  </si>
  <si>
    <t>Withholding Tax - IDC</t>
  </si>
  <si>
    <t>Less: Principal Payments - Senior Debt</t>
  </si>
  <si>
    <t>Less: Principal Payments - Subordinated Debt</t>
  </si>
  <si>
    <t>Subordinated Debt - Proceeds</t>
  </si>
  <si>
    <t>Subordinated Debt - Principal Repayment</t>
  </si>
  <si>
    <t>Interest Payment - Subordinated Debt</t>
  </si>
  <si>
    <t>Interest Expense - Senior Debt</t>
  </si>
  <si>
    <t>Interest Expense - Subordinated Debt</t>
  </si>
  <si>
    <t>Enron IRR (w/ Subdebt)</t>
  </si>
  <si>
    <t>Subordinated Debt Repayment</t>
  </si>
  <si>
    <t>Plus: Interest Income - Subordinated Debt</t>
  </si>
  <si>
    <t>CPI Less .0025</t>
  </si>
  <si>
    <t>Section 6.8</t>
  </si>
  <si>
    <t>EN/EPE Operating Accord</t>
  </si>
  <si>
    <t>Annex 10, Table A10-1</t>
  </si>
  <si>
    <t>Assumed Rate For Cash Held</t>
  </si>
  <si>
    <t>Delay/Performance Damages (SCC)</t>
  </si>
  <si>
    <t>(B)-Maximum</t>
  </si>
  <si>
    <t>(A)-Calculated</t>
  </si>
  <si>
    <t>(C)-Min Of (A)&amp;(B)</t>
  </si>
  <si>
    <t>Total Delay Damages</t>
  </si>
  <si>
    <t>Total Performance Damages</t>
  </si>
  <si>
    <r>
      <t xml:space="preserve">Delay/Performance Damages From SCC </t>
    </r>
    <r>
      <rPr>
        <i/>
        <sz val="9"/>
        <rFont val="Arial"/>
        <family val="2"/>
      </rPr>
      <t>(0=Off, 1=On)</t>
    </r>
  </si>
  <si>
    <t>Less: Political Risk Insurance - Subordinated Debt</t>
  </si>
  <si>
    <t>Actual Equity Contribution</t>
  </si>
  <si>
    <t>Cumulative Equity Contribution</t>
  </si>
  <si>
    <t>US Tax (Exp) / Benefit (3)'s Above</t>
  </si>
  <si>
    <t>Total Cash Flow - w/ Subordinated Debt</t>
  </si>
  <si>
    <t>Total Cash Flow - w/ Bridge Loan</t>
  </si>
  <si>
    <t>Political Risk Calculation - Subordinated Debt</t>
  </si>
  <si>
    <t>Enron Subordinated Debt Balance (BOY)</t>
  </si>
  <si>
    <t>Amount Of Construction Loan</t>
  </si>
  <si>
    <t>DRAWDOWN SCHEDULE</t>
  </si>
  <si>
    <t>INTEREST DURING CONSTRUCTION / COMMITMENT FEE</t>
  </si>
  <si>
    <t>DEPRECIATION CALCULATION</t>
  </si>
  <si>
    <t>14</t>
  </si>
  <si>
    <t>Interest During Construction / Commitment Fee</t>
  </si>
  <si>
    <t>15</t>
  </si>
  <si>
    <t>16</t>
  </si>
  <si>
    <t>17</t>
  </si>
  <si>
    <t>Drawdown Schedule</t>
  </si>
  <si>
    <t>Common Equity Balance</t>
  </si>
  <si>
    <t>Preferred Equity Balance (Sudam)</t>
  </si>
  <si>
    <t>Preferred Equity (Sudam) Proceeds</t>
  </si>
  <si>
    <t>Sudam Financing Option</t>
  </si>
  <si>
    <t>Incorporate Sudam Financing Option (0=No, 1=Yes)</t>
  </si>
  <si>
    <t>Date To Incorprate Sudam Financing</t>
  </si>
  <si>
    <t>Subordinated Debt / Sudam Financing</t>
  </si>
  <si>
    <t>Date Of Repurchase Of Preferred Shares</t>
  </si>
  <si>
    <t># Of Months From Phase III Completion To Repurchase Preferred Shares</t>
  </si>
  <si>
    <t>Political Risk Calculation - Common Equity @ Risk</t>
  </si>
  <si>
    <t>Political Risk Calculation - Preferred Equity @ Risk</t>
  </si>
  <si>
    <t>Current Year Common Equity Issued</t>
  </si>
  <si>
    <t>Total Common Equity Balance (BOY)</t>
  </si>
  <si>
    <t>Total Common Equity Balance (EOY)</t>
  </si>
  <si>
    <t>Enron's Common Equity Balance (EOY)</t>
  </si>
  <si>
    <t>Enron's Common Equity Balance (BOY)</t>
  </si>
  <si>
    <t>Beginning Balance - Common Equity</t>
  </si>
  <si>
    <t>Ending Balance - Common Equity</t>
  </si>
  <si>
    <t>Current Year Preferred Equity Issued</t>
  </si>
  <si>
    <t>Beginning Balance - Preferred Equity</t>
  </si>
  <si>
    <t>Ending Balance - Preferred Equity</t>
  </si>
  <si>
    <t>Fee for Lender's Put Option</t>
  </si>
  <si>
    <r>
      <t xml:space="preserve">Less: L/C YPF Guarantee </t>
    </r>
    <r>
      <rPr>
        <b/>
        <sz val="10"/>
        <color indexed="14"/>
        <rFont val="arial"/>
        <family val="2"/>
      </rPr>
      <t>+ Loan Guarantee Fee</t>
    </r>
  </si>
  <si>
    <t xml:space="preserve">ENRON </t>
  </si>
  <si>
    <t>GUARANTEE FEE</t>
  </si>
  <si>
    <t>Total Preferred Equity Balance (BOY)</t>
  </si>
  <si>
    <t>Enron's Preferred Equity Balance (BOY)</t>
  </si>
  <si>
    <t>Total Preferred Equity Balance (EOY)</t>
  </si>
  <si>
    <t>Enron's Preferred Equity Balance (EOY)</t>
  </si>
  <si>
    <t>Enron Preferred Equity @ Risk [ (c x 2) + d ] / 3</t>
  </si>
  <si>
    <t>Political Risk Insurance - Enron's Preferred Equity</t>
  </si>
  <si>
    <t>Political Risk Insurance - Enron's Common Equity</t>
  </si>
  <si>
    <t>Enron Common Equity @ Risk [ (c x 2) + d ] / 3</t>
  </si>
  <si>
    <t>Capital Contributions (Common &amp; Preferred)</t>
  </si>
  <si>
    <t>Capital Stock (Common &amp; Preferred)</t>
  </si>
  <si>
    <t>Cumulative Equity Used (Common &amp; Preferred)</t>
  </si>
  <si>
    <t>Less: Cumulative A-T Cashflow Distributed (Common &amp; Preferred)</t>
  </si>
  <si>
    <t>Plus: Cumulative Bridge Loan Outstanding</t>
  </si>
  <si>
    <t>Plus: Cumulative Subordinated Debt Outstanding</t>
  </si>
  <si>
    <t>Less: Cumulative Interest Income / Fees From Subordinated Debt</t>
  </si>
  <si>
    <t>Less: Cumulative Interest Income / Fees From Bridge Loan</t>
  </si>
  <si>
    <t>CASH / BOOK TAXES</t>
  </si>
  <si>
    <t>SUDAM TAX CREDITS / INE</t>
  </si>
  <si>
    <t>Sudam Tax Credits / INE Calculation</t>
  </si>
  <si>
    <t>Cash &amp; Book Taxes</t>
  </si>
  <si>
    <t>Other O&amp;M Expenses</t>
  </si>
  <si>
    <t>Outstanding Amounts Subject To Cost Of Funds Charge</t>
  </si>
  <si>
    <t>Cashflow Before Other Fees</t>
  </si>
  <si>
    <t>Cashflow Before Bridge Loan</t>
  </si>
  <si>
    <t>Cashflow Before Subordinated Debt</t>
  </si>
  <si>
    <t>Monthly Drawdown %</t>
  </si>
  <si>
    <t>Cumulative Drawdown %</t>
  </si>
  <si>
    <t>Subdebt Custom Amortization</t>
  </si>
  <si>
    <t>Cash Avail</t>
  </si>
  <si>
    <t>Before Sub</t>
  </si>
  <si>
    <t>Net A-T Cashflow Before Subdebt Principal Repayment</t>
  </si>
  <si>
    <t>Subdebt Loopfactor</t>
  </si>
  <si>
    <t>Difference</t>
  </si>
  <si>
    <t>Shell IRR (w/ Bridge Loan)</t>
  </si>
  <si>
    <t>Budget Review - 05/18/99</t>
  </si>
  <si>
    <t>Net Operating Loss Calculation (Book Taxes)</t>
  </si>
  <si>
    <t>Phase III +</t>
  </si>
  <si>
    <t xml:space="preserve">GasMat </t>
  </si>
  <si>
    <t>Consolidated (EPE+GasMat+GasBol+TBS)</t>
  </si>
  <si>
    <t>TV RECOVERY</t>
  </si>
  <si>
    <t>GASBOL RATE RESET</t>
  </si>
  <si>
    <t>EPE HEAT RATE</t>
  </si>
  <si>
    <t>EPE-Off-Taker Availability LDs</t>
  </si>
  <si>
    <t>Forecast (1=On; 0=Off)</t>
  </si>
  <si>
    <t>Guarantee Fee</t>
  </si>
  <si>
    <t>Net Operating Loss Calculation (Cash Taxes)</t>
  </si>
  <si>
    <t>Earnings Before Taxes</t>
  </si>
  <si>
    <t>Net Income Subject To Income Taxes</t>
  </si>
  <si>
    <t>Maintenance Accrual To Cash Adjustment (US$ Based)</t>
  </si>
  <si>
    <t>Maintenance Accrual To Cash Adjustment (R$ Based)</t>
  </si>
  <si>
    <t>Pis/Cofins</t>
  </si>
  <si>
    <t>Shell IRR (w/ Subdebt)</t>
  </si>
  <si>
    <t>Transredes IRR (w/ Bridge Loan)</t>
  </si>
  <si>
    <t>Transredes IRR (w/ Subdebt)</t>
  </si>
  <si>
    <t>SHELL / TRANSREDES RETURNS</t>
  </si>
  <si>
    <t>PROJECT / ENRON / CIG RETURNS</t>
  </si>
  <si>
    <t>Enron Subordinated Debt Balance (EOY)</t>
  </si>
  <si>
    <r>
      <t xml:space="preserve">Political Risk Insurance - Enron Subordinated Debt </t>
    </r>
    <r>
      <rPr>
        <i/>
        <sz val="9"/>
        <rFont val="Arial"/>
        <family val="2"/>
      </rPr>
      <t>(Cash Payment)</t>
    </r>
  </si>
  <si>
    <t>Less: Subordinated Debt Repayment</t>
  </si>
  <si>
    <t>Plus: Interest Income Subordinated Debt</t>
  </si>
  <si>
    <t>Plus: Subordinated Debt Amount</t>
  </si>
  <si>
    <t>US Tax (Cost) / Benefit (3)'s Above</t>
  </si>
  <si>
    <t>Reserve Can Be Used Against Net Losses (Forward &amp; Backward)</t>
  </si>
  <si>
    <t>W/C Rate</t>
  </si>
  <si>
    <t>W/C Fee</t>
  </si>
  <si>
    <t>Sourcing %</t>
  </si>
  <si>
    <t>Allocation</t>
  </si>
  <si>
    <t>Foreign</t>
  </si>
  <si>
    <t>Combustion Turbine Generator</t>
  </si>
  <si>
    <t>Steam Turbine Generator</t>
  </si>
  <si>
    <t>Heat Recovery Steam Generator</t>
  </si>
  <si>
    <t>Tanks - Shop Fabricated (SC)</t>
  </si>
  <si>
    <t>Emergency Generator</t>
  </si>
  <si>
    <t>Compressed Air Equipment</t>
  </si>
  <si>
    <t>Steam Condenser</t>
  </si>
  <si>
    <t>Pumps - Boiler Feed</t>
  </si>
  <si>
    <t>Pumps - Condensate</t>
  </si>
  <si>
    <t>Pumps - Circulating Water</t>
  </si>
  <si>
    <t>Pumps - Miscellaneous (SC)</t>
  </si>
  <si>
    <t>Filters</t>
  </si>
  <si>
    <t>Auxiliary Cranes &amp; Hoists</t>
  </si>
  <si>
    <t>Pipe- Local</t>
  </si>
  <si>
    <t>Pipe-Inported</t>
  </si>
  <si>
    <t>Valves - Local</t>
  </si>
  <si>
    <t>Valves - Imported</t>
  </si>
  <si>
    <t>Demineralization Equipment</t>
  </si>
  <si>
    <t>Chemical Water Treatment</t>
  </si>
  <si>
    <t>Dosing and Sampling</t>
  </si>
  <si>
    <t>Transformers - GSU</t>
  </si>
  <si>
    <t>Batteries &amp; Battery Charger</t>
  </si>
  <si>
    <t>Switchgear &amp; Bus Duct</t>
  </si>
  <si>
    <t>Electrical Equipment -Local</t>
  </si>
  <si>
    <t>Electrical Equipment -Imported</t>
  </si>
  <si>
    <t>I&amp;C Equipment</t>
  </si>
  <si>
    <t>Civil Work</t>
  </si>
  <si>
    <t>Construction Commisioning</t>
  </si>
  <si>
    <t>Total Direct Costs</t>
  </si>
  <si>
    <t>Price</t>
  </si>
  <si>
    <t>Local</t>
  </si>
  <si>
    <t>Tax %</t>
  </si>
  <si>
    <t>Tax Amounts</t>
  </si>
  <si>
    <t>Contingency</t>
  </si>
  <si>
    <t xml:space="preserve">0=Exempt, 1=Non Exempt </t>
  </si>
  <si>
    <t>Social Contribution Tax (Not Available For Sudam)</t>
  </si>
  <si>
    <t>Tax Savings Under Sudam (Applied To Reserve)</t>
  </si>
  <si>
    <t>Assumptions</t>
  </si>
  <si>
    <t>Enron Book Income</t>
  </si>
  <si>
    <t>Trapped Cash, Partner Loans, Reserves</t>
  </si>
  <si>
    <t>Interest During Construction</t>
  </si>
  <si>
    <t>Depreciation</t>
  </si>
  <si>
    <t>Reference Sheets</t>
  </si>
  <si>
    <t>ASSUMPTIONS</t>
  </si>
  <si>
    <t>ENRON INTERNATIONAL</t>
  </si>
  <si>
    <t xml:space="preserve">                                                                                       </t>
  </si>
  <si>
    <t xml:space="preserve"> </t>
  </si>
  <si>
    <t>Power Plant Data</t>
  </si>
  <si>
    <t>Phase I</t>
  </si>
  <si>
    <t>Total Turnkey Amount (Excluding Escalation On Brazilian Sourced)</t>
  </si>
  <si>
    <t>Phase II</t>
  </si>
  <si>
    <t>Phase III</t>
  </si>
  <si>
    <t>Limitada</t>
  </si>
  <si>
    <t>Values</t>
  </si>
  <si>
    <t>Inputs</t>
  </si>
  <si>
    <t>Capacity</t>
  </si>
  <si>
    <t>MW</t>
  </si>
  <si>
    <t>Operating Taxes</t>
  </si>
  <si>
    <t>Project Costs ($000)</t>
  </si>
  <si>
    <t>H. Holland - Memo</t>
  </si>
  <si>
    <t>Article 1.1 (Definitions-Phase I,II,III)</t>
  </si>
  <si>
    <t>Bid Availability / Dispatch Assumptions</t>
  </si>
  <si>
    <t>Opening Page (From Date Of Contract)</t>
  </si>
  <si>
    <t>Diff Between Start Dates</t>
  </si>
  <si>
    <t>EPE / SCC EPC Contract</t>
  </si>
  <si>
    <t>Exhibit B-1(a) Opening Paragraph</t>
  </si>
  <si>
    <t>2 V84.3A Seimens / 1 Steam Turbine</t>
  </si>
  <si>
    <t>Standard Conversion</t>
  </si>
  <si>
    <t>See Tariff Sheet</t>
  </si>
  <si>
    <t>PPA / J.Bestard - Memo</t>
  </si>
  <si>
    <t>J. Bestard (05/17/99)</t>
  </si>
  <si>
    <t>1997 IBFD Document</t>
  </si>
  <si>
    <t>Section 9.03</t>
  </si>
  <si>
    <t>Project Structure</t>
  </si>
  <si>
    <t>Standard Assumption</t>
  </si>
  <si>
    <t>Per Christina Arantes (Machado Meyer)</t>
  </si>
  <si>
    <t>Standard Rate On Book Value</t>
  </si>
  <si>
    <t>P. Waggoner - Memo</t>
  </si>
  <si>
    <t>I. Boaventura</t>
  </si>
  <si>
    <t>Availability</t>
  </si>
  <si>
    <t>Corporate Income Tax</t>
  </si>
  <si>
    <t>Heat Rate</t>
  </si>
  <si>
    <t>Additional Income Tax</t>
  </si>
  <si>
    <t xml:space="preserve">Dispatch </t>
  </si>
  <si>
    <t>Social Contribution Tax</t>
  </si>
  <si>
    <t>Equipment</t>
  </si>
  <si>
    <t>Operating Expenses ($000) - Power Plant</t>
  </si>
  <si>
    <t>Payroll &amp; Burden (Includes WTF)</t>
  </si>
  <si>
    <t>Chemicals (Includes WTF)</t>
  </si>
  <si>
    <t>Minor Maintenance (Incl WTF)</t>
  </si>
  <si>
    <t>COFINS - Social Contribution</t>
  </si>
  <si>
    <t>Project Operations</t>
  </si>
  <si>
    <t>Payroll Tax</t>
  </si>
  <si>
    <t>Severance Fund</t>
  </si>
  <si>
    <t xml:space="preserve">0=On, 1=Off </t>
  </si>
  <si>
    <t>Consulting Fee</t>
  </si>
  <si>
    <t>Education Fund</t>
  </si>
  <si>
    <t>Exempt</t>
  </si>
  <si>
    <t>Loop Factor</t>
  </si>
  <si>
    <t>Annual Property Tax</t>
  </si>
  <si>
    <t>Annual On Land, Assumed Exempt</t>
  </si>
  <si>
    <t>See Construction Tax Schedule</t>
  </si>
  <si>
    <t>BOT</t>
  </si>
  <si>
    <t>Pricing</t>
  </si>
  <si>
    <t>US Taxes</t>
  </si>
  <si>
    <t>Escalation</t>
  </si>
  <si>
    <t>Variable O&amp;M</t>
  </si>
  <si>
    <t>Depreciation Assumptions</t>
  </si>
  <si>
    <t>Basis ($000)</t>
  </si>
  <si>
    <t>Life (Yrs)</t>
  </si>
  <si>
    <t>Method</t>
  </si>
  <si>
    <t>First Debt Service Payment</t>
  </si>
  <si>
    <t>Sudam Tax Credits Reserve</t>
  </si>
  <si>
    <t>S/L</t>
  </si>
  <si>
    <t>YPF Guarantee</t>
  </si>
  <si>
    <t>Fuel Purchases</t>
  </si>
  <si>
    <t>L/C Fee p.a.</t>
  </si>
  <si>
    <t>Debt Reserve</t>
  </si>
  <si>
    <t>Exchange Rate</t>
  </si>
  <si>
    <t>Capital Structure</t>
  </si>
  <si>
    <t>Natural Gas (TBS Contract)</t>
  </si>
  <si>
    <t>Financing ($000)</t>
  </si>
  <si>
    <t>Enron</t>
  </si>
  <si>
    <t>Margin</t>
  </si>
  <si>
    <t xml:space="preserve">   Total</t>
  </si>
  <si>
    <t>Trapped Cash</t>
  </si>
  <si>
    <t>Project</t>
  </si>
  <si>
    <t>Expense</t>
  </si>
  <si>
    <t>JVM Management Fee</t>
  </si>
  <si>
    <t>JVM G&amp;A</t>
  </si>
  <si>
    <t>Sustaining Capital</t>
  </si>
  <si>
    <t>Rate</t>
  </si>
  <si>
    <t>Commercial Office</t>
  </si>
  <si>
    <t>Performance Bond</t>
  </si>
  <si>
    <t>Operating Insurance</t>
  </si>
  <si>
    <t>Disc Rate</t>
  </si>
  <si>
    <t>IRR</t>
  </si>
  <si>
    <t>NPV</t>
  </si>
  <si>
    <t>Target IRR</t>
  </si>
  <si>
    <t>Financing Costs (Borrower And Lender)</t>
  </si>
  <si>
    <t>Financing Costs (Other)</t>
  </si>
  <si>
    <t>Political Risk Insurance</t>
  </si>
  <si>
    <t>Pre-Tax</t>
  </si>
  <si>
    <t>After-Tax</t>
  </si>
  <si>
    <t xml:space="preserve">         Minimum</t>
  </si>
  <si>
    <t xml:space="preserve">         Average</t>
  </si>
  <si>
    <t>TOTAL PARTNERS</t>
  </si>
  <si>
    <t>Plus: Political Risk Insurance</t>
  </si>
  <si>
    <t>Fee</t>
  </si>
  <si>
    <t>Total</t>
  </si>
  <si>
    <t>Less: Indemnity Fee</t>
  </si>
  <si>
    <t>Less: JVM Management Fee</t>
  </si>
  <si>
    <t xml:space="preserve">   Total Investment</t>
  </si>
  <si>
    <t>R. Lammers - Verbal</t>
  </si>
  <si>
    <t>R. Lammers</t>
  </si>
  <si>
    <t>Diesel Fuel Inventory</t>
  </si>
  <si>
    <t>Unallocated Difference</t>
  </si>
  <si>
    <t>TURNKEY COMPONENTS</t>
  </si>
  <si>
    <t>Base</t>
  </si>
  <si>
    <t>Penalties Due To Unavailability Factor</t>
  </si>
  <si>
    <t>(A)</t>
  </si>
  <si>
    <t>(B)</t>
  </si>
  <si>
    <t>Transport Gas</t>
  </si>
  <si>
    <t>Commodity Gas</t>
  </si>
  <si>
    <t>Totals</t>
  </si>
  <si>
    <t>CASH FLOW - PROJECT</t>
  </si>
  <si>
    <t>Current Year</t>
  </si>
  <si>
    <t>Calendar Year</t>
  </si>
  <si>
    <t>Months of Operation - Phase I</t>
  </si>
  <si>
    <t>W/H Tax - Shareholder Constr Loan</t>
  </si>
  <si>
    <t>IDC - Shareholder Constr Loan</t>
  </si>
  <si>
    <t>Shareholder Constr Loan Rate</t>
  </si>
  <si>
    <t>Months of Operation - Phase II</t>
  </si>
  <si>
    <t>Months of Operation - Phase III</t>
  </si>
  <si>
    <t>Total Units Produced</t>
  </si>
  <si>
    <t>Grossed Up</t>
  </si>
  <si>
    <t>Total Fuel Before CCC Credit</t>
  </si>
  <si>
    <t>Minus: CCC Credit</t>
  </si>
  <si>
    <t xml:space="preserve">     Total Fuel Cost</t>
  </si>
  <si>
    <t>Variable O&amp;M:</t>
  </si>
  <si>
    <t>Total Variable O&amp;M</t>
  </si>
  <si>
    <t>Earnings Before Depr, Int &amp; Taxes (EBDIT)</t>
  </si>
  <si>
    <t>Earnings Before Int &amp; Taxes (EBIT)</t>
  </si>
  <si>
    <t>Earnings Before Taxes (EBT)</t>
  </si>
  <si>
    <t>IPI</t>
  </si>
  <si>
    <t>II</t>
  </si>
  <si>
    <t>ISS</t>
  </si>
  <si>
    <t>Owner's Engineer (Parson's)</t>
  </si>
  <si>
    <t>Change</t>
  </si>
  <si>
    <t>Interest Income On Maintenance Reserve &amp; WCAP</t>
  </si>
  <si>
    <t>Brazil</t>
  </si>
  <si>
    <t>%</t>
  </si>
  <si>
    <t>POLITICAL RISK CALCULATION / DEBT SERVICE COVERAGE RATIOS</t>
  </si>
  <si>
    <t>Enron Book Income (Including Enron Cost Of Funds)</t>
  </si>
  <si>
    <t xml:space="preserve">Current Year </t>
  </si>
  <si>
    <t>20 Year Running NPV</t>
  </si>
  <si>
    <t>20 Year Running IRR</t>
  </si>
  <si>
    <t>Discounted Payback Year</t>
  </si>
  <si>
    <t>Plus: INE Dividend Income</t>
  </si>
  <si>
    <t>Plus: Trapped Cash</t>
  </si>
  <si>
    <t>Project IRR w/o TC</t>
  </si>
  <si>
    <t>(1)</t>
  </si>
  <si>
    <t>Plus: Indemnity Fee</t>
  </si>
  <si>
    <t>Total Cash Flow</t>
  </si>
  <si>
    <t>Enron IRR</t>
  </si>
  <si>
    <t>ENRON BOOK INCOME</t>
  </si>
  <si>
    <t>Units Produced (Mwhs)</t>
  </si>
  <si>
    <t>(a)</t>
  </si>
  <si>
    <t>(A-B)</t>
  </si>
  <si>
    <t>(2)</t>
  </si>
  <si>
    <t>Plus: Indemnity Fee - Recognized Currently</t>
  </si>
  <si>
    <t>Move Phase III Start date to Feb. 01</t>
  </si>
  <si>
    <t>Signing 09/06/99, Funding 07/01/00</t>
  </si>
  <si>
    <t>Dario Suzuki - E:Mail</t>
  </si>
  <si>
    <t>D. Suzuki</t>
  </si>
  <si>
    <t>Budget Review - 04/06/00</t>
  </si>
  <si>
    <t>Plus: Indemnity Fee - Capitalized and Amortized</t>
  </si>
  <si>
    <t>Levelized Revenue</t>
  </si>
  <si>
    <t>TRAPPED CASH, PARTNER LOANS, RESERVES</t>
  </si>
  <si>
    <t>Cash Received By New Investor For Preferred Shares</t>
  </si>
  <si>
    <t>Purchase Of Enron Selldown (Original Quotas)</t>
  </si>
  <si>
    <t>Cumlulative</t>
  </si>
  <si>
    <t>Individual</t>
  </si>
  <si>
    <t>Current Year Earnings</t>
  </si>
  <si>
    <t>TOP</t>
  </si>
  <si>
    <t>Diesel (Petrobras-Phase I Only)</t>
  </si>
  <si>
    <t>DCQ</t>
  </si>
  <si>
    <t>Outage</t>
  </si>
  <si>
    <t>TOP Obligation (TBS)</t>
  </si>
  <si>
    <t>TOP%</t>
  </si>
  <si>
    <t>Section 3.1, 3.3, 4.1</t>
  </si>
  <si>
    <t>Net A-T Cashflow Before Trapped Cash</t>
  </si>
  <si>
    <t>Current Year Trapped Cash</t>
  </si>
  <si>
    <r>
      <t xml:space="preserve">Turnkey Tax Adjustment </t>
    </r>
    <r>
      <rPr>
        <i/>
        <sz val="9"/>
        <rFont val="Arial"/>
        <family val="2"/>
      </rPr>
      <t>(0=Off, 1=On)</t>
    </r>
  </si>
  <si>
    <t>Indemnity Fee Wrap</t>
  </si>
  <si>
    <t>Turnkey Drawdown Schedule</t>
  </si>
  <si>
    <t>Revised Tax Estimate</t>
  </si>
  <si>
    <t xml:space="preserve">     Subtotal - Revised Taxes &amp; Duties</t>
  </si>
  <si>
    <t>PARTNER LOANS</t>
  </si>
  <si>
    <t>Beginning Balance</t>
  </si>
  <si>
    <t>Ending Balance</t>
  </si>
  <si>
    <t>MAINTENANCE RESERVE</t>
  </si>
  <si>
    <t>Maintenance Reserve Accrual</t>
  </si>
  <si>
    <t xml:space="preserve">  Beginning Balance</t>
  </si>
  <si>
    <t xml:space="preserve">  Ending Balance</t>
  </si>
  <si>
    <t>Apply Purchasing Power Parity (0=No, 1=Yes)</t>
  </si>
  <si>
    <t>Average Annual Maintenance Reserve Balance</t>
  </si>
  <si>
    <t>WCAP Balance</t>
  </si>
  <si>
    <t>Development Costs</t>
  </si>
  <si>
    <t>Current Month</t>
  </si>
  <si>
    <t>Calendar Month</t>
  </si>
  <si>
    <t>Project Cost</t>
  </si>
  <si>
    <t>Interest Rate</t>
  </si>
  <si>
    <t>Construction Balance</t>
  </si>
  <si>
    <t>Beginning Construction Balance</t>
  </si>
  <si>
    <t>Construction Drawdown</t>
  </si>
  <si>
    <t>Ending Construction Balance</t>
  </si>
  <si>
    <t>Debt Balance</t>
  </si>
  <si>
    <t>Lump Sum Power Plant</t>
  </si>
  <si>
    <t>Pre-NTP Engineering</t>
  </si>
  <si>
    <t>Warranty Management</t>
  </si>
  <si>
    <t>Access Roads &amp; Laydown</t>
  </si>
  <si>
    <t>Transmission &amp; Distribution</t>
  </si>
  <si>
    <t>Project Management</t>
  </si>
  <si>
    <t>Construction Management</t>
  </si>
  <si>
    <r>
      <t xml:space="preserve">Taxes &amp; Duties </t>
    </r>
    <r>
      <rPr>
        <i/>
        <sz val="9"/>
        <rFont val="Arial"/>
        <family val="2"/>
      </rPr>
      <t>(Not To Exceed Amount)</t>
    </r>
  </si>
  <si>
    <t>Consulting Fees Above $4,000 Cap</t>
  </si>
  <si>
    <t>Houston Overheads Not Included In Project Costs</t>
  </si>
  <si>
    <t>Less: Consulting Fees Paid At Enron Level</t>
  </si>
  <si>
    <t>Less: Houston Overheads Not Included In Project Costs</t>
  </si>
  <si>
    <t xml:space="preserve">     Subtotal - Power Plant Turnkey</t>
  </si>
  <si>
    <t>C.O. #1 - Late Payment Interest Expense</t>
  </si>
  <si>
    <t>C.O. #2 - IPP Substation</t>
  </si>
  <si>
    <t>C.O. #3 - Late Payment Interest Expense</t>
  </si>
  <si>
    <t>C.O. #4 - Warehouse Crane</t>
  </si>
  <si>
    <t>C.O. #5 - Water Treatment Plant</t>
  </si>
  <si>
    <t>C.O. #6 - Evaporative Cooler Decarbonization</t>
  </si>
  <si>
    <t>C.O. #7 - Relocation Of Fuel Oil Tanks</t>
  </si>
  <si>
    <t>C.O. #8 - Fuel Oil Metering Upgrade</t>
  </si>
  <si>
    <t>C.O. #9 - Weather Station</t>
  </si>
  <si>
    <t xml:space="preserve">     Subtotal - Approved Change Orders</t>
  </si>
  <si>
    <t>Water Wells</t>
  </si>
  <si>
    <t>Hydrology (Geosolo)</t>
  </si>
  <si>
    <t xml:space="preserve">     Subtotal - Offsites &amp; Interconnects</t>
  </si>
  <si>
    <t xml:space="preserve">     Subtotal - EE&amp;CC Costs</t>
  </si>
  <si>
    <t xml:space="preserve">     Subtotal - Taxes &amp; Duties</t>
  </si>
  <si>
    <t>Equipment Detail</t>
  </si>
  <si>
    <t>ICMS</t>
  </si>
  <si>
    <t xml:space="preserve">Totals  </t>
  </si>
  <si>
    <t xml:space="preserve">   Principal</t>
  </si>
  <si>
    <t>Amount</t>
  </si>
  <si>
    <t>Years</t>
  </si>
  <si>
    <t>Grace Period:</t>
  </si>
  <si>
    <t>Year</t>
  </si>
  <si>
    <t>Period</t>
  </si>
  <si>
    <t>Begin Bal</t>
  </si>
  <si>
    <t>Interest</t>
  </si>
  <si>
    <t>Principal</t>
  </si>
  <si>
    <t>End Bal</t>
  </si>
  <si>
    <t>IGP-DI</t>
  </si>
  <si>
    <t>Less: Tax (Exp) / Benefit On (1)'s Above</t>
  </si>
  <si>
    <t>Apply Escalation (0=No, 1=Yes)</t>
  </si>
  <si>
    <t>US$ Based</t>
  </si>
  <si>
    <t>R$ Based</t>
  </si>
  <si>
    <t>US Tax (Exp) / Benefit (2)'s Above</t>
  </si>
  <si>
    <t>Less: Tax (Exp) / Benefit On (3)'s Above</t>
  </si>
  <si>
    <t>Less: Tax (Exp) / Benefit On (2)'s Above</t>
  </si>
  <si>
    <t>Fixed Capacity Payments</t>
  </si>
  <si>
    <t>Variable (Energy Payments)</t>
  </si>
  <si>
    <t>Commodity Fuel Expense</t>
  </si>
  <si>
    <t>Diesel Fuel</t>
  </si>
  <si>
    <t>Natual Gas (TBS Payment)</t>
  </si>
  <si>
    <t>Total Commodity Fuel Expense Before Taxes &amp; CCC Credit</t>
  </si>
  <si>
    <t>Total Commodity Fuel Expense Before PIS / COFINS &amp; CCC</t>
  </si>
  <si>
    <t>Fixed Gas Transportation (TBS Payment)</t>
  </si>
  <si>
    <t>Total Fixed Transportation Cost Before Taxes</t>
  </si>
  <si>
    <t>Total Fixed Transportation</t>
  </si>
  <si>
    <t>OPIC</t>
  </si>
  <si>
    <t>Siemens Onshore Payments</t>
  </si>
  <si>
    <t>Siemens Offshore Payments</t>
  </si>
  <si>
    <t>Superior Offshore Payments</t>
  </si>
  <si>
    <t>Water Plant</t>
  </si>
  <si>
    <t>Offshore Legal</t>
  </si>
  <si>
    <t>Imports Purchase</t>
  </si>
  <si>
    <t>Onshore EPCB Payments</t>
  </si>
  <si>
    <t>Service Contractors</t>
  </si>
  <si>
    <t>Total Disbursments</t>
  </si>
  <si>
    <t>Utilized</t>
  </si>
  <si>
    <t>Total Corporate Income Tax Payable</t>
  </si>
  <si>
    <t>BOOK TAXES</t>
  </si>
  <si>
    <t>Prior Year's NOL</t>
  </si>
  <si>
    <t>Components</t>
  </si>
  <si>
    <r>
      <t xml:space="preserve">Sudam Credit Used </t>
    </r>
    <r>
      <rPr>
        <sz val="9"/>
        <rFont val="Arial"/>
        <family val="2"/>
      </rPr>
      <t>(See Sudam Tax Credit Calculation)</t>
    </r>
  </si>
  <si>
    <t>Total Equity</t>
  </si>
  <si>
    <t>Maximum INE Allowable</t>
  </si>
  <si>
    <t>Current Year Earnings (EBT)</t>
  </si>
  <si>
    <t>Current Year EBT Limitation</t>
  </si>
  <si>
    <t>(b)</t>
  </si>
  <si>
    <t>TAX</t>
  </si>
  <si>
    <t>Book</t>
  </si>
  <si>
    <t>US GAAP</t>
  </si>
  <si>
    <t>Total Project Cost</t>
  </si>
  <si>
    <t>Less:  Land</t>
  </si>
  <si>
    <t>Less:  Spare Parts</t>
  </si>
  <si>
    <t>Less:  Working Capital</t>
  </si>
  <si>
    <t>Total Depreciable Basis</t>
  </si>
  <si>
    <t>Tax Depreciation:</t>
  </si>
  <si>
    <t>Current Tax Depreciation:</t>
  </si>
  <si>
    <t>Asset 1 - Phase I</t>
  </si>
  <si>
    <t>Asset 2 - Phase II</t>
  </si>
  <si>
    <t>Asset 3 - Phase III</t>
  </si>
  <si>
    <t>Offset For</t>
  </si>
  <si>
    <t>"Draw_Table"</t>
  </si>
  <si>
    <t>"IDC_Table"</t>
  </si>
  <si>
    <t>Times: Inflation Factor (IGP)</t>
  </si>
  <si>
    <t>Times: Inflation Factor (CPI-May)</t>
  </si>
  <si>
    <t>Current Exchange Rate (R$ / US$)</t>
  </si>
  <si>
    <t>Total Current Tax Depreciation</t>
  </si>
  <si>
    <t>Accumulated Tax Depreciation</t>
  </si>
  <si>
    <t>Beginning Tax Basis</t>
  </si>
  <si>
    <t>Plus:  New Additions</t>
  </si>
  <si>
    <t>Less: Current Depreciation</t>
  </si>
  <si>
    <t>Ending Tax Basis</t>
  </si>
  <si>
    <t>Book Depreciation:</t>
  </si>
  <si>
    <t>Current Book Depreciation:</t>
  </si>
  <si>
    <t>Total Current Book Depreciation</t>
  </si>
  <si>
    <t>Accumulated Book Depreciation</t>
  </si>
  <si>
    <t>Beginning Book Basis</t>
  </si>
  <si>
    <t>Ending Book Basis</t>
  </si>
  <si>
    <t>US GAAP Depreciation:</t>
  </si>
  <si>
    <t>Current GAAP Depreciation:</t>
  </si>
  <si>
    <t>BALANCE SHEET</t>
  </si>
  <si>
    <t>Opening</t>
  </si>
  <si>
    <t>Balance</t>
  </si>
  <si>
    <t>Land</t>
  </si>
  <si>
    <t>Est. Available Sudam Funds/Original Value Of Sudam Preferred Shares</t>
  </si>
  <si>
    <t>Deferred Tax Asset</t>
  </si>
  <si>
    <t>Total Assets</t>
  </si>
  <si>
    <t>Deferred Tax Liability</t>
  </si>
  <si>
    <t>12 Month</t>
  </si>
  <si>
    <t>Rolling</t>
  </si>
  <si>
    <t>Deficiency</t>
  </si>
  <si>
    <t>Average Availability Calculation For Penalties</t>
  </si>
  <si>
    <t>Penalty</t>
  </si>
  <si>
    <t>Project Costs</t>
  </si>
  <si>
    <t>W/H Tax - IDC</t>
  </si>
  <si>
    <t>Total Commitment Fee</t>
  </si>
  <si>
    <t>INCOME STATEMENT</t>
  </si>
  <si>
    <t>Gross Revenue</t>
  </si>
  <si>
    <t>Less: PIS/COFINS</t>
  </si>
  <si>
    <t>Less: INE Interest Expense</t>
  </si>
  <si>
    <t>STATEMENT OF CASH FLOWS</t>
  </si>
  <si>
    <t>Gross Receipts</t>
  </si>
  <si>
    <t>REFERENCE SHEET - 1</t>
  </si>
  <si>
    <t>Person(s)</t>
  </si>
  <si>
    <t>Responsible</t>
  </si>
  <si>
    <t>Assumption Category</t>
  </si>
  <si>
    <t>Assumption Description</t>
  </si>
  <si>
    <t>Assumption Reference</t>
  </si>
  <si>
    <t>Reference</t>
  </si>
  <si>
    <t>Comments</t>
  </si>
  <si>
    <t>Months</t>
  </si>
  <si>
    <t>Base Year</t>
  </si>
  <si>
    <t>Escalation Factor</t>
  </si>
  <si>
    <t>J. Guidry</t>
  </si>
  <si>
    <t>D. Vincent</t>
  </si>
  <si>
    <t>Less: L/C Fee - Debt Reserve</t>
  </si>
  <si>
    <t>Less: OPIC Agency Fee</t>
  </si>
  <si>
    <t>OPIC Agency Fee</t>
  </si>
  <si>
    <t>OPIC Agency Fee ($000)</t>
  </si>
  <si>
    <t>L/C Fee - Debt Service</t>
  </si>
  <si>
    <t>REFERENCE SHEET - 3</t>
  </si>
  <si>
    <t>Current</t>
  </si>
  <si>
    <t xml:space="preserve">Responsible </t>
  </si>
  <si>
    <t>Assumption</t>
  </si>
  <si>
    <t>Calculation</t>
  </si>
  <si>
    <t>S. Friedlander</t>
  </si>
  <si>
    <t>H. Holland</t>
  </si>
  <si>
    <t>J. Bestard</t>
  </si>
  <si>
    <t>REFERENCE SHEET - 2</t>
  </si>
  <si>
    <t>TARIFF TABLE FOR US$ BASED COSTS</t>
  </si>
  <si>
    <t>TARIFF TABLE FOR R$ BASED COSTS</t>
  </si>
  <si>
    <t>Proposed Tariff &amp;</t>
  </si>
  <si>
    <t>Select Tariff Allocation (0=Original, 1=Revised)</t>
  </si>
  <si>
    <t>Plus: Maintenance Accrual To Cash Adjustment (US$ Based)</t>
  </si>
  <si>
    <t>Plus: Maintenance Accrual To Cash Adjustment (R$ Based)</t>
  </si>
  <si>
    <t>KFW A/B</t>
  </si>
  <si>
    <t>BREAKDOWN OF US$ SENIOR DEBT</t>
  </si>
  <si>
    <t>Sr Debt</t>
  </si>
  <si>
    <t>Depreciation Method</t>
  </si>
  <si>
    <t>Depreciation Term</t>
  </si>
  <si>
    <t>GAAP</t>
  </si>
  <si>
    <t>REFERENCE SHEET - 4</t>
  </si>
  <si>
    <t>Transaction Costs</t>
  </si>
  <si>
    <t>Discount On Repurchase Of Preferred Shares</t>
  </si>
  <si>
    <t>* Includes both Preferred Share price &amp; Transaction Costs</t>
  </si>
  <si>
    <t>Value Paid*</t>
  </si>
  <si>
    <t>Total Outflow</t>
  </si>
  <si>
    <t>Guarantee</t>
  </si>
  <si>
    <t>*** DRAFT COPY ***</t>
  </si>
  <si>
    <t>Table Of Contents</t>
  </si>
  <si>
    <t>Page #</t>
  </si>
  <si>
    <t>Date Of Financial Close</t>
  </si>
  <si>
    <t>PPA To Financial Close - Months</t>
  </si>
  <si>
    <t>Working Capital</t>
  </si>
  <si>
    <t>REFERENCE SHEET - 5</t>
  </si>
  <si>
    <t>Net Rate</t>
  </si>
  <si>
    <t>Total Rate (B)</t>
  </si>
  <si>
    <t>Total W/C Required (A)</t>
  </si>
  <si>
    <t>EPC Turnkey Contract</t>
  </si>
  <si>
    <t>Based On Standard Assumptions</t>
  </si>
  <si>
    <t>Financing Plan</t>
  </si>
  <si>
    <t>Awaiting Final Termsheets</t>
  </si>
  <si>
    <t>From Start Of Phase I</t>
  </si>
  <si>
    <t>Capacity Payments</t>
  </si>
  <si>
    <t>Energy (Variable) Payments</t>
  </si>
  <si>
    <t>/ MMBTU</t>
  </si>
  <si>
    <t>Chemicals ($ / Kwh)</t>
  </si>
  <si>
    <t>Variable</t>
  </si>
  <si>
    <t>DS Coverage Ratios</t>
  </si>
  <si>
    <t>A-T Target</t>
  </si>
  <si>
    <t>Senior Debt</t>
  </si>
  <si>
    <t>Brazilian Taxes</t>
  </si>
  <si>
    <t>Financial Closing</t>
  </si>
  <si>
    <t>Target DSCR</t>
  </si>
  <si>
    <t>After-Tax DSCR</t>
  </si>
  <si>
    <t>Pre-Tax DSCR</t>
  </si>
  <si>
    <t>Average</t>
  </si>
  <si>
    <t>Enron Returns</t>
  </si>
  <si>
    <t>Service To Be Provided By</t>
  </si>
  <si>
    <t xml:space="preserve">ISS - Services Rendered Tax </t>
  </si>
  <si>
    <r>
      <t xml:space="preserve">Equity Ratio </t>
    </r>
    <r>
      <rPr>
        <i/>
        <sz val="7"/>
        <rFont val="Arial"/>
        <family val="2"/>
      </rPr>
      <t>(Integrated Project)</t>
    </r>
  </si>
  <si>
    <t>1</t>
  </si>
  <si>
    <t>CCC - Conta Compensador De Combustivel</t>
  </si>
  <si>
    <t>TJLP Interest Rate (From Finance Plan)</t>
  </si>
  <si>
    <t>ICMS - Transportation</t>
  </si>
  <si>
    <t>ICMS - Electricity Sales</t>
  </si>
  <si>
    <t>ICMS - Fuel Purchases</t>
  </si>
  <si>
    <t>Withholding Tax - Interest (Non-MLA's)</t>
  </si>
  <si>
    <t>On Taxable income</t>
  </si>
  <si>
    <t>Avg Between 2%-5% (Exempt)</t>
  </si>
  <si>
    <t>Subsidy Of Fuel Costs</t>
  </si>
  <si>
    <t>On Payroll (Included In O&amp;M)</t>
  </si>
  <si>
    <t>LGM Selldown Proceeds</t>
  </si>
  <si>
    <t>LGM Guaranteed ROR</t>
  </si>
  <si>
    <t>Assumed LGM Cost To Project At New Investor Sale Date</t>
  </si>
  <si>
    <t>Temporary Selldown Cost</t>
  </si>
  <si>
    <t>Calc'd On Land Costs, Assumed Exempt</t>
  </si>
  <si>
    <t>Of Taxable Income</t>
  </si>
  <si>
    <t>Tax</t>
  </si>
  <si>
    <t>Equity %</t>
  </si>
  <si>
    <t>Cash Flow %</t>
  </si>
  <si>
    <t>Equity $</t>
  </si>
  <si>
    <t>Distributions Are Limited To Retained Earnings</t>
  </si>
  <si>
    <t>Term (Yrs)</t>
  </si>
  <si>
    <t>Project w/o Trapped Cash</t>
  </si>
  <si>
    <t>.</t>
  </si>
  <si>
    <t>Plus: Interest Expense On Partner Loans</t>
  </si>
  <si>
    <t>Plus: W/H Tax On Indemnity Fee</t>
  </si>
  <si>
    <t>Plus: Withholding On INE</t>
  </si>
  <si>
    <t>Plus: US Tax (Cost) / Benefit (1)'s Above</t>
  </si>
  <si>
    <t>Subtotal Partner Level Adjustments</t>
  </si>
  <si>
    <t>Reconciled Project NPV</t>
  </si>
  <si>
    <t>Maximum Life Of Loan</t>
  </si>
  <si>
    <t>Equity</t>
  </si>
  <si>
    <t>Diff</t>
  </si>
  <si>
    <t>Total Converge Difference</t>
  </si>
  <si>
    <t>Converge Table</t>
  </si>
  <si>
    <t>Months Of Operation - Phase I</t>
  </si>
  <si>
    <t>480 MW POWER PLANT (CUIABA, BRAZIL)</t>
  </si>
  <si>
    <t>EMPRESSA PRODUTORA DE ENERGÍA LTDA (EPE)</t>
  </si>
  <si>
    <t>Months Of Operation - Phase II</t>
  </si>
  <si>
    <t>Months Of Operation - Phase III</t>
  </si>
  <si>
    <t>Total Number Of Months</t>
  </si>
  <si>
    <t>Based On Units Produced</t>
  </si>
  <si>
    <t xml:space="preserve">     Total Revenues Before Backing Out Taxes</t>
  </si>
  <si>
    <t>Calculated On Units Delivered (After Line Loss)</t>
  </si>
  <si>
    <t xml:space="preserve">     All-In Tariff (¢ / Kwh)</t>
  </si>
  <si>
    <t>Times: PIS / COFINS On Fuel</t>
  </si>
  <si>
    <t>ICMS On Fixed Transportation</t>
  </si>
  <si>
    <t>Total Fixed Transportation Subject To PIS / COFINS</t>
  </si>
  <si>
    <t>PIS / COFINS Applied To Transportation Cost</t>
  </si>
  <si>
    <t>Other Income / (Expenses)</t>
  </si>
  <si>
    <t>Revenues</t>
  </si>
  <si>
    <t>Shareholder Construction Loan</t>
  </si>
  <si>
    <t>Project Book Income</t>
  </si>
  <si>
    <t>Less: Cash Taxes</t>
  </si>
  <si>
    <t>End Date Of PPA</t>
  </si>
  <si>
    <t>Plus: Book Depreciation</t>
  </si>
  <si>
    <t>Plus: Book Provision For Income Taxes</t>
  </si>
  <si>
    <t>5-7</t>
  </si>
  <si>
    <t>Project / Enron / Partner Returns</t>
  </si>
  <si>
    <t>10</t>
  </si>
  <si>
    <t>Less: L/C Fee - Working Capital</t>
  </si>
  <si>
    <t>Net A-T Cashflow Distributed</t>
  </si>
  <si>
    <t>Fixed Transportation Rev</t>
  </si>
  <si>
    <t>Fixed Commodity Gas Rev</t>
  </si>
  <si>
    <t>Variable Commodity Gas Rev</t>
  </si>
  <si>
    <t>Variable O&amp;M Rev</t>
  </si>
  <si>
    <t xml:space="preserve">ICMS On Fuel </t>
  </si>
  <si>
    <t>Months Of Operation</t>
  </si>
  <si>
    <t>Depr</t>
  </si>
  <si>
    <t>Life</t>
  </si>
  <si>
    <t>Basis</t>
  </si>
  <si>
    <t>Total Months Of Operation</t>
  </si>
  <si>
    <t>Total Energy (Variable) Payments</t>
  </si>
  <si>
    <t>BS 01</t>
  </si>
  <si>
    <t>BS 02</t>
  </si>
  <si>
    <t>BS 03</t>
  </si>
  <si>
    <t>BS 04</t>
  </si>
  <si>
    <t>BS 05</t>
  </si>
  <si>
    <t>BS 06</t>
  </si>
  <si>
    <t>BS 07</t>
  </si>
  <si>
    <t>BS 08</t>
  </si>
  <si>
    <t>BS 09</t>
  </si>
  <si>
    <t>BS 10</t>
  </si>
  <si>
    <t>BS 11</t>
  </si>
  <si>
    <t>BS 12</t>
  </si>
  <si>
    <t>BS 13</t>
  </si>
  <si>
    <t>BS 14</t>
  </si>
  <si>
    <t>BS 15</t>
  </si>
  <si>
    <t>BS 16</t>
  </si>
  <si>
    <t>BS 17</t>
  </si>
  <si>
    <t>BS 18</t>
  </si>
  <si>
    <t>BS 19</t>
  </si>
  <si>
    <t>BS 20</t>
  </si>
  <si>
    <t>BS 21</t>
  </si>
  <si>
    <t>BS 22</t>
  </si>
  <si>
    <t>BS 23</t>
  </si>
  <si>
    <t>DFLT 01</t>
  </si>
  <si>
    <t>DFLT 02</t>
  </si>
  <si>
    <t>DFLT 03</t>
  </si>
  <si>
    <t>DFLT 04</t>
  </si>
  <si>
    <t>DFLT 05</t>
  </si>
  <si>
    <t>DFLT 06</t>
  </si>
  <si>
    <t>DFLT 07</t>
  </si>
  <si>
    <t>DFLT 08</t>
  </si>
  <si>
    <t>DFLT 09</t>
  </si>
  <si>
    <t>DFLT 10</t>
  </si>
  <si>
    <t>DFLT 11</t>
  </si>
  <si>
    <t>DFLT 12</t>
  </si>
  <si>
    <t>DFLT 13</t>
  </si>
  <si>
    <t>DFLT 14</t>
  </si>
  <si>
    <t>DFLT 15</t>
  </si>
  <si>
    <t>DFLT 16</t>
  </si>
  <si>
    <t>DFLT 17</t>
  </si>
  <si>
    <t>DFLT 18</t>
  </si>
  <si>
    <t>DFLT 19</t>
  </si>
  <si>
    <t>DFLT 20</t>
  </si>
  <si>
    <t>DFLT 21</t>
  </si>
  <si>
    <t>DFLT 22</t>
  </si>
  <si>
    <t>DFLT 23</t>
  </si>
  <si>
    <t>NET CASH BEFORE SUBORDINATED DEBT PRINCIPAL REPAYMENT &lt; 0</t>
  </si>
  <si>
    <t>DF COMP 01</t>
  </si>
  <si>
    <t>DF COMP 02</t>
  </si>
  <si>
    <t>DF COMP 03</t>
  </si>
  <si>
    <t>DF COMP 04</t>
  </si>
  <si>
    <t>DF COMP 05</t>
  </si>
  <si>
    <t>DF COMP 06</t>
  </si>
  <si>
    <t>DF COMP 07</t>
  </si>
  <si>
    <t>DF COMP 08</t>
  </si>
  <si>
    <t>DF COMP 09</t>
  </si>
  <si>
    <t>DF COMP 10</t>
  </si>
  <si>
    <t>DF COMP 11</t>
  </si>
  <si>
    <t>DF COMP 12</t>
  </si>
  <si>
    <t>DF COMP 13</t>
  </si>
  <si>
    <t>DF COMP 14</t>
  </si>
  <si>
    <t>DF COMP 15</t>
  </si>
  <si>
    <t>DF COMP 16</t>
  </si>
  <si>
    <t>DF COMP 17</t>
  </si>
  <si>
    <t>DF COMP 18</t>
  </si>
  <si>
    <t>DF COMP 19</t>
  </si>
  <si>
    <t>DF COMP 20</t>
  </si>
  <si>
    <t>DF COMP 21</t>
  </si>
  <si>
    <t>DF COMP 22</t>
  </si>
  <si>
    <t>DF COMP 23</t>
  </si>
  <si>
    <t xml:space="preserve">COMPARIS0N WITH DEFAULT BASED ON NET CASH BEFORE TRAPPED CASH &lt; 0 </t>
  </si>
  <si>
    <t>PV</t>
  </si>
  <si>
    <t>Consolidated</t>
  </si>
  <si>
    <t>Dif</t>
  </si>
  <si>
    <t xml:space="preserve">TBS </t>
  </si>
  <si>
    <t>Total Fixed Payments: (Quoted To EletroNorte - Taxes Included)</t>
  </si>
  <si>
    <t>Less: PIS / COFINS</t>
  </si>
  <si>
    <t>Total Fuel Cost</t>
  </si>
  <si>
    <t>Total Transportation &amp; Take Or Pay Cost</t>
  </si>
  <si>
    <t>Days Of Fuel Transportation</t>
  </si>
  <si>
    <t>Days Of O&amp;M Excl Insurance</t>
  </si>
  <si>
    <t>Years Of Operating Insurance</t>
  </si>
  <si>
    <t>REVENUES / EXPENSES</t>
  </si>
  <si>
    <t>Plus: Trapped Cash Loaned To Partners</t>
  </si>
  <si>
    <t>R$ Percentage</t>
  </si>
  <si>
    <t>Less: Interest Expense - Partner Loans</t>
  </si>
  <si>
    <t>Less: W/H Tax - INE Dividend Income</t>
  </si>
  <si>
    <t>Less: W/H Tax - Indemnity Fee</t>
  </si>
  <si>
    <t>Plus: JVM Management Fee</t>
  </si>
  <si>
    <t>Project Earnings Before Depr., Int. &amp;Taxes</t>
  </si>
  <si>
    <t>Mwh</t>
  </si>
  <si>
    <t>Guarant</t>
  </si>
  <si>
    <t>Avail</t>
  </si>
  <si>
    <t>Guaranteed</t>
  </si>
  <si>
    <t>Gas Only</t>
  </si>
  <si>
    <t>Base-Pre</t>
  </si>
  <si>
    <t>Base-Post</t>
  </si>
  <si>
    <t>Pre-Phase III</t>
  </si>
  <si>
    <t>Sudam Funding</t>
  </si>
  <si>
    <t>Post-Phase III</t>
  </si>
  <si>
    <t>$/ MMBTU</t>
  </si>
  <si>
    <t>Natural Gas Fuel Expense</t>
  </si>
  <si>
    <t>$/ Month</t>
  </si>
  <si>
    <t>EPE / TGS Contract</t>
  </si>
  <si>
    <t>Exhibit 2.1.4 Section 1</t>
  </si>
  <si>
    <t>Exhibit 2.1.4 Section 2</t>
  </si>
  <si>
    <t>Less: Fixed Capacity Revenues</t>
  </si>
  <si>
    <t>Times: Enron's Ownership Percentage</t>
  </si>
  <si>
    <t>Less: Political Risk Insurance - Expensed Currently</t>
  </si>
  <si>
    <t>Times: Mwhs</t>
  </si>
  <si>
    <t>Plus: Current Year Deferred Revenue</t>
  </si>
  <si>
    <t>Less: US GAAP Depreciation</t>
  </si>
  <si>
    <t>Plus: EITF91-6 Levelization Of Earnings</t>
  </si>
  <si>
    <t>Project Book Income Restated To US GAAP</t>
  </si>
  <si>
    <t>Tax Applied To Book Income</t>
  </si>
  <si>
    <t>Project Book Income Restated To US GAAP After Tax</t>
  </si>
  <si>
    <t>Enron Earnings From Other Income / (Expenses)</t>
  </si>
  <si>
    <t>Enron Earnings From Project Income</t>
  </si>
  <si>
    <t>Less: Political Risk Insurance - Capitalized &amp; Amortized</t>
  </si>
  <si>
    <t>Enron Equity Payback Year On Book Income</t>
  </si>
  <si>
    <t xml:space="preserve">     Total Other Income / (Expenses)</t>
  </si>
  <si>
    <t xml:space="preserve">     Total Revenues</t>
  </si>
  <si>
    <t>Levelization Of Earnings</t>
  </si>
  <si>
    <t>Levelized Tariff Per MWh (From Full Comm Ops)</t>
  </si>
  <si>
    <t>Less: Deferral Recognized</t>
  </si>
  <si>
    <t>Beginning Trapped Cash</t>
  </si>
  <si>
    <t>Ending Trapped Cash</t>
  </si>
  <si>
    <t>Relief Of Prior Years Trapped Cash</t>
  </si>
  <si>
    <t>Plus: Prior Year Trapped Cash</t>
  </si>
  <si>
    <t>Less: Loan Repayment</t>
  </si>
  <si>
    <t>Base Year For Escalation</t>
  </si>
  <si>
    <r>
      <t>Availability LD's (</t>
    </r>
    <r>
      <rPr>
        <sz val="10"/>
        <color indexed="14"/>
        <rFont val="arial"/>
        <family val="2"/>
      </rPr>
      <t>On=1/Off=0)</t>
    </r>
  </si>
  <si>
    <t>PPA COD</t>
  </si>
  <si>
    <t>PPA MW</t>
  </si>
  <si>
    <t>Phase III Commissioning</t>
  </si>
  <si>
    <t>Per amendment to PPA, availability factor during Phase III commissioning equals 100%</t>
  </si>
  <si>
    <t>Rolling Average Availability</t>
  </si>
  <si>
    <t>Monthly Availability</t>
  </si>
  <si>
    <t>PPA Minimum</t>
  </si>
  <si>
    <t>Guaranteed Capacity</t>
  </si>
  <si>
    <t>Installed Capacity</t>
  </si>
  <si>
    <t>Phase I - Starts</t>
  </si>
  <si>
    <t>Phase II - Starts</t>
  </si>
  <si>
    <t>EPE MW</t>
  </si>
  <si>
    <t>Phase III - Starts</t>
  </si>
  <si>
    <t>Min Avail</t>
  </si>
  <si>
    <t>Theoretical Availability</t>
  </si>
  <si>
    <t>Maintenance Accrual To Cash Adjustment</t>
  </si>
  <si>
    <t xml:space="preserve">  Plus: Maintenance Reserve Accrual</t>
  </si>
  <si>
    <t xml:space="preserve">  Less: Maintenance Reserve Expense</t>
  </si>
  <si>
    <t>Interest Expense On MR &amp; WCAP</t>
  </si>
  <si>
    <t xml:space="preserve">  Cumulative % Complete (Excl IDC &amp; Prepayment)</t>
  </si>
  <si>
    <t xml:space="preserve">  All-In Cumulative % Complete (Excl Prepayment)</t>
  </si>
  <si>
    <t>Repayment</t>
  </si>
  <si>
    <t>Enron IRR (w/ Bridge Loan)</t>
  </si>
  <si>
    <t>Greater</t>
  </si>
  <si>
    <t>Of IGPM</t>
  </si>
  <si>
    <t>Or % Base</t>
  </si>
  <si>
    <t>Total Tariff</t>
  </si>
  <si>
    <t>Gas Esc</t>
  </si>
  <si>
    <t>Straight Ln</t>
  </si>
  <si>
    <t>Custom</t>
  </si>
  <si>
    <t>Amort</t>
  </si>
  <si>
    <t>Percent</t>
  </si>
  <si>
    <t>OPIC Custom Amortization</t>
  </si>
  <si>
    <t>Loan Amortization Style (1=SL, 2=MTG, 3=Custom)</t>
  </si>
  <si>
    <t>Average Life Of Loan (Including Construction)</t>
  </si>
  <si>
    <t>Term - Years (Post Closing)</t>
  </si>
  <si>
    <t># Of Debt Service Pmts</t>
  </si>
  <si>
    <t>Return</t>
  </si>
  <si>
    <t>Taxes</t>
  </si>
  <si>
    <t>Grace (Periods) - Post Closing</t>
  </si>
  <si>
    <t>Grace - Post Phase III</t>
  </si>
  <si>
    <t>Interest Rate / Spread</t>
  </si>
  <si>
    <t>Term (Years)</t>
  </si>
  <si>
    <t># Of Payments</t>
  </si>
  <si>
    <t>Custom Amortization</t>
  </si>
  <si>
    <t>Tranche 1</t>
  </si>
  <si>
    <t>Tranche 2</t>
  </si>
  <si>
    <t>Tranche 3</t>
  </si>
  <si>
    <t>Tranche 4</t>
  </si>
  <si>
    <t>Tranche 5</t>
  </si>
  <si>
    <t>Tranche 6</t>
  </si>
  <si>
    <t>Bond</t>
  </si>
  <si>
    <t>Allocated</t>
  </si>
  <si>
    <t>Annex 12 Escalation (0=Off, 1=On)</t>
  </si>
  <si>
    <t>Base Year For Tariff Pricing</t>
  </si>
  <si>
    <t>Electronorte Phase II Diesel (Mwh)</t>
  </si>
  <si>
    <t>During Pipeline Completion</t>
  </si>
  <si>
    <t>Date Diesel Phase Begins</t>
  </si>
  <si>
    <t>Cumul</t>
  </si>
  <si>
    <t>Rate Base</t>
  </si>
  <si>
    <t>Escalator For Annex 10 Gas Tariff</t>
  </si>
  <si>
    <t>Inflation Factor - Brazilian IGP-DI</t>
  </si>
  <si>
    <t>FX-PPP</t>
  </si>
  <si>
    <t>Current Year Dividends</t>
  </si>
  <si>
    <t>TURNKEY COMPONENTS &amp; CONSTRUCTION TAX ESTIMATES</t>
  </si>
  <si>
    <t>Book Provision For Income Tax</t>
  </si>
  <si>
    <t>Deferred Tax Asset/Liability Calculation</t>
  </si>
  <si>
    <t>Times: Corporate Income Tax</t>
  </si>
  <si>
    <t>Times: Social Contribution Tax Rate</t>
  </si>
  <si>
    <t>Beginning Deferred Tax Asset / (Liability)</t>
  </si>
  <si>
    <t>Less: Current Year Book Taxes</t>
  </si>
  <si>
    <t>Ending Deferred Tax Asset / (Liability)</t>
  </si>
  <si>
    <t>Interest Rates</t>
  </si>
  <si>
    <t>Hermes A</t>
  </si>
  <si>
    <t>Hermes B</t>
  </si>
  <si>
    <t>Pipelines RFS</t>
  </si>
  <si>
    <t>Pipeline RFS</t>
  </si>
  <si>
    <t>Summary ofTotal Cash Flows</t>
  </si>
  <si>
    <t>INE CALCULATION</t>
  </si>
  <si>
    <t>Times: Maximum % Allowable</t>
  </si>
  <si>
    <t>Times: Current Year Limitation For INE</t>
  </si>
  <si>
    <t>INE Payable To Shareholders</t>
  </si>
  <si>
    <t>Beginning Debt Committed</t>
  </si>
  <si>
    <t>Less: Amounts Debt Funds Drawn</t>
  </si>
  <si>
    <t>Ending Debt Committed</t>
  </si>
  <si>
    <t>Cummulative Commitment Fee</t>
  </si>
  <si>
    <t>CIF w/o E</t>
  </si>
  <si>
    <t>CIF w/o E,F</t>
  </si>
  <si>
    <t>AFRMM</t>
  </si>
  <si>
    <t>(C)</t>
  </si>
  <si>
    <t>(D)</t>
  </si>
  <si>
    <t>=(A)+(C)</t>
  </si>
  <si>
    <t>on (A)</t>
  </si>
  <si>
    <t>Lammers Verbal</t>
  </si>
  <si>
    <t>N. Khan/Alan Smithe</t>
  </si>
  <si>
    <t>Budget Review - 08/31/99</t>
  </si>
  <si>
    <t>on (D)</t>
  </si>
  <si>
    <t>on (B)</t>
  </si>
  <si>
    <t>(E)</t>
  </si>
  <si>
    <t>(F)</t>
  </si>
  <si>
    <t>(F)reight</t>
  </si>
  <si>
    <t>(E)ngineer</t>
  </si>
  <si>
    <t>(G)</t>
  </si>
  <si>
    <t>=(D)+(E)+(F)</t>
  </si>
  <si>
    <t>on (G)</t>
  </si>
  <si>
    <t>(H)</t>
  </si>
  <si>
    <t>(I)</t>
  </si>
  <si>
    <t>on (E)ng</t>
  </si>
  <si>
    <t>W/H</t>
  </si>
  <si>
    <t>(J)</t>
  </si>
  <si>
    <t>(K)</t>
  </si>
  <si>
    <t>New Investor</t>
  </si>
  <si>
    <t>Ownership (Post Selldown)</t>
  </si>
  <si>
    <t>Enron Ownership Post Selldown</t>
  </si>
  <si>
    <t>New Investor Proceeds (Equity)</t>
  </si>
  <si>
    <t>PROJECT / ENRON / NEW INVESTOR RETURNS</t>
  </si>
  <si>
    <t>Purchase Preferred Shares (Sudam Financing)</t>
  </si>
  <si>
    <t xml:space="preserve">Allocation Of Cashflows </t>
  </si>
  <si>
    <t>Less: Political Risk Insurance</t>
  </si>
  <si>
    <t>Less: Political Risk Insurance - Sudam Financing</t>
  </si>
  <si>
    <t>Less: Purchase Preferred Sudam Shares</t>
  </si>
  <si>
    <t>Less: Political Risk Insurance - Sudam Shares</t>
  </si>
  <si>
    <t>(4)</t>
  </si>
  <si>
    <t>US Tax (Exp) / Benefit (4) Above</t>
  </si>
  <si>
    <t>US Tax (Cost) / Benefit (4) Above</t>
  </si>
  <si>
    <t>Partner Returns</t>
  </si>
  <si>
    <t xml:space="preserve"> IRR (w/ Subdebt)</t>
  </si>
  <si>
    <t>NPV (w/ Subdebt)</t>
  </si>
  <si>
    <t>100% Partner Cash Flow - Pre Tax</t>
  </si>
  <si>
    <t>=(G)+(H)+(I)</t>
  </si>
  <si>
    <t>(L)</t>
  </si>
  <si>
    <t>(M)</t>
  </si>
  <si>
    <t>+(J)+(L)</t>
  </si>
  <si>
    <t>+(J) Less (E)</t>
  </si>
  <si>
    <t>Bank Chg</t>
  </si>
  <si>
    <t>on Debits</t>
  </si>
  <si>
    <t>on (K)</t>
  </si>
  <si>
    <t>(N)</t>
  </si>
  <si>
    <t>+(E)ng+(F)rt</t>
  </si>
  <si>
    <t>ICMS - Merchandise</t>
  </si>
  <si>
    <t>II - Import Tax</t>
  </si>
  <si>
    <t>IPI - Federal Excise Tax</t>
  </si>
  <si>
    <t>Witholding On Services</t>
  </si>
  <si>
    <t>Pis / Cofins</t>
  </si>
  <si>
    <t>Assets</t>
  </si>
  <si>
    <t>Cash &amp; Cash Equivalents</t>
  </si>
  <si>
    <t>Construction In Progress</t>
  </si>
  <si>
    <t>Accumulated Depreciation</t>
  </si>
  <si>
    <t>Construction Insurance</t>
  </si>
  <si>
    <t>Property, Plant &amp; Equipment (Net)</t>
  </si>
  <si>
    <t>FINANCIAL STATEMENTS</t>
  </si>
  <si>
    <t>Net Revenues</t>
  </si>
  <si>
    <t>Total Other Construction</t>
  </si>
  <si>
    <t>Transportation &amp; Take Or Pay</t>
  </si>
  <si>
    <t>Income Before Income Taxes</t>
  </si>
  <si>
    <t>Provision For Income Taxes (Income &amp; Surtax)</t>
  </si>
  <si>
    <t>Net Income</t>
  </si>
  <si>
    <t>Operating Expenses</t>
  </si>
  <si>
    <t xml:space="preserve">     Total Operating Expenses</t>
  </si>
  <si>
    <t>Total Operating Expenses</t>
  </si>
  <si>
    <t>Total Depreciation &amp; Interest</t>
  </si>
  <si>
    <t>Cash Paid To Suppliers &amp; Employees</t>
  </si>
  <si>
    <t>Interest Income - WCAP &amp; MR</t>
  </si>
  <si>
    <t>Cash Income Taxes</t>
  </si>
  <si>
    <t>Exhibit C-1</t>
  </si>
  <si>
    <t>PCO-038 SCC Extended Overheads For 7/15/99 PPL RFS</t>
  </si>
  <si>
    <t>PCO-052 Additional Road Design</t>
  </si>
  <si>
    <t>PCO-064 Installation Of Additional HICOM Card</t>
  </si>
  <si>
    <t>Other Pending Change Orders</t>
  </si>
  <si>
    <t>Forcasted Change Orders</t>
  </si>
  <si>
    <t>Proposed Settlement - Effluent System</t>
  </si>
  <si>
    <t>Exhibit C-2 Section II, Paragraph B</t>
  </si>
  <si>
    <t>PPA - Clause 78;Annex 1&amp;2</t>
  </si>
  <si>
    <t>See PPA</t>
  </si>
  <si>
    <t>Published Monthly In Diario Official By Banco Central</t>
  </si>
  <si>
    <t>B. Rosen/A.A.</t>
  </si>
  <si>
    <t>See Arthur Andersen Presentation</t>
  </si>
  <si>
    <t>Exhibit C-2 Section II, Paragraph C</t>
  </si>
  <si>
    <t>$000 / Day</t>
  </si>
  <si>
    <t>Deferral</t>
  </si>
  <si>
    <t>Tax Position / Structure</t>
  </si>
  <si>
    <t>From</t>
  </si>
  <si>
    <t>To</t>
  </si>
  <si>
    <t>Phase I Operations</t>
  </si>
  <si>
    <t>Phase II Operations</t>
  </si>
  <si>
    <t>Revised</t>
  </si>
  <si>
    <t>Gross</t>
  </si>
  <si>
    <t>Savings</t>
  </si>
  <si>
    <t>EPE</t>
  </si>
  <si>
    <t xml:space="preserve">0=Change In Law, 1=Non Exempt </t>
  </si>
  <si>
    <t xml:space="preserve">0=Filed For Reimbursment, 1=Non Exempt </t>
  </si>
  <si>
    <t>Banking Charges</t>
  </si>
  <si>
    <t>Contingency Allowance</t>
  </si>
  <si>
    <t>Start Date</t>
  </si>
  <si>
    <t>Phase III Operations</t>
  </si>
  <si>
    <t>Disputed</t>
  </si>
  <si>
    <t>Net</t>
  </si>
  <si>
    <t>Received</t>
  </si>
  <si>
    <t>Lesser Of (A) Or (B)</t>
  </si>
  <si>
    <t>On Gross Revenue</t>
  </si>
  <si>
    <t>Exhibit C-3 Section II, Item 1</t>
  </si>
  <si>
    <t>Starting</t>
  </si>
  <si>
    <t>Original Tariff &amp;</t>
  </si>
  <si>
    <t>Allocations</t>
  </si>
  <si>
    <t>W/H Tax</t>
  </si>
  <si>
    <t>L/C On</t>
  </si>
  <si>
    <t>Costs</t>
  </si>
  <si>
    <t># Of</t>
  </si>
  <si>
    <t>R$ Costs</t>
  </si>
  <si>
    <t>YPF</t>
  </si>
  <si>
    <t>Perf</t>
  </si>
  <si>
    <t>Recover</t>
  </si>
  <si>
    <t>R$ PORTION OF TARIFF CALCULATION</t>
  </si>
  <si>
    <t>BREAKDOWN OF R$ O&amp;M COSTS (UNESCALATED)</t>
  </si>
  <si>
    <t>BREAKDOWN OF US$ O&amp;M COSTS (UNESCALATED)</t>
  </si>
  <si>
    <t>JVM</t>
  </si>
  <si>
    <t>Major</t>
  </si>
  <si>
    <t>Maint</t>
  </si>
  <si>
    <t>Mgmt Fee</t>
  </si>
  <si>
    <t>G&amp;A</t>
  </si>
  <si>
    <t>Payroll</t>
  </si>
  <si>
    <t>&amp; Burden</t>
  </si>
  <si>
    <t>Other</t>
  </si>
  <si>
    <t>Minor</t>
  </si>
  <si>
    <t>Office</t>
  </si>
  <si>
    <t>Sustaining</t>
  </si>
  <si>
    <t>Capital</t>
  </si>
  <si>
    <t>Exhibit C-3 Section II, Item 2</t>
  </si>
  <si>
    <t>Turnkey Original</t>
  </si>
  <si>
    <t>Construction Tax Estimate</t>
  </si>
  <si>
    <t>Adjustment For Turnkey Taxes (Based On Exemptions)</t>
  </si>
  <si>
    <t>Approved Change Orders</t>
  </si>
  <si>
    <t xml:space="preserve">     Total Approved Change Orders</t>
  </si>
  <si>
    <t>Pending Change Orders</t>
  </si>
  <si>
    <t>Monthly Progress Report</t>
  </si>
  <si>
    <t>T. Whipple</t>
  </si>
  <si>
    <t>Page 46</t>
  </si>
  <si>
    <t>EPC Contract Issues</t>
  </si>
  <si>
    <t>Items #6 (50%) &amp; 8</t>
  </si>
  <si>
    <t>Exhibit C-3 Section II, Item 3</t>
  </si>
  <si>
    <t>Exhibit C-3 Section III, Item A</t>
  </si>
  <si>
    <t>Net Cash Provided By Operating Activities</t>
  </si>
  <si>
    <t>Cash Flows From Operating Activities</t>
  </si>
  <si>
    <t>Cash Flows From Financing Activities</t>
  </si>
  <si>
    <t>L/C - YPF Gurantee</t>
  </si>
  <si>
    <t>Net Cash Provided By Financing Activities</t>
  </si>
  <si>
    <t>Net Increase In Cash &amp; Cash Equivalents</t>
  </si>
  <si>
    <t>Cash &amp; Cash Equivalents (BOY)</t>
  </si>
  <si>
    <t>Cash &amp; Cash Equivalents (EOY)</t>
  </si>
  <si>
    <t>Liabilities</t>
  </si>
  <si>
    <t>Total Liabilities</t>
  </si>
  <si>
    <t>Stockholders' Equity</t>
  </si>
  <si>
    <t>Total Liabilities &amp; Stockholders' Equity</t>
  </si>
  <si>
    <t>Enron Book Income Prior To Cost Of Funds Charge</t>
  </si>
  <si>
    <t>US$ Base</t>
  </si>
  <si>
    <t>Unescalated</t>
  </si>
  <si>
    <t>Adjusted</t>
  </si>
  <si>
    <t>R$ Base</t>
  </si>
  <si>
    <t>R$ 000</t>
  </si>
  <si>
    <t>R $000</t>
  </si>
  <si>
    <t>(Multiply By)</t>
  </si>
  <si>
    <t>(Divide By)</t>
  </si>
  <si>
    <t>Annex 10</t>
  </si>
  <si>
    <t>J. Guidry - Schedule</t>
  </si>
  <si>
    <t>WTF Capital Costs</t>
  </si>
  <si>
    <t>Contingency - Diesel Burned</t>
  </si>
  <si>
    <t>ENE Cost Of Funds Charge Calculation (COF)</t>
  </si>
  <si>
    <t>Times: Enron Cost Of Funds Rate</t>
  </si>
  <si>
    <t>ENE Cost Of Funds Charge / (Benefit)</t>
  </si>
  <si>
    <t>Memo: Cumulative ENE Cost Of Funds Charge / (Benefit)</t>
  </si>
  <si>
    <t>Enron Combined Book Income</t>
  </si>
  <si>
    <t>Less: ENE Cost Of Funds Charge - Expensed Currently</t>
  </si>
  <si>
    <t>Less: ENE Cost Of Funds Charge - Capitalized &amp; Amortized</t>
  </si>
  <si>
    <t>Enron Book Income Including Cost Of Funds Charge</t>
  </si>
  <si>
    <t>w/o COF</t>
  </si>
  <si>
    <t>w/ COF</t>
  </si>
  <si>
    <t>Dresdner Bank</t>
  </si>
  <si>
    <t>Memo: Cumulative Book Income (Including Cost Of Funds Charge)</t>
  </si>
  <si>
    <t>Annual Expense (A*B)</t>
  </si>
  <si>
    <t>Interest On Cash Balances</t>
  </si>
  <si>
    <t>Other Senior Debt Fees</t>
  </si>
  <si>
    <t>EPE Percent / Amount</t>
  </si>
  <si>
    <t xml:space="preserve">Times The Product Of </t>
  </si>
  <si>
    <t>Final Year Of Payment</t>
  </si>
  <si>
    <t>Memo: Cumulative Book Income (Prior To Cost Of Funds Charge)</t>
  </si>
  <si>
    <t>Ending Deferred Revenue</t>
  </si>
  <si>
    <t>Beginning Deferred Revenue</t>
  </si>
  <si>
    <t>Net Fixed Capacity Revenue Received</t>
  </si>
  <si>
    <t>Gross Fixed Capacity Revenue Received (Including Pis/Cofins)</t>
  </si>
  <si>
    <t>MMBTU's Purchased (Min Per Fuel Contract) - Gas Only</t>
  </si>
  <si>
    <t>3</t>
  </si>
  <si>
    <t>4</t>
  </si>
  <si>
    <t>Political Risk / DSCR Calculations</t>
  </si>
  <si>
    <t>Total Stockholders' Equity</t>
  </si>
  <si>
    <t>Balance Check</t>
  </si>
  <si>
    <t>Plus: Liquidation Proceeds - Spare Parts</t>
  </si>
  <si>
    <t>Plus: Liquidation Proceeds - Land</t>
  </si>
  <si>
    <t>Liquidation Proceeds - Land</t>
  </si>
  <si>
    <t>Purchase Of Land</t>
  </si>
  <si>
    <t>Btu / Kwh</t>
  </si>
  <si>
    <t>Term Of Construction - Months</t>
  </si>
  <si>
    <t>Term of Operations - Months</t>
  </si>
  <si>
    <t>Date Of</t>
  </si>
  <si>
    <t>For Assumption</t>
  </si>
  <si>
    <t>Per Conversations With OPIC</t>
  </si>
  <si>
    <t>+W/H Tax Of</t>
  </si>
  <si>
    <t>Term Of Contract</t>
  </si>
  <si>
    <t>Interest During Construction "IDC "</t>
  </si>
  <si>
    <t>Commitment Fee</t>
  </si>
  <si>
    <t xml:space="preserve">Working Capital </t>
  </si>
  <si>
    <t>Federal Income Tax</t>
  </si>
  <si>
    <t>Months Of Debt Service Required</t>
  </si>
  <si>
    <t>Total Revenues</t>
  </si>
  <si>
    <t>Times: In-Country Effective Tax Rate</t>
  </si>
  <si>
    <t>Revenue &amp; Expense Calculations</t>
  </si>
  <si>
    <t>Project Book Income &amp; Cashflow</t>
  </si>
  <si>
    <t>Project Financial Statements</t>
  </si>
  <si>
    <t>Turnkey Components &amp; Construction Taxes</t>
  </si>
  <si>
    <t>11</t>
  </si>
  <si>
    <t>12</t>
  </si>
  <si>
    <t>13</t>
  </si>
  <si>
    <t>19-22</t>
  </si>
  <si>
    <t>Total Revenues Before Backing Out Taxes</t>
  </si>
  <si>
    <t xml:space="preserve">     Total Fixed Payments (Including Taxes)</t>
  </si>
  <si>
    <t xml:space="preserve">     Total Variable Payments</t>
  </si>
  <si>
    <t>Maint Reserve Schedule</t>
  </si>
  <si>
    <t>P&amp;T Tariff</t>
  </si>
  <si>
    <t>=IF(AB90=0,AB69,IF(AB97=1,AB69,0))</t>
  </si>
  <si>
    <t>R$ / Mw-Mo</t>
  </si>
  <si>
    <t>Exch Rate</t>
  </si>
  <si>
    <t>Total P&amp;T Revenues</t>
  </si>
  <si>
    <t>TG Tariff</t>
  </si>
  <si>
    <t>Total Transport Gas Revenues</t>
  </si>
  <si>
    <t>CG Tariff</t>
  </si>
  <si>
    <t>Commodity Gas Escalator</t>
  </si>
  <si>
    <t>VCG Tariff</t>
  </si>
  <si>
    <t>Below PPA</t>
  </si>
  <si>
    <t>APPENDIX I - PLANT OPERATIONS</t>
  </si>
  <si>
    <t>Onshore Payment Adjustment</t>
  </si>
  <si>
    <t>Plant Operations</t>
  </si>
  <si>
    <t>P&amp;T Cap</t>
  </si>
  <si>
    <t>TG Cap</t>
  </si>
  <si>
    <t>CG Cap</t>
  </si>
  <si>
    <t>Total Cap</t>
  </si>
  <si>
    <t>US$ 000</t>
  </si>
  <si>
    <t>R$ / Mwh</t>
  </si>
  <si>
    <t>9</t>
  </si>
  <si>
    <t>US$ PORTION OF TARIFF CALCULATION (ANNUAL)</t>
  </si>
  <si>
    <t>US$ PORTION OF TARIFF CALCULATION (ALLOCATED)</t>
  </si>
  <si>
    <t>% Ownership</t>
  </si>
  <si>
    <t>Purchasers Of Preferred Shares</t>
  </si>
  <si>
    <t>0=No, 1=Yes</t>
  </si>
  <si>
    <t>US$ PORTION OF TARIFF CALCULATION (BY TARIFF YEAR)</t>
  </si>
  <si>
    <t>KFW A/B Loan</t>
  </si>
  <si>
    <t>OPIC Loan</t>
  </si>
  <si>
    <t>Debt Svcs</t>
  </si>
  <si>
    <t>L/C Fee</t>
  </si>
  <si>
    <t>Subdebt</t>
  </si>
  <si>
    <t>Restated To</t>
  </si>
  <si>
    <t>Add Taxes</t>
  </si>
  <si>
    <t>Land &amp; Rights Of Way</t>
  </si>
  <si>
    <t>Reais @ Bid</t>
  </si>
  <si>
    <t>(Pis&amp;Cofin)</t>
  </si>
  <si>
    <t>By Tariff Yr</t>
  </si>
  <si>
    <t>Restated Tariff Table</t>
  </si>
  <si>
    <t>BREAKDOWN OF US$ SUBORDINATED DEBT</t>
  </si>
  <si>
    <t>Total Interest During Construction</t>
  </si>
  <si>
    <t>Total W/H Tax - IDC</t>
  </si>
  <si>
    <t>$ / Mwh</t>
  </si>
  <si>
    <t>Produced</t>
  </si>
  <si>
    <t>Total Commodity Gas Revenues</t>
  </si>
  <si>
    <t>Total Variable Commodity Gas Revenues</t>
  </si>
  <si>
    <t>VOM Tariff</t>
  </si>
  <si>
    <t>Total Variable O&amp;M Revenues</t>
  </si>
  <si>
    <t>Purchased</t>
  </si>
  <si>
    <t>Variable Commodity Gas Expense</t>
  </si>
  <si>
    <t>Fixed Gas Transportation Expense</t>
  </si>
  <si>
    <t>$ / MMBTU</t>
  </si>
  <si>
    <t>Com Gas</t>
  </si>
  <si>
    <t>CG+Yabog</t>
  </si>
  <si>
    <t>Total Variable Commodity Gas Expense</t>
  </si>
  <si>
    <t>$ / Month</t>
  </si>
  <si>
    <t>Total Fixed Transport Expense</t>
  </si>
  <si>
    <t>Cables</t>
  </si>
  <si>
    <t>Ownership (Pre Selldown)</t>
  </si>
  <si>
    <t>Enron Selldown</t>
  </si>
  <si>
    <t>Loopfactor</t>
  </si>
  <si>
    <t>Monthly Drawdown Amount</t>
  </si>
  <si>
    <t>Cumulative Drawdown Amount</t>
  </si>
  <si>
    <t xml:space="preserve">   Total Drawdown (w/o IDC &amp; Commit)</t>
  </si>
  <si>
    <t>(w/o IDC, W/H, Commit)</t>
  </si>
  <si>
    <t>Shareholder Constr Loan</t>
  </si>
  <si>
    <t>Point #2</t>
  </si>
  <si>
    <t>3rd Party Legal Fees</t>
  </si>
  <si>
    <t>TBS &amp; EPE (Commodity)</t>
  </si>
  <si>
    <t>TBS &amp; EPE (Transportation)</t>
  </si>
  <si>
    <t>Greater Of</t>
  </si>
  <si>
    <t>Change In Index</t>
  </si>
  <si>
    <t>Or</t>
  </si>
  <si>
    <t>Phase III+</t>
  </si>
  <si>
    <t>Start Of Operations</t>
  </si>
  <si>
    <t>Start Of Construction</t>
  </si>
  <si>
    <t>Term Of Contract - Years</t>
  </si>
  <si>
    <t>Date Of 1st Change</t>
  </si>
  <si>
    <t>US</t>
  </si>
  <si>
    <t>R$ / $</t>
  </si>
  <si>
    <t>CPI Less</t>
  </si>
  <si>
    <t>Avg</t>
  </si>
  <si>
    <t>FX</t>
  </si>
  <si>
    <t>PRICING CURVES</t>
  </si>
  <si>
    <t>Plant &amp; Transmission (US$)</t>
  </si>
  <si>
    <t>Plant &amp; Transmission (R$)</t>
  </si>
  <si>
    <t>Current Year Debt Service</t>
  </si>
  <si>
    <t>(EBDIT / Current Year Debt Service)</t>
  </si>
  <si>
    <t>EPC w/</t>
  </si>
  <si>
    <t>Old Tax</t>
  </si>
  <si>
    <t>Power Purchase Contract</t>
  </si>
  <si>
    <t>Annex 12, Section 2.2.3</t>
  </si>
  <si>
    <t>Annex 12, Section 2.2.1</t>
  </si>
  <si>
    <t>Annex 12, Section 2.2.2</t>
  </si>
  <si>
    <t>Clause 65</t>
  </si>
  <si>
    <t>Annex 12, Section 2.2.4 / Annex 11</t>
  </si>
  <si>
    <t>Clause 7</t>
  </si>
  <si>
    <t>Opening Page</t>
  </si>
  <si>
    <t>Selldown Of Subordinated Debt (New Investor)</t>
  </si>
  <si>
    <t>Purchase Of Subordinated Debt (New Investor)</t>
  </si>
  <si>
    <t>Assume New Investor Assumes Share Of Subdebt</t>
  </si>
  <si>
    <t>(0=No, 1=Yes)</t>
  </si>
  <si>
    <t>Subdebt Assumed</t>
  </si>
  <si>
    <t>6 Months From Start Of Phase III</t>
  </si>
  <si>
    <t>Diff Between Financial Close &amp; Constr</t>
  </si>
  <si>
    <t>R$ Portion (In US$)</t>
  </si>
  <si>
    <t>Maintenance Reserve Account (US$ Portion)</t>
  </si>
  <si>
    <t>Convert @ Bid Date Exchange</t>
  </si>
  <si>
    <t>Plant &amp; Transmission Capacity Revenues</t>
  </si>
  <si>
    <t>Variable O&amp;M Revenues</t>
  </si>
  <si>
    <t>Transport Gas Capacity Revenues</t>
  </si>
  <si>
    <t>Commodity Gas Capacity Revenues</t>
  </si>
  <si>
    <t>Variable Commodity Gas Revenues</t>
  </si>
  <si>
    <t>Escalated Maintenance Expense (R$)</t>
  </si>
  <si>
    <t>Escalated Maintenance Expense (US$)</t>
  </si>
  <si>
    <t>Current Exchange Rate</t>
  </si>
  <si>
    <t>B. Blesie - Verbal</t>
  </si>
  <si>
    <t>E. Rengade</t>
  </si>
  <si>
    <t>E. Rengade - Memo</t>
  </si>
  <si>
    <t>Budget Review - 05/14/99</t>
  </si>
  <si>
    <t>Maintenance Reserve Account (R$ Portion)</t>
  </si>
  <si>
    <t>IGP</t>
  </si>
  <si>
    <t>Operations Mobilization - Plant</t>
  </si>
  <si>
    <t>Operations Mobilization - WTF</t>
  </si>
  <si>
    <t>Spare Parts - Plant</t>
  </si>
  <si>
    <t>Spare Parts - WTF</t>
  </si>
  <si>
    <t>Savings Factor</t>
  </si>
  <si>
    <t>Total R$</t>
  </si>
  <si>
    <t>Total New</t>
  </si>
  <si>
    <t xml:space="preserve">Total </t>
  </si>
  <si>
    <t>Orig Tariff</t>
  </si>
  <si>
    <t>Tariff Year</t>
  </si>
  <si>
    <t>MW Capacity</t>
  </si>
  <si>
    <t>Annual Payments (R$000)</t>
  </si>
  <si>
    <t>NPV Of Revenues @</t>
  </si>
  <si>
    <t>Original Tariff Information</t>
  </si>
  <si>
    <t>Proposed Tariff Information</t>
  </si>
  <si>
    <t>NPV OF TARIFF STREAM (UNESCALATED)</t>
  </si>
  <si>
    <t>EPE / SCC - EPC Contract</t>
  </si>
  <si>
    <t>O&amp;M Schedule</t>
  </si>
  <si>
    <t>Diesel Mwh</t>
  </si>
  <si>
    <t>Gas Mwh</t>
  </si>
  <si>
    <t>Diesel</t>
  </si>
  <si>
    <t>Diesel / Gas</t>
  </si>
  <si>
    <t>Major Maintenance (Avg)</t>
  </si>
  <si>
    <t>Based On Usage (Kwh)</t>
  </si>
  <si>
    <t>Days Of Commodity Fuel</t>
  </si>
  <si>
    <t>O&amp;M Schedule (Tied To Bid Amounts)</t>
  </si>
  <si>
    <t>Earnings Before Depr, Int &amp; Taxes (EBDIT) - Less Cash Taxes</t>
  </si>
  <si>
    <t>After-Tax Debt Coverage Ratio</t>
  </si>
  <si>
    <t>(EBDIT-AT / Current Year Debt Service)</t>
  </si>
  <si>
    <t>Pre-Tax Debt Coverage Ratio</t>
  </si>
  <si>
    <t>US $</t>
  </si>
  <si>
    <t>Portion</t>
  </si>
  <si>
    <t>Escalated</t>
  </si>
  <si>
    <t>Date</t>
  </si>
  <si>
    <t>Tariff</t>
  </si>
  <si>
    <t>Plant &amp; Transmission Tariff</t>
  </si>
  <si>
    <t>Reais $</t>
  </si>
  <si>
    <t>IGPM</t>
  </si>
  <si>
    <t>Plant &amp; Transmission</t>
  </si>
  <si>
    <t>Total Turnkey Construction</t>
  </si>
  <si>
    <t>Total 3rd Party Dev / Financing Costs</t>
  </si>
  <si>
    <t>Total Development Costs / Fees</t>
  </si>
  <si>
    <t>Total Other Costs</t>
  </si>
  <si>
    <t>Total Contingency</t>
  </si>
  <si>
    <t>Total Project Costs</t>
  </si>
  <si>
    <t>Total Project Costs ($ / Kw)</t>
  </si>
  <si>
    <t>Financing Amortization</t>
  </si>
  <si>
    <t>FINANCING AMORTIZATION</t>
  </si>
  <si>
    <t>Debt Service Coverage Ratios</t>
  </si>
  <si>
    <t>Transport Gas Tariff</t>
  </si>
  <si>
    <t>Fixed Revenue (R$/Mw-Mo)</t>
  </si>
  <si>
    <t>CPI</t>
  </si>
  <si>
    <t>Commodity Gas Tariff</t>
  </si>
  <si>
    <t>Commodity</t>
  </si>
  <si>
    <t>Yabog</t>
  </si>
  <si>
    <t>Escalator</t>
  </si>
  <si>
    <t>Factor</t>
  </si>
  <si>
    <t>Variable Commodity Gas Tariff</t>
  </si>
  <si>
    <t>Variable O&amp;M Tariff</t>
  </si>
  <si>
    <t>Variable Commodity Gas</t>
  </si>
  <si>
    <t>Unescalated Maintenance Expense</t>
  </si>
  <si>
    <t>PCO-005 Effluent Discharge Line</t>
  </si>
  <si>
    <t>PCO-009 Separate Site Access For Operations</t>
  </si>
  <si>
    <t>PCO-023 Credit To EPE For 8 Water Reducing Stations</t>
  </si>
  <si>
    <t>PCO-025 Operating Accords - Engineering Support</t>
  </si>
  <si>
    <t>PCO-026 Salvage Association Costs Trhough August 1999</t>
  </si>
  <si>
    <t>PCO-029 Power Supply For River Water Intake</t>
  </si>
  <si>
    <t>PCO-030 Water Treatment Intake, Pipeline And Treatment Plant</t>
  </si>
  <si>
    <t>PCO-031 WTP-SCC Project Mgmt./Geotech. Investigation</t>
  </si>
  <si>
    <t>PCO-033 C/T Return Lube Oil Pump Contro Logic</t>
  </si>
  <si>
    <t>PCO-034 Pressure Switch For Lube Oil Pump Control Logic</t>
  </si>
  <si>
    <t>PCO-035 Additional Equip. For Coxipo Phase III Substation Bay</t>
  </si>
  <si>
    <t>PCO-036 Implementation Of Motor Hour-Meters Within The Teleperm</t>
  </si>
  <si>
    <t>PCO-041 Supply &amp; Installation Of 3rd Grit Chamber For Water Intake</t>
  </si>
  <si>
    <t>PCO-050 Redesign Of Effluent Lagoons by ETEP</t>
  </si>
  <si>
    <r>
      <t xml:space="preserve">Approved Change Orders </t>
    </r>
    <r>
      <rPr>
        <sz val="10"/>
        <rFont val="Arial"/>
        <family val="2"/>
      </rPr>
      <t>(01/28/2000 Monthly Progress Report)</t>
    </r>
  </si>
  <si>
    <r>
      <t xml:space="preserve">Pending/Forecasted Change Orders </t>
    </r>
    <r>
      <rPr>
        <sz val="10"/>
        <rFont val="Arial"/>
        <family val="2"/>
      </rPr>
      <t>(01/28/2000 Monthly Progress Report)</t>
    </r>
  </si>
  <si>
    <t>Escalated Maintenance Expense (Before Duties)</t>
  </si>
  <si>
    <t>Escalated Maintenance Expense (After Duties)</t>
  </si>
  <si>
    <t>Customs &amp; Duties Tax</t>
  </si>
  <si>
    <t>Base Year For Op Exp:</t>
  </si>
  <si>
    <t>Annual</t>
  </si>
  <si>
    <t>Variable Commodity</t>
  </si>
  <si>
    <t>Total MMBTU's Consumed</t>
  </si>
  <si>
    <t>Fixed Gas Transportation</t>
  </si>
  <si>
    <t>Plant</t>
  </si>
  <si>
    <t>Monthly</t>
  </si>
  <si>
    <t>US $000</t>
  </si>
  <si>
    <t>Hours</t>
  </si>
  <si>
    <t>Days</t>
  </si>
  <si>
    <t>Per</t>
  </si>
  <si>
    <t>Month</t>
  </si>
  <si>
    <t>Day</t>
  </si>
  <si>
    <t>Units Produced (Mwh) Diesel Phase</t>
  </si>
  <si>
    <t>Fuel Consumed (MMBTU's) - Diesel Phase</t>
  </si>
  <si>
    <t>Fuel Consumed (MMBTU's) - Natural Gas Phase</t>
  </si>
  <si>
    <t>Units Produced (Mwh) Natural Gas Phase</t>
  </si>
  <si>
    <t>Variable Revenue (R$/Mwh)</t>
  </si>
  <si>
    <t>MMBTU's</t>
  </si>
  <si>
    <t>Consumed</t>
  </si>
  <si>
    <t>Minimum</t>
  </si>
  <si>
    <t>Bid Date</t>
  </si>
  <si>
    <t>Base Year For Fuel Costs:</t>
  </si>
  <si>
    <t>See Tariff Sheet For Pricing</t>
  </si>
  <si>
    <t>Income Over R$</t>
  </si>
  <si>
    <t>Recon</t>
  </si>
  <si>
    <t>Local Hardware</t>
  </si>
  <si>
    <t>Fixed Payments: (Quoted To EletroNorte - Taxes Included)</t>
  </si>
  <si>
    <t>Energy (Variable) Payments (Based On Units Produced)</t>
  </si>
  <si>
    <t>Local Civil Hardware</t>
  </si>
  <si>
    <t>Local Software</t>
  </si>
  <si>
    <t>Total Onshore</t>
  </si>
  <si>
    <t>Civil</t>
  </si>
  <si>
    <t>Condenser</t>
  </si>
  <si>
    <t>Cooling Tower</t>
  </si>
  <si>
    <t>CTG</t>
  </si>
  <si>
    <t>Fuel Supply</t>
  </si>
  <si>
    <t>HRSG</t>
  </si>
  <si>
    <t>I&amp;C</t>
  </si>
  <si>
    <t>Pipes</t>
  </si>
  <si>
    <t>Pumps</t>
  </si>
  <si>
    <t>STG</t>
  </si>
  <si>
    <t>Tanks</t>
  </si>
  <si>
    <t>Vessels</t>
  </si>
  <si>
    <t>Water Treatment</t>
  </si>
  <si>
    <t>Total Offshore</t>
  </si>
  <si>
    <t>Total Onshore &amp; Offshore</t>
  </si>
  <si>
    <t>Beginning GAAP Basis</t>
  </si>
  <si>
    <t>Ending GAAP Basis</t>
  </si>
  <si>
    <t>Mwhs</t>
  </si>
  <si>
    <t>CM / MMBTU</t>
  </si>
  <si>
    <t>BTU / Kcal</t>
  </si>
  <si>
    <t>Kcal / Kg</t>
  </si>
  <si>
    <t>Kg / CM</t>
  </si>
  <si>
    <t>MMBTU / CM</t>
  </si>
  <si>
    <t>R$ / Cubic Meter (CM)</t>
  </si>
  <si>
    <t>R$ / MMBTU</t>
  </si>
  <si>
    <t>$ / Kwh</t>
  </si>
  <si>
    <t>ANP Index</t>
  </si>
  <si>
    <t>@ Bid Exch</t>
  </si>
  <si>
    <t>Section 5.01 (Liquid Fuel Agreement)</t>
  </si>
  <si>
    <t>Historic Drawdown - For Comparison Only</t>
  </si>
  <si>
    <t>EPE / Petrobras Contract</t>
  </si>
  <si>
    <t>COMMON SIZED FINANCIALS</t>
  </si>
  <si>
    <t>EMPRESA PRODUTORA DE ENERGIA - EPE</t>
  </si>
  <si>
    <t>RATIO ANALYSIS</t>
  </si>
  <si>
    <t>Return on Invested Capital</t>
  </si>
  <si>
    <t>ROA</t>
  </si>
  <si>
    <t>ROE</t>
  </si>
  <si>
    <t>Profitability</t>
  </si>
  <si>
    <t>Operating Profit Margin</t>
  </si>
  <si>
    <t>Net Profit Margin</t>
  </si>
  <si>
    <t>Operating CF to Income</t>
  </si>
  <si>
    <t>Asset Utilization</t>
  </si>
  <si>
    <t>Asset Turnover</t>
  </si>
  <si>
    <t>Cash Turnover</t>
  </si>
  <si>
    <t>n/m</t>
  </si>
  <si>
    <t>Net Fixed Asset Turnover</t>
  </si>
  <si>
    <t>n/a</t>
  </si>
  <si>
    <t>Liquidity</t>
  </si>
  <si>
    <t>Current Ratio</t>
  </si>
  <si>
    <t>Quick Ratio</t>
  </si>
  <si>
    <t>Interest Coverage (EBIT/Interest)</t>
  </si>
  <si>
    <t>Debt Service Coverage (EBITDA/Debt Service)</t>
  </si>
  <si>
    <t>Liquid Fuel Contract - Exhibit A</t>
  </si>
  <si>
    <t>Inflation Factor - CPI (Adjusted Monthly From Bid Date)</t>
  </si>
  <si>
    <t>Base Year 1997 Indexes</t>
  </si>
  <si>
    <t>CPI / IGPM</t>
  </si>
  <si>
    <r>
      <t xml:space="preserve">Plant &amp; Transmission </t>
    </r>
    <r>
      <rPr>
        <i/>
        <sz val="9"/>
        <rFont val="Arial"/>
        <family val="2"/>
      </rPr>
      <t>($/Kw-Mo)</t>
    </r>
  </si>
  <si>
    <r>
      <t xml:space="preserve">Transport Gas </t>
    </r>
    <r>
      <rPr>
        <i/>
        <sz val="9"/>
        <rFont val="Arial"/>
        <family val="2"/>
      </rPr>
      <t>($/Kw-Mo)</t>
    </r>
  </si>
  <si>
    <r>
      <t xml:space="preserve">Commodity Gas </t>
    </r>
    <r>
      <rPr>
        <i/>
        <sz val="9"/>
        <rFont val="Arial"/>
        <family val="2"/>
      </rPr>
      <t>($/Kw-Mo)</t>
    </r>
  </si>
  <si>
    <t>D. Vincent - Memo</t>
  </si>
  <si>
    <t>Changed Timing Per J. Guidry - 09/15/98</t>
  </si>
  <si>
    <t>Links From GasBol / GasMat Models</t>
  </si>
  <si>
    <t>Tax Period Starting In Year</t>
  </si>
  <si>
    <t>(0 = Off, 1 = On)</t>
  </si>
  <si>
    <t xml:space="preserve">Total Social Contribution Tax </t>
  </si>
  <si>
    <r>
      <t xml:space="preserve">NOL </t>
    </r>
    <r>
      <rPr>
        <i/>
        <sz val="8"/>
        <rFont val="Arial"/>
        <family val="2"/>
      </rPr>
      <t>(Unlimited Carryforward, No Carryback) - Capped @</t>
    </r>
  </si>
  <si>
    <t>Withholding Tax - Dividends (Non-Residents)</t>
  </si>
  <si>
    <t>Withholding Tax - Services (Non-Residents)</t>
  </si>
  <si>
    <t>PIS - Social Contribution</t>
  </si>
  <si>
    <t>LOAN GUARANTEE FEE</t>
  </si>
  <si>
    <t>#'s</t>
  </si>
  <si>
    <t>Income Earned After 1/1/96 Exempt</t>
  </si>
  <si>
    <t>Gross Up For Interest Payments</t>
  </si>
  <si>
    <t>Gross Up At Project Level</t>
  </si>
  <si>
    <t>Plus: Interest On Net Equity (INE)</t>
  </si>
  <si>
    <t>Less: W/H Tax - INE</t>
  </si>
  <si>
    <t>Customs Duties</t>
  </si>
  <si>
    <t>Import Duties - Equipment</t>
  </si>
  <si>
    <t>ICMS - Equipment</t>
  </si>
  <si>
    <t>IPI - Industrial Products Tax</t>
  </si>
  <si>
    <t>Rate Varies By Equipment Type</t>
  </si>
  <si>
    <t>Real Property Tax</t>
  </si>
  <si>
    <t>Real Estate Transfer Tax</t>
  </si>
  <si>
    <t>Item # 4, 17</t>
  </si>
  <si>
    <t>Item # 78</t>
  </si>
  <si>
    <t>Item # 19</t>
  </si>
  <si>
    <t>Item # 75, 77</t>
  </si>
  <si>
    <t>Item # 63, 64</t>
  </si>
  <si>
    <t>Item # 53</t>
  </si>
  <si>
    <t>Item # 54</t>
  </si>
  <si>
    <t>Interest On Net Equity (INE)</t>
  </si>
  <si>
    <t>Enron Avg Book Income (Yrs 1-5) - Comm Ops</t>
  </si>
  <si>
    <t>Enron Avg Book Income (Project Life) - Comm Ops</t>
  </si>
  <si>
    <t>Equity - Original Quotas</t>
  </si>
  <si>
    <t>Discount</t>
  </si>
  <si>
    <t>New Investor Proceeds:</t>
  </si>
  <si>
    <t>Total New Investor Investment (pre-tax)</t>
  </si>
  <si>
    <t>Original Quotas</t>
  </si>
  <si>
    <t>Net A-T Cash Flow Distributed</t>
  </si>
  <si>
    <t>Total Cash Flow - Original Quotas</t>
  </si>
  <si>
    <t>20 Year Running NPV  - Original Quotas</t>
  </si>
  <si>
    <t>20 Year Running IRR - Original Quotas</t>
  </si>
  <si>
    <t>Equity % - Original Quotas</t>
  </si>
  <si>
    <t>Cashflow % - Original Quotas</t>
  </si>
  <si>
    <t>Selldown Of Equity</t>
  </si>
  <si>
    <t>SUDAM TAX CREDIT RESERVE</t>
  </si>
  <si>
    <t>Interest Income - Project Company</t>
  </si>
  <si>
    <t>Interest Expense - Partners</t>
  </si>
  <si>
    <t>Plus: Current Year Sudam Credits</t>
  </si>
  <si>
    <t>Ending Reserve Balance</t>
  </si>
  <si>
    <t>Subordinated Debt Amount</t>
  </si>
  <si>
    <t>New Investor Equity Percent</t>
  </si>
  <si>
    <t>New Investor Subordinated Debt % (LJM)</t>
  </si>
  <si>
    <t xml:space="preserve">Cashflow % </t>
  </si>
  <si>
    <t xml:space="preserve">Equity </t>
  </si>
  <si>
    <t>Beginning Reserve Balance</t>
  </si>
  <si>
    <t>Dispatch</t>
  </si>
  <si>
    <t>Net Capacity</t>
  </si>
  <si>
    <t>Forecast</t>
  </si>
  <si>
    <t>GasBol</t>
  </si>
  <si>
    <t>Standard Deviation</t>
  </si>
  <si>
    <t>Mean</t>
  </si>
  <si>
    <t>Lognormal</t>
  </si>
  <si>
    <t>Post financial close reset</t>
  </si>
  <si>
    <t>Multiplier</t>
  </si>
  <si>
    <t>Binomial</t>
  </si>
  <si>
    <t>This scenario ignores liquidated damages, which are assumed to be passed on the EPC contractor</t>
  </si>
  <si>
    <t>6 Months Delay</t>
  </si>
  <si>
    <t>3 Month Delay</t>
  </si>
  <si>
    <t>On-Time</t>
  </si>
  <si>
    <t>Probability</t>
  </si>
  <si>
    <t>#</t>
  </si>
  <si>
    <t>N.P. Volumes are below</t>
  </si>
  <si>
    <t>Delay - Cuiaba Phase II &amp; III</t>
  </si>
  <si>
    <t>Max</t>
  </si>
  <si>
    <t>Min</t>
  </si>
  <si>
    <t>Most Likely</t>
  </si>
  <si>
    <t xml:space="preserve">Forecast </t>
  </si>
  <si>
    <t>Triangular</t>
  </si>
  <si>
    <t>Cost Overrun ($ ,000)</t>
  </si>
  <si>
    <t>CONSTRUCTION &amp; POWER PLANT PREPARATION</t>
  </si>
  <si>
    <t>FINANCING</t>
  </si>
  <si>
    <t>Conversion</t>
  </si>
  <si>
    <t>Scale</t>
  </si>
  <si>
    <t>Mode</t>
  </si>
  <si>
    <t>Extreme Value</t>
  </si>
  <si>
    <t>Annual Cost Deviation</t>
  </si>
  <si>
    <t>Normal</t>
  </si>
  <si>
    <t>Parallel Shift</t>
  </si>
  <si>
    <t>OPEX</t>
  </si>
  <si>
    <t>Min Test (0=DFLT; 1=No DFLT)</t>
  </si>
  <si>
    <t>DEFAULT</t>
  </si>
  <si>
    <t>Balance sheet Test</t>
  </si>
  <si>
    <t>Phase III Start Date</t>
  </si>
  <si>
    <t>Capital Price</t>
  </si>
  <si>
    <t>Phase II Start Date</t>
  </si>
  <si>
    <t>Valuation Date</t>
  </si>
  <si>
    <t>Terminal Value</t>
  </si>
  <si>
    <t>Ongoing Cash Flows</t>
  </si>
  <si>
    <t>Fees</t>
  </si>
  <si>
    <t>Equity Outflows</t>
  </si>
  <si>
    <t>CASH FLOW ANALYSIS</t>
  </si>
  <si>
    <t>Valutation Date</t>
  </si>
  <si>
    <t>Cash Flow Date</t>
  </si>
  <si>
    <t>RAROC</t>
  </si>
  <si>
    <t>GasMat</t>
  </si>
  <si>
    <t>TBS</t>
  </si>
  <si>
    <t>Out 01</t>
  </si>
  <si>
    <t>Out 02</t>
  </si>
  <si>
    <t>Out 03</t>
  </si>
  <si>
    <t>Out 04</t>
  </si>
  <si>
    <t>Out 05</t>
  </si>
  <si>
    <t>Out 06</t>
  </si>
  <si>
    <t>Out 07</t>
  </si>
  <si>
    <t>Out 08</t>
  </si>
  <si>
    <t>Out 09</t>
  </si>
  <si>
    <t>Out 10</t>
  </si>
  <si>
    <t>Out 11</t>
  </si>
  <si>
    <t>Out 12</t>
  </si>
  <si>
    <t>Out 13</t>
  </si>
  <si>
    <t>Out 14</t>
  </si>
  <si>
    <t>Out 15</t>
  </si>
  <si>
    <t>Out 16</t>
  </si>
  <si>
    <t>Out 17</t>
  </si>
  <si>
    <t>Out 18</t>
  </si>
  <si>
    <t>Out 19</t>
  </si>
  <si>
    <t>Out 20</t>
  </si>
  <si>
    <t>Out 21</t>
  </si>
  <si>
    <t>Out 22</t>
  </si>
  <si>
    <t>Out 23</t>
  </si>
  <si>
    <t>Fees 01</t>
  </si>
  <si>
    <t>Fees 02</t>
  </si>
  <si>
    <t>Fees 03</t>
  </si>
  <si>
    <t>Fees 04</t>
  </si>
  <si>
    <t>Fees 05</t>
  </si>
  <si>
    <t>Fees 06</t>
  </si>
  <si>
    <t>Fees 07</t>
  </si>
  <si>
    <t>Fees 08</t>
  </si>
  <si>
    <t>Fees 09</t>
  </si>
  <si>
    <t>Fees 10</t>
  </si>
  <si>
    <t>Fees 11</t>
  </si>
  <si>
    <t>Fees 12</t>
  </si>
  <si>
    <t>Fees 13</t>
  </si>
  <si>
    <t>Fees 14</t>
  </si>
  <si>
    <t>Fees 15</t>
  </si>
  <si>
    <t>Fees 16</t>
  </si>
  <si>
    <t>Fees 17</t>
  </si>
  <si>
    <t>Fees 18</t>
  </si>
  <si>
    <t>Fees 19</t>
  </si>
  <si>
    <t>Fees 20</t>
  </si>
  <si>
    <t>Fees 21</t>
  </si>
  <si>
    <t>Fees 22</t>
  </si>
  <si>
    <t>Fees 23</t>
  </si>
  <si>
    <t>CF 01</t>
  </si>
  <si>
    <t>CF 02</t>
  </si>
  <si>
    <t>CF 03</t>
  </si>
  <si>
    <t>CF 04</t>
  </si>
  <si>
    <t>CF 05</t>
  </si>
  <si>
    <t>CF 06</t>
  </si>
  <si>
    <t>CF 07</t>
  </si>
  <si>
    <t>CF 08</t>
  </si>
  <si>
    <t>CF 09</t>
  </si>
  <si>
    <t>CF 10</t>
  </si>
  <si>
    <t>CF 11</t>
  </si>
  <si>
    <t>CF 12</t>
  </si>
  <si>
    <t>CF 13</t>
  </si>
  <si>
    <t>CF 14</t>
  </si>
  <si>
    <t>CF 15</t>
  </si>
  <si>
    <t>CF 16</t>
  </si>
  <si>
    <t>CF 17</t>
  </si>
  <si>
    <t>CF 18</t>
  </si>
  <si>
    <t>CF 19</t>
  </si>
  <si>
    <t>CF 20</t>
  </si>
  <si>
    <t>CF 21</t>
  </si>
  <si>
    <t>CF 22</t>
  </si>
  <si>
    <t>CF 23</t>
  </si>
  <si>
    <t>TV 01</t>
  </si>
  <si>
    <t>TV 02</t>
  </si>
  <si>
    <t>TV 03</t>
  </si>
  <si>
    <t>TV 04</t>
  </si>
  <si>
    <t>TV 05</t>
  </si>
  <si>
    <t>TV 06</t>
  </si>
  <si>
    <t>TV 07</t>
  </si>
  <si>
    <t>TV 08</t>
  </si>
  <si>
    <t>TV 09</t>
  </si>
  <si>
    <t>TV 10</t>
  </si>
  <si>
    <t>TV 11</t>
  </si>
  <si>
    <t>TV 12</t>
  </si>
  <si>
    <t>TV 13</t>
  </si>
  <si>
    <t>TV 14</t>
  </si>
  <si>
    <t>TV 15</t>
  </si>
  <si>
    <t>TV 16</t>
  </si>
  <si>
    <t>TV 17</t>
  </si>
  <si>
    <t>TV 18</t>
  </si>
  <si>
    <t>TV 19</t>
  </si>
  <si>
    <t>TV 20</t>
  </si>
  <si>
    <t>TV 21</t>
  </si>
  <si>
    <t>TV 22</t>
  </si>
  <si>
    <t>TV 23</t>
  </si>
  <si>
    <t>TOTAL</t>
  </si>
  <si>
    <t>&amp; Plant</t>
  </si>
  <si>
    <t>Transmission</t>
  </si>
  <si>
    <t>US Dollar</t>
  </si>
  <si>
    <t>Poriton</t>
  </si>
  <si>
    <t>Reais</t>
  </si>
  <si>
    <t>Gas</t>
  </si>
  <si>
    <t>O&amp;M</t>
  </si>
  <si>
    <t>Transport</t>
  </si>
  <si>
    <t>Transportation</t>
  </si>
  <si>
    <t>Original</t>
  </si>
  <si>
    <t>Tariff Table</t>
  </si>
  <si>
    <t>Capacity Table</t>
  </si>
  <si>
    <t>Final Year Of Tax Credits ==&gt;</t>
  </si>
  <si>
    <t>Variable Rate</t>
  </si>
  <si>
    <t>APPENDIX II - AVAILABILITY PENALTY CALCULATION</t>
  </si>
  <si>
    <t>APPENDIX III - PLANT TARIFF (ANNEX 12)</t>
  </si>
  <si>
    <t>APPENDIX IV - GAS TARIFF (ANNEX 12)</t>
  </si>
  <si>
    <t>APPENDIX VI - PLANT TARIFF (ANNEX 10)</t>
  </si>
  <si>
    <t>APPENDIX VII - GAS TARIFF (ANNEX 10)</t>
  </si>
  <si>
    <t>Appendix I - Plant Operations</t>
  </si>
  <si>
    <t>Appendix II - Availability Penalty</t>
  </si>
  <si>
    <t>Appendix III - Plant Tariff (Annex 12)</t>
  </si>
  <si>
    <t>Appendix IV - Gas Tariff (Annex 12)</t>
  </si>
  <si>
    <t>Appendix V - Plant Tariff (Annex 10)</t>
  </si>
  <si>
    <t>Appendix VI - Gas Tariff (Annex 10)</t>
  </si>
  <si>
    <t>Appendix VII - Fuel Expense Calculation</t>
  </si>
  <si>
    <t>Escalators</t>
  </si>
  <si>
    <t>Use 09/04/98 Curves used for Bank Models (0=No, 1=Yes)</t>
  </si>
  <si>
    <t>(Variable &amp; Yabog Rates Based On Greater Of Consumed / Take Or Pay Volumes)</t>
  </si>
  <si>
    <t>Yabog Rate</t>
  </si>
  <si>
    <t>Fixed Transportation Rate</t>
  </si>
  <si>
    <t>None</t>
  </si>
  <si>
    <t>N. Khan</t>
  </si>
  <si>
    <t>2</t>
  </si>
  <si>
    <t>18</t>
  </si>
  <si>
    <t>Income Subject To Additional Tax</t>
  </si>
  <si>
    <t>Less: Amount Not Subject To Add'l Tax</t>
  </si>
  <si>
    <t>Shareholder's Agreement</t>
  </si>
  <si>
    <t>Schedule 1</t>
  </si>
  <si>
    <t>Enron Cost Of Funds</t>
  </si>
  <si>
    <t>C. Estrems</t>
  </si>
  <si>
    <t>Memo From Jeff Sommers</t>
  </si>
  <si>
    <t>Standard Calculations</t>
  </si>
  <si>
    <t>Average Degraded Heat Rates</t>
  </si>
  <si>
    <t>Min Of a &amp; b (Not&lt;0)</t>
  </si>
  <si>
    <t>Project / Enron Economics</t>
  </si>
  <si>
    <t>Damages</t>
  </si>
  <si>
    <t>Actual</t>
  </si>
  <si>
    <t>Plus: Bridge Loan Amount</t>
  </si>
  <si>
    <t>Less: Bridge Loan Repayment</t>
  </si>
  <si>
    <t>Import Duties - Major Maintenance</t>
  </si>
  <si>
    <t>On Imported Equipment</t>
  </si>
  <si>
    <t>See Dispatch Table (Tariff Sheet)</t>
  </si>
  <si>
    <t>See Availability Table (Tariff Sheet)</t>
  </si>
  <si>
    <t>Diff Between Start Date &amp; Constr Date</t>
  </si>
  <si>
    <t>???</t>
  </si>
  <si>
    <t>Need Documentation</t>
  </si>
  <si>
    <t>B. Rosen</t>
  </si>
  <si>
    <t>Item # 2</t>
  </si>
  <si>
    <t>Item # 3</t>
  </si>
  <si>
    <t>Item # 1</t>
  </si>
  <si>
    <t>B. Rosen - Tax Memo</t>
  </si>
  <si>
    <t>Item # 12</t>
  </si>
  <si>
    <t>Item # 29</t>
  </si>
  <si>
    <t>Item # 30</t>
  </si>
  <si>
    <t>Item # 33</t>
  </si>
  <si>
    <t>Item # 34</t>
  </si>
  <si>
    <t>Shareholders' Agreement</t>
  </si>
  <si>
    <t>Net Operating Income</t>
  </si>
  <si>
    <t>Plus: Interest Income - Partner Loans</t>
  </si>
  <si>
    <t>Per Operating Accord</t>
  </si>
  <si>
    <t>Mwhs Produced During</t>
  </si>
  <si>
    <t>Start Date For Economic Equilibrium</t>
  </si>
  <si>
    <t>Base Exchange Rate Per PPA (R$ Per US$)</t>
  </si>
  <si>
    <t>TJLP Rate Of Project Equity</t>
  </si>
  <si>
    <t>Final Year Plant Capacity (Mw)</t>
  </si>
  <si>
    <t>PPA Multiple</t>
  </si>
  <si>
    <t>Electronorte Purchase Price (R$000)</t>
  </si>
  <si>
    <t>LGM Sale Date (Temporary Sale)</t>
  </si>
  <si>
    <t>Enron Ownership Post LJM Selldown</t>
  </si>
  <si>
    <t>New Investor Equity % (LJM)</t>
  </si>
  <si>
    <t>Date Of Selldown To Permanent Investor- Equity</t>
  </si>
  <si>
    <t>Date Of Selldown - Subdebt</t>
  </si>
  <si>
    <t>Electronorte Purchase Price (US$000 @ Bid Exchange)</t>
  </si>
  <si>
    <t>Electronorte Purchase Price Option</t>
  </si>
  <si>
    <t>Final Year Plant &amp; Transmission Capacity Tariff (R$/Mw-Month)</t>
  </si>
  <si>
    <t>Clause 33 - Paragraph 1</t>
  </si>
  <si>
    <t>Of Equity Book Value</t>
  </si>
  <si>
    <t>Estimated Requirement Until Financing</t>
  </si>
  <si>
    <t>Between Enron / Shell / Transredes</t>
  </si>
  <si>
    <t>Between Enron / Shell</t>
  </si>
  <si>
    <t>Between Enron / Transredes</t>
  </si>
  <si>
    <t>Phase II / III Conversion</t>
  </si>
  <si>
    <t>Electronorte Offtake (Mwh)</t>
  </si>
  <si>
    <t>Less: Annual Property Tax</t>
  </si>
  <si>
    <t>Plus: Interest Income WCAP &amp; Maintenance Reserve</t>
  </si>
  <si>
    <t>Less: Performance Bond</t>
  </si>
  <si>
    <t>Less: Book Depreciation Expense</t>
  </si>
  <si>
    <t>Less:Book Provision For Income Taxes</t>
  </si>
  <si>
    <t>Interest Income - Partner Loans</t>
  </si>
  <si>
    <t>Interest Income WCAP &amp; Maintenance Reserve</t>
  </si>
  <si>
    <t>L/C Fee On Debt Reserve (Following Year)</t>
  </si>
  <si>
    <t>L/C Fee On Working Capital</t>
  </si>
  <si>
    <t>L/C YPF Guarantee</t>
  </si>
  <si>
    <t>Retained Earnings</t>
  </si>
  <si>
    <t>Plus: Current Year Earnings</t>
  </si>
  <si>
    <t>Subtotal Available For Dividends</t>
  </si>
  <si>
    <t>Less: Current Year Dividends</t>
  </si>
  <si>
    <t>Cash (Excluding Working Capital)</t>
  </si>
  <si>
    <t>Plus: Prior Year Partner Loans Repayment</t>
  </si>
  <si>
    <t>Plus: Current Year Cashflow</t>
  </si>
  <si>
    <t>Subtotal Cashflow Available For Distribution</t>
  </si>
  <si>
    <t>Less: Current Year Capital Reductions</t>
  </si>
  <si>
    <t>Less: Current Year Partner Loans</t>
  </si>
  <si>
    <t>Apply Capital Reductions Of Excess Cash (0=No, 1=Yes)</t>
  </si>
  <si>
    <t>Trapped Cash Loans To Partners (0=No, 1=Yes)</t>
  </si>
  <si>
    <t>Capital Reduction In Final Year To Liquidate Partner Loans</t>
  </si>
  <si>
    <t>Reduction of Project Cost From Operating Cash</t>
  </si>
  <si>
    <t>(0=Project Costs, 1=W/C Facility, 2=Fund Project Cost W/Operating Cash)</t>
  </si>
  <si>
    <t>Contingency - Change Orders</t>
  </si>
  <si>
    <t>Contingency - Other</t>
  </si>
  <si>
    <t>Interest Income To Project On Trapped Cash Loans</t>
  </si>
  <si>
    <t>Interest Expense To Shareholders On Trapped Cash Loans</t>
  </si>
  <si>
    <t>"BS_Table"</t>
  </si>
  <si>
    <t>"Trapped_Table"</t>
  </si>
  <si>
    <t>"CF_Table"</t>
  </si>
  <si>
    <t>"Rev_Exp_Table"</t>
  </si>
  <si>
    <t>"Fin_Sum_Table"</t>
  </si>
  <si>
    <t>Trapped Cash Loaned To Partners</t>
  </si>
  <si>
    <t>Repayment Of Prior Year Trapped Cash Loans</t>
  </si>
  <si>
    <t>Cashflow Distributed</t>
  </si>
  <si>
    <t>Operating Expenses (Fuel, Transportation, O&amp;M)</t>
  </si>
  <si>
    <t>Net Financial Income</t>
  </si>
  <si>
    <r>
      <t xml:space="preserve">Enron Avg Book Income (Years 1-5) </t>
    </r>
    <r>
      <rPr>
        <b/>
        <i/>
        <sz val="9"/>
        <rFont val="Arial"/>
        <family val="2"/>
      </rPr>
      <t>- Comm Ops</t>
    </r>
  </si>
  <si>
    <r>
      <t xml:space="preserve">Enron Avg Book Income (Project Life) </t>
    </r>
    <r>
      <rPr>
        <b/>
        <i/>
        <sz val="9"/>
        <rFont val="Arial"/>
        <family val="2"/>
      </rPr>
      <t>- Comm Ops</t>
    </r>
  </si>
  <si>
    <t>Fixed (R$ Based)</t>
  </si>
  <si>
    <t>Fixed (US$ Based)</t>
  </si>
  <si>
    <t>Value From 1997 Or 1998 ===&gt;</t>
  </si>
  <si>
    <t>Operating</t>
  </si>
  <si>
    <t>Insurance</t>
  </si>
  <si>
    <t>Times: Enron's Ownership %</t>
  </si>
  <si>
    <t>a</t>
  </si>
  <si>
    <t>b</t>
  </si>
  <si>
    <t>Max Of (a &amp; b) &gt; 0</t>
  </si>
  <si>
    <t>c</t>
  </si>
  <si>
    <t>Min Of (a &amp; b) &gt; 0</t>
  </si>
  <si>
    <t>d</t>
  </si>
  <si>
    <t>Enron @ Risk Equity [ (c x 2) + d ] / 3</t>
  </si>
  <si>
    <t>Political Risk Rate</t>
  </si>
  <si>
    <t>S. Friedlander - Verbal</t>
  </si>
  <si>
    <t>J. Bestard - Memo</t>
  </si>
  <si>
    <t>300 MW Jan</t>
  </si>
  <si>
    <t>150MW</t>
  </si>
  <si>
    <t>300MW</t>
  </si>
  <si>
    <t>INE Issuance Paragraph 3</t>
  </si>
  <si>
    <t>Political Risk Calculation - Bridge Loan</t>
  </si>
  <si>
    <t>Enron Bridge Loan Balance (BOY)</t>
  </si>
  <si>
    <t>Enron Bridge Loan Balance (EOY)</t>
  </si>
  <si>
    <r>
      <t xml:space="preserve">Political Risk Insurance - Enron Bridge Loan </t>
    </r>
    <r>
      <rPr>
        <i/>
        <sz val="9"/>
        <rFont val="Arial"/>
        <family val="2"/>
      </rPr>
      <t>(Cash Payment)</t>
    </r>
  </si>
  <si>
    <t>Operating Income</t>
  </si>
  <si>
    <t>Financial Income</t>
  </si>
  <si>
    <t>Beginning NOL Balance</t>
  </si>
  <si>
    <t>NOL Used In Current Year</t>
  </si>
  <si>
    <t>Ending NOL Balance</t>
  </si>
  <si>
    <t>See Below</t>
  </si>
  <si>
    <t>Net Income Subject To Income Taxes (w/o Sudam)</t>
  </si>
  <si>
    <t>Net Income Subject To Income Tax (w/o Sudam)</t>
  </si>
  <si>
    <t>Subtotal Corporate Income Tax &amp; Additional Income Tax</t>
  </si>
  <si>
    <t>* Sudam Tax Credit Taken Applied To A Reserve Account (See Trapped Cash Sheet)</t>
  </si>
  <si>
    <t>Sudam Tax Credit Taken *</t>
  </si>
  <si>
    <t>Net Corporate Tax &amp; Additional Tax Payable</t>
  </si>
  <si>
    <t>Total Cash Taxes</t>
  </si>
  <si>
    <t>CASH TAXES</t>
  </si>
  <si>
    <t>Fixed O&amp;M (R$ Based)</t>
  </si>
  <si>
    <t>Less: W/H Tax - Bridge Loans</t>
  </si>
  <si>
    <t>Interest Paid To Tax Haven Such AS Cayman Islands</t>
  </si>
  <si>
    <t>Withholding Tax - Interest (Non-MLA's - Cayman Islands)</t>
  </si>
  <si>
    <t>Less: W/H On Bridge Loan Interest</t>
  </si>
  <si>
    <t>Less: W/H Tax - SubordinatDebt</t>
  </si>
  <si>
    <t>Plus: WH Tax - Subordinated Debt</t>
  </si>
  <si>
    <t>W/H Tax - Offshore Services (2's)</t>
  </si>
  <si>
    <t>Fixed O&amp;M (US$ Based)</t>
  </si>
  <si>
    <t>Total US$ Based Fixed O&amp;M</t>
  </si>
  <si>
    <t>Total R$ Based Fixed O&amp;M</t>
  </si>
  <si>
    <t>AMOUNTS IN US$</t>
  </si>
  <si>
    <t>Actuals</t>
  </si>
  <si>
    <t>INFORMATION PROVIDED BY ASSET MANAGEMENT</t>
  </si>
  <si>
    <t>Funding</t>
  </si>
  <si>
    <t>Equity Funding</t>
  </si>
  <si>
    <t>Construction Loans</t>
  </si>
  <si>
    <t>Interest Income (Cash In Bank)</t>
  </si>
  <si>
    <t xml:space="preserve">OPIC </t>
  </si>
  <si>
    <t>KFW</t>
  </si>
  <si>
    <t>Total Funding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</si>
</sst>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0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_(* #,##0_);_(* \(#,##0\);_(* &quot;-&quot;??_);_(@_)"/>
    <numFmt numFmtId="171" formatCode="&quot;$&quot;#,##0.0000_);\(&quot;$&quot;#,##0.0000\)"/>
    <numFmt numFmtId="173" formatCode="0.0000"/>
    <numFmt numFmtId="174" formatCode="0.000"/>
    <numFmt numFmtId="176" formatCode="[$R$ -416]#,##0.00_);\([$R$ -416]#,##0.00\)"/>
    <numFmt numFmtId="178" formatCode="[$R$ -416]#,##0_);\([$R$ -416]#,##0\)"/>
    <numFmt numFmtId="179" formatCode="mm/dd/yy"/>
    <numFmt numFmtId="181" formatCode="0.0%"/>
    <numFmt numFmtId="183" formatCode="0.000%"/>
    <numFmt numFmtId="186" formatCode="_(* #,##0.0000_);_(* \(#,##0.0000\);_(* &quot;-&quot;??_);_(@_)"/>
    <numFmt numFmtId="187" formatCode="dd\-mmm\-yy"/>
    <numFmt numFmtId="188" formatCode="m/d/yy"/>
  </numFmts>
  <fonts count="127">
    <font>
      <sz val="10"/>
      <name val="Arial"/>
    </font>
    <font>
      <b/>
      <sz val="10"/>
      <name val="Arial"/>
    </font>
    <font>
      <b/>
      <i/>
      <sz val="10"/>
      <name val="Arial"/>
    </font>
    <font>
      <sz val="10"/>
      <name val="Arial"/>
    </font>
    <font>
      <b/>
      <sz val="10"/>
      <name val="Arial"/>
      <family val="2"/>
    </font>
    <font>
      <b/>
      <sz val="10"/>
      <color indexed="8"/>
      <name val="Arial"/>
      <family val="2"/>
    </font>
    <font>
      <b/>
      <sz val="12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u/>
      <sz val="10"/>
      <name val="Arial"/>
      <family val="2"/>
    </font>
    <font>
      <b/>
      <i/>
      <sz val="10"/>
      <name val="Arial"/>
      <family val="2"/>
    </font>
    <font>
      <sz val="10"/>
      <color indexed="39"/>
      <name val="Arial"/>
      <family val="2"/>
    </font>
    <font>
      <i/>
      <sz val="10"/>
      <name val="Arial"/>
      <family val="2"/>
    </font>
    <font>
      <i/>
      <sz val="8"/>
      <name val="Arial"/>
      <family val="2"/>
    </font>
    <font>
      <b/>
      <sz val="10"/>
      <color indexed="39"/>
      <name val="arial"/>
      <family val="2"/>
    </font>
    <font>
      <sz val="10"/>
      <color indexed="12"/>
      <name val="Arial"/>
      <family val="2"/>
    </font>
    <font>
      <sz val="10"/>
      <color indexed="8"/>
      <name val="Arial"/>
      <family val="2"/>
    </font>
    <font>
      <u/>
      <sz val="10"/>
      <name val="Arial"/>
      <family val="2"/>
    </font>
    <font>
      <u/>
      <sz val="10"/>
      <color indexed="39"/>
      <name val="arial"/>
      <family val="2"/>
    </font>
    <font>
      <u/>
      <sz val="10"/>
      <color indexed="12"/>
      <name val="arial"/>
      <family val="2"/>
    </font>
    <font>
      <u/>
      <sz val="8"/>
      <name val="Arial"/>
      <family val="2"/>
    </font>
    <font>
      <b/>
      <sz val="10"/>
      <color indexed="12"/>
      <name val="Arial"/>
      <family val="2"/>
    </font>
    <font>
      <b/>
      <i/>
      <u/>
      <sz val="10"/>
      <name val="Arial"/>
      <family val="2"/>
    </font>
    <font>
      <u val="double"/>
      <sz val="10"/>
      <name val="arial"/>
      <family val="2"/>
    </font>
    <font>
      <i/>
      <u val="double"/>
      <sz val="10"/>
      <name val="arial"/>
      <family val="2"/>
    </font>
    <font>
      <sz val="10"/>
      <color indexed="14"/>
      <name val="arial"/>
      <family val="2"/>
    </font>
    <font>
      <u/>
      <sz val="10"/>
      <color indexed="8"/>
      <name val="arial"/>
      <family val="2"/>
    </font>
    <font>
      <sz val="8"/>
      <name val="Arial"/>
      <family val="2"/>
    </font>
    <font>
      <sz val="8"/>
      <color indexed="81"/>
      <name val="Tahoma"/>
    </font>
    <font>
      <b/>
      <i/>
      <sz val="12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sz val="11"/>
      <color indexed="39"/>
      <name val="Arial"/>
      <family val="2"/>
    </font>
    <font>
      <b/>
      <i/>
      <sz val="10"/>
      <color indexed="10"/>
      <name val="Arial"/>
      <family val="2"/>
    </font>
    <font>
      <i/>
      <u/>
      <sz val="10"/>
      <name val="Arial"/>
      <family val="2"/>
    </font>
    <font>
      <i/>
      <sz val="10"/>
      <color indexed="12"/>
      <name val="Arial"/>
      <family val="2"/>
    </font>
    <font>
      <b/>
      <sz val="11"/>
      <color indexed="12"/>
      <name val="Arial"/>
      <family val="2"/>
    </font>
    <font>
      <b/>
      <i/>
      <sz val="9"/>
      <name val="Arial"/>
      <family val="2"/>
    </font>
    <font>
      <b/>
      <i/>
      <sz val="10"/>
      <color indexed="12"/>
      <name val="Arial"/>
      <family val="2"/>
    </font>
    <font>
      <b/>
      <sz val="10"/>
      <color indexed="14"/>
      <name val="arial"/>
      <family val="2"/>
    </font>
    <font>
      <i/>
      <sz val="10"/>
      <color indexed="56"/>
      <name val="Arial"/>
      <family val="2"/>
    </font>
    <font>
      <sz val="12"/>
      <name val="Arial"/>
      <family val="2"/>
    </font>
    <font>
      <b/>
      <i/>
      <sz val="10"/>
      <color indexed="20"/>
      <name val="Arial"/>
      <family val="2"/>
    </font>
    <font>
      <sz val="10"/>
      <name val="Times New Roman"/>
    </font>
    <font>
      <sz val="10"/>
      <color indexed="9"/>
      <name val="Arial"/>
      <family val="2"/>
    </font>
    <font>
      <i/>
      <sz val="9"/>
      <name val="Arial"/>
      <family val="2"/>
    </font>
    <font>
      <i/>
      <sz val="8"/>
      <color indexed="9"/>
      <name val="arial"/>
      <family val="2"/>
    </font>
    <font>
      <i/>
      <sz val="10"/>
      <color indexed="9"/>
      <name val="arial"/>
      <family val="2"/>
    </font>
    <font>
      <i/>
      <sz val="9"/>
      <color indexed="9"/>
      <name val="Arial"/>
      <family val="2"/>
    </font>
    <font>
      <b/>
      <sz val="10"/>
      <color indexed="10"/>
      <name val="Arial"/>
      <family val="2"/>
    </font>
    <font>
      <sz val="10"/>
      <name val="Helv"/>
      <family val="2"/>
    </font>
    <font>
      <sz val="12"/>
      <name val="???"/>
      <family val="1"/>
      <charset val="129"/>
    </font>
    <font>
      <sz val="12"/>
      <name val="???"/>
      <family val="3"/>
      <charset val="129"/>
    </font>
    <font>
      <sz val="10"/>
      <name val="???"/>
      <family val="3"/>
      <charset val="129"/>
    </font>
    <font>
      <sz val="11"/>
      <name val="??"/>
      <family val="3"/>
      <charset val="129"/>
    </font>
    <font>
      <sz val="10"/>
      <name val="MS Sans Serif"/>
      <family val="2"/>
    </font>
    <font>
      <sz val="11"/>
      <name val="???"/>
      <family val="1"/>
      <charset val="129"/>
    </font>
    <font>
      <sz val="11"/>
      <name val="???"/>
      <family val="3"/>
      <charset val="129"/>
    </font>
    <font>
      <sz val="10"/>
      <name val="Arial Narrow"/>
      <family val="2"/>
    </font>
    <font>
      <sz val="10"/>
      <name val="MS Sans Serif"/>
    </font>
    <font>
      <sz val="10"/>
      <name val="Geneva"/>
      <family val="2"/>
    </font>
    <font>
      <sz val="10"/>
      <name val="Book Antiqua"/>
      <family val="1"/>
    </font>
    <font>
      <sz val="10"/>
      <name val="Times New Roman"/>
      <family val="1"/>
    </font>
    <font>
      <sz val="10"/>
      <name val="Advisor SSi"/>
      <family val="1"/>
    </font>
    <font>
      <sz val="10"/>
      <name val="Helv"/>
    </font>
    <font>
      <b/>
      <u/>
      <sz val="11"/>
      <color indexed="37"/>
      <name val="Arial"/>
      <family val="2"/>
    </font>
    <font>
      <sz val="7"/>
      <name val="Small Fonts"/>
    </font>
    <font>
      <b/>
      <i/>
      <sz val="16"/>
      <name val="Helv"/>
    </font>
    <font>
      <sz val="10"/>
      <name val="Courier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8"/>
      <name val="Arial"/>
    </font>
    <font>
      <sz val="8"/>
      <name val="Arial"/>
    </font>
    <font>
      <sz val="8"/>
      <name val="MS Sans Serif"/>
      <family val="2"/>
    </font>
    <font>
      <sz val="12"/>
      <name val="Times New Roman"/>
      <family val="1"/>
    </font>
    <font>
      <sz val="10"/>
      <name val="Courier"/>
      <family val="3"/>
    </font>
    <font>
      <sz val="10"/>
      <color indexed="8"/>
      <name val="MS Sans Serif"/>
    </font>
    <font>
      <sz val="10"/>
      <name val="Univers (W1)"/>
    </font>
    <font>
      <sz val="12"/>
      <name val="Times New Roman"/>
    </font>
    <font>
      <sz val="10"/>
      <name val="Univers (W1)"/>
      <family val="2"/>
    </font>
    <font>
      <b/>
      <sz val="14"/>
      <name val="Times New Roman"/>
      <family val="1"/>
    </font>
    <font>
      <b/>
      <sz val="14"/>
      <name val="Times New Roman"/>
    </font>
    <font>
      <sz val="10"/>
      <name val="Geneva"/>
    </font>
    <font>
      <sz val="14"/>
      <name val="AngsanaUPC"/>
      <family val="1"/>
    </font>
    <font>
      <sz val="9"/>
      <name val="Arial Narrow"/>
      <family val="2"/>
    </font>
    <font>
      <sz val="7"/>
      <name val="Arial"/>
      <family val="2"/>
    </font>
    <font>
      <sz val="7"/>
      <name val="Arial"/>
    </font>
    <font>
      <sz val="10"/>
      <name val="Times"/>
    </font>
    <font>
      <sz val="12"/>
      <name val="EucrosiaUPC"/>
      <family val="1"/>
    </font>
    <font>
      <sz val="14"/>
      <name val="CordiaUPC"/>
      <family val="1"/>
    </font>
    <font>
      <sz val="14"/>
      <name val="FreesiaUPC"/>
      <family val="1"/>
    </font>
    <font>
      <sz val="12"/>
      <name val="PathWay Access 3.0"/>
      <family val="3"/>
    </font>
    <font>
      <sz val="12"/>
      <name val="Helv"/>
    </font>
    <font>
      <sz val="8.5"/>
      <name val="MS Sans Serif"/>
      <family val="2"/>
    </font>
    <font>
      <sz val="9"/>
      <name val="Arial"/>
    </font>
    <font>
      <sz val="11"/>
      <name val="Book Antiqua"/>
      <family val="1"/>
    </font>
    <font>
      <sz val="8"/>
      <name val="Tms Rmn"/>
    </font>
    <font>
      <sz val="10"/>
      <name val="Tms Rmn"/>
    </font>
    <font>
      <sz val="10"/>
      <name val="TimesNewRomanPS"/>
      <family val="1"/>
    </font>
    <font>
      <sz val="8"/>
      <name val="Times New Roman"/>
      <family val="1"/>
    </font>
    <font>
      <sz val="8"/>
      <name val="Times New Roman"/>
    </font>
    <font>
      <sz val="8"/>
      <color indexed="12"/>
      <name val="Arial"/>
      <family val="2"/>
    </font>
    <font>
      <b/>
      <u/>
      <sz val="10"/>
      <color indexed="12"/>
      <name val="Arial"/>
      <family val="2"/>
    </font>
    <font>
      <b/>
      <sz val="8"/>
      <color indexed="81"/>
      <name val="Tahoma"/>
    </font>
    <font>
      <b/>
      <sz val="14"/>
      <color indexed="12"/>
      <name val="Arial"/>
      <family val="2"/>
    </font>
    <font>
      <b/>
      <sz val="12"/>
      <color indexed="12"/>
      <name val="Arial"/>
      <family val="2"/>
    </font>
    <font>
      <b/>
      <sz val="11"/>
      <color indexed="10"/>
      <name val="Arial"/>
      <family val="2"/>
    </font>
    <font>
      <b/>
      <u/>
      <sz val="12"/>
      <name val="Arial"/>
      <family val="2"/>
    </font>
    <font>
      <b/>
      <u/>
      <sz val="10"/>
      <color indexed="8"/>
      <name val="Arial"/>
      <family val="2"/>
    </font>
    <font>
      <sz val="9"/>
      <name val="Arial"/>
      <family val="2"/>
    </font>
    <font>
      <b/>
      <sz val="9"/>
      <color indexed="10"/>
      <name val="arial"/>
      <family val="2"/>
    </font>
    <font>
      <b/>
      <sz val="10"/>
      <color indexed="60"/>
      <name val="Arial"/>
      <family val="2"/>
    </font>
    <font>
      <b/>
      <sz val="10"/>
      <color indexed="57"/>
      <name val="Arial"/>
      <family val="2"/>
    </font>
    <font>
      <b/>
      <sz val="10"/>
      <color indexed="20"/>
      <name val="Arial"/>
      <family val="2"/>
    </font>
    <font>
      <b/>
      <sz val="10"/>
      <color indexed="48"/>
      <name val="Arial"/>
      <family val="2"/>
    </font>
    <font>
      <b/>
      <sz val="10"/>
      <color indexed="52"/>
      <name val="Arial"/>
      <family val="2"/>
    </font>
    <font>
      <i/>
      <u/>
      <sz val="10.1"/>
      <name val="Arial"/>
      <family val="2"/>
    </font>
    <font>
      <u/>
      <sz val="10"/>
      <color indexed="14"/>
      <name val="Arial"/>
      <family val="2"/>
    </font>
    <font>
      <b/>
      <sz val="14"/>
      <name val="Arial"/>
      <family val="2"/>
    </font>
    <font>
      <i/>
      <sz val="7"/>
      <name val="Arial"/>
      <family val="2"/>
    </font>
    <font>
      <sz val="10.1"/>
      <name val="Arial"/>
      <family val="2"/>
    </font>
    <font>
      <i/>
      <sz val="7.5"/>
      <name val="Arial"/>
      <family val="2"/>
    </font>
    <font>
      <i/>
      <sz val="10"/>
      <color indexed="14"/>
      <name val="Arial"/>
      <family val="2"/>
    </font>
    <font>
      <b/>
      <u/>
      <sz val="10"/>
      <color indexed="14"/>
      <name val="Arial"/>
      <family val="2"/>
    </font>
    <font>
      <b/>
      <i/>
      <sz val="10"/>
      <color indexed="14"/>
      <name val="arial"/>
      <family val="2"/>
    </font>
    <font>
      <u val="double"/>
      <sz val="10"/>
      <color indexed="9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5"/>
        <bgColor indexed="9"/>
      </patternFill>
    </fill>
    <fill>
      <patternFill patternType="solid">
        <fgColor indexed="13"/>
        <bgColor indexed="9"/>
      </patternFill>
    </fill>
    <fill>
      <patternFill patternType="solid">
        <fgColor indexed="4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7"/>
        <bgColor indexed="64"/>
      </patternFill>
    </fill>
  </fills>
  <borders count="175">
    <border>
      <left/>
      <right/>
      <top/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9"/>
      </right>
      <top style="medium">
        <color indexed="64"/>
      </top>
      <bottom style="medium">
        <color indexed="9"/>
      </bottom>
      <diagonal/>
    </border>
    <border>
      <left/>
      <right/>
      <top/>
      <bottom style="dashDot">
        <color indexed="64"/>
      </bottom>
      <diagonal/>
    </border>
    <border>
      <left style="medium">
        <color indexed="64"/>
      </left>
      <right/>
      <top/>
      <bottom style="dashDot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9"/>
      </bottom>
      <diagonal/>
    </border>
    <border>
      <left/>
      <right/>
      <top style="thin">
        <color indexed="64"/>
      </top>
      <bottom style="dashDot">
        <color indexed="64"/>
      </bottom>
      <diagonal/>
    </border>
    <border>
      <left style="medium">
        <color indexed="64"/>
      </left>
      <right/>
      <top style="thin">
        <color indexed="64"/>
      </top>
      <bottom style="dashDot">
        <color indexed="64"/>
      </bottom>
      <diagonal/>
    </border>
    <border>
      <left style="medium">
        <color indexed="64"/>
      </left>
      <right/>
      <top style="dashDot">
        <color indexed="64"/>
      </top>
      <bottom style="medium">
        <color indexed="64"/>
      </bottom>
      <diagonal/>
    </border>
    <border>
      <left/>
      <right/>
      <top style="dashDot">
        <color indexed="64"/>
      </top>
      <bottom style="medium">
        <color indexed="64"/>
      </bottom>
      <diagonal/>
    </border>
    <border>
      <left style="dashDot">
        <color indexed="64"/>
      </left>
      <right style="medium">
        <color indexed="64"/>
      </right>
      <top style="medium">
        <color indexed="64"/>
      </top>
      <bottom/>
      <diagonal/>
    </border>
    <border>
      <left style="dashDot">
        <color indexed="64"/>
      </left>
      <right style="medium">
        <color indexed="64"/>
      </right>
      <top/>
      <bottom/>
      <diagonal/>
    </border>
    <border>
      <left style="dashDot">
        <color indexed="64"/>
      </left>
      <right style="medium">
        <color indexed="64"/>
      </right>
      <top style="thin">
        <color indexed="64"/>
      </top>
      <bottom style="dashDot">
        <color indexed="64"/>
      </bottom>
      <diagonal/>
    </border>
    <border>
      <left style="dashDot">
        <color indexed="64"/>
      </left>
      <right style="medium">
        <color indexed="64"/>
      </right>
      <top style="dashDot">
        <color indexed="64"/>
      </top>
      <bottom style="medium">
        <color indexed="64"/>
      </bottom>
      <diagonal/>
    </border>
    <border>
      <left style="dashDot">
        <color indexed="64"/>
      </left>
      <right style="dashDot">
        <color indexed="64"/>
      </right>
      <top/>
      <bottom/>
      <diagonal/>
    </border>
    <border>
      <left style="medium">
        <color indexed="64"/>
      </left>
      <right/>
      <top style="dashDot">
        <color indexed="64"/>
      </top>
      <bottom style="dashDot">
        <color indexed="64"/>
      </bottom>
      <diagonal/>
    </border>
    <border>
      <left/>
      <right/>
      <top style="dashDot">
        <color indexed="64"/>
      </top>
      <bottom style="dashDot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ashDot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dashDot">
        <color indexed="64"/>
      </left>
      <right style="dashDot">
        <color indexed="64"/>
      </right>
      <top style="medium">
        <color indexed="64"/>
      </top>
      <bottom style="dashDot">
        <color indexed="64"/>
      </bottom>
      <diagonal/>
    </border>
    <border>
      <left style="dashDot">
        <color indexed="64"/>
      </left>
      <right style="medium">
        <color indexed="64"/>
      </right>
      <top style="medium">
        <color indexed="64"/>
      </top>
      <bottom style="dashDot">
        <color indexed="64"/>
      </bottom>
      <diagonal/>
    </border>
    <border>
      <left style="dashDot">
        <color indexed="64"/>
      </left>
      <right style="dashDot">
        <color indexed="64"/>
      </right>
      <top/>
      <bottom style="dashDot">
        <color indexed="64"/>
      </bottom>
      <diagonal/>
    </border>
    <border>
      <left style="dashDot">
        <color indexed="64"/>
      </left>
      <right style="medium">
        <color indexed="64"/>
      </right>
      <top/>
      <bottom style="dashDot">
        <color indexed="64"/>
      </bottom>
      <diagonal/>
    </border>
    <border>
      <left style="medium">
        <color indexed="64"/>
      </left>
      <right/>
      <top style="medium">
        <color indexed="64"/>
      </top>
      <bottom style="dashDot">
        <color indexed="64"/>
      </bottom>
      <diagonal/>
    </border>
    <border>
      <left style="thin">
        <color indexed="9"/>
      </left>
      <right/>
      <top style="thin">
        <color indexed="9"/>
      </top>
      <bottom/>
      <diagonal/>
    </border>
    <border>
      <left/>
      <right/>
      <top style="thin">
        <color indexed="9"/>
      </top>
      <bottom/>
      <diagonal/>
    </border>
    <border>
      <left style="thin">
        <color indexed="9"/>
      </left>
      <right/>
      <top/>
      <bottom/>
      <diagonal/>
    </border>
    <border>
      <left style="dashDot">
        <color indexed="55"/>
      </left>
      <right/>
      <top style="thin">
        <color indexed="9"/>
      </top>
      <bottom/>
      <diagonal/>
    </border>
    <border>
      <left style="dashDot">
        <color indexed="55"/>
      </left>
      <right/>
      <top/>
      <bottom/>
      <diagonal/>
    </border>
    <border>
      <left style="dashDot">
        <color indexed="55"/>
      </left>
      <right style="dashDot">
        <color indexed="55"/>
      </right>
      <top style="thin">
        <color indexed="9"/>
      </top>
      <bottom/>
      <diagonal/>
    </border>
    <border>
      <left style="dashDot">
        <color indexed="55"/>
      </left>
      <right style="dashDot">
        <color indexed="55"/>
      </right>
      <top/>
      <bottom/>
      <diagonal/>
    </border>
    <border>
      <left style="thin">
        <color indexed="9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ashDot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dashDot">
        <color indexed="64"/>
      </top>
      <bottom/>
      <diagonal/>
    </border>
    <border>
      <left/>
      <right/>
      <top style="dashDot">
        <color indexed="64"/>
      </top>
      <bottom/>
      <diagonal/>
    </border>
    <border>
      <left style="dashDot">
        <color indexed="64"/>
      </left>
      <right style="thin">
        <color indexed="64"/>
      </right>
      <top/>
      <bottom/>
      <diagonal/>
    </border>
    <border>
      <left/>
      <right style="medium">
        <color indexed="9"/>
      </right>
      <top style="medium">
        <color indexed="64"/>
      </top>
      <bottom style="medium">
        <color indexed="9"/>
      </bottom>
      <diagonal/>
    </border>
    <border>
      <left style="medium">
        <color indexed="9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9"/>
      </top>
      <bottom style="thin">
        <color indexed="22"/>
      </bottom>
      <diagonal/>
    </border>
    <border>
      <left/>
      <right/>
      <top/>
      <bottom style="thin">
        <color indexed="22"/>
      </bottom>
      <diagonal/>
    </border>
    <border>
      <left style="dashDot">
        <color indexed="55"/>
      </left>
      <right style="dashDot">
        <color indexed="55"/>
      </right>
      <top/>
      <bottom style="thin">
        <color indexed="22"/>
      </bottom>
      <diagonal/>
    </border>
    <border>
      <left style="dashDot">
        <color indexed="55"/>
      </left>
      <right/>
      <top/>
      <bottom style="thin">
        <color indexed="22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9"/>
      </top>
      <bottom style="thin">
        <color indexed="22"/>
      </bottom>
      <diagonal/>
    </border>
    <border>
      <left style="medium">
        <color indexed="64"/>
      </left>
      <right/>
      <top style="thin">
        <color indexed="9"/>
      </top>
      <bottom/>
      <diagonal/>
    </border>
    <border>
      <left style="medium">
        <color indexed="64"/>
      </left>
      <right/>
      <top/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9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9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22"/>
      </bottom>
      <diagonal/>
    </border>
    <border>
      <left style="thin">
        <color indexed="9"/>
      </left>
      <right/>
      <top/>
      <bottom style="thin">
        <color indexed="22"/>
      </bottom>
      <diagonal/>
    </border>
    <border>
      <left/>
      <right style="thin">
        <color indexed="22"/>
      </right>
      <top style="thin">
        <color indexed="9"/>
      </top>
      <bottom/>
      <diagonal/>
    </border>
    <border>
      <left/>
      <right style="thin">
        <color indexed="22"/>
      </right>
      <top/>
      <bottom/>
      <diagonal/>
    </border>
    <border>
      <left/>
      <right style="thin">
        <color indexed="22"/>
      </right>
      <top/>
      <bottom style="thin">
        <color indexed="64"/>
      </bottom>
      <diagonal/>
    </border>
    <border>
      <left style="thin">
        <color indexed="9"/>
      </left>
      <right/>
      <top/>
      <bottom style="medium">
        <color indexed="64"/>
      </bottom>
      <diagonal/>
    </border>
    <border>
      <left/>
      <right style="thin">
        <color indexed="22"/>
      </right>
      <top/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22"/>
      </right>
      <top style="thin">
        <color indexed="9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dashDot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ashDot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ashDot">
        <color indexed="64"/>
      </bottom>
      <diagonal/>
    </border>
    <border>
      <left style="medium">
        <color indexed="64"/>
      </left>
      <right style="thin">
        <color indexed="64"/>
      </right>
      <top style="dashDot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ashDot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dashDot">
        <color indexed="64"/>
      </top>
      <bottom style="medium">
        <color indexed="64"/>
      </bottom>
      <diagonal/>
    </border>
    <border>
      <left style="thin">
        <color indexed="9"/>
      </left>
      <right/>
      <top style="thin">
        <color indexed="9"/>
      </top>
      <bottom style="thin">
        <color indexed="22"/>
      </bottom>
      <diagonal/>
    </border>
    <border>
      <left/>
      <right style="thin">
        <color indexed="55"/>
      </right>
      <top style="thin">
        <color indexed="9"/>
      </top>
      <bottom style="thin">
        <color indexed="22"/>
      </bottom>
      <diagonal/>
    </border>
    <border>
      <left/>
      <right style="thin">
        <color indexed="22"/>
      </right>
      <top style="thin">
        <color indexed="9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 style="medium">
        <color indexed="64"/>
      </bottom>
      <diagonal/>
    </border>
    <border>
      <left/>
      <right style="medium">
        <color indexed="64"/>
      </right>
      <top style="dashDot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dashDot">
        <color indexed="64"/>
      </top>
      <bottom/>
      <diagonal/>
    </border>
    <border>
      <left style="dashDot">
        <color indexed="64"/>
      </left>
      <right/>
      <top style="medium">
        <color indexed="64"/>
      </top>
      <bottom/>
      <diagonal/>
    </border>
    <border>
      <left/>
      <right style="dashDot">
        <color indexed="64"/>
      </right>
      <top style="medium">
        <color indexed="64"/>
      </top>
      <bottom/>
      <diagonal/>
    </border>
    <border>
      <left style="dashDot">
        <color indexed="64"/>
      </left>
      <right/>
      <top/>
      <bottom/>
      <diagonal/>
    </border>
    <border>
      <left/>
      <right style="dashDot">
        <color indexed="64"/>
      </right>
      <top/>
      <bottom/>
      <diagonal/>
    </border>
    <border>
      <left style="dashDot">
        <color indexed="64"/>
      </left>
      <right/>
      <top/>
      <bottom style="medium">
        <color indexed="64"/>
      </bottom>
      <diagonal/>
    </border>
    <border>
      <left/>
      <right style="dashDot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ashDot">
        <color indexed="64"/>
      </bottom>
      <diagonal/>
    </border>
    <border>
      <left/>
      <right style="medium">
        <color indexed="64"/>
      </right>
      <top style="dashDot">
        <color indexed="64"/>
      </top>
      <bottom style="dashDot">
        <color indexed="64"/>
      </bottom>
      <diagonal/>
    </border>
    <border>
      <left style="dashDot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dashDot">
        <color indexed="64"/>
      </right>
      <top style="medium">
        <color indexed="64"/>
      </top>
      <bottom/>
      <diagonal/>
    </border>
    <border>
      <left style="dashDot">
        <color indexed="64"/>
      </left>
      <right style="dashDot">
        <color indexed="64"/>
      </right>
      <top style="medium">
        <color indexed="64"/>
      </top>
      <bottom/>
      <diagonal/>
    </border>
    <border>
      <left style="medium">
        <color indexed="64"/>
      </left>
      <right style="dashDot">
        <color indexed="64"/>
      </right>
      <top/>
      <bottom/>
      <diagonal/>
    </border>
    <border>
      <left/>
      <right style="dashDot">
        <color indexed="64"/>
      </right>
      <top style="medium">
        <color indexed="64"/>
      </top>
      <bottom style="medium">
        <color indexed="64"/>
      </bottom>
      <diagonal/>
    </border>
    <border>
      <left style="dashDot">
        <color indexed="64"/>
      </left>
      <right/>
      <top style="medium">
        <color indexed="64"/>
      </top>
      <bottom style="medium">
        <color indexed="64"/>
      </bottom>
      <diagonal/>
    </border>
    <border>
      <left style="dashDot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ashDot">
        <color indexed="64"/>
      </right>
      <top style="medium">
        <color indexed="64"/>
      </top>
      <bottom style="medium">
        <color indexed="64"/>
      </bottom>
      <diagonal/>
    </border>
    <border>
      <left style="dashDot">
        <color indexed="64"/>
      </left>
      <right style="dashDot">
        <color indexed="64"/>
      </right>
      <top style="medium">
        <color indexed="64"/>
      </top>
      <bottom style="medium">
        <color indexed="64"/>
      </bottom>
      <diagonal/>
    </border>
    <border>
      <left/>
      <right style="dashDotDot">
        <color indexed="64"/>
      </right>
      <top/>
      <bottom/>
      <diagonal/>
    </border>
    <border>
      <left/>
      <right style="dashDotDot">
        <color indexed="64"/>
      </right>
      <top/>
      <bottom style="medium">
        <color indexed="64"/>
      </bottom>
      <diagonal/>
    </border>
    <border>
      <left style="medium">
        <color indexed="64"/>
      </left>
      <right style="dashDot">
        <color indexed="64"/>
      </right>
      <top/>
      <bottom style="medium">
        <color indexed="64"/>
      </bottom>
      <diagonal/>
    </border>
    <border>
      <left style="dashDot">
        <color indexed="64"/>
      </left>
      <right style="dashDot">
        <color indexed="64"/>
      </right>
      <top/>
      <bottom style="medium">
        <color indexed="64"/>
      </bottom>
      <diagonal/>
    </border>
    <border>
      <left/>
      <right style="dashDot">
        <color indexed="64"/>
      </right>
      <top style="thin">
        <color indexed="64"/>
      </top>
      <bottom/>
      <diagonal/>
    </border>
    <border>
      <left style="dashDot">
        <color indexed="64"/>
      </left>
      <right/>
      <top style="thin">
        <color indexed="64"/>
      </top>
      <bottom/>
      <diagonal/>
    </border>
    <border>
      <left style="dashDot">
        <color indexed="64"/>
      </left>
      <right style="thin">
        <color indexed="64"/>
      </right>
      <top style="thin">
        <color indexed="64"/>
      </top>
      <bottom style="dashDot">
        <color indexed="64"/>
      </bottom>
      <diagonal/>
    </border>
    <border>
      <left style="dashDot">
        <color indexed="64"/>
      </left>
      <right style="thin">
        <color indexed="64"/>
      </right>
      <top style="dashDot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dashDot">
        <color indexed="8"/>
      </right>
      <top/>
      <bottom/>
      <diagonal/>
    </border>
    <border>
      <left style="dashDot">
        <color indexed="8"/>
      </left>
      <right/>
      <top/>
      <bottom/>
      <diagonal/>
    </border>
    <border>
      <left style="thin">
        <color indexed="64"/>
      </left>
      <right style="dashDot">
        <color indexed="64"/>
      </right>
      <top/>
      <bottom/>
      <diagonal/>
    </border>
    <border>
      <left style="thin">
        <color indexed="8"/>
      </left>
      <right style="dashDot">
        <color indexed="8"/>
      </right>
      <top style="medium">
        <color indexed="64"/>
      </top>
      <bottom style="medium">
        <color indexed="64"/>
      </bottom>
      <diagonal/>
    </border>
    <border>
      <left style="dashDot">
        <color indexed="8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dashDot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/>
      <top/>
      <bottom style="medium">
        <color indexed="64"/>
      </bottom>
      <diagonal/>
    </border>
    <border>
      <left style="dashDot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dashDot">
        <color indexed="8"/>
      </left>
      <right style="thin">
        <color indexed="64"/>
      </right>
      <top/>
      <bottom/>
      <diagonal/>
    </border>
    <border>
      <left style="dashDot">
        <color indexed="8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/>
      <top style="medium">
        <color indexed="64"/>
      </top>
      <bottom/>
      <diagonal/>
    </border>
    <border>
      <left/>
      <right style="thin">
        <color indexed="8"/>
      </right>
      <top style="medium">
        <color indexed="64"/>
      </top>
      <bottom/>
      <diagonal/>
    </border>
    <border>
      <left/>
      <right style="thin">
        <color indexed="8"/>
      </right>
      <top/>
      <bottom style="medium">
        <color indexed="64"/>
      </bottom>
      <diagonal/>
    </border>
    <border>
      <left style="dashDot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Dot">
        <color indexed="5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22"/>
      </left>
      <right/>
      <top style="thin">
        <color indexed="22"/>
      </top>
      <bottom style="thin">
        <color indexed="9"/>
      </bottom>
      <diagonal/>
    </border>
    <border>
      <left/>
      <right/>
      <top style="thin">
        <color indexed="22"/>
      </top>
      <bottom style="thin">
        <color indexed="9"/>
      </bottom>
      <diagonal/>
    </border>
    <border>
      <left/>
      <right style="thin">
        <color indexed="9"/>
      </right>
      <top style="thin">
        <color indexed="22"/>
      </top>
      <bottom style="thin">
        <color indexed="9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24">
    <xf numFmtId="0" fontId="0" fillId="0" borderId="0"/>
    <xf numFmtId="0" fontId="51" fillId="0" borderId="0"/>
    <xf numFmtId="0" fontId="1" fillId="2" borderId="1">
      <alignment horizontal="center" vertical="center"/>
    </xf>
    <xf numFmtId="43" fontId="3" fillId="0" borderId="0" applyFont="0" applyFill="0" applyBorder="0" applyAlignment="0" applyProtection="0"/>
    <xf numFmtId="6" fontId="54" fillId="0" borderId="0">
      <protection locked="0"/>
    </xf>
    <xf numFmtId="0" fontId="43" fillId="0" borderId="0">
      <protection locked="0"/>
    </xf>
    <xf numFmtId="38" fontId="27" fillId="4" borderId="0" applyNumberFormat="0" applyBorder="0" applyAlignment="0" applyProtection="0"/>
    <xf numFmtId="0" fontId="65" fillId="0" borderId="0" applyNumberFormat="0" applyFill="0" applyBorder="0" applyAlignment="0" applyProtection="0"/>
    <xf numFmtId="0" fontId="43" fillId="0" borderId="0">
      <protection locked="0"/>
    </xf>
    <xf numFmtId="0" fontId="43" fillId="0" borderId="0">
      <protection locked="0"/>
    </xf>
    <xf numFmtId="0" fontId="15" fillId="0" borderId="2" applyNumberFormat="0" applyFill="0" applyAlignment="0" applyProtection="0"/>
    <xf numFmtId="10" fontId="27" fillId="5" borderId="3" applyNumberFormat="0" applyBorder="0" applyAlignment="0" applyProtection="0"/>
    <xf numFmtId="37" fontId="66" fillId="0" borderId="0"/>
    <xf numFmtId="0" fontId="67" fillId="0" borderId="0"/>
    <xf numFmtId="0" fontId="3" fillId="6" borderId="0"/>
    <xf numFmtId="0" fontId="43" fillId="0" borderId="0"/>
    <xf numFmtId="0" fontId="3" fillId="0" borderId="0"/>
    <xf numFmtId="9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0" fontId="43" fillId="0" borderId="5">
      <protection locked="0"/>
    </xf>
    <xf numFmtId="37" fontId="27" fillId="8" borderId="0" applyNumberFormat="0" applyBorder="0" applyAlignment="0" applyProtection="0"/>
    <xf numFmtId="37" fontId="72" fillId="0" borderId="0"/>
    <xf numFmtId="37" fontId="72" fillId="4" borderId="0" applyNumberFormat="0" applyBorder="0" applyAlignment="0" applyProtection="0"/>
    <xf numFmtId="3" fontId="102" fillId="0" borderId="2" applyProtection="0"/>
  </cellStyleXfs>
  <cellXfs count="1887">
    <xf numFmtId="0" fontId="0" fillId="0" borderId="0" xfId="0"/>
    <xf numFmtId="0" fontId="0" fillId="0" borderId="0" xfId="0" applyBorder="1"/>
    <xf numFmtId="0" fontId="4" fillId="0" borderId="6" xfId="0" applyFont="1" applyBorder="1"/>
    <xf numFmtId="0" fontId="4" fillId="0" borderId="0" xfId="0" applyFont="1" applyBorder="1"/>
    <xf numFmtId="0" fontId="4" fillId="0" borderId="4" xfId="0" applyFont="1" applyBorder="1"/>
    <xf numFmtId="0" fontId="4" fillId="0" borderId="7" xfId="0" applyFont="1" applyBorder="1" applyAlignment="1">
      <alignment horizontal="center"/>
    </xf>
    <xf numFmtId="0" fontId="7" fillId="0" borderId="0" xfId="0" applyFont="1"/>
    <xf numFmtId="0" fontId="8" fillId="0" borderId="0" xfId="0" applyFont="1"/>
    <xf numFmtId="0" fontId="6" fillId="0" borderId="0" xfId="0" applyFont="1" applyFill="1" applyBorder="1"/>
    <xf numFmtId="0" fontId="4" fillId="0" borderId="0" xfId="0" applyFont="1"/>
    <xf numFmtId="0" fontId="8" fillId="0" borderId="6" xfId="0" applyFont="1" applyBorder="1"/>
    <xf numFmtId="0" fontId="8" fillId="0" borderId="8" xfId="0" applyFont="1" applyBorder="1"/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8" fillId="0" borderId="10" xfId="0" applyFont="1" applyBorder="1"/>
    <xf numFmtId="0" fontId="8" fillId="0" borderId="0" xfId="0" applyFont="1" applyBorder="1"/>
    <xf numFmtId="0" fontId="4" fillId="0" borderId="0" xfId="0" applyFont="1" applyBorder="1" applyAlignment="1">
      <alignment horizontal="center"/>
    </xf>
    <xf numFmtId="0" fontId="8" fillId="0" borderId="11" xfId="0" applyFont="1" applyBorder="1"/>
    <xf numFmtId="0" fontId="9" fillId="0" borderId="0" xfId="0" applyFont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8" fillId="0" borderId="12" xfId="0" applyFont="1" applyBorder="1"/>
    <xf numFmtId="0" fontId="8" fillId="0" borderId="13" xfId="0" applyFont="1" applyBorder="1"/>
    <xf numFmtId="10" fontId="11" fillId="0" borderId="0" xfId="0" applyNumberFormat="1" applyFont="1" applyBorder="1"/>
    <xf numFmtId="0" fontId="13" fillId="0" borderId="0" xfId="0" applyFont="1" applyBorder="1"/>
    <xf numFmtId="6" fontId="14" fillId="0" borderId="0" xfId="0" applyNumberFormat="1" applyFont="1" applyBorder="1"/>
    <xf numFmtId="0" fontId="13" fillId="0" borderId="0" xfId="0" applyFont="1" applyBorder="1" applyAlignment="1">
      <alignment horizontal="center"/>
    </xf>
    <xf numFmtId="6" fontId="8" fillId="0" borderId="11" xfId="0" applyNumberFormat="1" applyFont="1" applyBorder="1"/>
    <xf numFmtId="0" fontId="4" fillId="0" borderId="12" xfId="0" applyFont="1" applyBorder="1"/>
    <xf numFmtId="5" fontId="5" fillId="0" borderId="13" xfId="0" applyNumberFormat="1" applyFont="1" applyBorder="1" applyAlignment="1">
      <alignment horizontal="right"/>
    </xf>
    <xf numFmtId="37" fontId="8" fillId="0" borderId="14" xfId="0" applyNumberFormat="1" applyFont="1" applyBorder="1"/>
    <xf numFmtId="0" fontId="8" fillId="0" borderId="13" xfId="0" applyFont="1" applyBorder="1" applyAlignment="1">
      <alignment horizontal="left"/>
    </xf>
    <xf numFmtId="0" fontId="8" fillId="0" borderId="4" xfId="0" applyFont="1" applyBorder="1"/>
    <xf numFmtId="10" fontId="8" fillId="0" borderId="0" xfId="0" applyNumberFormat="1" applyFont="1" applyBorder="1"/>
    <xf numFmtId="5" fontId="8" fillId="0" borderId="13" xfId="0" applyNumberFormat="1" applyFont="1" applyBorder="1"/>
    <xf numFmtId="0" fontId="12" fillId="0" borderId="0" xfId="0" applyFont="1" applyBorder="1" applyAlignment="1">
      <alignment horizontal="center"/>
    </xf>
    <xf numFmtId="5" fontId="17" fillId="0" borderId="13" xfId="0" applyNumberFormat="1" applyFont="1" applyBorder="1"/>
    <xf numFmtId="0" fontId="4" fillId="0" borderId="0" xfId="0" applyFont="1" applyFill="1" applyBorder="1"/>
    <xf numFmtId="5" fontId="8" fillId="0" borderId="0" xfId="0" applyNumberFormat="1" applyFont="1" applyBorder="1"/>
    <xf numFmtId="6" fontId="17" fillId="0" borderId="11" xfId="0" applyNumberFormat="1" applyFont="1" applyBorder="1"/>
    <xf numFmtId="6" fontId="8" fillId="0" borderId="0" xfId="0" applyNumberFormat="1" applyFont="1" applyBorder="1"/>
    <xf numFmtId="10" fontId="8" fillId="0" borderId="0" xfId="0" applyNumberFormat="1" applyFont="1"/>
    <xf numFmtId="37" fontId="8" fillId="0" borderId="11" xfId="0" applyNumberFormat="1" applyFont="1" applyBorder="1"/>
    <xf numFmtId="0" fontId="8" fillId="0" borderId="0" xfId="0" applyFont="1" applyBorder="1" applyAlignment="1">
      <alignment horizontal="centerContinuous"/>
    </xf>
    <xf numFmtId="0" fontId="12" fillId="0" borderId="0" xfId="0" applyFont="1" applyBorder="1"/>
    <xf numFmtId="0" fontId="8" fillId="0" borderId="0" xfId="0" applyFont="1" applyBorder="1" applyAlignment="1">
      <alignment horizontal="right"/>
    </xf>
    <xf numFmtId="0" fontId="8" fillId="0" borderId="6" xfId="0" applyFont="1" applyBorder="1" applyAlignment="1">
      <alignment horizontal="centerContinuous"/>
    </xf>
    <xf numFmtId="10" fontId="15" fillId="0" borderId="0" xfId="0" applyNumberFormat="1" applyFont="1" applyBorder="1"/>
    <xf numFmtId="10" fontId="15" fillId="0" borderId="0" xfId="0" applyNumberFormat="1" applyFont="1" applyBorder="1" applyAlignment="1">
      <alignment horizontal="center"/>
    </xf>
    <xf numFmtId="0" fontId="8" fillId="0" borderId="15" xfId="0" applyFont="1" applyBorder="1"/>
    <xf numFmtId="0" fontId="8" fillId="0" borderId="16" xfId="0" applyFont="1" applyBorder="1"/>
    <xf numFmtId="10" fontId="8" fillId="0" borderId="16" xfId="0" applyNumberFormat="1" applyFont="1" applyBorder="1"/>
    <xf numFmtId="5" fontId="8" fillId="0" borderId="16" xfId="0" applyNumberFormat="1" applyFont="1" applyBorder="1"/>
    <xf numFmtId="5" fontId="8" fillId="0" borderId="17" xfId="0" applyNumberFormat="1" applyFont="1" applyBorder="1"/>
    <xf numFmtId="0" fontId="8" fillId="0" borderId="0" xfId="0" applyFont="1" applyFill="1" applyBorder="1"/>
    <xf numFmtId="0" fontId="11" fillId="0" borderId="0" xfId="0" applyFont="1" applyFill="1" applyBorder="1"/>
    <xf numFmtId="0" fontId="8" fillId="0" borderId="0" xfId="0" applyFont="1" applyBorder="1" applyAlignment="1">
      <alignment horizontal="center"/>
    </xf>
    <xf numFmtId="0" fontId="8" fillId="0" borderId="0" xfId="0" applyNumberFormat="1" applyFont="1" applyBorder="1" applyAlignment="1">
      <alignment horizontal="center"/>
    </xf>
    <xf numFmtId="5" fontId="8" fillId="0" borderId="11" xfId="0" applyNumberFormat="1" applyFont="1" applyBorder="1"/>
    <xf numFmtId="0" fontId="8" fillId="0" borderId="0" xfId="0" applyFont="1" applyAlignment="1">
      <alignment horizontal="centerContinuous"/>
    </xf>
    <xf numFmtId="5" fontId="8" fillId="0" borderId="4" xfId="0" applyNumberFormat="1" applyFont="1" applyBorder="1"/>
    <xf numFmtId="10" fontId="8" fillId="0" borderId="4" xfId="0" applyNumberFormat="1" applyFont="1" applyBorder="1"/>
    <xf numFmtId="5" fontId="8" fillId="0" borderId="18" xfId="0" applyNumberFormat="1" applyFont="1" applyBorder="1"/>
    <xf numFmtId="10" fontId="8" fillId="0" borderId="0" xfId="0" applyNumberFormat="1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0" fontId="8" fillId="0" borderId="14" xfId="0" applyFont="1" applyBorder="1"/>
    <xf numFmtId="37" fontId="8" fillId="0" borderId="0" xfId="0" applyNumberFormat="1" applyFont="1" applyBorder="1"/>
    <xf numFmtId="37" fontId="23" fillId="0" borderId="0" xfId="0" applyNumberFormat="1" applyFont="1" applyBorder="1"/>
    <xf numFmtId="10" fontId="8" fillId="0" borderId="0" xfId="17" applyNumberFormat="1" applyFont="1" applyBorder="1"/>
    <xf numFmtId="0" fontId="12" fillId="0" borderId="10" xfId="0" applyFont="1" applyBorder="1"/>
    <xf numFmtId="10" fontId="12" fillId="0" borderId="0" xfId="17" applyNumberFormat="1" applyFont="1" applyBorder="1"/>
    <xf numFmtId="0" fontId="12" fillId="0" borderId="0" xfId="0" applyFont="1"/>
    <xf numFmtId="10" fontId="17" fillId="0" borderId="0" xfId="0" applyNumberFormat="1" applyFont="1" applyBorder="1"/>
    <xf numFmtId="37" fontId="17" fillId="0" borderId="0" xfId="0" applyNumberFormat="1" applyFont="1" applyBorder="1"/>
    <xf numFmtId="37" fontId="4" fillId="0" borderId="0" xfId="0" applyNumberFormat="1" applyFont="1" applyBorder="1"/>
    <xf numFmtId="37" fontId="8" fillId="0" borderId="0" xfId="0" quotePrefix="1" applyNumberFormat="1" applyFont="1" applyBorder="1"/>
    <xf numFmtId="0" fontId="17" fillId="0" borderId="0" xfId="0" applyFont="1"/>
    <xf numFmtId="37" fontId="8" fillId="0" borderId="0" xfId="3" applyNumberFormat="1" applyFont="1" applyBorder="1"/>
    <xf numFmtId="10" fontId="8" fillId="0" borderId="0" xfId="3" applyNumberFormat="1" applyFont="1" applyBorder="1"/>
    <xf numFmtId="37" fontId="8" fillId="0" borderId="4" xfId="3" applyNumberFormat="1" applyFont="1" applyBorder="1"/>
    <xf numFmtId="0" fontId="8" fillId="0" borderId="0" xfId="0" quotePrefix="1" applyFont="1" applyBorder="1" applyAlignment="1">
      <alignment horizontal="center"/>
    </xf>
    <xf numFmtId="37" fontId="8" fillId="0" borderId="0" xfId="0" applyNumberFormat="1" applyFont="1"/>
    <xf numFmtId="0" fontId="23" fillId="0" borderId="0" xfId="0" applyFont="1"/>
    <xf numFmtId="0" fontId="4" fillId="0" borderId="8" xfId="0" applyFont="1" applyBorder="1"/>
    <xf numFmtId="0" fontId="4" fillId="0" borderId="16" xfId="0" applyFont="1" applyBorder="1"/>
    <xf numFmtId="37" fontId="8" fillId="0" borderId="19" xfId="0" applyNumberFormat="1" applyFont="1" applyBorder="1"/>
    <xf numFmtId="37" fontId="8" fillId="0" borderId="4" xfId="0" applyNumberFormat="1" applyFont="1" applyBorder="1"/>
    <xf numFmtId="0" fontId="8" fillId="0" borderId="20" xfId="0" applyFont="1" applyBorder="1" applyAlignment="1">
      <alignment horizontal="centerContinuous"/>
    </xf>
    <xf numFmtId="0" fontId="12" fillId="0" borderId="4" xfId="0" applyFont="1" applyBorder="1"/>
    <xf numFmtId="0" fontId="4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5" fontId="8" fillId="0" borderId="10" xfId="0" applyNumberFormat="1" applyFont="1" applyBorder="1"/>
    <xf numFmtId="5" fontId="8" fillId="0" borderId="21" xfId="0" applyNumberFormat="1" applyFont="1" applyBorder="1"/>
    <xf numFmtId="0" fontId="8" fillId="0" borderId="11" xfId="0" applyFont="1" applyBorder="1" applyAlignment="1">
      <alignment horizontal="center"/>
    </xf>
    <xf numFmtId="0" fontId="17" fillId="0" borderId="0" xfId="0" applyFont="1" applyBorder="1" applyAlignment="1">
      <alignment horizontal="center"/>
    </xf>
    <xf numFmtId="37" fontId="8" fillId="0" borderId="10" xfId="0" applyNumberFormat="1" applyFont="1" applyBorder="1"/>
    <xf numFmtId="37" fontId="12" fillId="0" borderId="14" xfId="0" applyNumberFormat="1" applyFont="1" applyBorder="1"/>
    <xf numFmtId="0" fontId="4" fillId="0" borderId="14" xfId="0" applyFont="1" applyBorder="1" applyAlignment="1">
      <alignment horizontal="center"/>
    </xf>
    <xf numFmtId="0" fontId="4" fillId="0" borderId="0" xfId="0" applyFont="1" applyBorder="1" applyAlignment="1">
      <alignment horizontal="centerContinuous"/>
    </xf>
    <xf numFmtId="0" fontId="4" fillId="0" borderId="11" xfId="0" applyFont="1" applyBorder="1" applyAlignment="1">
      <alignment horizontal="centerContinuous"/>
    </xf>
    <xf numFmtId="10" fontId="8" fillId="0" borderId="10" xfId="0" applyNumberFormat="1" applyFont="1" applyBorder="1"/>
    <xf numFmtId="10" fontId="8" fillId="0" borderId="0" xfId="17" applyNumberFormat="1" applyFont="1" applyBorder="1" applyAlignment="1">
      <alignment horizontal="centerContinuous"/>
    </xf>
    <xf numFmtId="0" fontId="8" fillId="0" borderId="11" xfId="0" applyFont="1" applyBorder="1" applyAlignment="1">
      <alignment horizontal="centerContinuous"/>
    </xf>
    <xf numFmtId="5" fontId="8" fillId="0" borderId="0" xfId="0" applyNumberFormat="1" applyFont="1" applyBorder="1" applyAlignment="1">
      <alignment horizontal="right"/>
    </xf>
    <xf numFmtId="0" fontId="4" fillId="0" borderId="10" xfId="0" applyFont="1" applyBorder="1" applyAlignment="1">
      <alignment horizontal="centerContinuous"/>
    </xf>
    <xf numFmtId="0" fontId="13" fillId="0" borderId="0" xfId="0" applyFont="1" applyBorder="1" applyAlignment="1">
      <alignment horizontal="left"/>
    </xf>
    <xf numFmtId="10" fontId="17" fillId="0" borderId="10" xfId="0" applyNumberFormat="1" applyFont="1" applyBorder="1"/>
    <xf numFmtId="6" fontId="8" fillId="0" borderId="10" xfId="0" applyNumberFormat="1" applyFont="1" applyBorder="1"/>
    <xf numFmtId="10" fontId="8" fillId="0" borderId="10" xfId="17" applyNumberFormat="1" applyFont="1" applyBorder="1"/>
    <xf numFmtId="0" fontId="0" fillId="0" borderId="11" xfId="0" applyBorder="1"/>
    <xf numFmtId="0" fontId="8" fillId="0" borderId="0" xfId="0" quotePrefix="1" applyFont="1" applyBorder="1" applyAlignment="1">
      <alignment horizontal="right"/>
    </xf>
    <xf numFmtId="9" fontId="8" fillId="0" borderId="0" xfId="0" applyNumberFormat="1" applyFont="1" applyBorder="1"/>
    <xf numFmtId="1" fontId="8" fillId="0" borderId="0" xfId="0" applyNumberFormat="1" applyFont="1" applyBorder="1"/>
    <xf numFmtId="5" fontId="25" fillId="0" borderId="4" xfId="0" applyNumberFormat="1" applyFont="1" applyBorder="1"/>
    <xf numFmtId="0" fontId="0" fillId="0" borderId="0" xfId="0" applyBorder="1" applyAlignment="1">
      <alignment horizontal="center"/>
    </xf>
    <xf numFmtId="5" fontId="8" fillId="0" borderId="0" xfId="0" applyNumberFormat="1" applyFont="1" applyBorder="1" applyAlignment="1">
      <alignment horizontal="center"/>
    </xf>
    <xf numFmtId="0" fontId="30" fillId="0" borderId="0" xfId="0" applyFont="1" applyAlignment="1"/>
    <xf numFmtId="0" fontId="30" fillId="0" borderId="0" xfId="0" applyFont="1" applyAlignment="1">
      <alignment horizontal="centerContinuous"/>
    </xf>
    <xf numFmtId="0" fontId="29" fillId="0" borderId="0" xfId="0" applyFont="1" applyBorder="1"/>
    <xf numFmtId="0" fontId="31" fillId="0" borderId="0" xfId="0" applyFont="1" applyBorder="1"/>
    <xf numFmtId="0" fontId="33" fillId="0" borderId="0" xfId="0" applyFont="1"/>
    <xf numFmtId="0" fontId="4" fillId="9" borderId="22" xfId="0" applyFont="1" applyFill="1" applyBorder="1"/>
    <xf numFmtId="0" fontId="9" fillId="0" borderId="8" xfId="0" applyFont="1" applyBorder="1" applyAlignment="1">
      <alignment horizontal="right"/>
    </xf>
    <xf numFmtId="0" fontId="8" fillId="0" borderId="9" xfId="0" applyFont="1" applyBorder="1"/>
    <xf numFmtId="0" fontId="12" fillId="0" borderId="13" xfId="0" applyFont="1" applyBorder="1"/>
    <xf numFmtId="0" fontId="12" fillId="0" borderId="13" xfId="0" applyFont="1" applyBorder="1" applyAlignment="1">
      <alignment horizontal="left"/>
    </xf>
    <xf numFmtId="0" fontId="8" fillId="0" borderId="17" xfId="0" applyFont="1" applyBorder="1"/>
    <xf numFmtId="0" fontId="8" fillId="0" borderId="23" xfId="0" applyFont="1" applyBorder="1"/>
    <xf numFmtId="0" fontId="22" fillId="0" borderId="12" xfId="0" applyFont="1" applyBorder="1"/>
    <xf numFmtId="0" fontId="9" fillId="0" borderId="12" xfId="0" applyFont="1" applyBorder="1"/>
    <xf numFmtId="0" fontId="11" fillId="0" borderId="13" xfId="0" applyFont="1" applyBorder="1"/>
    <xf numFmtId="0" fontId="8" fillId="0" borderId="24" xfId="0" applyFont="1" applyBorder="1"/>
    <xf numFmtId="0" fontId="8" fillId="0" borderId="8" xfId="0" applyFont="1" applyBorder="1" applyAlignment="1">
      <alignment horizontal="centerContinuous"/>
    </xf>
    <xf numFmtId="0" fontId="34" fillId="0" borderId="12" xfId="0" applyFont="1" applyBorder="1"/>
    <xf numFmtId="0" fontId="9" fillId="0" borderId="13" xfId="0" applyFont="1" applyBorder="1" applyAlignment="1">
      <alignment horizontal="right"/>
    </xf>
    <xf numFmtId="7" fontId="8" fillId="0" borderId="0" xfId="0" applyNumberFormat="1" applyFont="1" applyBorder="1" applyAlignment="1">
      <alignment horizontal="centerContinuous"/>
    </xf>
    <xf numFmtId="10" fontId="8" fillId="0" borderId="13" xfId="0" applyNumberFormat="1" applyFont="1" applyBorder="1"/>
    <xf numFmtId="0" fontId="12" fillId="0" borderId="8" xfId="0" applyFont="1" applyBorder="1" applyAlignment="1">
      <alignment horizontal="right"/>
    </xf>
    <xf numFmtId="0" fontId="22" fillId="0" borderId="0" xfId="0" applyFont="1" applyBorder="1" applyAlignment="1">
      <alignment horizontal="right"/>
    </xf>
    <xf numFmtId="39" fontId="8" fillId="0" borderId="0" xfId="0" applyNumberFormat="1" applyFont="1" applyBorder="1"/>
    <xf numFmtId="0" fontId="8" fillId="0" borderId="12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39" fontId="8" fillId="0" borderId="16" xfId="0" applyNumberFormat="1" applyFont="1" applyBorder="1"/>
    <xf numFmtId="5" fontId="17" fillId="0" borderId="0" xfId="0" applyNumberFormat="1" applyFont="1" applyBorder="1"/>
    <xf numFmtId="0" fontId="8" fillId="0" borderId="0" xfId="0" applyFont="1" applyBorder="1" applyAlignment="1"/>
    <xf numFmtId="0" fontId="8" fillId="0" borderId="13" xfId="0" applyFont="1" applyBorder="1" applyAlignment="1">
      <alignment horizontal="centerContinuous"/>
    </xf>
    <xf numFmtId="0" fontId="8" fillId="0" borderId="16" xfId="0" applyFont="1" applyBorder="1" applyAlignment="1">
      <alignment horizontal="centerContinuous"/>
    </xf>
    <xf numFmtId="0" fontId="4" fillId="0" borderId="8" xfId="0" applyFont="1" applyBorder="1" applyAlignment="1">
      <alignment horizontal="right"/>
    </xf>
    <xf numFmtId="0" fontId="13" fillId="0" borderId="16" xfId="0" applyFont="1" applyBorder="1"/>
    <xf numFmtId="5" fontId="8" fillId="0" borderId="0" xfId="0" applyNumberFormat="1" applyFont="1" applyFill="1" applyBorder="1" applyAlignment="1">
      <alignment horizontal="center"/>
    </xf>
    <xf numFmtId="0" fontId="8" fillId="0" borderId="13" xfId="0" applyFont="1" applyBorder="1" applyAlignment="1">
      <alignment horizontal="center"/>
    </xf>
    <xf numFmtId="0" fontId="8" fillId="0" borderId="12" xfId="0" applyFont="1" applyFill="1" applyBorder="1"/>
    <xf numFmtId="0" fontId="8" fillId="0" borderId="13" xfId="0" applyFont="1" applyFill="1" applyBorder="1" applyAlignment="1">
      <alignment horizontal="right"/>
    </xf>
    <xf numFmtId="0" fontId="8" fillId="0" borderId="13" xfId="0" applyFont="1" applyFill="1" applyBorder="1" applyAlignment="1">
      <alignment horizontal="center"/>
    </xf>
    <xf numFmtId="0" fontId="8" fillId="0" borderId="15" xfId="0" applyFont="1" applyFill="1" applyBorder="1"/>
    <xf numFmtId="0" fontId="8" fillId="0" borderId="16" xfId="0" applyFont="1" applyFill="1" applyBorder="1"/>
    <xf numFmtId="5" fontId="16" fillId="0" borderId="16" xfId="0" applyNumberFormat="1" applyFont="1" applyFill="1" applyBorder="1" applyAlignment="1">
      <alignment horizontal="center"/>
    </xf>
    <xf numFmtId="0" fontId="8" fillId="0" borderId="17" xfId="0" applyFont="1" applyFill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9" fillId="0" borderId="9" xfId="0" applyFont="1" applyBorder="1" applyAlignment="1">
      <alignment horizontal="right"/>
    </xf>
    <xf numFmtId="0" fontId="9" fillId="0" borderId="13" xfId="0" applyFont="1" applyBorder="1" applyAlignment="1">
      <alignment horizontal="center"/>
    </xf>
    <xf numFmtId="49" fontId="8" fillId="0" borderId="0" xfId="0" applyNumberFormat="1" applyFont="1" applyBorder="1"/>
    <xf numFmtId="49" fontId="8" fillId="0" borderId="0" xfId="0" applyNumberFormat="1" applyFont="1" applyBorder="1" applyAlignment="1">
      <alignment horizontal="center"/>
    </xf>
    <xf numFmtId="0" fontId="4" fillId="9" borderId="25" xfId="0" applyFont="1" applyFill="1" applyBorder="1"/>
    <xf numFmtId="5" fontId="15" fillId="0" borderId="0" xfId="0" applyNumberFormat="1" applyFont="1" applyBorder="1"/>
    <xf numFmtId="5" fontId="8" fillId="0" borderId="0" xfId="0" applyNumberFormat="1" applyFont="1" applyBorder="1" applyAlignment="1"/>
    <xf numFmtId="5" fontId="4" fillId="0" borderId="0" xfId="0" applyNumberFormat="1" applyFont="1" applyFill="1" applyBorder="1" applyAlignment="1"/>
    <xf numFmtId="5" fontId="8" fillId="0" borderId="0" xfId="0" applyNumberFormat="1" applyFont="1" applyFill="1" applyBorder="1" applyAlignment="1"/>
    <xf numFmtId="0" fontId="9" fillId="0" borderId="0" xfId="0" applyFont="1" applyBorder="1" applyAlignment="1">
      <alignment horizontal="right"/>
    </xf>
    <xf numFmtId="5" fontId="17" fillId="0" borderId="0" xfId="0" applyNumberFormat="1" applyFont="1" applyBorder="1" applyAlignment="1"/>
    <xf numFmtId="0" fontId="4" fillId="0" borderId="26" xfId="0" applyFont="1" applyBorder="1"/>
    <xf numFmtId="6" fontId="4" fillId="0" borderId="26" xfId="0" applyNumberFormat="1" applyFont="1" applyBorder="1"/>
    <xf numFmtId="0" fontId="8" fillId="0" borderId="26" xfId="0" applyFont="1" applyBorder="1"/>
    <xf numFmtId="5" fontId="4" fillId="0" borderId="26" xfId="0" applyNumberFormat="1" applyFont="1" applyBorder="1" applyAlignment="1"/>
    <xf numFmtId="0" fontId="10" fillId="0" borderId="8" xfId="0" applyFont="1" applyBorder="1" applyAlignment="1">
      <alignment horizontal="right"/>
    </xf>
    <xf numFmtId="0" fontId="4" fillId="0" borderId="12" xfId="0" applyFont="1" applyFill="1" applyBorder="1"/>
    <xf numFmtId="0" fontId="4" fillId="0" borderId="27" xfId="0" applyFont="1" applyBorder="1"/>
    <xf numFmtId="0" fontId="4" fillId="0" borderId="28" xfId="0" applyFont="1" applyBorder="1"/>
    <xf numFmtId="0" fontId="8" fillId="0" borderId="29" xfId="0" applyFont="1" applyBorder="1"/>
    <xf numFmtId="7" fontId="4" fillId="0" borderId="29" xfId="0" applyNumberFormat="1" applyFont="1" applyBorder="1" applyAlignment="1"/>
    <xf numFmtId="0" fontId="8" fillId="0" borderId="30" xfId="0" applyFont="1" applyBorder="1" applyAlignment="1">
      <alignment horizontal="right"/>
    </xf>
    <xf numFmtId="0" fontId="9" fillId="0" borderId="31" xfId="0" applyFont="1" applyBorder="1" applyAlignment="1">
      <alignment horizontal="right"/>
    </xf>
    <xf numFmtId="5" fontId="8" fillId="0" borderId="31" xfId="0" applyNumberFormat="1" applyFont="1" applyBorder="1" applyAlignment="1"/>
    <xf numFmtId="5" fontId="4" fillId="0" borderId="31" xfId="0" applyNumberFormat="1" applyFont="1" applyFill="1" applyBorder="1" applyAlignment="1"/>
    <xf numFmtId="5" fontId="8" fillId="0" borderId="31" xfId="0" applyNumberFormat="1" applyFont="1" applyFill="1" applyBorder="1" applyAlignment="1"/>
    <xf numFmtId="5" fontId="4" fillId="0" borderId="32" xfId="0" applyNumberFormat="1" applyFont="1" applyBorder="1" applyAlignment="1"/>
    <xf numFmtId="7" fontId="4" fillId="0" borderId="33" xfId="0" applyNumberFormat="1" applyFont="1" applyBorder="1" applyAlignment="1"/>
    <xf numFmtId="5" fontId="16" fillId="0" borderId="17" xfId="0" applyNumberFormat="1" applyFont="1" applyBorder="1" applyAlignment="1">
      <alignment horizontal="center"/>
    </xf>
    <xf numFmtId="0" fontId="8" fillId="0" borderId="0" xfId="0" applyFont="1" applyFill="1" applyBorder="1" applyAlignment="1"/>
    <xf numFmtId="5" fontId="8" fillId="0" borderId="34" xfId="0" applyNumberFormat="1" applyFont="1" applyBorder="1"/>
    <xf numFmtId="0" fontId="34" fillId="0" borderId="0" xfId="0" applyFont="1" applyBorder="1" applyAlignment="1">
      <alignment horizontal="center"/>
    </xf>
    <xf numFmtId="0" fontId="8" fillId="0" borderId="8" xfId="0" applyFont="1" applyBorder="1" applyAlignment="1"/>
    <xf numFmtId="0" fontId="8" fillId="0" borderId="23" xfId="0" applyFont="1" applyBorder="1" applyAlignment="1"/>
    <xf numFmtId="0" fontId="8" fillId="0" borderId="23" xfId="0" applyFont="1" applyFill="1" applyBorder="1" applyAlignment="1"/>
    <xf numFmtId="5" fontId="8" fillId="0" borderId="23" xfId="0" applyNumberFormat="1" applyFont="1" applyBorder="1" applyAlignment="1"/>
    <xf numFmtId="10" fontId="8" fillId="0" borderId="23" xfId="0" applyNumberFormat="1" applyFont="1" applyBorder="1" applyAlignment="1">
      <alignment horizontal="center"/>
    </xf>
    <xf numFmtId="10" fontId="12" fillId="0" borderId="0" xfId="0" applyNumberFormat="1" applyFont="1" applyBorder="1" applyAlignment="1">
      <alignment horizontal="center"/>
    </xf>
    <xf numFmtId="0" fontId="8" fillId="0" borderId="12" xfId="0" applyFont="1" applyBorder="1" applyAlignment="1"/>
    <xf numFmtId="0" fontId="8" fillId="0" borderId="35" xfId="0" applyFont="1" applyBorder="1"/>
    <xf numFmtId="0" fontId="8" fillId="0" borderId="36" xfId="0" applyFont="1" applyBorder="1"/>
    <xf numFmtId="9" fontId="8" fillId="0" borderId="0" xfId="0" applyNumberFormat="1" applyFont="1" applyBorder="1" applyAlignment="1">
      <alignment horizontal="center"/>
    </xf>
    <xf numFmtId="10" fontId="8" fillId="0" borderId="13" xfId="0" applyNumberFormat="1" applyFont="1" applyBorder="1" applyAlignment="1">
      <alignment horizontal="center"/>
    </xf>
    <xf numFmtId="10" fontId="4" fillId="0" borderId="0" xfId="0" applyNumberFormat="1" applyFont="1" applyBorder="1" applyAlignment="1">
      <alignment horizontal="center"/>
    </xf>
    <xf numFmtId="0" fontId="4" fillId="0" borderId="37" xfId="0" applyFont="1" applyBorder="1" applyAlignment="1">
      <alignment horizontal="centerContinuous"/>
    </xf>
    <xf numFmtId="38" fontId="4" fillId="0" borderId="38" xfId="0" applyNumberFormat="1" applyFont="1" applyBorder="1" applyAlignment="1">
      <alignment horizontal="centerContinuous"/>
    </xf>
    <xf numFmtId="0" fontId="4" fillId="0" borderId="39" xfId="0" applyFont="1" applyBorder="1" applyAlignment="1">
      <alignment horizontal="center"/>
    </xf>
    <xf numFmtId="0" fontId="4" fillId="0" borderId="40" xfId="0" applyFont="1" applyBorder="1" applyAlignment="1">
      <alignment horizontal="center"/>
    </xf>
    <xf numFmtId="0" fontId="8" fillId="0" borderId="34" xfId="0" applyFont="1" applyBorder="1" applyAlignment="1"/>
    <xf numFmtId="0" fontId="8" fillId="0" borderId="31" xfId="0" applyFont="1" applyBorder="1" applyAlignment="1"/>
    <xf numFmtId="0" fontId="8" fillId="0" borderId="41" xfId="0" applyFont="1" applyBorder="1"/>
    <xf numFmtId="0" fontId="8" fillId="0" borderId="42" xfId="0" applyFont="1" applyBorder="1"/>
    <xf numFmtId="0" fontId="4" fillId="0" borderId="43" xfId="0" applyFont="1" applyBorder="1" applyAlignment="1">
      <alignment horizontal="center"/>
    </xf>
    <xf numFmtId="5" fontId="4" fillId="0" borderId="4" xfId="0" applyNumberFormat="1" applyFont="1" applyBorder="1"/>
    <xf numFmtId="10" fontId="8" fillId="0" borderId="0" xfId="17" applyNumberFormat="1" applyFont="1" applyBorder="1" applyAlignment="1">
      <alignment horizontal="center"/>
    </xf>
    <xf numFmtId="0" fontId="4" fillId="0" borderId="16" xfId="0" applyFont="1" applyBorder="1" applyAlignment="1">
      <alignment horizontal="right"/>
    </xf>
    <xf numFmtId="0" fontId="36" fillId="0" borderId="0" xfId="0" applyFont="1" applyBorder="1"/>
    <xf numFmtId="5" fontId="19" fillId="0" borderId="0" xfId="0" applyNumberFormat="1" applyFont="1" applyBorder="1"/>
    <xf numFmtId="0" fontId="15" fillId="0" borderId="0" xfId="0" applyFont="1" applyBorder="1" applyAlignment="1">
      <alignment horizontal="centerContinuous"/>
    </xf>
    <xf numFmtId="10" fontId="15" fillId="0" borderId="0" xfId="0" applyNumberFormat="1" applyFont="1" applyFill="1" applyBorder="1" applyAlignment="1">
      <alignment horizontal="center"/>
    </xf>
    <xf numFmtId="0" fontId="8" fillId="0" borderId="0" xfId="0" applyNumberFormat="1" applyFont="1" applyBorder="1"/>
    <xf numFmtId="0" fontId="12" fillId="0" borderId="0" xfId="0" applyFont="1" applyBorder="1" applyAlignment="1"/>
    <xf numFmtId="10" fontId="12" fillId="0" borderId="0" xfId="0" applyNumberFormat="1" applyFont="1" applyBorder="1"/>
    <xf numFmtId="5" fontId="25" fillId="0" borderId="0" xfId="0" applyNumberFormat="1" applyFont="1" applyBorder="1"/>
    <xf numFmtId="5" fontId="8" fillId="0" borderId="0" xfId="0" applyNumberFormat="1" applyFont="1" applyFill="1" applyBorder="1"/>
    <xf numFmtId="5" fontId="24" fillId="0" borderId="0" xfId="0" applyNumberFormat="1" applyFont="1" applyBorder="1"/>
    <xf numFmtId="5" fontId="4" fillId="0" borderId="0" xfId="0" applyNumberFormat="1" applyFont="1" applyBorder="1"/>
    <xf numFmtId="9" fontId="8" fillId="0" borderId="0" xfId="17" applyFont="1" applyBorder="1"/>
    <xf numFmtId="5" fontId="16" fillId="0" borderId="0" xfId="0" applyNumberFormat="1" applyFont="1" applyBorder="1"/>
    <xf numFmtId="5" fontId="26" fillId="0" borderId="0" xfId="0" applyNumberFormat="1" applyFont="1" applyBorder="1"/>
    <xf numFmtId="0" fontId="17" fillId="0" borderId="0" xfId="0" applyNumberFormat="1" applyFont="1" applyBorder="1"/>
    <xf numFmtId="0" fontId="4" fillId="0" borderId="0" xfId="0" applyNumberFormat="1" applyFont="1" applyBorder="1"/>
    <xf numFmtId="37" fontId="8" fillId="0" borderId="14" xfId="0" applyNumberFormat="1" applyFont="1" applyBorder="1" applyAlignment="1">
      <alignment horizontal="center"/>
    </xf>
    <xf numFmtId="0" fontId="4" fillId="0" borderId="16" xfId="0" applyNumberFormat="1" applyFont="1" applyBorder="1"/>
    <xf numFmtId="0" fontId="8" fillId="9" borderId="44" xfId="0" applyFont="1" applyFill="1" applyBorder="1"/>
    <xf numFmtId="0" fontId="8" fillId="9" borderId="45" xfId="0" applyFont="1" applyFill="1" applyBorder="1"/>
    <xf numFmtId="0" fontId="0" fillId="9" borderId="45" xfId="0" applyFill="1" applyBorder="1"/>
    <xf numFmtId="0" fontId="17" fillId="9" borderId="45" xfId="0" applyFont="1" applyFill="1" applyBorder="1" applyAlignment="1">
      <alignment horizontal="centerContinuous"/>
    </xf>
    <xf numFmtId="0" fontId="8" fillId="9" borderId="45" xfId="0" applyFont="1" applyFill="1" applyBorder="1" applyAlignment="1">
      <alignment horizontal="centerContinuous"/>
    </xf>
    <xf numFmtId="0" fontId="8" fillId="9" borderId="46" xfId="0" applyFont="1" applyFill="1" applyBorder="1"/>
    <xf numFmtId="0" fontId="8" fillId="9" borderId="0" xfId="0" applyFont="1" applyFill="1" applyBorder="1"/>
    <xf numFmtId="0" fontId="0" fillId="9" borderId="0" xfId="0" applyFill="1" applyBorder="1"/>
    <xf numFmtId="0" fontId="9" fillId="9" borderId="0" xfId="0" applyFont="1" applyFill="1" applyBorder="1" applyAlignment="1">
      <alignment horizontal="center"/>
    </xf>
    <xf numFmtId="0" fontId="4" fillId="9" borderId="47" xfId="0" applyFont="1" applyFill="1" applyBorder="1" applyAlignment="1">
      <alignment horizontal="centerContinuous"/>
    </xf>
    <xf numFmtId="0" fontId="9" fillId="9" borderId="48" xfId="0" applyFont="1" applyFill="1" applyBorder="1" applyAlignment="1">
      <alignment horizontal="center"/>
    </xf>
    <xf numFmtId="0" fontId="4" fillId="9" borderId="44" xfId="0" applyFont="1" applyFill="1" applyBorder="1"/>
    <xf numFmtId="0" fontId="4" fillId="9" borderId="45" xfId="0" applyFont="1" applyFill="1" applyBorder="1"/>
    <xf numFmtId="0" fontId="9" fillId="9" borderId="49" xfId="0" applyFont="1" applyFill="1" applyBorder="1"/>
    <xf numFmtId="0" fontId="8" fillId="9" borderId="50" xfId="0" applyFont="1" applyFill="1" applyBorder="1"/>
    <xf numFmtId="0" fontId="17" fillId="9" borderId="50" xfId="0" applyFont="1" applyFill="1" applyBorder="1"/>
    <xf numFmtId="38" fontId="33" fillId="0" borderId="0" xfId="0" applyNumberFormat="1" applyFont="1"/>
    <xf numFmtId="0" fontId="4" fillId="9" borderId="46" xfId="0" applyFont="1" applyFill="1" applyBorder="1"/>
    <xf numFmtId="5" fontId="8" fillId="0" borderId="0" xfId="3" applyNumberFormat="1" applyFont="1" applyBorder="1"/>
    <xf numFmtId="0" fontId="7" fillId="0" borderId="0" xfId="0" applyFont="1" applyBorder="1"/>
    <xf numFmtId="0" fontId="33" fillId="0" borderId="0" xfId="0" applyFont="1" applyBorder="1"/>
    <xf numFmtId="0" fontId="4" fillId="9" borderId="51" xfId="0" applyFont="1" applyFill="1" applyBorder="1"/>
    <xf numFmtId="3" fontId="8" fillId="0" borderId="0" xfId="0" applyNumberFormat="1" applyFont="1" applyBorder="1"/>
    <xf numFmtId="37" fontId="33" fillId="0" borderId="0" xfId="0" applyNumberFormat="1" applyFont="1"/>
    <xf numFmtId="5" fontId="12" fillId="0" borderId="0" xfId="0" applyNumberFormat="1" applyFont="1" applyBorder="1"/>
    <xf numFmtId="0" fontId="12" fillId="0" borderId="0" xfId="0" applyFont="1" applyBorder="1" applyAlignment="1">
      <alignment horizontal="right"/>
    </xf>
    <xf numFmtId="5" fontId="8" fillId="9" borderId="45" xfId="0" applyNumberFormat="1" applyFont="1" applyFill="1" applyBorder="1"/>
    <xf numFmtId="5" fontId="8" fillId="9" borderId="0" xfId="0" applyNumberFormat="1" applyFont="1" applyFill="1" applyBorder="1"/>
    <xf numFmtId="5" fontId="26" fillId="9" borderId="0" xfId="0" applyNumberFormat="1" applyFont="1" applyFill="1" applyBorder="1" applyProtection="1"/>
    <xf numFmtId="5" fontId="12" fillId="0" borderId="4" xfId="0" applyNumberFormat="1" applyFont="1" applyBorder="1"/>
    <xf numFmtId="0" fontId="17" fillId="0" borderId="0" xfId="0" applyFont="1" applyBorder="1"/>
    <xf numFmtId="0" fontId="9" fillId="0" borderId="16" xfId="0" applyFont="1" applyBorder="1"/>
    <xf numFmtId="17" fontId="4" fillId="0" borderId="16" xfId="0" applyNumberFormat="1" applyFont="1" applyBorder="1" applyAlignment="1"/>
    <xf numFmtId="0" fontId="8" fillId="0" borderId="10" xfId="0" applyFont="1" applyBorder="1" applyAlignment="1">
      <alignment horizontal="center"/>
    </xf>
    <xf numFmtId="0" fontId="8" fillId="0" borderId="18" xfId="0" applyFont="1" applyBorder="1" applyAlignment="1">
      <alignment horizontal="center"/>
    </xf>
    <xf numFmtId="5" fontId="4" fillId="0" borderId="0" xfId="0" applyNumberFormat="1" applyFont="1" applyFill="1" applyBorder="1"/>
    <xf numFmtId="0" fontId="0" fillId="0" borderId="16" xfId="0" applyBorder="1"/>
    <xf numFmtId="0" fontId="13" fillId="0" borderId="0" xfId="0" applyNumberFormat="1" applyFont="1" applyBorder="1" applyAlignment="1">
      <alignment horizontal="center"/>
    </xf>
    <xf numFmtId="0" fontId="8" fillId="0" borderId="0" xfId="0" applyNumberFormat="1" applyFont="1"/>
    <xf numFmtId="0" fontId="8" fillId="0" borderId="0" xfId="0" quotePrefix="1" applyNumberFormat="1" applyFont="1" applyBorder="1" applyAlignment="1">
      <alignment horizontal="right"/>
    </xf>
    <xf numFmtId="0" fontId="8" fillId="0" borderId="0" xfId="0" applyNumberFormat="1" applyFont="1" applyBorder="1" applyAlignment="1">
      <alignment horizontal="right"/>
    </xf>
    <xf numFmtId="9" fontId="12" fillId="0" borderId="0" xfId="0" applyNumberFormat="1" applyFont="1" applyBorder="1" applyAlignment="1">
      <alignment horizontal="center"/>
    </xf>
    <xf numFmtId="37" fontId="8" fillId="0" borderId="31" xfId="0" applyNumberFormat="1" applyFont="1" applyBorder="1"/>
    <xf numFmtId="0" fontId="8" fillId="0" borderId="16" xfId="0" applyFont="1" applyBorder="1" applyAlignment="1">
      <alignment horizontal="center"/>
    </xf>
    <xf numFmtId="5" fontId="11" fillId="0" borderId="0" xfId="0" applyNumberFormat="1" applyFont="1" applyBorder="1"/>
    <xf numFmtId="0" fontId="8" fillId="0" borderId="0" xfId="0" applyNumberFormat="1" applyFont="1" applyBorder="1" applyAlignment="1">
      <alignment horizontal="centerContinuous" wrapText="1"/>
    </xf>
    <xf numFmtId="0" fontId="22" fillId="0" borderId="14" xfId="0" applyFont="1" applyBorder="1"/>
    <xf numFmtId="6" fontId="17" fillId="0" borderId="0" xfId="0" applyNumberFormat="1" applyFont="1" applyBorder="1"/>
    <xf numFmtId="0" fontId="8" fillId="0" borderId="14" xfId="0" applyNumberFormat="1" applyFont="1" applyBorder="1"/>
    <xf numFmtId="0" fontId="8" fillId="0" borderId="52" xfId="0" applyFont="1" applyBorder="1" applyAlignment="1">
      <alignment horizontal="center"/>
    </xf>
    <xf numFmtId="37" fontId="8" fillId="0" borderId="10" xfId="0" applyNumberFormat="1" applyFont="1" applyBorder="1" applyAlignment="1">
      <alignment horizontal="center"/>
    </xf>
    <xf numFmtId="37" fontId="8" fillId="0" borderId="0" xfId="0" applyNumberFormat="1" applyFont="1" applyBorder="1" applyAlignment="1">
      <alignment horizontal="center"/>
    </xf>
    <xf numFmtId="37" fontId="8" fillId="0" borderId="10" xfId="0" applyNumberFormat="1" applyFont="1" applyBorder="1" applyAlignment="1">
      <alignment horizontal="right"/>
    </xf>
    <xf numFmtId="0" fontId="8" fillId="0" borderId="10" xfId="0" applyFont="1" applyBorder="1" applyAlignment="1"/>
    <xf numFmtId="37" fontId="8" fillId="0" borderId="0" xfId="0" applyNumberFormat="1" applyFont="1" applyBorder="1" applyAlignment="1">
      <alignment horizontal="right"/>
    </xf>
    <xf numFmtId="6" fontId="17" fillId="0" borderId="10" xfId="0" applyNumberFormat="1" applyFont="1" applyBorder="1"/>
    <xf numFmtId="0" fontId="0" fillId="0" borderId="0" xfId="0" applyNumberFormat="1" applyFont="1" applyBorder="1"/>
    <xf numFmtId="0" fontId="8" fillId="0" borderId="0" xfId="0" applyFont="1" applyFill="1"/>
    <xf numFmtId="0" fontId="29" fillId="0" borderId="0" xfId="14" applyFont="1" applyFill="1" applyBorder="1"/>
    <xf numFmtId="0" fontId="41" fillId="0" borderId="0" xfId="14" applyFont="1" applyFill="1" applyBorder="1"/>
    <xf numFmtId="0" fontId="8" fillId="0" borderId="0" xfId="14" applyFont="1" applyFill="1" applyBorder="1"/>
    <xf numFmtId="0" fontId="8" fillId="0" borderId="0" xfId="14" applyFont="1" applyFill="1" applyAlignment="1"/>
    <xf numFmtId="0" fontId="33" fillId="0" borderId="0" xfId="14" applyFont="1" applyFill="1" applyAlignment="1"/>
    <xf numFmtId="0" fontId="7" fillId="0" borderId="0" xfId="14" applyFont="1" applyFill="1" applyAlignment="1"/>
    <xf numFmtId="43" fontId="8" fillId="0" borderId="0" xfId="3" applyFont="1" applyFill="1" applyAlignment="1"/>
    <xf numFmtId="0" fontId="8" fillId="0" borderId="0" xfId="14" applyFont="1" applyFill="1" applyBorder="1" applyAlignment="1"/>
    <xf numFmtId="0" fontId="8" fillId="0" borderId="0" xfId="14" applyFont="1" applyFill="1"/>
    <xf numFmtId="0" fontId="31" fillId="0" borderId="0" xfId="14" applyFont="1" applyFill="1" applyBorder="1"/>
    <xf numFmtId="37" fontId="8" fillId="0" borderId="0" xfId="14" applyNumberFormat="1" applyFont="1" applyFill="1" applyAlignment="1"/>
    <xf numFmtId="6" fontId="8" fillId="0" borderId="0" xfId="14" applyNumberFormat="1" applyFont="1" applyFill="1" applyAlignment="1"/>
    <xf numFmtId="0" fontId="8" fillId="6" borderId="0" xfId="14" applyFont="1"/>
    <xf numFmtId="0" fontId="8" fillId="6" borderId="0" xfId="14" applyNumberFormat="1" applyFont="1" applyAlignment="1"/>
    <xf numFmtId="0" fontId="4" fillId="6" borderId="16" xfId="14" applyNumberFormat="1" applyFont="1" applyBorder="1" applyAlignment="1"/>
    <xf numFmtId="17" fontId="4" fillId="6" borderId="16" xfId="14" applyNumberFormat="1" applyFont="1" applyBorder="1" applyAlignment="1"/>
    <xf numFmtId="17" fontId="4" fillId="6" borderId="16" xfId="14" applyNumberFormat="1" applyFont="1" applyBorder="1" applyAlignment="1">
      <alignment horizontal="right"/>
    </xf>
    <xf numFmtId="0" fontId="8" fillId="0" borderId="0" xfId="14" applyNumberFormat="1" applyFont="1" applyFill="1" applyBorder="1" applyAlignment="1"/>
    <xf numFmtId="0" fontId="8" fillId="6" borderId="53" xfId="14" applyNumberFormat="1" applyFont="1" applyBorder="1" applyAlignment="1"/>
    <xf numFmtId="0" fontId="10" fillId="6" borderId="6" xfId="14" applyNumberFormat="1" applyFont="1" applyBorder="1" applyAlignment="1">
      <alignment horizontal="center"/>
    </xf>
    <xf numFmtId="0" fontId="8" fillId="6" borderId="20" xfId="14" applyNumberFormat="1" applyFont="1" applyBorder="1" applyAlignment="1"/>
    <xf numFmtId="0" fontId="8" fillId="6" borderId="10" xfId="14" applyNumberFormat="1" applyFont="1" applyBorder="1" applyAlignment="1"/>
    <xf numFmtId="0" fontId="10" fillId="6" borderId="0" xfId="14" applyNumberFormat="1" applyFont="1" applyBorder="1" applyAlignment="1">
      <alignment horizontal="center"/>
    </xf>
    <xf numFmtId="0" fontId="8" fillId="6" borderId="11" xfId="14" applyNumberFormat="1" applyFont="1" applyBorder="1" applyAlignment="1"/>
    <xf numFmtId="0" fontId="8" fillId="6" borderId="21" xfId="14" applyNumberFormat="1" applyFont="1" applyBorder="1" applyAlignment="1"/>
    <xf numFmtId="0" fontId="10" fillId="6" borderId="4" xfId="14" applyNumberFormat="1" applyFont="1" applyBorder="1" applyAlignment="1">
      <alignment horizontal="center"/>
    </xf>
    <xf numFmtId="0" fontId="8" fillId="6" borderId="18" xfId="14" applyNumberFormat="1" applyFont="1" applyBorder="1" applyAlignment="1"/>
    <xf numFmtId="0" fontId="8" fillId="9" borderId="45" xfId="14" applyNumberFormat="1" applyFont="1" applyFill="1" applyBorder="1" applyAlignment="1"/>
    <xf numFmtId="0" fontId="8" fillId="9" borderId="0" xfId="14" applyNumberFormat="1" applyFont="1" applyFill="1" applyBorder="1" applyAlignment="1"/>
    <xf numFmtId="10" fontId="8" fillId="9" borderId="0" xfId="17" applyNumberFormat="1" applyFont="1" applyFill="1" applyBorder="1" applyAlignment="1"/>
    <xf numFmtId="0" fontId="39" fillId="0" borderId="16" xfId="0" applyFont="1" applyBorder="1"/>
    <xf numFmtId="39" fontId="8" fillId="0" borderId="0" xfId="0" applyNumberFormat="1" applyFont="1" applyBorder="1" applyAlignment="1">
      <alignment horizontal="right"/>
    </xf>
    <xf numFmtId="0" fontId="8" fillId="0" borderId="54" xfId="0" applyFont="1" applyBorder="1"/>
    <xf numFmtId="0" fontId="8" fillId="0" borderId="55" xfId="0" applyFont="1" applyBorder="1"/>
    <xf numFmtId="0" fontId="12" fillId="0" borderId="55" xfId="0" applyFont="1" applyBorder="1" applyAlignment="1">
      <alignment horizontal="centerContinuous"/>
    </xf>
    <xf numFmtId="0" fontId="8" fillId="0" borderId="55" xfId="0" applyFont="1" applyBorder="1" applyAlignment="1">
      <alignment horizontal="centerContinuous"/>
    </xf>
    <xf numFmtId="0" fontId="0" fillId="0" borderId="11" xfId="0" applyBorder="1" applyAlignment="1">
      <alignment horizontal="center"/>
    </xf>
    <xf numFmtId="0" fontId="17" fillId="0" borderId="11" xfId="0" applyFont="1" applyBorder="1" applyAlignment="1">
      <alignment horizontal="center"/>
    </xf>
    <xf numFmtId="7" fontId="0" fillId="0" borderId="0" xfId="0" applyNumberFormat="1" applyBorder="1"/>
    <xf numFmtId="7" fontId="17" fillId="0" borderId="0" xfId="0" applyNumberFormat="1" applyFont="1" applyBorder="1" applyAlignment="1">
      <alignment horizontal="center"/>
    </xf>
    <xf numFmtId="37" fontId="0" fillId="0" borderId="0" xfId="0" applyNumberFormat="1" applyBorder="1" applyAlignment="1">
      <alignment horizontal="center"/>
    </xf>
    <xf numFmtId="7" fontId="8" fillId="0" borderId="0" xfId="0" applyNumberFormat="1" applyFont="1" applyBorder="1" applyAlignment="1">
      <alignment horizontal="center"/>
    </xf>
    <xf numFmtId="37" fontId="0" fillId="0" borderId="11" xfId="0" applyNumberFormat="1" applyBorder="1" applyAlignment="1">
      <alignment horizontal="center"/>
    </xf>
    <xf numFmtId="7" fontId="0" fillId="0" borderId="0" xfId="0" applyNumberFormat="1" applyBorder="1" applyAlignment="1">
      <alignment horizontal="center"/>
    </xf>
    <xf numFmtId="37" fontId="0" fillId="0" borderId="0" xfId="0" applyNumberFormat="1" applyBorder="1" applyAlignment="1"/>
    <xf numFmtId="5" fontId="0" fillId="0" borderId="0" xfId="0" applyNumberFormat="1" applyBorder="1" applyAlignment="1"/>
    <xf numFmtId="10" fontId="17" fillId="0" borderId="0" xfId="0" applyNumberFormat="1" applyFont="1" applyBorder="1" applyAlignment="1">
      <alignment horizontal="center"/>
    </xf>
    <xf numFmtId="0" fontId="8" fillId="0" borderId="0" xfId="15" applyFont="1" applyBorder="1"/>
    <xf numFmtId="10" fontId="8" fillId="0" borderId="11" xfId="0" applyNumberFormat="1" applyFont="1" applyBorder="1" applyAlignment="1">
      <alignment horizontal="right"/>
    </xf>
    <xf numFmtId="10" fontId="8" fillId="0" borderId="11" xfId="0" applyNumberFormat="1" applyFont="1" applyBorder="1" applyAlignment="1">
      <alignment horizontal="center"/>
    </xf>
    <xf numFmtId="0" fontId="8" fillId="0" borderId="13" xfId="0" applyNumberFormat="1" applyFont="1" applyBorder="1" applyAlignment="1">
      <alignment horizontal="center"/>
    </xf>
    <xf numFmtId="0" fontId="8" fillId="0" borderId="13" xfId="0" applyNumberFormat="1" applyFont="1" applyBorder="1"/>
    <xf numFmtId="0" fontId="46" fillId="0" borderId="0" xfId="0" applyFont="1" applyAlignment="1">
      <alignment horizontal="center"/>
    </xf>
    <xf numFmtId="10" fontId="8" fillId="0" borderId="0" xfId="0" applyNumberFormat="1" applyFont="1" applyFill="1" applyBorder="1" applyAlignment="1">
      <alignment horizontal="center"/>
    </xf>
    <xf numFmtId="7" fontId="15" fillId="0" borderId="13" xfId="0" applyNumberFormat="1" applyFont="1" applyBorder="1" applyAlignment="1">
      <alignment horizontal="center"/>
    </xf>
    <xf numFmtId="0" fontId="12" fillId="0" borderId="12" xfId="0" applyFont="1" applyBorder="1"/>
    <xf numFmtId="37" fontId="8" fillId="0" borderId="16" xfId="0" applyNumberFormat="1" applyFont="1" applyBorder="1"/>
    <xf numFmtId="5" fontId="8" fillId="0" borderId="56" xfId="0" applyNumberFormat="1" applyFont="1" applyBorder="1"/>
    <xf numFmtId="5" fontId="17" fillId="0" borderId="56" xfId="0" applyNumberFormat="1" applyFont="1" applyBorder="1"/>
    <xf numFmtId="10" fontId="8" fillId="0" borderId="0" xfId="17" applyNumberFormat="1" applyFont="1" applyBorder="1" applyAlignment="1"/>
    <xf numFmtId="0" fontId="8" fillId="0" borderId="11" xfId="0" applyFont="1" applyBorder="1" applyAlignment="1"/>
    <xf numFmtId="7" fontId="8" fillId="0" borderId="0" xfId="17" applyNumberFormat="1" applyFont="1" applyBorder="1" applyAlignment="1"/>
    <xf numFmtId="0" fontId="8" fillId="0" borderId="11" xfId="0" applyFont="1" applyBorder="1" applyAlignment="1">
      <alignment horizontal="right"/>
    </xf>
    <xf numFmtId="0" fontId="8" fillId="0" borderId="11" xfId="0" applyNumberFormat="1" applyFont="1" applyBorder="1" applyAlignment="1"/>
    <xf numFmtId="0" fontId="12" fillId="0" borderId="0" xfId="17" applyNumberFormat="1" applyFont="1" applyBorder="1" applyAlignment="1">
      <alignment horizontal="centerContinuous"/>
    </xf>
    <xf numFmtId="0" fontId="8" fillId="0" borderId="0" xfId="17" applyNumberFormat="1" applyFont="1" applyBorder="1" applyAlignment="1">
      <alignment horizontal="centerContinuous"/>
    </xf>
    <xf numFmtId="0" fontId="8" fillId="0" borderId="11" xfId="0" applyNumberFormat="1" applyFont="1" applyBorder="1" applyAlignment="1">
      <alignment horizontal="center"/>
    </xf>
    <xf numFmtId="0" fontId="47" fillId="0" borderId="0" xfId="0" applyFont="1" applyAlignment="1">
      <alignment horizontal="center"/>
    </xf>
    <xf numFmtId="0" fontId="8" fillId="9" borderId="57" xfId="0" applyFont="1" applyFill="1" applyBorder="1"/>
    <xf numFmtId="14" fontId="8" fillId="0" borderId="0" xfId="0" applyNumberFormat="1" applyFont="1" applyBorder="1" applyAlignment="1">
      <alignment horizontal="center"/>
    </xf>
    <xf numFmtId="14" fontId="8" fillId="0" borderId="10" xfId="0" applyNumberFormat="1" applyFont="1" applyBorder="1"/>
    <xf numFmtId="0" fontId="48" fillId="0" borderId="0" xfId="0" applyFont="1" applyAlignment="1">
      <alignment horizontal="center"/>
    </xf>
    <xf numFmtId="0" fontId="12" fillId="0" borderId="13" xfId="0" applyFont="1" applyBorder="1" applyAlignment="1">
      <alignment horizontal="center"/>
    </xf>
    <xf numFmtId="0" fontId="8" fillId="0" borderId="9" xfId="0" applyFont="1" applyBorder="1" applyAlignment="1"/>
    <xf numFmtId="0" fontId="8" fillId="0" borderId="13" xfId="0" applyFont="1" applyBorder="1" applyAlignment="1"/>
    <xf numFmtId="10" fontId="8" fillId="0" borderId="0" xfId="0" applyNumberFormat="1" applyFont="1" applyBorder="1" applyAlignment="1">
      <alignment horizontal="centerContinuous"/>
    </xf>
    <xf numFmtId="0" fontId="13" fillId="0" borderId="0" xfId="0" applyNumberFormat="1" applyFont="1" applyBorder="1" applyAlignment="1">
      <alignment horizontal="left"/>
    </xf>
    <xf numFmtId="0" fontId="27" fillId="0" borderId="11" xfId="0" applyNumberFormat="1" applyFont="1" applyBorder="1" applyAlignment="1"/>
    <xf numFmtId="0" fontId="49" fillId="0" borderId="0" xfId="0" applyFont="1" applyBorder="1"/>
    <xf numFmtId="9" fontId="17" fillId="0" borderId="0" xfId="17" applyFont="1" applyBorder="1"/>
    <xf numFmtId="0" fontId="17" fillId="0" borderId="10" xfId="0" applyNumberFormat="1" applyFont="1" applyBorder="1" applyAlignment="1">
      <alignment horizontal="center"/>
    </xf>
    <xf numFmtId="0" fontId="17" fillId="0" borderId="0" xfId="0" applyNumberFormat="1" applyFont="1" applyBorder="1" applyAlignment="1">
      <alignment horizontal="center"/>
    </xf>
    <xf numFmtId="0" fontId="16" fillId="0" borderId="10" xfId="0" applyFont="1" applyBorder="1"/>
    <xf numFmtId="0" fontId="8" fillId="0" borderId="15" xfId="0" applyFont="1" applyBorder="1" applyAlignment="1"/>
    <xf numFmtId="9" fontId="8" fillId="0" borderId="0" xfId="0" applyNumberFormat="1" applyFont="1" applyFill="1" applyBorder="1" applyAlignment="1">
      <alignment horizontal="center"/>
    </xf>
    <xf numFmtId="0" fontId="8" fillId="0" borderId="13" xfId="0" applyFont="1" applyBorder="1" applyAlignment="1">
      <alignment horizontal="right"/>
    </xf>
    <xf numFmtId="0" fontId="8" fillId="0" borderId="58" xfId="0" applyFont="1" applyBorder="1"/>
    <xf numFmtId="0" fontId="17" fillId="9" borderId="45" xfId="0" applyFont="1" applyFill="1" applyBorder="1" applyAlignment="1">
      <alignment horizontal="right"/>
    </xf>
    <xf numFmtId="9" fontId="8" fillId="0" borderId="16" xfId="0" applyNumberFormat="1" applyFont="1" applyBorder="1"/>
    <xf numFmtId="0" fontId="10" fillId="9" borderId="45" xfId="0" applyFont="1" applyFill="1" applyBorder="1"/>
    <xf numFmtId="0" fontId="12" fillId="0" borderId="16" xfId="0" applyFont="1" applyBorder="1"/>
    <xf numFmtId="10" fontId="8" fillId="6" borderId="0" xfId="17" applyNumberFormat="1" applyFont="1" applyFill="1" applyBorder="1" applyAlignment="1">
      <alignment horizontal="center"/>
    </xf>
    <xf numFmtId="1" fontId="8" fillId="0" borderId="4" xfId="0" applyNumberFormat="1" applyFont="1" applyBorder="1"/>
    <xf numFmtId="10" fontId="17" fillId="6" borderId="0" xfId="17" applyNumberFormat="1" applyFont="1" applyFill="1" applyBorder="1"/>
    <xf numFmtId="5" fontId="0" fillId="0" borderId="0" xfId="0" applyNumberFormat="1" applyBorder="1"/>
    <xf numFmtId="10" fontId="17" fillId="0" borderId="0" xfId="17" applyNumberFormat="1" applyFont="1" applyBorder="1"/>
    <xf numFmtId="5" fontId="4" fillId="9" borderId="0" xfId="0" applyNumberFormat="1" applyFont="1" applyFill="1" applyBorder="1"/>
    <xf numFmtId="0" fontId="9" fillId="9" borderId="45" xfId="0" applyFont="1" applyFill="1" applyBorder="1" applyAlignment="1">
      <alignment horizontal="right"/>
    </xf>
    <xf numFmtId="0" fontId="9" fillId="9" borderId="47" xfId="0" applyFont="1" applyFill="1" applyBorder="1"/>
    <xf numFmtId="0" fontId="8" fillId="9" borderId="48" xfId="0" applyFont="1" applyFill="1" applyBorder="1"/>
    <xf numFmtId="0" fontId="17" fillId="9" borderId="48" xfId="0" applyFont="1" applyFill="1" applyBorder="1"/>
    <xf numFmtId="37" fontId="0" fillId="0" borderId="11" xfId="0" applyNumberFormat="1" applyBorder="1" applyAlignment="1"/>
    <xf numFmtId="49" fontId="8" fillId="0" borderId="0" xfId="0" applyNumberFormat="1" applyFont="1" applyAlignment="1">
      <alignment horizontal="center"/>
    </xf>
    <xf numFmtId="0" fontId="8" fillId="0" borderId="59" xfId="0" applyFont="1" applyBorder="1"/>
    <xf numFmtId="17" fontId="8" fillId="0" borderId="0" xfId="0" applyNumberFormat="1" applyFont="1" applyBorder="1"/>
    <xf numFmtId="0" fontId="8" fillId="0" borderId="60" xfId="0" applyFont="1" applyBorder="1" applyAlignment="1">
      <alignment horizontal="centerContinuous"/>
    </xf>
    <xf numFmtId="0" fontId="8" fillId="0" borderId="61" xfId="0" applyFont="1" applyBorder="1" applyAlignment="1">
      <alignment horizontal="centerContinuous"/>
    </xf>
    <xf numFmtId="0" fontId="8" fillId="0" borderId="62" xfId="0" applyFont="1" applyBorder="1" applyAlignment="1">
      <alignment horizontal="centerContinuous"/>
    </xf>
    <xf numFmtId="0" fontId="0" fillId="0" borderId="12" xfId="0" applyBorder="1"/>
    <xf numFmtId="0" fontId="0" fillId="0" borderId="13" xfId="0" applyBorder="1" applyAlignment="1">
      <alignment horizontal="center"/>
    </xf>
    <xf numFmtId="0" fontId="0" fillId="0" borderId="15" xfId="0" applyBorder="1"/>
    <xf numFmtId="0" fontId="0" fillId="0" borderId="13" xfId="0" applyBorder="1"/>
    <xf numFmtId="17" fontId="25" fillId="0" borderId="12" xfId="0" applyNumberFormat="1" applyFont="1" applyFill="1" applyBorder="1" applyAlignment="1">
      <alignment horizontal="center"/>
    </xf>
    <xf numFmtId="10" fontId="8" fillId="0" borderId="13" xfId="0" applyNumberFormat="1" applyFont="1" applyFill="1" applyBorder="1" applyAlignment="1">
      <alignment horizontal="center"/>
    </xf>
    <xf numFmtId="17" fontId="8" fillId="0" borderId="12" xfId="0" applyNumberFormat="1" applyFont="1" applyFill="1" applyBorder="1" applyAlignment="1">
      <alignment horizontal="center"/>
    </xf>
    <xf numFmtId="0" fontId="0" fillId="0" borderId="17" xfId="0" applyBorder="1"/>
    <xf numFmtId="0" fontId="0" fillId="0" borderId="8" xfId="0" applyBorder="1"/>
    <xf numFmtId="0" fontId="4" fillId="9" borderId="63" xfId="0" applyFont="1" applyFill="1" applyBorder="1"/>
    <xf numFmtId="5" fontId="4" fillId="9" borderId="63" xfId="0" applyNumberFormat="1" applyFont="1" applyFill="1" applyBorder="1"/>
    <xf numFmtId="0" fontId="8" fillId="9" borderId="64" xfId="0" applyFont="1" applyFill="1" applyBorder="1"/>
    <xf numFmtId="0" fontId="8" fillId="9" borderId="65" xfId="0" applyFont="1" applyFill="1" applyBorder="1"/>
    <xf numFmtId="0" fontId="8" fillId="9" borderId="66" xfId="0" applyFont="1" applyFill="1" applyBorder="1"/>
    <xf numFmtId="0" fontId="8" fillId="0" borderId="67" xfId="0" applyFont="1" applyBorder="1"/>
    <xf numFmtId="0" fontId="8" fillId="0" borderId="8" xfId="0" applyNumberFormat="1" applyFont="1" applyBorder="1"/>
    <xf numFmtId="0" fontId="8" fillId="0" borderId="68" xfId="0" applyFont="1" applyBorder="1"/>
    <xf numFmtId="6" fontId="4" fillId="0" borderId="15" xfId="0" applyNumberFormat="1" applyFont="1" applyBorder="1"/>
    <xf numFmtId="0" fontId="0" fillId="0" borderId="67" xfId="0" applyBorder="1"/>
    <xf numFmtId="0" fontId="8" fillId="0" borderId="69" xfId="0" applyFont="1" applyBorder="1"/>
    <xf numFmtId="5" fontId="8" fillId="0" borderId="70" xfId="0" applyNumberFormat="1" applyFont="1" applyBorder="1"/>
    <xf numFmtId="5" fontId="17" fillId="0" borderId="70" xfId="0" applyNumberFormat="1" applyFont="1" applyBorder="1"/>
    <xf numFmtId="0" fontId="4" fillId="9" borderId="71" xfId="0" applyFont="1" applyFill="1" applyBorder="1"/>
    <xf numFmtId="0" fontId="9" fillId="9" borderId="72" xfId="0" applyFont="1" applyFill="1" applyBorder="1"/>
    <xf numFmtId="0" fontId="8" fillId="9" borderId="12" xfId="0" applyFont="1" applyFill="1" applyBorder="1"/>
    <xf numFmtId="0" fontId="8" fillId="9" borderId="73" xfId="0" applyFont="1" applyFill="1" applyBorder="1"/>
    <xf numFmtId="0" fontId="8" fillId="0" borderId="74" xfId="0" applyFont="1" applyBorder="1"/>
    <xf numFmtId="0" fontId="4" fillId="0" borderId="38" xfId="0" applyFont="1" applyBorder="1" applyAlignment="1">
      <alignment horizontal="right"/>
    </xf>
    <xf numFmtId="0" fontId="0" fillId="0" borderId="75" xfId="0" applyBorder="1"/>
    <xf numFmtId="0" fontId="8" fillId="0" borderId="75" xfId="0" applyNumberFormat="1" applyFont="1" applyBorder="1"/>
    <xf numFmtId="0" fontId="17" fillId="0" borderId="75" xfId="0" applyNumberFormat="1" applyFont="1" applyBorder="1"/>
    <xf numFmtId="0" fontId="4" fillId="0" borderId="75" xfId="0" applyNumberFormat="1" applyFont="1" applyBorder="1"/>
    <xf numFmtId="0" fontId="8" fillId="0" borderId="75" xfId="0" applyFont="1" applyBorder="1"/>
    <xf numFmtId="37" fontId="8" fillId="0" borderId="75" xfId="0" applyNumberFormat="1" applyFont="1" applyBorder="1"/>
    <xf numFmtId="37" fontId="17" fillId="0" borderId="75" xfId="0" applyNumberFormat="1" applyFont="1" applyBorder="1"/>
    <xf numFmtId="37" fontId="4" fillId="0" borderId="75" xfId="0" applyNumberFormat="1" applyFont="1" applyBorder="1"/>
    <xf numFmtId="37" fontId="8" fillId="0" borderId="76" xfId="0" applyNumberFormat="1" applyFont="1" applyBorder="1"/>
    <xf numFmtId="5" fontId="8" fillId="0" borderId="75" xfId="0" applyNumberFormat="1" applyFont="1" applyBorder="1"/>
    <xf numFmtId="5" fontId="17" fillId="0" borderId="75" xfId="0" applyNumberFormat="1" applyFont="1" applyBorder="1"/>
    <xf numFmtId="5" fontId="4" fillId="0" borderId="75" xfId="0" applyNumberFormat="1" applyFont="1" applyBorder="1"/>
    <xf numFmtId="5" fontId="24" fillId="0" borderId="75" xfId="0" applyNumberFormat="1" applyFont="1" applyBorder="1"/>
    <xf numFmtId="5" fontId="4" fillId="9" borderId="77" xfId="0" applyNumberFormat="1" applyFont="1" applyFill="1" applyBorder="1"/>
    <xf numFmtId="0" fontId="4" fillId="9" borderId="78" xfId="0" applyFont="1" applyFill="1" applyBorder="1"/>
    <xf numFmtId="0" fontId="8" fillId="9" borderId="75" xfId="0" applyFont="1" applyFill="1" applyBorder="1"/>
    <xf numFmtId="0" fontId="8" fillId="9" borderId="79" xfId="0" applyFont="1" applyFill="1" applyBorder="1"/>
    <xf numFmtId="0" fontId="8" fillId="0" borderId="38" xfId="0" applyFont="1" applyBorder="1"/>
    <xf numFmtId="0" fontId="8" fillId="9" borderId="80" xfId="0" applyFont="1" applyFill="1" applyBorder="1"/>
    <xf numFmtId="0" fontId="5" fillId="9" borderId="63" xfId="0" applyFont="1" applyFill="1" applyBorder="1"/>
    <xf numFmtId="5" fontId="5" fillId="9" borderId="63" xfId="0" applyNumberFormat="1" applyFont="1" applyFill="1" applyBorder="1"/>
    <xf numFmtId="0" fontId="0" fillId="0" borderId="0" xfId="0" applyNumberFormat="1" applyBorder="1"/>
    <xf numFmtId="0" fontId="5" fillId="9" borderId="71" xfId="0" applyFont="1" applyFill="1" applyBorder="1"/>
    <xf numFmtId="5" fontId="9" fillId="0" borderId="75" xfId="0" applyNumberFormat="1" applyFont="1" applyBorder="1"/>
    <xf numFmtId="5" fontId="5" fillId="9" borderId="77" xfId="0" applyNumberFormat="1" applyFont="1" applyFill="1" applyBorder="1"/>
    <xf numFmtId="5" fontId="8" fillId="0" borderId="75" xfId="0" applyNumberFormat="1" applyFont="1" applyFill="1" applyBorder="1"/>
    <xf numFmtId="5" fontId="4" fillId="9" borderId="81" xfId="0" applyNumberFormat="1" applyFont="1" applyFill="1" applyBorder="1"/>
    <xf numFmtId="10" fontId="4" fillId="9" borderId="82" xfId="0" applyNumberFormat="1" applyFont="1" applyFill="1" applyBorder="1"/>
    <xf numFmtId="37" fontId="4" fillId="9" borderId="83" xfId="3" applyNumberFormat="1" applyFont="1" applyFill="1" applyBorder="1"/>
    <xf numFmtId="0" fontId="4" fillId="0" borderId="15" xfId="0" applyFont="1" applyBorder="1"/>
    <xf numFmtId="0" fontId="17" fillId="0" borderId="12" xfId="0" applyFont="1" applyBorder="1"/>
    <xf numFmtId="10" fontId="4" fillId="0" borderId="12" xfId="0" applyNumberFormat="1" applyFont="1" applyBorder="1" applyAlignment="1">
      <alignment horizontal="right"/>
    </xf>
    <xf numFmtId="0" fontId="23" fillId="0" borderId="12" xfId="0" applyFont="1" applyBorder="1"/>
    <xf numFmtId="0" fontId="17" fillId="0" borderId="12" xfId="0" applyFont="1" applyBorder="1" applyAlignment="1">
      <alignment horizontal="right"/>
    </xf>
    <xf numFmtId="0" fontId="23" fillId="0" borderId="12" xfId="0" applyFont="1" applyBorder="1" applyAlignment="1">
      <alignment horizontal="right"/>
    </xf>
    <xf numFmtId="0" fontId="8" fillId="0" borderId="12" xfId="0" applyFont="1" applyBorder="1" applyAlignment="1">
      <alignment horizontal="right"/>
    </xf>
    <xf numFmtId="0" fontId="4" fillId="9" borderId="84" xfId="0" applyFont="1" applyFill="1" applyBorder="1"/>
    <xf numFmtId="5" fontId="16" fillId="0" borderId="75" xfId="0" applyNumberFormat="1" applyFont="1" applyBorder="1"/>
    <xf numFmtId="5" fontId="26" fillId="0" borderId="75" xfId="0" applyNumberFormat="1" applyFont="1" applyBorder="1"/>
    <xf numFmtId="37" fontId="8" fillId="0" borderId="75" xfId="3" applyNumberFormat="1" applyFont="1" applyBorder="1"/>
    <xf numFmtId="5" fontId="8" fillId="0" borderId="75" xfId="3" applyNumberFormat="1" applyFont="1" applyBorder="1"/>
    <xf numFmtId="5" fontId="17" fillId="0" borderId="75" xfId="3" applyNumberFormat="1" applyFont="1" applyBorder="1"/>
    <xf numFmtId="37" fontId="8" fillId="0" borderId="76" xfId="3" applyNumberFormat="1" applyFont="1" applyBorder="1"/>
    <xf numFmtId="0" fontId="8" fillId="0" borderId="76" xfId="0" applyFont="1" applyBorder="1"/>
    <xf numFmtId="0" fontId="4" fillId="0" borderId="74" xfId="0" applyFont="1" applyBorder="1" applyAlignment="1">
      <alignment horizontal="right"/>
    </xf>
    <xf numFmtId="10" fontId="8" fillId="0" borderId="75" xfId="0" applyNumberFormat="1" applyFont="1" applyBorder="1"/>
    <xf numFmtId="0" fontId="9" fillId="9" borderId="81" xfId="0" applyFont="1" applyFill="1" applyBorder="1" applyAlignment="1">
      <alignment horizontal="right"/>
    </xf>
    <xf numFmtId="5" fontId="4" fillId="9" borderId="82" xfId="0" applyNumberFormat="1" applyFont="1" applyFill="1" applyBorder="1"/>
    <xf numFmtId="37" fontId="8" fillId="9" borderId="4" xfId="0" applyNumberFormat="1" applyFont="1" applyFill="1" applyBorder="1"/>
    <xf numFmtId="37" fontId="4" fillId="9" borderId="83" xfId="0" applyNumberFormat="1" applyFont="1" applyFill="1" applyBorder="1"/>
    <xf numFmtId="0" fontId="8" fillId="9" borderId="4" xfId="0" applyFont="1" applyFill="1" applyBorder="1"/>
    <xf numFmtId="0" fontId="8" fillId="9" borderId="72" xfId="0" applyFont="1" applyFill="1" applyBorder="1"/>
    <xf numFmtId="0" fontId="4" fillId="9" borderId="12" xfId="0" applyFont="1" applyFill="1" applyBorder="1"/>
    <xf numFmtId="0" fontId="4" fillId="9" borderId="69" xfId="0" applyFont="1" applyFill="1" applyBorder="1"/>
    <xf numFmtId="0" fontId="17" fillId="0" borderId="75" xfId="0" applyFont="1" applyBorder="1"/>
    <xf numFmtId="0" fontId="4" fillId="0" borderId="75" xfId="0" applyFont="1" applyBorder="1"/>
    <xf numFmtId="3" fontId="8" fillId="0" borderId="75" xfId="0" applyNumberFormat="1" applyFont="1" applyBorder="1"/>
    <xf numFmtId="10" fontId="17" fillId="0" borderId="75" xfId="17" applyNumberFormat="1" applyFont="1" applyBorder="1"/>
    <xf numFmtId="5" fontId="8" fillId="0" borderId="38" xfId="0" applyNumberFormat="1" applyFont="1" applyBorder="1"/>
    <xf numFmtId="0" fontId="4" fillId="0" borderId="12" xfId="0" applyFont="1" applyBorder="1" applyAlignment="1"/>
    <xf numFmtId="0" fontId="8" fillId="0" borderId="69" xfId="0" applyFont="1" applyBorder="1" applyAlignment="1"/>
    <xf numFmtId="39" fontId="8" fillId="0" borderId="16" xfId="0" applyNumberFormat="1" applyFont="1" applyBorder="1" applyAlignment="1">
      <alignment horizontal="right"/>
    </xf>
    <xf numFmtId="5" fontId="8" fillId="0" borderId="76" xfId="0" applyNumberFormat="1" applyFont="1" applyBorder="1"/>
    <xf numFmtId="0" fontId="12" fillId="0" borderId="75" xfId="0" applyFont="1" applyBorder="1" applyAlignment="1">
      <alignment horizontal="center"/>
    </xf>
    <xf numFmtId="0" fontId="12" fillId="0" borderId="38" xfId="0" applyFont="1" applyBorder="1" applyAlignment="1">
      <alignment horizontal="center"/>
    </xf>
    <xf numFmtId="0" fontId="8" fillId="9" borderId="63" xfId="0" applyFont="1" applyFill="1" applyBorder="1"/>
    <xf numFmtId="5" fontId="8" fillId="9" borderId="64" xfId="0" applyNumberFormat="1" applyFont="1" applyFill="1" applyBorder="1"/>
    <xf numFmtId="37" fontId="15" fillId="9" borderId="45" xfId="0" applyNumberFormat="1" applyFont="1" applyFill="1" applyBorder="1" applyAlignment="1">
      <alignment horizontal="center"/>
    </xf>
    <xf numFmtId="5" fontId="8" fillId="9" borderId="78" xfId="0" applyNumberFormat="1" applyFont="1" applyFill="1" applyBorder="1"/>
    <xf numFmtId="5" fontId="8" fillId="9" borderId="75" xfId="0" applyNumberFormat="1" applyFont="1" applyFill="1" applyBorder="1"/>
    <xf numFmtId="5" fontId="17" fillId="9" borderId="75" xfId="0" applyNumberFormat="1" applyFont="1" applyFill="1" applyBorder="1"/>
    <xf numFmtId="5" fontId="8" fillId="9" borderId="79" xfId="0" applyNumberFormat="1" applyFont="1" applyFill="1" applyBorder="1"/>
    <xf numFmtId="0" fontId="9" fillId="0" borderId="75" xfId="0" applyFont="1" applyBorder="1" applyAlignment="1">
      <alignment horizontal="center"/>
    </xf>
    <xf numFmtId="38" fontId="8" fillId="0" borderId="75" xfId="0" applyNumberFormat="1" applyFont="1" applyBorder="1"/>
    <xf numFmtId="0" fontId="8" fillId="6" borderId="67" xfId="14" applyFont="1" applyBorder="1"/>
    <xf numFmtId="0" fontId="8" fillId="6" borderId="8" xfId="14" applyNumberFormat="1" applyFont="1" applyBorder="1" applyAlignment="1"/>
    <xf numFmtId="0" fontId="8" fillId="6" borderId="8" xfId="14" applyNumberFormat="1" applyFont="1" applyBorder="1" applyAlignment="1">
      <alignment horizontal="right"/>
    </xf>
    <xf numFmtId="0" fontId="4" fillId="6" borderId="15" xfId="14" applyFont="1" applyBorder="1"/>
    <xf numFmtId="0" fontId="8" fillId="0" borderId="67" xfId="14" applyNumberFormat="1" applyFont="1" applyFill="1" applyBorder="1" applyAlignment="1"/>
    <xf numFmtId="0" fontId="8" fillId="6" borderId="0" xfId="14" applyNumberFormat="1" applyFont="1" applyBorder="1" applyAlignment="1"/>
    <xf numFmtId="0" fontId="8" fillId="0" borderId="12" xfId="14" applyNumberFormat="1" applyFont="1" applyFill="1" applyBorder="1" applyAlignment="1"/>
    <xf numFmtId="5" fontId="8" fillId="6" borderId="0" xfId="14" applyNumberFormat="1" applyFont="1" applyBorder="1" applyAlignment="1"/>
    <xf numFmtId="5" fontId="17" fillId="6" borderId="0" xfId="14" applyNumberFormat="1" applyFont="1" applyBorder="1" applyAlignment="1"/>
    <xf numFmtId="0" fontId="17" fillId="6" borderId="0" xfId="14" applyNumberFormat="1" applyFont="1" applyBorder="1" applyAlignment="1"/>
    <xf numFmtId="0" fontId="8" fillId="6" borderId="12" xfId="14" applyNumberFormat="1" applyFont="1" applyBorder="1" applyAlignment="1"/>
    <xf numFmtId="0" fontId="8" fillId="9" borderId="12" xfId="14" applyNumberFormat="1" applyFont="1" applyFill="1" applyBorder="1" applyAlignment="1"/>
    <xf numFmtId="0" fontId="8" fillId="6" borderId="15" xfId="14" applyFont="1" applyBorder="1"/>
    <xf numFmtId="0" fontId="8" fillId="6" borderId="16" xfId="14" applyFont="1" applyBorder="1"/>
    <xf numFmtId="0" fontId="8" fillId="6" borderId="74" xfId="14" applyNumberFormat="1" applyFont="1" applyBorder="1" applyAlignment="1"/>
    <xf numFmtId="0" fontId="4" fillId="6" borderId="38" xfId="14" applyNumberFormat="1" applyFont="1" applyBorder="1" applyAlignment="1">
      <alignment horizontal="right"/>
    </xf>
    <xf numFmtId="0" fontId="8" fillId="6" borderId="75" xfId="14" applyNumberFormat="1" applyFont="1" applyBorder="1" applyAlignment="1"/>
    <xf numFmtId="5" fontId="8" fillId="6" borderId="75" xfId="14" applyNumberFormat="1" applyFont="1" applyBorder="1" applyAlignment="1"/>
    <xf numFmtId="5" fontId="17" fillId="6" borderId="75" xfId="14" applyNumberFormat="1" applyFont="1" applyBorder="1" applyAlignment="1"/>
    <xf numFmtId="0" fontId="8" fillId="9" borderId="78" xfId="14" applyNumberFormat="1" applyFont="1" applyFill="1" applyBorder="1" applyAlignment="1"/>
    <xf numFmtId="0" fontId="8" fillId="9" borderId="75" xfId="14" applyNumberFormat="1" applyFont="1" applyFill="1" applyBorder="1" applyAlignment="1"/>
    <xf numFmtId="10" fontId="8" fillId="9" borderId="75" xfId="14" applyNumberFormat="1" applyFont="1" applyFill="1" applyBorder="1" applyAlignment="1"/>
    <xf numFmtId="0" fontId="8" fillId="6" borderId="38" xfId="14" applyFont="1" applyBorder="1"/>
    <xf numFmtId="0" fontId="8" fillId="9" borderId="73" xfId="14" applyNumberFormat="1" applyFont="1" applyFill="1" applyBorder="1" applyAlignment="1"/>
    <xf numFmtId="0" fontId="8" fillId="9" borderId="64" xfId="14" applyNumberFormat="1" applyFont="1" applyFill="1" applyBorder="1" applyAlignment="1"/>
    <xf numFmtId="0" fontId="17" fillId="9" borderId="81" xfId="0" applyFont="1" applyFill="1" applyBorder="1" applyAlignment="1">
      <alignment horizontal="center"/>
    </xf>
    <xf numFmtId="5" fontId="8" fillId="9" borderId="82" xfId="0" applyNumberFormat="1" applyFont="1" applyFill="1" applyBorder="1"/>
    <xf numFmtId="10" fontId="8" fillId="9" borderId="82" xfId="17" applyNumberFormat="1" applyFont="1" applyFill="1" applyBorder="1"/>
    <xf numFmtId="10" fontId="8" fillId="9" borderId="85" xfId="17" applyNumberFormat="1" applyFont="1" applyFill="1" applyBorder="1"/>
    <xf numFmtId="0" fontId="10" fillId="9" borderId="72" xfId="0" applyFont="1" applyFill="1" applyBorder="1"/>
    <xf numFmtId="5" fontId="10" fillId="9" borderId="81" xfId="0" applyNumberFormat="1" applyFont="1" applyFill="1" applyBorder="1"/>
    <xf numFmtId="0" fontId="10" fillId="9" borderId="73" xfId="0" applyFont="1" applyFill="1" applyBorder="1"/>
    <xf numFmtId="0" fontId="10" fillId="9" borderId="64" xfId="0" applyFont="1" applyFill="1" applyBorder="1"/>
    <xf numFmtId="5" fontId="10" fillId="9" borderId="85" xfId="0" applyNumberFormat="1" applyFont="1" applyFill="1" applyBorder="1"/>
    <xf numFmtId="5" fontId="12" fillId="0" borderId="75" xfId="0" applyNumberFormat="1" applyFont="1" applyBorder="1"/>
    <xf numFmtId="0" fontId="8" fillId="0" borderId="86" xfId="0" applyFont="1" applyBorder="1"/>
    <xf numFmtId="0" fontId="8" fillId="0" borderId="75" xfId="0" applyFont="1" applyBorder="1" applyAlignment="1"/>
    <xf numFmtId="0" fontId="4" fillId="9" borderId="87" xfId="0" applyFont="1" applyFill="1" applyBorder="1"/>
    <xf numFmtId="6" fontId="8" fillId="0" borderId="12" xfId="0" applyNumberFormat="1" applyFont="1" applyBorder="1"/>
    <xf numFmtId="0" fontId="12" fillId="0" borderId="12" xfId="0" applyFont="1" applyFill="1" applyBorder="1"/>
    <xf numFmtId="0" fontId="4" fillId="0" borderId="88" xfId="0" applyFont="1" applyBorder="1"/>
    <xf numFmtId="0" fontId="9" fillId="0" borderId="12" xfId="0" applyFont="1" applyBorder="1" applyAlignment="1">
      <alignment horizontal="center"/>
    </xf>
    <xf numFmtId="0" fontId="8" fillId="0" borderId="69" xfId="0" applyFont="1" applyBorder="1" applyAlignment="1">
      <alignment horizontal="center"/>
    </xf>
    <xf numFmtId="5" fontId="8" fillId="0" borderId="89" xfId="0" applyNumberFormat="1" applyFont="1" applyBorder="1"/>
    <xf numFmtId="5" fontId="4" fillId="0" borderId="75" xfId="0" applyNumberFormat="1" applyFont="1" applyFill="1" applyBorder="1"/>
    <xf numFmtId="37" fontId="4" fillId="0" borderId="75" xfId="0" applyNumberFormat="1" applyFont="1" applyFill="1" applyBorder="1"/>
    <xf numFmtId="0" fontId="4" fillId="0" borderId="90" xfId="0" applyFont="1" applyBorder="1" applyAlignment="1">
      <alignment horizontal="centerContinuous"/>
    </xf>
    <xf numFmtId="0" fontId="8" fillId="0" borderId="91" xfId="0" applyFont="1" applyBorder="1" applyAlignment="1">
      <alignment horizontal="centerContinuous"/>
    </xf>
    <xf numFmtId="0" fontId="8" fillId="0" borderId="91" xfId="0" applyFont="1" applyBorder="1"/>
    <xf numFmtId="5" fontId="8" fillId="0" borderId="91" xfId="0" applyNumberFormat="1" applyFont="1" applyBorder="1"/>
    <xf numFmtId="5" fontId="8" fillId="0" borderId="92" xfId="0" applyNumberFormat="1" applyFont="1" applyBorder="1"/>
    <xf numFmtId="5" fontId="8" fillId="0" borderId="93" xfId="0" applyNumberFormat="1" applyFont="1" applyBorder="1"/>
    <xf numFmtId="0" fontId="8" fillId="0" borderId="94" xfId="0" applyFont="1" applyBorder="1"/>
    <xf numFmtId="0" fontId="8" fillId="0" borderId="93" xfId="0" applyFont="1" applyBorder="1"/>
    <xf numFmtId="0" fontId="4" fillId="0" borderId="67" xfId="0" applyFont="1" applyBorder="1"/>
    <xf numFmtId="0" fontId="8" fillId="0" borderId="95" xfId="0" applyFont="1" applyBorder="1"/>
    <xf numFmtId="0" fontId="4" fillId="0" borderId="59" xfId="0" applyFont="1" applyBorder="1" applyAlignment="1">
      <alignment horizontal="centerContinuous"/>
    </xf>
    <xf numFmtId="0" fontId="8" fillId="0" borderId="95" xfId="0" applyFont="1" applyBorder="1" applyAlignment="1">
      <alignment horizontal="centerContinuous"/>
    </xf>
    <xf numFmtId="0" fontId="4" fillId="0" borderId="8" xfId="0" applyFont="1" applyBorder="1" applyAlignment="1">
      <alignment horizontal="centerContinuous"/>
    </xf>
    <xf numFmtId="0" fontId="4" fillId="0" borderId="95" xfId="0" applyFont="1" applyBorder="1" applyAlignment="1">
      <alignment horizontal="centerContinuous"/>
    </xf>
    <xf numFmtId="0" fontId="8" fillId="0" borderId="12" xfId="0" applyNumberFormat="1" applyFont="1" applyBorder="1"/>
    <xf numFmtId="0" fontId="4" fillId="0" borderId="12" xfId="0" applyNumberFormat="1" applyFont="1" applyBorder="1"/>
    <xf numFmtId="0" fontId="12" fillId="0" borderId="16" xfId="0" applyFont="1" applyBorder="1" applyAlignment="1">
      <alignment horizontal="center"/>
    </xf>
    <xf numFmtId="5" fontId="4" fillId="0" borderId="16" xfId="0" applyNumberFormat="1" applyFont="1" applyBorder="1"/>
    <xf numFmtId="37" fontId="23" fillId="0" borderId="75" xfId="0" applyNumberFormat="1" applyFont="1" applyBorder="1"/>
    <xf numFmtId="5" fontId="4" fillId="0" borderId="38" xfId="0" applyNumberFormat="1" applyFont="1" applyBorder="1"/>
    <xf numFmtId="0" fontId="13" fillId="9" borderId="63" xfId="0" applyFont="1" applyFill="1" applyBorder="1" applyAlignment="1">
      <alignment horizontal="center"/>
    </xf>
    <xf numFmtId="0" fontId="8" fillId="0" borderId="96" xfId="0" applyFont="1" applyBorder="1"/>
    <xf numFmtId="37" fontId="8" fillId="0" borderId="97" xfId="0" applyNumberFormat="1" applyFont="1" applyBorder="1"/>
    <xf numFmtId="0" fontId="8" fillId="9" borderId="81" xfId="0" applyFont="1" applyFill="1" applyBorder="1" applyAlignment="1">
      <alignment horizontal="centerContinuous"/>
    </xf>
    <xf numFmtId="0" fontId="9" fillId="9" borderId="82" xfId="0" applyFont="1" applyFill="1" applyBorder="1" applyAlignment="1">
      <alignment horizontal="center"/>
    </xf>
    <xf numFmtId="0" fontId="0" fillId="9" borderId="64" xfId="0" applyFill="1" applyBorder="1"/>
    <xf numFmtId="0" fontId="12" fillId="9" borderId="63" xfId="0" applyFont="1" applyFill="1" applyBorder="1"/>
    <xf numFmtId="5" fontId="12" fillId="9" borderId="63" xfId="0" applyNumberFormat="1" applyFont="1" applyFill="1" applyBorder="1"/>
    <xf numFmtId="0" fontId="8" fillId="0" borderId="8" xfId="0" applyFont="1" applyBorder="1" applyAlignment="1">
      <alignment horizontal="center"/>
    </xf>
    <xf numFmtId="0" fontId="4" fillId="0" borderId="69" xfId="0" applyFont="1" applyBorder="1"/>
    <xf numFmtId="5" fontId="12" fillId="9" borderId="77" xfId="0" applyNumberFormat="1" applyFont="1" applyFill="1" applyBorder="1"/>
    <xf numFmtId="5" fontId="4" fillId="0" borderId="76" xfId="0" applyNumberFormat="1" applyFont="1" applyBorder="1"/>
    <xf numFmtId="0" fontId="4" fillId="0" borderId="98" xfId="0" applyFont="1" applyBorder="1" applyAlignment="1">
      <alignment horizontal="center"/>
    </xf>
    <xf numFmtId="0" fontId="4" fillId="0" borderId="99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95" xfId="0" applyFont="1" applyBorder="1" applyAlignment="1">
      <alignment horizontal="center"/>
    </xf>
    <xf numFmtId="0" fontId="4" fillId="0" borderId="68" xfId="0" applyFont="1" applyBorder="1" applyAlignment="1">
      <alignment horizontal="center"/>
    </xf>
    <xf numFmtId="0" fontId="4" fillId="0" borderId="100" xfId="0" applyFont="1" applyBorder="1" applyAlignment="1">
      <alignment horizontal="center"/>
    </xf>
    <xf numFmtId="0" fontId="4" fillId="0" borderId="70" xfId="0" applyFont="1" applyBorder="1" applyAlignment="1">
      <alignment horizontal="center"/>
    </xf>
    <xf numFmtId="0" fontId="4" fillId="0" borderId="101" xfId="0" applyFont="1" applyBorder="1" applyAlignment="1">
      <alignment horizontal="center"/>
    </xf>
    <xf numFmtId="0" fontId="4" fillId="0" borderId="97" xfId="0" applyFont="1" applyBorder="1" applyAlignment="1">
      <alignment horizontal="center"/>
    </xf>
    <xf numFmtId="0" fontId="4" fillId="0" borderId="96" xfId="0" applyFont="1" applyBorder="1" applyAlignment="1">
      <alignment horizontal="centerContinuous"/>
    </xf>
    <xf numFmtId="0" fontId="4" fillId="0" borderId="16" xfId="0" applyFont="1" applyBorder="1" applyAlignment="1">
      <alignment horizontal="centerContinuous"/>
    </xf>
    <xf numFmtId="0" fontId="4" fillId="0" borderId="102" xfId="0" applyFont="1" applyBorder="1" applyAlignment="1">
      <alignment horizontal="centerContinuous"/>
    </xf>
    <xf numFmtId="0" fontId="4" fillId="0" borderId="103" xfId="0" applyFont="1" applyBorder="1" applyAlignment="1">
      <alignment horizontal="center"/>
    </xf>
    <xf numFmtId="0" fontId="4" fillId="0" borderId="98" xfId="0" applyFont="1" applyBorder="1"/>
    <xf numFmtId="0" fontId="22" fillId="0" borderId="59" xfId="0" applyFont="1" applyBorder="1" applyAlignment="1">
      <alignment horizontal="right"/>
    </xf>
    <xf numFmtId="0" fontId="22" fillId="0" borderId="8" xfId="0" applyFont="1" applyBorder="1" applyAlignment="1">
      <alignment horizontal="right"/>
    </xf>
    <xf numFmtId="0" fontId="4" fillId="0" borderId="100" xfId="0" applyFont="1" applyBorder="1"/>
    <xf numFmtId="0" fontId="8" fillId="0" borderId="100" xfId="0" applyFont="1" applyBorder="1"/>
    <xf numFmtId="0" fontId="8" fillId="0" borderId="101" xfId="0" applyFont="1" applyBorder="1"/>
    <xf numFmtId="0" fontId="8" fillId="0" borderId="97" xfId="0" applyFont="1" applyBorder="1"/>
    <xf numFmtId="0" fontId="8" fillId="0" borderId="102" xfId="0" applyFont="1" applyBorder="1"/>
    <xf numFmtId="0" fontId="8" fillId="0" borderId="99" xfId="0" applyFont="1" applyBorder="1"/>
    <xf numFmtId="14" fontId="8" fillId="0" borderId="96" xfId="0" applyNumberFormat="1" applyFont="1" applyBorder="1"/>
    <xf numFmtId="14" fontId="8" fillId="0" borderId="16" xfId="0" applyNumberFormat="1" applyFont="1" applyBorder="1"/>
    <xf numFmtId="0" fontId="10" fillId="0" borderId="8" xfId="0" applyFont="1" applyBorder="1" applyAlignment="1">
      <alignment horizontal="centerContinuous"/>
    </xf>
    <xf numFmtId="0" fontId="22" fillId="0" borderId="95" xfId="0" applyFont="1" applyBorder="1" applyAlignment="1">
      <alignment horizontal="right"/>
    </xf>
    <xf numFmtId="10" fontId="8" fillId="0" borderId="102" xfId="0" applyNumberFormat="1" applyFont="1" applyBorder="1" applyAlignment="1">
      <alignment horizontal="center"/>
    </xf>
    <xf numFmtId="0" fontId="8" fillId="0" borderId="0" xfId="0" applyNumberFormat="1" applyFont="1" applyBorder="1" applyAlignment="1">
      <alignment horizontal="centerContinuous"/>
    </xf>
    <xf numFmtId="0" fontId="8" fillId="0" borderId="0" xfId="0" applyNumberFormat="1" applyFont="1" applyBorder="1" applyAlignment="1"/>
    <xf numFmtId="0" fontId="8" fillId="0" borderId="16" xfId="0" applyNumberFormat="1" applyFont="1" applyBorder="1" applyAlignment="1"/>
    <xf numFmtId="0" fontId="8" fillId="0" borderId="16" xfId="0" applyFont="1" applyBorder="1" applyAlignment="1">
      <alignment horizontal="right"/>
    </xf>
    <xf numFmtId="0" fontId="4" fillId="0" borderId="59" xfId="0" applyFont="1" applyBorder="1" applyAlignment="1">
      <alignment horizontal="center"/>
    </xf>
    <xf numFmtId="0" fontId="4" fillId="0" borderId="101" xfId="0" applyFont="1" applyBorder="1"/>
    <xf numFmtId="10" fontId="8" fillId="0" borderId="96" xfId="0" applyNumberFormat="1" applyFont="1" applyBorder="1"/>
    <xf numFmtId="0" fontId="13" fillId="0" borderId="16" xfId="0" applyFont="1" applyBorder="1" applyAlignment="1">
      <alignment horizontal="left"/>
    </xf>
    <xf numFmtId="0" fontId="16" fillId="0" borderId="59" xfId="0" applyFont="1" applyBorder="1"/>
    <xf numFmtId="0" fontId="8" fillId="0" borderId="59" xfId="0" applyNumberFormat="1" applyFont="1" applyBorder="1"/>
    <xf numFmtId="0" fontId="13" fillId="0" borderId="8" xfId="0" applyNumberFormat="1" applyFont="1" applyBorder="1" applyAlignment="1">
      <alignment horizontal="center"/>
    </xf>
    <xf numFmtId="0" fontId="13" fillId="0" borderId="95" xfId="0" applyNumberFormat="1" applyFont="1" applyBorder="1" applyAlignment="1">
      <alignment horizontal="center"/>
    </xf>
    <xf numFmtId="10" fontId="8" fillId="0" borderId="96" xfId="0" applyNumberFormat="1" applyFont="1" applyBorder="1" applyAlignment="1">
      <alignment horizontal="center"/>
    </xf>
    <xf numFmtId="10" fontId="8" fillId="0" borderId="16" xfId="0" applyNumberFormat="1" applyFont="1" applyBorder="1" applyAlignment="1">
      <alignment horizontal="center"/>
    </xf>
    <xf numFmtId="0" fontId="13" fillId="0" borderId="16" xfId="0" applyNumberFormat="1" applyFont="1" applyBorder="1" applyAlignment="1">
      <alignment horizontal="left"/>
    </xf>
    <xf numFmtId="0" fontId="8" fillId="0" borderId="95" xfId="0" applyNumberFormat="1" applyFont="1" applyBorder="1"/>
    <xf numFmtId="37" fontId="8" fillId="0" borderId="16" xfId="0" applyNumberFormat="1" applyFont="1" applyBorder="1" applyAlignment="1">
      <alignment horizontal="center"/>
    </xf>
    <xf numFmtId="0" fontId="16" fillId="0" borderId="99" xfId="0" applyFont="1" applyBorder="1"/>
    <xf numFmtId="0" fontId="27" fillId="0" borderId="8" xfId="0" applyNumberFormat="1" applyFont="1" applyBorder="1" applyAlignment="1"/>
    <xf numFmtId="0" fontId="27" fillId="0" borderId="95" xfId="0" applyNumberFormat="1" applyFont="1" applyBorder="1" applyAlignment="1"/>
    <xf numFmtId="0" fontId="8" fillId="0" borderId="95" xfId="0" applyNumberFormat="1" applyFont="1" applyBorder="1" applyAlignment="1">
      <alignment horizontal="center"/>
    </xf>
    <xf numFmtId="0" fontId="27" fillId="0" borderId="102" xfId="0" applyNumberFormat="1" applyFont="1" applyBorder="1" applyAlignment="1"/>
    <xf numFmtId="0" fontId="4" fillId="0" borderId="90" xfId="0" applyFont="1" applyBorder="1"/>
    <xf numFmtId="10" fontId="8" fillId="0" borderId="59" xfId="17" applyNumberFormat="1" applyFont="1" applyBorder="1"/>
    <xf numFmtId="0" fontId="16" fillId="0" borderId="97" xfId="0" applyFont="1" applyBorder="1"/>
    <xf numFmtId="10" fontId="8" fillId="0" borderId="96" xfId="17" applyNumberFormat="1" applyFont="1" applyBorder="1"/>
    <xf numFmtId="0" fontId="27" fillId="0" borderId="16" xfId="0" applyNumberFormat="1" applyFont="1" applyBorder="1" applyAlignment="1"/>
    <xf numFmtId="0" fontId="8" fillId="0" borderId="8" xfId="0" applyNumberFormat="1" applyFont="1" applyBorder="1" applyAlignment="1"/>
    <xf numFmtId="0" fontId="8" fillId="0" borderId="95" xfId="0" applyNumberFormat="1" applyFont="1" applyBorder="1" applyAlignment="1"/>
    <xf numFmtId="14" fontId="8" fillId="0" borderId="95" xfId="0" applyNumberFormat="1" applyFont="1" applyBorder="1" applyAlignment="1">
      <alignment horizontal="center"/>
    </xf>
    <xf numFmtId="14" fontId="8" fillId="0" borderId="102" xfId="0" applyNumberFormat="1" applyFont="1" applyBorder="1" applyAlignment="1">
      <alignment horizontal="center"/>
    </xf>
    <xf numFmtId="0" fontId="9" fillId="0" borderId="104" xfId="0" applyFont="1" applyBorder="1" applyAlignment="1">
      <alignment horizontal="center"/>
    </xf>
    <xf numFmtId="0" fontId="8" fillId="0" borderId="100" xfId="0" applyNumberFormat="1" applyFont="1" applyBorder="1"/>
    <xf numFmtId="0" fontId="8" fillId="0" borderId="105" xfId="0" applyFont="1" applyBorder="1"/>
    <xf numFmtId="0" fontId="8" fillId="0" borderId="106" xfId="0" applyFont="1" applyBorder="1"/>
    <xf numFmtId="0" fontId="8" fillId="0" borderId="107" xfId="0" applyFont="1" applyBorder="1"/>
    <xf numFmtId="0" fontId="8" fillId="0" borderId="108" xfId="0" applyFont="1" applyBorder="1" applyAlignment="1">
      <alignment horizontal="center"/>
    </xf>
    <xf numFmtId="0" fontId="8" fillId="0" borderId="109" xfId="0" applyFont="1" applyBorder="1"/>
    <xf numFmtId="0" fontId="17" fillId="0" borderId="96" xfId="0" applyNumberFormat="1" applyFont="1" applyBorder="1"/>
    <xf numFmtId="0" fontId="17" fillId="0" borderId="16" xfId="0" applyNumberFormat="1" applyFont="1" applyBorder="1"/>
    <xf numFmtId="5" fontId="8" fillId="0" borderId="102" xfId="0" applyNumberFormat="1" applyFont="1" applyBorder="1"/>
    <xf numFmtId="0" fontId="20" fillId="0" borderId="8" xfId="0" applyFont="1" applyBorder="1" applyAlignment="1">
      <alignment horizontal="right"/>
    </xf>
    <xf numFmtId="5" fontId="8" fillId="0" borderId="96" xfId="0" applyNumberFormat="1" applyFont="1" applyBorder="1"/>
    <xf numFmtId="6" fontId="8" fillId="0" borderId="96" xfId="0" applyNumberFormat="1" applyFont="1" applyBorder="1"/>
    <xf numFmtId="6" fontId="8" fillId="0" borderId="16" xfId="0" applyNumberFormat="1" applyFont="1" applyBorder="1"/>
    <xf numFmtId="6" fontId="8" fillId="0" borderId="102" xfId="0" applyNumberFormat="1" applyFont="1" applyBorder="1"/>
    <xf numFmtId="37" fontId="8" fillId="0" borderId="59" xfId="0" applyNumberFormat="1" applyFont="1" applyBorder="1"/>
    <xf numFmtId="10" fontId="8" fillId="6" borderId="96" xfId="17" applyNumberFormat="1" applyFont="1" applyFill="1" applyBorder="1"/>
    <xf numFmtId="10" fontId="17" fillId="0" borderId="59" xfId="17" applyNumberFormat="1" applyFont="1" applyBorder="1" applyAlignment="1">
      <alignment horizontal="center"/>
    </xf>
    <xf numFmtId="0" fontId="17" fillId="0" borderId="8" xfId="0" applyNumberFormat="1" applyFont="1" applyBorder="1" applyAlignment="1">
      <alignment horizontal="center"/>
    </xf>
    <xf numFmtId="0" fontId="17" fillId="0" borderId="95" xfId="0" applyNumberFormat="1" applyFont="1" applyBorder="1" applyAlignment="1">
      <alignment horizontal="center"/>
    </xf>
    <xf numFmtId="0" fontId="16" fillId="0" borderId="96" xfId="0" applyFont="1" applyBorder="1"/>
    <xf numFmtId="0" fontId="8" fillId="0" borderId="96" xfId="17" applyNumberFormat="1" applyFont="1" applyBorder="1" applyAlignment="1">
      <alignment horizontal="center"/>
    </xf>
    <xf numFmtId="5" fontId="8" fillId="0" borderId="16" xfId="17" applyNumberFormat="1" applyFont="1" applyBorder="1" applyAlignment="1">
      <alignment horizontal="center"/>
    </xf>
    <xf numFmtId="10" fontId="8" fillId="0" borderId="16" xfId="17" applyNumberFormat="1" applyFont="1" applyBorder="1" applyAlignment="1">
      <alignment horizontal="center"/>
    </xf>
    <xf numFmtId="5" fontId="8" fillId="0" borderId="102" xfId="17" applyNumberFormat="1" applyFont="1" applyBorder="1" applyAlignment="1">
      <alignment horizontal="center"/>
    </xf>
    <xf numFmtId="6" fontId="8" fillId="0" borderId="59" xfId="17" applyNumberFormat="1" applyFont="1" applyBorder="1" applyAlignment="1">
      <alignment horizontal="center"/>
    </xf>
    <xf numFmtId="0" fontId="8" fillId="0" borderId="8" xfId="0" applyNumberFormat="1" applyFont="1" applyBorder="1" applyAlignment="1">
      <alignment horizontal="center"/>
    </xf>
    <xf numFmtId="10" fontId="8" fillId="0" borderId="96" xfId="17" applyNumberFormat="1" applyFont="1" applyBorder="1" applyAlignment="1">
      <alignment horizontal="center"/>
    </xf>
    <xf numFmtId="0" fontId="8" fillId="0" borderId="16" xfId="17" applyNumberFormat="1" applyFont="1" applyBorder="1" applyAlignment="1">
      <alignment horizontal="center"/>
    </xf>
    <xf numFmtId="0" fontId="8" fillId="0" borderId="102" xfId="17" applyNumberFormat="1" applyFont="1" applyBorder="1" applyAlignment="1">
      <alignment horizontal="center"/>
    </xf>
    <xf numFmtId="0" fontId="10" fillId="9" borderId="110" xfId="0" applyFont="1" applyFill="1" applyBorder="1" applyAlignment="1">
      <alignment horizontal="centerContinuous"/>
    </xf>
    <xf numFmtId="0" fontId="8" fillId="9" borderId="63" xfId="0" applyFont="1" applyFill="1" applyBorder="1" applyAlignment="1">
      <alignment horizontal="centerContinuous"/>
    </xf>
    <xf numFmtId="0" fontId="8" fillId="9" borderId="111" xfId="0" applyFont="1" applyFill="1" applyBorder="1" applyAlignment="1">
      <alignment horizontal="centerContinuous"/>
    </xf>
    <xf numFmtId="0" fontId="8" fillId="9" borderId="112" xfId="0" applyFont="1" applyFill="1" applyBorder="1" applyAlignment="1">
      <alignment horizontal="centerContinuous"/>
    </xf>
    <xf numFmtId="0" fontId="0" fillId="0" borderId="74" xfId="0" applyBorder="1"/>
    <xf numFmtId="0" fontId="17" fillId="0" borderId="75" xfId="0" applyFont="1" applyBorder="1" applyAlignment="1">
      <alignment horizontal="center"/>
    </xf>
    <xf numFmtId="17" fontId="0" fillId="0" borderId="75" xfId="0" applyNumberFormat="1" applyBorder="1" applyAlignment="1">
      <alignment horizontal="center"/>
    </xf>
    <xf numFmtId="0" fontId="0" fillId="0" borderId="38" xfId="0" applyBorder="1"/>
    <xf numFmtId="0" fontId="0" fillId="0" borderId="6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5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2" xfId="0" applyBorder="1" applyAlignment="1">
      <alignment horizontal="center"/>
    </xf>
    <xf numFmtId="0" fontId="17" fillId="0" borderId="12" xfId="0" applyFont="1" applyBorder="1" applyAlignment="1">
      <alignment horizontal="center"/>
    </xf>
    <xf numFmtId="0" fontId="17" fillId="0" borderId="13" xfId="0" applyFont="1" applyBorder="1" applyAlignment="1">
      <alignment horizontal="center"/>
    </xf>
    <xf numFmtId="37" fontId="0" fillId="0" borderId="12" xfId="0" applyNumberFormat="1" applyBorder="1" applyAlignment="1">
      <alignment horizontal="center"/>
    </xf>
    <xf numFmtId="37" fontId="0" fillId="0" borderId="13" xfId="0" applyNumberFormat="1" applyBorder="1" applyAlignment="1"/>
    <xf numFmtId="0" fontId="0" fillId="0" borderId="11" xfId="0" applyBorder="1" applyAlignment="1"/>
    <xf numFmtId="0" fontId="0" fillId="0" borderId="90" xfId="0" applyBorder="1"/>
    <xf numFmtId="0" fontId="0" fillId="0" borderId="91" xfId="0" applyBorder="1"/>
    <xf numFmtId="0" fontId="0" fillId="0" borderId="91" xfId="0" applyBorder="1" applyAlignment="1">
      <alignment horizontal="right"/>
    </xf>
    <xf numFmtId="37" fontId="0" fillId="0" borderId="92" xfId="0" applyNumberFormat="1" applyBorder="1" applyAlignment="1"/>
    <xf numFmtId="37" fontId="0" fillId="0" borderId="93" xfId="0" applyNumberFormat="1" applyBorder="1" applyAlignment="1"/>
    <xf numFmtId="0" fontId="0" fillId="0" borderId="94" xfId="0" applyBorder="1"/>
    <xf numFmtId="0" fontId="8" fillId="0" borderId="75" xfId="0" applyFont="1" applyBorder="1" applyAlignment="1">
      <alignment horizontal="center"/>
    </xf>
    <xf numFmtId="10" fontId="8" fillId="0" borderId="12" xfId="17" applyNumberFormat="1" applyFont="1" applyBorder="1" applyAlignment="1">
      <alignment horizontal="center"/>
    </xf>
    <xf numFmtId="5" fontId="0" fillId="0" borderId="13" xfId="0" applyNumberFormat="1" applyBorder="1"/>
    <xf numFmtId="5" fontId="0" fillId="0" borderId="92" xfId="0" applyNumberFormat="1" applyBorder="1"/>
    <xf numFmtId="0" fontId="0" fillId="9" borderId="63" xfId="0" applyFill="1" applyBorder="1" applyAlignment="1">
      <alignment horizontal="centerContinuous"/>
    </xf>
    <xf numFmtId="0" fontId="0" fillId="9" borderId="112" xfId="0" applyFill="1" applyBorder="1" applyAlignment="1">
      <alignment horizontal="centerContinuous"/>
    </xf>
    <xf numFmtId="7" fontId="17" fillId="0" borderId="12" xfId="0" applyNumberFormat="1" applyFont="1" applyBorder="1" applyAlignment="1">
      <alignment horizontal="center"/>
    </xf>
    <xf numFmtId="7" fontId="8" fillId="0" borderId="12" xfId="0" applyNumberFormat="1" applyFont="1" applyBorder="1" applyAlignment="1">
      <alignment horizontal="center"/>
    </xf>
    <xf numFmtId="5" fontId="0" fillId="0" borderId="13" xfId="0" applyNumberFormat="1" applyBorder="1" applyAlignment="1"/>
    <xf numFmtId="7" fontId="8" fillId="0" borderId="12" xfId="0" applyNumberFormat="1" applyFont="1" applyBorder="1" applyAlignment="1"/>
    <xf numFmtId="0" fontId="8" fillId="0" borderId="12" xfId="15" applyFont="1" applyBorder="1"/>
    <xf numFmtId="17" fontId="8" fillId="0" borderId="12" xfId="15" applyNumberFormat="1" applyFont="1" applyBorder="1" applyAlignment="1">
      <alignment horizontal="center"/>
    </xf>
    <xf numFmtId="5" fontId="17" fillId="9" borderId="82" xfId="0" applyNumberFormat="1" applyFont="1" applyFill="1" applyBorder="1"/>
    <xf numFmtId="5" fontId="8" fillId="9" borderId="85" xfId="0" applyNumberFormat="1" applyFont="1" applyFill="1" applyBorder="1"/>
    <xf numFmtId="10" fontId="8" fillId="10" borderId="113" xfId="0" applyNumberFormat="1" applyFont="1" applyFill="1" applyBorder="1"/>
    <xf numFmtId="10" fontId="8" fillId="10" borderId="114" xfId="0" applyNumberFormat="1" applyFont="1" applyFill="1" applyBorder="1"/>
    <xf numFmtId="10" fontId="8" fillId="10" borderId="115" xfId="17" applyNumberFormat="1" applyFont="1" applyFill="1" applyBorder="1"/>
    <xf numFmtId="0" fontId="8" fillId="9" borderId="57" xfId="0" applyFont="1" applyFill="1" applyBorder="1" applyAlignment="1"/>
    <xf numFmtId="0" fontId="9" fillId="0" borderId="0" xfId="0" applyFont="1" applyBorder="1" applyAlignment="1"/>
    <xf numFmtId="0" fontId="9" fillId="0" borderId="13" xfId="0" applyFont="1" applyBorder="1" applyAlignment="1"/>
    <xf numFmtId="5" fontId="8" fillId="0" borderId="13" xfId="0" applyNumberFormat="1" applyFont="1" applyBorder="1" applyAlignment="1"/>
    <xf numFmtId="5" fontId="8" fillId="0" borderId="17" xfId="0" applyNumberFormat="1" applyFont="1" applyBorder="1" applyAlignment="1"/>
    <xf numFmtId="37" fontId="4" fillId="9" borderId="116" xfId="3" applyNumberFormat="1" applyFont="1" applyFill="1" applyBorder="1"/>
    <xf numFmtId="37" fontId="8" fillId="0" borderId="16" xfId="3" applyNumberFormat="1" applyFont="1" applyBorder="1"/>
    <xf numFmtId="37" fontId="8" fillId="0" borderId="38" xfId="3" applyNumberFormat="1" applyFont="1" applyBorder="1"/>
    <xf numFmtId="0" fontId="4" fillId="0" borderId="67" xfId="0" applyFont="1" applyBorder="1" applyAlignment="1">
      <alignment horizontal="left"/>
    </xf>
    <xf numFmtId="37" fontId="8" fillId="0" borderId="74" xfId="0" applyNumberFormat="1" applyFont="1" applyBorder="1"/>
    <xf numFmtId="5" fontId="8" fillId="0" borderId="11" xfId="0" applyNumberFormat="1" applyFont="1" applyFill="1" applyBorder="1" applyAlignment="1" applyProtection="1"/>
    <xf numFmtId="5" fontId="8" fillId="0" borderId="11" xfId="0" applyNumberFormat="1" applyFont="1" applyFill="1" applyBorder="1"/>
    <xf numFmtId="5" fontId="8" fillId="0" borderId="13" xfId="0" applyNumberFormat="1" applyFont="1" applyFill="1" applyBorder="1"/>
    <xf numFmtId="5" fontId="17" fillId="0" borderId="10" xfId="0" applyNumberFormat="1" applyFont="1" applyBorder="1"/>
    <xf numFmtId="10" fontId="12" fillId="0" borderId="0" xfId="17" applyNumberFormat="1" applyFont="1" applyBorder="1" applyAlignment="1">
      <alignment horizontal="center"/>
    </xf>
    <xf numFmtId="0" fontId="8" fillId="0" borderId="10" xfId="0" applyNumberFormat="1" applyFont="1" applyBorder="1"/>
    <xf numFmtId="0" fontId="8" fillId="0" borderId="11" xfId="0" applyNumberFormat="1" applyFont="1" applyBorder="1"/>
    <xf numFmtId="0" fontId="8" fillId="0" borderId="16" xfId="0" applyNumberFormat="1" applyFont="1" applyBorder="1"/>
    <xf numFmtId="0" fontId="8" fillId="0" borderId="102" xfId="0" applyNumberFormat="1" applyFont="1" applyBorder="1"/>
    <xf numFmtId="37" fontId="8" fillId="0" borderId="16" xfId="0" applyNumberFormat="1" applyFont="1" applyBorder="1" applyAlignment="1">
      <alignment horizontal="right"/>
    </xf>
    <xf numFmtId="14" fontId="8" fillId="0" borderId="0" xfId="0" applyNumberFormat="1" applyFont="1" applyBorder="1"/>
    <xf numFmtId="0" fontId="17" fillId="0" borderId="8" xfId="0" applyFont="1" applyBorder="1" applyAlignment="1">
      <alignment horizontal="center"/>
    </xf>
    <xf numFmtId="39" fontId="8" fillId="0" borderId="10" xfId="0" applyNumberFormat="1" applyFont="1" applyBorder="1" applyAlignment="1">
      <alignment horizontal="center"/>
    </xf>
    <xf numFmtId="39" fontId="8" fillId="0" borderId="96" xfId="0" applyNumberFormat="1" applyFont="1" applyBorder="1" applyAlignment="1">
      <alignment horizontal="center"/>
    </xf>
    <xf numFmtId="39" fontId="8" fillId="0" borderId="0" xfId="0" applyNumberFormat="1" applyFont="1" applyBorder="1" applyAlignment="1">
      <alignment horizontal="center"/>
    </xf>
    <xf numFmtId="39" fontId="8" fillId="0" borderId="16" xfId="0" applyNumberFormat="1" applyFont="1" applyBorder="1" applyAlignment="1">
      <alignment horizontal="center"/>
    </xf>
    <xf numFmtId="14" fontId="8" fillId="0" borderId="11" xfId="0" applyNumberFormat="1" applyFont="1" applyBorder="1" applyAlignment="1">
      <alignment horizontal="center"/>
    </xf>
    <xf numFmtId="17" fontId="8" fillId="0" borderId="10" xfId="0" applyNumberFormat="1" applyFont="1" applyBorder="1"/>
    <xf numFmtId="17" fontId="8" fillId="0" borderId="59" xfId="0" applyNumberFormat="1" applyFont="1" applyBorder="1"/>
    <xf numFmtId="17" fontId="8" fillId="0" borderId="8" xfId="0" applyNumberFormat="1" applyFont="1" applyBorder="1"/>
    <xf numFmtId="17" fontId="8" fillId="0" borderId="96" xfId="0" applyNumberFormat="1" applyFont="1" applyBorder="1"/>
    <xf numFmtId="0" fontId="22" fillId="0" borderId="10" xfId="0" applyFont="1" applyBorder="1" applyAlignment="1">
      <alignment horizontal="right"/>
    </xf>
    <xf numFmtId="0" fontId="16" fillId="0" borderId="14" xfId="0" applyFont="1" applyBorder="1"/>
    <xf numFmtId="0" fontId="27" fillId="0" borderId="0" xfId="0" applyNumberFormat="1" applyFont="1" applyBorder="1" applyAlignment="1"/>
    <xf numFmtId="0" fontId="17" fillId="0" borderId="10" xfId="0" applyFont="1" applyBorder="1" applyAlignment="1">
      <alignment horizontal="center"/>
    </xf>
    <xf numFmtId="37" fontId="4" fillId="0" borderId="117" xfId="0" applyNumberFormat="1" applyFont="1" applyBorder="1"/>
    <xf numFmtId="0" fontId="15" fillId="0" borderId="0" xfId="0" applyFont="1" applyFill="1" applyBorder="1"/>
    <xf numFmtId="0" fontId="4" fillId="0" borderId="98" xfId="0" applyFont="1" applyBorder="1" applyAlignment="1">
      <alignment horizontal="right"/>
    </xf>
    <xf numFmtId="9" fontId="10" fillId="0" borderId="59" xfId="0" applyNumberFormat="1" applyFont="1" applyBorder="1" applyAlignment="1">
      <alignment horizontal="right"/>
    </xf>
    <xf numFmtId="9" fontId="10" fillId="0" borderId="8" xfId="0" applyNumberFormat="1" applyFont="1" applyBorder="1" applyAlignment="1">
      <alignment horizontal="right"/>
    </xf>
    <xf numFmtId="5" fontId="8" fillId="0" borderId="100" xfId="0" applyNumberFormat="1" applyFont="1" applyBorder="1"/>
    <xf numFmtId="5" fontId="8" fillId="0" borderId="101" xfId="0" applyNumberFormat="1" applyFont="1" applyBorder="1"/>
    <xf numFmtId="5" fontId="8" fillId="0" borderId="103" xfId="0" applyNumberFormat="1" applyFont="1" applyBorder="1"/>
    <xf numFmtId="0" fontId="4" fillId="0" borderId="118" xfId="0" applyFont="1" applyBorder="1" applyAlignment="1">
      <alignment horizontal="right"/>
    </xf>
    <xf numFmtId="0" fontId="4" fillId="0" borderId="21" xfId="0" applyFont="1" applyBorder="1" applyAlignment="1">
      <alignment horizontal="right"/>
    </xf>
    <xf numFmtId="0" fontId="4" fillId="0" borderId="4" xfId="0" applyFont="1" applyBorder="1" applyAlignment="1">
      <alignment horizontal="right"/>
    </xf>
    <xf numFmtId="0" fontId="4" fillId="0" borderId="119" xfId="0" applyFont="1" applyBorder="1" applyAlignment="1">
      <alignment horizontal="right"/>
    </xf>
    <xf numFmtId="0" fontId="4" fillId="0" borderId="9" xfId="0" applyFont="1" applyBorder="1" applyAlignment="1">
      <alignment horizontal="centerContinuous"/>
    </xf>
    <xf numFmtId="37" fontId="15" fillId="8" borderId="0" xfId="0" applyNumberFormat="1" applyFont="1" applyFill="1" applyBorder="1"/>
    <xf numFmtId="9" fontId="15" fillId="8" borderId="0" xfId="0" applyNumberFormat="1" applyFont="1" applyFill="1" applyBorder="1" applyAlignment="1">
      <alignment horizontal="centerContinuous"/>
    </xf>
    <xf numFmtId="9" fontId="11" fillId="8" borderId="0" xfId="0" applyNumberFormat="1" applyFont="1" applyFill="1" applyBorder="1" applyAlignment="1">
      <alignment horizontal="centerContinuous"/>
    </xf>
    <xf numFmtId="0" fontId="15" fillId="8" borderId="13" xfId="0" applyFont="1" applyFill="1" applyBorder="1"/>
    <xf numFmtId="0" fontId="15" fillId="8" borderId="0" xfId="0" applyFont="1" applyFill="1" applyBorder="1"/>
    <xf numFmtId="0" fontId="15" fillId="8" borderId="120" xfId="0" applyFont="1" applyFill="1" applyBorder="1"/>
    <xf numFmtId="0" fontId="15" fillId="8" borderId="17" xfId="0" applyFont="1" applyFill="1" applyBorder="1" applyAlignment="1">
      <alignment horizontal="right"/>
    </xf>
    <xf numFmtId="0" fontId="35" fillId="8" borderId="9" xfId="0" applyFont="1" applyFill="1" applyBorder="1" applyAlignment="1">
      <alignment horizontal="center"/>
    </xf>
    <xf numFmtId="7" fontId="8" fillId="8" borderId="0" xfId="0" applyNumberFormat="1" applyFont="1" applyFill="1" applyBorder="1" applyAlignment="1">
      <alignment horizontal="centerContinuous"/>
    </xf>
    <xf numFmtId="7" fontId="8" fillId="8" borderId="16" xfId="0" applyNumberFormat="1" applyFont="1" applyFill="1" applyBorder="1" applyAlignment="1">
      <alignment horizontal="centerContinuous"/>
    </xf>
    <xf numFmtId="17" fontId="15" fillId="8" borderId="0" xfId="0" applyNumberFormat="1" applyFont="1" applyFill="1" applyBorder="1"/>
    <xf numFmtId="5" fontId="15" fillId="8" borderId="0" xfId="0" applyNumberFormat="1" applyFont="1" applyFill="1" applyBorder="1"/>
    <xf numFmtId="5" fontId="19" fillId="8" borderId="0" xfId="0" applyNumberFormat="1" applyFont="1" applyFill="1" applyBorder="1"/>
    <xf numFmtId="7" fontId="15" fillId="8" borderId="0" xfId="0" applyNumberFormat="1" applyFont="1" applyFill="1" applyBorder="1" applyAlignment="1"/>
    <xf numFmtId="0" fontId="8" fillId="8" borderId="0" xfId="0" applyFont="1" applyFill="1" applyBorder="1"/>
    <xf numFmtId="0" fontId="8" fillId="8" borderId="0" xfId="0" applyFont="1" applyFill="1" applyBorder="1" applyAlignment="1">
      <alignment horizontal="right"/>
    </xf>
    <xf numFmtId="0" fontId="15" fillId="8" borderId="16" xfId="0" applyFont="1" applyFill="1" applyBorder="1"/>
    <xf numFmtId="0" fontId="35" fillId="8" borderId="9" xfId="0" applyFont="1" applyFill="1" applyBorder="1" applyAlignment="1">
      <alignment horizontal="right"/>
    </xf>
    <xf numFmtId="0" fontId="21" fillId="8" borderId="9" xfId="0" applyFont="1" applyFill="1" applyBorder="1" applyAlignment="1">
      <alignment horizontal="center"/>
    </xf>
    <xf numFmtId="10" fontId="15" fillId="8" borderId="0" xfId="0" applyNumberFormat="1" applyFont="1" applyFill="1" applyBorder="1"/>
    <xf numFmtId="10" fontId="15" fillId="8" borderId="16" xfId="0" applyNumberFormat="1" applyFont="1" applyFill="1" applyBorder="1"/>
    <xf numFmtId="0" fontId="15" fillId="8" borderId="9" xfId="0" applyFont="1" applyFill="1" applyBorder="1" applyAlignment="1">
      <alignment horizontal="center"/>
    </xf>
    <xf numFmtId="0" fontId="15" fillId="8" borderId="0" xfId="0" applyFont="1" applyFill="1" applyBorder="1" applyAlignment="1">
      <alignment horizontal="center"/>
    </xf>
    <xf numFmtId="0" fontId="19" fillId="8" borderId="0" xfId="0" applyFont="1" applyFill="1" applyBorder="1"/>
    <xf numFmtId="37" fontId="15" fillId="8" borderId="0" xfId="0" applyNumberFormat="1" applyFont="1" applyFill="1" applyBorder="1" applyAlignment="1">
      <alignment horizontal="center"/>
    </xf>
    <xf numFmtId="37" fontId="15" fillId="8" borderId="16" xfId="0" applyNumberFormat="1" applyFont="1" applyFill="1" applyBorder="1" applyAlignment="1">
      <alignment horizontal="center"/>
    </xf>
    <xf numFmtId="10" fontId="15" fillId="8" borderId="16" xfId="0" applyNumberFormat="1" applyFont="1" applyFill="1" applyBorder="1" applyAlignment="1">
      <alignment horizontal="center"/>
    </xf>
    <xf numFmtId="10" fontId="15" fillId="8" borderId="17" xfId="0" applyNumberFormat="1" applyFont="1" applyFill="1" applyBorder="1" applyAlignment="1">
      <alignment horizontal="center"/>
    </xf>
    <xf numFmtId="10" fontId="15" fillId="8" borderId="0" xfId="0" applyNumberFormat="1" applyFont="1" applyFill="1" applyBorder="1" applyAlignment="1">
      <alignment horizontal="center"/>
    </xf>
    <xf numFmtId="9" fontId="35" fillId="8" borderId="0" xfId="17" applyFont="1" applyFill="1" applyAlignment="1"/>
    <xf numFmtId="5" fontId="15" fillId="8" borderId="0" xfId="0" applyNumberFormat="1" applyFont="1" applyFill="1" applyBorder="1" applyAlignment="1"/>
    <xf numFmtId="0" fontId="15" fillId="8" borderId="0" xfId="0" applyFont="1" applyFill="1" applyAlignment="1">
      <alignment horizontal="center"/>
    </xf>
    <xf numFmtId="0" fontId="35" fillId="8" borderId="0" xfId="0" applyFont="1" applyFill="1" applyBorder="1" applyAlignment="1">
      <alignment horizontal="center"/>
    </xf>
    <xf numFmtId="14" fontId="15" fillId="8" borderId="0" xfId="0" applyNumberFormat="1" applyFont="1" applyFill="1" applyBorder="1" applyAlignment="1">
      <alignment horizontal="center"/>
    </xf>
    <xf numFmtId="10" fontId="21" fillId="8" borderId="0" xfId="0" applyNumberFormat="1" applyFont="1" applyFill="1" applyBorder="1" applyAlignment="1">
      <alignment horizontal="center"/>
    </xf>
    <xf numFmtId="0" fontId="15" fillId="8" borderId="9" xfId="0" applyFont="1" applyFill="1" applyBorder="1"/>
    <xf numFmtId="17" fontId="15" fillId="8" borderId="13" xfId="0" applyNumberFormat="1" applyFont="1" applyFill="1" applyBorder="1"/>
    <xf numFmtId="10" fontId="15" fillId="8" borderId="13" xfId="0" applyNumberFormat="1" applyFont="1" applyFill="1" applyBorder="1"/>
    <xf numFmtId="10" fontId="15" fillId="8" borderId="17" xfId="0" applyNumberFormat="1" applyFont="1" applyFill="1" applyBorder="1"/>
    <xf numFmtId="5" fontId="15" fillId="8" borderId="16" xfId="0" applyNumberFormat="1" applyFont="1" applyFill="1" applyBorder="1" applyAlignment="1">
      <alignment horizontal="center"/>
    </xf>
    <xf numFmtId="6" fontId="15" fillId="8" borderId="8" xfId="0" applyNumberFormat="1" applyFont="1" applyFill="1" applyBorder="1" applyAlignment="1"/>
    <xf numFmtId="10" fontId="15" fillId="8" borderId="0" xfId="17" applyNumberFormat="1" applyFont="1" applyFill="1" applyBorder="1" applyAlignment="1">
      <alignment horizontal="center"/>
    </xf>
    <xf numFmtId="7" fontId="15" fillId="8" borderId="13" xfId="0" applyNumberFormat="1" applyFont="1" applyFill="1" applyBorder="1" applyAlignment="1">
      <alignment horizontal="center"/>
    </xf>
    <xf numFmtId="37" fontId="15" fillId="8" borderId="0" xfId="0" applyNumberFormat="1" applyFont="1" applyFill="1" applyBorder="1" applyAlignment="1"/>
    <xf numFmtId="0" fontId="38" fillId="8" borderId="0" xfId="0" applyFont="1" applyFill="1" applyBorder="1" applyAlignment="1">
      <alignment horizontal="center"/>
    </xf>
    <xf numFmtId="5" fontId="25" fillId="9" borderId="45" xfId="0" applyNumberFormat="1" applyFont="1" applyFill="1" applyBorder="1"/>
    <xf numFmtId="5" fontId="15" fillId="8" borderId="100" xfId="0" applyNumberFormat="1" applyFont="1" applyFill="1" applyBorder="1"/>
    <xf numFmtId="5" fontId="19" fillId="8" borderId="100" xfId="0" applyNumberFormat="1" applyFont="1" applyFill="1" applyBorder="1"/>
    <xf numFmtId="10" fontId="15" fillId="8" borderId="10" xfId="0" applyNumberFormat="1" applyFont="1" applyFill="1" applyBorder="1" applyAlignment="1">
      <alignment horizontal="center"/>
    </xf>
    <xf numFmtId="0" fontId="35" fillId="8" borderId="99" xfId="0" applyFont="1" applyFill="1" applyBorder="1"/>
    <xf numFmtId="0" fontId="15" fillId="8" borderId="11" xfId="0" applyFont="1" applyFill="1" applyBorder="1"/>
    <xf numFmtId="0" fontId="35" fillId="8" borderId="14" xfId="0" applyFont="1" applyFill="1" applyBorder="1"/>
    <xf numFmtId="0" fontId="40" fillId="8" borderId="14" xfId="0" applyFont="1" applyFill="1" applyBorder="1"/>
    <xf numFmtId="0" fontId="40" fillId="8" borderId="97" xfId="0" applyFont="1" applyFill="1" applyBorder="1"/>
    <xf numFmtId="0" fontId="15" fillId="8" borderId="14" xfId="0" applyFont="1" applyFill="1" applyBorder="1"/>
    <xf numFmtId="0" fontId="15" fillId="8" borderId="97" xfId="0" applyFont="1" applyFill="1" applyBorder="1"/>
    <xf numFmtId="5" fontId="17" fillId="0" borderId="31" xfId="0" applyNumberFormat="1" applyFont="1" applyFill="1" applyBorder="1" applyAlignment="1"/>
    <xf numFmtId="0" fontId="0" fillId="0" borderId="91" xfId="0" applyBorder="1" applyAlignment="1"/>
    <xf numFmtId="0" fontId="0" fillId="0" borderId="13" xfId="0" applyNumberFormat="1" applyFont="1" applyBorder="1"/>
    <xf numFmtId="0" fontId="4" fillId="0" borderId="91" xfId="0" applyFont="1" applyBorder="1" applyAlignment="1">
      <alignment horizontal="centerContinuous"/>
    </xf>
    <xf numFmtId="0" fontId="4" fillId="0" borderId="92" xfId="0" applyNumberFormat="1" applyFont="1" applyBorder="1" applyAlignment="1">
      <alignment horizontal="centerContinuous"/>
    </xf>
    <xf numFmtId="0" fontId="35" fillId="8" borderId="13" xfId="0" applyFont="1" applyFill="1" applyBorder="1" applyAlignment="1">
      <alignment horizontal="center"/>
    </xf>
    <xf numFmtId="0" fontId="22" fillId="0" borderId="8" xfId="0" applyFont="1" applyBorder="1" applyAlignment="1">
      <alignment horizontal="centerContinuous"/>
    </xf>
    <xf numFmtId="0" fontId="12" fillId="0" borderId="0" xfId="0" applyNumberFormat="1" applyFont="1" applyBorder="1" applyAlignment="1"/>
    <xf numFmtId="0" fontId="12" fillId="0" borderId="99" xfId="0" applyFont="1" applyFill="1" applyBorder="1"/>
    <xf numFmtId="10" fontId="8" fillId="0" borderId="0" xfId="17" applyNumberFormat="1" applyFont="1" applyFill="1" applyBorder="1" applyAlignment="1">
      <alignment horizontal="center"/>
    </xf>
    <xf numFmtId="5" fontId="34" fillId="0" borderId="0" xfId="0" applyNumberFormat="1" applyFont="1" applyBorder="1"/>
    <xf numFmtId="5" fontId="34" fillId="0" borderId="75" xfId="0" applyNumberFormat="1" applyFont="1" applyBorder="1"/>
    <xf numFmtId="0" fontId="4" fillId="0" borderId="10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5" fontId="8" fillId="0" borderId="12" xfId="0" applyNumberFormat="1" applyFont="1" applyBorder="1"/>
    <xf numFmtId="5" fontId="8" fillId="0" borderId="69" xfId="0" applyNumberFormat="1" applyFont="1" applyBorder="1"/>
    <xf numFmtId="5" fontId="8" fillId="0" borderId="90" xfId="0" applyNumberFormat="1" applyFont="1" applyBorder="1"/>
    <xf numFmtId="5" fontId="8" fillId="0" borderId="4" xfId="0" applyNumberFormat="1" applyFont="1" applyFill="1" applyBorder="1"/>
    <xf numFmtId="0" fontId="4" fillId="0" borderId="12" xfId="0" applyFont="1" applyBorder="1" applyAlignment="1">
      <alignment horizontal="centerContinuous"/>
    </xf>
    <xf numFmtId="0" fontId="4" fillId="0" borderId="67" xfId="0" applyFont="1" applyBorder="1" applyAlignment="1">
      <alignment horizontal="centerContinuous"/>
    </xf>
    <xf numFmtId="0" fontId="8" fillId="0" borderId="9" xfId="0" applyFont="1" applyBorder="1" applyAlignment="1">
      <alignment horizontal="centerContinuous"/>
    </xf>
    <xf numFmtId="0" fontId="4" fillId="0" borderId="12" xfId="0" applyFont="1" applyBorder="1" applyAlignment="1">
      <alignment horizontal="right"/>
    </xf>
    <xf numFmtId="0" fontId="4" fillId="0" borderId="0" xfId="0" applyFont="1" applyBorder="1" applyAlignment="1">
      <alignment horizontal="right"/>
    </xf>
    <xf numFmtId="0" fontId="4" fillId="0" borderId="13" xfId="0" applyFont="1" applyBorder="1" applyAlignment="1">
      <alignment horizontal="right"/>
    </xf>
    <xf numFmtId="0" fontId="9" fillId="0" borderId="12" xfId="0" applyFont="1" applyBorder="1" applyAlignment="1">
      <alignment horizontal="right"/>
    </xf>
    <xf numFmtId="5" fontId="15" fillId="0" borderId="12" xfId="0" applyNumberFormat="1" applyFont="1" applyBorder="1"/>
    <xf numFmtId="5" fontId="19" fillId="0" borderId="12" xfId="0" applyNumberFormat="1" applyFont="1" applyBorder="1"/>
    <xf numFmtId="10" fontId="17" fillId="0" borderId="13" xfId="0" applyNumberFormat="1" applyFont="1" applyBorder="1"/>
    <xf numFmtId="9" fontId="10" fillId="0" borderId="95" xfId="0" applyNumberFormat="1" applyFont="1" applyBorder="1" applyAlignment="1">
      <alignment horizontal="right"/>
    </xf>
    <xf numFmtId="5" fontId="8" fillId="9" borderId="0" xfId="14" applyNumberFormat="1" applyFont="1" applyFill="1" applyBorder="1" applyAlignment="1"/>
    <xf numFmtId="5" fontId="8" fillId="9" borderId="75" xfId="14" applyNumberFormat="1" applyFont="1" applyFill="1" applyBorder="1" applyAlignment="1"/>
    <xf numFmtId="0" fontId="8" fillId="9" borderId="79" xfId="14" applyNumberFormat="1" applyFont="1" applyFill="1" applyBorder="1" applyAlignment="1"/>
    <xf numFmtId="0" fontId="3" fillId="0" borderId="0" xfId="16"/>
    <xf numFmtId="0" fontId="3" fillId="0" borderId="98" xfId="16" applyBorder="1"/>
    <xf numFmtId="0" fontId="3" fillId="0" borderId="59" xfId="16" applyBorder="1"/>
    <xf numFmtId="0" fontId="3" fillId="0" borderId="8" xfId="16" applyBorder="1"/>
    <xf numFmtId="0" fontId="3" fillId="0" borderId="9" xfId="16" applyBorder="1"/>
    <xf numFmtId="0" fontId="4" fillId="0" borderId="67" xfId="16" applyFont="1" applyBorder="1" applyAlignment="1">
      <alignment horizontal="centerContinuous"/>
    </xf>
    <xf numFmtId="0" fontId="3" fillId="0" borderId="8" xfId="16" applyBorder="1" applyAlignment="1">
      <alignment horizontal="centerContinuous"/>
    </xf>
    <xf numFmtId="0" fontId="3" fillId="0" borderId="9" xfId="16" applyBorder="1" applyAlignment="1">
      <alignment horizontal="centerContinuous"/>
    </xf>
    <xf numFmtId="0" fontId="3" fillId="0" borderId="100" xfId="16" applyBorder="1"/>
    <xf numFmtId="0" fontId="35" fillId="8" borderId="10" xfId="16" applyFont="1" applyFill="1" applyBorder="1" applyAlignment="1">
      <alignment horizontal="center"/>
    </xf>
    <xf numFmtId="0" fontId="12" fillId="0" borderId="0" xfId="16" applyFont="1" applyBorder="1" applyAlignment="1">
      <alignment horizontal="center"/>
    </xf>
    <xf numFmtId="0" fontId="12" fillId="0" borderId="13" xfId="16" applyFont="1" applyBorder="1" applyAlignment="1">
      <alignment horizontal="center"/>
    </xf>
    <xf numFmtId="0" fontId="12" fillId="0" borderId="12" xfId="16" applyFont="1" applyBorder="1"/>
    <xf numFmtId="0" fontId="3" fillId="0" borderId="0" xfId="16" applyBorder="1"/>
    <xf numFmtId="0" fontId="3" fillId="0" borderId="13" xfId="16" applyBorder="1"/>
    <xf numFmtId="0" fontId="3" fillId="0" borderId="12" xfId="16" applyBorder="1"/>
    <xf numFmtId="0" fontId="3" fillId="0" borderId="10" xfId="16" applyBorder="1"/>
    <xf numFmtId="0" fontId="4" fillId="0" borderId="10" xfId="16" applyFont="1" applyBorder="1" applyAlignment="1">
      <alignment horizontal="centerContinuous"/>
    </xf>
    <xf numFmtId="0" fontId="3" fillId="0" borderId="0" xfId="16" applyBorder="1" applyAlignment="1">
      <alignment horizontal="centerContinuous"/>
    </xf>
    <xf numFmtId="0" fontId="3" fillId="0" borderId="13" xfId="16" applyBorder="1" applyAlignment="1">
      <alignment horizontal="centerContinuous"/>
    </xf>
    <xf numFmtId="0" fontId="35" fillId="8" borderId="12" xfId="16" applyFont="1" applyFill="1" applyBorder="1"/>
    <xf numFmtId="0" fontId="3" fillId="0" borderId="0" xfId="16" applyBorder="1" applyAlignment="1">
      <alignment horizontal="center"/>
    </xf>
    <xf numFmtId="0" fontId="3" fillId="0" borderId="13" xfId="16" applyBorder="1" applyAlignment="1">
      <alignment horizontal="center"/>
    </xf>
    <xf numFmtId="0" fontId="12" fillId="0" borderId="0" xfId="16" applyFont="1" applyAlignment="1">
      <alignment horizontal="center"/>
    </xf>
    <xf numFmtId="0" fontId="15" fillId="8" borderId="13" xfId="16" applyFont="1" applyFill="1" applyBorder="1" applyAlignment="1">
      <alignment horizontal="center"/>
    </xf>
    <xf numFmtId="17" fontId="35" fillId="8" borderId="10" xfId="16" applyNumberFormat="1" applyFont="1" applyFill="1" applyBorder="1" applyAlignment="1">
      <alignment horizontal="center"/>
    </xf>
    <xf numFmtId="17" fontId="35" fillId="8" borderId="0" xfId="16" applyNumberFormat="1" applyFont="1" applyFill="1" applyBorder="1" applyAlignment="1">
      <alignment horizontal="center"/>
    </xf>
    <xf numFmtId="17" fontId="35" fillId="8" borderId="13" xfId="16" applyNumberFormat="1" applyFont="1" applyFill="1" applyBorder="1" applyAlignment="1">
      <alignment horizontal="center"/>
    </xf>
    <xf numFmtId="0" fontId="12" fillId="0" borderId="12" xfId="16" applyFont="1" applyBorder="1" applyAlignment="1"/>
    <xf numFmtId="0" fontId="3" fillId="0" borderId="0" xfId="16" applyBorder="1" applyAlignment="1"/>
    <xf numFmtId="0" fontId="4" fillId="0" borderId="10" xfId="16" applyFont="1" applyBorder="1" applyAlignment="1">
      <alignment horizontal="center"/>
    </xf>
    <xf numFmtId="0" fontId="4" fillId="0" borderId="0" xfId="16" applyFont="1" applyBorder="1" applyAlignment="1">
      <alignment horizontal="center"/>
    </xf>
    <xf numFmtId="0" fontId="4" fillId="0" borderId="13" xfId="16" applyFont="1" applyBorder="1" applyAlignment="1">
      <alignment horizontal="center"/>
    </xf>
    <xf numFmtId="0" fontId="4" fillId="0" borderId="12" xfId="16" applyFont="1" applyBorder="1" applyAlignment="1">
      <alignment horizontal="center"/>
    </xf>
    <xf numFmtId="0" fontId="9" fillId="0" borderId="100" xfId="16" applyFont="1" applyBorder="1" applyAlignment="1">
      <alignment horizontal="center"/>
    </xf>
    <xf numFmtId="0" fontId="9" fillId="0" borderId="10" xfId="16" applyFont="1" applyBorder="1" applyAlignment="1">
      <alignment horizontal="center"/>
    </xf>
    <xf numFmtId="0" fontId="9" fillId="0" borderId="0" xfId="16" applyFont="1" applyBorder="1" applyAlignment="1">
      <alignment horizontal="center"/>
    </xf>
    <xf numFmtId="0" fontId="9" fillId="0" borderId="13" xfId="16" applyFont="1" applyBorder="1" applyAlignment="1">
      <alignment horizontal="center"/>
    </xf>
    <xf numFmtId="0" fontId="9" fillId="0" borderId="12" xfId="16" applyFont="1" applyBorder="1" applyAlignment="1">
      <alignment horizontal="center"/>
    </xf>
    <xf numFmtId="17" fontId="15" fillId="8" borderId="100" xfId="16" applyNumberFormat="1" applyFont="1" applyFill="1" applyBorder="1" applyAlignment="1">
      <alignment horizontal="center"/>
    </xf>
    <xf numFmtId="17" fontId="3" fillId="0" borderId="100" xfId="16" applyNumberFormat="1" applyBorder="1" applyAlignment="1">
      <alignment horizontal="center"/>
    </xf>
    <xf numFmtId="0" fontId="3" fillId="0" borderId="101" xfId="16" applyBorder="1"/>
    <xf numFmtId="0" fontId="3" fillId="0" borderId="96" xfId="16" applyBorder="1"/>
    <xf numFmtId="0" fontId="3" fillId="0" borderId="16" xfId="16" applyBorder="1"/>
    <xf numFmtId="0" fontId="3" fillId="0" borderId="17" xfId="16" applyBorder="1"/>
    <xf numFmtId="0" fontId="3" fillId="0" borderId="15" xfId="16" applyBorder="1"/>
    <xf numFmtId="0" fontId="47" fillId="0" borderId="0" xfId="16" applyFont="1" applyAlignment="1">
      <alignment horizontal="center"/>
    </xf>
    <xf numFmtId="0" fontId="8" fillId="9" borderId="45" xfId="0" applyFont="1" applyFill="1" applyBorder="1" applyAlignment="1">
      <alignment horizontal="right"/>
    </xf>
    <xf numFmtId="0" fontId="4" fillId="0" borderId="67" xfId="0" applyFont="1" applyBorder="1" applyAlignment="1">
      <alignment horizontal="center"/>
    </xf>
    <xf numFmtId="5" fontId="0" fillId="0" borderId="0" xfId="0" applyNumberFormat="1" applyBorder="1" applyAlignment="1">
      <alignment horizontal="right"/>
    </xf>
    <xf numFmtId="0" fontId="8" fillId="0" borderId="13" xfId="0" applyFont="1" applyFill="1" applyBorder="1" applyAlignment="1"/>
    <xf numFmtId="0" fontId="0" fillId="0" borderId="0" xfId="0" applyAlignment="1"/>
    <xf numFmtId="0" fontId="0" fillId="0" borderId="16" xfId="0" applyBorder="1" applyAlignment="1"/>
    <xf numFmtId="0" fontId="4" fillId="0" borderId="9" xfId="0" applyFont="1" applyBorder="1" applyAlignment="1">
      <alignment horizontal="right"/>
    </xf>
    <xf numFmtId="0" fontId="4" fillId="0" borderId="9" xfId="0" applyFont="1" applyBorder="1" applyAlignment="1">
      <alignment horizontal="center"/>
    </xf>
    <xf numFmtId="10" fontId="8" fillId="0" borderId="12" xfId="17" applyNumberFormat="1" applyFont="1" applyFill="1" applyBorder="1" applyAlignment="1">
      <alignment horizontal="center"/>
    </xf>
    <xf numFmtId="0" fontId="15" fillId="8" borderId="12" xfId="0" applyFont="1" applyFill="1" applyBorder="1" applyAlignment="1">
      <alignment horizontal="center"/>
    </xf>
    <xf numFmtId="5" fontId="0" fillId="0" borderId="13" xfId="0" applyNumberFormat="1" applyBorder="1" applyAlignment="1">
      <alignment horizontal="right"/>
    </xf>
    <xf numFmtId="37" fontId="8" fillId="0" borderId="0" xfId="0" applyNumberFormat="1" applyFont="1" applyFill="1" applyBorder="1" applyAlignment="1">
      <alignment horizontal="center"/>
    </xf>
    <xf numFmtId="0" fontId="4" fillId="0" borderId="121" xfId="0" applyFont="1" applyBorder="1" applyAlignment="1">
      <alignment horizontal="right"/>
    </xf>
    <xf numFmtId="0" fontId="4" fillId="0" borderId="122" xfId="0" applyFont="1" applyBorder="1" applyAlignment="1">
      <alignment horizontal="right"/>
    </xf>
    <xf numFmtId="0" fontId="9" fillId="0" borderId="123" xfId="0" applyFont="1" applyBorder="1" applyAlignment="1">
      <alignment horizontal="right"/>
    </xf>
    <xf numFmtId="0" fontId="9" fillId="0" borderId="124" xfId="0" applyFont="1" applyBorder="1" applyAlignment="1">
      <alignment horizontal="right"/>
    </xf>
    <xf numFmtId="0" fontId="0" fillId="0" borderId="125" xfId="0" applyBorder="1"/>
    <xf numFmtId="0" fontId="0" fillId="0" borderId="126" xfId="0" applyBorder="1"/>
    <xf numFmtId="0" fontId="4" fillId="0" borderId="67" xfId="0" applyFont="1" applyBorder="1" applyAlignment="1">
      <alignment horizontal="right"/>
    </xf>
    <xf numFmtId="0" fontId="12" fillId="6" borderId="0" xfId="14" applyNumberFormat="1" applyFont="1" applyAlignment="1">
      <alignment horizontal="center"/>
    </xf>
    <xf numFmtId="5" fontId="17" fillId="0" borderId="12" xfId="0" applyNumberFormat="1" applyFont="1" applyBorder="1"/>
    <xf numFmtId="0" fontId="4" fillId="0" borderId="92" xfId="0" applyFont="1" applyBorder="1" applyAlignment="1">
      <alignment horizontal="center"/>
    </xf>
    <xf numFmtId="5" fontId="15" fillId="8" borderId="12" xfId="0" applyNumberFormat="1" applyFont="1" applyFill="1" applyBorder="1"/>
    <xf numFmtId="5" fontId="25" fillId="0" borderId="12" xfId="0" applyNumberFormat="1" applyFont="1" applyBorder="1"/>
    <xf numFmtId="0" fontId="17" fillId="0" borderId="13" xfId="0" applyFont="1" applyBorder="1"/>
    <xf numFmtId="0" fontId="4" fillId="0" borderId="75" xfId="0" applyFont="1" applyBorder="1" applyAlignment="1">
      <alignment horizontal="right"/>
    </xf>
    <xf numFmtId="0" fontId="9" fillId="0" borderId="75" xfId="0" applyFont="1" applyBorder="1" applyAlignment="1">
      <alignment horizontal="right"/>
    </xf>
    <xf numFmtId="10" fontId="4" fillId="9" borderId="83" xfId="17" applyNumberFormat="1" applyFont="1" applyFill="1" applyBorder="1"/>
    <xf numFmtId="0" fontId="4" fillId="0" borderId="12" xfId="0" applyFont="1" applyBorder="1" applyAlignment="1">
      <alignment horizontal="left"/>
    </xf>
    <xf numFmtId="10" fontId="15" fillId="8" borderId="13" xfId="17" applyNumberFormat="1" applyFont="1" applyFill="1" applyBorder="1" applyAlignment="1">
      <alignment horizontal="center"/>
    </xf>
    <xf numFmtId="5" fontId="8" fillId="0" borderId="127" xfId="0" applyNumberFormat="1" applyFont="1" applyBorder="1"/>
    <xf numFmtId="37" fontId="8" fillId="0" borderId="128" xfId="0" applyNumberFormat="1" applyFont="1" applyBorder="1"/>
    <xf numFmtId="10" fontId="12" fillId="0" borderId="13" xfId="0" applyNumberFormat="1" applyFont="1" applyBorder="1"/>
    <xf numFmtId="10" fontId="8" fillId="0" borderId="13" xfId="17" applyNumberFormat="1" applyFont="1" applyBorder="1"/>
    <xf numFmtId="10" fontId="8" fillId="0" borderId="17" xfId="17" applyNumberFormat="1" applyFont="1" applyBorder="1"/>
    <xf numFmtId="39" fontId="15" fillId="8" borderId="13" xfId="0" applyNumberFormat="1" applyFont="1" applyFill="1" applyBorder="1"/>
    <xf numFmtId="39" fontId="15" fillId="8" borderId="17" xfId="0" applyNumberFormat="1" applyFont="1" applyFill="1" applyBorder="1"/>
    <xf numFmtId="0" fontId="8" fillId="0" borderId="59" xfId="0" applyFont="1" applyBorder="1" applyAlignment="1"/>
    <xf numFmtId="0" fontId="15" fillId="8" borderId="8" xfId="0" applyNumberFormat="1" applyFont="1" applyFill="1" applyBorder="1"/>
    <xf numFmtId="5" fontId="15" fillId="8" borderId="45" xfId="0" applyNumberFormat="1" applyFont="1" applyFill="1" applyBorder="1"/>
    <xf numFmtId="0" fontId="15" fillId="8" borderId="8" xfId="14" applyNumberFormat="1" applyFont="1" applyFill="1" applyBorder="1" applyAlignment="1"/>
    <xf numFmtId="0" fontId="15" fillId="8" borderId="8" xfId="0" applyFont="1" applyFill="1" applyBorder="1" applyAlignment="1"/>
    <xf numFmtId="0" fontId="36" fillId="8" borderId="0" xfId="0" applyFont="1" applyFill="1" applyBorder="1"/>
    <xf numFmtId="0" fontId="0" fillId="8" borderId="0" xfId="0" applyFill="1" applyBorder="1"/>
    <xf numFmtId="0" fontId="32" fillId="8" borderId="0" xfId="14" applyFont="1" applyFill="1" applyBorder="1"/>
    <xf numFmtId="0" fontId="41" fillId="8" borderId="0" xfId="14" applyFont="1" applyFill="1" applyBorder="1"/>
    <xf numFmtId="0" fontId="6" fillId="0" borderId="15" xfId="0" applyFont="1" applyFill="1" applyBorder="1"/>
    <xf numFmtId="5" fontId="11" fillId="8" borderId="0" xfId="0" applyNumberFormat="1" applyFont="1" applyFill="1" applyBorder="1"/>
    <xf numFmtId="5" fontId="18" fillId="8" borderId="0" xfId="0" applyNumberFormat="1" applyFont="1" applyFill="1" applyBorder="1"/>
    <xf numFmtId="0" fontId="15" fillId="8" borderId="8" xfId="0" applyFont="1" applyFill="1" applyBorder="1"/>
    <xf numFmtId="0" fontId="15" fillId="8" borderId="99" xfId="0" applyFont="1" applyFill="1" applyBorder="1" applyAlignment="1">
      <alignment horizontal="center"/>
    </xf>
    <xf numFmtId="0" fontId="15" fillId="8" borderId="68" xfId="0" applyFont="1" applyFill="1" applyBorder="1"/>
    <xf numFmtId="0" fontId="15" fillId="8" borderId="14" xfId="0" applyFont="1" applyFill="1" applyBorder="1" applyAlignment="1">
      <alignment horizontal="center"/>
    </xf>
    <xf numFmtId="0" fontId="15" fillId="8" borderId="70" xfId="0" applyFont="1" applyFill="1" applyBorder="1"/>
    <xf numFmtId="0" fontId="15" fillId="8" borderId="97" xfId="0" applyFont="1" applyFill="1" applyBorder="1" applyAlignment="1">
      <alignment horizontal="center"/>
    </xf>
    <xf numFmtId="0" fontId="15" fillId="8" borderId="103" xfId="0" applyFont="1" applyFill="1" applyBorder="1"/>
    <xf numFmtId="0" fontId="15" fillId="8" borderId="99" xfId="0" applyNumberFormat="1" applyFont="1" applyFill="1" applyBorder="1" applyAlignment="1">
      <alignment horizontal="center"/>
    </xf>
    <xf numFmtId="0" fontId="15" fillId="8" borderId="68" xfId="0" applyNumberFormat="1" applyFont="1" applyFill="1" applyBorder="1"/>
    <xf numFmtId="0" fontId="15" fillId="8" borderId="14" xfId="0" applyNumberFormat="1" applyFont="1" applyFill="1" applyBorder="1" applyAlignment="1">
      <alignment horizontal="center"/>
    </xf>
    <xf numFmtId="0" fontId="15" fillId="8" borderId="70" xfId="0" applyNumberFormat="1" applyFont="1" applyFill="1" applyBorder="1"/>
    <xf numFmtId="0" fontId="15" fillId="8" borderId="97" xfId="0" applyNumberFormat="1" applyFont="1" applyFill="1" applyBorder="1" applyAlignment="1">
      <alignment horizontal="center"/>
    </xf>
    <xf numFmtId="0" fontId="15" fillId="8" borderId="103" xfId="0" applyNumberFormat="1" applyFont="1" applyFill="1" applyBorder="1"/>
    <xf numFmtId="0" fontId="15" fillId="8" borderId="95" xfId="0" applyNumberFormat="1" applyFont="1" applyFill="1" applyBorder="1" applyAlignment="1">
      <alignment horizontal="center"/>
    </xf>
    <xf numFmtId="0" fontId="15" fillId="8" borderId="11" xfId="0" applyNumberFormat="1" applyFont="1" applyFill="1" applyBorder="1" applyAlignment="1">
      <alignment horizontal="center"/>
    </xf>
    <xf numFmtId="0" fontId="15" fillId="8" borderId="102" xfId="0" applyNumberFormat="1" applyFont="1" applyFill="1" applyBorder="1" applyAlignment="1">
      <alignment horizontal="center"/>
    </xf>
    <xf numFmtId="17" fontId="44" fillId="0" borderId="75" xfId="0" applyNumberFormat="1" applyFont="1" applyBorder="1" applyAlignment="1">
      <alignment horizontal="center"/>
    </xf>
    <xf numFmtId="0" fontId="3" fillId="8" borderId="0" xfId="16" applyFill="1"/>
    <xf numFmtId="0" fontId="103" fillId="8" borderId="0" xfId="16" applyFont="1" applyFill="1" applyBorder="1" applyAlignment="1">
      <alignment horizontal="center"/>
    </xf>
    <xf numFmtId="0" fontId="46" fillId="0" borderId="0" xfId="16" applyFont="1" applyAlignment="1">
      <alignment horizontal="center"/>
    </xf>
    <xf numFmtId="0" fontId="0" fillId="8" borderId="0" xfId="0" applyFill="1"/>
    <xf numFmtId="0" fontId="34" fillId="0" borderId="0" xfId="0" applyFont="1" applyBorder="1" applyAlignment="1">
      <alignment horizontal="right"/>
    </xf>
    <xf numFmtId="0" fontId="15" fillId="8" borderId="0" xfId="0" applyFont="1" applyFill="1" applyBorder="1" applyAlignment="1">
      <alignment horizontal="right"/>
    </xf>
    <xf numFmtId="14" fontId="8" fillId="0" borderId="0" xfId="0" applyNumberFormat="1" applyFont="1" applyFill="1" applyBorder="1" applyAlignment="1">
      <alignment horizontal="center"/>
    </xf>
    <xf numFmtId="5" fontId="15" fillId="8" borderId="13" xfId="0" applyNumberFormat="1" applyFont="1" applyFill="1" applyBorder="1"/>
    <xf numFmtId="0" fontId="8" fillId="0" borderId="16" xfId="0" applyFont="1" applyBorder="1" applyAlignment="1"/>
    <xf numFmtId="14" fontId="8" fillId="0" borderId="10" xfId="0" applyNumberFormat="1" applyFont="1" applyBorder="1" applyAlignment="1">
      <alignment horizontal="center"/>
    </xf>
    <xf numFmtId="0" fontId="17" fillId="0" borderId="14" xfId="0" applyFont="1" applyBorder="1"/>
    <xf numFmtId="14" fontId="8" fillId="0" borderId="96" xfId="0" applyNumberFormat="1" applyFont="1" applyBorder="1" applyAlignment="1">
      <alignment horizontal="center"/>
    </xf>
    <xf numFmtId="14" fontId="8" fillId="0" borderId="16" xfId="0" applyNumberFormat="1" applyFont="1" applyBorder="1" applyAlignment="1">
      <alignment horizontal="center"/>
    </xf>
    <xf numFmtId="5" fontId="8" fillId="0" borderId="16" xfId="0" applyNumberFormat="1" applyFont="1" applyFill="1" applyBorder="1"/>
    <xf numFmtId="5" fontId="8" fillId="0" borderId="102" xfId="0" applyNumberFormat="1" applyFont="1" applyFill="1" applyBorder="1"/>
    <xf numFmtId="6" fontId="11" fillId="8" borderId="0" xfId="0" applyNumberFormat="1" applyFont="1" applyFill="1" applyBorder="1" applyAlignment="1"/>
    <xf numFmtId="37" fontId="19" fillId="8" borderId="0" xfId="0" applyNumberFormat="1" applyFont="1" applyFill="1" applyBorder="1"/>
    <xf numFmtId="10" fontId="8" fillId="0" borderId="10" xfId="17" applyNumberFormat="1" applyFont="1" applyBorder="1" applyAlignment="1">
      <alignment horizontal="centerContinuous"/>
    </xf>
    <xf numFmtId="5" fontId="8" fillId="0" borderId="10" xfId="0" applyNumberFormat="1" applyFont="1" applyBorder="1" applyAlignment="1">
      <alignment horizontal="right"/>
    </xf>
    <xf numFmtId="0" fontId="8" fillId="0" borderId="96" xfId="0" applyFont="1" applyBorder="1" applyAlignment="1">
      <alignment horizontal="right"/>
    </xf>
    <xf numFmtId="37" fontId="15" fillId="8" borderId="13" xfId="0" applyNumberFormat="1" applyFont="1" applyFill="1" applyBorder="1" applyAlignment="1"/>
    <xf numFmtId="10" fontId="15" fillId="8" borderId="127" xfId="0" applyNumberFormat="1" applyFont="1" applyFill="1" applyBorder="1"/>
    <xf numFmtId="0" fontId="15" fillId="8" borderId="13" xfId="0" applyFont="1" applyFill="1" applyBorder="1" applyAlignment="1"/>
    <xf numFmtId="0" fontId="8" fillId="0" borderId="13" xfId="0" applyFont="1" applyFill="1" applyBorder="1"/>
    <xf numFmtId="10" fontId="8" fillId="0" borderId="13" xfId="0" applyNumberFormat="1" applyFont="1" applyFill="1" applyBorder="1"/>
    <xf numFmtId="0" fontId="8" fillId="0" borderId="24" xfId="0" applyFont="1" applyFill="1" applyBorder="1"/>
    <xf numFmtId="0" fontId="8" fillId="0" borderId="16" xfId="0" applyFont="1" applyFill="1" applyBorder="1" applyAlignment="1"/>
    <xf numFmtId="0" fontId="16" fillId="0" borderId="0" xfId="0" applyFont="1" applyBorder="1"/>
    <xf numFmtId="0" fontId="21" fillId="8" borderId="88" xfId="0" applyFont="1" applyFill="1" applyBorder="1" applyAlignment="1">
      <alignment horizontal="right"/>
    </xf>
    <xf numFmtId="0" fontId="4" fillId="0" borderId="20" xfId="0" applyFont="1" applyBorder="1" applyAlignment="1">
      <alignment horizontal="center"/>
    </xf>
    <xf numFmtId="0" fontId="21" fillId="8" borderId="53" xfId="0" applyFont="1" applyFill="1" applyBorder="1" applyAlignment="1">
      <alignment horizontal="right"/>
    </xf>
    <xf numFmtId="0" fontId="4" fillId="0" borderId="6" xfId="0" applyFont="1" applyBorder="1" applyAlignment="1">
      <alignment horizontal="right"/>
    </xf>
    <xf numFmtId="0" fontId="4" fillId="0" borderId="62" xfId="0" applyFont="1" applyBorder="1" applyAlignment="1">
      <alignment horizontal="right"/>
    </xf>
    <xf numFmtId="0" fontId="9" fillId="0" borderId="10" xfId="0" applyFont="1" applyBorder="1" applyAlignment="1">
      <alignment horizontal="right"/>
    </xf>
    <xf numFmtId="5" fontId="15" fillId="8" borderId="10" xfId="0" applyNumberFormat="1" applyFont="1" applyFill="1" applyBorder="1"/>
    <xf numFmtId="5" fontId="19" fillId="8" borderId="12" xfId="0" applyNumberFormat="1" applyFont="1" applyFill="1" applyBorder="1"/>
    <xf numFmtId="5" fontId="19" fillId="8" borderId="10" xfId="0" applyNumberFormat="1" applyFont="1" applyFill="1" applyBorder="1"/>
    <xf numFmtId="9" fontId="15" fillId="8" borderId="0" xfId="0" applyNumberFormat="1" applyFont="1" applyFill="1" applyBorder="1" applyAlignment="1">
      <alignment horizontal="center"/>
    </xf>
    <xf numFmtId="0" fontId="21" fillId="8" borderId="16" xfId="0" applyNumberFormat="1" applyFont="1" applyFill="1" applyBorder="1"/>
    <xf numFmtId="0" fontId="15" fillId="8" borderId="13" xfId="0" applyNumberFormat="1" applyFont="1" applyFill="1" applyBorder="1" applyAlignment="1">
      <alignment horizontal="center"/>
    </xf>
    <xf numFmtId="0" fontId="15" fillId="8" borderId="13" xfId="0" applyNumberFormat="1" applyFont="1" applyFill="1" applyBorder="1" applyAlignment="1">
      <alignment horizontal="right"/>
    </xf>
    <xf numFmtId="0" fontId="15" fillId="8" borderId="17" xfId="0" applyNumberFormat="1" applyFont="1" applyFill="1" applyBorder="1" applyAlignment="1">
      <alignment horizontal="center"/>
    </xf>
    <xf numFmtId="5" fontId="17" fillId="0" borderId="0" xfId="0" applyNumberFormat="1" applyFont="1" applyFill="1" applyBorder="1"/>
    <xf numFmtId="0" fontId="8" fillId="0" borderId="123" xfId="0" applyFont="1" applyFill="1" applyBorder="1" applyAlignment="1"/>
    <xf numFmtId="0" fontId="4" fillId="0" borderId="30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10" fontId="8" fillId="0" borderId="31" xfId="17" applyNumberFormat="1" applyFont="1" applyFill="1" applyBorder="1" applyAlignment="1">
      <alignment horizontal="center"/>
    </xf>
    <xf numFmtId="0" fontId="0" fillId="0" borderId="129" xfId="0" applyBorder="1"/>
    <xf numFmtId="37" fontId="15" fillId="8" borderId="12" xfId="0" applyNumberFormat="1" applyFont="1" applyFill="1" applyBorder="1" applyAlignment="1">
      <alignment horizontal="center"/>
    </xf>
    <xf numFmtId="37" fontId="8" fillId="0" borderId="12" xfId="0" applyNumberFormat="1" applyFont="1" applyFill="1" applyBorder="1" applyAlignment="1">
      <alignment horizontal="center"/>
    </xf>
    <xf numFmtId="0" fontId="0" fillId="0" borderId="0" xfId="0" applyBorder="1" applyAlignment="1"/>
    <xf numFmtId="0" fontId="21" fillId="8" borderId="60" xfId="0" applyFont="1" applyFill="1" applyBorder="1" applyAlignment="1">
      <alignment horizontal="center"/>
    </xf>
    <xf numFmtId="0" fontId="4" fillId="0" borderId="60" xfId="0" applyFont="1" applyBorder="1" applyAlignment="1">
      <alignment horizontal="center"/>
    </xf>
    <xf numFmtId="0" fontId="4" fillId="0" borderId="130" xfId="0" applyFont="1" applyBorder="1"/>
    <xf numFmtId="0" fontId="4" fillId="0" borderId="60" xfId="0" applyFont="1" applyBorder="1"/>
    <xf numFmtId="0" fontId="4" fillId="0" borderId="131" xfId="0" applyFont="1" applyBorder="1" applyAlignment="1">
      <alignment horizontal="center"/>
    </xf>
    <xf numFmtId="0" fontId="8" fillId="0" borderId="75" xfId="0" applyFont="1" applyFill="1" applyBorder="1" applyAlignment="1"/>
    <xf numFmtId="9" fontId="9" fillId="0" borderId="0" xfId="17" applyFont="1" applyBorder="1" applyAlignment="1">
      <alignment horizontal="right"/>
    </xf>
    <xf numFmtId="0" fontId="103" fillId="8" borderId="0" xfId="0" applyFont="1" applyFill="1" applyBorder="1" applyAlignment="1">
      <alignment horizontal="right"/>
    </xf>
    <xf numFmtId="0" fontId="15" fillId="8" borderId="13" xfId="0" applyFont="1" applyFill="1" applyBorder="1" applyAlignment="1">
      <alignment horizontal="center"/>
    </xf>
    <xf numFmtId="0" fontId="34" fillId="0" borderId="12" xfId="0" applyFont="1" applyBorder="1" applyAlignment="1">
      <alignment horizontal="center"/>
    </xf>
    <xf numFmtId="17" fontId="8" fillId="0" borderId="11" xfId="0" applyNumberFormat="1" applyFont="1" applyBorder="1" applyAlignment="1">
      <alignment horizontal="center"/>
    </xf>
    <xf numFmtId="10" fontId="9" fillId="0" borderId="0" xfId="0" applyNumberFormat="1" applyFont="1" applyBorder="1" applyAlignment="1">
      <alignment horizontal="right"/>
    </xf>
    <xf numFmtId="0" fontId="25" fillId="0" borderId="12" xfId="0" applyFont="1" applyBorder="1" applyAlignment="1">
      <alignment horizontal="center"/>
    </xf>
    <xf numFmtId="10" fontId="15" fillId="8" borderId="11" xfId="17" applyNumberFormat="1" applyFont="1" applyFill="1" applyBorder="1" applyAlignment="1">
      <alignment horizontal="center"/>
    </xf>
    <xf numFmtId="5" fontId="25" fillId="0" borderId="0" xfId="0" applyNumberFormat="1" applyFont="1" applyBorder="1" applyAlignment="1">
      <alignment horizontal="right"/>
    </xf>
    <xf numFmtId="0" fontId="10" fillId="9" borderId="71" xfId="0" applyFont="1" applyFill="1" applyBorder="1"/>
    <xf numFmtId="0" fontId="10" fillId="9" borderId="63" xfId="0" applyFont="1" applyFill="1" applyBorder="1"/>
    <xf numFmtId="5" fontId="10" fillId="9" borderId="112" xfId="0" applyNumberFormat="1" applyFont="1" applyFill="1" applyBorder="1"/>
    <xf numFmtId="0" fontId="19" fillId="8" borderId="0" xfId="0" applyFont="1" applyFill="1" applyBorder="1" applyAlignment="1">
      <alignment horizontal="center"/>
    </xf>
    <xf numFmtId="7" fontId="8" fillId="0" borderId="0" xfId="0" applyNumberFormat="1" applyFont="1" applyFill="1" applyBorder="1"/>
    <xf numFmtId="9" fontId="8" fillId="0" borderId="0" xfId="17" applyFont="1" applyBorder="1" applyAlignment="1"/>
    <xf numFmtId="0" fontId="4" fillId="0" borderId="0" xfId="0" applyFont="1" applyAlignment="1">
      <alignment horizontal="right"/>
    </xf>
    <xf numFmtId="39" fontId="21" fillId="8" borderId="0" xfId="0" applyNumberFormat="1" applyFont="1" applyFill="1" applyBorder="1" applyAlignment="1">
      <alignment horizontal="right"/>
    </xf>
    <xf numFmtId="0" fontId="4" fillId="0" borderId="0" xfId="0" applyFont="1" applyBorder="1" applyAlignment="1"/>
    <xf numFmtId="10" fontId="4" fillId="0" borderId="0" xfId="17" applyNumberFormat="1" applyFont="1" applyBorder="1" applyAlignment="1"/>
    <xf numFmtId="39" fontId="4" fillId="0" borderId="0" xfId="0" applyNumberFormat="1" applyFont="1" applyFill="1" applyBorder="1" applyAlignment="1">
      <alignment horizontal="right"/>
    </xf>
    <xf numFmtId="0" fontId="8" fillId="0" borderId="122" xfId="0" applyFont="1" applyBorder="1" applyAlignment="1">
      <alignment horizontal="centerContinuous"/>
    </xf>
    <xf numFmtId="0" fontId="4" fillId="0" borderId="121" xfId="0" applyFont="1" applyBorder="1" applyAlignment="1">
      <alignment horizontal="centerContinuous"/>
    </xf>
    <xf numFmtId="0" fontId="4" fillId="0" borderId="30" xfId="0" applyFont="1" applyBorder="1" applyAlignment="1">
      <alignment horizontal="right"/>
    </xf>
    <xf numFmtId="0" fontId="4" fillId="0" borderId="121" xfId="0" applyFont="1" applyBorder="1" applyAlignment="1">
      <alignment horizontal="center"/>
    </xf>
    <xf numFmtId="0" fontId="4" fillId="0" borderId="122" xfId="0" applyFont="1" applyBorder="1" applyAlignment="1">
      <alignment horizontal="center"/>
    </xf>
    <xf numFmtId="0" fontId="4" fillId="0" borderId="132" xfId="0" applyFont="1" applyBorder="1" applyAlignment="1">
      <alignment horizontal="right"/>
    </xf>
    <xf numFmtId="0" fontId="4" fillId="0" borderId="133" xfId="0" applyFont="1" applyBorder="1" applyAlignment="1">
      <alignment horizontal="center"/>
    </xf>
    <xf numFmtId="0" fontId="9" fillId="0" borderId="123" xfId="0" applyFont="1" applyBorder="1" applyAlignment="1">
      <alignment horizontal="center"/>
    </xf>
    <xf numFmtId="0" fontId="9" fillId="0" borderId="124" xfId="0" applyFont="1" applyBorder="1" applyAlignment="1">
      <alignment horizontal="center"/>
    </xf>
    <xf numFmtId="0" fontId="9" fillId="0" borderId="134" xfId="0" applyFont="1" applyBorder="1" applyAlignment="1">
      <alignment horizontal="right"/>
    </xf>
    <xf numFmtId="0" fontId="9" fillId="0" borderId="34" xfId="0" applyFont="1" applyBorder="1" applyAlignment="1">
      <alignment horizontal="center"/>
    </xf>
    <xf numFmtId="10" fontId="9" fillId="0" borderId="124" xfId="0" applyNumberFormat="1" applyFont="1" applyBorder="1" applyAlignment="1">
      <alignment horizontal="right"/>
    </xf>
    <xf numFmtId="0" fontId="25" fillId="0" borderId="13" xfId="0" applyFont="1" applyBorder="1" applyAlignment="1">
      <alignment horizontal="center"/>
    </xf>
    <xf numFmtId="5" fontId="0" fillId="0" borderId="12" xfId="0" applyNumberFormat="1" applyBorder="1" applyAlignment="1">
      <alignment horizontal="right"/>
    </xf>
    <xf numFmtId="5" fontId="0" fillId="0" borderId="124" xfId="0" applyNumberFormat="1" applyBorder="1" applyAlignment="1">
      <alignment horizontal="right"/>
    </xf>
    <xf numFmtId="5" fontId="0" fillId="0" borderId="123" xfId="0" applyNumberFormat="1" applyBorder="1" applyAlignment="1">
      <alignment horizontal="right"/>
    </xf>
    <xf numFmtId="5" fontId="0" fillId="0" borderId="31" xfId="0" applyNumberFormat="1" applyBorder="1" applyAlignment="1">
      <alignment horizontal="right"/>
    </xf>
    <xf numFmtId="37" fontId="0" fillId="0" borderId="123" xfId="0" applyNumberFormat="1" applyBorder="1" applyAlignment="1">
      <alignment horizontal="center"/>
    </xf>
    <xf numFmtId="37" fontId="0" fillId="0" borderId="124" xfId="0" applyNumberFormat="1" applyBorder="1" applyAlignment="1">
      <alignment horizontal="center"/>
    </xf>
    <xf numFmtId="0" fontId="8" fillId="0" borderId="134" xfId="0" applyFont="1" applyFill="1" applyBorder="1" applyAlignment="1"/>
    <xf numFmtId="37" fontId="15" fillId="8" borderId="34" xfId="0" applyNumberFormat="1" applyFont="1" applyFill="1" applyBorder="1" applyAlignment="1">
      <alignment horizontal="center"/>
    </xf>
    <xf numFmtId="37" fontId="15" fillId="8" borderId="123" xfId="0" applyNumberFormat="1" applyFont="1" applyFill="1" applyBorder="1" applyAlignment="1">
      <alignment horizontal="center"/>
    </xf>
    <xf numFmtId="0" fontId="0" fillId="0" borderId="90" xfId="0" applyBorder="1" applyAlignment="1">
      <alignment horizontal="center"/>
    </xf>
    <xf numFmtId="0" fontId="0" fillId="0" borderId="92" xfId="0" applyBorder="1"/>
    <xf numFmtId="5" fontId="0" fillId="0" borderId="90" xfId="0" applyNumberFormat="1" applyBorder="1"/>
    <xf numFmtId="5" fontId="0" fillId="0" borderId="135" xfId="0" applyNumberFormat="1" applyBorder="1"/>
    <xf numFmtId="5" fontId="0" fillId="0" borderId="136" xfId="0" applyNumberFormat="1" applyBorder="1"/>
    <xf numFmtId="5" fontId="0" fillId="0" borderId="137" xfId="0" applyNumberFormat="1" applyBorder="1"/>
    <xf numFmtId="5" fontId="0" fillId="0" borderId="91" xfId="0" applyNumberFormat="1" applyBorder="1"/>
    <xf numFmtId="0" fontId="8" fillId="0" borderId="91" xfId="0" applyFont="1" applyFill="1" applyBorder="1" applyAlignment="1"/>
    <xf numFmtId="0" fontId="0" fillId="0" borderId="136" xfId="0" applyBorder="1" applyAlignment="1"/>
    <xf numFmtId="0" fontId="0" fillId="0" borderId="135" xfId="0" applyBorder="1" applyAlignment="1"/>
    <xf numFmtId="0" fontId="8" fillId="0" borderId="92" xfId="0" applyFont="1" applyFill="1" applyBorder="1" applyAlignment="1"/>
    <xf numFmtId="0" fontId="0" fillId="0" borderId="138" xfId="0" applyBorder="1"/>
    <xf numFmtId="0" fontId="0" fillId="0" borderId="139" xfId="0" applyBorder="1" applyAlignment="1"/>
    <xf numFmtId="0" fontId="4" fillId="0" borderId="74" xfId="0" applyFont="1" applyBorder="1" applyAlignment="1">
      <alignment horizontal="center"/>
    </xf>
    <xf numFmtId="0" fontId="0" fillId="0" borderId="122" xfId="0" applyBorder="1"/>
    <xf numFmtId="0" fontId="0" fillId="0" borderId="121" xfId="0" applyBorder="1"/>
    <xf numFmtId="0" fontId="0" fillId="0" borderId="124" xfId="0" applyBorder="1"/>
    <xf numFmtId="0" fontId="0" fillId="0" borderId="123" xfId="0" applyBorder="1"/>
    <xf numFmtId="0" fontId="15" fillId="8" borderId="75" xfId="0" applyFont="1" applyFill="1" applyBorder="1" applyAlignment="1">
      <alignment horizontal="center"/>
    </xf>
    <xf numFmtId="0" fontId="8" fillId="0" borderId="12" xfId="0" applyFont="1" applyFill="1" applyBorder="1" applyAlignment="1"/>
    <xf numFmtId="5" fontId="0" fillId="0" borderId="140" xfId="0" applyNumberFormat="1" applyBorder="1" applyAlignment="1">
      <alignment horizontal="right"/>
    </xf>
    <xf numFmtId="5" fontId="8" fillId="0" borderId="12" xfId="0" applyNumberFormat="1" applyFont="1" applyFill="1" applyBorder="1" applyAlignment="1"/>
    <xf numFmtId="5" fontId="0" fillId="0" borderId="124" xfId="0" applyNumberFormat="1" applyBorder="1"/>
    <xf numFmtId="5" fontId="8" fillId="0" borderId="123" xfId="0" applyNumberFormat="1" applyFont="1" applyFill="1" applyBorder="1" applyAlignment="1"/>
    <xf numFmtId="5" fontId="8" fillId="0" borderId="124" xfId="0" applyNumberFormat="1" applyFont="1" applyFill="1" applyBorder="1" applyAlignment="1"/>
    <xf numFmtId="5" fontId="8" fillId="0" borderId="13" xfId="0" applyNumberFormat="1" applyFont="1" applyFill="1" applyBorder="1" applyAlignment="1"/>
    <xf numFmtId="37" fontId="0" fillId="0" borderId="34" xfId="0" applyNumberFormat="1" applyBorder="1" applyAlignment="1">
      <alignment horizontal="center"/>
    </xf>
    <xf numFmtId="37" fontId="8" fillId="0" borderId="34" xfId="0" applyNumberFormat="1" applyFont="1" applyFill="1" applyBorder="1" applyAlignment="1">
      <alignment horizontal="center"/>
    </xf>
    <xf numFmtId="0" fontId="0" fillId="0" borderId="75" xfId="0" applyBorder="1" applyAlignment="1">
      <alignment horizontal="center"/>
    </xf>
    <xf numFmtId="0" fontId="8" fillId="0" borderId="124" xfId="0" applyFont="1" applyFill="1" applyBorder="1" applyAlignment="1"/>
    <xf numFmtId="0" fontId="8" fillId="0" borderId="31" xfId="0" applyFont="1" applyFill="1" applyBorder="1" applyAlignment="1"/>
    <xf numFmtId="0" fontId="0" fillId="0" borderId="15" xfId="0" applyBorder="1" applyAlignment="1">
      <alignment horizontal="center"/>
    </xf>
    <xf numFmtId="5" fontId="0" fillId="0" borderId="125" xfId="0" applyNumberFormat="1" applyBorder="1"/>
    <xf numFmtId="5" fontId="0" fillId="0" borderId="126" xfId="0" applyNumberFormat="1" applyBorder="1" applyAlignment="1">
      <alignment horizontal="right"/>
    </xf>
    <xf numFmtId="5" fontId="0" fillId="0" borderId="16" xfId="0" applyNumberFormat="1" applyBorder="1" applyAlignment="1">
      <alignment horizontal="right"/>
    </xf>
    <xf numFmtId="5" fontId="0" fillId="0" borderId="141" xfId="0" applyNumberFormat="1" applyBorder="1" applyAlignment="1">
      <alignment horizontal="right"/>
    </xf>
    <xf numFmtId="5" fontId="0" fillId="0" borderId="17" xfId="0" applyNumberFormat="1" applyBorder="1" applyAlignment="1">
      <alignment horizontal="right"/>
    </xf>
    <xf numFmtId="5" fontId="0" fillId="0" borderId="16" xfId="0" applyNumberFormat="1" applyBorder="1"/>
    <xf numFmtId="5" fontId="0" fillId="0" borderId="126" xfId="0" applyNumberFormat="1" applyBorder="1"/>
    <xf numFmtId="5" fontId="0" fillId="0" borderId="129" xfId="0" applyNumberFormat="1" applyBorder="1"/>
    <xf numFmtId="0" fontId="0" fillId="0" borderId="38" xfId="0" applyBorder="1" applyAlignment="1">
      <alignment horizontal="center"/>
    </xf>
    <xf numFmtId="5" fontId="0" fillId="0" borderId="15" xfId="0" applyNumberFormat="1" applyBorder="1"/>
    <xf numFmtId="5" fontId="0" fillId="0" borderId="17" xfId="0" applyNumberFormat="1" applyBorder="1"/>
    <xf numFmtId="0" fontId="8" fillId="0" borderId="17" xfId="0" applyFont="1" applyFill="1" applyBorder="1" applyAlignment="1"/>
    <xf numFmtId="0" fontId="8" fillId="0" borderId="142" xfId="0" applyFont="1" applyFill="1" applyBorder="1" applyAlignment="1"/>
    <xf numFmtId="37" fontId="0" fillId="0" borderId="143" xfId="0" applyNumberFormat="1" applyBorder="1" applyAlignment="1">
      <alignment horizontal="center"/>
    </xf>
    <xf numFmtId="37" fontId="8" fillId="0" borderId="143" xfId="0" applyNumberFormat="1" applyFont="1" applyFill="1" applyBorder="1" applyAlignment="1">
      <alignment horizontal="center"/>
    </xf>
    <xf numFmtId="10" fontId="8" fillId="0" borderId="11" xfId="0" applyNumberFormat="1" applyFont="1" applyBorder="1"/>
    <xf numFmtId="10" fontId="17" fillId="0" borderId="11" xfId="0" applyNumberFormat="1" applyFont="1" applyBorder="1"/>
    <xf numFmtId="5" fontId="8" fillId="0" borderId="12" xfId="0" applyNumberFormat="1" applyFont="1" applyBorder="1" applyAlignment="1">
      <alignment horizontal="right"/>
    </xf>
    <xf numFmtId="5" fontId="25" fillId="0" borderId="124" xfId="0" applyNumberFormat="1" applyFont="1" applyBorder="1" applyAlignment="1">
      <alignment horizontal="right"/>
    </xf>
    <xf numFmtId="0" fontId="0" fillId="0" borderId="59" xfId="0" applyBorder="1" applyAlignment="1">
      <alignment horizontal="center"/>
    </xf>
    <xf numFmtId="0" fontId="0" fillId="0" borderId="10" xfId="0" applyBorder="1"/>
    <xf numFmtId="37" fontId="15" fillId="8" borderId="11" xfId="0" applyNumberFormat="1" applyFont="1" applyFill="1" applyBorder="1" applyAlignment="1">
      <alignment horizontal="center"/>
    </xf>
    <xf numFmtId="10" fontId="8" fillId="0" borderId="10" xfId="17" applyNumberFormat="1" applyFont="1" applyBorder="1" applyAlignment="1">
      <alignment horizontal="center"/>
    </xf>
    <xf numFmtId="0" fontId="0" fillId="0" borderId="93" xfId="0" applyBorder="1"/>
    <xf numFmtId="0" fontId="0" fillId="0" borderId="13" xfId="0" applyBorder="1" applyAlignment="1"/>
    <xf numFmtId="5" fontId="0" fillId="0" borderId="92" xfId="0" applyNumberFormat="1" applyBorder="1" applyAlignment="1"/>
    <xf numFmtId="7" fontId="8" fillId="0" borderId="0" xfId="0" applyNumberFormat="1" applyFont="1" applyBorder="1" applyAlignment="1"/>
    <xf numFmtId="0" fontId="8" fillId="0" borderId="144" xfId="0" applyFont="1" applyBorder="1" applyAlignment="1">
      <alignment horizontal="centerContinuous"/>
    </xf>
    <xf numFmtId="7" fontId="8" fillId="0" borderId="124" xfId="0" applyNumberFormat="1" applyFont="1" applyBorder="1" applyAlignment="1">
      <alignment horizontal="center"/>
    </xf>
    <xf numFmtId="7" fontId="15" fillId="8" borderId="123" xfId="0" applyNumberFormat="1" applyFont="1" applyFill="1" applyBorder="1" applyAlignment="1">
      <alignment horizontal="center"/>
    </xf>
    <xf numFmtId="37" fontId="8" fillId="0" borderId="17" xfId="0" applyNumberFormat="1" applyFont="1" applyBorder="1"/>
    <xf numFmtId="0" fontId="12" fillId="0" borderId="13" xfId="0" applyFont="1" applyBorder="1" applyAlignment="1">
      <alignment horizontal="right"/>
    </xf>
    <xf numFmtId="0" fontId="34" fillId="0" borderId="13" xfId="0" applyFont="1" applyBorder="1" applyAlignment="1">
      <alignment horizontal="right"/>
    </xf>
    <xf numFmtId="17" fontId="8" fillId="0" borderId="15" xfId="0" applyNumberFormat="1" applyFont="1" applyBorder="1" applyAlignment="1">
      <alignment horizontal="center"/>
    </xf>
    <xf numFmtId="37" fontId="8" fillId="0" borderId="16" xfId="0" applyNumberFormat="1" applyFont="1" applyFill="1" applyBorder="1"/>
    <xf numFmtId="9" fontId="15" fillId="8" borderId="16" xfId="0" applyNumberFormat="1" applyFont="1" applyFill="1" applyBorder="1" applyAlignment="1"/>
    <xf numFmtId="37" fontId="15" fillId="8" borderId="16" xfId="0" applyNumberFormat="1" applyFont="1" applyFill="1" applyBorder="1"/>
    <xf numFmtId="9" fontId="34" fillId="0" borderId="0" xfId="0" applyNumberFormat="1" applyFont="1" applyBorder="1" applyAlignment="1"/>
    <xf numFmtId="0" fontId="34" fillId="0" borderId="0" xfId="17" applyNumberFormat="1" applyFont="1" applyBorder="1" applyAlignment="1">
      <alignment horizontal="right"/>
    </xf>
    <xf numFmtId="0" fontId="12" fillId="0" borderId="0" xfId="17" applyNumberFormat="1" applyFont="1" applyBorder="1" applyAlignment="1">
      <alignment horizontal="right"/>
    </xf>
    <xf numFmtId="17" fontId="8" fillId="0" borderId="97" xfId="0" applyNumberFormat="1" applyFont="1" applyBorder="1" applyAlignment="1">
      <alignment horizontal="left"/>
    </xf>
    <xf numFmtId="37" fontId="8" fillId="0" borderId="70" xfId="0" applyNumberFormat="1" applyFont="1" applyBorder="1" applyAlignment="1"/>
    <xf numFmtId="0" fontId="8" fillId="0" borderId="103" xfId="0" applyFont="1" applyBorder="1"/>
    <xf numFmtId="0" fontId="6" fillId="0" borderId="0" xfId="0" applyFont="1" applyAlignment="1">
      <alignment horizontal="centerContinuous"/>
    </xf>
    <xf numFmtId="0" fontId="105" fillId="0" borderId="0" xfId="0" applyFont="1" applyAlignment="1">
      <alignment horizontal="centerContinuous"/>
    </xf>
    <xf numFmtId="0" fontId="106" fillId="0" borderId="0" xfId="0" applyFont="1" applyAlignment="1">
      <alignment horizontal="centerContinuous"/>
    </xf>
    <xf numFmtId="0" fontId="31" fillId="0" borderId="0" xfId="0" applyFont="1" applyAlignment="1">
      <alignment horizontal="centerContinuous"/>
    </xf>
    <xf numFmtId="0" fontId="107" fillId="0" borderId="0" xfId="0" applyFont="1" applyAlignment="1">
      <alignment horizontal="centerContinuous"/>
    </xf>
    <xf numFmtId="0" fontId="108" fillId="0" borderId="0" xfId="0" applyFont="1" applyAlignment="1">
      <alignment horizontal="centerContinuous"/>
    </xf>
    <xf numFmtId="0" fontId="9" fillId="0" borderId="0" xfId="0" applyFont="1" applyAlignment="1">
      <alignment horizontal="center"/>
    </xf>
    <xf numFmtId="0" fontId="6" fillId="0" borderId="0" xfId="0" applyFont="1" applyBorder="1"/>
    <xf numFmtId="0" fontId="109" fillId="0" borderId="12" xfId="0" applyFont="1" applyBorder="1"/>
    <xf numFmtId="0" fontId="49" fillId="0" borderId="0" xfId="0" applyFont="1"/>
    <xf numFmtId="0" fontId="4" fillId="0" borderId="130" xfId="0" applyFont="1" applyBorder="1" applyAlignment="1">
      <alignment horizontal="centerContinuous"/>
    </xf>
    <xf numFmtId="0" fontId="8" fillId="0" borderId="88" xfId="0" applyFont="1" applyBorder="1"/>
    <xf numFmtId="0" fontId="4" fillId="0" borderId="53" xfId="0" applyFont="1" applyBorder="1" applyAlignment="1">
      <alignment horizontal="centerContinuous"/>
    </xf>
    <xf numFmtId="0" fontId="4" fillId="0" borderId="88" xfId="0" applyFont="1" applyBorder="1" applyAlignment="1">
      <alignment horizontal="centerContinuous"/>
    </xf>
    <xf numFmtId="0" fontId="4" fillId="0" borderId="145" xfId="0" applyFont="1" applyBorder="1" applyAlignment="1">
      <alignment horizontal="centerContinuous"/>
    </xf>
    <xf numFmtId="0" fontId="4" fillId="0" borderId="88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62" xfId="0" applyFont="1" applyBorder="1" applyAlignment="1">
      <alignment horizontal="center"/>
    </xf>
    <xf numFmtId="0" fontId="8" fillId="0" borderId="124" xfId="0" applyFont="1" applyBorder="1" applyAlignment="1">
      <alignment horizontal="center"/>
    </xf>
    <xf numFmtId="0" fontId="8" fillId="0" borderId="123" xfId="0" applyFont="1" applyBorder="1" applyAlignment="1">
      <alignment horizontal="center"/>
    </xf>
    <xf numFmtId="0" fontId="17" fillId="0" borderId="70" xfId="0" applyFont="1" applyBorder="1" applyAlignment="1">
      <alignment horizontal="right"/>
    </xf>
    <xf numFmtId="0" fontId="17" fillId="0" borderId="124" xfId="0" applyFont="1" applyBorder="1" applyAlignment="1">
      <alignment horizontal="center"/>
    </xf>
    <xf numFmtId="0" fontId="17" fillId="0" borderId="123" xfId="0" applyFont="1" applyBorder="1" applyAlignment="1">
      <alignment horizontal="center"/>
    </xf>
    <xf numFmtId="0" fontId="44" fillId="0" borderId="0" xfId="0" applyFont="1" applyAlignment="1">
      <alignment horizontal="center"/>
    </xf>
    <xf numFmtId="0" fontId="8" fillId="0" borderId="96" xfId="0" applyFont="1" applyBorder="1" applyAlignment="1">
      <alignment horizontal="center"/>
    </xf>
    <xf numFmtId="0" fontId="8" fillId="0" borderId="102" xfId="0" applyFont="1" applyBorder="1" applyAlignment="1">
      <alignment horizontal="center"/>
    </xf>
    <xf numFmtId="0" fontId="8" fillId="0" borderId="17" xfId="0" applyFont="1" applyBorder="1" applyAlignment="1">
      <alignment horizontal="center"/>
    </xf>
    <xf numFmtId="0" fontId="8" fillId="0" borderId="126" xfId="0" applyFont="1" applyBorder="1" applyAlignment="1">
      <alignment horizontal="center"/>
    </xf>
    <xf numFmtId="0" fontId="8" fillId="0" borderId="125" xfId="0" applyFont="1" applyBorder="1" applyAlignment="1">
      <alignment horizontal="center"/>
    </xf>
    <xf numFmtId="0" fontId="8" fillId="0" borderId="0" xfId="0" applyFont="1" applyAlignment="1">
      <alignment horizontal="right"/>
    </xf>
    <xf numFmtId="0" fontId="8" fillId="0" borderId="67" xfId="0" applyFont="1" applyBorder="1" applyAlignment="1">
      <alignment horizontal="center"/>
    </xf>
    <xf numFmtId="0" fontId="8" fillId="0" borderId="95" xfId="0" applyFont="1" applyBorder="1" applyAlignment="1">
      <alignment horizontal="center"/>
    </xf>
    <xf numFmtId="0" fontId="8" fillId="0" borderId="59" xfId="0" applyFont="1" applyBorder="1" applyAlignment="1">
      <alignment horizontal="centerContinuous"/>
    </xf>
    <xf numFmtId="0" fontId="17" fillId="0" borderId="10" xfId="0" applyFont="1" applyBorder="1" applyAlignment="1">
      <alignment horizontal="centerContinuous"/>
    </xf>
    <xf numFmtId="0" fontId="4" fillId="0" borderId="15" xfId="14" applyNumberFormat="1" applyFont="1" applyFill="1" applyBorder="1" applyAlignment="1"/>
    <xf numFmtId="0" fontId="4" fillId="0" borderId="16" xfId="14" applyNumberFormat="1" applyFont="1" applyFill="1" applyBorder="1" applyAlignment="1"/>
    <xf numFmtId="5" fontId="4" fillId="6" borderId="16" xfId="14" applyNumberFormat="1" applyFont="1" applyBorder="1" applyAlignment="1"/>
    <xf numFmtId="5" fontId="4" fillId="6" borderId="38" xfId="14" applyNumberFormat="1" applyFont="1" applyBorder="1" applyAlignment="1"/>
    <xf numFmtId="0" fontId="4" fillId="9" borderId="72" xfId="14" applyNumberFormat="1" applyFont="1" applyFill="1" applyBorder="1" applyAlignment="1"/>
    <xf numFmtId="17" fontId="4" fillId="9" borderId="45" xfId="14" applyNumberFormat="1" applyFont="1" applyFill="1" applyBorder="1" applyAlignment="1"/>
    <xf numFmtId="0" fontId="4" fillId="9" borderId="0" xfId="14" applyNumberFormat="1" applyFont="1" applyFill="1" applyBorder="1" applyAlignment="1"/>
    <xf numFmtId="0" fontId="9" fillId="0" borderId="12" xfId="0" applyNumberFormat="1" applyFont="1" applyBorder="1"/>
    <xf numFmtId="0" fontId="9" fillId="0" borderId="67" xfId="0" applyFont="1" applyBorder="1"/>
    <xf numFmtId="0" fontId="8" fillId="9" borderId="71" xfId="0" applyFont="1" applyFill="1" applyBorder="1"/>
    <xf numFmtId="0" fontId="9" fillId="0" borderId="99" xfId="0" applyFont="1" applyBorder="1"/>
    <xf numFmtId="0" fontId="9" fillId="0" borderId="14" xfId="0" applyFont="1" applyBorder="1"/>
    <xf numFmtId="0" fontId="109" fillId="0" borderId="59" xfId="0" applyFont="1" applyBorder="1"/>
    <xf numFmtId="0" fontId="9" fillId="0" borderId="10" xfId="0" applyFont="1" applyBorder="1"/>
    <xf numFmtId="0" fontId="4" fillId="0" borderId="14" xfId="0" applyFont="1" applyBorder="1"/>
    <xf numFmtId="5" fontId="4" fillId="0" borderId="56" xfId="0" applyNumberFormat="1" applyFont="1" applyBorder="1"/>
    <xf numFmtId="0" fontId="4" fillId="0" borderId="52" xfId="0" applyFont="1" applyBorder="1"/>
    <xf numFmtId="5" fontId="4" fillId="0" borderId="26" xfId="0" applyNumberFormat="1" applyFont="1" applyBorder="1"/>
    <xf numFmtId="5" fontId="4" fillId="0" borderId="146" xfId="0" applyNumberFormat="1" applyFont="1" applyBorder="1"/>
    <xf numFmtId="0" fontId="4" fillId="0" borderId="108" xfId="0" applyFont="1" applyBorder="1"/>
    <xf numFmtId="5" fontId="4" fillId="0" borderId="29" xfId="0" applyNumberFormat="1" applyFont="1" applyBorder="1"/>
    <xf numFmtId="5" fontId="4" fillId="0" borderId="147" xfId="0" applyNumberFormat="1" applyFont="1" applyBorder="1"/>
    <xf numFmtId="0" fontId="4" fillId="0" borderId="99" xfId="0" applyFont="1" applyBorder="1"/>
    <xf numFmtId="0" fontId="9" fillId="0" borderId="59" xfId="0" applyFont="1" applyBorder="1" applyAlignment="1">
      <alignment horizontal="right"/>
    </xf>
    <xf numFmtId="0" fontId="9" fillId="0" borderId="8" xfId="0" applyNumberFormat="1" applyFont="1" applyBorder="1" applyAlignment="1">
      <alignment horizontal="right"/>
    </xf>
    <xf numFmtId="0" fontId="9" fillId="0" borderId="8" xfId="0" applyNumberFormat="1" applyFont="1" applyBorder="1" applyAlignment="1">
      <alignment horizontal="center"/>
    </xf>
    <xf numFmtId="0" fontId="9" fillId="0" borderId="95" xfId="0" applyNumberFormat="1" applyFont="1" applyBorder="1" applyAlignment="1">
      <alignment horizontal="center"/>
    </xf>
    <xf numFmtId="0" fontId="4" fillId="0" borderId="95" xfId="0" applyFont="1" applyBorder="1" applyAlignment="1">
      <alignment horizontal="right"/>
    </xf>
    <xf numFmtId="0" fontId="9" fillId="0" borderId="11" xfId="0" applyFont="1" applyBorder="1" applyAlignment="1">
      <alignment horizontal="right"/>
    </xf>
    <xf numFmtId="6" fontId="8" fillId="0" borderId="59" xfId="0" applyNumberFormat="1" applyFont="1" applyBorder="1"/>
    <xf numFmtId="6" fontId="8" fillId="0" borderId="8" xfId="0" applyNumberFormat="1" applyFont="1" applyBorder="1"/>
    <xf numFmtId="6" fontId="8" fillId="0" borderId="95" xfId="0" applyNumberFormat="1" applyFont="1" applyBorder="1"/>
    <xf numFmtId="0" fontId="8" fillId="8" borderId="0" xfId="0" applyFont="1" applyFill="1" applyBorder="1" applyAlignment="1">
      <alignment horizontal="centerContinuous"/>
    </xf>
    <xf numFmtId="5" fontId="8" fillId="9" borderId="48" xfId="0" applyNumberFormat="1" applyFont="1" applyFill="1" applyBorder="1"/>
    <xf numFmtId="5" fontId="17" fillId="9" borderId="48" xfId="0" applyNumberFormat="1" applyFont="1" applyFill="1" applyBorder="1"/>
    <xf numFmtId="5" fontId="17" fillId="9" borderId="0" xfId="0" applyNumberFormat="1" applyFont="1" applyFill="1" applyBorder="1"/>
    <xf numFmtId="5" fontId="8" fillId="9" borderId="66" xfId="0" applyNumberFormat="1" applyFont="1" applyFill="1" applyBorder="1"/>
    <xf numFmtId="5" fontId="8" fillId="0" borderId="14" xfId="0" applyNumberFormat="1" applyFont="1" applyBorder="1"/>
    <xf numFmtId="5" fontId="17" fillId="0" borderId="14" xfId="0" applyNumberFormat="1" applyFont="1" applyBorder="1"/>
    <xf numFmtId="0" fontId="17" fillId="0" borderId="148" xfId="0" applyFont="1" applyBorder="1" applyAlignment="1">
      <alignment horizontal="right"/>
    </xf>
    <xf numFmtId="0" fontId="8" fillId="0" borderId="89" xfId="0" applyFont="1" applyBorder="1" applyAlignment="1"/>
    <xf numFmtId="10" fontId="19" fillId="8" borderId="0" xfId="17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96" xfId="0" applyBorder="1"/>
    <xf numFmtId="0" fontId="0" fillId="0" borderId="102" xfId="0" applyBorder="1"/>
    <xf numFmtId="17" fontId="15" fillId="8" borderId="13" xfId="0" applyNumberFormat="1" applyFont="1" applyFill="1" applyBorder="1" applyAlignment="1">
      <alignment horizontal="center"/>
    </xf>
    <xf numFmtId="0" fontId="8" fillId="0" borderId="149" xfId="0" applyFont="1" applyBorder="1"/>
    <xf numFmtId="5" fontId="8" fillId="0" borderId="98" xfId="0" applyNumberFormat="1" applyFont="1" applyBorder="1"/>
    <xf numFmtId="17" fontId="15" fillId="8" borderId="12" xfId="0" applyNumberFormat="1" applyFont="1" applyFill="1" applyBorder="1" applyAlignment="1">
      <alignment horizontal="center"/>
    </xf>
    <xf numFmtId="17" fontId="15" fillId="8" borderId="13" xfId="0" applyNumberFormat="1" applyFont="1" applyFill="1" applyBorder="1" applyAlignment="1"/>
    <xf numFmtId="10" fontId="15" fillId="8" borderId="13" xfId="0" applyNumberFormat="1" applyFont="1" applyFill="1" applyBorder="1" applyAlignment="1"/>
    <xf numFmtId="10" fontId="19" fillId="8" borderId="0" xfId="17" applyNumberFormat="1" applyFont="1" applyFill="1" applyBorder="1"/>
    <xf numFmtId="9" fontId="15" fillId="8" borderId="0" xfId="0" applyNumberFormat="1" applyFont="1" applyFill="1" applyAlignment="1">
      <alignment horizontal="left"/>
    </xf>
    <xf numFmtId="9" fontId="8" fillId="0" borderId="0" xfId="0" applyNumberFormat="1" applyFont="1" applyFill="1" applyAlignment="1">
      <alignment horizontal="left"/>
    </xf>
    <xf numFmtId="0" fontId="31" fillId="8" borderId="0" xfId="0" applyFont="1" applyFill="1" applyBorder="1"/>
    <xf numFmtId="5" fontId="15" fillId="8" borderId="7" xfId="0" applyNumberFormat="1" applyFont="1" applyFill="1" applyBorder="1" applyAlignment="1" applyProtection="1"/>
    <xf numFmtId="5" fontId="15" fillId="8" borderId="14" xfId="0" applyNumberFormat="1" applyFont="1" applyFill="1" applyBorder="1" applyAlignment="1" applyProtection="1"/>
    <xf numFmtId="5" fontId="19" fillId="8" borderId="14" xfId="0" applyNumberFormat="1" applyFont="1" applyFill="1" applyBorder="1" applyAlignment="1" applyProtection="1"/>
    <xf numFmtId="5" fontId="15" fillId="8" borderId="53" xfId="0" applyNumberFormat="1" applyFont="1" applyFill="1" applyBorder="1" applyAlignment="1" applyProtection="1"/>
    <xf numFmtId="5" fontId="8" fillId="0" borderId="20" xfId="0" applyNumberFormat="1" applyFont="1" applyFill="1" applyBorder="1" applyAlignment="1" applyProtection="1"/>
    <xf numFmtId="5" fontId="15" fillId="8" borderId="10" xfId="0" applyNumberFormat="1" applyFont="1" applyFill="1" applyBorder="1" applyAlignment="1" applyProtection="1"/>
    <xf numFmtId="5" fontId="19" fillId="8" borderId="10" xfId="0" applyNumberFormat="1" applyFont="1" applyFill="1" applyBorder="1" applyAlignment="1" applyProtection="1"/>
    <xf numFmtId="5" fontId="17" fillId="0" borderId="11" xfId="0" applyNumberFormat="1" applyFont="1" applyFill="1" applyBorder="1" applyAlignment="1" applyProtection="1"/>
    <xf numFmtId="10" fontId="15" fillId="8" borderId="53" xfId="0" applyNumberFormat="1" applyFont="1" applyFill="1" applyBorder="1" applyAlignment="1">
      <alignment horizontal="center"/>
    </xf>
    <xf numFmtId="5" fontId="8" fillId="0" borderId="53" xfId="0" applyNumberFormat="1" applyFont="1" applyFill="1" applyBorder="1" applyAlignment="1" applyProtection="1"/>
    <xf numFmtId="10" fontId="15" fillId="8" borderId="6" xfId="0" applyNumberFormat="1" applyFont="1" applyFill="1" applyBorder="1" applyAlignment="1">
      <alignment horizontal="center"/>
    </xf>
    <xf numFmtId="5" fontId="8" fillId="0" borderId="10" xfId="0" applyNumberFormat="1" applyFont="1" applyFill="1" applyBorder="1" applyAlignment="1" applyProtection="1"/>
    <xf numFmtId="5" fontId="17" fillId="0" borderId="10" xfId="0" applyNumberFormat="1" applyFont="1" applyFill="1" applyBorder="1" applyAlignment="1" applyProtection="1"/>
    <xf numFmtId="0" fontId="4" fillId="0" borderId="0" xfId="0" quotePrefix="1" applyFont="1" applyBorder="1" applyAlignment="1">
      <alignment horizontal="center"/>
    </xf>
    <xf numFmtId="5" fontId="8" fillId="0" borderId="62" xfId="0" applyNumberFormat="1" applyFont="1" applyFill="1" applyBorder="1" applyAlignment="1" applyProtection="1"/>
    <xf numFmtId="5" fontId="8" fillId="0" borderId="13" xfId="0" applyNumberFormat="1" applyFont="1" applyFill="1" applyBorder="1" applyAlignment="1" applyProtection="1"/>
    <xf numFmtId="5" fontId="17" fillId="0" borderId="13" xfId="0" applyNumberFormat="1" applyFont="1" applyFill="1" applyBorder="1" applyAlignment="1" applyProtection="1"/>
    <xf numFmtId="5" fontId="8" fillId="0" borderId="97" xfId="0" applyNumberFormat="1" applyFont="1" applyBorder="1"/>
    <xf numFmtId="5" fontId="17" fillId="0" borderId="70" xfId="0" applyNumberFormat="1" applyFont="1" applyBorder="1" applyAlignment="1"/>
    <xf numFmtId="0" fontId="8" fillId="0" borderId="70" xfId="0" applyNumberFormat="1" applyFont="1" applyBorder="1"/>
    <xf numFmtId="0" fontId="8" fillId="0" borderId="150" xfId="0" applyFont="1" applyBorder="1"/>
    <xf numFmtId="5" fontId="8" fillId="0" borderId="151" xfId="0" applyNumberFormat="1" applyFont="1" applyBorder="1"/>
    <xf numFmtId="5" fontId="8" fillId="0" borderId="152" xfId="0" applyNumberFormat="1" applyFont="1" applyBorder="1"/>
    <xf numFmtId="5" fontId="8" fillId="0" borderId="150" xfId="0" applyNumberFormat="1" applyFont="1" applyBorder="1"/>
    <xf numFmtId="5" fontId="8" fillId="0" borderId="153" xfId="0" applyNumberFormat="1" applyFont="1" applyBorder="1"/>
    <xf numFmtId="17" fontId="8" fillId="0" borderId="0" xfId="0" applyNumberFormat="1" applyFont="1" applyFill="1" applyBorder="1"/>
    <xf numFmtId="17" fontId="8" fillId="0" borderId="13" xfId="0" applyNumberFormat="1" applyFont="1" applyFill="1" applyBorder="1"/>
    <xf numFmtId="0" fontId="8" fillId="0" borderId="12" xfId="0" applyFont="1" applyFill="1" applyBorder="1" applyAlignment="1">
      <alignment horizontal="center"/>
    </xf>
    <xf numFmtId="0" fontId="4" fillId="0" borderId="60" xfId="0" applyFont="1" applyBorder="1" applyAlignment="1">
      <alignment horizontal="centerContinuous"/>
    </xf>
    <xf numFmtId="17" fontId="8" fillId="0" borderId="0" xfId="0" applyNumberFormat="1" applyFont="1" applyFill="1" applyBorder="1" applyAlignment="1">
      <alignment horizontal="center"/>
    </xf>
    <xf numFmtId="17" fontId="8" fillId="0" borderId="17" xfId="0" applyNumberFormat="1" applyFont="1" applyFill="1" applyBorder="1"/>
    <xf numFmtId="0" fontId="110" fillId="0" borderId="0" xfId="0" quotePrefix="1" applyFont="1" applyBorder="1"/>
    <xf numFmtId="0" fontId="110" fillId="0" borderId="0" xfId="0" applyFont="1" applyBorder="1"/>
    <xf numFmtId="10" fontId="8" fillId="0" borderId="0" xfId="0" applyNumberFormat="1" applyFont="1" applyBorder="1" applyAlignment="1"/>
    <xf numFmtId="10" fontId="8" fillId="0" borderId="13" xfId="0" applyNumberFormat="1" applyFont="1" applyBorder="1" applyAlignment="1"/>
    <xf numFmtId="10" fontId="15" fillId="8" borderId="0" xfId="0" applyNumberFormat="1" applyFont="1" applyFill="1" applyBorder="1" applyAlignment="1"/>
    <xf numFmtId="9" fontId="19" fillId="8" borderId="0" xfId="0" applyNumberFormat="1" applyFont="1" applyFill="1" applyBorder="1" applyAlignment="1"/>
    <xf numFmtId="9" fontId="17" fillId="0" borderId="13" xfId="0" applyNumberFormat="1" applyFont="1" applyFill="1" applyBorder="1" applyAlignment="1"/>
    <xf numFmtId="0" fontId="17" fillId="0" borderId="12" xfId="0" applyFont="1" applyFill="1" applyBorder="1"/>
    <xf numFmtId="0" fontId="8" fillId="0" borderId="154" xfId="0" applyFont="1" applyFill="1" applyBorder="1" applyAlignment="1" applyProtection="1"/>
    <xf numFmtId="0" fontId="8" fillId="0" borderId="155" xfId="0" applyFont="1" applyFill="1" applyBorder="1" applyAlignment="1" applyProtection="1"/>
    <xf numFmtId="0" fontId="8" fillId="0" borderId="156" xfId="0" applyFont="1" applyFill="1" applyBorder="1" applyAlignment="1" applyProtection="1"/>
    <xf numFmtId="9" fontId="15" fillId="8" borderId="154" xfId="0" applyNumberFormat="1" applyFont="1" applyFill="1" applyBorder="1" applyAlignment="1" applyProtection="1">
      <alignment horizontal="center"/>
    </xf>
    <xf numFmtId="9" fontId="15" fillId="8" borderId="155" xfId="0" applyNumberFormat="1" applyFont="1" applyFill="1" applyBorder="1" applyAlignment="1" applyProtection="1">
      <alignment horizontal="center"/>
    </xf>
    <xf numFmtId="5" fontId="15" fillId="8" borderId="156" xfId="0" applyNumberFormat="1" applyFont="1" applyFill="1" applyBorder="1" applyAlignment="1" applyProtection="1"/>
    <xf numFmtId="9" fontId="8" fillId="0" borderId="154" xfId="0" applyNumberFormat="1" applyFont="1" applyFill="1" applyBorder="1" applyAlignment="1" applyProtection="1"/>
    <xf numFmtId="9" fontId="8" fillId="0" borderId="155" xfId="0" applyNumberFormat="1" applyFont="1" applyFill="1" applyBorder="1" applyAlignment="1" applyProtection="1"/>
    <xf numFmtId="5" fontId="8" fillId="0" borderId="156" xfId="0" applyNumberFormat="1" applyFont="1" applyFill="1" applyBorder="1" applyAlignment="1" applyProtection="1"/>
    <xf numFmtId="9" fontId="4" fillId="0" borderId="157" xfId="0" applyNumberFormat="1" applyFont="1" applyBorder="1" applyAlignment="1" applyProtection="1"/>
    <xf numFmtId="9" fontId="4" fillId="0" borderId="158" xfId="0" applyNumberFormat="1" applyFont="1" applyBorder="1" applyAlignment="1" applyProtection="1"/>
    <xf numFmtId="5" fontId="4" fillId="0" borderId="159" xfId="0" applyNumberFormat="1" applyFont="1" applyBorder="1" applyAlignment="1" applyProtection="1"/>
    <xf numFmtId="0" fontId="4" fillId="0" borderId="96" xfId="0" applyFont="1" applyBorder="1" applyAlignment="1">
      <alignment horizontal="center"/>
    </xf>
    <xf numFmtId="0" fontId="4" fillId="0" borderId="160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8" fillId="0" borderId="56" xfId="0" applyFont="1" applyFill="1" applyBorder="1" applyAlignment="1" applyProtection="1"/>
    <xf numFmtId="5" fontId="8" fillId="0" borderId="56" xfId="0" applyNumberFormat="1" applyFont="1" applyFill="1" applyBorder="1" applyAlignment="1" applyProtection="1"/>
    <xf numFmtId="5" fontId="4" fillId="0" borderId="161" xfId="0" applyNumberFormat="1" applyFont="1" applyBorder="1" applyAlignment="1" applyProtection="1"/>
    <xf numFmtId="0" fontId="8" fillId="0" borderId="162" xfId="0" applyFont="1" applyFill="1" applyBorder="1" applyAlignment="1" applyProtection="1"/>
    <xf numFmtId="9" fontId="8" fillId="0" borderId="162" xfId="0" applyNumberFormat="1" applyFont="1" applyFill="1" applyBorder="1" applyAlignment="1" applyProtection="1"/>
    <xf numFmtId="9" fontId="4" fillId="0" borderId="163" xfId="0" applyNumberFormat="1" applyFont="1" applyBorder="1" applyAlignment="1" applyProtection="1"/>
    <xf numFmtId="0" fontId="4" fillId="0" borderId="164" xfId="0" applyFont="1" applyBorder="1" applyAlignment="1">
      <alignment horizontal="centerContinuous"/>
    </xf>
    <xf numFmtId="0" fontId="4" fillId="0" borderId="165" xfId="0" applyFont="1" applyBorder="1" applyAlignment="1">
      <alignment horizontal="centerContinuous"/>
    </xf>
    <xf numFmtId="0" fontId="4" fillId="0" borderId="166" xfId="0" applyFont="1" applyBorder="1" applyAlignment="1">
      <alignment horizontal="center"/>
    </xf>
    <xf numFmtId="0" fontId="8" fillId="0" borderId="123" xfId="0" applyFont="1" applyFill="1" applyBorder="1" applyAlignment="1" applyProtection="1"/>
    <xf numFmtId="5" fontId="8" fillId="0" borderId="123" xfId="0" applyNumberFormat="1" applyFont="1" applyFill="1" applyBorder="1" applyAlignment="1" applyProtection="1"/>
    <xf numFmtId="5" fontId="4" fillId="0" borderId="136" xfId="0" applyNumberFormat="1" applyFont="1" applyBorder="1" applyAlignment="1" applyProtection="1"/>
    <xf numFmtId="0" fontId="4" fillId="0" borderId="17" xfId="0" applyFont="1" applyBorder="1" applyAlignment="1">
      <alignment horizontal="center"/>
    </xf>
    <xf numFmtId="5" fontId="4" fillId="0" borderId="137" xfId="0" applyNumberFormat="1" applyFont="1" applyBorder="1" applyAlignment="1" applyProtection="1"/>
    <xf numFmtId="10" fontId="15" fillId="8" borderId="162" xfId="0" applyNumberFormat="1" applyFont="1" applyFill="1" applyBorder="1" applyAlignment="1" applyProtection="1">
      <alignment horizontal="center"/>
    </xf>
    <xf numFmtId="0" fontId="8" fillId="0" borderId="133" xfId="0" applyFont="1" applyFill="1" applyBorder="1" applyAlignment="1" applyProtection="1"/>
    <xf numFmtId="5" fontId="8" fillId="0" borderId="34" xfId="0" applyNumberFormat="1" applyFont="1" applyFill="1" applyBorder="1" applyAlignment="1" applyProtection="1"/>
    <xf numFmtId="5" fontId="4" fillId="0" borderId="139" xfId="0" applyNumberFormat="1" applyFont="1" applyBorder="1" applyAlignment="1" applyProtection="1"/>
    <xf numFmtId="5" fontId="15" fillId="8" borderId="56" xfId="0" applyNumberFormat="1" applyFont="1" applyFill="1" applyBorder="1" applyAlignment="1" applyProtection="1"/>
    <xf numFmtId="0" fontId="8" fillId="0" borderId="13" xfId="0" applyFont="1" applyFill="1" applyBorder="1" applyAlignment="1" applyProtection="1"/>
    <xf numFmtId="0" fontId="8" fillId="0" borderId="104" xfId="0" applyFont="1" applyFill="1" applyBorder="1" applyAlignment="1" applyProtection="1"/>
    <xf numFmtId="5" fontId="8" fillId="0" borderId="167" xfId="0" applyNumberFormat="1" applyFont="1" applyFill="1" applyBorder="1" applyAlignment="1" applyProtection="1"/>
    <xf numFmtId="0" fontId="10" fillId="0" borderId="59" xfId="0" applyFont="1" applyBorder="1" applyAlignment="1">
      <alignment horizontal="centerContinuous"/>
    </xf>
    <xf numFmtId="0" fontId="8" fillId="0" borderId="0" xfId="0" applyFont="1" applyAlignment="1">
      <alignment horizontal="center"/>
    </xf>
    <xf numFmtId="37" fontId="8" fillId="0" borderId="10" xfId="0" applyNumberFormat="1" applyFont="1" applyBorder="1" applyAlignment="1"/>
    <xf numFmtId="0" fontId="35" fillId="8" borderId="0" xfId="14" applyNumberFormat="1" applyFont="1" applyFill="1" applyAlignment="1">
      <alignment horizontal="center"/>
    </xf>
    <xf numFmtId="0" fontId="17" fillId="6" borderId="0" xfId="14" applyNumberFormat="1" applyFont="1" applyAlignment="1"/>
    <xf numFmtId="0" fontId="102" fillId="8" borderId="13" xfId="0" applyFont="1" applyFill="1" applyBorder="1" applyAlignment="1">
      <alignment horizontal="center"/>
    </xf>
    <xf numFmtId="17" fontId="15" fillId="8" borderId="13" xfId="16" applyNumberFormat="1" applyFont="1" applyFill="1" applyBorder="1" applyAlignment="1">
      <alignment horizontal="center"/>
    </xf>
    <xf numFmtId="17" fontId="103" fillId="8" borderId="0" xfId="0" applyNumberFormat="1" applyFont="1" applyFill="1" applyBorder="1" applyAlignment="1">
      <alignment horizontal="center"/>
    </xf>
    <xf numFmtId="0" fontId="15" fillId="8" borderId="0" xfId="15" applyFont="1" applyFill="1" applyBorder="1" applyAlignment="1">
      <alignment horizontal="center"/>
    </xf>
    <xf numFmtId="0" fontId="8" fillId="0" borderId="0" xfId="16" applyFont="1" applyFill="1" applyBorder="1" applyAlignment="1">
      <alignment horizontal="center"/>
    </xf>
    <xf numFmtId="0" fontId="9" fillId="0" borderId="12" xfId="0" applyFont="1" applyFill="1" applyBorder="1"/>
    <xf numFmtId="0" fontId="15" fillId="8" borderId="13" xfId="17" applyNumberFormat="1" applyFont="1" applyFill="1" applyBorder="1" applyAlignment="1">
      <alignment horizontal="center"/>
    </xf>
    <xf numFmtId="0" fontId="16" fillId="0" borderId="13" xfId="17" applyNumberFormat="1" applyFont="1" applyBorder="1"/>
    <xf numFmtId="10" fontId="15" fillId="8" borderId="13" xfId="0" applyNumberFormat="1" applyFont="1" applyFill="1" applyBorder="1" applyAlignment="1">
      <alignment horizontal="center"/>
    </xf>
    <xf numFmtId="0" fontId="8" fillId="0" borderId="0" xfId="0" applyFont="1" applyFill="1" applyAlignment="1">
      <alignment horizontal="center"/>
    </xf>
    <xf numFmtId="0" fontId="17" fillId="0" borderId="0" xfId="0" applyFont="1" applyAlignment="1">
      <alignment horizontal="center"/>
    </xf>
    <xf numFmtId="0" fontId="17" fillId="0" borderId="0" xfId="0" applyFont="1" applyAlignment="1"/>
    <xf numFmtId="5" fontId="15" fillId="8" borderId="31" xfId="0" applyNumberFormat="1" applyFont="1" applyFill="1" applyBorder="1" applyAlignment="1"/>
    <xf numFmtId="5" fontId="19" fillId="8" borderId="31" xfId="0" applyNumberFormat="1" applyFont="1" applyFill="1" applyBorder="1" applyAlignment="1"/>
    <xf numFmtId="5" fontId="8" fillId="9" borderId="168" xfId="0" applyNumberFormat="1" applyFont="1" applyFill="1" applyBorder="1"/>
    <xf numFmtId="0" fontId="4" fillId="0" borderId="169" xfId="0" applyFont="1" applyBorder="1" applyAlignment="1">
      <alignment horizontal="right"/>
    </xf>
    <xf numFmtId="0" fontId="8" fillId="0" borderId="8" xfId="0" applyFont="1" applyFill="1" applyBorder="1" applyAlignment="1"/>
    <xf numFmtId="0" fontId="17" fillId="0" borderId="13" xfId="0" applyFont="1" applyFill="1" applyBorder="1"/>
    <xf numFmtId="0" fontId="8" fillId="0" borderId="69" xfId="0" applyFont="1" applyBorder="1" applyAlignment="1">
      <alignment horizontal="right"/>
    </xf>
    <xf numFmtId="10" fontId="4" fillId="9" borderId="83" xfId="0" applyNumberFormat="1" applyFont="1" applyFill="1" applyBorder="1"/>
    <xf numFmtId="0" fontId="17" fillId="0" borderId="13" xfId="0" applyFont="1" applyBorder="1" applyAlignment="1">
      <alignment horizontal="right"/>
    </xf>
    <xf numFmtId="9" fontId="15" fillId="8" borderId="0" xfId="0" applyNumberFormat="1" applyFont="1" applyFill="1" applyBorder="1"/>
    <xf numFmtId="0" fontId="12" fillId="0" borderId="12" xfId="0" applyNumberFormat="1" applyFont="1" applyBorder="1"/>
    <xf numFmtId="0" fontId="8" fillId="0" borderId="8" xfId="0" quotePrefix="1" applyFont="1" applyBorder="1" applyAlignment="1">
      <alignment horizontal="right"/>
    </xf>
    <xf numFmtId="9" fontId="8" fillId="0" borderId="8" xfId="0" applyNumberFormat="1" applyFont="1" applyBorder="1"/>
    <xf numFmtId="37" fontId="4" fillId="0" borderId="8" xfId="0" applyNumberFormat="1" applyFont="1" applyBorder="1"/>
    <xf numFmtId="37" fontId="4" fillId="0" borderId="74" xfId="0" applyNumberFormat="1" applyFont="1" applyBorder="1"/>
    <xf numFmtId="0" fontId="12" fillId="0" borderId="8" xfId="0" applyFont="1" applyBorder="1"/>
    <xf numFmtId="0" fontId="9" fillId="0" borderId="0" xfId="0" applyFont="1" applyBorder="1"/>
    <xf numFmtId="5" fontId="4" fillId="9" borderId="45" xfId="0" applyNumberFormat="1" applyFont="1" applyFill="1" applyBorder="1"/>
    <xf numFmtId="10" fontId="4" fillId="9" borderId="4" xfId="0" applyNumberFormat="1" applyFont="1" applyFill="1" applyBorder="1"/>
    <xf numFmtId="5" fontId="44" fillId="0" borderId="0" xfId="0" applyNumberFormat="1" applyFont="1" applyBorder="1"/>
    <xf numFmtId="10" fontId="4" fillId="9" borderId="16" xfId="0" applyNumberFormat="1" applyFont="1" applyFill="1" applyBorder="1"/>
    <xf numFmtId="5" fontId="44" fillId="0" borderId="75" xfId="0" applyNumberFormat="1" applyFont="1" applyBorder="1"/>
    <xf numFmtId="10" fontId="4" fillId="9" borderId="0" xfId="0" applyNumberFormat="1" applyFont="1" applyFill="1" applyBorder="1"/>
    <xf numFmtId="37" fontId="8" fillId="9" borderId="83" xfId="3" applyNumberFormat="1" applyFont="1" applyFill="1" applyBorder="1"/>
    <xf numFmtId="37" fontId="4" fillId="9" borderId="4" xfId="3" applyNumberFormat="1" applyFont="1" applyFill="1" applyBorder="1"/>
    <xf numFmtId="10" fontId="44" fillId="0" borderId="0" xfId="0" applyNumberFormat="1" applyFont="1" applyBorder="1" applyAlignment="1">
      <alignment horizontal="right"/>
    </xf>
    <xf numFmtId="10" fontId="4" fillId="9" borderId="82" xfId="0" applyNumberFormat="1" applyFont="1" applyFill="1" applyBorder="1" applyAlignment="1">
      <alignment horizontal="right"/>
    </xf>
    <xf numFmtId="10" fontId="4" fillId="9" borderId="83" xfId="0" applyNumberFormat="1" applyFont="1" applyFill="1" applyBorder="1" applyAlignment="1">
      <alignment horizontal="right"/>
    </xf>
    <xf numFmtId="10" fontId="4" fillId="9" borderId="116" xfId="0" applyNumberFormat="1" applyFont="1" applyFill="1" applyBorder="1" applyAlignment="1">
      <alignment horizontal="right"/>
    </xf>
    <xf numFmtId="0" fontId="26" fillId="0" borderId="0" xfId="0" applyFont="1" applyBorder="1"/>
    <xf numFmtId="10" fontId="25" fillId="0" borderId="0" xfId="3" applyNumberFormat="1" applyFont="1" applyBorder="1"/>
    <xf numFmtId="9" fontId="15" fillId="8" borderId="16" xfId="0" applyNumberFormat="1" applyFont="1" applyFill="1" applyBorder="1" applyAlignment="1">
      <alignment horizontal="right"/>
    </xf>
    <xf numFmtId="0" fontId="8" fillId="0" borderId="102" xfId="0" applyFont="1" applyBorder="1" applyAlignment="1">
      <alignment horizontal="centerContinuous"/>
    </xf>
    <xf numFmtId="0" fontId="111" fillId="0" borderId="0" xfId="0" applyFont="1"/>
    <xf numFmtId="37" fontId="8" fillId="0" borderId="0" xfId="17" applyNumberFormat="1" applyFont="1" applyBorder="1" applyAlignment="1"/>
    <xf numFmtId="9" fontId="17" fillId="0" borderId="0" xfId="17" applyFont="1" applyBorder="1" applyAlignment="1"/>
    <xf numFmtId="0" fontId="8" fillId="0" borderId="59" xfId="0" applyNumberFormat="1" applyFont="1" applyBorder="1" applyAlignment="1">
      <alignment horizontal="right"/>
    </xf>
    <xf numFmtId="0" fontId="27" fillId="0" borderId="8" xfId="0" applyFont="1" applyBorder="1" applyAlignment="1"/>
    <xf numFmtId="0" fontId="27" fillId="0" borderId="95" xfId="0" applyFont="1" applyBorder="1" applyAlignment="1"/>
    <xf numFmtId="0" fontId="27" fillId="0" borderId="0" xfId="0" applyFont="1" applyBorder="1" applyAlignment="1"/>
    <xf numFmtId="0" fontId="8" fillId="0" borderId="10" xfId="0" applyFont="1" applyBorder="1" applyAlignment="1">
      <alignment horizontal="right"/>
    </xf>
    <xf numFmtId="0" fontId="8" fillId="0" borderId="59" xfId="0" applyNumberFormat="1" applyFont="1" applyBorder="1" applyAlignment="1"/>
    <xf numFmtId="0" fontId="8" fillId="0" borderId="96" xfId="0" applyNumberFormat="1" applyFont="1" applyBorder="1" applyAlignment="1"/>
    <xf numFmtId="0" fontId="8" fillId="0" borderId="10" xfId="0" applyNumberFormat="1" applyFont="1" applyBorder="1" applyAlignment="1"/>
    <xf numFmtId="10" fontId="8" fillId="0" borderId="16" xfId="17" applyNumberFormat="1" applyFont="1" applyBorder="1" applyAlignment="1"/>
    <xf numFmtId="17" fontId="8" fillId="0" borderId="96" xfId="0" applyNumberFormat="1" applyFont="1" applyBorder="1" applyAlignment="1"/>
    <xf numFmtId="0" fontId="11" fillId="8" borderId="13" xfId="0" applyFont="1" applyFill="1" applyBorder="1" applyAlignment="1">
      <alignment horizontal="right"/>
    </xf>
    <xf numFmtId="37" fontId="11" fillId="8" borderId="13" xfId="0" applyNumberFormat="1" applyFont="1" applyFill="1" applyBorder="1" applyAlignment="1">
      <alignment horizontal="right"/>
    </xf>
    <xf numFmtId="39" fontId="17" fillId="0" borderId="13" xfId="0" applyNumberFormat="1" applyFont="1" applyFill="1" applyBorder="1" applyAlignment="1">
      <alignment horizontal="right"/>
    </xf>
    <xf numFmtId="5" fontId="8" fillId="0" borderId="17" xfId="0" applyNumberFormat="1" applyFont="1" applyFill="1" applyBorder="1" applyAlignment="1">
      <alignment horizontal="right"/>
    </xf>
    <xf numFmtId="37" fontId="8" fillId="0" borderId="0" xfId="17" applyNumberFormat="1" applyFont="1" applyBorder="1"/>
    <xf numFmtId="39" fontId="8" fillId="0" borderId="0" xfId="17" applyNumberFormat="1" applyFont="1" applyBorder="1"/>
    <xf numFmtId="5" fontId="8" fillId="0" borderId="16" xfId="17" applyNumberFormat="1" applyFont="1" applyBorder="1"/>
    <xf numFmtId="14" fontId="15" fillId="8" borderId="99" xfId="0" applyNumberFormat="1" applyFont="1" applyFill="1" applyBorder="1" applyAlignment="1">
      <alignment horizontal="center"/>
    </xf>
    <xf numFmtId="0" fontId="8" fillId="0" borderId="102" xfId="0" applyNumberFormat="1" applyFont="1" applyBorder="1" applyAlignment="1"/>
    <xf numFmtId="14" fontId="15" fillId="8" borderId="97" xfId="0" applyNumberFormat="1" applyFont="1" applyFill="1" applyBorder="1" applyAlignment="1">
      <alignment horizontal="center"/>
    </xf>
    <xf numFmtId="5" fontId="8" fillId="0" borderId="59" xfId="17" applyNumberFormat="1" applyFont="1" applyBorder="1"/>
    <xf numFmtId="0" fontId="8" fillId="0" borderId="59" xfId="17" applyNumberFormat="1" applyFont="1" applyBorder="1" applyAlignment="1">
      <alignment horizontal="center"/>
    </xf>
    <xf numFmtId="0" fontId="21" fillId="8" borderId="0" xfId="0" applyFont="1" applyFill="1" applyBorder="1" applyAlignment="1">
      <alignment horizontal="center"/>
    </xf>
    <xf numFmtId="5" fontId="15" fillId="9" borderId="170" xfId="14" applyNumberFormat="1" applyFont="1" applyFill="1" applyBorder="1" applyAlignment="1"/>
    <xf numFmtId="5" fontId="15" fillId="9" borderId="171" xfId="14" applyNumberFormat="1" applyFont="1" applyFill="1" applyBorder="1" applyAlignment="1"/>
    <xf numFmtId="5" fontId="15" fillId="9" borderId="172" xfId="14" applyNumberFormat="1" applyFont="1" applyFill="1" applyBorder="1" applyAlignment="1"/>
    <xf numFmtId="0" fontId="35" fillId="8" borderId="9" xfId="0" applyNumberFormat="1" applyFont="1" applyFill="1" applyBorder="1" applyAlignment="1">
      <alignment horizontal="center"/>
    </xf>
    <xf numFmtId="5" fontId="15" fillId="8" borderId="9" xfId="0" applyNumberFormat="1" applyFont="1" applyFill="1" applyBorder="1"/>
    <xf numFmtId="0" fontId="8" fillId="0" borderId="17" xfId="0" applyNumberFormat="1" applyFont="1" applyFill="1" applyBorder="1"/>
    <xf numFmtId="0" fontId="8" fillId="0" borderId="16" xfId="0" applyNumberFormat="1" applyFont="1" applyFill="1" applyBorder="1" applyAlignment="1">
      <alignment horizontal="center"/>
    </xf>
    <xf numFmtId="0" fontId="8" fillId="6" borderId="96" xfId="17" applyNumberFormat="1" applyFont="1" applyFill="1" applyBorder="1" applyAlignment="1"/>
    <xf numFmtId="5" fontId="8" fillId="0" borderId="8" xfId="0" applyNumberFormat="1" applyFont="1" applyBorder="1" applyAlignment="1"/>
    <xf numFmtId="9" fontId="8" fillId="0" borderId="10" xfId="0" applyNumberFormat="1" applyFont="1" applyBorder="1" applyAlignment="1"/>
    <xf numFmtId="7" fontId="15" fillId="8" borderId="0" xfId="0" applyNumberFormat="1" applyFont="1" applyFill="1" applyBorder="1" applyAlignment="1">
      <alignment horizontal="centerContinuous"/>
    </xf>
    <xf numFmtId="7" fontId="15" fillId="8" borderId="16" xfId="0" applyNumberFormat="1" applyFont="1" applyFill="1" applyBorder="1" applyAlignment="1">
      <alignment horizontal="centerContinuous"/>
    </xf>
    <xf numFmtId="0" fontId="8" fillId="0" borderId="8" xfId="0" applyFont="1" applyBorder="1" applyAlignment="1">
      <alignment horizontal="right"/>
    </xf>
    <xf numFmtId="0" fontId="15" fillId="8" borderId="9" xfId="0" applyFont="1" applyFill="1" applyBorder="1" applyAlignment="1">
      <alignment horizontal="centerContinuous"/>
    </xf>
    <xf numFmtId="0" fontId="8" fillId="8" borderId="9" xfId="0" applyFont="1" applyFill="1" applyBorder="1" applyAlignment="1">
      <alignment horizontal="centerContinuous"/>
    </xf>
    <xf numFmtId="0" fontId="15" fillId="0" borderId="0" xfId="0" applyFont="1" applyFill="1" applyBorder="1" applyAlignment="1">
      <alignment horizontal="center"/>
    </xf>
    <xf numFmtId="0" fontId="8" fillId="0" borderId="8" xfId="0" applyFont="1" applyFill="1" applyBorder="1"/>
    <xf numFmtId="0" fontId="15" fillId="0" borderId="9" xfId="0" applyFont="1" applyFill="1" applyBorder="1" applyAlignment="1">
      <alignment horizontal="center"/>
    </xf>
    <xf numFmtId="0" fontId="49" fillId="0" borderId="0" xfId="16" applyFont="1"/>
    <xf numFmtId="39" fontId="8" fillId="0" borderId="10" xfId="16" applyNumberFormat="1" applyFont="1" applyFill="1" applyBorder="1" applyAlignment="1">
      <alignment horizontal="center"/>
    </xf>
    <xf numFmtId="39" fontId="8" fillId="0" borderId="0" xfId="16" applyNumberFormat="1" applyFont="1" applyFill="1" applyBorder="1" applyAlignment="1">
      <alignment horizontal="center"/>
    </xf>
    <xf numFmtId="5" fontId="8" fillId="0" borderId="15" xfId="0" applyNumberFormat="1" applyFont="1" applyBorder="1"/>
    <xf numFmtId="5" fontId="4" fillId="0" borderId="67" xfId="0" applyNumberFormat="1" applyFont="1" applyBorder="1" applyAlignment="1">
      <alignment horizontal="right"/>
    </xf>
    <xf numFmtId="0" fontId="4" fillId="0" borderId="69" xfId="0" applyFont="1" applyBorder="1" applyAlignment="1">
      <alignment horizontal="right"/>
    </xf>
    <xf numFmtId="9" fontId="4" fillId="0" borderId="95" xfId="0" applyNumberFormat="1" applyFont="1" applyBorder="1" applyAlignment="1">
      <alignment horizontal="right"/>
    </xf>
    <xf numFmtId="0" fontId="4" fillId="0" borderId="18" xfId="0" applyFont="1" applyBorder="1" applyAlignment="1">
      <alignment horizontal="right"/>
    </xf>
    <xf numFmtId="5" fontId="15" fillId="8" borderId="11" xfId="0" applyNumberFormat="1" applyFont="1" applyFill="1" applyBorder="1"/>
    <xf numFmtId="5" fontId="17" fillId="0" borderId="11" xfId="0" applyNumberFormat="1" applyFont="1" applyBorder="1"/>
    <xf numFmtId="9" fontId="4" fillId="0" borderId="59" xfId="0" applyNumberFormat="1" applyFont="1" applyBorder="1" applyAlignment="1">
      <alignment horizontal="right"/>
    </xf>
    <xf numFmtId="9" fontId="15" fillId="8" borderId="0" xfId="17" applyFont="1" applyFill="1" applyBorder="1"/>
    <xf numFmtId="5" fontId="4" fillId="0" borderId="68" xfId="0" applyNumberFormat="1" applyFont="1" applyBorder="1" applyAlignment="1">
      <alignment horizontal="right"/>
    </xf>
    <xf numFmtId="0" fontId="17" fillId="0" borderId="0" xfId="0" applyFont="1" applyBorder="1" applyAlignment="1">
      <alignment horizontal="right"/>
    </xf>
    <xf numFmtId="5" fontId="15" fillId="8" borderId="13" xfId="0" applyNumberFormat="1" applyFont="1" applyFill="1" applyBorder="1" applyAlignment="1"/>
    <xf numFmtId="5" fontId="8" fillId="0" borderId="16" xfId="0" applyNumberFormat="1" applyFont="1" applyBorder="1" applyAlignment="1"/>
    <xf numFmtId="0" fontId="8" fillId="0" borderId="0" xfId="0" quotePrefix="1" applyFont="1" applyBorder="1"/>
    <xf numFmtId="0" fontId="8" fillId="10" borderId="12" xfId="0" applyFont="1" applyFill="1" applyBorder="1"/>
    <xf numFmtId="0" fontId="8" fillId="10" borderId="0" xfId="0" applyFont="1" applyFill="1" applyBorder="1"/>
    <xf numFmtId="49" fontId="8" fillId="10" borderId="0" xfId="0" applyNumberFormat="1" applyFont="1" applyFill="1" applyBorder="1" applyAlignment="1">
      <alignment horizontal="center"/>
    </xf>
    <xf numFmtId="5" fontId="8" fillId="10" borderId="0" xfId="0" applyNumberFormat="1" applyFont="1" applyFill="1" applyBorder="1"/>
    <xf numFmtId="5" fontId="8" fillId="10" borderId="75" xfId="0" applyNumberFormat="1" applyFont="1" applyFill="1" applyBorder="1"/>
    <xf numFmtId="37" fontId="8" fillId="0" borderId="0" xfId="0" applyNumberFormat="1" applyFont="1" applyFill="1" applyBorder="1"/>
    <xf numFmtId="17" fontId="4" fillId="0" borderId="12" xfId="0" applyNumberFormat="1" applyFont="1" applyBorder="1"/>
    <xf numFmtId="17" fontId="4" fillId="0" borderId="0" xfId="0" applyNumberFormat="1" applyFont="1" applyBorder="1" applyAlignment="1">
      <alignment horizontal="left"/>
    </xf>
    <xf numFmtId="37" fontId="8" fillId="0" borderId="13" xfId="0" applyNumberFormat="1" applyFont="1" applyBorder="1"/>
    <xf numFmtId="10" fontId="8" fillId="0" borderId="17" xfId="0" applyNumberFormat="1" applyFont="1" applyBorder="1"/>
    <xf numFmtId="0" fontId="6" fillId="0" borderId="0" xfId="0" applyNumberFormat="1" applyFont="1" applyBorder="1"/>
    <xf numFmtId="5" fontId="49" fillId="8" borderId="13" xfId="0" applyNumberFormat="1" applyFont="1" applyFill="1" applyBorder="1"/>
    <xf numFmtId="0" fontId="49" fillId="8" borderId="0" xfId="0" applyFont="1" applyFill="1" applyBorder="1" applyAlignment="1">
      <alignment horizontal="centerContinuous"/>
    </xf>
    <xf numFmtId="0" fontId="117" fillId="0" borderId="12" xfId="0" applyFont="1" applyBorder="1"/>
    <xf numFmtId="5" fontId="15" fillId="8" borderId="0" xfId="14" applyNumberFormat="1" applyFont="1" applyFill="1" applyBorder="1" applyAlignment="1"/>
    <xf numFmtId="5" fontId="19" fillId="8" borderId="0" xfId="14" applyNumberFormat="1" applyFont="1" applyFill="1" applyBorder="1" applyAlignment="1"/>
    <xf numFmtId="5" fontId="25" fillId="8" borderId="0" xfId="14" applyNumberFormat="1" applyFont="1" applyFill="1" applyBorder="1" applyAlignment="1"/>
    <xf numFmtId="5" fontId="118" fillId="8" borderId="0" xfId="14" applyNumberFormat="1" applyFont="1" applyFill="1" applyBorder="1" applyAlignment="1"/>
    <xf numFmtId="7" fontId="8" fillId="6" borderId="0" xfId="14" applyNumberFormat="1" applyFont="1" applyAlignment="1"/>
    <xf numFmtId="7" fontId="8" fillId="0" borderId="0" xfId="0" applyNumberFormat="1" applyFont="1"/>
    <xf numFmtId="5" fontId="15" fillId="9" borderId="0" xfId="0" applyNumberFormat="1" applyFont="1" applyFill="1" applyBorder="1"/>
    <xf numFmtId="5" fontId="8" fillId="0" borderId="0" xfId="0" quotePrefix="1" applyNumberFormat="1" applyFont="1" applyBorder="1"/>
    <xf numFmtId="1" fontId="44" fillId="6" borderId="0" xfId="14" applyNumberFormat="1" applyFont="1" applyBorder="1" applyAlignment="1"/>
    <xf numFmtId="171" fontId="8" fillId="6" borderId="0" xfId="14" applyNumberFormat="1" applyFont="1" applyAlignment="1"/>
    <xf numFmtId="5" fontId="44" fillId="6" borderId="75" xfId="14" applyNumberFormat="1" applyFont="1" applyBorder="1" applyAlignment="1"/>
    <xf numFmtId="0" fontId="49" fillId="9" borderId="45" xfId="14" applyNumberFormat="1" applyFont="1" applyFill="1" applyBorder="1" applyAlignment="1"/>
    <xf numFmtId="0" fontId="4" fillId="11" borderId="67" xfId="0" applyFont="1" applyFill="1" applyBorder="1" applyAlignment="1">
      <alignment horizontal="center"/>
    </xf>
    <xf numFmtId="0" fontId="0" fillId="11" borderId="8" xfId="0" applyFill="1" applyBorder="1" applyAlignment="1">
      <alignment horizontal="center"/>
    </xf>
    <xf numFmtId="0" fontId="4" fillId="11" borderId="68" xfId="0" applyFont="1" applyFill="1" applyBorder="1" applyAlignment="1">
      <alignment horizontal="center"/>
    </xf>
    <xf numFmtId="0" fontId="119" fillId="11" borderId="69" xfId="0" applyFont="1" applyFill="1" applyBorder="1" applyAlignment="1">
      <alignment horizontal="left"/>
    </xf>
    <xf numFmtId="0" fontId="4" fillId="11" borderId="4" xfId="0" applyFont="1" applyFill="1" applyBorder="1" applyAlignment="1">
      <alignment horizontal="center"/>
    </xf>
    <xf numFmtId="17" fontId="4" fillId="11" borderId="4" xfId="0" applyNumberFormat="1" applyFont="1" applyFill="1" applyBorder="1" applyAlignment="1">
      <alignment horizontal="center"/>
    </xf>
    <xf numFmtId="0" fontId="9" fillId="11" borderId="119" xfId="0" applyFont="1" applyFill="1" applyBorder="1" applyAlignment="1">
      <alignment horizontal="center"/>
    </xf>
    <xf numFmtId="0" fontId="49" fillId="11" borderId="12" xfId="0" applyFont="1" applyFill="1" applyBorder="1"/>
    <xf numFmtId="0" fontId="8" fillId="11" borderId="0" xfId="0" applyFont="1" applyFill="1" applyBorder="1"/>
    <xf numFmtId="0" fontId="8" fillId="11" borderId="148" xfId="0" applyFont="1" applyFill="1" applyBorder="1"/>
    <xf numFmtId="0" fontId="4" fillId="11" borderId="12" xfId="0" applyFont="1" applyFill="1" applyBorder="1"/>
    <xf numFmtId="0" fontId="0" fillId="11" borderId="0" xfId="0" applyFill="1" applyBorder="1"/>
    <xf numFmtId="0" fontId="8" fillId="11" borderId="70" xfId="0" applyFont="1" applyFill="1" applyBorder="1"/>
    <xf numFmtId="0" fontId="0" fillId="11" borderId="12" xfId="0" applyFill="1" applyBorder="1"/>
    <xf numFmtId="5" fontId="15" fillId="9" borderId="0" xfId="0" applyNumberFormat="1" applyFont="1" applyFill="1" applyBorder="1" applyAlignment="1"/>
    <xf numFmtId="5" fontId="8" fillId="9" borderId="70" xfId="0" applyNumberFormat="1" applyFont="1" applyFill="1" applyBorder="1" applyAlignment="1"/>
    <xf numFmtId="5" fontId="19" fillId="9" borderId="0" xfId="0" applyNumberFormat="1" applyFont="1" applyFill="1" applyBorder="1" applyAlignment="1"/>
    <xf numFmtId="0" fontId="4" fillId="11" borderId="0" xfId="0" applyFont="1" applyFill="1" applyBorder="1"/>
    <xf numFmtId="5" fontId="8" fillId="9" borderId="0" xfId="0" applyNumberFormat="1" applyFont="1" applyFill="1" applyBorder="1" applyAlignment="1"/>
    <xf numFmtId="0" fontId="8" fillId="11" borderId="12" xfId="0" applyFont="1" applyFill="1" applyBorder="1"/>
    <xf numFmtId="5" fontId="15" fillId="11" borderId="0" xfId="0" applyNumberFormat="1" applyFont="1" applyFill="1" applyBorder="1"/>
    <xf numFmtId="5" fontId="8" fillId="11" borderId="70" xfId="0" applyNumberFormat="1" applyFont="1" applyFill="1" applyBorder="1"/>
    <xf numFmtId="5" fontId="19" fillId="11" borderId="0" xfId="0" applyNumberFormat="1" applyFont="1" applyFill="1" applyBorder="1"/>
    <xf numFmtId="5" fontId="17" fillId="11" borderId="70" xfId="0" applyNumberFormat="1" applyFont="1" applyFill="1" applyBorder="1"/>
    <xf numFmtId="5" fontId="8" fillId="11" borderId="0" xfId="0" applyNumberFormat="1" applyFont="1" applyFill="1" applyBorder="1"/>
    <xf numFmtId="0" fontId="8" fillId="11" borderId="15" xfId="0" applyFont="1" applyFill="1" applyBorder="1"/>
    <xf numFmtId="0" fontId="8" fillId="11" borderId="16" xfId="0" applyFont="1" applyFill="1" applyBorder="1"/>
    <xf numFmtId="0" fontId="8" fillId="11" borderId="103" xfId="0" applyFont="1" applyFill="1" applyBorder="1"/>
    <xf numFmtId="5" fontId="17" fillId="9" borderId="70" xfId="0" applyNumberFormat="1" applyFont="1" applyFill="1" applyBorder="1" applyAlignment="1"/>
    <xf numFmtId="5" fontId="8" fillId="0" borderId="0" xfId="14" applyNumberFormat="1" applyFont="1" applyFill="1" applyBorder="1" applyAlignment="1"/>
    <xf numFmtId="5" fontId="17" fillId="0" borderId="0" xfId="14" applyNumberFormat="1" applyFont="1" applyFill="1" applyBorder="1" applyAlignment="1"/>
    <xf numFmtId="5" fontId="8" fillId="6" borderId="0" xfId="14" applyNumberFormat="1" applyFont="1"/>
    <xf numFmtId="174" fontId="17" fillId="0" borderId="0" xfId="0" applyNumberFormat="1" applyFont="1" applyBorder="1"/>
    <xf numFmtId="176" fontId="15" fillId="8" borderId="0" xfId="0" applyNumberFormat="1" applyFont="1" applyFill="1" applyBorder="1" applyAlignment="1">
      <alignment horizontal="right"/>
    </xf>
    <xf numFmtId="176" fontId="15" fillId="8" borderId="11" xfId="0" applyNumberFormat="1" applyFont="1" applyFill="1" applyBorder="1" applyAlignment="1">
      <alignment horizontal="center"/>
    </xf>
    <xf numFmtId="176" fontId="15" fillId="8" borderId="10" xfId="0" applyNumberFormat="1" applyFont="1" applyFill="1" applyBorder="1" applyAlignment="1">
      <alignment horizontal="center"/>
    </xf>
    <xf numFmtId="176" fontId="15" fillId="8" borderId="13" xfId="0" applyNumberFormat="1" applyFont="1" applyFill="1" applyBorder="1" applyAlignment="1">
      <alignment horizontal="center"/>
    </xf>
    <xf numFmtId="173" fontId="15" fillId="8" borderId="10" xfId="16" applyNumberFormat="1" applyFont="1" applyFill="1" applyBorder="1" applyAlignment="1">
      <alignment horizontal="center"/>
    </xf>
    <xf numFmtId="173" fontId="15" fillId="8" borderId="0" xfId="16" applyNumberFormat="1" applyFont="1" applyFill="1" applyBorder="1" applyAlignment="1">
      <alignment horizontal="center"/>
    </xf>
    <xf numFmtId="173" fontId="25" fillId="8" borderId="0" xfId="16" applyNumberFormat="1" applyFont="1" applyFill="1" applyBorder="1" applyAlignment="1">
      <alignment horizontal="center"/>
    </xf>
    <xf numFmtId="173" fontId="25" fillId="8" borderId="13" xfId="16" applyNumberFormat="1" applyFont="1" applyFill="1" applyBorder="1" applyAlignment="1">
      <alignment horizontal="center"/>
    </xf>
    <xf numFmtId="173" fontId="8" fillId="0" borderId="10" xfId="16" applyNumberFormat="1" applyFont="1" applyBorder="1" applyAlignment="1">
      <alignment horizontal="center"/>
    </xf>
    <xf numFmtId="173" fontId="8" fillId="0" borderId="0" xfId="16" applyNumberFormat="1" applyFont="1" applyBorder="1" applyAlignment="1">
      <alignment horizontal="center"/>
    </xf>
    <xf numFmtId="173" fontId="8" fillId="0" borderId="13" xfId="16" applyNumberFormat="1" applyFont="1" applyBorder="1" applyAlignment="1">
      <alignment horizontal="center"/>
    </xf>
    <xf numFmtId="173" fontId="8" fillId="0" borderId="12" xfId="16" applyNumberFormat="1" applyFont="1" applyBorder="1" applyAlignment="1">
      <alignment horizontal="center"/>
    </xf>
    <xf numFmtId="173" fontId="15" fillId="8" borderId="13" xfId="16" applyNumberFormat="1" applyFont="1" applyFill="1" applyBorder="1" applyAlignment="1">
      <alignment horizontal="center"/>
    </xf>
    <xf numFmtId="173" fontId="8" fillId="0" borderId="0" xfId="15" applyNumberFormat="1" applyFont="1" applyBorder="1" applyAlignment="1">
      <alignment horizontal="center"/>
    </xf>
    <xf numFmtId="173" fontId="15" fillId="8" borderId="0" xfId="15" applyNumberFormat="1" applyFont="1" applyFill="1" applyBorder="1" applyAlignment="1">
      <alignment horizontal="center"/>
    </xf>
    <xf numFmtId="173" fontId="0" fillId="0" borderId="0" xfId="0" applyNumberFormat="1" applyBorder="1" applyAlignment="1">
      <alignment horizontal="center"/>
    </xf>
    <xf numFmtId="178" fontId="0" fillId="0" borderId="0" xfId="0" applyNumberFormat="1" applyBorder="1"/>
    <xf numFmtId="1" fontId="8" fillId="0" borderId="12" xfId="0" applyNumberFormat="1" applyFont="1" applyBorder="1"/>
    <xf numFmtId="178" fontId="8" fillId="0" borderId="0" xfId="0" applyNumberFormat="1" applyFont="1" applyBorder="1"/>
    <xf numFmtId="178" fontId="8" fillId="0" borderId="12" xfId="0" applyNumberFormat="1" applyFont="1" applyBorder="1"/>
    <xf numFmtId="178" fontId="0" fillId="0" borderId="10" xfId="0" applyNumberFormat="1" applyBorder="1" applyAlignment="1"/>
    <xf numFmtId="178" fontId="0" fillId="0" borderId="0" xfId="0" applyNumberFormat="1" applyBorder="1" applyAlignment="1"/>
    <xf numFmtId="178" fontId="0" fillId="0" borderId="11" xfId="0" applyNumberFormat="1" applyBorder="1" applyAlignment="1"/>
    <xf numFmtId="179" fontId="0" fillId="0" borderId="0" xfId="0" applyNumberFormat="1" applyBorder="1"/>
    <xf numFmtId="179" fontId="8" fillId="0" borderId="0" xfId="0" applyNumberFormat="1" applyFont="1"/>
    <xf numFmtId="179" fontId="4" fillId="0" borderId="99" xfId="0" applyNumberFormat="1" applyFont="1" applyBorder="1" applyAlignment="1">
      <alignment horizontal="center"/>
    </xf>
    <xf numFmtId="179" fontId="4" fillId="0" borderId="14" xfId="0" applyNumberFormat="1" applyFont="1" applyBorder="1" applyAlignment="1">
      <alignment horizontal="center"/>
    </xf>
    <xf numFmtId="179" fontId="4" fillId="0" borderId="97" xfId="0" applyNumberFormat="1" applyFont="1" applyBorder="1" applyAlignment="1">
      <alignment horizontal="center"/>
    </xf>
    <xf numFmtId="179" fontId="8" fillId="0" borderId="0" xfId="0" applyNumberFormat="1" applyFont="1" applyBorder="1"/>
    <xf numFmtId="179" fontId="15" fillId="8" borderId="99" xfId="0" applyNumberFormat="1" applyFont="1" applyFill="1" applyBorder="1" applyAlignment="1">
      <alignment horizontal="center"/>
    </xf>
    <xf numFmtId="179" fontId="15" fillId="8" borderId="14" xfId="0" applyNumberFormat="1" applyFont="1" applyFill="1" applyBorder="1" applyAlignment="1">
      <alignment horizontal="center"/>
    </xf>
    <xf numFmtId="179" fontId="15" fillId="8" borderId="97" xfId="0" applyNumberFormat="1" applyFont="1" applyFill="1" applyBorder="1" applyAlignment="1">
      <alignment horizontal="center"/>
    </xf>
    <xf numFmtId="179" fontId="8" fillId="0" borderId="52" xfId="0" applyNumberFormat="1" applyFont="1" applyBorder="1" applyAlignment="1">
      <alignment horizontal="center"/>
    </xf>
    <xf numFmtId="179" fontId="8" fillId="0" borderId="108" xfId="0" applyNumberFormat="1" applyFont="1" applyBorder="1" applyAlignment="1">
      <alignment horizontal="center"/>
    </xf>
    <xf numFmtId="179" fontId="15" fillId="8" borderId="59" xfId="0" applyNumberFormat="1" applyFont="1" applyFill="1" applyBorder="1" applyAlignment="1">
      <alignment horizontal="center"/>
    </xf>
    <xf numFmtId="179" fontId="15" fillId="8" borderId="10" xfId="0" applyNumberFormat="1" applyFont="1" applyFill="1" applyBorder="1" applyAlignment="1">
      <alignment horizontal="center"/>
    </xf>
    <xf numFmtId="179" fontId="15" fillId="8" borderId="96" xfId="0" applyNumberFormat="1" applyFont="1" applyFill="1" applyBorder="1" applyAlignment="1">
      <alignment horizontal="center"/>
    </xf>
    <xf numFmtId="179" fontId="15" fillId="8" borderId="99" xfId="0" applyNumberFormat="1" applyFont="1" applyFill="1" applyBorder="1"/>
    <xf numFmtId="178" fontId="8" fillId="0" borderId="75" xfId="0" applyNumberFormat="1" applyFont="1" applyBorder="1"/>
    <xf numFmtId="174" fontId="0" fillId="0" borderId="0" xfId="0" applyNumberFormat="1" applyBorder="1" applyAlignment="1">
      <alignment horizontal="center"/>
    </xf>
    <xf numFmtId="178" fontId="0" fillId="0" borderId="13" xfId="0" applyNumberFormat="1" applyBorder="1"/>
    <xf numFmtId="178" fontId="0" fillId="0" borderId="12" xfId="0" applyNumberFormat="1" applyBorder="1"/>
    <xf numFmtId="2" fontId="8" fillId="0" borderId="12" xfId="0" applyNumberFormat="1" applyFont="1" applyBorder="1" applyAlignment="1">
      <alignment horizontal="center"/>
    </xf>
    <xf numFmtId="174" fontId="0" fillId="0" borderId="13" xfId="0" applyNumberFormat="1" applyBorder="1" applyAlignment="1">
      <alignment horizontal="center"/>
    </xf>
    <xf numFmtId="178" fontId="0" fillId="0" borderId="0" xfId="0" applyNumberFormat="1" applyBorder="1" applyAlignment="1">
      <alignment horizontal="center"/>
    </xf>
    <xf numFmtId="176" fontId="8" fillId="0" borderId="12" xfId="0" applyNumberFormat="1" applyFont="1" applyBorder="1" applyAlignment="1">
      <alignment horizontal="center"/>
    </xf>
    <xf numFmtId="176" fontId="0" fillId="0" borderId="0" xfId="0" applyNumberFormat="1" applyBorder="1" applyAlignment="1">
      <alignment horizontal="center"/>
    </xf>
    <xf numFmtId="174" fontId="8" fillId="0" borderId="0" xfId="16" applyNumberFormat="1" applyFont="1" applyFill="1" applyBorder="1" applyAlignment="1">
      <alignment horizontal="center"/>
    </xf>
    <xf numFmtId="17" fontId="25" fillId="0" borderId="11" xfId="0" applyNumberFormat="1" applyFont="1" applyBorder="1" applyAlignment="1">
      <alignment horizontal="center"/>
    </xf>
    <xf numFmtId="17" fontId="15" fillId="8" borderId="11" xfId="0" applyNumberFormat="1" applyFont="1" applyFill="1" applyBorder="1" applyAlignment="1">
      <alignment horizontal="center"/>
    </xf>
    <xf numFmtId="176" fontId="8" fillId="0" borderId="0" xfId="0" applyNumberFormat="1" applyFont="1" applyFill="1" applyBorder="1" applyAlignment="1">
      <alignment horizontal="right"/>
    </xf>
    <xf numFmtId="9" fontId="8" fillId="0" borderId="16" xfId="17" applyFont="1" applyBorder="1"/>
    <xf numFmtId="9" fontId="8" fillId="0" borderId="17" xfId="17" applyFont="1" applyBorder="1"/>
    <xf numFmtId="10" fontId="8" fillId="11" borderId="0" xfId="17" applyNumberFormat="1" applyFont="1" applyFill="1" applyBorder="1"/>
    <xf numFmtId="166" fontId="8" fillId="0" borderId="0" xfId="3" applyNumberFormat="1" applyFont="1"/>
    <xf numFmtId="0" fontId="8" fillId="0" borderId="0" xfId="0" applyFont="1" applyBorder="1" applyAlignment="1">
      <alignment horizontal="left"/>
    </xf>
    <xf numFmtId="166" fontId="8" fillId="0" borderId="13" xfId="3" applyNumberFormat="1" applyFont="1" applyFill="1" applyBorder="1" applyAlignment="1"/>
    <xf numFmtId="5" fontId="8" fillId="0" borderId="13" xfId="0" quotePrefix="1" applyNumberFormat="1" applyFont="1" applyFill="1" applyBorder="1"/>
    <xf numFmtId="0" fontId="121" fillId="0" borderId="12" xfId="0" applyFont="1" applyBorder="1"/>
    <xf numFmtId="0" fontId="117" fillId="0" borderId="0" xfId="0" applyFont="1" applyBorder="1" applyAlignment="1">
      <alignment horizontal="center"/>
    </xf>
    <xf numFmtId="0" fontId="117" fillId="0" borderId="13" xfId="0" applyFont="1" applyBorder="1" applyAlignment="1">
      <alignment horizontal="center"/>
    </xf>
    <xf numFmtId="0" fontId="121" fillId="0" borderId="0" xfId="0" applyFont="1"/>
    <xf numFmtId="0" fontId="12" fillId="10" borderId="0" xfId="0" applyFont="1" applyFill="1" applyBorder="1" applyAlignment="1">
      <alignment horizontal="center"/>
    </xf>
    <xf numFmtId="5" fontId="17" fillId="10" borderId="0" xfId="0" applyNumberFormat="1" applyFont="1" applyFill="1" applyBorder="1"/>
    <xf numFmtId="5" fontId="17" fillId="10" borderId="75" xfId="0" applyNumberFormat="1" applyFont="1" applyFill="1" applyBorder="1"/>
    <xf numFmtId="5" fontId="8" fillId="10" borderId="0" xfId="0" quotePrefix="1" applyNumberFormat="1" applyFont="1" applyFill="1" applyBorder="1"/>
    <xf numFmtId="39" fontId="15" fillId="8" borderId="0" xfId="0" applyNumberFormat="1" applyFont="1" applyFill="1" applyBorder="1" applyAlignment="1">
      <alignment horizontal="right"/>
    </xf>
    <xf numFmtId="39" fontId="19" fillId="8" borderId="0" xfId="0" applyNumberFormat="1" applyFont="1" applyFill="1" applyBorder="1" applyAlignment="1">
      <alignment horizontal="right"/>
    </xf>
    <xf numFmtId="183" fontId="15" fillId="8" borderId="13" xfId="17" applyNumberFormat="1" applyFont="1" applyFill="1" applyBorder="1" applyAlignment="1"/>
    <xf numFmtId="183" fontId="15" fillId="8" borderId="0" xfId="17" applyNumberFormat="1" applyFont="1" applyFill="1" applyBorder="1"/>
    <xf numFmtId="183" fontId="8" fillId="0" borderId="13" xfId="0" applyNumberFormat="1" applyFont="1" applyFill="1" applyBorder="1"/>
    <xf numFmtId="10" fontId="8" fillId="0" borderId="13" xfId="17" applyNumberFormat="1" applyFont="1" applyFill="1" applyBorder="1"/>
    <xf numFmtId="183" fontId="8" fillId="0" borderId="0" xfId="17" applyNumberFormat="1" applyFont="1" applyBorder="1"/>
    <xf numFmtId="183" fontId="8" fillId="0" borderId="13" xfId="17" applyNumberFormat="1" applyFont="1" applyFill="1" applyBorder="1"/>
    <xf numFmtId="183" fontId="8" fillId="0" borderId="13" xfId="17" applyNumberFormat="1" applyFont="1" applyFill="1" applyBorder="1" applyAlignment="1"/>
    <xf numFmtId="0" fontId="8" fillId="0" borderId="15" xfId="0" applyFont="1" applyFill="1" applyBorder="1" applyAlignment="1"/>
    <xf numFmtId="0" fontId="15" fillId="0" borderId="16" xfId="0" applyFont="1" applyFill="1" applyBorder="1"/>
    <xf numFmtId="0" fontId="8" fillId="0" borderId="16" xfId="0" applyFont="1" applyFill="1" applyBorder="1" applyAlignment="1">
      <alignment horizontal="left"/>
    </xf>
    <xf numFmtId="5" fontId="8" fillId="0" borderId="17" xfId="0" applyNumberFormat="1" applyFont="1" applyFill="1" applyBorder="1"/>
    <xf numFmtId="10" fontId="8" fillId="0" borderId="0" xfId="17" applyNumberFormat="1" applyFont="1" applyFill="1" applyBorder="1"/>
    <xf numFmtId="10" fontId="17" fillId="0" borderId="0" xfId="17" applyNumberFormat="1" applyFont="1" applyFill="1" applyBorder="1"/>
    <xf numFmtId="10" fontId="17" fillId="0" borderId="13" xfId="17" applyNumberFormat="1" applyFont="1" applyFill="1" applyBorder="1"/>
    <xf numFmtId="10" fontId="8" fillId="0" borderId="16" xfId="17" applyNumberFormat="1" applyFont="1" applyBorder="1"/>
    <xf numFmtId="10" fontId="17" fillId="0" borderId="0" xfId="17" applyNumberFormat="1" applyFont="1" applyBorder="1" applyAlignment="1">
      <alignment horizontal="center"/>
    </xf>
    <xf numFmtId="10" fontId="21" fillId="8" borderId="12" xfId="0" applyNumberFormat="1" applyFont="1" applyFill="1" applyBorder="1" applyAlignment="1">
      <alignment horizontal="right"/>
    </xf>
    <xf numFmtId="10" fontId="15" fillId="8" borderId="9" xfId="17" applyNumberFormat="1" applyFont="1" applyFill="1" applyBorder="1"/>
    <xf numFmtId="6" fontId="8" fillId="0" borderId="13" xfId="17" applyNumberFormat="1" applyFont="1" applyBorder="1"/>
    <xf numFmtId="0" fontId="8" fillId="0" borderId="0" xfId="0" quotePrefix="1" applyNumberFormat="1" applyFont="1" applyFill="1" applyBorder="1"/>
    <xf numFmtId="0" fontId="8" fillId="0" borderId="0" xfId="0" applyNumberFormat="1" applyFont="1" applyFill="1" applyBorder="1"/>
    <xf numFmtId="0" fontId="15" fillId="0" borderId="0" xfId="0" applyNumberFormat="1" applyFont="1" applyFill="1" applyBorder="1"/>
    <xf numFmtId="0" fontId="8" fillId="0" borderId="75" xfId="0" applyNumberFormat="1" applyFont="1" applyFill="1" applyBorder="1"/>
    <xf numFmtId="17" fontId="8" fillId="0" borderId="15" xfId="0" applyNumberFormat="1" applyFont="1" applyFill="1" applyBorder="1" applyAlignment="1">
      <alignment horizontal="center"/>
    </xf>
    <xf numFmtId="37" fontId="15" fillId="0" borderId="16" xfId="0" applyNumberFormat="1" applyFont="1" applyFill="1" applyBorder="1" applyAlignment="1"/>
    <xf numFmtId="37" fontId="8" fillId="0" borderId="103" xfId="0" applyNumberFormat="1" applyFont="1" applyBorder="1" applyAlignment="1"/>
    <xf numFmtId="37" fontId="8" fillId="0" borderId="0" xfId="0" applyNumberFormat="1" applyFont="1" applyBorder="1" applyAlignment="1"/>
    <xf numFmtId="5" fontId="8" fillId="0" borderId="0" xfId="0" applyNumberFormat="1" applyFont="1"/>
    <xf numFmtId="0" fontId="15" fillId="8" borderId="0" xfId="0" applyNumberFormat="1" applyFont="1" applyFill="1" applyBorder="1"/>
    <xf numFmtId="0" fontId="8" fillId="0" borderId="15" xfId="0" applyFont="1" applyBorder="1" applyAlignment="1">
      <alignment horizontal="left"/>
    </xf>
    <xf numFmtId="5" fontId="15" fillId="8" borderId="16" xfId="0" applyNumberFormat="1" applyFont="1" applyFill="1" applyBorder="1"/>
    <xf numFmtId="0" fontId="122" fillId="0" borderId="8" xfId="0" applyFont="1" applyBorder="1" applyAlignment="1">
      <alignment horizontal="right"/>
    </xf>
    <xf numFmtId="0" fontId="8" fillId="11" borderId="6" xfId="0" applyFont="1" applyFill="1" applyBorder="1"/>
    <xf numFmtId="8" fontId="8" fillId="0" borderId="0" xfId="0" applyNumberFormat="1" applyFont="1"/>
    <xf numFmtId="0" fontId="25" fillId="0" borderId="0" xfId="0" applyFont="1"/>
    <xf numFmtId="186" fontId="8" fillId="0" borderId="12" xfId="3" applyNumberFormat="1" applyFont="1" applyBorder="1"/>
    <xf numFmtId="186" fontId="4" fillId="0" borderId="0" xfId="3" applyNumberFormat="1" applyFont="1" applyBorder="1"/>
    <xf numFmtId="186" fontId="8" fillId="0" borderId="0" xfId="3" applyNumberFormat="1" applyFont="1" applyBorder="1"/>
    <xf numFmtId="186" fontId="8" fillId="0" borderId="75" xfId="3" applyNumberFormat="1" applyFont="1" applyBorder="1"/>
    <xf numFmtId="186" fontId="12" fillId="0" borderId="0" xfId="3" applyNumberFormat="1" applyFont="1" applyBorder="1" applyAlignment="1">
      <alignment horizontal="center"/>
    </xf>
    <xf numFmtId="0" fontId="39" fillId="0" borderId="12" xfId="0" applyFont="1" applyFill="1" applyBorder="1"/>
    <xf numFmtId="0" fontId="39" fillId="0" borderId="0" xfId="0" applyFont="1" applyFill="1" applyBorder="1"/>
    <xf numFmtId="5" fontId="39" fillId="0" borderId="0" xfId="0" applyNumberFormat="1" applyFont="1" applyFill="1" applyBorder="1"/>
    <xf numFmtId="5" fontId="39" fillId="0" borderId="75" xfId="0" applyNumberFormat="1" applyFont="1" applyFill="1" applyBorder="1"/>
    <xf numFmtId="0" fontId="123" fillId="0" borderId="0" xfId="0" applyFont="1" applyBorder="1" applyAlignment="1">
      <alignment horizontal="center"/>
    </xf>
    <xf numFmtId="0" fontId="25" fillId="0" borderId="12" xfId="0" applyFont="1" applyBorder="1"/>
    <xf numFmtId="0" fontId="25" fillId="0" borderId="0" xfId="0" applyFont="1" applyBorder="1"/>
    <xf numFmtId="0" fontId="25" fillId="0" borderId="75" xfId="0" applyFont="1" applyBorder="1"/>
    <xf numFmtId="0" fontId="25" fillId="0" borderId="0" xfId="0" applyFont="1" applyBorder="1" applyAlignment="1">
      <alignment horizontal="centerContinuous"/>
    </xf>
    <xf numFmtId="0" fontId="39" fillId="0" borderId="0" xfId="0" applyFont="1" applyBorder="1" applyAlignment="1">
      <alignment horizontal="center"/>
    </xf>
    <xf numFmtId="0" fontId="124" fillId="0" borderId="0" xfId="0" applyFont="1" applyBorder="1" applyAlignment="1">
      <alignment horizontal="center"/>
    </xf>
    <xf numFmtId="0" fontId="123" fillId="0" borderId="0" xfId="0" applyFont="1" applyAlignment="1">
      <alignment horizontal="center"/>
    </xf>
    <xf numFmtId="0" fontId="123" fillId="0" borderId="0" xfId="0" applyFont="1"/>
    <xf numFmtId="5" fontId="39" fillId="0" borderId="12" xfId="0" applyNumberFormat="1" applyFont="1" applyBorder="1"/>
    <xf numFmtId="5" fontId="25" fillId="0" borderId="0" xfId="0" applyNumberFormat="1" applyFont="1"/>
    <xf numFmtId="5" fontId="39" fillId="4" borderId="169" xfId="0" applyNumberFormat="1" applyFont="1" applyFill="1" applyBorder="1"/>
    <xf numFmtId="0" fontId="39" fillId="0" borderId="0" xfId="0" applyFont="1" applyBorder="1"/>
    <xf numFmtId="0" fontId="125" fillId="0" borderId="0" xfId="0" applyFont="1" applyBorder="1" applyAlignment="1">
      <alignment horizontal="center"/>
    </xf>
    <xf numFmtId="0" fontId="39" fillId="0" borderId="0" xfId="0" applyFont="1"/>
    <xf numFmtId="5" fontId="125" fillId="0" borderId="0" xfId="0" applyNumberFormat="1" applyFont="1" applyBorder="1" applyAlignment="1">
      <alignment horizontal="center"/>
    </xf>
    <xf numFmtId="0" fontId="39" fillId="4" borderId="95" xfId="0" applyFont="1" applyFill="1" applyBorder="1"/>
    <xf numFmtId="0" fontId="39" fillId="4" borderId="11" xfId="0" applyFont="1" applyFill="1" applyBorder="1"/>
    <xf numFmtId="5" fontId="39" fillId="4" borderId="11" xfId="0" applyNumberFormat="1" applyFont="1" applyFill="1" applyBorder="1"/>
    <xf numFmtId="0" fontId="125" fillId="0" borderId="0" xfId="0" applyFont="1" applyAlignment="1">
      <alignment horizontal="center"/>
    </xf>
    <xf numFmtId="0" fontId="25" fillId="4" borderId="0" xfId="0" applyFont="1" applyFill="1" applyBorder="1"/>
    <xf numFmtId="5" fontId="25" fillId="4" borderId="0" xfId="0" applyNumberFormat="1" applyFont="1" applyFill="1" applyBorder="1"/>
    <xf numFmtId="5" fontId="25" fillId="4" borderId="75" xfId="0" applyNumberFormat="1" applyFont="1" applyFill="1" applyBorder="1"/>
    <xf numFmtId="0" fontId="25" fillId="4" borderId="0" xfId="0" applyFont="1" applyFill="1"/>
    <xf numFmtId="0" fontId="123" fillId="4" borderId="0" xfId="0" applyFont="1" applyFill="1" applyBorder="1" applyAlignment="1">
      <alignment horizontal="center"/>
    </xf>
    <xf numFmtId="0" fontId="8" fillId="4" borderId="12" xfId="0" applyFont="1" applyFill="1" applyBorder="1"/>
    <xf numFmtId="0" fontId="39" fillId="4" borderId="75" xfId="0" applyFont="1" applyFill="1" applyBorder="1"/>
    <xf numFmtId="43" fontId="8" fillId="0" borderId="12" xfId="3" applyFont="1" applyBorder="1"/>
    <xf numFmtId="10" fontId="6" fillId="0" borderId="0" xfId="17" applyNumberFormat="1" applyFont="1" applyFill="1" applyBorder="1"/>
    <xf numFmtId="10" fontId="0" fillId="0" borderId="0" xfId="17" applyNumberFormat="1" applyFont="1" applyFill="1" applyBorder="1"/>
    <xf numFmtId="10" fontId="0" fillId="0" borderId="0" xfId="17" applyNumberFormat="1" applyFont="1" applyFill="1"/>
    <xf numFmtId="10" fontId="31" fillId="0" borderId="0" xfId="17" applyNumberFormat="1" applyFont="1" applyFill="1" applyBorder="1"/>
    <xf numFmtId="10" fontId="36" fillId="0" borderId="0" xfId="17" applyNumberFormat="1" applyFont="1" applyFill="1" applyBorder="1"/>
    <xf numFmtId="10" fontId="0" fillId="0" borderId="0" xfId="17" applyNumberFormat="1" applyFont="1" applyBorder="1"/>
    <xf numFmtId="10" fontId="0" fillId="0" borderId="0" xfId="17" applyNumberFormat="1" applyFont="1"/>
    <xf numFmtId="0" fontId="8" fillId="0" borderId="67" xfId="17" applyNumberFormat="1" applyFont="1" applyBorder="1"/>
    <xf numFmtId="0" fontId="8" fillId="0" borderId="8" xfId="17" applyNumberFormat="1" applyFont="1" applyBorder="1"/>
    <xf numFmtId="0" fontId="8" fillId="0" borderId="8" xfId="17" applyNumberFormat="1" applyFont="1" applyBorder="1" applyAlignment="1">
      <alignment horizontal="center"/>
    </xf>
    <xf numFmtId="0" fontId="15" fillId="8" borderId="8" xfId="17" applyNumberFormat="1" applyFont="1" applyFill="1" applyBorder="1"/>
    <xf numFmtId="0" fontId="8" fillId="0" borderId="74" xfId="17" applyNumberFormat="1" applyFont="1" applyBorder="1"/>
    <xf numFmtId="0" fontId="8" fillId="0" borderId="0" xfId="17" applyNumberFormat="1" applyFont="1" applyBorder="1"/>
    <xf numFmtId="0" fontId="17" fillId="0" borderId="0" xfId="17" applyNumberFormat="1" applyFont="1" applyAlignment="1">
      <alignment horizontal="center"/>
    </xf>
    <xf numFmtId="0" fontId="4" fillId="0" borderId="15" xfId="17" applyNumberFormat="1" applyFont="1" applyBorder="1"/>
    <xf numFmtId="0" fontId="8" fillId="0" borderId="16" xfId="17" applyNumberFormat="1" applyFont="1" applyBorder="1"/>
    <xf numFmtId="0" fontId="39" fillId="0" borderId="16" xfId="17" applyNumberFormat="1" applyFont="1" applyBorder="1"/>
    <xf numFmtId="0" fontId="4" fillId="0" borderId="16" xfId="17" applyNumberFormat="1" applyFont="1" applyBorder="1"/>
    <xf numFmtId="0" fontId="4" fillId="0" borderId="38" xfId="17" applyNumberFormat="1" applyFont="1" applyBorder="1" applyAlignment="1">
      <alignment horizontal="right"/>
    </xf>
    <xf numFmtId="0" fontId="35" fillId="8" borderId="0" xfId="17" applyNumberFormat="1" applyFont="1" applyFill="1" applyBorder="1" applyAlignment="1">
      <alignment horizontal="center"/>
    </xf>
    <xf numFmtId="10" fontId="9" fillId="0" borderId="67" xfId="17" applyNumberFormat="1" applyFont="1" applyBorder="1"/>
    <xf numFmtId="10" fontId="8" fillId="0" borderId="12" xfId="17" applyNumberFormat="1" applyFont="1" applyBorder="1"/>
    <xf numFmtId="10" fontId="17" fillId="0" borderId="12" xfId="17" applyNumberFormat="1" applyFont="1" applyBorder="1"/>
    <xf numFmtId="10" fontId="17" fillId="0" borderId="0" xfId="17" applyNumberFormat="1" applyFont="1"/>
    <xf numFmtId="10" fontId="8" fillId="0" borderId="173" xfId="17" applyNumberFormat="1" applyFont="1" applyBorder="1"/>
    <xf numFmtId="10" fontId="8" fillId="0" borderId="174" xfId="17" applyNumberFormat="1" applyFont="1" applyBorder="1"/>
    <xf numFmtId="10" fontId="0" fillId="0" borderId="174" xfId="17" applyNumberFormat="1" applyFont="1" applyBorder="1"/>
    <xf numFmtId="10" fontId="9" fillId="0" borderId="12" xfId="17" applyNumberFormat="1" applyFont="1" applyBorder="1"/>
    <xf numFmtId="10" fontId="12" fillId="0" borderId="0" xfId="17" applyNumberFormat="1" applyFont="1" applyFill="1" applyBorder="1"/>
    <xf numFmtId="0" fontId="4" fillId="0" borderId="15" xfId="0" applyFont="1" applyFill="1" applyBorder="1"/>
    <xf numFmtId="10" fontId="8" fillId="0" borderId="67" xfId="17" applyNumberFormat="1" applyFont="1" applyBorder="1"/>
    <xf numFmtId="10" fontId="4" fillId="0" borderId="173" xfId="17" applyNumberFormat="1" applyFont="1" applyBorder="1"/>
    <xf numFmtId="10" fontId="4" fillId="0" borderId="174" xfId="17" applyNumberFormat="1" applyFont="1" applyBorder="1"/>
    <xf numFmtId="0" fontId="4" fillId="9" borderId="16" xfId="0" applyFont="1" applyFill="1" applyBorder="1" applyAlignment="1">
      <alignment horizontal="center"/>
    </xf>
    <xf numFmtId="0" fontId="0" fillId="9" borderId="0" xfId="0" applyFill="1"/>
    <xf numFmtId="0" fontId="17" fillId="0" borderId="0" xfId="0" applyFont="1" applyFill="1"/>
    <xf numFmtId="0" fontId="0" fillId="0" borderId="0" xfId="0" applyFill="1"/>
    <xf numFmtId="2" fontId="0" fillId="0" borderId="0" xfId="17" applyNumberFormat="1" applyFont="1" applyFill="1"/>
    <xf numFmtId="181" fontId="0" fillId="0" borderId="0" xfId="17" applyNumberFormat="1" applyFont="1" applyFill="1"/>
    <xf numFmtId="43" fontId="8" fillId="0" borderId="0" xfId="3" applyFont="1" applyFill="1"/>
    <xf numFmtId="43" fontId="0" fillId="0" borderId="0" xfId="3" applyFont="1" applyFill="1"/>
    <xf numFmtId="43" fontId="0" fillId="9" borderId="0" xfId="3" applyFont="1" applyFill="1"/>
    <xf numFmtId="43" fontId="0" fillId="9" borderId="0" xfId="3" applyFont="1" applyFill="1" applyAlignment="1">
      <alignment horizontal="right"/>
    </xf>
    <xf numFmtId="43" fontId="0" fillId="0" borderId="0" xfId="3" applyFont="1" applyFill="1" applyAlignment="1">
      <alignment horizontal="right"/>
    </xf>
    <xf numFmtId="43" fontId="17" fillId="0" borderId="0" xfId="3" applyFont="1" applyFill="1"/>
    <xf numFmtId="0" fontId="0" fillId="0" borderId="0" xfId="17" applyNumberFormat="1" applyFont="1" applyFill="1"/>
    <xf numFmtId="181" fontId="8" fillId="0" borderId="0" xfId="17" applyNumberFormat="1" applyFont="1" applyFill="1"/>
    <xf numFmtId="181" fontId="0" fillId="9" borderId="0" xfId="17" applyNumberFormat="1" applyFont="1" applyFill="1"/>
    <xf numFmtId="181" fontId="17" fillId="0" borderId="0" xfId="17" applyNumberFormat="1" applyFont="1" applyFill="1"/>
    <xf numFmtId="0" fontId="118" fillId="0" borderId="0" xfId="0" applyFont="1"/>
    <xf numFmtId="0" fontId="15" fillId="8" borderId="0" xfId="0" applyFont="1" applyFill="1"/>
    <xf numFmtId="0" fontId="25" fillId="0" borderId="0" xfId="0" applyFont="1" applyFill="1"/>
    <xf numFmtId="0" fontId="15" fillId="0" borderId="0" xfId="0" applyFont="1" applyFill="1"/>
    <xf numFmtId="0" fontId="15" fillId="0" borderId="0" xfId="0" applyFont="1"/>
    <xf numFmtId="17" fontId="25" fillId="0" borderId="0" xfId="0" applyNumberFormat="1" applyFont="1"/>
    <xf numFmtId="0" fontId="25" fillId="0" borderId="0" xfId="0" applyFont="1" applyAlignment="1">
      <alignment wrapText="1"/>
    </xf>
    <xf numFmtId="43" fontId="25" fillId="0" borderId="0" xfId="3" applyFont="1"/>
    <xf numFmtId="166" fontId="25" fillId="0" borderId="0" xfId="3" applyNumberFormat="1" applyFont="1"/>
    <xf numFmtId="187" fontId="25" fillId="0" borderId="0" xfId="0" applyNumberFormat="1" applyFont="1"/>
    <xf numFmtId="2" fontId="25" fillId="0" borderId="0" xfId="0" applyNumberFormat="1" applyFont="1"/>
    <xf numFmtId="1" fontId="25" fillId="0" borderId="0" xfId="0" applyNumberFormat="1" applyFont="1"/>
    <xf numFmtId="0" fontId="25" fillId="0" borderId="53" xfId="0" applyFont="1" applyFill="1" applyBorder="1"/>
    <xf numFmtId="0" fontId="25" fillId="0" borderId="6" xfId="0" applyFont="1" applyFill="1" applyBorder="1"/>
    <xf numFmtId="0" fontId="25" fillId="0" borderId="20" xfId="0" applyFont="1" applyFill="1" applyBorder="1"/>
    <xf numFmtId="187" fontId="25" fillId="0" borderId="10" xfId="0" applyNumberFormat="1" applyFont="1" applyBorder="1"/>
    <xf numFmtId="0" fontId="15" fillId="0" borderId="11" xfId="0" applyFont="1" applyFill="1" applyBorder="1"/>
    <xf numFmtId="0" fontId="15" fillId="0" borderId="0" xfId="0" applyFont="1" applyBorder="1"/>
    <xf numFmtId="0" fontId="15" fillId="0" borderId="11" xfId="0" applyFont="1" applyBorder="1"/>
    <xf numFmtId="187" fontId="25" fillId="0" borderId="21" xfId="0" applyNumberFormat="1" applyFont="1" applyBorder="1"/>
    <xf numFmtId="0" fontId="15" fillId="0" borderId="4" xfId="0" applyFont="1" applyBorder="1"/>
    <xf numFmtId="0" fontId="15" fillId="0" borderId="18" xfId="0" applyFont="1" applyBorder="1"/>
    <xf numFmtId="0" fontId="25" fillId="0" borderId="20" xfId="0" applyFont="1" applyFill="1" applyBorder="1" applyAlignment="1">
      <alignment wrapText="1"/>
    </xf>
    <xf numFmtId="2" fontId="15" fillId="0" borderId="11" xfId="0" applyNumberFormat="1" applyFont="1" applyFill="1" applyBorder="1"/>
    <xf numFmtId="37" fontId="15" fillId="0" borderId="0" xfId="0" applyNumberFormat="1" applyFont="1" applyBorder="1"/>
    <xf numFmtId="2" fontId="15" fillId="0" borderId="18" xfId="0" applyNumberFormat="1" applyFont="1" applyFill="1" applyBorder="1"/>
    <xf numFmtId="0" fontId="118" fillId="0" borderId="7" xfId="0" applyFont="1" applyFill="1" applyBorder="1"/>
    <xf numFmtId="0" fontId="25" fillId="0" borderId="14" xfId="0" applyFont="1" applyFill="1" applyBorder="1"/>
    <xf numFmtId="0" fontId="25" fillId="0" borderId="14" xfId="0" applyFont="1" applyBorder="1"/>
    <xf numFmtId="0" fontId="25" fillId="0" borderId="19" xfId="0" applyFont="1" applyBorder="1"/>
    <xf numFmtId="0" fontId="124" fillId="0" borderId="0" xfId="0" applyFont="1" applyAlignment="1">
      <alignment wrapText="1"/>
    </xf>
    <xf numFmtId="166" fontId="39" fillId="0" borderId="0" xfId="3" applyNumberFormat="1" applyFont="1"/>
    <xf numFmtId="10" fontId="25" fillId="0" borderId="0" xfId="17" applyNumberFormat="1" applyFont="1" applyBorder="1" applyAlignment="1">
      <alignment horizontal="center"/>
    </xf>
    <xf numFmtId="5" fontId="25" fillId="8" borderId="100" xfId="0" applyNumberFormat="1" applyFont="1" applyFill="1" applyBorder="1"/>
    <xf numFmtId="5" fontId="118" fillId="8" borderId="100" xfId="0" applyNumberFormat="1" applyFont="1" applyFill="1" applyBorder="1"/>
    <xf numFmtId="0" fontId="25" fillId="9" borderId="12" xfId="0" applyFont="1" applyFill="1" applyBorder="1"/>
    <xf numFmtId="0" fontId="25" fillId="9" borderId="0" xfId="0" applyFont="1" applyFill="1" applyBorder="1"/>
    <xf numFmtId="5" fontId="118" fillId="9" borderId="0" xfId="0" applyNumberFormat="1" applyFont="1" applyFill="1" applyBorder="1"/>
    <xf numFmtId="5" fontId="25" fillId="9" borderId="75" xfId="0" applyNumberFormat="1" applyFont="1" applyFill="1" applyBorder="1"/>
    <xf numFmtId="0" fontId="123" fillId="9" borderId="0" xfId="0" applyFont="1" applyFill="1" applyBorder="1" applyAlignment="1">
      <alignment horizontal="center"/>
    </xf>
    <xf numFmtId="0" fontId="25" fillId="9" borderId="0" xfId="0" applyFont="1" applyFill="1"/>
    <xf numFmtId="5" fontId="25" fillId="0" borderId="34" xfId="0" applyNumberFormat="1" applyFont="1" applyBorder="1"/>
    <xf numFmtId="0" fontId="25" fillId="0" borderId="0" xfId="0" applyNumberFormat="1" applyFont="1" applyBorder="1" applyAlignment="1">
      <alignment horizontal="right"/>
    </xf>
    <xf numFmtId="0" fontId="39" fillId="9" borderId="12" xfId="0" applyFont="1" applyFill="1" applyBorder="1"/>
    <xf numFmtId="10" fontId="25" fillId="9" borderId="0" xfId="17" applyNumberFormat="1" applyFont="1" applyFill="1" applyBorder="1"/>
    <xf numFmtId="0" fontId="25" fillId="9" borderId="70" xfId="0" applyFont="1" applyFill="1" applyBorder="1"/>
    <xf numFmtId="0" fontId="25" fillId="9" borderId="0" xfId="14" applyFont="1" applyFill="1"/>
    <xf numFmtId="5" fontId="25" fillId="9" borderId="70" xfId="0" applyNumberFormat="1" applyFont="1" applyFill="1" applyBorder="1" applyAlignment="1"/>
    <xf numFmtId="5" fontId="118" fillId="9" borderId="13" xfId="0" applyNumberFormat="1" applyFont="1" applyFill="1" applyBorder="1"/>
    <xf numFmtId="0" fontId="126" fillId="0" borderId="12" xfId="0" applyFont="1" applyBorder="1"/>
    <xf numFmtId="0" fontId="44" fillId="0" borderId="0" xfId="0" applyFont="1" applyBorder="1"/>
    <xf numFmtId="0" fontId="126" fillId="0" borderId="0" xfId="0" applyFont="1"/>
    <xf numFmtId="0" fontId="0" fillId="0" borderId="4" xfId="0" applyBorder="1"/>
    <xf numFmtId="2" fontId="0" fillId="0" borderId="150" xfId="0" applyNumberFormat="1" applyBorder="1"/>
    <xf numFmtId="0" fontId="0" fillId="0" borderId="150" xfId="0" applyBorder="1"/>
    <xf numFmtId="9" fontId="0" fillId="0" borderId="4" xfId="0" applyNumberFormat="1" applyBorder="1"/>
    <xf numFmtId="9" fontId="0" fillId="0" borderId="0" xfId="0" applyNumberFormat="1"/>
    <xf numFmtId="10" fontId="0" fillId="0" borderId="0" xfId="0" applyNumberFormat="1"/>
    <xf numFmtId="14" fontId="0" fillId="0" borderId="0" xfId="0" applyNumberFormat="1"/>
    <xf numFmtId="14" fontId="0" fillId="0" borderId="0" xfId="0" applyNumberFormat="1" applyBorder="1" applyAlignment="1">
      <alignment horizontal="center"/>
    </xf>
    <xf numFmtId="9" fontId="0" fillId="0" borderId="0" xfId="0" applyNumberFormat="1" applyBorder="1" applyAlignment="1">
      <alignment horizontal="center"/>
    </xf>
    <xf numFmtId="173" fontId="0" fillId="0" borderId="0" xfId="0" applyNumberFormat="1"/>
    <xf numFmtId="0" fontId="0" fillId="0" borderId="0" xfId="0" applyAlignment="1">
      <alignment horizontal="right"/>
    </xf>
    <xf numFmtId="0" fontId="0" fillId="0" borderId="0" xfId="0" applyBorder="1" applyAlignment="1">
      <alignment horizontal="right"/>
    </xf>
    <xf numFmtId="9" fontId="15" fillId="0" borderId="0" xfId="0" applyNumberFormat="1" applyFont="1" applyBorder="1" applyAlignment="1">
      <alignment horizontal="center"/>
    </xf>
    <xf numFmtId="9" fontId="0" fillId="0" borderId="0" xfId="0" applyNumberFormat="1" applyBorder="1"/>
    <xf numFmtId="0" fontId="0" fillId="0" borderId="16" xfId="0" applyBorder="1" applyAlignment="1">
      <alignment horizontal="right"/>
    </xf>
    <xf numFmtId="9" fontId="15" fillId="0" borderId="16" xfId="0" applyNumberFormat="1" applyFont="1" applyBorder="1" applyAlignment="1">
      <alignment horizontal="center"/>
    </xf>
    <xf numFmtId="14" fontId="4" fillId="0" borderId="16" xfId="0" applyNumberFormat="1" applyFont="1" applyBorder="1"/>
    <xf numFmtId="14" fontId="27" fillId="0" borderId="0" xfId="0" applyNumberFormat="1" applyFont="1"/>
    <xf numFmtId="14" fontId="0" fillId="0" borderId="4" xfId="0" applyNumberFormat="1" applyBorder="1" applyAlignment="1">
      <alignment horizontal="center"/>
    </xf>
    <xf numFmtId="9" fontId="0" fillId="0" borderId="4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14" fontId="0" fillId="0" borderId="4" xfId="0" applyNumberFormat="1" applyBorder="1"/>
    <xf numFmtId="14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4" xfId="0" applyFill="1" applyBorder="1"/>
    <xf numFmtId="37" fontId="0" fillId="0" borderId="0" xfId="0" applyNumberFormat="1" applyAlignment="1"/>
    <xf numFmtId="5" fontId="0" fillId="0" borderId="0" xfId="0" applyNumberFormat="1"/>
    <xf numFmtId="9" fontId="0" fillId="0" borderId="0" xfId="17" applyFont="1" applyFill="1"/>
    <xf numFmtId="188" fontId="0" fillId="0" borderId="16" xfId="0" applyNumberFormat="1" applyBorder="1"/>
    <xf numFmtId="181" fontId="0" fillId="0" borderId="0" xfId="0" applyNumberFormat="1"/>
    <xf numFmtId="9" fontId="15" fillId="0" borderId="0" xfId="0" applyNumberFormat="1" applyFont="1"/>
    <xf numFmtId="181" fontId="15" fillId="0" borderId="0" xfId="0" applyNumberFormat="1" applyFont="1"/>
    <xf numFmtId="188" fontId="15" fillId="0" borderId="0" xfId="0" applyNumberFormat="1" applyFont="1"/>
    <xf numFmtId="188" fontId="0" fillId="0" borderId="0" xfId="0" applyNumberFormat="1"/>
    <xf numFmtId="188" fontId="0" fillId="4" borderId="3" xfId="0" applyNumberFormat="1" applyFill="1" applyBorder="1"/>
    <xf numFmtId="188" fontId="0" fillId="12" borderId="3" xfId="0" applyNumberFormat="1" applyFill="1" applyBorder="1"/>
    <xf numFmtId="0" fontId="0" fillId="4" borderId="3" xfId="0" applyFill="1" applyBorder="1"/>
    <xf numFmtId="5" fontId="0" fillId="0" borderId="0" xfId="0" applyNumberFormat="1" applyFill="1" applyBorder="1"/>
    <xf numFmtId="0" fontId="0" fillId="0" borderId="0" xfId="0" applyFill="1" applyAlignment="1">
      <alignment horizontal="right"/>
    </xf>
    <xf numFmtId="5" fontId="0" fillId="0" borderId="0" xfId="0" applyNumberFormat="1" applyFill="1"/>
    <xf numFmtId="37" fontId="0" fillId="0" borderId="0" xfId="0" applyNumberFormat="1" applyFill="1" applyAlignment="1"/>
    <xf numFmtId="0" fontId="0" fillId="0" borderId="5" xfId="0" applyFill="1" applyBorder="1"/>
    <xf numFmtId="5" fontId="0" fillId="0" borderId="5" xfId="0" applyNumberFormat="1" applyFill="1" applyBorder="1"/>
    <xf numFmtId="0" fontId="0" fillId="0" borderId="0" xfId="0" applyFill="1" applyBorder="1"/>
    <xf numFmtId="5" fontId="0" fillId="13" borderId="4" xfId="0" applyNumberFormat="1" applyFill="1" applyBorder="1"/>
    <xf numFmtId="0" fontId="8" fillId="0" borderId="0" xfId="0" applyFont="1" applyFill="1" applyAlignment="1">
      <alignment horizontal="right"/>
    </xf>
    <xf numFmtId="9" fontId="0" fillId="14" borderId="0" xfId="17" applyFont="1" applyFill="1"/>
    <xf numFmtId="9" fontId="0" fillId="0" borderId="0" xfId="17" applyNumberFormat="1" applyFont="1" applyFill="1"/>
    <xf numFmtId="0" fontId="0" fillId="0" borderId="4" xfId="0" applyFill="1" applyBorder="1" applyAlignment="1">
      <alignment horizontal="right"/>
    </xf>
    <xf numFmtId="10" fontId="118" fillId="9" borderId="0" xfId="17" applyNumberFormat="1" applyFont="1" applyFill="1" applyBorder="1" applyAlignment="1">
      <alignment horizontal="center"/>
    </xf>
    <xf numFmtId="10" fontId="0" fillId="0" borderId="0" xfId="0" applyNumberFormat="1" applyFill="1"/>
    <xf numFmtId="9" fontId="0" fillId="0" borderId="0" xfId="17" applyFont="1"/>
    <xf numFmtId="10" fontId="0" fillId="14" borderId="0" xfId="0" applyNumberFormat="1" applyFill="1"/>
    <xf numFmtId="10" fontId="0" fillId="14" borderId="0" xfId="17" applyNumberFormat="1" applyFont="1" applyFill="1"/>
    <xf numFmtId="166" fontId="0" fillId="0" borderId="0" xfId="3" applyNumberFormat="1" applyFont="1"/>
    <xf numFmtId="166" fontId="0" fillId="0" borderId="0" xfId="3" applyNumberFormat="1" applyFont="1" applyAlignment="1"/>
    <xf numFmtId="166" fontId="0" fillId="14" borderId="0" xfId="3" applyNumberFormat="1" applyFont="1" applyFill="1"/>
    <xf numFmtId="166" fontId="0" fillId="14" borderId="0" xfId="3" applyNumberFormat="1" applyFont="1" applyFill="1" applyAlignment="1"/>
    <xf numFmtId="0" fontId="0" fillId="0" borderId="0" xfId="0" applyFill="1" applyBorder="1" applyAlignment="1">
      <alignment horizontal="right"/>
    </xf>
    <xf numFmtId="0" fontId="8" fillId="0" borderId="113" xfId="0" applyFont="1" applyFill="1" applyBorder="1"/>
    <xf numFmtId="5" fontId="8" fillId="0" borderId="113" xfId="0" applyNumberFormat="1" applyFont="1" applyFill="1" applyBorder="1"/>
    <xf numFmtId="9" fontId="0" fillId="0" borderId="0" xfId="17" applyFont="1" applyFill="1" applyBorder="1"/>
    <xf numFmtId="181" fontId="0" fillId="0" borderId="0" xfId="17" applyNumberFormat="1" applyFont="1" applyFill="1" applyBorder="1"/>
    <xf numFmtId="2" fontId="15" fillId="0" borderId="0" xfId="0" applyNumberFormat="1" applyFont="1" applyBorder="1"/>
    <xf numFmtId="0" fontId="0" fillId="0" borderId="6" xfId="0" applyFill="1" applyBorder="1"/>
    <xf numFmtId="0" fontId="15" fillId="0" borderId="6" xfId="0" applyFont="1" applyFill="1" applyBorder="1"/>
    <xf numFmtId="0" fontId="8" fillId="0" borderId="6" xfId="0" applyFont="1" applyFill="1" applyBorder="1"/>
    <xf numFmtId="37" fontId="0" fillId="0" borderId="4" xfId="0" applyNumberFormat="1" applyBorder="1" applyAlignment="1"/>
    <xf numFmtId="0" fontId="0" fillId="0" borderId="0" xfId="0" applyBorder="1" applyAlignment="1">
      <alignment horizontal="left"/>
    </xf>
    <xf numFmtId="166" fontId="0" fillId="0" borderId="0" xfId="3" applyNumberFormat="1" applyFont="1" applyBorder="1"/>
    <xf numFmtId="188" fontId="0" fillId="0" borderId="0" xfId="0" applyNumberFormat="1" applyBorder="1"/>
    <xf numFmtId="0" fontId="0" fillId="14" borderId="0" xfId="0" applyFill="1"/>
    <xf numFmtId="0" fontId="0" fillId="14" borderId="0" xfId="0" applyFill="1" applyBorder="1"/>
    <xf numFmtId="9" fontId="0" fillId="0" borderId="0" xfId="17" applyFont="1" applyAlignment="1">
      <alignment horizontal="center"/>
    </xf>
    <xf numFmtId="0" fontId="0" fillId="0" borderId="6" xfId="0" applyBorder="1"/>
    <xf numFmtId="9" fontId="0" fillId="0" borderId="0" xfId="17" applyFont="1" applyBorder="1" applyAlignment="1">
      <alignment horizontal="center"/>
    </xf>
    <xf numFmtId="9" fontId="0" fillId="0" borderId="4" xfId="17" applyFont="1" applyBorder="1" applyAlignment="1">
      <alignment horizontal="center"/>
    </xf>
    <xf numFmtId="9" fontId="0" fillId="0" borderId="6" xfId="17" applyFont="1" applyBorder="1" applyAlignment="1">
      <alignment horizontal="center"/>
    </xf>
    <xf numFmtId="0" fontId="0" fillId="0" borderId="0" xfId="0" quotePrefix="1"/>
    <xf numFmtId="7" fontId="0" fillId="13" borderId="0" xfId="0" applyNumberFormat="1" applyFill="1" applyBorder="1"/>
    <xf numFmtId="37" fontId="0" fillId="0" borderId="0" xfId="0" applyNumberFormat="1" applyFill="1"/>
    <xf numFmtId="0" fontId="3" fillId="0" borderId="0" xfId="0" applyFont="1" applyBorder="1"/>
    <xf numFmtId="2" fontId="3" fillId="0" borderId="0" xfId="0" applyNumberFormat="1" applyFont="1" applyBorder="1"/>
    <xf numFmtId="37" fontId="0" fillId="13" borderId="5" xfId="0" applyNumberFormat="1" applyFill="1" applyBorder="1" applyAlignment="1"/>
    <xf numFmtId="0" fontId="15" fillId="13" borderId="0" xfId="0" applyFont="1" applyFill="1"/>
    <xf numFmtId="0" fontId="8" fillId="15" borderId="12" xfId="0" applyFont="1" applyFill="1" applyBorder="1"/>
    <xf numFmtId="0" fontId="8" fillId="15" borderId="0" xfId="0" applyFont="1" applyFill="1" applyBorder="1"/>
    <xf numFmtId="49" fontId="8" fillId="15" borderId="0" xfId="0" applyNumberFormat="1" applyFont="1" applyFill="1" applyBorder="1" applyAlignment="1">
      <alignment horizontal="center"/>
    </xf>
    <xf numFmtId="5" fontId="8" fillId="15" borderId="0" xfId="0" applyNumberFormat="1" applyFont="1" applyFill="1" applyBorder="1"/>
    <xf numFmtId="5" fontId="8" fillId="15" borderId="75" xfId="0" applyNumberFormat="1" applyFont="1" applyFill="1" applyBorder="1"/>
    <xf numFmtId="5" fontId="16" fillId="15" borderId="75" xfId="0" applyNumberFormat="1" applyFont="1" applyFill="1" applyBorder="1"/>
    <xf numFmtId="0" fontId="8" fillId="15" borderId="0" xfId="0" applyFont="1" applyFill="1"/>
    <xf numFmtId="37" fontId="8" fillId="15" borderId="0" xfId="0" applyNumberFormat="1" applyFont="1" applyFill="1"/>
    <xf numFmtId="5" fontId="16" fillId="15" borderId="0" xfId="0" applyNumberFormat="1" applyFont="1" applyFill="1" applyBorder="1"/>
    <xf numFmtId="0" fontId="17" fillId="15" borderId="12" xfId="0" applyFont="1" applyFill="1" applyBorder="1"/>
    <xf numFmtId="10" fontId="8" fillId="15" borderId="0" xfId="17" applyNumberFormat="1" applyFont="1" applyFill="1" applyBorder="1" applyAlignment="1">
      <alignment horizontal="center"/>
    </xf>
    <xf numFmtId="0" fontId="8" fillId="15" borderId="0" xfId="0" quotePrefix="1" applyFont="1" applyFill="1" applyBorder="1" applyAlignment="1">
      <alignment horizontal="center"/>
    </xf>
    <xf numFmtId="5" fontId="17" fillId="15" borderId="0" xfId="0" applyNumberFormat="1" applyFont="1" applyFill="1" applyBorder="1"/>
    <xf numFmtId="5" fontId="17" fillId="15" borderId="75" xfId="0" applyNumberFormat="1" applyFont="1" applyFill="1" applyBorder="1"/>
    <xf numFmtId="5" fontId="26" fillId="15" borderId="75" xfId="0" applyNumberFormat="1" applyFont="1" applyFill="1" applyBorder="1"/>
    <xf numFmtId="0" fontId="17" fillId="15" borderId="0" xfId="0" applyFont="1" applyFill="1"/>
    <xf numFmtId="10" fontId="4" fillId="15" borderId="12" xfId="0" applyNumberFormat="1" applyFont="1" applyFill="1" applyBorder="1" applyAlignment="1">
      <alignment horizontal="right"/>
    </xf>
    <xf numFmtId="0" fontId="8" fillId="16" borderId="12" xfId="0" applyFont="1" applyFill="1" applyBorder="1"/>
    <xf numFmtId="0" fontId="8" fillId="16" borderId="0" xfId="0" applyFont="1" applyFill="1" applyBorder="1"/>
    <xf numFmtId="5" fontId="8" fillId="16" borderId="0" xfId="0" applyNumberFormat="1" applyFont="1" applyFill="1" applyBorder="1"/>
    <xf numFmtId="5" fontId="8" fillId="16" borderId="75" xfId="0" applyNumberFormat="1" applyFont="1" applyFill="1" applyBorder="1"/>
    <xf numFmtId="5" fontId="16" fillId="16" borderId="75" xfId="0" applyNumberFormat="1" applyFont="1" applyFill="1" applyBorder="1"/>
    <xf numFmtId="0" fontId="8" fillId="16" borderId="0" xfId="0" applyFont="1" applyFill="1"/>
    <xf numFmtId="0" fontId="8" fillId="16" borderId="113" xfId="0" applyFont="1" applyFill="1" applyBorder="1"/>
    <xf numFmtId="0" fontId="8" fillId="15" borderId="113" xfId="0" applyFont="1" applyFill="1" applyBorder="1"/>
    <xf numFmtId="0" fontId="8" fillId="4" borderId="113" xfId="0" applyFont="1" applyFill="1" applyBorder="1"/>
    <xf numFmtId="0" fontId="8" fillId="4" borderId="0" xfId="0" applyFont="1" applyFill="1" applyBorder="1"/>
    <xf numFmtId="49" fontId="8" fillId="4" borderId="0" xfId="0" applyNumberFormat="1" applyFont="1" applyFill="1" applyBorder="1" applyAlignment="1">
      <alignment horizontal="center"/>
    </xf>
    <xf numFmtId="5" fontId="15" fillId="4" borderId="0" xfId="0" applyNumberFormat="1" applyFont="1" applyFill="1" applyBorder="1"/>
    <xf numFmtId="5" fontId="8" fillId="4" borderId="0" xfId="0" applyNumberFormat="1" applyFont="1" applyFill="1" applyBorder="1"/>
    <xf numFmtId="5" fontId="8" fillId="4" borderId="75" xfId="0" applyNumberFormat="1" applyFont="1" applyFill="1" applyBorder="1"/>
    <xf numFmtId="5" fontId="16" fillId="4" borderId="75" xfId="0" applyNumberFormat="1" applyFont="1" applyFill="1" applyBorder="1"/>
    <xf numFmtId="37" fontId="8" fillId="4" borderId="0" xfId="0" applyNumberFormat="1" applyFont="1" applyFill="1" applyBorder="1"/>
    <xf numFmtId="0" fontId="8" fillId="4" borderId="0" xfId="0" applyFont="1" applyFill="1"/>
    <xf numFmtId="37" fontId="8" fillId="4" borderId="0" xfId="0" applyNumberFormat="1" applyFont="1" applyFill="1"/>
    <xf numFmtId="10" fontId="8" fillId="4" borderId="0" xfId="17" applyNumberFormat="1" applyFont="1" applyFill="1" applyBorder="1" applyAlignment="1">
      <alignment horizontal="center"/>
    </xf>
    <xf numFmtId="5" fontId="16" fillId="4" borderId="0" xfId="0" applyNumberFormat="1" applyFont="1" applyFill="1" applyBorder="1"/>
    <xf numFmtId="0" fontId="4" fillId="15" borderId="0" xfId="0" applyFont="1" applyFill="1" applyBorder="1" applyAlignment="1">
      <alignment horizontal="center"/>
    </xf>
    <xf numFmtId="5" fontId="0" fillId="16" borderId="0" xfId="0" applyNumberFormat="1" applyFill="1"/>
    <xf numFmtId="5" fontId="0" fillId="9" borderId="0" xfId="0" applyNumberFormat="1" applyFill="1"/>
    <xf numFmtId="5" fontId="0" fillId="15" borderId="0" xfId="0" applyNumberFormat="1" applyFill="1"/>
    <xf numFmtId="0" fontId="0" fillId="0" borderId="150" xfId="0" applyBorder="1" applyAlignment="1">
      <alignment wrapText="1"/>
    </xf>
    <xf numFmtId="0" fontId="0" fillId="0" borderId="0" xfId="0" applyBorder="1" applyAlignment="1">
      <alignment wrapText="1"/>
    </xf>
    <xf numFmtId="166" fontId="0" fillId="17" borderId="0" xfId="3" applyNumberFormat="1" applyFont="1" applyFill="1" applyBorder="1"/>
    <xf numFmtId="0" fontId="0" fillId="0" borderId="0" xfId="0" applyFill="1" applyBorder="1" applyAlignment="1">
      <alignment wrapText="1"/>
    </xf>
    <xf numFmtId="37" fontId="0" fillId="13" borderId="0" xfId="0" applyNumberFormat="1" applyFill="1" applyBorder="1" applyAlignment="1"/>
    <xf numFmtId="5" fontId="0" fillId="0" borderId="4" xfId="0" applyNumberFormat="1" applyFill="1" applyBorder="1"/>
    <xf numFmtId="37" fontId="0" fillId="0" borderId="5" xfId="0" applyNumberFormat="1" applyFill="1" applyBorder="1" applyAlignment="1"/>
    <xf numFmtId="37" fontId="0" fillId="0" borderId="0" xfId="0" applyNumberFormat="1" applyFill="1" applyBorder="1" applyAlignment="1"/>
    <xf numFmtId="43" fontId="0" fillId="0" borderId="0" xfId="3" applyFont="1"/>
    <xf numFmtId="0" fontId="23" fillId="8" borderId="12" xfId="0" applyFont="1" applyFill="1" applyBorder="1"/>
    <xf numFmtId="5" fontId="8" fillId="8" borderId="0" xfId="0" applyNumberFormat="1" applyFont="1" applyFill="1" applyBorder="1"/>
    <xf numFmtId="5" fontId="8" fillId="8" borderId="75" xfId="0" applyNumberFormat="1" applyFont="1" applyFill="1" applyBorder="1"/>
    <xf numFmtId="0" fontId="23" fillId="8" borderId="0" xfId="0" applyFont="1" applyFill="1"/>
    <xf numFmtId="10" fontId="4" fillId="18" borderId="12" xfId="0" applyNumberFormat="1" applyFont="1" applyFill="1" applyBorder="1" applyAlignment="1">
      <alignment horizontal="right"/>
    </xf>
    <xf numFmtId="0" fontId="8" fillId="18" borderId="0" xfId="0" applyFont="1" applyFill="1" applyBorder="1"/>
    <xf numFmtId="5" fontId="8" fillId="18" borderId="0" xfId="0" applyNumberFormat="1" applyFont="1" applyFill="1" applyBorder="1"/>
    <xf numFmtId="5" fontId="8" fillId="18" borderId="75" xfId="0" applyNumberFormat="1" applyFont="1" applyFill="1" applyBorder="1"/>
    <xf numFmtId="5" fontId="16" fillId="18" borderId="75" xfId="0" applyNumberFormat="1" applyFont="1" applyFill="1" applyBorder="1"/>
    <xf numFmtId="0" fontId="8" fillId="18" borderId="0" xfId="0" applyFont="1" applyFill="1"/>
    <xf numFmtId="5" fontId="0" fillId="8" borderId="0" xfId="0" applyNumberFormat="1" applyFill="1"/>
    <xf numFmtId="0" fontId="0" fillId="8" borderId="0" xfId="0" applyFill="1" applyAlignment="1">
      <alignment horizontal="right"/>
    </xf>
    <xf numFmtId="0" fontId="0" fillId="8" borderId="6" xfId="0" applyFill="1" applyBorder="1"/>
    <xf numFmtId="5" fontId="0" fillId="8" borderId="6" xfId="0" applyNumberFormat="1" applyFill="1" applyBorder="1"/>
    <xf numFmtId="0" fontId="0" fillId="8" borderId="4" xfId="0" applyFill="1" applyBorder="1" applyAlignment="1">
      <alignment horizontal="right"/>
    </xf>
    <xf numFmtId="5" fontId="0" fillId="8" borderId="4" xfId="0" applyNumberFormat="1" applyFill="1" applyBorder="1"/>
    <xf numFmtId="0" fontId="0" fillId="8" borderId="4" xfId="0" applyFill="1" applyBorder="1"/>
    <xf numFmtId="0" fontId="0" fillId="8" borderId="0" xfId="0" applyFill="1" applyAlignment="1">
      <alignment horizontal="center"/>
    </xf>
    <xf numFmtId="0" fontId="1" fillId="8" borderId="6" xfId="0" applyFont="1" applyFill="1" applyBorder="1"/>
    <xf numFmtId="5" fontId="1" fillId="8" borderId="6" xfId="0" applyNumberFormat="1" applyFont="1" applyFill="1" applyBorder="1"/>
    <xf numFmtId="0" fontId="2" fillId="8" borderId="4" xfId="0" applyFont="1" applyFill="1" applyBorder="1" applyAlignment="1">
      <alignment horizontal="right"/>
    </xf>
    <xf numFmtId="5" fontId="2" fillId="8" borderId="4" xfId="0" applyNumberFormat="1" applyFont="1" applyFill="1" applyBorder="1"/>
    <xf numFmtId="0" fontId="2" fillId="8" borderId="4" xfId="0" applyFont="1" applyFill="1" applyBorder="1"/>
    <xf numFmtId="6" fontId="0" fillId="0" borderId="0" xfId="0" applyNumberFormat="1"/>
    <xf numFmtId="5" fontId="4" fillId="19" borderId="4" xfId="0" applyNumberFormat="1" applyFont="1" applyFill="1" applyBorder="1"/>
    <xf numFmtId="5" fontId="8" fillId="19" borderId="0" xfId="0" applyNumberFormat="1" applyFont="1" applyFill="1" applyBorder="1"/>
    <xf numFmtId="5" fontId="4" fillId="19" borderId="0" xfId="0" applyNumberFormat="1" applyFont="1" applyFill="1" applyBorder="1"/>
    <xf numFmtId="0" fontId="12" fillId="0" borderId="0" xfId="0" applyFont="1" applyAlignment="1">
      <alignment horizontal="center"/>
    </xf>
    <xf numFmtId="5" fontId="0" fillId="19" borderId="13" xfId="0" applyNumberFormat="1" applyFill="1" applyBorder="1"/>
    <xf numFmtId="5" fontId="0" fillId="19" borderId="0" xfId="0" applyNumberFormat="1" applyFill="1" applyBorder="1"/>
    <xf numFmtId="178" fontId="0" fillId="19" borderId="0" xfId="0" applyNumberFormat="1" applyFill="1" applyBorder="1"/>
    <xf numFmtId="7" fontId="0" fillId="19" borderId="0" xfId="0" applyNumberFormat="1" applyFill="1" applyBorder="1"/>
    <xf numFmtId="178" fontId="0" fillId="19" borderId="12" xfId="0" applyNumberFormat="1" applyFill="1" applyBorder="1"/>
    <xf numFmtId="178" fontId="0" fillId="19" borderId="13" xfId="0" applyNumberFormat="1" applyFill="1" applyBorder="1"/>
    <xf numFmtId="37" fontId="8" fillId="19" borderId="0" xfId="0" applyNumberFormat="1" applyFont="1" applyFill="1" applyBorder="1"/>
    <xf numFmtId="37" fontId="8" fillId="20" borderId="4" xfId="0" applyNumberFormat="1" applyFont="1" applyFill="1" applyBorder="1"/>
    <xf numFmtId="173" fontId="0" fillId="19" borderId="0" xfId="0" applyNumberFormat="1" applyFill="1" applyBorder="1" applyAlignment="1">
      <alignment horizontal="center"/>
    </xf>
    <xf numFmtId="178" fontId="8" fillId="19" borderId="0" xfId="0" applyNumberFormat="1" applyFont="1" applyFill="1" applyBorder="1"/>
    <xf numFmtId="178" fontId="8" fillId="19" borderId="12" xfId="0" applyNumberFormat="1" applyFont="1" applyFill="1" applyBorder="1"/>
    <xf numFmtId="0" fontId="0" fillId="19" borderId="0" xfId="0" applyFill="1" applyBorder="1" applyAlignment="1">
      <alignment horizontal="center"/>
    </xf>
    <xf numFmtId="37" fontId="0" fillId="19" borderId="0" xfId="0" applyNumberFormat="1" applyFill="1" applyBorder="1" applyAlignment="1">
      <alignment horizontal="center"/>
    </xf>
    <xf numFmtId="176" fontId="15" fillId="19" borderId="0" xfId="0" applyNumberFormat="1" applyFont="1" applyFill="1" applyBorder="1" applyAlignment="1">
      <alignment horizontal="right"/>
    </xf>
    <xf numFmtId="0" fontId="7" fillId="0" borderId="0" xfId="0" applyFont="1" applyAlignment="1">
      <alignment horizontal="center"/>
    </xf>
    <xf numFmtId="0" fontId="7" fillId="0" borderId="15" xfId="0" applyFont="1" applyBorder="1"/>
    <xf numFmtId="0" fontId="7" fillId="0" borderId="16" xfId="0" applyFont="1" applyBorder="1"/>
  </cellXfs>
  <cellStyles count="24">
    <cellStyle name="??_?.????" xfId="1"/>
    <cellStyle name="Actual Date" xfId="2"/>
    <cellStyle name="Comma" xfId="3" builtinId="3"/>
    <cellStyle name="Date" xfId="4"/>
    <cellStyle name="Fixed" xfId="5"/>
    <cellStyle name="Grey" xfId="6"/>
    <cellStyle name="HEADER" xfId="7"/>
    <cellStyle name="Heading1" xfId="8"/>
    <cellStyle name="Heading2" xfId="9"/>
    <cellStyle name="HIGHLIGHT" xfId="10"/>
    <cellStyle name="Input [yellow]" xfId="11"/>
    <cellStyle name="no dec" xfId="12"/>
    <cellStyle name="Normal" xfId="0" builtinId="0"/>
    <cellStyle name="Normal - Style1" xfId="13"/>
    <cellStyle name="Normal_0818_BRpipe" xfId="14"/>
    <cellStyle name="Normal_0915_Curves" xfId="15"/>
    <cellStyle name="Normal_Curves" xfId="16"/>
    <cellStyle name="Percent" xfId="17" builtinId="5"/>
    <cellStyle name="Percent [2]" xfId="18"/>
    <cellStyle name="Total" xfId="19" builtinId="25" customBuiltin="1"/>
    <cellStyle name="Unprot" xfId="20"/>
    <cellStyle name="Unprot$" xfId="21"/>
    <cellStyle name="Unprot_CurrencySKorea" xfId="22"/>
    <cellStyle name="Unprotect" xfId="23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3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1.xml"/><Relationship Id="rId45" Type="http://schemas.openxmlformats.org/officeDocument/2006/relationships/externalLink" Target="externalLinks/externalLink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4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7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1695450</xdr:colOff>
          <xdr:row>2</xdr:row>
          <xdr:rowOff>38100</xdr:rowOff>
        </xdr:from>
        <xdr:to>
          <xdr:col>2</xdr:col>
          <xdr:colOff>219075</xdr:colOff>
          <xdr:row>4</xdr:row>
          <xdr:rowOff>57150</xdr:rowOff>
        </xdr:to>
        <xdr:sp macro="" textlink="">
          <xdr:nvSpPr>
            <xdr:cNvPr id="1117" name="Button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B1EC250F-3EFA-490A-0ADF-82C2D3964B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663300"/>
                  </a:solidFill>
                  <a:latin typeface="Arial"/>
                  <a:cs typeface="Arial"/>
                </a:rPr>
                <a:t>Converge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663300"/>
                  </a:solidFill>
                  <a:latin typeface="Arial"/>
                  <a:cs typeface="Arial"/>
                </a:rPr>
                <a:t>Model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276225</xdr:colOff>
          <xdr:row>2</xdr:row>
          <xdr:rowOff>38100</xdr:rowOff>
        </xdr:from>
        <xdr:to>
          <xdr:col>3</xdr:col>
          <xdr:colOff>523875</xdr:colOff>
          <xdr:row>4</xdr:row>
          <xdr:rowOff>47625</xdr:rowOff>
        </xdr:to>
        <xdr:sp macro="" textlink="">
          <xdr:nvSpPr>
            <xdr:cNvPr id="1119" name="Button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DF67185E-0CD5-6A4A-F8FC-97B46E3B7D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336666"/>
                  </a:solidFill>
                  <a:latin typeface="Arial"/>
                  <a:cs typeface="Arial"/>
                </a:rPr>
                <a:t>Converge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336666"/>
                  </a:solidFill>
                  <a:latin typeface="Arial"/>
                  <a:cs typeface="Arial"/>
                </a:rPr>
                <a:t>Commitment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600075</xdr:colOff>
          <xdr:row>2</xdr:row>
          <xdr:rowOff>28575</xdr:rowOff>
        </xdr:from>
        <xdr:to>
          <xdr:col>5</xdr:col>
          <xdr:colOff>219075</xdr:colOff>
          <xdr:row>4</xdr:row>
          <xdr:rowOff>57150</xdr:rowOff>
        </xdr:to>
        <xdr:sp macro="" textlink="">
          <xdr:nvSpPr>
            <xdr:cNvPr id="1120" name="Button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BBA0B5DE-909E-AD77-025D-660F635930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800080"/>
                  </a:solidFill>
                  <a:latin typeface="Arial"/>
                  <a:cs typeface="Arial"/>
                </a:rPr>
                <a:t>Print Entire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800080"/>
                  </a:solidFill>
                  <a:latin typeface="Arial"/>
                  <a:cs typeface="Arial"/>
                </a:rPr>
                <a:t>Model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295275</xdr:colOff>
          <xdr:row>2</xdr:row>
          <xdr:rowOff>38100</xdr:rowOff>
        </xdr:from>
        <xdr:to>
          <xdr:col>7</xdr:col>
          <xdr:colOff>381000</xdr:colOff>
          <xdr:row>4</xdr:row>
          <xdr:rowOff>57150</xdr:rowOff>
        </xdr:to>
        <xdr:sp macro="" textlink="">
          <xdr:nvSpPr>
            <xdr:cNvPr id="1121" name="Button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7664B598-F987-33B4-BF77-53E3C7E682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3366FF"/>
                  </a:solidFill>
                  <a:latin typeface="Arial"/>
                  <a:cs typeface="Arial"/>
                </a:rPr>
                <a:t>Print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3366FF"/>
                  </a:solidFill>
                  <a:latin typeface="Arial"/>
                  <a:cs typeface="Arial"/>
                </a:rPr>
                <a:t>Appendix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438150</xdr:colOff>
          <xdr:row>2</xdr:row>
          <xdr:rowOff>38100</xdr:rowOff>
        </xdr:from>
        <xdr:to>
          <xdr:col>7</xdr:col>
          <xdr:colOff>1485900</xdr:colOff>
          <xdr:row>4</xdr:row>
          <xdr:rowOff>57150</xdr:rowOff>
        </xdr:to>
        <xdr:sp macro="" textlink="">
          <xdr:nvSpPr>
            <xdr:cNvPr id="1417" name="Button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id="{9B57D35E-53D0-48A3-E2EC-826C401A94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996633"/>
                  </a:solidFill>
                  <a:latin typeface="Arial"/>
                  <a:cs typeface="Arial"/>
                </a:rPr>
                <a:t>Recalc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996633"/>
                  </a:solidFill>
                  <a:latin typeface="Arial"/>
                  <a:cs typeface="Arial"/>
                </a:rPr>
                <a:t>Subdebt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35</xdr:col>
          <xdr:colOff>409575</xdr:colOff>
          <xdr:row>1</xdr:row>
          <xdr:rowOff>190500</xdr:rowOff>
        </xdr:from>
        <xdr:to>
          <xdr:col>37</xdr:col>
          <xdr:colOff>361950</xdr:colOff>
          <xdr:row>4</xdr:row>
          <xdr:rowOff>123825</xdr:rowOff>
        </xdr:to>
        <xdr:sp macro="" textlink="">
          <xdr:nvSpPr>
            <xdr:cNvPr id="2093" name="Button 45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1FF0C5B5-E79B-45BA-A819-2EC05EDDA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800080"/>
                  </a:solidFill>
                  <a:latin typeface="Arial"/>
                  <a:cs typeface="Arial"/>
                </a:rPr>
                <a:t>Refresh Tariff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ECM\RAAP\$LIBRARY\SOUTHERN%20CONE%20Deals\Cuiaba_Cemat%20Pwr\Reval_0400\F%20M%20V\CASH_GasMat_0400-apos%20con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ECM\RAAP\$LIBRARY\SOUTHERN%20CONE%20Deals\Cuiaba_Cemat%20Pwr\Reval_0400\F%20M%20V\CASH_Curves_0400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ECM\RAAP\$LIBRARY\SOUTHERN%20CONE%20Deals\Cuiaba_Cemat%20Pwr\Reval_0400\F%20M%20V\CASH_Cons_040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ECM\RAAP\$LIBRARY\SOUTHERN%20CONE%20Deals\Cuiaba_Cemat%20Pwr\Reval_0400\F%20M%20V\CASH_GasBol_0400-apos%20converg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CASH_GasMat_0400MyCopy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ECM\RAAP\$LIBRARY\SOUTHERN%20CONE%20Deals\Cuiaba_Cemat%20Pwr\Reval_0400\F%20M%20V\CASH_GasBol_0400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CASH_TBS_0400MyCopy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C"/>
      <sheetName val="Assm"/>
      <sheetName val="CF"/>
      <sheetName val="Returns"/>
      <sheetName val="EINC"/>
      <sheetName val="PLRisk"/>
      <sheetName val="Trapped"/>
      <sheetName val="Turnkey"/>
      <sheetName val="Drawdown"/>
      <sheetName val="IDC"/>
      <sheetName val="Debt Amort"/>
      <sheetName val="Sudam"/>
      <sheetName val="Taxes"/>
      <sheetName val="Depr"/>
      <sheetName val="CommonSized"/>
      <sheetName val="BS_IS"/>
      <sheetName val="Ref1"/>
      <sheetName val="Ref2"/>
      <sheetName val="Ref3"/>
      <sheetName val="Ref4"/>
      <sheetName val="Ref5"/>
      <sheetName val="Transportation"/>
      <sheetName val="Escalation"/>
      <sheetName val="Converge_Model"/>
      <sheetName val="Commit"/>
    </sheetNames>
    <sheetDataSet>
      <sheetData sheetId="0" refreshError="1"/>
      <sheetData sheetId="1">
        <row r="9">
          <cell r="X9">
            <v>73349.530656035306</v>
          </cell>
        </row>
      </sheetData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luation 4-30-00"/>
      <sheetName val="Annual Curve Selection"/>
      <sheetName val="Monthly Curve Calc."/>
      <sheetName val="11-17-99 CPI &amp; PPI"/>
      <sheetName val="1-28-2000 WTI"/>
      <sheetName val="012600 cpi-ppi"/>
      <sheetName val="02112000 USD-CPI-IGPM"/>
    </sheetNames>
    <sheetDataSet>
      <sheetData sheetId="0"/>
      <sheetData sheetId="1"/>
      <sheetData sheetId="2">
        <row r="12">
          <cell r="F12">
            <v>0</v>
          </cell>
        </row>
        <row r="22">
          <cell r="B22">
            <v>134.68899999999999</v>
          </cell>
          <cell r="C22">
            <v>159.1</v>
          </cell>
          <cell r="F22">
            <v>1.0385</v>
          </cell>
        </row>
        <row r="23">
          <cell r="B23">
            <v>136.81399999999999</v>
          </cell>
          <cell r="C23">
            <v>159.1</v>
          </cell>
          <cell r="F23">
            <v>1.0456000000000001</v>
          </cell>
        </row>
        <row r="24">
          <cell r="B24">
            <v>137.38999999999999</v>
          </cell>
          <cell r="C24">
            <v>159.6</v>
          </cell>
          <cell r="F24">
            <v>1.0509999999999999</v>
          </cell>
        </row>
        <row r="25">
          <cell r="B25">
            <v>138.99</v>
          </cell>
          <cell r="C25">
            <v>160</v>
          </cell>
          <cell r="F25">
            <v>1.0593999999999999</v>
          </cell>
        </row>
        <row r="26">
          <cell r="B26">
            <v>139.80699999999999</v>
          </cell>
          <cell r="C26">
            <v>160.19999999999999</v>
          </cell>
          <cell r="F26">
            <v>1.0634999999999999</v>
          </cell>
        </row>
        <row r="27">
          <cell r="B27">
            <v>140.22</v>
          </cell>
          <cell r="C27">
            <v>160.1</v>
          </cell>
          <cell r="F27">
            <v>1.0703</v>
          </cell>
        </row>
        <row r="28">
          <cell r="B28">
            <v>141.20699999999999</v>
          </cell>
          <cell r="C28">
            <v>160.30000000000001</v>
          </cell>
          <cell r="F28">
            <v>1.0766</v>
          </cell>
        </row>
        <row r="29">
          <cell r="B29">
            <v>141.33000000000001</v>
          </cell>
          <cell r="C29">
            <v>160.5</v>
          </cell>
          <cell r="F29">
            <v>1.0829</v>
          </cell>
        </row>
        <row r="30">
          <cell r="B30">
            <v>141.26</v>
          </cell>
          <cell r="C30">
            <v>160.80000000000001</v>
          </cell>
          <cell r="F30">
            <v>1.0912999999999999</v>
          </cell>
        </row>
        <row r="31">
          <cell r="B31">
            <v>142.101</v>
          </cell>
          <cell r="C31">
            <v>161.19999999999999</v>
          </cell>
          <cell r="F31">
            <v>1.0960000000000001</v>
          </cell>
        </row>
        <row r="32">
          <cell r="B32">
            <v>142.58699999999999</v>
          </cell>
          <cell r="C32">
            <v>161.6</v>
          </cell>
          <cell r="F32">
            <v>1.1027</v>
          </cell>
        </row>
        <row r="33">
          <cell r="B33">
            <v>143.77099999999999</v>
          </cell>
          <cell r="C33">
            <v>161.5</v>
          </cell>
          <cell r="F33">
            <v>1.1094999999999999</v>
          </cell>
        </row>
        <row r="34">
          <cell r="B34">
            <v>144.76499999999999</v>
          </cell>
          <cell r="C34">
            <v>161.30000000000001</v>
          </cell>
          <cell r="F34">
            <v>1.1160000000000001</v>
          </cell>
        </row>
        <row r="35">
          <cell r="B35">
            <v>146.03800000000001</v>
          </cell>
          <cell r="C35">
            <v>161.6</v>
          </cell>
          <cell r="F35">
            <v>1.1234</v>
          </cell>
        </row>
        <row r="36">
          <cell r="B36">
            <v>146.06700000000001</v>
          </cell>
          <cell r="C36">
            <v>161.9</v>
          </cell>
          <cell r="F36">
            <v>1.1299999999999999</v>
          </cell>
        </row>
        <row r="37">
          <cell r="B37">
            <v>146.40600000000001</v>
          </cell>
          <cell r="C37">
            <v>162.19999999999999</v>
          </cell>
          <cell r="F37">
            <v>1.137</v>
          </cell>
        </row>
        <row r="38">
          <cell r="B38">
            <v>146.21100000000001</v>
          </cell>
          <cell r="C38">
            <v>162.5</v>
          </cell>
          <cell r="F38">
            <v>1.1443000000000001</v>
          </cell>
        </row>
        <row r="39">
          <cell r="B39">
            <v>146.54400000000001</v>
          </cell>
          <cell r="C39">
            <v>162.80000000000001</v>
          </cell>
          <cell r="F39">
            <v>1.1500999999999999</v>
          </cell>
        </row>
        <row r="40">
          <cell r="B40">
            <v>146.95099999999999</v>
          </cell>
          <cell r="C40">
            <v>163</v>
          </cell>
          <cell r="F40">
            <v>1.1565000000000001</v>
          </cell>
        </row>
        <row r="41">
          <cell r="B41">
            <v>146.38999999999999</v>
          </cell>
          <cell r="C41">
            <v>163.19999999999999</v>
          </cell>
          <cell r="F41">
            <v>1.163</v>
          </cell>
        </row>
        <row r="42">
          <cell r="B42">
            <v>146.14400000000001</v>
          </cell>
          <cell r="C42">
            <v>163.4</v>
          </cell>
          <cell r="F42">
            <v>1.1765000000000001</v>
          </cell>
        </row>
        <row r="43">
          <cell r="B43">
            <v>146.11099999999999</v>
          </cell>
          <cell r="C43">
            <v>163.6</v>
          </cell>
          <cell r="F43">
            <v>1.1856</v>
          </cell>
        </row>
        <row r="44">
          <cell r="B44">
            <v>146.06299999999999</v>
          </cell>
          <cell r="C44">
            <v>164</v>
          </cell>
          <cell r="F44">
            <v>1.1928000000000001</v>
          </cell>
        </row>
        <row r="45">
          <cell r="B45">
            <v>145.797</v>
          </cell>
          <cell r="C45">
            <v>164</v>
          </cell>
          <cell r="F45">
            <v>1.2008000000000001</v>
          </cell>
        </row>
        <row r="46">
          <cell r="B46">
            <v>147.22999999999999</v>
          </cell>
          <cell r="C46">
            <v>163.9</v>
          </cell>
          <cell r="F46">
            <v>1.2082999999999999</v>
          </cell>
        </row>
        <row r="47">
          <cell r="B47">
            <v>148.91999999999999</v>
          </cell>
          <cell r="C47">
            <v>164.3</v>
          </cell>
          <cell r="F47">
            <v>2.0499999999999998</v>
          </cell>
        </row>
        <row r="48">
          <cell r="B48">
            <v>155.53</v>
          </cell>
          <cell r="C48">
            <v>164.5</v>
          </cell>
          <cell r="F48">
            <v>2.0350000000000001</v>
          </cell>
        </row>
        <row r="49">
          <cell r="B49">
            <v>158.6</v>
          </cell>
          <cell r="C49">
            <v>165</v>
          </cell>
          <cell r="F49">
            <v>1.7175</v>
          </cell>
        </row>
        <row r="50">
          <cell r="B50">
            <v>158.65</v>
          </cell>
          <cell r="C50">
            <v>166.2</v>
          </cell>
          <cell r="F50">
            <v>1.665</v>
          </cell>
        </row>
        <row r="51">
          <cell r="B51">
            <v>158.1</v>
          </cell>
          <cell r="C51">
            <v>166.2</v>
          </cell>
          <cell r="F51">
            <v>1.7210000000000001</v>
          </cell>
        </row>
        <row r="52">
          <cell r="B52">
            <v>159.71</v>
          </cell>
          <cell r="C52">
            <v>166.2</v>
          </cell>
          <cell r="F52">
            <v>1.7524999999999999</v>
          </cell>
        </row>
        <row r="53">
          <cell r="B53">
            <v>162.25</v>
          </cell>
          <cell r="C53">
            <v>166.7</v>
          </cell>
          <cell r="F53">
            <v>1.8009999999999999</v>
          </cell>
        </row>
        <row r="54">
          <cell r="B54">
            <v>164.61</v>
          </cell>
          <cell r="C54">
            <v>167.1</v>
          </cell>
          <cell r="F54">
            <v>1.919</v>
          </cell>
        </row>
        <row r="55">
          <cell r="B55">
            <v>167.03</v>
          </cell>
          <cell r="C55">
            <v>167.9</v>
          </cell>
          <cell r="F55">
            <v>1.9375</v>
          </cell>
        </row>
        <row r="56">
          <cell r="B56">
            <v>170.18</v>
          </cell>
          <cell r="C56">
            <v>168.2</v>
          </cell>
          <cell r="F56">
            <v>1.9490000000000001</v>
          </cell>
        </row>
        <row r="57">
          <cell r="B57">
            <v>174.5</v>
          </cell>
          <cell r="C57">
            <v>168.3</v>
          </cell>
          <cell r="F57">
            <v>1.923</v>
          </cell>
        </row>
        <row r="58">
          <cell r="B58">
            <v>176.65</v>
          </cell>
          <cell r="C58">
            <v>168.3</v>
          </cell>
          <cell r="F58">
            <v>1.7989999999999999</v>
          </cell>
        </row>
        <row r="59">
          <cell r="B59">
            <v>177.96266761992723</v>
          </cell>
          <cell r="C59">
            <v>168.75941921656877</v>
          </cell>
          <cell r="F59">
            <v>1.7947506486897897</v>
          </cell>
        </row>
        <row r="60">
          <cell r="B60">
            <v>179.28508953524309</v>
          </cell>
          <cell r="C60">
            <v>169.22009253899941</v>
          </cell>
          <cell r="F60">
            <v>1.7905113346150201</v>
          </cell>
        </row>
        <row r="61">
          <cell r="B61">
            <v>180.61733822909343</v>
          </cell>
          <cell r="C61">
            <v>169.68202339070447</v>
          </cell>
          <cell r="F61">
            <v>1.7862820340671086</v>
          </cell>
        </row>
        <row r="62">
          <cell r="B62">
            <v>181.95948672323877</v>
          </cell>
          <cell r="C62">
            <v>170.1452152044416</v>
          </cell>
          <cell r="F62">
            <v>1.7820627233934743</v>
          </cell>
        </row>
        <row r="63">
          <cell r="B63">
            <v>183.31160858205661</v>
          </cell>
          <cell r="C63">
            <v>170.60967142233909</v>
          </cell>
          <cell r="F63">
            <v>1.7778533789974047</v>
          </cell>
        </row>
        <row r="64">
          <cell r="B64">
            <v>184.67377791657367</v>
          </cell>
          <cell r="C64">
            <v>171.07539549592141</v>
          </cell>
          <cell r="F64">
            <v>1.7736539773379247</v>
          </cell>
        </row>
        <row r="65">
          <cell r="B65">
            <v>186.04606938852791</v>
          </cell>
          <cell r="C65">
            <v>171.54239088613488</v>
          </cell>
          <cell r="F65">
            <v>1.7694644949296643</v>
          </cell>
        </row>
        <row r="66">
          <cell r="B66">
            <v>187.42855821446085</v>
          </cell>
          <cell r="C66">
            <v>172.01066106337339</v>
          </cell>
          <cell r="F66">
            <v>1.7652849083427271</v>
          </cell>
        </row>
        <row r="67">
          <cell r="B67">
            <v>188.82132016984022</v>
          </cell>
          <cell r="C67">
            <v>172.48020950750416</v>
          </cell>
          <cell r="F67">
            <v>1.76111519420256</v>
          </cell>
        </row>
        <row r="68">
          <cell r="B68">
            <v>190.22443159321332</v>
          </cell>
          <cell r="C68">
            <v>172.95103970789367</v>
          </cell>
          <cell r="F68">
            <v>1.7569553291898219</v>
          </cell>
        </row>
        <row r="69">
          <cell r="B69">
            <v>191.63796939039119</v>
          </cell>
          <cell r="C69">
            <v>173.42315516343351</v>
          </cell>
          <cell r="F69">
            <v>1.7528052900402533</v>
          </cell>
        </row>
        <row r="70">
          <cell r="B70">
            <v>193.06201103866388</v>
          </cell>
          <cell r="C70">
            <v>173.89655938256641</v>
          </cell>
          <cell r="F70">
            <v>1.8038677232680336</v>
          </cell>
        </row>
        <row r="71">
          <cell r="B71">
            <v>194.45347137228308</v>
          </cell>
          <cell r="C71">
            <v>174.3626262314074</v>
          </cell>
          <cell r="F71">
            <v>1.8188212690525873</v>
          </cell>
        </row>
        <row r="72">
          <cell r="B72">
            <v>195.85496041040827</v>
          </cell>
          <cell r="C72">
            <v>174.82994220391342</v>
          </cell>
          <cell r="F72">
            <v>1.8338987754405969</v>
          </cell>
        </row>
        <row r="73">
          <cell r="B73">
            <v>197.26655043315523</v>
          </cell>
          <cell r="C73">
            <v>175.29851064790876</v>
          </cell>
          <cell r="F73">
            <v>1.849101270029893</v>
          </cell>
        </row>
        <row r="74">
          <cell r="B74">
            <v>198.68831424158597</v>
          </cell>
          <cell r="C74">
            <v>175.76833492019037</v>
          </cell>
          <cell r="F74">
            <v>1.8644297889367973</v>
          </cell>
        </row>
        <row r="75">
          <cell r="B75">
            <v>200.12032516146326</v>
          </cell>
          <cell r="C75">
            <v>176.23941838655188</v>
          </cell>
          <cell r="F75">
            <v>1.8798853768667387</v>
          </cell>
        </row>
        <row r="76">
          <cell r="B76">
            <v>201.56265704703233</v>
          </cell>
          <cell r="C76">
            <v>176.71176442180774</v>
          </cell>
          <cell r="F76">
            <v>1.8954690871854543</v>
          </cell>
        </row>
        <row r="77">
          <cell r="B77">
            <v>203.01538428482988</v>
          </cell>
          <cell r="C77">
            <v>177.18537640981734</v>
          </cell>
          <cell r="F77">
            <v>1.9111819819907805</v>
          </cell>
        </row>
        <row r="78">
          <cell r="B78">
            <v>204.47858179752038</v>
          </cell>
          <cell r="C78">
            <v>177.66025774350925</v>
          </cell>
          <cell r="F78">
            <v>1.9270251321850405</v>
          </cell>
        </row>
        <row r="79">
          <cell r="B79">
            <v>205.95232504776021</v>
          </cell>
          <cell r="C79">
            <v>178.13641182490562</v>
          </cell>
          <cell r="F79">
            <v>1.9429996175480302</v>
          </cell>
        </row>
        <row r="80">
          <cell r="B80">
            <v>207.43669004208951</v>
          </cell>
          <cell r="C80">
            <v>178.61384206514646</v>
          </cell>
          <cell r="F80">
            <v>1.95910652681061</v>
          </cell>
        </row>
        <row r="81">
          <cell r="B81">
            <v>208.93175333485209</v>
          </cell>
          <cell r="C81">
            <v>179.09255188451411</v>
          </cell>
          <cell r="F81">
            <v>1.9753469577289071</v>
          </cell>
        </row>
        <row r="82">
          <cell r="B82">
            <v>210.4375920321437</v>
          </cell>
          <cell r="C82">
            <v>179.57254471245776</v>
          </cell>
          <cell r="F82">
            <v>1.9917220171591306</v>
          </cell>
        </row>
        <row r="83">
          <cell r="B83">
            <v>211.87309067014004</v>
          </cell>
          <cell r="C83">
            <v>180.02195483939127</v>
          </cell>
          <cell r="F83">
            <v>2.0024865610216462</v>
          </cell>
        </row>
        <row r="84">
          <cell r="B84">
            <v>213.31838155257233</v>
          </cell>
          <cell r="C84">
            <v>180.47248968983146</v>
          </cell>
          <cell r="F84">
            <v>2.0133092833867692</v>
          </cell>
        </row>
        <row r="85">
          <cell r="B85">
            <v>214.77353147717102</v>
          </cell>
          <cell r="C85">
            <v>180.92415207858576</v>
          </cell>
          <cell r="F85">
            <v>2.0241904986884602</v>
          </cell>
        </row>
        <row r="86">
          <cell r="B86">
            <v>216.23860769732684</v>
          </cell>
          <cell r="C86">
            <v>181.37694482750612</v>
          </cell>
          <cell r="F86">
            <v>2.0351305230600838</v>
          </cell>
        </row>
        <row r="87">
          <cell r="B87">
            <v>217.71367792519908</v>
          </cell>
          <cell r="C87">
            <v>181.83087076550666</v>
          </cell>
          <cell r="F87">
            <v>2.0461296743435908</v>
          </cell>
        </row>
        <row r="88">
          <cell r="B88">
            <v>219.19881033484506</v>
          </cell>
          <cell r="C88">
            <v>182.28593272858129</v>
          </cell>
          <cell r="F88">
            <v>2.0571882720987551</v>
          </cell>
        </row>
        <row r="89">
          <cell r="B89">
            <v>220.69407356537104</v>
          </cell>
          <cell r="C89">
            <v>182.74213355982153</v>
          </cell>
          <cell r="F89">
            <v>2.0683066376124559</v>
          </cell>
        </row>
        <row r="90">
          <cell r="B90">
            <v>222.19953672410441</v>
          </cell>
          <cell r="C90">
            <v>183.19947610943416</v>
          </cell>
          <cell r="F90">
            <v>2.0794850939080129</v>
          </cell>
        </row>
        <row r="91">
          <cell r="B91">
            <v>223.71526938978778</v>
          </cell>
          <cell r="C91">
            <v>183.65796323475908</v>
          </cell>
          <cell r="F91">
            <v>2.0907239657545715</v>
          </cell>
        </row>
        <row r="92">
          <cell r="B92">
            <v>225.24134161579468</v>
          </cell>
          <cell r="C92">
            <v>184.11759780028717</v>
          </cell>
          <cell r="F92">
            <v>2.1020235796765379</v>
          </cell>
        </row>
        <row r="93">
          <cell r="B93">
            <v>226.77782393336727</v>
          </cell>
          <cell r="C93">
            <v>184.57838267767818</v>
          </cell>
          <cell r="F93">
            <v>2.1133842639630656</v>
          </cell>
        </row>
        <row r="94">
          <cell r="B94">
            <v>228.32478735487609</v>
          </cell>
          <cell r="C94">
            <v>185.04032074577864</v>
          </cell>
          <cell r="F94">
            <v>2.1248063486775925</v>
          </cell>
        </row>
        <row r="95">
          <cell r="B95">
            <v>229.7938359115775</v>
          </cell>
          <cell r="C95">
            <v>185.48840652139788</v>
          </cell>
          <cell r="F95">
            <v>2.1308778783404252</v>
          </cell>
        </row>
        <row r="96">
          <cell r="B96">
            <v>231.27233637092579</v>
          </cell>
          <cell r="C96">
            <v>185.93757736248557</v>
          </cell>
          <cell r="F96">
            <v>2.1369667571007271</v>
          </cell>
        </row>
        <row r="97">
          <cell r="B97">
            <v>232.76034954674716</v>
          </cell>
          <cell r="C97">
            <v>186.38783589659013</v>
          </cell>
          <cell r="F97">
            <v>2.1430730345326912</v>
          </cell>
        </row>
        <row r="98">
          <cell r="B98">
            <v>234.25793664414587</v>
          </cell>
          <cell r="C98">
            <v>186.83918475762275</v>
          </cell>
          <cell r="F98">
            <v>2.1491967603521664</v>
          </cell>
        </row>
        <row r="99">
          <cell r="B99">
            <v>235.76515926202157</v>
          </cell>
          <cell r="C99">
            <v>187.29162658587273</v>
          </cell>
          <cell r="F99">
            <v>2.1553379844170619</v>
          </cell>
        </row>
        <row r="100">
          <cell r="B100">
            <v>237.28207939560318</v>
          </cell>
          <cell r="C100">
            <v>187.74516402802308</v>
          </cell>
          <cell r="F100">
            <v>2.1614967567277539</v>
          </cell>
        </row>
        <row r="101">
          <cell r="B101">
            <v>238.80875943899872</v>
          </cell>
          <cell r="C101">
            <v>188.19979973716582</v>
          </cell>
          <cell r="F101">
            <v>2.1676731274274914</v>
          </cell>
        </row>
        <row r="102">
          <cell r="B102">
            <v>240.34526218776179</v>
          </cell>
          <cell r="C102">
            <v>188.65553637281764</v>
          </cell>
          <cell r="F102">
            <v>2.1738671468028063</v>
          </cell>
        </row>
        <row r="103">
          <cell r="B103">
            <v>241.89165084147453</v>
          </cell>
          <cell r="C103">
            <v>189.11237660093536</v>
          </cell>
          <cell r="F103">
            <v>2.1800788652839209</v>
          </cell>
        </row>
        <row r="104">
          <cell r="B104">
            <v>243.447989006347</v>
          </cell>
          <cell r="C104">
            <v>189.57032309393159</v>
          </cell>
          <cell r="F104">
            <v>2.1863083334451598</v>
          </cell>
        </row>
        <row r="105">
          <cell r="B105">
            <v>245.01434069783363</v>
          </cell>
          <cell r="C105">
            <v>190.02937853069034</v>
          </cell>
          <cell r="F105">
            <v>2.1925556020053616</v>
          </cell>
        </row>
        <row r="106">
          <cell r="B106">
            <v>246.59077034326614</v>
          </cell>
          <cell r="C106">
            <v>190.4895455965827</v>
          </cell>
          <cell r="F106">
            <v>2.1988207218282909</v>
          </cell>
        </row>
        <row r="107">
          <cell r="B107">
            <v>248.17734278450365</v>
          </cell>
          <cell r="C107">
            <v>190.93955289546653</v>
          </cell>
          <cell r="F107">
            <v>2.2045030649335842</v>
          </cell>
        </row>
        <row r="108">
          <cell r="B108">
            <v>249.77412328059978</v>
          </cell>
          <cell r="C108">
            <v>191.39062327930031</v>
          </cell>
          <cell r="F108">
            <v>2.2102000927391106</v>
          </cell>
        </row>
        <row r="109">
          <cell r="B109">
            <v>251.38117751048688</v>
          </cell>
          <cell r="C109">
            <v>191.84275925948691</v>
          </cell>
          <cell r="F109">
            <v>2.2159118431940779</v>
          </cell>
        </row>
        <row r="110">
          <cell r="B110">
            <v>252.99857157567746</v>
          </cell>
          <cell r="C110">
            <v>192.29596335336203</v>
          </cell>
          <cell r="F110">
            <v>2.2216383543457656</v>
          </cell>
        </row>
        <row r="111">
          <cell r="B111">
            <v>254.62637200298323</v>
          </cell>
          <cell r="C111">
            <v>192.75023808420826</v>
          </cell>
          <cell r="F111">
            <v>2.227379664339777</v>
          </cell>
        </row>
        <row r="112">
          <cell r="B112">
            <v>256.26464574725134</v>
          </cell>
          <cell r="C112">
            <v>193.20558598126917</v>
          </cell>
          <cell r="F112">
            <v>2.2331358114202935</v>
          </cell>
        </row>
        <row r="113">
          <cell r="B113">
            <v>257.9134601941185</v>
          </cell>
          <cell r="C113">
            <v>193.66200957976326</v>
          </cell>
          <cell r="F113">
            <v>2.2389068339303306</v>
          </cell>
        </row>
        <row r="114">
          <cell r="B114">
            <v>259.5728831627826</v>
          </cell>
          <cell r="C114">
            <v>194.11951142089825</v>
          </cell>
          <cell r="F114">
            <v>2.2446927703119925</v>
          </cell>
        </row>
        <row r="115">
          <cell r="B115">
            <v>261.24298290879233</v>
          </cell>
          <cell r="C115">
            <v>194.57809405188507</v>
          </cell>
          <cell r="F115">
            <v>2.2504936591067271</v>
          </cell>
        </row>
        <row r="116">
          <cell r="B116">
            <v>262.92382812685463</v>
          </cell>
          <cell r="C116">
            <v>195.03776002595217</v>
          </cell>
          <cell r="F116">
            <v>2.2563095389555845</v>
          </cell>
        </row>
        <row r="117">
          <cell r="B117">
            <v>264.61548795366019</v>
          </cell>
          <cell r="C117">
            <v>195.49851190235964</v>
          </cell>
          <cell r="F117">
            <v>2.2621404485994736</v>
          </cell>
        </row>
        <row r="118">
          <cell r="B118">
            <v>266.3180319707273</v>
          </cell>
          <cell r="C118">
            <v>195.96035224641349</v>
          </cell>
          <cell r="F118">
            <v>2.2679864268794208</v>
          </cell>
        </row>
        <row r="119">
          <cell r="B119">
            <v>267.92790290869908</v>
          </cell>
          <cell r="C119">
            <v>196.41532611484243</v>
          </cell>
          <cell r="F119">
            <v>2.2732944230483629</v>
          </cell>
        </row>
        <row r="120">
          <cell r="B120">
            <v>269.54750538613047</v>
          </cell>
          <cell r="C120">
            <v>196.87135632563133</v>
          </cell>
          <cell r="F120">
            <v>2.2786148420532601</v>
          </cell>
        </row>
        <row r="121">
          <cell r="B121">
            <v>271.17689822938945</v>
          </cell>
          <cell r="C121">
            <v>197.32844533135884</v>
          </cell>
          <cell r="F121">
            <v>2.2839477129685219</v>
          </cell>
        </row>
        <row r="122">
          <cell r="B122">
            <v>272.81614062044468</v>
          </cell>
          <cell r="C122">
            <v>197.78659559029785</v>
          </cell>
          <cell r="F122">
            <v>2.289293064936603</v>
          </cell>
        </row>
        <row r="123">
          <cell r="B123">
            <v>274.46529209901507</v>
          </cell>
          <cell r="C123">
            <v>198.24580956642885</v>
          </cell>
          <cell r="F123">
            <v>2.2946509271681639</v>
          </cell>
        </row>
        <row r="124">
          <cell r="B124">
            <v>276.12441256473221</v>
          </cell>
          <cell r="C124">
            <v>198.70608972945308</v>
          </cell>
          <cell r="F124">
            <v>2.3000213289422287</v>
          </cell>
        </row>
        <row r="125">
          <cell r="B125">
            <v>277.79356227931612</v>
          </cell>
          <cell r="C125">
            <v>199.16743855480584</v>
          </cell>
          <cell r="F125">
            <v>2.3054042996063471</v>
          </cell>
        </row>
        <row r="126">
          <cell r="B126">
            <v>279.47280186876412</v>
          </cell>
          <cell r="C126">
            <v>199.62985852366984</v>
          </cell>
          <cell r="F126">
            <v>2.3107998685767535</v>
          </cell>
        </row>
        <row r="127">
          <cell r="B127">
            <v>281.16219232555272</v>
          </cell>
          <cell r="C127">
            <v>200.09335212298845</v>
          </cell>
          <cell r="F127">
            <v>2.316208065338528</v>
          </cell>
        </row>
        <row r="128">
          <cell r="B128">
            <v>282.86179501085303</v>
          </cell>
          <cell r="C128">
            <v>200.5579218454792</v>
          </cell>
          <cell r="F128">
            <v>2.3216289194457573</v>
          </cell>
        </row>
        <row r="129">
          <cell r="B129">
            <v>284.57167165675946</v>
          </cell>
          <cell r="C129">
            <v>201.02357018964713</v>
          </cell>
          <cell r="F129">
            <v>2.3270624605216974</v>
          </cell>
        </row>
        <row r="130">
          <cell r="B130">
            <v>286.2918843685319</v>
          </cell>
          <cell r="C130">
            <v>201.49029965979815</v>
          </cell>
          <cell r="F130">
            <v>2.3325087182589361</v>
          </cell>
        </row>
        <row r="131">
          <cell r="B131">
            <v>288.02249562685154</v>
          </cell>
          <cell r="C131">
            <v>201.94726564185683</v>
          </cell>
          <cell r="F131">
            <v>2.3378826174225127</v>
          </cell>
        </row>
        <row r="132">
          <cell r="B132">
            <v>289.76356829009029</v>
          </cell>
          <cell r="C132">
            <v>202.40526799097196</v>
          </cell>
          <cell r="F132">
            <v>2.3432688975868521</v>
          </cell>
        </row>
        <row r="133">
          <cell r="B133">
            <v>291.5151655965937</v>
          </cell>
          <cell r="C133">
            <v>202.86430905755191</v>
          </cell>
          <cell r="F133">
            <v>2.3486675872767138</v>
          </cell>
        </row>
        <row r="134">
          <cell r="B134">
            <v>293.27735116697812</v>
          </cell>
          <cell r="C134">
            <v>203.32439119733561</v>
          </cell>
          <cell r="F134">
            <v>2.3540787150825753</v>
          </cell>
        </row>
        <row r="135">
          <cell r="B135">
            <v>295.05018900644126</v>
          </cell>
          <cell r="C135">
            <v>203.7855167714047</v>
          </cell>
          <cell r="F135">
            <v>2.3595023096607846</v>
          </cell>
        </row>
        <row r="136">
          <cell r="B136">
            <v>296.83374350708715</v>
          </cell>
          <cell r="C136">
            <v>204.24768814619551</v>
          </cell>
          <cell r="F136">
            <v>2.3649383997337114</v>
          </cell>
        </row>
        <row r="137">
          <cell r="B137">
            <v>298.62807945026486</v>
          </cell>
          <cell r="C137">
            <v>204.71090769351133</v>
          </cell>
          <cell r="F137">
            <v>2.370387014089899</v>
          </cell>
        </row>
        <row r="138">
          <cell r="B138">
            <v>300.43326200892147</v>
          </cell>
          <cell r="C138">
            <v>205.17517779053455</v>
          </cell>
          <cell r="F138">
            <v>2.3758481815842174</v>
          </cell>
        </row>
        <row r="139">
          <cell r="B139">
            <v>302.24935674996919</v>
          </cell>
          <cell r="C139">
            <v>205.64050081983879</v>
          </cell>
          <cell r="F139">
            <v>2.3813219311380154</v>
          </cell>
        </row>
        <row r="140">
          <cell r="B140">
            <v>304.076429636667</v>
          </cell>
          <cell r="C140">
            <v>206.10687916940122</v>
          </cell>
          <cell r="F140">
            <v>2.3868082917392743</v>
          </cell>
        </row>
        <row r="141">
          <cell r="B141">
            <v>305.91454703101641</v>
          </cell>
          <cell r="C141">
            <v>206.57431523261479</v>
          </cell>
          <cell r="F141">
            <v>2.3923072924427613</v>
          </cell>
        </row>
        <row r="142">
          <cell r="B142">
            <v>307.76377569617176</v>
          </cell>
          <cell r="C142">
            <v>207.04281140830045</v>
          </cell>
          <cell r="F142">
            <v>2.39781896237018</v>
          </cell>
        </row>
        <row r="143">
          <cell r="B143">
            <v>309.62418279886538</v>
          </cell>
          <cell r="C143">
            <v>207.50163896315578</v>
          </cell>
          <cell r="F143">
            <v>2.4031820782557931</v>
          </cell>
        </row>
        <row r="144">
          <cell r="B144">
            <v>311.495835911847</v>
          </cell>
          <cell r="C144">
            <v>207.96148332571221</v>
          </cell>
          <cell r="F144">
            <v>2.4085571896308298</v>
          </cell>
        </row>
        <row r="145">
          <cell r="B145">
            <v>313.37880301633817</v>
          </cell>
          <cell r="C145">
            <v>208.42234674931717</v>
          </cell>
          <cell r="F145">
            <v>2.4139443233251718</v>
          </cell>
        </row>
        <row r="146">
          <cell r="B146">
            <v>315.27315250450141</v>
          </cell>
          <cell r="C146">
            <v>208.88423149231176</v>
          </cell>
          <cell r="F146">
            <v>2.419343506228711</v>
          </cell>
        </row>
        <row r="147">
          <cell r="B147">
            <v>317.17895318192427</v>
          </cell>
          <cell r="C147">
            <v>209.3471398180418</v>
          </cell>
          <cell r="F147">
            <v>2.4247547652914823</v>
          </cell>
        </row>
        <row r="148">
          <cell r="B148">
            <v>319.09627427011861</v>
          </cell>
          <cell r="C148">
            <v>209.81107399486888</v>
          </cell>
          <cell r="F148">
            <v>2.4301781275237988</v>
          </cell>
        </row>
        <row r="149">
          <cell r="B149">
            <v>321.02518540903463</v>
          </cell>
          <cell r="C149">
            <v>210.2760362961815</v>
          </cell>
          <cell r="F149">
            <v>2.4356136199963871</v>
          </cell>
        </row>
        <row r="150">
          <cell r="B150">
            <v>322.96575665959051</v>
          </cell>
          <cell r="C150">
            <v>210.74202900040626</v>
          </cell>
          <cell r="F150">
            <v>2.4410612698405219</v>
          </cell>
        </row>
        <row r="151">
          <cell r="B151">
            <v>324.91805850621682</v>
          </cell>
          <cell r="C151">
            <v>211.20905439101895</v>
          </cell>
          <cell r="F151">
            <v>2.4465211042481605</v>
          </cell>
        </row>
        <row r="152">
          <cell r="B152">
            <v>326.88216185941701</v>
          </cell>
          <cell r="C152">
            <v>211.67711475655577</v>
          </cell>
          <cell r="F152">
            <v>2.4519931504720804</v>
          </cell>
        </row>
        <row r="153">
          <cell r="B153">
            <v>328.8581380583426</v>
          </cell>
          <cell r="C153">
            <v>212.14621239062456</v>
          </cell>
          <cell r="F153">
            <v>2.4574774358260143</v>
          </cell>
        </row>
        <row r="154">
          <cell r="B154">
            <v>330.84605887338461</v>
          </cell>
          <cell r="C154">
            <v>212.61634959191602</v>
          </cell>
          <cell r="F154">
            <v>2.4629739876847867</v>
          </cell>
        </row>
        <row r="155">
          <cell r="B155">
            <v>332.84599650878027</v>
          </cell>
          <cell r="C155">
            <v>213.07888091182747</v>
          </cell>
          <cell r="F155">
            <v>2.4681826378384035</v>
          </cell>
        </row>
        <row r="156">
          <cell r="B156">
            <v>334.85802360523553</v>
          </cell>
          <cell r="C156">
            <v>213.54241843480051</v>
          </cell>
          <cell r="F156">
            <v>2.4734023031454724</v>
          </cell>
        </row>
        <row r="157">
          <cell r="B157">
            <v>336.88221324256352</v>
          </cell>
          <cell r="C157">
            <v>214.00696434975629</v>
          </cell>
          <cell r="F157">
            <v>2.4786330069006288</v>
          </cell>
        </row>
        <row r="158">
          <cell r="B158">
            <v>338.91863894233899</v>
          </cell>
          <cell r="C158">
            <v>214.47252085037783</v>
          </cell>
          <cell r="F158">
            <v>2.4838747724477708</v>
          </cell>
        </row>
        <row r="159">
          <cell r="B159">
            <v>340.96737467056857</v>
          </cell>
          <cell r="C159">
            <v>214.93909013512035</v>
          </cell>
          <cell r="F159">
            <v>2.4891276231801638</v>
          </cell>
        </row>
        <row r="160">
          <cell r="B160">
            <v>343.0284948403775</v>
          </cell>
          <cell r="C160">
            <v>215.40667440722163</v>
          </cell>
          <cell r="F160">
            <v>2.4943915825405454</v>
          </cell>
        </row>
        <row r="161">
          <cell r="B161">
            <v>345.10207431471224</v>
          </cell>
          <cell r="C161">
            <v>215.87527587471243</v>
          </cell>
          <cell r="F161">
            <v>2.4996666740212286</v>
          </cell>
        </row>
        <row r="162">
          <cell r="B162">
            <v>347.18818840905976</v>
          </cell>
          <cell r="C162">
            <v>216.34489675042695</v>
          </cell>
          <cell r="F162">
            <v>2.5049529211642083</v>
          </cell>
        </row>
        <row r="163">
          <cell r="B163">
            <v>349.28691289418305</v>
          </cell>
          <cell r="C163">
            <v>216.81553925201325</v>
          </cell>
          <cell r="F163">
            <v>2.5102503475612647</v>
          </cell>
        </row>
        <row r="164">
          <cell r="B164">
            <v>351.3983239988732</v>
          </cell>
          <cell r="C164">
            <v>217.28720560194367</v>
          </cell>
          <cell r="F164">
            <v>2.5155589768540705</v>
          </cell>
        </row>
        <row r="165">
          <cell r="B165">
            <v>353.52249841271822</v>
          </cell>
          <cell r="C165">
            <v>217.75989802752542</v>
          </cell>
          <cell r="F165">
            <v>2.5208788327342946</v>
          </cell>
        </row>
        <row r="166">
          <cell r="B166">
            <v>355.65951328888838</v>
          </cell>
          <cell r="C166">
            <v>218.23361876091104</v>
          </cell>
          <cell r="F166">
            <v>2.5262099389437069</v>
          </cell>
        </row>
        <row r="167">
          <cell r="B167">
            <v>357.72612812434687</v>
          </cell>
          <cell r="C167">
            <v>218.70045212737875</v>
          </cell>
          <cell r="F167">
            <v>2.5314135178011798</v>
          </cell>
        </row>
        <row r="168">
          <cell r="B168">
            <v>359.80475134624959</v>
          </cell>
          <cell r="C168">
            <v>219.16828411813398</v>
          </cell>
          <cell r="F168">
            <v>2.5366278151791164</v>
          </cell>
        </row>
        <row r="169">
          <cell r="B169">
            <v>361.89545273119086</v>
          </cell>
          <cell r="C169">
            <v>219.63711686937893</v>
          </cell>
          <cell r="F169">
            <v>2.5418528531559139</v>
          </cell>
        </row>
        <row r="170">
          <cell r="B170">
            <v>363.99830246121275</v>
          </cell>
          <cell r="C170">
            <v>220.10695252188546</v>
          </cell>
          <cell r="F170">
            <v>2.5470886538554471</v>
          </cell>
        </row>
        <row r="171">
          <cell r="B171">
            <v>366.11337112616093</v>
          </cell>
          <cell r="C171">
            <v>220.57779322100484</v>
          </cell>
          <cell r="F171">
            <v>2.5523352394471628</v>
          </cell>
        </row>
        <row r="172">
          <cell r="B172">
            <v>368.24072972605438</v>
          </cell>
          <cell r="C172">
            <v>221.04964111667758</v>
          </cell>
          <cell r="F172">
            <v>2.5575926321461733</v>
          </cell>
        </row>
        <row r="173">
          <cell r="B173">
            <v>370.38044967346877</v>
          </cell>
          <cell r="C173">
            <v>221.52249836344316</v>
          </cell>
          <cell r="F173">
            <v>2.56286085421335</v>
          </cell>
        </row>
        <row r="174">
          <cell r="B174">
            <v>372.53260279593354</v>
          </cell>
          <cell r="C174">
            <v>221.99636712045003</v>
          </cell>
          <cell r="F174">
            <v>2.5681399279554182</v>
          </cell>
        </row>
        <row r="175">
          <cell r="B175">
            <v>374.69726133834314</v>
          </cell>
          <cell r="C175">
            <v>222.47124955146529</v>
          </cell>
          <cell r="F175">
            <v>2.5734298757250516</v>
          </cell>
        </row>
        <row r="176">
          <cell r="B176">
            <v>376.87449796538232</v>
          </cell>
          <cell r="C176">
            <v>222.94714782488469</v>
          </cell>
          <cell r="F176">
            <v>2.5787307199209661</v>
          </cell>
        </row>
        <row r="177">
          <cell r="B177">
            <v>379.06438576396511</v>
          </cell>
          <cell r="C177">
            <v>223.4240641137425</v>
          </cell>
          <cell r="F177">
            <v>2.5840424829880164</v>
          </cell>
        </row>
        <row r="178">
          <cell r="B178">
            <v>381.26699824568851</v>
          </cell>
          <cell r="C178">
            <v>223.9020005957214</v>
          </cell>
          <cell r="F178">
            <v>2.5893651874172878</v>
          </cell>
        </row>
        <row r="179">
          <cell r="B179">
            <v>383.48240934930004</v>
          </cell>
          <cell r="C179">
            <v>224.37366820194069</v>
          </cell>
          <cell r="F179">
            <v>2.5944082870946334</v>
          </cell>
        </row>
        <row r="180">
          <cell r="B180">
            <v>385.71069344317976</v>
          </cell>
          <cell r="C180">
            <v>224.84632941397933</v>
          </cell>
          <cell r="F180">
            <v>2.5994612088142612</v>
          </cell>
        </row>
        <row r="181">
          <cell r="B181">
            <v>387.95192532783682</v>
          </cell>
          <cell r="C181">
            <v>225.31998632494805</v>
          </cell>
          <cell r="F181">
            <v>2.6045239717057789</v>
          </cell>
        </row>
        <row r="182">
          <cell r="B182">
            <v>390.20618023842025</v>
          </cell>
          <cell r="C182">
            <v>225.79464103236685</v>
          </cell>
          <cell r="F182">
            <v>2.60959659493605</v>
          </cell>
        </row>
        <row r="183">
          <cell r="B183">
            <v>392.47353384724471</v>
          </cell>
          <cell r="C183">
            <v>226.27029563817439</v>
          </cell>
          <cell r="F183">
            <v>2.6146790977092684</v>
          </cell>
        </row>
        <row r="184">
          <cell r="B184">
            <v>394.75406226633049</v>
          </cell>
          <cell r="C184">
            <v>226.74695224873719</v>
          </cell>
          <cell r="F184">
            <v>2.6197714992670309</v>
          </cell>
        </row>
        <row r="185">
          <cell r="B185">
            <v>397.04784204995872</v>
          </cell>
          <cell r="C185">
            <v>227.22461297485901</v>
          </cell>
          <cell r="F185">
            <v>2.6248738188884091</v>
          </cell>
        </row>
        <row r="186">
          <cell r="B186">
            <v>399.35495019724095</v>
          </cell>
          <cell r="C186">
            <v>227.70327993179018</v>
          </cell>
          <cell r="F186">
            <v>2.6299860758900229</v>
          </cell>
        </row>
        <row r="187">
          <cell r="B187">
            <v>401.67546415470406</v>
          </cell>
          <cell r="C187">
            <v>228.18295523923697</v>
          </cell>
          <cell r="F187">
            <v>2.6351082896261135</v>
          </cell>
        </row>
        <row r="188">
          <cell r="B188">
            <v>404.00946181889003</v>
          </cell>
          <cell r="C188">
            <v>228.66364102137103</v>
          </cell>
          <cell r="F188">
            <v>2.6402404794886176</v>
          </cell>
        </row>
        <row r="189">
          <cell r="B189">
            <v>406.3570215389708</v>
          </cell>
          <cell r="C189">
            <v>229.14533940683867</v>
          </cell>
          <cell r="F189">
            <v>2.6453826649072392</v>
          </cell>
        </row>
        <row r="190">
          <cell r="B190">
            <v>408.71822211937825</v>
          </cell>
          <cell r="C190">
            <v>229.62805252877044</v>
          </cell>
          <cell r="F190">
            <v>2.6505348653495227</v>
          </cell>
        </row>
        <row r="191">
          <cell r="B191">
            <v>411.09314282244981</v>
          </cell>
          <cell r="C191">
            <v>230.10632842772247</v>
          </cell>
          <cell r="F191">
            <v>2.6551333521534075</v>
          </cell>
        </row>
        <row r="192">
          <cell r="B192">
            <v>413.48186337108888</v>
          </cell>
          <cell r="C192">
            <v>230.58560049344507</v>
          </cell>
          <cell r="F192">
            <v>2.6597398170002005</v>
          </cell>
        </row>
        <row r="193">
          <cell r="B193">
            <v>415.88446395144121</v>
          </cell>
          <cell r="C193">
            <v>231.06587080078299</v>
          </cell>
          <cell r="F193">
            <v>2.6643542737312305</v>
          </cell>
        </row>
        <row r="194">
          <cell r="B194">
            <v>418.30102521558666</v>
          </cell>
          <cell r="C194">
            <v>231.54714142890248</v>
          </cell>
          <cell r="F194">
            <v>2.6689767362118406</v>
          </cell>
        </row>
        <row r="195">
          <cell r="B195">
            <v>420.73162828424648</v>
          </cell>
          <cell r="C195">
            <v>232.02941446130041</v>
          </cell>
          <cell r="F195">
            <v>2.6736072183314286</v>
          </cell>
        </row>
        <row r="196">
          <cell r="B196">
            <v>423.17635474950646</v>
          </cell>
          <cell r="C196">
            <v>232.51269198581318</v>
          </cell>
          <cell r="F196">
            <v>2.6782457340034895</v>
          </cell>
        </row>
        <row r="197">
          <cell r="B197">
            <v>425.63528667755588</v>
          </cell>
          <cell r="C197">
            <v>232.99697609462581</v>
          </cell>
          <cell r="F197">
            <v>2.6828922971656577</v>
          </cell>
        </row>
        <row r="198">
          <cell r="B198">
            <v>428.10850661144241</v>
          </cell>
          <cell r="C198">
            <v>233.48226888428096</v>
          </cell>
          <cell r="F198">
            <v>2.6875469217797479</v>
          </cell>
        </row>
        <row r="199">
          <cell r="B199">
            <v>430.59609757384288</v>
          </cell>
          <cell r="C199">
            <v>233.96857245568802</v>
          </cell>
          <cell r="F199">
            <v>2.6922096218317977</v>
          </cell>
        </row>
        <row r="200">
          <cell r="B200">
            <v>433.09814306985027</v>
          </cell>
          <cell r="C200">
            <v>234.45588891413226</v>
          </cell>
          <cell r="F200">
            <v>2.6968804113321094</v>
          </cell>
        </row>
        <row r="201">
          <cell r="B201">
            <v>435.61472708977681</v>
          </cell>
          <cell r="C201">
            <v>234.94422036928387</v>
          </cell>
          <cell r="F201">
            <v>2.7015593043152926</v>
          </cell>
        </row>
        <row r="202">
          <cell r="B202">
            <v>438.14593411197365</v>
          </cell>
          <cell r="C202">
            <v>235.43356893520712</v>
          </cell>
          <cell r="F202">
            <v>2.7062463148403069</v>
          </cell>
        </row>
        <row r="203">
          <cell r="B203">
            <v>440.69184910566634</v>
          </cell>
          <cell r="C203">
            <v>235.92010131714585</v>
          </cell>
          <cell r="F203">
            <v>2.7107133756643873</v>
          </cell>
        </row>
        <row r="204">
          <cell r="B204">
            <v>443.25255753380742</v>
          </cell>
          <cell r="C204">
            <v>236.40763913666828</v>
          </cell>
          <cell r="F204">
            <v>2.7151878100347324</v>
          </cell>
        </row>
        <row r="205">
          <cell r="B205">
            <v>445.82814535594514</v>
          </cell>
          <cell r="C205">
            <v>236.89618447154925</v>
          </cell>
          <cell r="F205">
            <v>2.7196696301224734</v>
          </cell>
        </row>
        <row r="206">
          <cell r="B206">
            <v>448.41869903110904</v>
          </cell>
          <cell r="C206">
            <v>237.38573940385737</v>
          </cell>
          <cell r="F206">
            <v>2.7241588481188321</v>
          </cell>
        </row>
        <row r="207">
          <cell r="B207">
            <v>451.02430552071235</v>
          </cell>
          <cell r="C207">
            <v>237.87630601996395</v>
          </cell>
          <cell r="F207">
            <v>2.7286554762351538</v>
          </cell>
        </row>
        <row r="208">
          <cell r="B208">
            <v>453.64505229147107</v>
          </cell>
          <cell r="C208">
            <v>238.36788641055188</v>
          </cell>
          <cell r="F208">
            <v>2.7331595267029405</v>
          </cell>
        </row>
        <row r="209">
          <cell r="B209">
            <v>456.28102731834008</v>
          </cell>
          <cell r="C209">
            <v>238.86048267062446</v>
          </cell>
          <cell r="F209">
            <v>2.7376710117738834</v>
          </cell>
        </row>
        <row r="210">
          <cell r="B210">
            <v>458.93231908746645</v>
          </cell>
          <cell r="C210">
            <v>239.35409689951445</v>
          </cell>
          <cell r="F210">
            <v>2.7421899437198975</v>
          </cell>
        </row>
        <row r="211">
          <cell r="B211">
            <v>461.59901659915977</v>
          </cell>
          <cell r="C211">
            <v>239.84873120089293</v>
          </cell>
          <cell r="F211">
            <v>2.7467163348331547</v>
          </cell>
        </row>
        <row r="212">
          <cell r="B212">
            <v>464.28120937087965</v>
          </cell>
          <cell r="C212">
            <v>240.34438768277832</v>
          </cell>
          <cell r="F212">
            <v>2.7512501974261161</v>
          </cell>
        </row>
        <row r="213">
          <cell r="B213">
            <v>466.97898744024093</v>
          </cell>
          <cell r="C213">
            <v>240.84106845754533</v>
          </cell>
          <cell r="F213">
            <v>2.7557915438315672</v>
          </cell>
        </row>
        <row r="214">
          <cell r="B214">
            <v>469.69244136803593</v>
          </cell>
          <cell r="C214">
            <v>241.33877564193398</v>
          </cell>
          <cell r="F214">
            <v>2.7603403864026497</v>
          </cell>
        </row>
        <row r="215">
          <cell r="B215">
            <v>472.34815071889614</v>
          </cell>
          <cell r="C215">
            <v>241.83890384444527</v>
          </cell>
          <cell r="F215">
            <v>2.7649282340797861</v>
          </cell>
        </row>
        <row r="216">
          <cell r="B216">
            <v>475.0188758365328</v>
          </cell>
          <cell r="C216">
            <v>242.34006846648046</v>
          </cell>
          <cell r="F216">
            <v>2.7695237070289402</v>
          </cell>
        </row>
        <row r="217">
          <cell r="B217">
            <v>477.70470162227434</v>
          </cell>
          <cell r="C217">
            <v>242.8422716558197</v>
          </cell>
          <cell r="F217">
            <v>2.7741268179237619</v>
          </cell>
        </row>
        <row r="218">
          <cell r="B218">
            <v>480.40571345749373</v>
          </cell>
          <cell r="C218">
            <v>243.34551556469401</v>
          </cell>
          <cell r="F218">
            <v>2.7787375794589648</v>
          </cell>
        </row>
        <row r="219">
          <cell r="B219">
            <v>483.12199720632253</v>
          </cell>
          <cell r="C219">
            <v>243.84980234979449</v>
          </cell>
          <cell r="F219">
            <v>2.7833560043503622</v>
          </cell>
        </row>
        <row r="220">
          <cell r="B220">
            <v>485.85363921838069</v>
          </cell>
          <cell r="C220">
            <v>244.35513417228157</v>
          </cell>
          <cell r="F220">
            <v>2.7879821053349021</v>
          </cell>
        </row>
        <row r="221">
          <cell r="B221">
            <v>488.60072633152134</v>
          </cell>
          <cell r="C221">
            <v>244.86151319779427</v>
          </cell>
          <cell r="F221">
            <v>2.7926158951707012</v>
          </cell>
        </row>
        <row r="222">
          <cell r="B222">
            <v>491.36334587459157</v>
          </cell>
          <cell r="C222">
            <v>245.36894159645948</v>
          </cell>
          <cell r="F222">
            <v>2.7972573866370816</v>
          </cell>
        </row>
        <row r="223">
          <cell r="B223">
            <v>494.14158567020843</v>
          </cell>
          <cell r="C223">
            <v>245.87742154290126</v>
          </cell>
          <cell r="F223">
            <v>2.8019065925346047</v>
          </cell>
        </row>
        <row r="224">
          <cell r="B224">
            <v>496.93553403755078</v>
          </cell>
          <cell r="C224">
            <v>246.38695521625019</v>
          </cell>
          <cell r="F224">
            <v>2.8065635256851085</v>
          </cell>
        </row>
        <row r="225">
          <cell r="B225">
            <v>499.74527979516699</v>
          </cell>
          <cell r="C225">
            <v>246.89754480015262</v>
          </cell>
          <cell r="F225">
            <v>2.8112281989317403</v>
          </cell>
        </row>
        <row r="226">
          <cell r="B226">
            <v>502.57091226379839</v>
          </cell>
          <cell r="C226">
            <v>247.40919248278013</v>
          </cell>
          <cell r="F226">
            <v>2.8159006251389909</v>
          </cell>
        </row>
        <row r="227">
          <cell r="B227">
            <v>505.41252126921881</v>
          </cell>
          <cell r="C227">
            <v>247.92903681111099</v>
          </cell>
          <cell r="F227">
            <v>2.8205502274907825</v>
          </cell>
        </row>
        <row r="228">
          <cell r="B228">
            <v>508.27019714509004</v>
          </cell>
          <cell r="C228">
            <v>248.44997341141035</v>
          </cell>
          <cell r="F228">
            <v>2.8252075072449077</v>
          </cell>
        </row>
        <row r="229">
          <cell r="B229">
            <v>511.1440307358335</v>
          </cell>
          <cell r="C229">
            <v>248.9720045787077</v>
          </cell>
          <cell r="F229">
            <v>2.8298724770782577</v>
          </cell>
        </row>
        <row r="230">
          <cell r="B230">
            <v>514.03411339951822</v>
          </cell>
          <cell r="C230">
            <v>249.49513261285469</v>
          </cell>
          <cell r="F230">
            <v>2.8345451496886573</v>
          </cell>
        </row>
        <row r="231">
          <cell r="B231">
            <v>516.94053701076507</v>
          </cell>
          <cell r="C231">
            <v>250.01935981853532</v>
          </cell>
          <cell r="F231">
            <v>2.8392255377948965</v>
          </cell>
        </row>
        <row r="232">
          <cell r="B232">
            <v>519.86339396366725</v>
          </cell>
          <cell r="C232">
            <v>250.54468850527613</v>
          </cell>
          <cell r="F232">
            <v>2.8439136541367671</v>
          </cell>
        </row>
        <row r="233">
          <cell r="B233">
            <v>522.80277717472779</v>
          </cell>
          <cell r="C233">
            <v>251.07112098745625</v>
          </cell>
          <cell r="F233">
            <v>2.8486095114750971</v>
          </cell>
        </row>
        <row r="234">
          <cell r="B234">
            <v>525.75878008581299</v>
          </cell>
          <cell r="C234">
            <v>251.59865958431774</v>
          </cell>
          <cell r="F234">
            <v>2.8533131225917847</v>
          </cell>
        </row>
        <row r="235">
          <cell r="B235">
            <v>528.731496667123</v>
          </cell>
          <cell r="C235">
            <v>252.12730661997571</v>
          </cell>
          <cell r="F235">
            <v>2.8580245002898335</v>
          </cell>
        </row>
        <row r="236">
          <cell r="B236">
            <v>531.72102142017934</v>
          </cell>
          <cell r="C236">
            <v>252.65706442342861</v>
          </cell>
          <cell r="F236">
            <v>2.8627436573933873</v>
          </cell>
        </row>
        <row r="237">
          <cell r="B237">
            <v>534.72744938082872</v>
          </cell>
          <cell r="C237">
            <v>253.18793532856844</v>
          </cell>
          <cell r="F237">
            <v>2.8674706067477653</v>
          </cell>
        </row>
        <row r="238">
          <cell r="B238">
            <v>537.75087612226434</v>
          </cell>
          <cell r="C238">
            <v>253.71992167419106</v>
          </cell>
          <cell r="F238">
            <v>2.8722053612194949</v>
          </cell>
        </row>
        <row r="239">
          <cell r="B239">
            <v>540.74926199610366</v>
          </cell>
          <cell r="C239">
            <v>254.26128855244508</v>
          </cell>
          <cell r="F239">
            <v>2.8769423701861823</v>
          </cell>
        </row>
        <row r="240">
          <cell r="B240">
            <v>543.76436623944755</v>
          </cell>
          <cell r="C240">
            <v>254.80381055519598</v>
          </cell>
          <cell r="F240">
            <v>2.8816871917049434</v>
          </cell>
        </row>
        <row r="241">
          <cell r="B241">
            <v>546.79628207041094</v>
          </cell>
          <cell r="C241">
            <v>255.34749014715422</v>
          </cell>
          <cell r="F241">
            <v>2.8864398386606953</v>
          </cell>
        </row>
        <row r="242">
          <cell r="B242">
            <v>549.84510322687333</v>
          </cell>
          <cell r="C242">
            <v>255.89232979828924</v>
          </cell>
          <cell r="F242">
            <v>2.8912003239596067</v>
          </cell>
        </row>
        <row r="243">
          <cell r="B243">
            <v>552.910923969377</v>
          </cell>
          <cell r="C243">
            <v>256.43833198384067</v>
          </cell>
          <cell r="F243">
            <v>2.8959686605291308</v>
          </cell>
        </row>
        <row r="244">
          <cell r="B244">
            <v>555.99383908404116</v>
          </cell>
          <cell r="C244">
            <v>256.98549918432968</v>
          </cell>
          <cell r="F244">
            <v>2.9007448613180422</v>
          </cell>
        </row>
        <row r="245">
          <cell r="B245">
            <v>559.09394388549242</v>
          </cell>
          <cell r="C245">
            <v>257.53383388557017</v>
          </cell>
          <cell r="F245">
            <v>2.9055289392964712</v>
          </cell>
        </row>
        <row r="246">
          <cell r="B246">
            <v>562.21133421981187</v>
          </cell>
          <cell r="C246">
            <v>258.08333857868001</v>
          </cell>
          <cell r="F246">
            <v>2.9103209074559393</v>
          </cell>
        </row>
        <row r="247">
          <cell r="B247">
            <v>565.34610646749809</v>
          </cell>
          <cell r="C247">
            <v>258.63401576009244</v>
          </cell>
          <cell r="F247">
            <v>2.9151207788093942</v>
          </cell>
        </row>
        <row r="248">
          <cell r="B248">
            <v>568.4983575464471</v>
          </cell>
          <cell r="C248">
            <v>259.18586793156737</v>
          </cell>
          <cell r="F248">
            <v>2.9199285663912451</v>
          </cell>
        </row>
        <row r="249">
          <cell r="B249">
            <v>571.66818491494882</v>
          </cell>
          <cell r="C249">
            <v>259.73889760020279</v>
          </cell>
          <cell r="F249">
            <v>2.9247442832573989</v>
          </cell>
        </row>
        <row r="250">
          <cell r="B250">
            <v>574.85568657469992</v>
          </cell>
          <cell r="C250">
            <v>260.29310727844609</v>
          </cell>
          <cell r="F250">
            <v>2.9295679424852956</v>
          </cell>
        </row>
        <row r="251">
          <cell r="B251">
            <v>578.06096107383416</v>
          </cell>
          <cell r="C251">
            <v>260.85926756007507</v>
          </cell>
          <cell r="F251">
            <v>2.9344084151188023</v>
          </cell>
        </row>
        <row r="252">
          <cell r="B252">
            <v>581.28410750996875</v>
          </cell>
          <cell r="C252">
            <v>261.42665928985053</v>
          </cell>
          <cell r="F252">
            <v>2.939256885578533</v>
          </cell>
        </row>
        <row r="253">
          <cell r="B253">
            <v>584.52522553326867</v>
          </cell>
          <cell r="C253">
            <v>261.99528514627991</v>
          </cell>
          <cell r="F253">
            <v>2.9441133670791526</v>
          </cell>
        </row>
        <row r="254">
          <cell r="B254">
            <v>587.78441534952697</v>
          </cell>
          <cell r="C254">
            <v>262.56514781369663</v>
          </cell>
          <cell r="F254">
            <v>2.948977872857161</v>
          </cell>
        </row>
        <row r="255">
          <cell r="B255">
            <v>591.06177772326339</v>
          </cell>
          <cell r="C255">
            <v>263.13624998227283</v>
          </cell>
          <cell r="F255">
            <v>2.9538504161709276</v>
          </cell>
        </row>
        <row r="256">
          <cell r="B256">
            <v>594.3574139808394</v>
          </cell>
          <cell r="C256">
            <v>263.70859434803197</v>
          </cell>
          <cell r="F256">
            <v>2.9587310103007285</v>
          </cell>
        </row>
        <row r="257">
          <cell r="B257">
            <v>597.6714260135908</v>
          </cell>
          <cell r="C257">
            <v>264.28218361286162</v>
          </cell>
          <cell r="F257">
            <v>2.9636196685487834</v>
          </cell>
        </row>
        <row r="258">
          <cell r="B258">
            <v>601.00391628097827</v>
          </cell>
          <cell r="C258">
            <v>264.85702048452612</v>
          </cell>
          <cell r="F258">
            <v>2.9685164042392902</v>
          </cell>
        </row>
        <row r="259">
          <cell r="B259">
            <v>604.35498781375486</v>
          </cell>
          <cell r="C259">
            <v>265.43310767667953</v>
          </cell>
          <cell r="F259">
            <v>2.9734212307184622</v>
          </cell>
        </row>
        <row r="260">
          <cell r="B260">
            <v>607.7247442171514</v>
          </cell>
          <cell r="C260">
            <v>266.01044790887835</v>
          </cell>
          <cell r="F260">
            <v>2.9783341613545646</v>
          </cell>
        </row>
        <row r="261">
          <cell r="B261">
            <v>611.11328967407974</v>
          </cell>
          <cell r="C261">
            <v>266.58904390659427</v>
          </cell>
          <cell r="F261">
            <v>2.9832552095379512</v>
          </cell>
        </row>
        <row r="262">
          <cell r="B262">
            <v>614.52072894835374</v>
          </cell>
          <cell r="C262">
            <v>267.16889840122712</v>
          </cell>
          <cell r="F262">
            <v>2.9881843886810961</v>
          </cell>
        </row>
        <row r="263">
          <cell r="B263">
            <v>617.89897497520235</v>
          </cell>
          <cell r="C263">
            <v>267.76069984545796</v>
          </cell>
          <cell r="F263">
            <v>2.9931091016997291</v>
          </cell>
        </row>
        <row r="264">
          <cell r="B264">
            <v>621.29579246055562</v>
          </cell>
          <cell r="C264">
            <v>268.35381217936003</v>
          </cell>
          <cell r="F264">
            <v>2.9980419309505488</v>
          </cell>
        </row>
        <row r="265">
          <cell r="B265">
            <v>624.71128349853825</v>
          </cell>
          <cell r="C265">
            <v>268.94823830666354</v>
          </cell>
          <cell r="F265">
            <v>3.0029828898096089</v>
          </cell>
        </row>
        <row r="266">
          <cell r="B266">
            <v>628.1455507445238</v>
          </cell>
          <cell r="C266">
            <v>269.54398113753075</v>
          </cell>
          <cell r="F266">
            <v>3.0079319916750076</v>
          </cell>
        </row>
        <row r="267">
          <cell r="B267">
            <v>631.59869741822001</v>
          </cell>
          <cell r="C267">
            <v>270.14104358857008</v>
          </cell>
          <cell r="F267">
            <v>3.012889249966924</v>
          </cell>
        </row>
        <row r="268">
          <cell r="B268">
            <v>635.07082730677132</v>
          </cell>
          <cell r="C268">
            <v>270.73942858285056</v>
          </cell>
          <cell r="F268">
            <v>3.0178546781276538</v>
          </cell>
        </row>
        <row r="269">
          <cell r="B269">
            <v>638.56204476787821</v>
          </cell>
          <cell r="C269">
            <v>271.33913904991601</v>
          </cell>
          <cell r="F269">
            <v>3.0228282896216476</v>
          </cell>
        </row>
        <row r="270">
          <cell r="B270">
            <v>642.07245473293369</v>
          </cell>
          <cell r="C270">
            <v>271.94017792579945</v>
          </cell>
          <cell r="F270">
            <v>3.0278100979355456</v>
          </cell>
        </row>
        <row r="271">
          <cell r="B271">
            <v>645.60216271017725</v>
          </cell>
          <cell r="C271">
            <v>272.54254815303744</v>
          </cell>
          <cell r="F271">
            <v>3.0328001165782146</v>
          </cell>
        </row>
        <row r="272">
          <cell r="B272">
            <v>649.15127478786576</v>
          </cell>
          <cell r="C272">
            <v>273.1462526806846</v>
          </cell>
          <cell r="F272">
            <v>3.0377983590807851</v>
          </cell>
        </row>
        <row r="273">
          <cell r="B273">
            <v>652.7198976374624</v>
          </cell>
          <cell r="C273">
            <v>273.75129446432777</v>
          </cell>
          <cell r="F273">
            <v>3.042804838996688</v>
          </cell>
        </row>
        <row r="274">
          <cell r="B274">
            <v>656.30813851684229</v>
          </cell>
          <cell r="C274">
            <v>274.35767646610088</v>
          </cell>
          <cell r="F274">
            <v>3.0478195699016921</v>
          </cell>
        </row>
        <row r="275">
          <cell r="B275">
            <v>659.91610527351668</v>
          </cell>
          <cell r="C275">
            <v>274.97311717065253</v>
          </cell>
          <cell r="F275">
            <v>3.0528509811596467</v>
          </cell>
        </row>
        <row r="276">
          <cell r="B276">
            <v>663.54390634787399</v>
          </cell>
          <cell r="C276">
            <v>275.58993843530254</v>
          </cell>
          <cell r="F276">
            <v>3.057890698388039</v>
          </cell>
        </row>
        <row r="277">
          <cell r="B277">
            <v>667.19165077643947</v>
          </cell>
          <cell r="C277">
            <v>276.20814335693126</v>
          </cell>
          <cell r="F277">
            <v>3.0629387352985575</v>
          </cell>
        </row>
        <row r="278">
          <cell r="B278">
            <v>670.85944819515203</v>
          </cell>
          <cell r="C278">
            <v>276.8277350393659</v>
          </cell>
          <cell r="F278">
            <v>3.0679951056255268</v>
          </cell>
        </row>
        <row r="279">
          <cell r="B279">
            <v>674.54740884265959</v>
          </cell>
          <cell r="C279">
            <v>277.44871659339623</v>
          </cell>
          <cell r="F279">
            <v>3.0730598231259436</v>
          </cell>
        </row>
        <row r="280">
          <cell r="B280">
            <v>678.25564356363236</v>
          </cell>
          <cell r="C280">
            <v>278.07109113679007</v>
          </cell>
          <cell r="F280">
            <v>3.078132901579516</v>
          </cell>
        </row>
        <row r="281">
          <cell r="B281">
            <v>681.98426381209447</v>
          </cell>
          <cell r="C281">
            <v>278.69486179430913</v>
          </cell>
          <cell r="F281">
            <v>3.0832143547886992</v>
          </cell>
        </row>
        <row r="282">
          <cell r="B282">
            <v>685.73338165477367</v>
          </cell>
          <cell r="C282">
            <v>279.32003169772463</v>
          </cell>
          <cell r="F282">
            <v>3.0883041965787341</v>
          </cell>
        </row>
        <row r="283">
          <cell r="B283">
            <v>689.50310977446975</v>
          </cell>
          <cell r="C283">
            <v>279.94660398583289</v>
          </cell>
          <cell r="F283">
            <v>3.0934024407976843</v>
          </cell>
        </row>
        <row r="284">
          <cell r="B284">
            <v>693.29356147344106</v>
          </cell>
          <cell r="C284">
            <v>280.57458180447128</v>
          </cell>
          <cell r="F284">
            <v>3.0985091013164747</v>
          </cell>
        </row>
        <row r="285">
          <cell r="B285">
            <v>697.1048506768102</v>
          </cell>
          <cell r="C285">
            <v>281.20396830653391</v>
          </cell>
          <cell r="F285">
            <v>3.1036241920289283</v>
          </cell>
        </row>
        <row r="286">
          <cell r="B286">
            <v>700.93709193598795</v>
          </cell>
          <cell r="C286">
            <v>281.83476665198742</v>
          </cell>
          <cell r="F286">
            <v>3.1087477268518051</v>
          </cell>
        </row>
        <row r="287">
          <cell r="B287">
            <v>704.79040043211614</v>
          </cell>
          <cell r="C287">
            <v>282.48005636909801</v>
          </cell>
          <cell r="F287">
            <v>3.1138921883315391</v>
          </cell>
        </row>
        <row r="288">
          <cell r="B288">
            <v>708.66489197952978</v>
          </cell>
          <cell r="C288">
            <v>283.12682354345759</v>
          </cell>
          <cell r="F288">
            <v>3.1190451630411142</v>
          </cell>
        </row>
        <row r="289">
          <cell r="B289">
            <v>712.56068302923768</v>
          </cell>
          <cell r="C289">
            <v>283.77507155785662</v>
          </cell>
          <cell r="F289">
            <v>3.1242066650685127</v>
          </cell>
        </row>
        <row r="290">
          <cell r="B290">
            <v>716.47789067242263</v>
          </cell>
          <cell r="C290">
            <v>284.42480380283092</v>
          </cell>
          <cell r="F290">
            <v>3.1293767085250299</v>
          </cell>
        </row>
        <row r="291">
          <cell r="B291">
            <v>720.41663264396061</v>
          </cell>
          <cell r="C291">
            <v>285.07602367667914</v>
          </cell>
          <cell r="F291">
            <v>3.1345553075453139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C"/>
      <sheetName val="RAC_ASSUMP"/>
      <sheetName val="RAC_RATIOS"/>
      <sheetName val="Summary WO-TBS"/>
      <sheetName val="Summary W-TBS"/>
      <sheetName val="Enron Summary W-TBS"/>
      <sheetName val="Shell &amp; Transredes"/>
      <sheetName val="Fin Stmts WO-TBS"/>
      <sheetName val="Current Finance"/>
      <sheetName val="IDC"/>
      <sheetName val="Senior Debt Split"/>
      <sheetName val="Default Payment"/>
      <sheetName val="Consolidated Project Cost"/>
      <sheetName val="Funded Project Cost"/>
    </sheetNames>
    <definedNames>
      <definedName name="EPE_Disc" refersTo="='RAC_ASSUMP'!$C$4"/>
    </definedNames>
    <sheetDataSet>
      <sheetData sheetId="0" refreshError="1"/>
      <sheetData sheetId="1">
        <row r="4">
          <cell r="C4">
            <v>0.19</v>
          </cell>
        </row>
        <row r="5">
          <cell r="G5">
            <v>36251</v>
          </cell>
        </row>
        <row r="15">
          <cell r="C15">
            <v>36770</v>
          </cell>
        </row>
        <row r="16">
          <cell r="C16">
            <v>0.06</v>
          </cell>
        </row>
      </sheetData>
      <sheetData sheetId="2" refreshError="1"/>
      <sheetData sheetId="3" refreshError="1"/>
      <sheetData sheetId="4" refreshError="1"/>
      <sheetData sheetId="5">
        <row r="86">
          <cell r="H86">
            <v>0</v>
          </cell>
          <cell r="I86">
            <v>0</v>
          </cell>
          <cell r="J86">
            <v>0</v>
          </cell>
          <cell r="K86">
            <v>528.10305393820363</v>
          </cell>
          <cell r="L86">
            <v>816.49158541611394</v>
          </cell>
          <cell r="M86">
            <v>1276.8176167338886</v>
          </cell>
          <cell r="N86">
            <v>2412.1075274621471</v>
          </cell>
          <cell r="O86">
            <v>3549.3435917777915</v>
          </cell>
          <cell r="P86">
            <v>4236.8535658367682</v>
          </cell>
          <cell r="Q86">
            <v>4609.0758316410647</v>
          </cell>
          <cell r="R86">
            <v>4763.5501408501214</v>
          </cell>
          <cell r="S86">
            <v>5018.908724994787</v>
          </cell>
          <cell r="T86">
            <v>5234.3993313455712</v>
          </cell>
          <cell r="U86">
            <v>5416.6699760429519</v>
          </cell>
          <cell r="V86">
            <v>5858.6146781432499</v>
          </cell>
          <cell r="W86">
            <v>5827.45000935589</v>
          </cell>
          <cell r="X86">
            <v>5950.4348678972538</v>
          </cell>
          <cell r="Y86">
            <v>6074.7470120398366</v>
          </cell>
          <cell r="Z86">
            <v>6167.016777486695</v>
          </cell>
          <cell r="AA86">
            <v>6415.3062619912744</v>
          </cell>
          <cell r="AB86">
            <v>6845.4965601944023</v>
          </cell>
          <cell r="AC86">
            <v>72370.653018657351</v>
          </cell>
        </row>
        <row r="87">
          <cell r="H87">
            <v>-2535.1591722240005</v>
          </cell>
          <cell r="I87">
            <v>-20621.862997782784</v>
          </cell>
          <cell r="J87">
            <v>8103.5943912575003</v>
          </cell>
          <cell r="K87">
            <v>1191.4920736704557</v>
          </cell>
          <cell r="L87">
            <v>1516.530563810446</v>
          </cell>
          <cell r="M87">
            <v>1069.8301095544841</v>
          </cell>
          <cell r="N87">
            <v>1550.8400460877433</v>
          </cell>
          <cell r="O87">
            <v>339.11822225038725</v>
          </cell>
          <cell r="P87">
            <v>1345.6908280094942</v>
          </cell>
          <cell r="Q87">
            <v>1507.8438696586979</v>
          </cell>
          <cell r="R87">
            <v>2607.5780178731702</v>
          </cell>
          <cell r="S87">
            <v>3905.68303177604</v>
          </cell>
          <cell r="T87">
            <v>4227.8597249698796</v>
          </cell>
          <cell r="U87">
            <v>3825.8968627041604</v>
          </cell>
          <cell r="V87">
            <v>2594.40422969683</v>
          </cell>
          <cell r="W87">
            <v>2465.7012651476521</v>
          </cell>
          <cell r="X87">
            <v>3083.4181664756716</v>
          </cell>
          <cell r="Y87">
            <v>4127.5014287393096</v>
          </cell>
          <cell r="Z87">
            <v>6147.2505890884186</v>
          </cell>
          <cell r="AA87">
            <v>6298.7206836602627</v>
          </cell>
          <cell r="AB87">
            <v>6467.6060409870915</v>
          </cell>
          <cell r="AC87">
            <v>103642.33588925732</v>
          </cell>
        </row>
        <row r="88">
          <cell r="H88">
            <v>-2806.6201620875472</v>
          </cell>
          <cell r="I88">
            <v>-23365.698678844677</v>
          </cell>
          <cell r="J88">
            <v>3805.0575398684809</v>
          </cell>
          <cell r="K88">
            <v>-376.98075746863537</v>
          </cell>
          <cell r="L88">
            <v>-1357.4192123876762</v>
          </cell>
          <cell r="M88">
            <v>-1853.1945611811798</v>
          </cell>
          <cell r="N88">
            <v>-1174.9275475677123</v>
          </cell>
          <cell r="O88">
            <v>-1214.5625545605521</v>
          </cell>
          <cell r="P88">
            <v>-1106.0829790039927</v>
          </cell>
          <cell r="Q88">
            <v>-774.21297729990329</v>
          </cell>
          <cell r="R88">
            <v>754.9047679333305</v>
          </cell>
          <cell r="S88">
            <v>2279.3668615631186</v>
          </cell>
          <cell r="T88">
            <v>2744.3851880749835</v>
          </cell>
          <cell r="U88">
            <v>2749.1695449171111</v>
          </cell>
          <cell r="V88">
            <v>2763.4972932942187</v>
          </cell>
          <cell r="W88">
            <v>2750.9553188438331</v>
          </cell>
          <cell r="X88">
            <v>3494.5592433878828</v>
          </cell>
          <cell r="Y88">
            <v>4943.4190229528995</v>
          </cell>
          <cell r="Z88">
            <v>7708.3808470559152</v>
          </cell>
          <cell r="AA88">
            <v>7997.023194597833</v>
          </cell>
          <cell r="AB88">
            <v>8120.010285116392</v>
          </cell>
          <cell r="AC88">
            <v>98381.242392974149</v>
          </cell>
        </row>
        <row r="89">
          <cell r="H89">
            <v>-76842.786046285619</v>
          </cell>
          <cell r="I89">
            <v>-27451.971820979201</v>
          </cell>
          <cell r="J89">
            <v>32320.470151265377</v>
          </cell>
          <cell r="K89">
            <v>1089.2921503413877</v>
          </cell>
          <cell r="L89">
            <v>4565.9927371599742</v>
          </cell>
          <cell r="M89">
            <v>7057.3274904381797</v>
          </cell>
          <cell r="N89">
            <v>-243.71369729376181</v>
          </cell>
          <cell r="O89">
            <v>10716.623868769584</v>
          </cell>
          <cell r="P89">
            <v>11398.185797346156</v>
          </cell>
          <cell r="Q89">
            <v>10081.688589907895</v>
          </cell>
          <cell r="R89">
            <v>9475.0071034828434</v>
          </cell>
          <cell r="S89">
            <v>10731.42931631903</v>
          </cell>
          <cell r="T89">
            <v>11473.316779320372</v>
          </cell>
          <cell r="U89">
            <v>9371.2346992454859</v>
          </cell>
          <cell r="V89">
            <v>8816.8527477421449</v>
          </cell>
          <cell r="W89">
            <v>11923.184353413948</v>
          </cell>
          <cell r="X89">
            <v>4883.6763738908912</v>
          </cell>
          <cell r="Y89">
            <v>-860.92135037416494</v>
          </cell>
          <cell r="Z89">
            <v>3441.7093461069844</v>
          </cell>
          <cell r="AA89">
            <v>2690.7971598905397</v>
          </cell>
          <cell r="AB89">
            <v>3468.708820053932</v>
          </cell>
          <cell r="AC89">
            <v>3437.8938598862046</v>
          </cell>
        </row>
        <row r="90">
          <cell r="H90">
            <v>-82184.565380597167</v>
          </cell>
          <cell r="I90">
            <v>-71439.533497606666</v>
          </cell>
          <cell r="J90">
            <v>44229.122082391361</v>
          </cell>
          <cell r="K90">
            <v>2431.9065204814115</v>
          </cell>
          <cell r="L90">
            <v>5541.5956739988578</v>
          </cell>
          <cell r="M90">
            <v>7550.7806555453726</v>
          </cell>
          <cell r="N90">
            <v>2544.3063286884162</v>
          </cell>
          <cell r="O90">
            <v>13390.523128237211</v>
          </cell>
          <cell r="P90">
            <v>15874.647212188425</v>
          </cell>
          <cell r="Q90">
            <v>15424.395313907755</v>
          </cell>
          <cell r="R90">
            <v>17601.040030139466</v>
          </cell>
          <cell r="S90">
            <v>21935.387934652976</v>
          </cell>
          <cell r="T90">
            <v>23679.961023710806</v>
          </cell>
          <cell r="U90">
            <v>21362.971082909709</v>
          </cell>
          <cell r="V90">
            <v>20033.368948876443</v>
          </cell>
          <cell r="W90">
            <v>22967.290946761321</v>
          </cell>
          <cell r="X90">
            <v>17412.088651651698</v>
          </cell>
          <cell r="Y90">
            <v>14284.74611335788</v>
          </cell>
          <cell r="Z90">
            <v>23464.357559738015</v>
          </cell>
          <cell r="AA90">
            <v>23401.847300139911</v>
          </cell>
          <cell r="AB90">
            <v>24901.82170635182</v>
          </cell>
          <cell r="AC90">
            <v>277832.12516077503</v>
          </cell>
        </row>
      </sheetData>
      <sheetData sheetId="6" refreshError="1"/>
      <sheetData sheetId="7" refreshError="1"/>
      <sheetData sheetId="8" refreshError="1"/>
      <sheetData sheetId="9">
        <row r="72">
          <cell r="D72">
            <v>1</v>
          </cell>
          <cell r="E72">
            <v>1</v>
          </cell>
          <cell r="F72">
            <v>1</v>
          </cell>
          <cell r="G72">
            <v>1</v>
          </cell>
          <cell r="H72">
            <v>1</v>
          </cell>
          <cell r="I72">
            <v>1</v>
          </cell>
          <cell r="J72">
            <v>1</v>
          </cell>
          <cell r="K72">
            <v>1</v>
          </cell>
          <cell r="L72">
            <v>1</v>
          </cell>
          <cell r="M72">
            <v>1</v>
          </cell>
          <cell r="N72">
            <v>0.99999999999999989</v>
          </cell>
          <cell r="O72">
            <v>0.99999999999999989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0.99999999999999989</v>
          </cell>
          <cell r="W72">
            <v>1.0000000000000002</v>
          </cell>
          <cell r="X72">
            <v>1</v>
          </cell>
          <cell r="Y72">
            <v>1</v>
          </cell>
          <cell r="Z72">
            <v>1.0000000000000002</v>
          </cell>
          <cell r="AA72">
            <v>0.99999999999999978</v>
          </cell>
          <cell r="AB72">
            <v>0.99999999999999967</v>
          </cell>
          <cell r="AC72">
            <v>0.99999999999999944</v>
          </cell>
          <cell r="AD72">
            <v>0.99999999999999967</v>
          </cell>
          <cell r="AE72">
            <v>0.99999999999999967</v>
          </cell>
          <cell r="AF72">
            <v>0.99999999999999967</v>
          </cell>
          <cell r="AG72">
            <v>0.99999999999999989</v>
          </cell>
          <cell r="AH72">
            <v>1.0000000000000002</v>
          </cell>
          <cell r="AI72">
            <v>0.99999999999999989</v>
          </cell>
          <cell r="AJ72">
            <v>0.99999999999999989</v>
          </cell>
          <cell r="AK72">
            <v>0.4661696875240447</v>
          </cell>
          <cell r="AL72">
            <v>0.45795632618115345</v>
          </cell>
          <cell r="AM72">
            <v>0.45007137127913416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C"/>
      <sheetName val="Assm"/>
      <sheetName val="CF"/>
      <sheetName val="RAROC"/>
      <sheetName val="CommonSize"/>
      <sheetName val="BS_IS"/>
      <sheetName val="Returns"/>
      <sheetName val="CS_INC"/>
      <sheetName val="EINC"/>
      <sheetName val="PLRisk"/>
      <sheetName val="Trapped"/>
      <sheetName val="Turnkey"/>
      <sheetName val="Drawdown"/>
      <sheetName val="IDC"/>
      <sheetName val="Debt Amort"/>
      <sheetName val="Taxes"/>
      <sheetName val="Depr"/>
      <sheetName val="Ref1"/>
      <sheetName val="Ref2"/>
      <sheetName val="Ref3"/>
      <sheetName val="Ref4"/>
      <sheetName val="Ref5"/>
      <sheetName val="Transportation"/>
      <sheetName val="Escalation"/>
      <sheetName val="Converge_Model"/>
      <sheetName val="Commit"/>
    </sheetNames>
    <sheetDataSet>
      <sheetData sheetId="0" refreshError="1"/>
      <sheetData sheetId="1">
        <row r="9">
          <cell r="X9">
            <v>90299.349432906354</v>
          </cell>
        </row>
      </sheetData>
      <sheetData sheetId="2"/>
      <sheetData sheetId="3" refreshError="1"/>
      <sheetData sheetId="4"/>
      <sheetData sheetId="5"/>
      <sheetData sheetId="6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C"/>
      <sheetName val="Assm"/>
      <sheetName val="CF"/>
      <sheetName val="Returns"/>
      <sheetName val="EINC"/>
      <sheetName val="PLRisk"/>
      <sheetName val="Trapped"/>
      <sheetName val="Turnkey"/>
      <sheetName val="Drawdown"/>
      <sheetName val="IDC"/>
      <sheetName val="Debt Amort"/>
      <sheetName val="Sudam"/>
      <sheetName val="Taxes"/>
      <sheetName val="Depr"/>
      <sheetName val="CommonSized"/>
      <sheetName val="BS_IS"/>
      <sheetName val="Ref1"/>
      <sheetName val="Ref2"/>
      <sheetName val="Ref3"/>
      <sheetName val="Ref4"/>
      <sheetName val="Ref5"/>
      <sheetName val="Transportation"/>
      <sheetName val="Escalation"/>
      <sheetName val="Converge_Model"/>
      <sheetName val="Commit"/>
    </sheetNames>
    <sheetDataSet>
      <sheetData sheetId="0"/>
      <sheetData sheetId="1"/>
      <sheetData sheetId="2">
        <row r="69">
          <cell r="E69">
            <v>0</v>
          </cell>
          <cell r="F69">
            <v>0</v>
          </cell>
          <cell r="G69">
            <v>417.21067871119703</v>
          </cell>
          <cell r="H69">
            <v>-4130.5970614250182</v>
          </cell>
          <cell r="I69">
            <v>-5096.2121589890303</v>
          </cell>
          <cell r="J69">
            <v>-3710.7094517818705</v>
          </cell>
          <cell r="K69">
            <v>-3914.675271706134</v>
          </cell>
          <cell r="L69">
            <v>-3834.3344081316873</v>
          </cell>
          <cell r="M69">
            <v>-3243.1534261890556</v>
          </cell>
          <cell r="N69">
            <v>255.79218514892727</v>
          </cell>
          <cell r="O69">
            <v>3226.6802065531301</v>
          </cell>
          <cell r="P69">
            <v>4035.7067503916851</v>
          </cell>
          <cell r="Q69">
            <v>4029.1794731838045</v>
          </cell>
          <cell r="R69">
            <v>4093.9521318354864</v>
          </cell>
          <cell r="S69">
            <v>3964.0773063302922</v>
          </cell>
          <cell r="T69">
            <v>5180.9953205863803</v>
          </cell>
          <cell r="U69">
            <v>7805.1064601013477</v>
          </cell>
          <cell r="V69">
            <v>13040.760896122098</v>
          </cell>
          <cell r="W69">
            <v>13367.485422004787</v>
          </cell>
          <cell r="X69">
            <v>13901.969097708774</v>
          </cell>
          <cell r="Y69">
            <v>4342.1869902429989</v>
          </cell>
        </row>
        <row r="73">
          <cell r="E73">
            <v>0</v>
          </cell>
          <cell r="F73">
            <v>0</v>
          </cell>
          <cell r="G73">
            <v>417.21067871119703</v>
          </cell>
          <cell r="H73">
            <v>-5093.3048297904616</v>
          </cell>
          <cell r="I73">
            <v>-6188.1393775633242</v>
          </cell>
          <cell r="J73">
            <v>-4949.2006012692991</v>
          </cell>
          <cell r="K73">
            <v>-5319.4028957335131</v>
          </cell>
          <cell r="L73">
            <v>-5427.6115974941404</v>
          </cell>
          <cell r="M73">
            <v>-5050.2882462936832</v>
          </cell>
          <cell r="N73">
            <v>-1793.9053061842428</v>
          </cell>
          <cell r="O73">
            <v>901.86206944576497</v>
          </cell>
          <cell r="P73">
            <v>1398.8398988310869</v>
          </cell>
          <cell r="Q73">
            <v>1038.3791684724865</v>
          </cell>
          <cell r="R73">
            <v>701.71165622429999</v>
          </cell>
          <cell r="S73">
            <v>3964.0773063302922</v>
          </cell>
          <cell r="T73">
            <v>5180.9953205863803</v>
          </cell>
          <cell r="U73">
            <v>7805.1064601013477</v>
          </cell>
          <cell r="V73">
            <v>13040.760896122098</v>
          </cell>
          <cell r="W73">
            <v>13367.485422004787</v>
          </cell>
          <cell r="X73">
            <v>13901.969097708774</v>
          </cell>
          <cell r="Y73">
            <v>4342.1869902429989</v>
          </cell>
        </row>
      </sheetData>
      <sheetData sheetId="3">
        <row r="26">
          <cell r="E26">
            <v>-3318.9850428247569</v>
          </cell>
          <cell r="F26">
            <v>-11246.271370791097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</row>
        <row r="27"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4.5474735088646412E-13</v>
          </cell>
          <cell r="Q27">
            <v>-2.2737367544323206E-13</v>
          </cell>
          <cell r="R27">
            <v>4.5474735088646412E-13</v>
          </cell>
          <cell r="S27">
            <v>4.5474735088646412E-13</v>
          </cell>
          <cell r="T27">
            <v>4.5474735088646412E-13</v>
          </cell>
          <cell r="U27">
            <v>-9.0949470177292824E-13</v>
          </cell>
          <cell r="V27">
            <v>0</v>
          </cell>
          <cell r="W27">
            <v>0</v>
          </cell>
          <cell r="X27">
            <v>2075.179850788958</v>
          </cell>
          <cell r="Y27">
            <v>3790.6844327620756</v>
          </cell>
          <cell r="Z27">
            <v>10253.50177167539</v>
          </cell>
        </row>
        <row r="28"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</row>
        <row r="29"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96044.567479589488</v>
          </cell>
        </row>
        <row r="30">
          <cell r="E30">
            <v>0</v>
          </cell>
          <cell r="F30">
            <v>0</v>
          </cell>
          <cell r="G30">
            <v>0</v>
          </cell>
          <cell r="H30">
            <v>208.60533935559852</v>
          </cell>
          <cell r="I30">
            <v>-2546.6524148952308</v>
          </cell>
          <cell r="J30">
            <v>-3094.0696887816616</v>
          </cell>
          <cell r="K30">
            <v>-2474.6003006346491</v>
          </cell>
          <cell r="L30">
            <v>-2659.701447866757</v>
          </cell>
          <cell r="M30">
            <v>-2713.8057987470711</v>
          </cell>
          <cell r="N30">
            <v>-2525.1441231468416</v>
          </cell>
          <cell r="O30">
            <v>-896.95265309212118</v>
          </cell>
          <cell r="P30">
            <v>450.93103472288203</v>
          </cell>
          <cell r="Q30">
            <v>699.41994941554367</v>
          </cell>
          <cell r="R30">
            <v>519.18958423624281</v>
          </cell>
          <cell r="S30">
            <v>350.85582811214954</v>
          </cell>
          <cell r="T30">
            <v>1982.0386531651457</v>
          </cell>
          <cell r="U30">
            <v>2590.4976602931911</v>
          </cell>
          <cell r="V30">
            <v>3902.5532300506738</v>
          </cell>
          <cell r="W30">
            <v>6520.3804480610488</v>
          </cell>
          <cell r="X30">
            <v>4608.5628602134357</v>
          </cell>
          <cell r="Y30">
            <v>3160.3001160923113</v>
          </cell>
          <cell r="Z30">
            <v>-8082.4082765538906</v>
          </cell>
        </row>
        <row r="31"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-12.516320361335909</v>
          </cell>
          <cell r="K31">
            <v>-12.516320361335909</v>
          </cell>
          <cell r="L31">
            <v>140.28282453237793</v>
          </cell>
          <cell r="M31">
            <v>325.92700585927764</v>
          </cell>
          <cell r="N31">
            <v>474.4030238973566</v>
          </cell>
          <cell r="O31">
            <v>633.985110769362</v>
          </cell>
          <cell r="P31">
            <v>796.81345869418635</v>
          </cell>
          <cell r="Q31">
            <v>948.32210608299681</v>
          </cell>
          <cell r="R31">
            <v>975.08340318515104</v>
          </cell>
          <cell r="S31">
            <v>933.11820622021844</v>
          </cell>
          <cell r="T31">
            <v>901.9668311660439</v>
          </cell>
          <cell r="U31">
            <v>880.91548147931496</v>
          </cell>
          <cell r="V31">
            <v>761.99316228940609</v>
          </cell>
          <cell r="W31">
            <v>606.56330267181477</v>
          </cell>
          <cell r="X31">
            <v>372.41010886877422</v>
          </cell>
          <cell r="Y31">
            <v>-18.812718014888613</v>
          </cell>
          <cell r="Z31">
            <v>-295.32648962769474</v>
          </cell>
        </row>
        <row r="32"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-301.11249405138699</v>
          </cell>
          <cell r="P32">
            <v>-289.23040388540068</v>
          </cell>
          <cell r="Q32">
            <v>-232.04728620011673</v>
          </cell>
          <cell r="R32">
            <v>-130.09788298192365</v>
          </cell>
          <cell r="S32">
            <v>16.736485301142352</v>
          </cell>
          <cell r="T32">
            <v>221.32334129317383</v>
          </cell>
          <cell r="U32">
            <v>414.08468447094845</v>
          </cell>
          <cell r="V32">
            <v>685.32006008356439</v>
          </cell>
          <cell r="W32">
            <v>997.91185736173588</v>
          </cell>
          <cell r="X32">
            <v>1333.2257214541403</v>
          </cell>
          <cell r="Y32">
            <v>1456.5256413615853</v>
          </cell>
          <cell r="Z32">
            <v>485.50854712052836</v>
          </cell>
        </row>
        <row r="33"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45.166874107708047</v>
          </cell>
          <cell r="P33">
            <v>43.384560582810103</v>
          </cell>
          <cell r="Q33">
            <v>34.807092930017511</v>
          </cell>
          <cell r="R33">
            <v>19.514682447288546</v>
          </cell>
          <cell r="S33">
            <v>-2.5104727951713528</v>
          </cell>
          <cell r="T33">
            <v>-33.198501193976071</v>
          </cell>
          <cell r="U33">
            <v>-62.112702670642264</v>
          </cell>
          <cell r="V33">
            <v>-102.79800901253465</v>
          </cell>
          <cell r="W33">
            <v>-149.68677860426038</v>
          </cell>
          <cell r="X33">
            <v>-199.98385821812104</v>
          </cell>
          <cell r="Y33">
            <v>-218.47884620423778</v>
          </cell>
          <cell r="Z33">
            <v>-72.826282068079252</v>
          </cell>
        </row>
        <row r="34"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</row>
        <row r="35"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</row>
        <row r="36">
          <cell r="E36">
            <v>0</v>
          </cell>
          <cell r="F36">
            <v>0</v>
          </cell>
          <cell r="G36">
            <v>0</v>
          </cell>
          <cell r="H36">
            <v>-110.19817628971738</v>
          </cell>
          <cell r="I36">
            <v>6.3575870936375409</v>
          </cell>
          <cell r="J36">
            <v>6.3575870936375409</v>
          </cell>
          <cell r="K36">
            <v>6.3575870936375409</v>
          </cell>
          <cell r="L36">
            <v>6.3575870936375409</v>
          </cell>
          <cell r="M36">
            <v>6.3575870936375409</v>
          </cell>
          <cell r="N36">
            <v>6.3575870936375409</v>
          </cell>
          <cell r="O36">
            <v>6.3575870936375409</v>
          </cell>
          <cell r="P36">
            <v>6.3575870936375409</v>
          </cell>
          <cell r="Q36">
            <v>6.3575870936375409</v>
          </cell>
          <cell r="R36">
            <v>6.3575870936375409</v>
          </cell>
          <cell r="S36">
            <v>6.3575870936375409</v>
          </cell>
          <cell r="T36">
            <v>6.3575870936375409</v>
          </cell>
          <cell r="U36">
            <v>6.3575870936375409</v>
          </cell>
          <cell r="V36">
            <v>6.3575870936375409</v>
          </cell>
          <cell r="W36">
            <v>6.3575870936375409</v>
          </cell>
          <cell r="X36">
            <v>6.3575870936375409</v>
          </cell>
          <cell r="Y36">
            <v>6.3575870936375409</v>
          </cell>
          <cell r="Z36">
            <v>2.1191956978791802</v>
          </cell>
        </row>
        <row r="37">
          <cell r="E37">
            <v>0</v>
          </cell>
          <cell r="F37">
            <v>0</v>
          </cell>
          <cell r="G37">
            <v>0</v>
          </cell>
          <cell r="H37">
            <v>-841.54128440366969</v>
          </cell>
          <cell r="I37">
            <v>48.550458715596335</v>
          </cell>
          <cell r="J37">
            <v>48.550458715596335</v>
          </cell>
          <cell r="K37">
            <v>48.550458715596335</v>
          </cell>
          <cell r="L37">
            <v>48.550458715596335</v>
          </cell>
          <cell r="M37">
            <v>48.550458715596335</v>
          </cell>
          <cell r="N37">
            <v>48.550458715596335</v>
          </cell>
          <cell r="O37">
            <v>48.550458715596335</v>
          </cell>
          <cell r="P37">
            <v>48.550458715596335</v>
          </cell>
          <cell r="Q37">
            <v>48.550458715596335</v>
          </cell>
          <cell r="R37">
            <v>48.550458715596335</v>
          </cell>
          <cell r="S37">
            <v>48.550458715596335</v>
          </cell>
          <cell r="T37">
            <v>48.550458715596335</v>
          </cell>
          <cell r="U37">
            <v>48.550458715596335</v>
          </cell>
          <cell r="V37">
            <v>48.550458715596335</v>
          </cell>
          <cell r="W37">
            <v>48.550458715596335</v>
          </cell>
          <cell r="X37">
            <v>48.550458715596335</v>
          </cell>
          <cell r="Y37">
            <v>48.550458715596335</v>
          </cell>
          <cell r="Z37">
            <v>16.183486238532112</v>
          </cell>
        </row>
        <row r="38">
          <cell r="E38">
            <v>-22.126566952165046</v>
          </cell>
          <cell r="F38">
            <v>-108.16499290018821</v>
          </cell>
          <cell r="G38">
            <v>-145.65256413615856</v>
          </cell>
          <cell r="H38">
            <v>-137.56930383375411</v>
          </cell>
          <cell r="I38">
            <v>-105.88231034543509</v>
          </cell>
          <cell r="J38">
            <v>-59.031533187398267</v>
          </cell>
          <cell r="K38">
            <v>-19.732878406637262</v>
          </cell>
          <cell r="L38">
            <v>-2.916596272787471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-1.1157656867428174</v>
          </cell>
          <cell r="S38">
            <v>-15.312772262916312</v>
          </cell>
          <cell r="T38">
            <v>-34.983090341168996</v>
          </cell>
          <cell r="U38">
            <v>-59.490826821269224</v>
          </cell>
          <cell r="V38">
            <v>-89.371459160234494</v>
          </cell>
          <cell r="W38">
            <v>-122.14544334233383</v>
          </cell>
          <cell r="X38">
            <v>-141.54256680591033</v>
          </cell>
          <cell r="Y38">
            <v>-145.65256413615847</v>
          </cell>
          <cell r="Z38">
            <v>-115.19975864087627</v>
          </cell>
        </row>
        <row r="39">
          <cell r="E39">
            <v>992.53896903281691</v>
          </cell>
          <cell r="F39">
            <v>3827.7874166006409</v>
          </cell>
          <cell r="G39">
            <v>67.873614366541915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</row>
        <row r="40">
          <cell r="E40">
            <v>-148.88084535492254</v>
          </cell>
          <cell r="F40">
            <v>-574.16811249009606</v>
          </cell>
          <cell r="G40">
            <v>-10.181042154981286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</row>
        <row r="41">
          <cell r="E41">
            <v>-303.96667598851985</v>
          </cell>
          <cell r="F41">
            <v>-1163.8180951478319</v>
          </cell>
          <cell r="G41">
            <v>32.545197012101234</v>
          </cell>
          <cell r="H41">
            <v>403.04424287504224</v>
          </cell>
          <cell r="I41">
            <v>18.860477878394448</v>
          </cell>
          <cell r="J41">
            <v>6.1567288636151103</v>
          </cell>
          <cell r="K41">
            <v>-8.3837734052664619</v>
          </cell>
          <cell r="L41">
            <v>-71.141481405465001</v>
          </cell>
          <cell r="M41">
            <v>-140.90896911734927</v>
          </cell>
          <cell r="N41">
            <v>-195.8450957914385</v>
          </cell>
          <cell r="O41">
            <v>-254.89046793408045</v>
          </cell>
          <cell r="P41">
            <v>-315.13695666626546</v>
          </cell>
          <cell r="Q41">
            <v>-371.19515620012533</v>
          </cell>
          <cell r="R41">
            <v>-380.68400282382754</v>
          </cell>
          <cell r="S41">
            <v>-359.90398751361835</v>
          </cell>
          <cell r="T41">
            <v>-341.09996105462028</v>
          </cell>
          <cell r="U41">
            <v>-324.24309917289344</v>
          </cell>
          <cell r="V41">
            <v>-269.18600710721</v>
          </cell>
          <cell r="W41">
            <v>-199.55058490132447</v>
          </cell>
          <cell r="X41">
            <v>-105.73696751267617</v>
          </cell>
          <cell r="Y41">
            <v>40.536177446470887</v>
          </cell>
          <cell r="Z41">
            <v>145.12271954289909</v>
          </cell>
        </row>
        <row r="52">
          <cell r="E52">
            <v>0</v>
          </cell>
          <cell r="F52">
            <v>-13609.109052366108</v>
          </cell>
          <cell r="G52">
            <v>-23083.082702847471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</row>
        <row r="53">
          <cell r="E53">
            <v>0</v>
          </cell>
          <cell r="F53">
            <v>0</v>
          </cell>
          <cell r="G53">
            <v>36692.191755213578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</row>
        <row r="54">
          <cell r="E54">
            <v>0</v>
          </cell>
          <cell r="F54">
            <v>211.98316251827103</v>
          </cell>
          <cell r="G54">
            <v>933.31551918193577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</row>
        <row r="55">
          <cell r="E55">
            <v>0</v>
          </cell>
          <cell r="F55">
            <v>-52.995790629567757</v>
          </cell>
          <cell r="G55">
            <v>-233.32887979548394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</row>
        <row r="56">
          <cell r="E56">
            <v>0</v>
          </cell>
          <cell r="F56">
            <v>-90.72739368244072</v>
          </cell>
          <cell r="G56">
            <v>-90.72739368244072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</row>
        <row r="57">
          <cell r="E57">
            <v>0</v>
          </cell>
          <cell r="F57">
            <v>-25.256191936317148</v>
          </cell>
          <cell r="G57">
            <v>-225.42592091048408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</row>
        <row r="68">
          <cell r="E68">
            <v>0</v>
          </cell>
          <cell r="F68">
            <v>0</v>
          </cell>
          <cell r="G68">
            <v>-10535.311784358719</v>
          </cell>
          <cell r="H68">
            <v>-211.03273076391088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</row>
        <row r="69"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481.35388418272169</v>
          </cell>
          <cell r="J69">
            <v>545.96360928714716</v>
          </cell>
          <cell r="K69">
            <v>619.24557474371443</v>
          </cell>
          <cell r="L69">
            <v>702.36381201368943</v>
          </cell>
          <cell r="M69">
            <v>796.63859468122655</v>
          </cell>
          <cell r="N69">
            <v>903.56741005231402</v>
          </cell>
          <cell r="O69">
            <v>1024.848745666585</v>
          </cell>
          <cell r="P69">
            <v>1162.4090685536826</v>
          </cell>
          <cell r="Q69">
            <v>1318.4334257802991</v>
          </cell>
          <cell r="R69">
            <v>1495.400152355659</v>
          </cell>
          <cell r="S69">
            <v>1696.1202378055932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</row>
        <row r="70">
          <cell r="E70">
            <v>0</v>
          </cell>
          <cell r="F70">
            <v>0</v>
          </cell>
          <cell r="G70">
            <v>0</v>
          </cell>
          <cell r="H70">
            <v>582.09366123580935</v>
          </cell>
          <cell r="I70">
            <v>1381.8732119190286</v>
          </cell>
          <cell r="J70">
            <v>1317.2634868146029</v>
          </cell>
          <cell r="K70">
            <v>1243.9815213580355</v>
          </cell>
          <cell r="L70">
            <v>1160.8632840880603</v>
          </cell>
          <cell r="M70">
            <v>1066.5885014205228</v>
          </cell>
          <cell r="N70">
            <v>959.65968604943532</v>
          </cell>
          <cell r="O70">
            <v>838.3783504351635</v>
          </cell>
          <cell r="P70">
            <v>700.81802754806608</v>
          </cell>
          <cell r="Q70">
            <v>544.79367032144796</v>
          </cell>
          <cell r="R70">
            <v>367.8269437460873</v>
          </cell>
          <cell r="S70">
            <v>167.10685829614906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</row>
        <row r="71">
          <cell r="E71">
            <v>0</v>
          </cell>
          <cell r="F71">
            <v>0</v>
          </cell>
          <cell r="G71">
            <v>0</v>
          </cell>
          <cell r="H71">
            <v>-87.314049185371402</v>
          </cell>
          <cell r="I71">
            <v>-207.28098178785427</v>
          </cell>
          <cell r="J71">
            <v>-197.58952302219043</v>
          </cell>
          <cell r="K71">
            <v>-186.59722820370533</v>
          </cell>
          <cell r="L71">
            <v>-174.12949261320904</v>
          </cell>
          <cell r="M71">
            <v>-159.98827521307842</v>
          </cell>
          <cell r="N71">
            <v>-143.9489529074153</v>
          </cell>
          <cell r="O71">
            <v>-125.75675256527452</v>
          </cell>
          <cell r="P71">
            <v>-105.1227041322099</v>
          </cell>
          <cell r="Q71">
            <v>-81.719050548217197</v>
          </cell>
          <cell r="R71">
            <v>-55.174041561913093</v>
          </cell>
          <cell r="S71">
            <v>-25.066028744422358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</row>
        <row r="72">
          <cell r="E72">
            <v>0</v>
          </cell>
          <cell r="F72">
            <v>-90.72739368244072</v>
          </cell>
          <cell r="G72">
            <v>-90.72739368244072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</row>
        <row r="73">
          <cell r="E73">
            <v>0</v>
          </cell>
          <cell r="F73">
            <v>33.569135662503065</v>
          </cell>
          <cell r="G73">
            <v>33.569135662503065</v>
          </cell>
          <cell r="H73">
            <v>-183.06845645866204</v>
          </cell>
          <cell r="I73">
            <v>-434.59912514853448</v>
          </cell>
          <cell r="J73">
            <v>-414.27936660319261</v>
          </cell>
          <cell r="K73">
            <v>-391.23218846710216</v>
          </cell>
          <cell r="L73">
            <v>-365.09150284569495</v>
          </cell>
          <cell r="M73">
            <v>-335.44208369675442</v>
          </cell>
          <cell r="N73">
            <v>-301.81297126254736</v>
          </cell>
          <cell r="O73">
            <v>-263.66999121185893</v>
          </cell>
          <cell r="P73">
            <v>-220.40726966386677</v>
          </cell>
          <cell r="Q73">
            <v>-171.33760931609538</v>
          </cell>
          <cell r="R73">
            <v>-115.68157380814445</v>
          </cell>
          <cell r="S73">
            <v>-52.555106934138877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5">
          <cell r="I15">
            <v>124644.75966810348</v>
          </cell>
          <cell r="J15">
            <v>121144.83778353859</v>
          </cell>
          <cell r="K15">
            <v>114824.23755135397</v>
          </cell>
          <cell r="L15">
            <v>108503.63731916936</v>
          </cell>
          <cell r="M15">
            <v>102183.03708698472</v>
          </cell>
          <cell r="N15">
            <v>95862.436854800108</v>
          </cell>
          <cell r="O15">
            <v>89541.83662261549</v>
          </cell>
          <cell r="P15">
            <v>83221.236390430859</v>
          </cell>
          <cell r="Q15">
            <v>76900.636158246241</v>
          </cell>
          <cell r="R15">
            <v>70580.035926061624</v>
          </cell>
          <cell r="S15">
            <v>64259.435693876992</v>
          </cell>
          <cell r="T15">
            <v>57938.835461692375</v>
          </cell>
          <cell r="U15">
            <v>51618.235229507758</v>
          </cell>
          <cell r="V15">
            <v>45297.634997323141</v>
          </cell>
          <cell r="W15">
            <v>38977.034765138524</v>
          </cell>
          <cell r="X15">
            <v>32656.434532953906</v>
          </cell>
          <cell r="Y15">
            <v>26335.834300769289</v>
          </cell>
          <cell r="Z15">
            <v>20015.234068584672</v>
          </cell>
          <cell r="AA15">
            <v>13694.633836400055</v>
          </cell>
          <cell r="AB15">
            <v>11587.767092338516</v>
          </cell>
        </row>
        <row r="20"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</row>
        <row r="22">
          <cell r="I22">
            <v>74443.62327215432</v>
          </cell>
          <cell r="J22">
            <v>75934.80278621547</v>
          </cell>
          <cell r="K22">
            <v>74795.889222711936</v>
          </cell>
          <cell r="L22">
            <v>72864.975666148181</v>
          </cell>
          <cell r="M22">
            <v>67441.06118141851</v>
          </cell>
          <cell r="N22">
            <v>60555.329424194395</v>
          </cell>
          <cell r="O22">
            <v>52754.583293396383</v>
          </cell>
          <cell r="P22">
            <v>44384.326141701749</v>
          </cell>
          <cell r="Q22">
            <v>38033.934744120452</v>
          </cell>
          <cell r="R22">
            <v>33703.409100652483</v>
          </cell>
          <cell r="S22">
            <v>29372.883457184515</v>
          </cell>
          <cell r="T22">
            <v>24032.424936659881</v>
          </cell>
          <cell r="U22">
            <v>17682.03353907858</v>
          </cell>
          <cell r="V22">
            <v>11331.642141497279</v>
          </cell>
          <cell r="W22">
            <v>4753.4463355573334</v>
          </cell>
          <cell r="X22">
            <v>1.8189894035458565E-11</v>
          </cell>
          <cell r="Y22">
            <v>1.8189894035458565E-11</v>
          </cell>
          <cell r="Z22">
            <v>1.8189894035458565E-11</v>
          </cell>
          <cell r="AA22">
            <v>1.8189894035458565E-11</v>
          </cell>
          <cell r="AB22">
            <v>1.8189894035458565E-11</v>
          </cell>
        </row>
        <row r="27">
          <cell r="I27">
            <v>29130.512827231709</v>
          </cell>
          <cell r="J27">
            <v>29130.512827231709</v>
          </cell>
          <cell r="K27">
            <v>29130.512827231709</v>
          </cell>
          <cell r="L27">
            <v>29130.512827231709</v>
          </cell>
          <cell r="M27">
            <v>29130.512827231709</v>
          </cell>
          <cell r="N27">
            <v>29130.512827231709</v>
          </cell>
          <cell r="O27">
            <v>29130.512827231709</v>
          </cell>
          <cell r="P27">
            <v>29130.512827231709</v>
          </cell>
          <cell r="Q27">
            <v>29130.512827231709</v>
          </cell>
          <cell r="R27">
            <v>29130.512827231709</v>
          </cell>
          <cell r="S27">
            <v>29130.512827231709</v>
          </cell>
          <cell r="T27">
            <v>29130.512827231709</v>
          </cell>
          <cell r="U27">
            <v>29130.512827231709</v>
          </cell>
          <cell r="V27">
            <v>29130.512827231709</v>
          </cell>
          <cell r="W27">
            <v>29130.512827231709</v>
          </cell>
          <cell r="X27">
            <v>29130.512827231709</v>
          </cell>
          <cell r="Y27">
            <v>29130.512827231709</v>
          </cell>
          <cell r="Z27">
            <v>29130.512827231709</v>
          </cell>
          <cell r="AA27">
            <v>29130.512827231709</v>
          </cell>
          <cell r="AB27">
            <v>29130.512827231709</v>
          </cell>
        </row>
        <row r="35"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2.9103830456733704E-11</v>
          </cell>
          <cell r="AB35">
            <v>2.5465851649641991E-11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C"/>
      <sheetName val="Assm"/>
      <sheetName val="CF"/>
      <sheetName val="RAROC"/>
      <sheetName val="CommonSize"/>
      <sheetName val="BS_IS"/>
      <sheetName val="Returns"/>
      <sheetName val="CS_INC"/>
      <sheetName val="EINC"/>
      <sheetName val="PLRisk"/>
      <sheetName val="Trapped"/>
      <sheetName val="Turnkey"/>
      <sheetName val="Drawdown"/>
      <sheetName val="IDC"/>
      <sheetName val="Debt Amort"/>
      <sheetName val="Taxes"/>
      <sheetName val="Depr"/>
      <sheetName val="Ref1"/>
      <sheetName val="Ref2"/>
      <sheetName val="Ref3"/>
      <sheetName val="Ref4"/>
      <sheetName val="Ref5"/>
      <sheetName val="Transportation"/>
      <sheetName val="Escalation"/>
      <sheetName val="Converge_Model"/>
      <sheetName val="Commit"/>
    </sheetNames>
    <sheetDataSet>
      <sheetData sheetId="0" refreshError="1"/>
      <sheetData sheetId="1" refreshError="1"/>
      <sheetData sheetId="2">
        <row r="67">
          <cell r="E67">
            <v>0</v>
          </cell>
          <cell r="F67">
            <v>-13.275999937924599</v>
          </cell>
          <cell r="G67">
            <v>6028.0207486577092</v>
          </cell>
          <cell r="H67">
            <v>5345.6524251642204</v>
          </cell>
          <cell r="I67">
            <v>4005.4594989238481</v>
          </cell>
          <cell r="J67">
            <v>5730.4436465938288</v>
          </cell>
          <cell r="K67">
            <v>1893.3945164058005</v>
          </cell>
          <cell r="L67">
            <v>5582.5806726473347</v>
          </cell>
          <cell r="M67">
            <v>6910.5287838065797</v>
          </cell>
          <cell r="N67">
            <v>10709.219796957797</v>
          </cell>
          <cell r="O67">
            <v>15303.873776433458</v>
          </cell>
          <cell r="P67">
            <v>16695.193618093017</v>
          </cell>
          <cell r="Q67">
            <v>15715.494674939324</v>
          </cell>
          <cell r="R67">
            <v>11991.476995619105</v>
          </cell>
          <cell r="S67">
            <v>11530.607928049183</v>
          </cell>
          <cell r="T67">
            <v>13835.278778595744</v>
          </cell>
          <cell r="U67">
            <v>17425.436810390573</v>
          </cell>
          <cell r="V67">
            <v>24229.56215980076</v>
          </cell>
          <cell r="W67">
            <v>25036.360207725826</v>
          </cell>
          <cell r="X67">
            <v>25910.778027920729</v>
          </cell>
          <cell r="Y67">
            <v>8646.5939661715074</v>
          </cell>
        </row>
        <row r="71">
          <cell r="E71">
            <v>0</v>
          </cell>
          <cell r="F71">
            <v>-13.275999937924599</v>
          </cell>
          <cell r="G71">
            <v>6028.0207486577092</v>
          </cell>
          <cell r="H71">
            <v>5234.8524434126148</v>
          </cell>
          <cell r="I71">
            <v>3879.7873896216329</v>
          </cell>
          <cell r="J71">
            <v>5587.9031984205239</v>
          </cell>
          <cell r="K71">
            <v>1731.7215765764336</v>
          </cell>
          <cell r="L71">
            <v>5399.2071824693712</v>
          </cell>
          <cell r="M71">
            <v>6702.5419869094785</v>
          </cell>
          <cell r="N71">
            <v>10473.315972247183</v>
          </cell>
          <cell r="O71">
            <v>15036.305760851063</v>
          </cell>
          <cell r="P71">
            <v>16391.711285619072</v>
          </cell>
          <cell r="Q71">
            <v>15371.277426389066</v>
          </cell>
          <cell r="R71">
            <v>11601.05718688219</v>
          </cell>
          <cell r="S71">
            <v>11530.607928049183</v>
          </cell>
          <cell r="T71">
            <v>13835.278778595744</v>
          </cell>
          <cell r="U71">
            <v>17425.436810390573</v>
          </cell>
          <cell r="V71">
            <v>24229.56215980076</v>
          </cell>
          <cell r="W71">
            <v>25036.360207725826</v>
          </cell>
          <cell r="X71">
            <v>25910.778027920729</v>
          </cell>
          <cell r="Y71">
            <v>8646.5939661715074</v>
          </cell>
        </row>
      </sheetData>
      <sheetData sheetId="3" refreshError="1"/>
      <sheetData sheetId="4" refreshError="1"/>
      <sheetData sheetId="5">
        <row r="35"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</sheetData>
      <sheetData sheetId="6">
        <row r="24">
          <cell r="E24">
            <v>-3111.7009109999995</v>
          </cell>
          <cell r="F24">
            <v>-8888.2990919999993</v>
          </cell>
          <cell r="G24">
            <v>-5999.9999999999991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</row>
        <row r="25"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2.7284841053187841E-13</v>
          </cell>
          <cell r="J25">
            <v>-1.3642420526593921E-13</v>
          </cell>
          <cell r="K25">
            <v>-2.7284841053187841E-13</v>
          </cell>
          <cell r="L25">
            <v>-1.3642420526593921E-13</v>
          </cell>
          <cell r="M25">
            <v>576.69402358778621</v>
          </cell>
          <cell r="N25">
            <v>2143.8458774888827</v>
          </cell>
          <cell r="O25">
            <v>2423.0018591380758</v>
          </cell>
          <cell r="P25">
            <v>2872.2949248391183</v>
          </cell>
          <cell r="Q25">
            <v>3169.689540993847</v>
          </cell>
          <cell r="R25">
            <v>3535.510086237864</v>
          </cell>
          <cell r="S25">
            <v>4112.6011810555847</v>
          </cell>
          <cell r="T25">
            <v>3978.5128419101497</v>
          </cell>
          <cell r="U25">
            <v>4715.4664737763487</v>
          </cell>
          <cell r="V25">
            <v>5096.8680549122819</v>
          </cell>
          <cell r="W25">
            <v>5364.1809784482057</v>
          </cell>
          <cell r="X25">
            <v>5594.1184221068488</v>
          </cell>
          <cell r="Y25">
            <v>5843.3275008623978</v>
          </cell>
          <cell r="Z25">
            <v>19585.601445674416</v>
          </cell>
        </row>
        <row r="26"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-3.4106051316484801E-14</v>
          </cell>
          <cell r="J26">
            <v>1.7053025658242401E-14</v>
          </cell>
          <cell r="K26">
            <v>3.4106051316484801E-14</v>
          </cell>
          <cell r="L26">
            <v>1.7053025658242401E-14</v>
          </cell>
          <cell r="M26">
            <v>-72.086752948473276</v>
          </cell>
          <cell r="N26">
            <v>-267.98073468611034</v>
          </cell>
          <cell r="O26">
            <v>-302.87523239225948</v>
          </cell>
          <cell r="P26">
            <v>-359.03686560488978</v>
          </cell>
          <cell r="Q26">
            <v>-396.21119262423088</v>
          </cell>
          <cell r="R26">
            <v>-441.938760779733</v>
          </cell>
          <cell r="S26">
            <v>-514.07514763194808</v>
          </cell>
          <cell r="T26">
            <v>-497.31410523876872</v>
          </cell>
          <cell r="U26">
            <v>-589.43330922204359</v>
          </cell>
          <cell r="V26">
            <v>-637.10850686403523</v>
          </cell>
          <cell r="W26">
            <v>-670.52262230602571</v>
          </cell>
          <cell r="X26">
            <v>-699.2648027633561</v>
          </cell>
          <cell r="Y26">
            <v>-730.41593760779972</v>
          </cell>
          <cell r="Z26">
            <v>-2448.200180709302</v>
          </cell>
        </row>
        <row r="27"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103759.12759405807</v>
          </cell>
        </row>
        <row r="28">
          <cell r="E28">
            <v>0</v>
          </cell>
          <cell r="F28">
            <v>0</v>
          </cell>
          <cell r="G28">
            <v>0</v>
          </cell>
          <cell r="H28">
            <v>1808.4062245973123</v>
          </cell>
          <cell r="I28">
            <v>1570.4557330237838</v>
          </cell>
          <cell r="J28">
            <v>1163.9362168864898</v>
          </cell>
          <cell r="K28">
            <v>1676.3709595261571</v>
          </cell>
          <cell r="L28">
            <v>519.51647297293005</v>
          </cell>
          <cell r="M28">
            <v>1043.0681311530248</v>
          </cell>
          <cell r="N28">
            <v>-133.08328141603957</v>
          </cell>
          <cell r="O28">
            <v>718.99293253607811</v>
          </cell>
          <cell r="P28">
            <v>1638.5968034161997</v>
          </cell>
          <cell r="Q28">
            <v>1747.8238446918733</v>
          </cell>
          <cell r="R28">
            <v>1075.8731416788546</v>
          </cell>
          <cell r="S28">
            <v>-632.28402499092829</v>
          </cell>
          <cell r="T28">
            <v>-519.33046349539575</v>
          </cell>
          <cell r="U28">
            <v>-564.88284019762636</v>
          </cell>
          <cell r="V28">
            <v>130.76298820488879</v>
          </cell>
          <cell r="W28">
            <v>1904.6876694920206</v>
          </cell>
          <cell r="X28">
            <v>1916.7896402108975</v>
          </cell>
          <cell r="Y28">
            <v>1929.9059075138193</v>
          </cell>
          <cell r="Z28">
            <v>-16991.623255822964</v>
          </cell>
        </row>
        <row r="29"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-90.221171230796756</v>
          </cell>
          <cell r="J29">
            <v>-168.74395788198595</v>
          </cell>
          <cell r="K29">
            <v>-226.94076872631044</v>
          </cell>
          <cell r="L29">
            <v>-310.75931670261826</v>
          </cell>
          <cell r="M29">
            <v>-336.73514035126476</v>
          </cell>
          <cell r="N29">
            <v>-388.88854690891606</v>
          </cell>
          <cell r="O29">
            <v>-388.88854690891606</v>
          </cell>
          <cell r="P29">
            <v>-418.18402946491801</v>
          </cell>
          <cell r="Q29">
            <v>-500.11386963572795</v>
          </cell>
          <cell r="R29">
            <v>-587.5050618703217</v>
          </cell>
          <cell r="S29">
            <v>-641.29871895426436</v>
          </cell>
          <cell r="T29">
            <v>-641.29871895426436</v>
          </cell>
          <cell r="U29">
            <v>-609.68451770471802</v>
          </cell>
          <cell r="V29">
            <v>-583.71799452994821</v>
          </cell>
          <cell r="W29">
            <v>-562.01200193031138</v>
          </cell>
          <cell r="X29">
            <v>-657.2463854049123</v>
          </cell>
          <cell r="Y29">
            <v>-753.08586741545719</v>
          </cell>
          <cell r="Z29">
            <v>-283.19372093038271</v>
          </cell>
        </row>
        <row r="30">
          <cell r="E30">
            <v>-20.744672739999995</v>
          </cell>
          <cell r="F30">
            <v>-90.372336390000001</v>
          </cell>
          <cell r="G30">
            <v>-160.00000003</v>
          </cell>
          <cell r="H30">
            <v>-178.16249104858287</v>
          </cell>
          <cell r="I30">
            <v>-170.90099248525109</v>
          </cell>
          <cell r="J30">
            <v>-159.68277678015039</v>
          </cell>
          <cell r="K30">
            <v>-155.36509858185593</v>
          </cell>
          <cell r="L30">
            <v>-163.17274725652751</v>
          </cell>
          <cell r="M30">
            <v>-176.60484877292501</v>
          </cell>
          <cell r="N30">
            <v>-182.59281783737578</v>
          </cell>
          <cell r="O30">
            <v>-183.81910724014156</v>
          </cell>
          <cell r="P30">
            <v>-185.25201806624966</v>
          </cell>
          <cell r="Q30">
            <v>-186.86810122534209</v>
          </cell>
          <cell r="R30">
            <v>-188.66471696454727</v>
          </cell>
          <cell r="S30">
            <v>-190.72799985022255</v>
          </cell>
          <cell r="T30">
            <v>-192.84547824756919</v>
          </cell>
          <cell r="U30">
            <v>-195.19801259659778</v>
          </cell>
          <cell r="V30">
            <v>-197.81366217266813</v>
          </cell>
          <cell r="W30">
            <v>-200.5900183150907</v>
          </cell>
          <cell r="X30">
            <v>-203.49395126643492</v>
          </cell>
          <cell r="Y30">
            <v>-206.5256659021949</v>
          </cell>
          <cell r="Z30">
            <v>-149.10944205300098</v>
          </cell>
        </row>
        <row r="31">
          <cell r="E31">
            <v>1069.5889026797265</v>
          </cell>
          <cell r="F31">
            <v>4521.5536376729906</v>
          </cell>
          <cell r="G31">
            <v>639.51945964728293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</row>
        <row r="32">
          <cell r="E32">
            <v>-133.69861283496581</v>
          </cell>
          <cell r="F32">
            <v>-565.19420470912382</v>
          </cell>
          <cell r="G32">
            <v>-79.939932455910366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</row>
        <row r="33">
          <cell r="E33">
            <v>0</v>
          </cell>
          <cell r="F33">
            <v>0</v>
          </cell>
          <cell r="G33">
            <v>0</v>
          </cell>
          <cell r="H33">
            <v>-160.44455915539265</v>
          </cell>
          <cell r="I33">
            <v>9.2564168743495756</v>
          </cell>
          <cell r="J33">
            <v>9.2564168743495756</v>
          </cell>
          <cell r="K33">
            <v>9.2564168743495756</v>
          </cell>
          <cell r="L33">
            <v>9.2564168743495756</v>
          </cell>
          <cell r="M33">
            <v>9.2564168743495756</v>
          </cell>
          <cell r="N33">
            <v>9.2564168743495756</v>
          </cell>
          <cell r="O33">
            <v>9.2564168743495756</v>
          </cell>
          <cell r="P33">
            <v>9.2564168743495756</v>
          </cell>
          <cell r="Q33">
            <v>9.2564168743495756</v>
          </cell>
          <cell r="R33">
            <v>9.2564168743495756</v>
          </cell>
          <cell r="S33">
            <v>9.2564168743495756</v>
          </cell>
          <cell r="T33">
            <v>9.2564168743495756</v>
          </cell>
          <cell r="U33">
            <v>9.2564168743495756</v>
          </cell>
          <cell r="V33">
            <v>9.2564168743495756</v>
          </cell>
          <cell r="W33">
            <v>9.2564168743495756</v>
          </cell>
          <cell r="X33">
            <v>9.2564168743495756</v>
          </cell>
          <cell r="Y33">
            <v>9.2564168743495756</v>
          </cell>
          <cell r="Z33">
            <v>3.0854722914498587</v>
          </cell>
        </row>
        <row r="34">
          <cell r="E34">
            <v>0</v>
          </cell>
          <cell r="F34">
            <v>0</v>
          </cell>
          <cell r="G34">
            <v>0</v>
          </cell>
          <cell r="H34">
            <v>-646.89908256880733</v>
          </cell>
          <cell r="I34">
            <v>37.321100917431188</v>
          </cell>
          <cell r="J34">
            <v>37.321100917431188</v>
          </cell>
          <cell r="K34">
            <v>37.321100917431188</v>
          </cell>
          <cell r="L34">
            <v>37.321100917431188</v>
          </cell>
          <cell r="M34">
            <v>37.321100917431188</v>
          </cell>
          <cell r="N34">
            <v>37.321100917431188</v>
          </cell>
          <cell r="O34">
            <v>37.321100917431188</v>
          </cell>
          <cell r="P34">
            <v>37.321100917431188</v>
          </cell>
          <cell r="Q34">
            <v>37.321100917431188</v>
          </cell>
          <cell r="R34">
            <v>37.321100917431188</v>
          </cell>
          <cell r="S34">
            <v>37.321100917431188</v>
          </cell>
          <cell r="T34">
            <v>37.321100917431188</v>
          </cell>
          <cell r="U34">
            <v>37.321100917431188</v>
          </cell>
          <cell r="V34">
            <v>37.321100917431188</v>
          </cell>
          <cell r="W34">
            <v>37.321100917431188</v>
          </cell>
          <cell r="X34">
            <v>37.321100917431188</v>
          </cell>
          <cell r="Y34">
            <v>37.321100917431188</v>
          </cell>
          <cell r="Z34">
            <v>12.440366972477063</v>
          </cell>
        </row>
        <row r="35"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</row>
        <row r="36"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</row>
        <row r="37">
          <cell r="E37">
            <v>-338.60387832876148</v>
          </cell>
          <cell r="F37">
            <v>-1430.4152257323308</v>
          </cell>
          <cell r="G37">
            <v>-147.84442504970784</v>
          </cell>
          <cell r="H37">
            <v>364.63726912592966</v>
          </cell>
          <cell r="I37">
            <v>79.381518991978822</v>
          </cell>
          <cell r="J37">
            <v>104.28421024203158</v>
          </cell>
          <cell r="K37">
            <v>124.2194893210627</v>
          </cell>
          <cell r="L37">
            <v>158.12118208192507</v>
          </cell>
          <cell r="M37">
            <v>172.70211439299132</v>
          </cell>
          <cell r="N37">
            <v>194.21442337316907</v>
          </cell>
          <cell r="O37">
            <v>194.66815045219241</v>
          </cell>
          <cell r="P37">
            <v>206.03765600357315</v>
          </cell>
          <cell r="Q37">
            <v>236.94964763563704</v>
          </cell>
          <cell r="R37">
            <v>269.94913658594265</v>
          </cell>
          <cell r="S37">
            <v>290.61620437470128</v>
          </cell>
          <cell r="T37">
            <v>291.39967138171954</v>
          </cell>
          <cell r="U37">
            <v>280.57285462852792</v>
          </cell>
          <cell r="V37">
            <v>271.93303139700919</v>
          </cell>
          <cell r="W37">
            <v>264.92906590783986</v>
          </cell>
          <cell r="X37">
            <v>301.24024298543958</v>
          </cell>
          <cell r="Y37">
            <v>337.82258574457239</v>
          </cell>
          <cell r="Z37">
            <v>154.20760977619901</v>
          </cell>
        </row>
        <row r="48">
          <cell r="E48">
            <v>0</v>
          </cell>
          <cell r="F48">
            <v>-13407.432599872272</v>
          </cell>
          <cell r="G48">
            <v>-7631.3885320842728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</row>
        <row r="49">
          <cell r="E49">
            <v>0</v>
          </cell>
          <cell r="F49">
            <v>0</v>
          </cell>
          <cell r="G49">
            <v>21038.821131956545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</row>
        <row r="50">
          <cell r="E50">
            <v>0</v>
          </cell>
          <cell r="F50">
            <v>246.0009798955337</v>
          </cell>
          <cell r="G50">
            <v>709.89911847209873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</row>
        <row r="51">
          <cell r="E51">
            <v>0</v>
          </cell>
          <cell r="F51">
            <v>-30.750122486941713</v>
          </cell>
          <cell r="G51">
            <v>-88.737389809012342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</row>
        <row r="52">
          <cell r="E52">
            <v>0</v>
          </cell>
          <cell r="F52">
            <v>-89.38288399914849</v>
          </cell>
          <cell r="G52">
            <v>-89.38288399914849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</row>
        <row r="53">
          <cell r="E53">
            <v>0</v>
          </cell>
          <cell r="F53">
            <v>-46.571150161494096</v>
          </cell>
          <cell r="G53">
            <v>-196.75817252565702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</row>
        <row r="64">
          <cell r="E64">
            <v>0</v>
          </cell>
          <cell r="F64">
            <v>0</v>
          </cell>
          <cell r="G64">
            <v>-728.53413947890635</v>
          </cell>
          <cell r="H64">
            <v>-13.556959376798432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</row>
        <row r="65"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33.239994525481791</v>
          </cell>
          <cell r="J65">
            <v>37.701632790664561</v>
          </cell>
          <cell r="K65">
            <v>42.762134451991528</v>
          </cell>
          <cell r="L65">
            <v>48.501881948810073</v>
          </cell>
          <cell r="M65">
            <v>55.012047053389075</v>
          </cell>
          <cell r="N65">
            <v>62.396039069130211</v>
          </cell>
          <cell r="O65">
            <v>70.771147413184181</v>
          </cell>
          <cell r="P65">
            <v>80.270404674718804</v>
          </cell>
          <cell r="Q65">
            <v>91.044699742182871</v>
          </cell>
          <cell r="R65">
            <v>103.26517456507732</v>
          </cell>
          <cell r="S65">
            <v>117.12594262107454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</row>
        <row r="66">
          <cell r="E66">
            <v>0</v>
          </cell>
          <cell r="F66">
            <v>0</v>
          </cell>
          <cell r="G66">
            <v>0</v>
          </cell>
          <cell r="H66">
            <v>40.196601188017354</v>
          </cell>
          <cell r="I66">
            <v>95.425547624047297</v>
          </cell>
          <cell r="J66">
            <v>90.963909358864512</v>
          </cell>
          <cell r="K66">
            <v>85.90340769753756</v>
          </cell>
          <cell r="L66">
            <v>80.163660200718994</v>
          </cell>
          <cell r="M66">
            <v>73.653495096139977</v>
          </cell>
          <cell r="N66">
            <v>66.26950308039882</v>
          </cell>
          <cell r="O66">
            <v>57.894394736344815</v>
          </cell>
          <cell r="P66">
            <v>48.39513747481017</v>
          </cell>
          <cell r="Q66">
            <v>37.620842407346039</v>
          </cell>
          <cell r="R66">
            <v>25.400367584451548</v>
          </cell>
          <cell r="S66">
            <v>11.539599528454046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</row>
        <row r="67">
          <cell r="E67">
            <v>0</v>
          </cell>
          <cell r="F67">
            <v>0</v>
          </cell>
          <cell r="G67">
            <v>0</v>
          </cell>
          <cell r="H67">
            <v>-5.0245751485021692</v>
          </cell>
          <cell r="I67">
            <v>-11.928193453005912</v>
          </cell>
          <cell r="J67">
            <v>-11.370488669858064</v>
          </cell>
          <cell r="K67">
            <v>-10.737925962192195</v>
          </cell>
          <cell r="L67">
            <v>-10.020457525089874</v>
          </cell>
          <cell r="M67">
            <v>-9.2066868870174972</v>
          </cell>
          <cell r="N67">
            <v>-8.2836878850498525</v>
          </cell>
          <cell r="O67">
            <v>-7.2367993420431018</v>
          </cell>
          <cell r="P67">
            <v>-6.0493921843512712</v>
          </cell>
          <cell r="Q67">
            <v>-4.7026053009182549</v>
          </cell>
          <cell r="R67">
            <v>-3.1750459480564435</v>
          </cell>
          <cell r="S67">
            <v>-1.4424499410567557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</row>
        <row r="68">
          <cell r="E68">
            <v>0</v>
          </cell>
          <cell r="F68">
            <v>0</v>
          </cell>
          <cell r="G68">
            <v>-4.856894263192709</v>
          </cell>
          <cell r="H68">
            <v>-7.3757211239677201</v>
          </cell>
          <cell r="I68">
            <v>-7.3101110068054425</v>
          </cell>
          <cell r="J68">
            <v>-6.9628389340000147</v>
          </cell>
          <cell r="K68">
            <v>-6.5689542672222796</v>
          </cell>
          <cell r="L68">
            <v>-6.1222004310463021</v>
          </cell>
          <cell r="M68">
            <v>-5.6154810612096062</v>
          </cell>
          <cell r="N68">
            <v>-5.0407472839565779</v>
          </cell>
          <cell r="O68">
            <v>-4.3888698654517633</v>
          </cell>
          <cell r="P68">
            <v>-3.6494942004481388</v>
          </cell>
          <cell r="Q68">
            <v>-2.8108758368094033</v>
          </cell>
          <cell r="R68">
            <v>-1.8596939233112599</v>
          </cell>
          <cell r="S68">
            <v>-0.78083961747382968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</row>
        <row r="69">
          <cell r="E69">
            <v>0</v>
          </cell>
          <cell r="F69">
            <v>0</v>
          </cell>
          <cell r="G69">
            <v>1.7970508773813023</v>
          </cell>
          <cell r="H69">
            <v>-10.284632818752563</v>
          </cell>
          <cell r="I69">
            <v>-28.189279970767295</v>
          </cell>
          <cell r="J69">
            <v>-26.87331524935238</v>
          </cell>
          <cell r="K69">
            <v>-25.38071516320554</v>
          </cell>
          <cell r="L69">
            <v>-23.687770830495637</v>
          </cell>
          <cell r="M69">
            <v>-21.767591044727762</v>
          </cell>
          <cell r="N69">
            <v>-19.589675127215184</v>
          </cell>
          <cell r="O69">
            <v>-17.119428445674483</v>
          </cell>
          <cell r="P69">
            <v>-14.317612903303981</v>
          </cell>
          <cell r="Q69">
            <v>-11.139723669758801</v>
          </cell>
          <cell r="R69">
            <v>-7.5352822538410233</v>
          </cell>
          <cell r="S69">
            <v>-3.4470346888716801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C"/>
      <sheetName val="Assm"/>
      <sheetName val="Cashflow"/>
      <sheetName val="Returns"/>
      <sheetName val="EINC"/>
      <sheetName val="Ref1"/>
      <sheetName val="MMBTU"/>
      <sheetName val="EPE Revenues"/>
      <sheetName val="SCG Commodity"/>
      <sheetName val="Transportation"/>
      <sheetName val="XNPV"/>
      <sheetName val="Escalation"/>
    </sheetNames>
    <sheetDataSet>
      <sheetData sheetId="0"/>
      <sheetData sheetId="1"/>
      <sheetData sheetId="2">
        <row r="38">
          <cell r="E38">
            <v>0</v>
          </cell>
          <cell r="F38">
            <v>-1468.1772000000001</v>
          </cell>
          <cell r="G38">
            <v>728.41800543200509</v>
          </cell>
          <cell r="H38">
            <v>1126.1952902291227</v>
          </cell>
          <cell r="I38">
            <v>1761.1277472191566</v>
          </cell>
          <cell r="J38">
            <v>3327.0448654650309</v>
          </cell>
          <cell r="K38">
            <v>4895.6463334866094</v>
          </cell>
          <cell r="L38">
            <v>5843.9359528783007</v>
          </cell>
          <cell r="M38">
            <v>6357.3459746773315</v>
          </cell>
          <cell r="N38">
            <v>6570.4139873794775</v>
          </cell>
          <cell r="O38">
            <v>6922.6327241307408</v>
          </cell>
          <cell r="P38">
            <v>7219.8611466835464</v>
          </cell>
          <cell r="Q38">
            <v>7471.2689324730372</v>
          </cell>
          <cell r="R38">
            <v>8080.8478319217247</v>
          </cell>
          <cell r="S38">
            <v>8037.8620818701938</v>
          </cell>
          <cell r="T38">
            <v>8207.4963695134538</v>
          </cell>
          <cell r="U38">
            <v>8378.9613959170165</v>
          </cell>
          <cell r="V38">
            <v>8506.2300379126827</v>
          </cell>
          <cell r="W38">
            <v>8848.6982924017575</v>
          </cell>
          <cell r="X38">
            <v>9442.0642209577964</v>
          </cell>
          <cell r="Y38">
            <v>3375.6093362025754</v>
          </cell>
        </row>
      </sheetData>
      <sheetData sheetId="3">
        <row r="23">
          <cell r="E23">
            <v>0</v>
          </cell>
          <cell r="F23">
            <v>0</v>
          </cell>
          <cell r="G23">
            <v>1064.4284700000001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</row>
        <row r="24">
          <cell r="E24">
            <v>0</v>
          </cell>
          <cell r="F24">
            <v>0</v>
          </cell>
          <cell r="G24">
            <v>-1064.4284700000001</v>
          </cell>
          <cell r="H24">
            <v>528.10305393820363</v>
          </cell>
          <cell r="I24">
            <v>816.49158541611394</v>
          </cell>
          <cell r="J24">
            <v>1276.8176167338886</v>
          </cell>
          <cell r="K24">
            <v>2412.1075274621471</v>
          </cell>
          <cell r="L24">
            <v>3549.3435917777915</v>
          </cell>
          <cell r="M24">
            <v>4236.8535658367682</v>
          </cell>
          <cell r="N24">
            <v>4609.0758316410647</v>
          </cell>
          <cell r="O24">
            <v>4763.5501408501214</v>
          </cell>
          <cell r="P24">
            <v>5018.908724994787</v>
          </cell>
          <cell r="Q24">
            <v>5234.3993313455712</v>
          </cell>
          <cell r="R24">
            <v>5416.6699760429519</v>
          </cell>
          <cell r="S24">
            <v>5858.6146781432499</v>
          </cell>
          <cell r="T24">
            <v>5827.45000935589</v>
          </cell>
          <cell r="U24">
            <v>5950.4348678972538</v>
          </cell>
          <cell r="V24">
            <v>6074.7470120398366</v>
          </cell>
          <cell r="W24">
            <v>6167.016777486695</v>
          </cell>
          <cell r="X24">
            <v>6415.3062619912744</v>
          </cell>
          <cell r="Y24">
            <v>6845.4965601944023</v>
          </cell>
          <cell r="Z24">
            <v>2447.3167687468672</v>
          </cell>
        </row>
        <row r="25"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69923.336249910484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Relationship Id="rId9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5" Type="http://schemas.openxmlformats.org/officeDocument/2006/relationships/comments" Target="../comments3.xml"/><Relationship Id="rId4" Type="http://schemas.openxmlformats.org/officeDocument/2006/relationships/ctrlProp" Target="../ctrlProps/ctrlProp6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B1:C35"/>
  <sheetViews>
    <sheetView showFormulas="1" showGridLines="0" topLeftCell="A6" workbookViewId="0">
      <selection activeCell="B12" sqref="B12"/>
    </sheetView>
  </sheetViews>
  <sheetFormatPr defaultRowHeight="12.75"/>
  <cols>
    <col min="1" max="1" width="3.140625" style="7" customWidth="1"/>
    <col min="2" max="2" width="50.7109375" style="7" customWidth="1"/>
    <col min="3" max="3" width="12.7109375" style="7" customWidth="1"/>
    <col min="4" max="16384" width="9.140625" style="7"/>
  </cols>
  <sheetData>
    <row r="1" spans="2:3" ht="15.75">
      <c r="B1" s="1130"/>
      <c r="C1" s="58"/>
    </row>
    <row r="2" spans="2:3" ht="18">
      <c r="B2" s="1131" t="s">
        <v>787</v>
      </c>
      <c r="C2" s="58"/>
    </row>
    <row r="3" spans="2:3" ht="15.75">
      <c r="B3" s="1132" t="s">
        <v>786</v>
      </c>
      <c r="C3" s="58"/>
    </row>
    <row r="4" spans="2:3" ht="15">
      <c r="B4" s="1133" t="s">
        <v>321</v>
      </c>
      <c r="C4" s="58"/>
    </row>
    <row r="6" spans="2:3" s="115" customFormat="1" ht="15">
      <c r="B6" s="1134" t="s">
        <v>716</v>
      </c>
      <c r="C6" s="116"/>
    </row>
    <row r="7" spans="2:3" s="115" customFormat="1" ht="15">
      <c r="B7" s="1134"/>
      <c r="C7" s="116"/>
    </row>
    <row r="8" spans="2:3" ht="15.75">
      <c r="B8" s="1135" t="s">
        <v>717</v>
      </c>
      <c r="C8" s="58"/>
    </row>
    <row r="10" spans="2:3">
      <c r="C10" s="1136" t="s">
        <v>718</v>
      </c>
    </row>
    <row r="11" spans="2:3">
      <c r="B11" s="7" t="s">
        <v>314</v>
      </c>
      <c r="C11" s="392" t="s">
        <v>749</v>
      </c>
    </row>
    <row r="12" spans="2:3">
      <c r="B12" s="7" t="s">
        <v>55</v>
      </c>
      <c r="C12" s="392" t="s">
        <v>1808</v>
      </c>
    </row>
    <row r="13" spans="2:3">
      <c r="B13" s="7" t="s">
        <v>1269</v>
      </c>
      <c r="C13" s="392" t="s">
        <v>1245</v>
      </c>
    </row>
    <row r="14" spans="2:3">
      <c r="B14" s="7" t="s">
        <v>1270</v>
      </c>
      <c r="C14" s="392" t="s">
        <v>1246</v>
      </c>
    </row>
    <row r="15" spans="2:3">
      <c r="B15" s="7" t="s">
        <v>808</v>
      </c>
      <c r="C15" s="392" t="s">
        <v>807</v>
      </c>
    </row>
    <row r="16" spans="2:3">
      <c r="B16" s="7" t="s">
        <v>315</v>
      </c>
      <c r="C16" s="392" t="s">
        <v>1301</v>
      </c>
    </row>
    <row r="17" spans="2:3">
      <c r="B17" s="7" t="s">
        <v>1247</v>
      </c>
      <c r="C17" s="392" t="s">
        <v>1301</v>
      </c>
    </row>
    <row r="18" spans="2:3">
      <c r="B18" s="7" t="s">
        <v>316</v>
      </c>
      <c r="C18" s="392" t="s">
        <v>809</v>
      </c>
    </row>
    <row r="19" spans="2:3">
      <c r="B19" s="7" t="s">
        <v>1272</v>
      </c>
      <c r="C19" s="392" t="s">
        <v>1273</v>
      </c>
    </row>
    <row r="20" spans="2:3">
      <c r="B20" s="7" t="s">
        <v>183</v>
      </c>
      <c r="C20" s="392" t="s">
        <v>1274</v>
      </c>
    </row>
    <row r="21" spans="2:3">
      <c r="B21" s="7" t="s">
        <v>179</v>
      </c>
      <c r="C21" s="392" t="s">
        <v>1275</v>
      </c>
    </row>
    <row r="22" spans="2:3">
      <c r="B22" s="7" t="s">
        <v>1449</v>
      </c>
      <c r="C22" s="392" t="s">
        <v>178</v>
      </c>
    </row>
    <row r="23" spans="2:3">
      <c r="B23" s="7" t="s">
        <v>227</v>
      </c>
      <c r="C23" s="392" t="s">
        <v>180</v>
      </c>
    </row>
    <row r="24" spans="2:3">
      <c r="B24" s="7" t="s">
        <v>228</v>
      </c>
      <c r="C24" s="392" t="s">
        <v>181</v>
      </c>
    </row>
    <row r="25" spans="2:3">
      <c r="B25" s="7" t="s">
        <v>318</v>
      </c>
      <c r="C25" s="392" t="s">
        <v>182</v>
      </c>
    </row>
    <row r="26" spans="2:3">
      <c r="B26" s="7" t="s">
        <v>1271</v>
      </c>
      <c r="C26" s="392" t="s">
        <v>1809</v>
      </c>
    </row>
    <row r="27" spans="2:3">
      <c r="B27" s="7" t="s">
        <v>319</v>
      </c>
      <c r="C27" s="392" t="s">
        <v>1276</v>
      </c>
    </row>
    <row r="29" spans="2:3">
      <c r="B29" s="7" t="s">
        <v>1794</v>
      </c>
      <c r="C29" s="392"/>
    </row>
    <row r="30" spans="2:3">
      <c r="B30" s="7" t="s">
        <v>1795</v>
      </c>
      <c r="C30" s="392"/>
    </row>
    <row r="31" spans="2:3">
      <c r="B31" s="7" t="s">
        <v>1796</v>
      </c>
      <c r="C31" s="392"/>
    </row>
    <row r="32" spans="2:3">
      <c r="B32" s="7" t="s">
        <v>1797</v>
      </c>
      <c r="C32" s="392"/>
    </row>
    <row r="33" spans="2:3">
      <c r="B33" s="7" t="s">
        <v>1798</v>
      </c>
    </row>
    <row r="34" spans="2:3">
      <c r="B34" s="7" t="s">
        <v>1799</v>
      </c>
    </row>
    <row r="35" spans="2:3">
      <c r="B35" s="7" t="s">
        <v>1800</v>
      </c>
      <c r="C35" s="392"/>
    </row>
  </sheetData>
  <printOptions horizontalCentered="1"/>
  <pageMargins left="0.25" right="0.25" top="0.5" bottom="0.5" header="0.25" footer="0.25"/>
  <pageSetup scale="86" orientation="landscape" horizontalDpi="4294967292" verticalDpi="300" r:id="rId1"/>
  <headerFooter alignWithMargins="0">
    <oddHeader>&amp;C&amp;"arial,Bold Italic" Confidential</oddHeader>
    <oddFooter>&amp;L&amp;"Arial,Italic"Structurer: GLG
Directory: dev_fin\cemat\newexcel(model date)
Filename: &amp;F
Tabname: &amp;A&amp;R&amp;"Arial,Italic"Date: &amp;D
Time: &amp;T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fitToPage="1"/>
  </sheetPr>
  <dimension ref="A1:AG122"/>
  <sheetViews>
    <sheetView showGridLines="0" zoomScale="75" workbookViewId="0">
      <selection activeCell="A55" sqref="A55"/>
    </sheetView>
  </sheetViews>
  <sheetFormatPr defaultRowHeight="12.75"/>
  <cols>
    <col min="1" max="1" width="35" style="7" customWidth="1"/>
    <col min="2" max="2" width="13.140625" style="7" customWidth="1"/>
    <col min="3" max="3" width="14.28515625" style="7" customWidth="1"/>
    <col min="4" max="6" width="10.7109375" style="7" customWidth="1"/>
    <col min="7" max="7" width="3.7109375" style="7" customWidth="1"/>
    <col min="8" max="8" width="34.85546875" style="7" customWidth="1"/>
    <col min="9" max="9" width="13.7109375" style="7" customWidth="1"/>
    <col min="10" max="10" width="24.28515625" style="7" bestFit="1" customWidth="1"/>
    <col min="11" max="11" width="19.85546875" style="7" customWidth="1"/>
    <col min="12" max="12" width="14.7109375" style="7" customWidth="1"/>
    <col min="13" max="13" width="3.7109375" style="7" customWidth="1"/>
    <col min="14" max="14" width="25.7109375" style="7" customWidth="1"/>
    <col min="15" max="22" width="10.7109375" style="7" customWidth="1"/>
    <col min="23" max="23" width="3.7109375" style="7" customWidth="1"/>
    <col min="24" max="24" width="32.5703125" style="7" customWidth="1"/>
    <col min="25" max="28" width="12.7109375" style="7" customWidth="1"/>
    <col min="29" max="29" width="9.140625" style="7"/>
    <col min="30" max="30" width="30.7109375" style="7" customWidth="1"/>
    <col min="31" max="33" width="10.7109375" style="7" customWidth="1"/>
    <col min="34" max="16384" width="9.140625" style="7"/>
  </cols>
  <sheetData>
    <row r="1" spans="1:33" ht="15.75">
      <c r="A1" s="1416" t="str">
        <f>CONCATENATE(TOC!B2," ",TOC!B6)</f>
        <v>EMPRESSA PRODUTORA DE ENERGÍA LTDA (EPE) *** DRAFT COPY ***</v>
      </c>
      <c r="B1" s="8"/>
      <c r="C1" s="8"/>
      <c r="E1" s="6"/>
      <c r="I1" s="1345" t="str">
        <f ca="1">IF(Loopfactor=0," ", "WARNING: MODEL HAS NOT BEEN CONVERGED")</f>
        <v xml:space="preserve"> </v>
      </c>
      <c r="N1" s="1345" t="str">
        <f ca="1">IF(ABS(SUM(BS_IS!F36:AC36))&lt;0.5," ","WARNING: BALANCE SHEET IS NOT BALANCED")</f>
        <v xml:space="preserve"> </v>
      </c>
    </row>
    <row r="2" spans="1:33" ht="15.75">
      <c r="A2" s="1137" t="str">
        <f>TOC!B3</f>
        <v>480 MW POWER PLANT (CUIABA, BRAZIL)</v>
      </c>
      <c r="B2" s="8"/>
      <c r="C2" s="8"/>
      <c r="E2" s="6"/>
      <c r="I2" s="1345" t="str">
        <f ca="1">IF(Commit_Factor=0," ", "WARNING: COMMITMENT FEE HAS NOT BEEN CONVERGED")</f>
        <v xml:space="preserve"> </v>
      </c>
      <c r="N2" s="1345" t="str">
        <f ca="1">IF(ABS(SUM(AB9,AB18,AB27,AB36,AB45)-Tot_Debt)&lt;0.1," ","WARNING: THE SUM OF THE DEBT LISTED IN THE TRANCHES DOES NOT EQUAL TOTAL DEBT")</f>
        <v xml:space="preserve"> </v>
      </c>
    </row>
    <row r="3" spans="1:33" ht="15.75">
      <c r="A3" s="118" t="str">
        <f>TOC!B4</f>
        <v>ENRON INTERNATIONAL</v>
      </c>
      <c r="B3" s="8"/>
      <c r="C3" s="8"/>
      <c r="E3" s="6"/>
      <c r="I3" s="1345" t="str">
        <f ca="1">IF(Trapped!AC70="check","WARNING: CHECK MAINTENANCE RESERVE"," ")</f>
        <v xml:space="preserve"> </v>
      </c>
      <c r="N3" s="1345" t="str">
        <f ca="1">IF(ABS('Project &amp; Investor Returns'!AB13+Tot_Equity)&lt;0.1," ","WARNING: EQUITY DISTRIBUTED IN THE RETURNS CALC DOES NOT EQUAL TOTAL EQUITY")</f>
        <v xml:space="preserve"> </v>
      </c>
      <c r="X3" s="1418" t="s">
        <v>1576</v>
      </c>
      <c r="Y3" s="1196"/>
    </row>
    <row r="4" spans="1:33" ht="15.75">
      <c r="A4" s="932" t="s">
        <v>320</v>
      </c>
      <c r="B4" s="8"/>
      <c r="C4" s="8"/>
      <c r="E4" s="6"/>
      <c r="I4" s="1345" t="str">
        <f ca="1">IF(AA79&lt;AB79,"WARNING: A-TAX TARGET MINIMUM DCR HAS NOT BEEN MET"," ")</f>
        <v>WARNING: A-TAX TARGET MINIMUM DCR HAS NOT BEEN MET</v>
      </c>
      <c r="N4" s="1345" t="str">
        <f ca="1">IF(AA80&lt;AB80,"WARNING: A-TAX TARGET AVERAGE DCR HAS NOT BEEN MET"," ")</f>
        <v xml:space="preserve"> </v>
      </c>
    </row>
    <row r="5" spans="1:33" ht="13.5" thickBot="1">
      <c r="A5" s="7" t="s">
        <v>322</v>
      </c>
      <c r="I5" s="1345" t="str">
        <f>IF($AB$37=3,IF(Subloop=1,"WARNING: RECALC SUBDEBT PRINCIPAL TO MATCH CASHFLOWS"," ")," ")</f>
        <v xml:space="preserve"> </v>
      </c>
      <c r="S5" s="784">
        <v>0.3</v>
      </c>
      <c r="T5" s="784">
        <v>0.3</v>
      </c>
      <c r="U5" s="784">
        <v>0.4</v>
      </c>
      <c r="X5" s="143"/>
      <c r="AD5" s="7" t="s">
        <v>323</v>
      </c>
    </row>
    <row r="6" spans="1:33" ht="13.5" thickBot="1">
      <c r="A6" s="120" t="s">
        <v>324</v>
      </c>
      <c r="B6" s="82"/>
      <c r="C6" s="121" t="s">
        <v>325</v>
      </c>
      <c r="D6" s="121" t="s">
        <v>327</v>
      </c>
      <c r="E6" s="121" t="s">
        <v>328</v>
      </c>
      <c r="F6" s="122"/>
      <c r="H6" s="120" t="s">
        <v>739</v>
      </c>
      <c r="I6" s="82"/>
      <c r="J6" s="11"/>
      <c r="K6" s="146" t="s">
        <v>350</v>
      </c>
      <c r="L6" s="773" t="s">
        <v>329</v>
      </c>
      <c r="N6" s="120" t="s">
        <v>335</v>
      </c>
      <c r="O6" s="11"/>
      <c r="P6" s="11"/>
      <c r="Q6" s="11"/>
      <c r="R6" s="11"/>
      <c r="S6" s="173" t="s">
        <v>325</v>
      </c>
      <c r="T6" s="173" t="s">
        <v>327</v>
      </c>
      <c r="U6" s="173" t="s">
        <v>328</v>
      </c>
      <c r="V6" s="179"/>
      <c r="X6" s="120" t="s">
        <v>398</v>
      </c>
      <c r="Y6" s="190"/>
      <c r="Z6" s="11"/>
      <c r="AA6" s="190"/>
      <c r="AB6" s="122"/>
      <c r="AD6" s="210" t="s">
        <v>784</v>
      </c>
      <c r="AE6" s="204" t="s">
        <v>330</v>
      </c>
      <c r="AF6" s="204" t="s">
        <v>331</v>
      </c>
      <c r="AG6" s="205" t="s">
        <v>782</v>
      </c>
    </row>
    <row r="7" spans="1:33">
      <c r="A7" s="20" t="s">
        <v>332</v>
      </c>
      <c r="B7" s="15"/>
      <c r="C7" s="1411">
        <f>Tariff!R11</f>
        <v>150</v>
      </c>
      <c r="D7" s="1411">
        <f>Tariff!R14</f>
        <v>237.77937158469945</v>
      </c>
      <c r="E7" s="1411">
        <f>Tariff!R15</f>
        <v>480</v>
      </c>
      <c r="F7" s="123" t="s">
        <v>333</v>
      </c>
      <c r="H7" s="1138" t="s">
        <v>334</v>
      </c>
      <c r="I7" s="15"/>
      <c r="J7" s="16"/>
      <c r="K7" s="15"/>
      <c r="L7" s="21"/>
      <c r="N7" s="20"/>
      <c r="O7" s="15"/>
      <c r="P7" s="18"/>
      <c r="Q7" s="15"/>
      <c r="R7" s="15"/>
      <c r="S7" s="167">
        <f>YEAR(Startconst)</f>
        <v>1997</v>
      </c>
      <c r="T7" s="167">
        <f>S7+1</f>
        <v>1998</v>
      </c>
      <c r="U7" s="167">
        <f>T7+1</f>
        <v>1999</v>
      </c>
      <c r="V7" s="180" t="s">
        <v>426</v>
      </c>
      <c r="X7" s="20"/>
      <c r="Y7" s="189" t="s">
        <v>408</v>
      </c>
      <c r="Z7" s="189" t="s">
        <v>400</v>
      </c>
      <c r="AA7" s="143"/>
      <c r="AB7" s="21"/>
      <c r="AD7" s="20"/>
      <c r="AE7" s="206"/>
      <c r="AF7" s="206"/>
      <c r="AG7" s="207"/>
    </row>
    <row r="8" spans="1:33">
      <c r="A8" s="20" t="s">
        <v>356</v>
      </c>
      <c r="B8" s="15"/>
      <c r="C8" s="756" t="s">
        <v>1828</v>
      </c>
      <c r="D8" s="756"/>
      <c r="E8" s="756"/>
      <c r="F8" s="21"/>
      <c r="H8" s="20" t="s">
        <v>357</v>
      </c>
      <c r="I8" s="15"/>
      <c r="J8" s="774">
        <v>0.15</v>
      </c>
      <c r="K8" s="23" t="s">
        <v>756</v>
      </c>
      <c r="L8" s="21"/>
      <c r="N8" s="20" t="s">
        <v>726</v>
      </c>
      <c r="O8" s="15"/>
      <c r="Q8" s="15"/>
      <c r="R8" s="15"/>
      <c r="S8" s="164">
        <f t="shared" ref="S8:U13" si="0">$V8*S$5</f>
        <v>71539.914900000003</v>
      </c>
      <c r="T8" s="164">
        <f t="shared" si="0"/>
        <v>71539.914900000003</v>
      </c>
      <c r="U8" s="164">
        <f>$V8*U$5</f>
        <v>95386.553200000024</v>
      </c>
      <c r="V8" s="181">
        <f>Turnkey!G39</f>
        <v>238466.38300000003</v>
      </c>
      <c r="X8" s="27" t="s">
        <v>57</v>
      </c>
      <c r="AA8" s="143"/>
      <c r="AB8" s="21"/>
      <c r="AD8" s="20" t="s">
        <v>661</v>
      </c>
      <c r="AE8" s="1695">
        <f ca="1">AF8</f>
        <v>343894.5031887361</v>
      </c>
      <c r="AF8" s="188">
        <f ca="1">Tot_Cost</f>
        <v>343894.5031887361</v>
      </c>
      <c r="AG8" s="274">
        <f ca="1">AF8-AE8</f>
        <v>0</v>
      </c>
    </row>
    <row r="9" spans="1:33">
      <c r="A9" s="20" t="s">
        <v>358</v>
      </c>
      <c r="B9" s="15"/>
      <c r="C9" s="755">
        <f>10100*RAROC!B142</f>
        <v>10100</v>
      </c>
      <c r="D9" s="755">
        <f>10100*RAROC!B142</f>
        <v>10100</v>
      </c>
      <c r="E9" s="755">
        <f>7000*RAROC!B142</f>
        <v>7000</v>
      </c>
      <c r="F9" s="124" t="s">
        <v>1254</v>
      </c>
      <c r="H9" s="20" t="s">
        <v>359</v>
      </c>
      <c r="I9" s="15"/>
      <c r="J9" s="774">
        <v>0.1</v>
      </c>
      <c r="K9" s="23" t="s">
        <v>1507</v>
      </c>
      <c r="L9" s="1300">
        <v>240</v>
      </c>
      <c r="N9" s="20" t="s">
        <v>1186</v>
      </c>
      <c r="O9" s="15"/>
      <c r="Q9" s="3"/>
      <c r="R9" s="15"/>
      <c r="S9" s="164">
        <f t="shared" si="0"/>
        <v>3960.1373999999987</v>
      </c>
      <c r="T9" s="164">
        <f t="shared" si="0"/>
        <v>3960.1373999999987</v>
      </c>
      <c r="U9" s="164">
        <f t="shared" si="0"/>
        <v>5280.1831999999995</v>
      </c>
      <c r="V9" s="181">
        <f>Turnkey!S30</f>
        <v>13200.457999999997</v>
      </c>
      <c r="X9" s="20" t="s">
        <v>567</v>
      </c>
      <c r="Y9" s="143"/>
      <c r="Z9" s="143"/>
      <c r="AA9" s="374">
        <f ca="1">AB9/Est_Cost1</f>
        <v>0.20391427996019471</v>
      </c>
      <c r="AB9" s="963">
        <v>70125</v>
      </c>
      <c r="AD9" s="20" t="s">
        <v>317</v>
      </c>
      <c r="AE9" s="1695">
        <f ca="1">AF9</f>
        <v>23757.596540015653</v>
      </c>
      <c r="AF9" s="188">
        <f ca="1">IDC!C86</f>
        <v>23757.596540015653</v>
      </c>
      <c r="AG9" s="274">
        <f ca="1">AF9-AE9</f>
        <v>0</v>
      </c>
    </row>
    <row r="10" spans="1:33">
      <c r="A10" s="20" t="s">
        <v>360</v>
      </c>
      <c r="B10" s="15"/>
      <c r="C10" s="756" t="s">
        <v>1827</v>
      </c>
      <c r="D10" s="757"/>
      <c r="E10" s="757"/>
      <c r="F10" s="21"/>
      <c r="H10" s="20" t="s">
        <v>361</v>
      </c>
      <c r="I10" s="15"/>
      <c r="J10" s="774">
        <v>0.08</v>
      </c>
      <c r="K10" s="23" t="s">
        <v>756</v>
      </c>
      <c r="L10" s="21"/>
      <c r="N10" s="150" t="s">
        <v>1188</v>
      </c>
      <c r="O10" s="36"/>
      <c r="P10" s="36"/>
      <c r="Q10" s="53"/>
      <c r="R10" s="36"/>
      <c r="S10" s="164">
        <f>$V10*S$5</f>
        <v>1221.8999999999999</v>
      </c>
      <c r="T10" s="164">
        <f>$V10*T$5</f>
        <v>1221.8999999999999</v>
      </c>
      <c r="U10" s="164">
        <f>$V10*U$5</f>
        <v>1629.2</v>
      </c>
      <c r="V10" s="183">
        <f>Turnkey!S37</f>
        <v>4073</v>
      </c>
      <c r="X10" s="20" t="s">
        <v>988</v>
      </c>
      <c r="Y10" s="143"/>
      <c r="Z10" s="143"/>
      <c r="AA10" s="143"/>
      <c r="AB10" s="976">
        <v>1</v>
      </c>
      <c r="AD10" s="20" t="s">
        <v>662</v>
      </c>
      <c r="AE10" s="1695">
        <f ca="1">AF10</f>
        <v>2168.1982482288668</v>
      </c>
      <c r="AF10" s="188">
        <f ca="1">IDC!C87</f>
        <v>2168.1982482288668</v>
      </c>
      <c r="AG10" s="274">
        <f ca="1">AF10-AE10</f>
        <v>0</v>
      </c>
    </row>
    <row r="11" spans="1:33" ht="13.5" thickBot="1">
      <c r="A11" s="48" t="s">
        <v>362</v>
      </c>
      <c r="B11" s="49"/>
      <c r="C11" s="771" t="s">
        <v>343</v>
      </c>
      <c r="D11" s="1343"/>
      <c r="E11" s="1343"/>
      <c r="F11" s="125"/>
      <c r="H11" s="20" t="s">
        <v>1580</v>
      </c>
      <c r="I11" s="15"/>
      <c r="J11" s="774">
        <v>0.3</v>
      </c>
      <c r="K11" s="23" t="s">
        <v>765</v>
      </c>
      <c r="L11" s="21"/>
      <c r="N11" s="20" t="s">
        <v>1293</v>
      </c>
      <c r="O11" s="15"/>
      <c r="Q11" s="15"/>
      <c r="R11" s="15"/>
      <c r="S11" s="164">
        <f t="shared" si="0"/>
        <v>-2302.5701669569439</v>
      </c>
      <c r="T11" s="164">
        <f t="shared" si="0"/>
        <v>-2302.5701669569439</v>
      </c>
      <c r="U11" s="164">
        <f t="shared" si="0"/>
        <v>-3070.0935559425925</v>
      </c>
      <c r="V11" s="1312">
        <f>-7675233.88985648/1000</f>
        <v>-7675.2338898564803</v>
      </c>
      <c r="X11" s="20" t="s">
        <v>990</v>
      </c>
      <c r="Y11" s="777">
        <v>15</v>
      </c>
      <c r="Z11" s="143"/>
      <c r="AA11" s="44" t="s">
        <v>991</v>
      </c>
      <c r="AB11" s="21">
        <f ca="1">IF(Y11=0,0,Y11-ROUND(((Startops3-Fin_Close)/365),0)+AB12/2)*2</f>
        <v>29</v>
      </c>
      <c r="AD11" s="20" t="s">
        <v>94</v>
      </c>
      <c r="AE11" s="1695">
        <f ca="1">AF11</f>
        <v>29527.516798665871</v>
      </c>
      <c r="AF11" s="188">
        <f ca="1">Tot_Cost*Debtperc*AB$75</f>
        <v>29527.516798665871</v>
      </c>
      <c r="AG11" s="274">
        <f ca="1">AF11-AE11</f>
        <v>0</v>
      </c>
    </row>
    <row r="12" spans="1:33" ht="13.5" thickBot="1">
      <c r="H12" s="20" t="s">
        <v>1581</v>
      </c>
      <c r="I12" s="15"/>
      <c r="J12" s="774">
        <v>0</v>
      </c>
      <c r="K12" s="23" t="s">
        <v>1586</v>
      </c>
      <c r="L12" s="21"/>
      <c r="N12" s="20" t="s">
        <v>510</v>
      </c>
      <c r="O12" s="15"/>
      <c r="Q12" s="787">
        <v>1</v>
      </c>
      <c r="S12" s="164">
        <f t="shared" si="0"/>
        <v>-2254.1505053999999</v>
      </c>
      <c r="T12" s="164">
        <f t="shared" si="0"/>
        <v>-2254.1505053999999</v>
      </c>
      <c r="U12" s="164">
        <f t="shared" si="0"/>
        <v>-3005.5340072000004</v>
      </c>
      <c r="V12" s="181">
        <f>Turnkey!W50</f>
        <v>-7513.8350180000007</v>
      </c>
      <c r="X12" s="20" t="s">
        <v>994</v>
      </c>
      <c r="Y12" s="55">
        <f ca="1">IF(AB12=0,0,AB12+ROUND(((Startops3-Fin_Close)/365),2))</f>
        <v>1.92</v>
      </c>
      <c r="Z12" s="143"/>
      <c r="AA12" s="44" t="s">
        <v>995</v>
      </c>
      <c r="AB12" s="978">
        <v>1</v>
      </c>
      <c r="AD12" s="20" t="s">
        <v>1263</v>
      </c>
      <c r="AE12" s="1695">
        <f ca="1">AF12</f>
        <v>166.01672214887378</v>
      </c>
      <c r="AF12" s="188">
        <f ca="1">IDC!C109</f>
        <v>166.01672214887378</v>
      </c>
      <c r="AG12" s="274">
        <f ca="1">AF12-AE12</f>
        <v>0</v>
      </c>
    </row>
    <row r="13" spans="1:33" ht="13.5" thickBot="1">
      <c r="A13" s="120" t="s">
        <v>368</v>
      </c>
      <c r="B13" s="376"/>
      <c r="C13" s="121" t="s">
        <v>325</v>
      </c>
      <c r="D13" s="121" t="s">
        <v>327</v>
      </c>
      <c r="E13" s="121" t="s">
        <v>328</v>
      </c>
      <c r="F13" s="158" t="s">
        <v>1354</v>
      </c>
      <c r="H13" s="20" t="s">
        <v>755</v>
      </c>
      <c r="I13" s="15"/>
      <c r="J13" s="774">
        <v>0.15</v>
      </c>
      <c r="K13" s="23" t="s">
        <v>1587</v>
      </c>
      <c r="L13" s="21"/>
      <c r="N13" s="20" t="s">
        <v>165</v>
      </c>
      <c r="O13" s="15"/>
      <c r="Q13" s="787">
        <v>1</v>
      </c>
      <c r="R13" s="15"/>
      <c r="S13" s="168">
        <f t="shared" si="0"/>
        <v>-2190.4064999999996</v>
      </c>
      <c r="T13" s="168">
        <f t="shared" si="0"/>
        <v>-2190.4064999999996</v>
      </c>
      <c r="U13" s="168">
        <f t="shared" si="0"/>
        <v>-2920.5419999999999</v>
      </c>
      <c r="V13" s="811">
        <f>-R66</f>
        <v>-7301.3549999999996</v>
      </c>
      <c r="X13" s="20" t="s">
        <v>989</v>
      </c>
      <c r="Y13" s="143"/>
      <c r="Z13" s="143"/>
      <c r="AA13" s="143">
        <v>3.5000000000000003E-2</v>
      </c>
      <c r="AB13" s="21">
        <f>IF(AB9=0,0,ROUND(Y11/2+(Term_C3/12),1))</f>
        <v>11.2</v>
      </c>
      <c r="AD13" s="20"/>
      <c r="AE13" s="208"/>
      <c r="AF13" s="208"/>
      <c r="AG13" s="209"/>
    </row>
    <row r="14" spans="1:33" ht="13.5" thickBot="1">
      <c r="A14" s="20" t="s">
        <v>1356</v>
      </c>
      <c r="B14" s="15"/>
      <c r="C14" s="765">
        <v>35765</v>
      </c>
      <c r="D14" s="1244">
        <f>Startconst</f>
        <v>35765</v>
      </c>
      <c r="E14" s="1244">
        <f>Startconst</f>
        <v>35765</v>
      </c>
      <c r="F14" s="1245">
        <f>Startconst</f>
        <v>35765</v>
      </c>
      <c r="H14" s="20" t="s">
        <v>1951</v>
      </c>
      <c r="I14" s="15"/>
      <c r="J14" s="774">
        <v>0.25</v>
      </c>
      <c r="K14" s="23" t="s">
        <v>1950</v>
      </c>
      <c r="L14" s="21"/>
      <c r="N14" s="174" t="s">
        <v>1442</v>
      </c>
      <c r="O14" s="36"/>
      <c r="P14" s="36"/>
      <c r="Q14" s="36"/>
      <c r="R14" s="36"/>
      <c r="S14" s="165">
        <f>SUM(S8:S13)</f>
        <v>69974.825127643053</v>
      </c>
      <c r="T14" s="165">
        <f>SUM(T8:T13)</f>
        <v>69974.825127643053</v>
      </c>
      <c r="U14" s="165">
        <f>SUM(U8:U13)</f>
        <v>93299.766836857423</v>
      </c>
      <c r="V14" s="182">
        <f>SUM(V8:V13)</f>
        <v>233249.4170921435</v>
      </c>
      <c r="X14" s="20" t="s">
        <v>996</v>
      </c>
      <c r="Y14" s="783">
        <v>6.8400000000000002E-2</v>
      </c>
      <c r="Z14" s="783">
        <v>2E-3</v>
      </c>
      <c r="AA14" s="143"/>
      <c r="AB14" s="135">
        <f>RAROC!B92</f>
        <v>7.0400000000000004E-2</v>
      </c>
      <c r="AD14" s="176" t="s">
        <v>783</v>
      </c>
      <c r="AE14" s="177"/>
      <c r="AF14" s="177"/>
      <c r="AG14" s="742">
        <f ca="1">SUM(AG7:AG13)</f>
        <v>0</v>
      </c>
    </row>
    <row r="15" spans="1:33" ht="13.5" thickBot="1">
      <c r="A15" s="20" t="s">
        <v>1255</v>
      </c>
      <c r="B15" s="15"/>
      <c r="C15" s="15">
        <f ca="1">ROUND((Startops1-Startconst)/(365/12),0)</f>
        <v>16</v>
      </c>
      <c r="D15" s="15">
        <f>ROUND((Startops2-Startconst)/(365/12),0)</f>
        <v>39</v>
      </c>
      <c r="E15" s="15">
        <f>ROUND((Startops3-Startconst)/(365/12),0)</f>
        <v>44</v>
      </c>
      <c r="F15" s="21"/>
      <c r="H15" s="20" t="s">
        <v>1582</v>
      </c>
      <c r="I15" s="15"/>
      <c r="J15" s="774">
        <v>0.15</v>
      </c>
      <c r="K15" s="23" t="s">
        <v>1588</v>
      </c>
      <c r="L15" s="21"/>
      <c r="N15" s="150"/>
      <c r="O15" s="53"/>
      <c r="P15" s="53"/>
      <c r="Q15" s="53"/>
      <c r="R15" s="53"/>
      <c r="S15" s="166"/>
      <c r="T15" s="166"/>
      <c r="U15" s="166"/>
      <c r="V15" s="183"/>
      <c r="X15" s="20" t="s">
        <v>94</v>
      </c>
      <c r="Y15" s="143"/>
      <c r="Z15" s="143"/>
      <c r="AA15" s="143"/>
      <c r="AB15" s="792">
        <f>0.5%+19.9%</f>
        <v>0.20399999999999999</v>
      </c>
    </row>
    <row r="16" spans="1:33">
      <c r="A16" s="20" t="s">
        <v>1355</v>
      </c>
      <c r="B16" s="15"/>
      <c r="C16" s="765">
        <f ca="1">[3]RAC_ASSUMP!$G$5</f>
        <v>36251</v>
      </c>
      <c r="D16" s="765">
        <f>RAROC!J51</f>
        <v>36951</v>
      </c>
      <c r="E16" s="765">
        <f>RAROC!J52</f>
        <v>37104</v>
      </c>
      <c r="F16" s="791">
        <f>RAROC!J53</f>
        <v>37377</v>
      </c>
      <c r="H16" s="20" t="s">
        <v>1583</v>
      </c>
      <c r="I16" s="15"/>
      <c r="J16" s="774">
        <v>6.4999999999999997E-3</v>
      </c>
      <c r="K16" s="23" t="s">
        <v>1154</v>
      </c>
      <c r="L16" s="21"/>
      <c r="N16" s="20" t="s">
        <v>432</v>
      </c>
      <c r="O16" s="759">
        <v>4</v>
      </c>
      <c r="P16" s="55" t="s">
        <v>12</v>
      </c>
      <c r="Q16" s="785">
        <f>(1735/O16)</f>
        <v>433.75</v>
      </c>
      <c r="R16" s="15" t="s">
        <v>13</v>
      </c>
      <c r="S16" s="164">
        <f t="shared" ref="S16:U20" si="1">$V16*S$5</f>
        <v>520.5</v>
      </c>
      <c r="T16" s="164">
        <f t="shared" si="1"/>
        <v>520.5</v>
      </c>
      <c r="U16" s="164">
        <f t="shared" si="1"/>
        <v>694</v>
      </c>
      <c r="V16" s="181">
        <f>O16*Q16</f>
        <v>1735</v>
      </c>
      <c r="X16" s="130" t="s">
        <v>1263</v>
      </c>
      <c r="Y16" s="191"/>
      <c r="Z16" s="191"/>
      <c r="AA16" s="191"/>
      <c r="AB16" s="977">
        <v>3.7499999999999999E-3</v>
      </c>
      <c r="AD16" s="202" t="s">
        <v>375</v>
      </c>
    </row>
    <row r="17" spans="1:31" ht="13.5" thickBot="1">
      <c r="A17" s="20" t="s">
        <v>1256</v>
      </c>
      <c r="B17" s="15"/>
      <c r="C17" s="15">
        <f ca="1">ROUND((Startops2-Startops1)/(365/12),0)</f>
        <v>23</v>
      </c>
      <c r="D17" s="15">
        <f>ROUND((Startops3-Startops2)/(365/12),0)</f>
        <v>5</v>
      </c>
      <c r="E17" s="15">
        <f>ROUND((Startops4-Startops3)/(365/12),0)</f>
        <v>9</v>
      </c>
      <c r="F17" s="21">
        <f ca="1">(Term*12)-E17-D17-C17</f>
        <v>203</v>
      </c>
      <c r="H17" s="20" t="s">
        <v>367</v>
      </c>
      <c r="I17" s="15"/>
      <c r="J17" s="774">
        <v>0.02</v>
      </c>
      <c r="K17" s="23" t="s">
        <v>1154</v>
      </c>
      <c r="L17" s="21"/>
      <c r="N17" s="20" t="s">
        <v>1315</v>
      </c>
      <c r="O17" s="15"/>
      <c r="P17" s="46"/>
      <c r="Q17" s="47"/>
      <c r="R17" s="46"/>
      <c r="S17" s="164">
        <f t="shared" si="1"/>
        <v>162</v>
      </c>
      <c r="T17" s="164">
        <f t="shared" si="1"/>
        <v>162</v>
      </c>
      <c r="U17" s="164">
        <f t="shared" si="1"/>
        <v>216</v>
      </c>
      <c r="V17" s="1312">
        <v>540</v>
      </c>
      <c r="X17" s="174" t="s">
        <v>58</v>
      </c>
      <c r="Y17" s="187"/>
      <c r="Z17" s="187"/>
      <c r="AA17" s="187"/>
      <c r="AB17" s="979"/>
      <c r="AD17" s="203">
        <f ca="1">IF(ABS(AG14)&lt;0.05,0,1)</f>
        <v>0</v>
      </c>
    </row>
    <row r="18" spans="1:31">
      <c r="A18" s="20" t="s">
        <v>1012</v>
      </c>
      <c r="B18" s="15"/>
      <c r="C18" s="15"/>
      <c r="D18" s="15"/>
      <c r="E18" s="15"/>
      <c r="F18" s="791">
        <v>36678</v>
      </c>
      <c r="H18" s="20" t="s">
        <v>369</v>
      </c>
      <c r="I18" s="15"/>
      <c r="J18" s="774">
        <v>0.28999999999999998</v>
      </c>
      <c r="K18" s="23" t="s">
        <v>759</v>
      </c>
      <c r="L18" s="21"/>
      <c r="N18" s="20" t="s">
        <v>464</v>
      </c>
      <c r="O18" s="15"/>
      <c r="P18" s="15"/>
      <c r="Q18" s="15"/>
      <c r="R18" s="15"/>
      <c r="S18" s="164">
        <f t="shared" si="1"/>
        <v>577.5</v>
      </c>
      <c r="T18" s="164">
        <f t="shared" si="1"/>
        <v>577.5</v>
      </c>
      <c r="U18" s="164">
        <f t="shared" si="1"/>
        <v>770</v>
      </c>
      <c r="V18" s="1312">
        <v>1925</v>
      </c>
      <c r="X18" s="150" t="s">
        <v>567</v>
      </c>
      <c r="Y18" s="187"/>
      <c r="Z18" s="187"/>
      <c r="AA18" s="374">
        <f ca="1">AB18/Est_Cost1</f>
        <v>0.20391427996019471</v>
      </c>
      <c r="AB18" s="963">
        <v>70125</v>
      </c>
    </row>
    <row r="19" spans="1:31">
      <c r="A19" s="322" t="s">
        <v>1357</v>
      </c>
      <c r="B19" s="323"/>
      <c r="C19" s="324" t="s">
        <v>730</v>
      </c>
      <c r="D19" s="325"/>
      <c r="E19" s="325"/>
      <c r="F19" s="760">
        <v>20</v>
      </c>
      <c r="H19" s="20" t="s">
        <v>370</v>
      </c>
      <c r="I19" s="15"/>
      <c r="J19" s="774">
        <v>0.08</v>
      </c>
      <c r="K19" s="23" t="s">
        <v>759</v>
      </c>
      <c r="L19" s="21"/>
      <c r="N19" s="20" t="s">
        <v>14</v>
      </c>
      <c r="O19" s="15"/>
      <c r="P19" s="15"/>
      <c r="Q19" s="15"/>
      <c r="R19" s="15"/>
      <c r="S19" s="164">
        <f t="shared" si="1"/>
        <v>377.02671599999979</v>
      </c>
      <c r="T19" s="164">
        <f t="shared" si="1"/>
        <v>377.02671599999979</v>
      </c>
      <c r="U19" s="164">
        <f t="shared" si="1"/>
        <v>502.70228799999978</v>
      </c>
      <c r="V19" s="1312">
        <v>1256.7557199999994</v>
      </c>
      <c r="X19" s="150" t="s">
        <v>988</v>
      </c>
      <c r="Y19" s="187"/>
      <c r="Z19" s="187"/>
      <c r="AA19" s="187"/>
      <c r="AB19" s="976">
        <v>1</v>
      </c>
    </row>
    <row r="20" spans="1:31">
      <c r="A20" s="20" t="s">
        <v>804</v>
      </c>
      <c r="B20" s="15"/>
      <c r="C20" s="42"/>
      <c r="D20" s="42"/>
      <c r="E20" s="42"/>
      <c r="F20" s="791">
        <v>43585</v>
      </c>
      <c r="H20" s="20" t="s">
        <v>373</v>
      </c>
      <c r="I20" s="15"/>
      <c r="J20" s="774">
        <v>2.5000000000000001E-2</v>
      </c>
      <c r="K20" s="23" t="s">
        <v>759</v>
      </c>
      <c r="L20" s="21"/>
      <c r="N20" s="20" t="s">
        <v>372</v>
      </c>
      <c r="O20" s="785">
        <v>2642</v>
      </c>
      <c r="P20" s="1250" t="s">
        <v>1260</v>
      </c>
      <c r="Q20" s="785">
        <v>0</v>
      </c>
      <c r="R20" s="15"/>
      <c r="S20" s="168">
        <f t="shared" si="1"/>
        <v>792.6</v>
      </c>
      <c r="T20" s="168">
        <f t="shared" si="1"/>
        <v>792.6</v>
      </c>
      <c r="U20" s="168">
        <f t="shared" si="1"/>
        <v>1056.8</v>
      </c>
      <c r="V20" s="811">
        <f>SUM(O20,Q20)</f>
        <v>2642</v>
      </c>
      <c r="X20" s="20" t="s">
        <v>990</v>
      </c>
      <c r="Y20" s="777">
        <v>15</v>
      </c>
      <c r="Z20" s="143"/>
      <c r="AA20" s="44" t="s">
        <v>991</v>
      </c>
      <c r="AB20" s="21">
        <f ca="1">IF(Y20=0,0,Y20-ROUND(((Startops3-Fin_Close)/365),0)+AB21/2)*2</f>
        <v>29</v>
      </c>
      <c r="AE20" s="1519">
        <f ca="1">Est_Cost1-Est_Idc1-Est_Wh1-Est_Commit1</f>
        <v>317802.6916783427</v>
      </c>
    </row>
    <row r="21" spans="1:31" ht="13.5" thickBot="1">
      <c r="A21" s="48">
        <v>0</v>
      </c>
      <c r="B21" s="49"/>
      <c r="C21" s="49"/>
      <c r="D21" s="49"/>
      <c r="E21" s="49"/>
      <c r="F21" s="761" t="s">
        <v>379</v>
      </c>
      <c r="H21" s="20" t="s">
        <v>753</v>
      </c>
      <c r="I21" s="15"/>
      <c r="J21" s="774">
        <v>0</v>
      </c>
      <c r="K21" s="23" t="s">
        <v>374</v>
      </c>
      <c r="L21" s="21"/>
      <c r="N21" s="174" t="s">
        <v>1107</v>
      </c>
      <c r="O21" s="36"/>
      <c r="P21" s="36"/>
      <c r="Q21" s="36"/>
      <c r="R21" s="36"/>
      <c r="S21" s="165">
        <f>SUM(S16:S20)</f>
        <v>2429.6267159999998</v>
      </c>
      <c r="T21" s="165">
        <f>SUM(T16:T20)</f>
        <v>2429.6267159999998</v>
      </c>
      <c r="U21" s="165">
        <f>SUM(U16:U20)</f>
        <v>3239.5022879999997</v>
      </c>
      <c r="V21" s="182">
        <f>SUM(V16:V20)</f>
        <v>8098.7557199999992</v>
      </c>
      <c r="X21" s="20" t="s">
        <v>994</v>
      </c>
      <c r="Y21" s="55">
        <f ca="1">IF(AB21=0,0,AB21+ROUND(((Startops3-Fin_Close)/365),2))</f>
        <v>1.92</v>
      </c>
      <c r="Z21" s="143"/>
      <c r="AA21" s="44" t="s">
        <v>995</v>
      </c>
      <c r="AB21" s="978">
        <v>1</v>
      </c>
    </row>
    <row r="22" spans="1:31" ht="13.5" thickBot="1">
      <c r="H22" s="20" t="s">
        <v>752</v>
      </c>
      <c r="I22" s="15"/>
      <c r="J22" s="774">
        <v>0</v>
      </c>
      <c r="K22" s="23" t="s">
        <v>374</v>
      </c>
      <c r="L22" s="21"/>
      <c r="N22" s="20"/>
      <c r="O22" s="743"/>
      <c r="P22" s="143"/>
      <c r="Q22" s="164"/>
      <c r="R22" s="15"/>
      <c r="S22" s="164"/>
      <c r="T22" s="164"/>
      <c r="U22" s="164"/>
      <c r="V22" s="181"/>
      <c r="X22" s="150" t="s">
        <v>989</v>
      </c>
      <c r="Y22" s="187"/>
      <c r="Z22" s="187"/>
      <c r="AA22" s="187">
        <v>3.5000000000000003E-2</v>
      </c>
      <c r="AB22" s="21">
        <f>IF(AB18=0,0,ROUND(Y20/2+(Term_C3/12),1))</f>
        <v>11.2</v>
      </c>
    </row>
    <row r="23" spans="1:31" ht="13.5" thickBot="1">
      <c r="A23" s="120" t="s">
        <v>740</v>
      </c>
      <c r="B23" s="11"/>
      <c r="C23" s="11"/>
      <c r="D23" s="11"/>
      <c r="E23" s="11"/>
      <c r="F23" s="122"/>
      <c r="H23" s="20" t="s">
        <v>754</v>
      </c>
      <c r="I23" s="15"/>
      <c r="J23" s="774">
        <v>0</v>
      </c>
      <c r="K23" s="23" t="s">
        <v>374</v>
      </c>
      <c r="L23" s="21"/>
      <c r="N23" s="20" t="s">
        <v>1262</v>
      </c>
      <c r="O23" s="15"/>
      <c r="P23" s="15"/>
      <c r="Q23" s="15"/>
      <c r="R23" s="15"/>
      <c r="S23" s="164">
        <f t="shared" ref="S23:U30" ca="1" si="2">$V23*S$5</f>
        <v>7127.278962004696</v>
      </c>
      <c r="T23" s="164">
        <f t="shared" ca="1" si="2"/>
        <v>7127.278962004696</v>
      </c>
      <c r="U23" s="164">
        <f t="shared" ca="1" si="2"/>
        <v>9503.0386160062608</v>
      </c>
      <c r="V23" s="181">
        <f ca="1">Est_Idc1</f>
        <v>23757.596540015653</v>
      </c>
      <c r="X23" s="150" t="s">
        <v>996</v>
      </c>
      <c r="Y23" s="783">
        <v>6.83E-2</v>
      </c>
      <c r="Z23" s="783">
        <v>6.4999999999999997E-3</v>
      </c>
      <c r="AA23" s="187"/>
      <c r="AB23" s="980">
        <f>RAROC!C92</f>
        <v>7.4800000000000005E-2</v>
      </c>
    </row>
    <row r="24" spans="1:31">
      <c r="A24" s="20" t="s">
        <v>719</v>
      </c>
      <c r="B24" s="15"/>
      <c r="C24" s="15"/>
      <c r="D24" s="15"/>
      <c r="E24" s="15"/>
      <c r="F24" s="791">
        <f ca="1">[3]RAC_ASSUMP!$C$15</f>
        <v>36770</v>
      </c>
      <c r="H24" s="20" t="s">
        <v>747</v>
      </c>
      <c r="I24" s="15"/>
      <c r="J24" s="774">
        <v>0</v>
      </c>
      <c r="K24" s="23" t="s">
        <v>757</v>
      </c>
      <c r="L24" s="21"/>
      <c r="N24" s="20" t="s">
        <v>143</v>
      </c>
      <c r="O24" s="15"/>
      <c r="P24" s="15"/>
      <c r="Q24" s="15"/>
      <c r="R24" s="15"/>
      <c r="S24" s="164">
        <f t="shared" ca="1" si="2"/>
        <v>650.45947446866001</v>
      </c>
      <c r="T24" s="164">
        <f t="shared" ca="1" si="2"/>
        <v>650.45947446866001</v>
      </c>
      <c r="U24" s="164">
        <f t="shared" ca="1" si="2"/>
        <v>867.27929929154675</v>
      </c>
      <c r="V24" s="181">
        <f ca="1">Est_Wh1</f>
        <v>2168.1982482288668</v>
      </c>
      <c r="X24" s="150" t="s">
        <v>94</v>
      </c>
      <c r="Y24" s="187"/>
      <c r="Z24" s="187"/>
      <c r="AA24" s="187"/>
      <c r="AB24" s="792">
        <f>0.5%+19.9%</f>
        <v>0.20399999999999999</v>
      </c>
      <c r="AD24" s="7" t="s">
        <v>323</v>
      </c>
      <c r="AE24" s="7" t="s">
        <v>323</v>
      </c>
    </row>
    <row r="25" spans="1:31">
      <c r="A25" s="20" t="s">
        <v>720</v>
      </c>
      <c r="B25" s="15"/>
      <c r="C25" s="15"/>
      <c r="D25" s="15"/>
      <c r="E25" s="15"/>
      <c r="F25" s="375">
        <f ca="1">ROUND((Fin_Close-Startconst)/(365/12),0)</f>
        <v>33</v>
      </c>
      <c r="H25" s="20" t="s">
        <v>750</v>
      </c>
      <c r="I25" s="15"/>
      <c r="J25" s="774">
        <v>1</v>
      </c>
      <c r="K25" s="23" t="s">
        <v>758</v>
      </c>
      <c r="L25" s="21"/>
      <c r="N25" s="20" t="s">
        <v>1263</v>
      </c>
      <c r="O25" s="15"/>
      <c r="P25" s="15"/>
      <c r="Q25" s="15"/>
      <c r="R25" s="15"/>
      <c r="S25" s="164">
        <f t="shared" ca="1" si="2"/>
        <v>49.805016644662132</v>
      </c>
      <c r="T25" s="164">
        <f t="shared" ca="1" si="2"/>
        <v>49.805016644662132</v>
      </c>
      <c r="U25" s="164">
        <f t="shared" ca="1" si="2"/>
        <v>66.406688859549519</v>
      </c>
      <c r="V25" s="181">
        <f ca="1">Est_Commit1</f>
        <v>166.01672214887378</v>
      </c>
      <c r="X25" s="981" t="s">
        <v>1263</v>
      </c>
      <c r="Y25" s="192"/>
      <c r="Z25" s="192"/>
      <c r="AA25" s="192"/>
      <c r="AB25" s="977">
        <v>2.5000000000000001E-3</v>
      </c>
    </row>
    <row r="26" spans="1:31" ht="13.5" thickBot="1">
      <c r="A26" s="48" t="s">
        <v>388</v>
      </c>
      <c r="B26" s="49"/>
      <c r="C26" s="49"/>
      <c r="D26" s="49"/>
      <c r="E26" s="49"/>
      <c r="F26" s="1249">
        <f>EDATE(Startops3,6)</f>
        <v>37288</v>
      </c>
      <c r="H26" s="20" t="s">
        <v>751</v>
      </c>
      <c r="I26" s="15"/>
      <c r="J26" s="774">
        <v>0.1</v>
      </c>
      <c r="K26" s="23" t="s">
        <v>1129</v>
      </c>
      <c r="L26" s="21"/>
      <c r="N26" s="20" t="s">
        <v>94</v>
      </c>
      <c r="O26" s="15"/>
      <c r="P26" s="15"/>
      <c r="Q26" s="15"/>
      <c r="R26" s="15"/>
      <c r="S26" s="164">
        <f t="shared" ca="1" si="2"/>
        <v>8858.2550395997605</v>
      </c>
      <c r="T26" s="164">
        <f t="shared" ca="1" si="2"/>
        <v>8858.2550395997605</v>
      </c>
      <c r="U26" s="164">
        <f t="shared" ca="1" si="2"/>
        <v>11811.00671946635</v>
      </c>
      <c r="V26" s="181">
        <f ca="1">AE11</f>
        <v>29527.516798665871</v>
      </c>
      <c r="X26" s="174" t="s">
        <v>90</v>
      </c>
      <c r="Y26" s="187"/>
      <c r="Z26" s="143"/>
      <c r="AA26" s="187"/>
      <c r="AB26" s="21"/>
    </row>
    <row r="27" spans="1:31" ht="13.5" thickBot="1">
      <c r="H27" s="20" t="s">
        <v>1597</v>
      </c>
      <c r="I27" s="15"/>
      <c r="J27" s="774">
        <v>0</v>
      </c>
      <c r="K27" s="23" t="s">
        <v>764</v>
      </c>
      <c r="L27" s="21"/>
      <c r="N27" s="20" t="s">
        <v>416</v>
      </c>
      <c r="O27" s="15"/>
      <c r="P27" s="15"/>
      <c r="Q27" s="15"/>
      <c r="R27" s="15"/>
      <c r="S27" s="164">
        <f t="shared" si="2"/>
        <v>2225.9625000000001</v>
      </c>
      <c r="T27" s="164">
        <f t="shared" si="2"/>
        <v>2225.9625000000001</v>
      </c>
      <c r="U27" s="164">
        <f t="shared" si="2"/>
        <v>2967.9500000000003</v>
      </c>
      <c r="V27" s="1312">
        <v>7419.875</v>
      </c>
      <c r="X27" s="20" t="s">
        <v>567</v>
      </c>
      <c r="Y27" s="187"/>
      <c r="Z27" s="187"/>
      <c r="AA27" s="374">
        <f ca="1">AB27/Est_Cost1</f>
        <v>7.1969745868304014E-2</v>
      </c>
      <c r="AB27" s="963">
        <f>16750+8000</f>
        <v>24750</v>
      </c>
    </row>
    <row r="28" spans="1:31" ht="13.5" thickBot="1">
      <c r="A28" s="120" t="s">
        <v>380</v>
      </c>
      <c r="B28" s="11"/>
      <c r="C28" s="131"/>
      <c r="D28" s="131"/>
      <c r="E28" s="136" t="s">
        <v>1009</v>
      </c>
      <c r="F28" s="762">
        <v>1997</v>
      </c>
      <c r="H28" s="20" t="s">
        <v>1596</v>
      </c>
      <c r="I28" s="15"/>
      <c r="J28" s="774">
        <v>0</v>
      </c>
      <c r="K28" s="23" t="s">
        <v>377</v>
      </c>
      <c r="L28" s="21"/>
      <c r="N28" s="20" t="s">
        <v>417</v>
      </c>
      <c r="O28" s="15"/>
      <c r="P28" s="15"/>
      <c r="Q28" s="15"/>
      <c r="R28" s="15"/>
      <c r="S28" s="164">
        <f t="shared" si="2"/>
        <v>0</v>
      </c>
      <c r="T28" s="164">
        <f t="shared" si="2"/>
        <v>0</v>
      </c>
      <c r="U28" s="164">
        <f t="shared" si="2"/>
        <v>0</v>
      </c>
      <c r="V28" s="1312">
        <v>0</v>
      </c>
      <c r="X28" s="20" t="s">
        <v>988</v>
      </c>
      <c r="Y28" s="187"/>
      <c r="Z28" s="187"/>
      <c r="AA28" s="143"/>
      <c r="AB28" s="976">
        <v>2</v>
      </c>
    </row>
    <row r="29" spans="1:31">
      <c r="A29" s="20"/>
      <c r="B29" s="15"/>
      <c r="C29" s="15"/>
      <c r="D29" s="15"/>
      <c r="E29" s="257" t="s">
        <v>1008</v>
      </c>
      <c r="F29" s="816">
        <v>1</v>
      </c>
      <c r="H29" s="128" t="s">
        <v>1591</v>
      </c>
      <c r="I29" s="15"/>
      <c r="J29" s="22"/>
      <c r="K29" s="23"/>
      <c r="L29" s="21"/>
      <c r="N29" s="20" t="s">
        <v>1348</v>
      </c>
      <c r="O29" s="15"/>
      <c r="P29" s="43" t="s">
        <v>323</v>
      </c>
      <c r="Q29" s="43"/>
      <c r="R29" s="15"/>
      <c r="S29" s="164">
        <f t="shared" si="2"/>
        <v>1286.4375</v>
      </c>
      <c r="T29" s="164">
        <f t="shared" si="2"/>
        <v>1286.4375</v>
      </c>
      <c r="U29" s="164">
        <f t="shared" si="2"/>
        <v>1715.25</v>
      </c>
      <c r="V29" s="1312">
        <v>4288.125</v>
      </c>
      <c r="X29" s="20" t="s">
        <v>990</v>
      </c>
      <c r="Y29" s="777">
        <v>11</v>
      </c>
      <c r="Z29" s="143"/>
      <c r="AA29" s="44" t="s">
        <v>991</v>
      </c>
      <c r="AB29" s="21">
        <f ca="1">IF(Y29=0,0,Y29-ROUND(((Startops3-Fin_Close)/365),0)+AB30/2)*2</f>
        <v>21</v>
      </c>
    </row>
    <row r="30" spans="1:31">
      <c r="A30" s="132" t="s">
        <v>731</v>
      </c>
      <c r="B30" s="15"/>
      <c r="C30" s="167" t="s">
        <v>325</v>
      </c>
      <c r="D30" s="167" t="s">
        <v>327</v>
      </c>
      <c r="E30" s="167" t="s">
        <v>328</v>
      </c>
      <c r="F30" s="133" t="s">
        <v>382</v>
      </c>
      <c r="H30" s="20" t="s">
        <v>1593</v>
      </c>
      <c r="I30" s="15"/>
      <c r="J30" s="774">
        <v>0.17</v>
      </c>
      <c r="K30" s="23" t="s">
        <v>378</v>
      </c>
      <c r="L30" s="21"/>
      <c r="N30" s="20" t="s">
        <v>1103</v>
      </c>
      <c r="O30" s="15"/>
      <c r="P30" s="15" t="s">
        <v>323</v>
      </c>
      <c r="Q30" s="15"/>
      <c r="R30" s="15"/>
      <c r="S30" s="168">
        <f t="shared" si="2"/>
        <v>1710.654</v>
      </c>
      <c r="T30" s="168">
        <f t="shared" si="2"/>
        <v>1710.654</v>
      </c>
      <c r="U30" s="168">
        <f t="shared" si="2"/>
        <v>2280.8720000000003</v>
      </c>
      <c r="V30" s="1313">
        <f>709.984+4992.196</f>
        <v>5702.18</v>
      </c>
      <c r="X30" s="20" t="s">
        <v>994</v>
      </c>
      <c r="Y30" s="55">
        <f ca="1">IF(AB30=0,0,AB30+ROUND(((Startops3-Fin_Close)/365),2))</f>
        <v>1.92</v>
      </c>
      <c r="Z30" s="143"/>
      <c r="AA30" s="44" t="s">
        <v>995</v>
      </c>
      <c r="AB30" s="978">
        <v>1</v>
      </c>
    </row>
    <row r="31" spans="1:31">
      <c r="A31" s="20" t="s">
        <v>1571</v>
      </c>
      <c r="B31" s="15"/>
      <c r="C31" s="1381" t="s">
        <v>345</v>
      </c>
      <c r="D31" s="763"/>
      <c r="E31" s="763"/>
      <c r="F31" s="995" t="s">
        <v>1570</v>
      </c>
      <c r="H31" s="20" t="s">
        <v>1592</v>
      </c>
      <c r="I31" s="15"/>
      <c r="J31" s="774">
        <v>0.15</v>
      </c>
      <c r="K31" s="23" t="s">
        <v>378</v>
      </c>
      <c r="L31" s="21"/>
      <c r="N31" s="174" t="s">
        <v>1443</v>
      </c>
      <c r="O31" s="36"/>
      <c r="P31" s="36"/>
      <c r="Q31" s="36"/>
      <c r="R31" s="36"/>
      <c r="S31" s="165">
        <f ca="1">SUM(S23:S30)</f>
        <v>21908.852492717779</v>
      </c>
      <c r="T31" s="165">
        <f ca="1">SUM(T23:T30)</f>
        <v>21908.852492717779</v>
      </c>
      <c r="U31" s="165">
        <f ca="1">SUM(U23:U30)</f>
        <v>29211.80332362371</v>
      </c>
      <c r="V31" s="182">
        <f ca="1">SUM(S31:U31)</f>
        <v>73029.508309059267</v>
      </c>
      <c r="X31" s="20" t="s">
        <v>989</v>
      </c>
      <c r="Y31" s="187"/>
      <c r="Z31" s="187"/>
      <c r="AA31" s="143">
        <v>0</v>
      </c>
      <c r="AB31" s="21">
        <f>IF(AB27=0,0,ROUND(Y29/2+(Term_C3/12),1))</f>
        <v>9.1999999999999993</v>
      </c>
    </row>
    <row r="32" spans="1:31">
      <c r="A32" s="20" t="s">
        <v>1572</v>
      </c>
      <c r="B32" s="15"/>
      <c r="C32" s="1381" t="s">
        <v>345</v>
      </c>
      <c r="D32" s="763"/>
      <c r="E32" s="763"/>
      <c r="F32" s="995" t="s">
        <v>1454</v>
      </c>
      <c r="H32" s="20" t="s">
        <v>1825</v>
      </c>
      <c r="I32" s="15"/>
      <c r="J32" s="774">
        <v>0.1</v>
      </c>
      <c r="K32" s="23" t="s">
        <v>1826</v>
      </c>
      <c r="L32" s="21"/>
      <c r="N32" s="150"/>
      <c r="O32" s="53"/>
      <c r="P32" s="53"/>
      <c r="Q32" s="53"/>
      <c r="R32" s="53"/>
      <c r="S32" s="166"/>
      <c r="T32" s="166"/>
      <c r="U32" s="166"/>
      <c r="V32" s="183"/>
      <c r="X32" s="20" t="s">
        <v>996</v>
      </c>
      <c r="Y32" s="783">
        <v>6.7699999999999996E-2</v>
      </c>
      <c r="Z32" s="783">
        <v>2.5000000000000001E-2</v>
      </c>
      <c r="AA32" s="143"/>
      <c r="AB32" s="135">
        <f>RAROC!D92</f>
        <v>9.2700000000000005E-2</v>
      </c>
    </row>
    <row r="33" spans="1:28" ht="13.5" thickBot="1">
      <c r="A33" s="20" t="s">
        <v>1573</v>
      </c>
      <c r="B33" s="15"/>
      <c r="C33" s="1381" t="s">
        <v>345</v>
      </c>
      <c r="D33" s="763"/>
      <c r="E33" s="763"/>
      <c r="F33" s="996" t="s">
        <v>154</v>
      </c>
      <c r="H33" s="48" t="s">
        <v>1594</v>
      </c>
      <c r="I33" s="49"/>
      <c r="J33" s="775">
        <v>8.6999999999999994E-2</v>
      </c>
      <c r="K33" s="147" t="s">
        <v>1595</v>
      </c>
      <c r="L33" s="125"/>
      <c r="N33" s="20" t="s">
        <v>525</v>
      </c>
      <c r="O33" s="785">
        <v>14055.919734200002</v>
      </c>
      <c r="P33" s="1250" t="s">
        <v>1260</v>
      </c>
      <c r="Q33" s="785">
        <v>0</v>
      </c>
      <c r="R33" s="53"/>
      <c r="S33" s="164">
        <f t="shared" ref="S33:U35" si="3">$V33*S$5</f>
        <v>4216.7759202600009</v>
      </c>
      <c r="T33" s="164">
        <f t="shared" si="3"/>
        <v>4216.7759202600009</v>
      </c>
      <c r="U33" s="164">
        <f t="shared" si="3"/>
        <v>5622.3678936800015</v>
      </c>
      <c r="V33" s="181">
        <f>SUM(O33,Q33)</f>
        <v>14055.919734200002</v>
      </c>
      <c r="X33" s="20" t="s">
        <v>94</v>
      </c>
      <c r="Y33" s="187"/>
      <c r="Z33" s="187"/>
      <c r="AA33" s="143"/>
      <c r="AB33" s="792">
        <v>1.4999999999999999E-2</v>
      </c>
    </row>
    <row r="34" spans="1:28" ht="13.5" thickBot="1">
      <c r="A34" s="132" t="s">
        <v>732</v>
      </c>
      <c r="B34" s="15"/>
      <c r="C34" s="15"/>
      <c r="D34" s="15"/>
      <c r="E34" s="15"/>
      <c r="F34" s="341"/>
      <c r="N34" s="20" t="s">
        <v>1403</v>
      </c>
      <c r="O34" s="24"/>
      <c r="P34" s="24"/>
      <c r="Q34" s="15"/>
      <c r="R34" s="15"/>
      <c r="S34" s="164">
        <f t="shared" si="3"/>
        <v>1962</v>
      </c>
      <c r="T34" s="164">
        <f t="shared" si="3"/>
        <v>1962</v>
      </c>
      <c r="U34" s="164">
        <f t="shared" si="3"/>
        <v>2616</v>
      </c>
      <c r="V34" s="1312">
        <f>7918-2883+1505</f>
        <v>6540</v>
      </c>
      <c r="X34" s="130" t="s">
        <v>1263</v>
      </c>
      <c r="Y34" s="192"/>
      <c r="Z34" s="192"/>
      <c r="AA34" s="191"/>
      <c r="AB34" s="977">
        <v>2.5000000000000001E-3</v>
      </c>
    </row>
    <row r="35" spans="1:28" ht="13.5" thickBot="1">
      <c r="A35" s="20" t="s">
        <v>1485</v>
      </c>
      <c r="B35" s="15"/>
      <c r="C35" s="1381" t="s">
        <v>345</v>
      </c>
      <c r="D35" s="763"/>
      <c r="E35" s="763"/>
      <c r="F35" s="996" t="s">
        <v>154</v>
      </c>
      <c r="H35" s="120" t="s">
        <v>389</v>
      </c>
      <c r="I35" s="11"/>
      <c r="J35" s="11"/>
      <c r="K35" s="136" t="s">
        <v>1578</v>
      </c>
      <c r="L35" s="776">
        <v>1</v>
      </c>
      <c r="N35" s="20" t="s">
        <v>1404</v>
      </c>
      <c r="O35" s="24"/>
      <c r="P35" s="24"/>
      <c r="Q35" s="15"/>
      <c r="R35" s="15"/>
      <c r="S35" s="168">
        <f t="shared" si="3"/>
        <v>29.099999999999998</v>
      </c>
      <c r="T35" s="168">
        <f t="shared" si="3"/>
        <v>29.099999999999998</v>
      </c>
      <c r="U35" s="168">
        <f t="shared" si="3"/>
        <v>38.800000000000004</v>
      </c>
      <c r="V35" s="1313">
        <v>97</v>
      </c>
      <c r="X35" s="174" t="s">
        <v>91</v>
      </c>
      <c r="Y35" s="187" t="s">
        <v>59</v>
      </c>
      <c r="Z35" s="777">
        <v>0</v>
      </c>
      <c r="AB35" s="979"/>
    </row>
    <row r="36" spans="1:28" ht="13.5" thickBot="1">
      <c r="A36" s="48" t="s">
        <v>383</v>
      </c>
      <c r="B36" s="49"/>
      <c r="C36" s="1382" t="s">
        <v>345</v>
      </c>
      <c r="D36" s="764"/>
      <c r="E36" s="764"/>
      <c r="F36" s="997" t="s">
        <v>1440</v>
      </c>
      <c r="H36" s="20" t="s">
        <v>46</v>
      </c>
      <c r="I36" s="15"/>
      <c r="J36" s="15"/>
      <c r="K36" s="15"/>
      <c r="L36" s="21"/>
      <c r="N36" s="174" t="s">
        <v>1444</v>
      </c>
      <c r="O36" s="36"/>
      <c r="P36" s="36"/>
      <c r="Q36" s="36"/>
      <c r="R36" s="36"/>
      <c r="S36" s="165">
        <f>SUM(S33:S35)</f>
        <v>6207.8759202600013</v>
      </c>
      <c r="T36" s="165">
        <f>SUM(T33:T35)</f>
        <v>6207.8759202600013</v>
      </c>
      <c r="U36" s="165">
        <f>SUM(U33:U35)</f>
        <v>8277.1678936800017</v>
      </c>
      <c r="V36" s="182">
        <f>SUM(S36:U36)</f>
        <v>20692.919734200004</v>
      </c>
      <c r="X36" s="150" t="s">
        <v>567</v>
      </c>
      <c r="Y36" s="187"/>
      <c r="Z36" s="187"/>
      <c r="AA36" s="374">
        <f ca="1">AB36/Est_Cost1</f>
        <v>0</v>
      </c>
      <c r="AB36" s="719">
        <f ca="1">(Est_Cost1*(100%-Equityperc)-SUM(AB$9,AB$18,AB$27,AB$45))*Z$35</f>
        <v>0</v>
      </c>
    </row>
    <row r="37" spans="1:28" ht="13.5" thickBot="1">
      <c r="H37" s="20" t="s">
        <v>271</v>
      </c>
      <c r="I37" s="15"/>
      <c r="J37" s="15"/>
      <c r="K37" s="15"/>
      <c r="L37" s="21"/>
      <c r="N37" s="150"/>
      <c r="O37" s="53"/>
      <c r="P37" s="53"/>
      <c r="Q37" s="53"/>
      <c r="R37" s="53"/>
      <c r="S37" s="166"/>
      <c r="T37" s="166"/>
      <c r="U37" s="166"/>
      <c r="V37" s="183"/>
      <c r="X37" s="150" t="s">
        <v>988</v>
      </c>
      <c r="Y37" s="187"/>
      <c r="Z37" s="187"/>
      <c r="AA37" s="187"/>
      <c r="AB37" s="976">
        <v>2</v>
      </c>
    </row>
    <row r="38" spans="1:28" ht="13.5" thickBot="1">
      <c r="A38" s="120" t="s">
        <v>392</v>
      </c>
      <c r="B38" s="11"/>
      <c r="C38" s="11"/>
      <c r="D38" s="11"/>
      <c r="E38" s="136" t="s">
        <v>1505</v>
      </c>
      <c r="F38" s="762">
        <v>1998</v>
      </c>
      <c r="H38" s="20" t="s">
        <v>45</v>
      </c>
      <c r="I38" s="15"/>
      <c r="J38" s="15"/>
      <c r="K38" s="15"/>
      <c r="L38" s="21"/>
      <c r="N38" s="20" t="s">
        <v>1264</v>
      </c>
      <c r="O38" s="23"/>
      <c r="P38" s="1251" t="str">
        <f>IF($F$79=0,"Included In Project Costs","Funded Through W/C Facility")</f>
        <v>Included In Project Costs</v>
      </c>
      <c r="Q38" s="15"/>
      <c r="R38" s="15"/>
      <c r="S38" s="164">
        <f t="shared" ref="S38:U40" ca="1" si="4">$V38*S$5</f>
        <v>0</v>
      </c>
      <c r="T38" s="164">
        <f t="shared" ca="1" si="4"/>
        <v>0</v>
      </c>
      <c r="U38" s="164">
        <f t="shared" ca="1" si="4"/>
        <v>0</v>
      </c>
      <c r="V38" s="181">
        <f ca="1">IF($F$79=0,C86,IF($F$79=2,-C88,0))</f>
        <v>0</v>
      </c>
      <c r="X38" s="20" t="s">
        <v>990</v>
      </c>
      <c r="Y38" s="777">
        <v>16</v>
      </c>
      <c r="Z38" s="143"/>
      <c r="AA38" s="44" t="s">
        <v>991</v>
      </c>
      <c r="AB38" s="21">
        <f ca="1">IF(Y38=0,0,Y38-ROUND(((Startops3-Fin_Close)/365),0)+AB39/2)*2</f>
        <v>31</v>
      </c>
    </row>
    <row r="39" spans="1:28">
      <c r="A39" s="20"/>
      <c r="B39" s="15"/>
      <c r="C39" s="15"/>
      <c r="D39" s="15"/>
      <c r="E39" s="15"/>
      <c r="F39" s="21"/>
      <c r="H39" s="196" t="s">
        <v>1787</v>
      </c>
      <c r="I39" s="777">
        <v>2013</v>
      </c>
      <c r="K39" s="15"/>
      <c r="L39" s="21"/>
      <c r="N39" s="20" t="s">
        <v>1405</v>
      </c>
      <c r="O39" s="23"/>
      <c r="P39" s="43" t="s">
        <v>323</v>
      </c>
      <c r="Q39" s="43"/>
      <c r="R39" s="15"/>
      <c r="S39" s="164">
        <f t="shared" si="4"/>
        <v>1363.3481999999999</v>
      </c>
      <c r="T39" s="164">
        <f t="shared" si="4"/>
        <v>1363.3481999999999</v>
      </c>
      <c r="U39" s="164">
        <f t="shared" si="4"/>
        <v>1817.7975999999999</v>
      </c>
      <c r="V39" s="1312">
        <v>4544.4939999999997</v>
      </c>
      <c r="X39" s="20" t="s">
        <v>994</v>
      </c>
      <c r="Y39" s="55">
        <f ca="1">IF(AB39=0,0,AB39+ROUND(((Startops3-Fin_Close)/365),2))</f>
        <v>1.92</v>
      </c>
      <c r="Z39" s="143"/>
      <c r="AA39" s="44" t="s">
        <v>995</v>
      </c>
      <c r="AB39" s="978">
        <v>1</v>
      </c>
    </row>
    <row r="40" spans="1:28">
      <c r="A40" s="128" t="s">
        <v>502</v>
      </c>
      <c r="B40" s="15"/>
      <c r="C40" s="15"/>
      <c r="D40" s="15"/>
      <c r="E40" s="15"/>
      <c r="F40" s="133" t="s">
        <v>382</v>
      </c>
      <c r="H40" s="20"/>
      <c r="I40" s="15"/>
      <c r="J40" s="15"/>
      <c r="K40" s="15"/>
      <c r="L40" s="21"/>
      <c r="M40" s="342">
        <v>1</v>
      </c>
      <c r="N40" s="20" t="s">
        <v>1406</v>
      </c>
      <c r="O40" s="23"/>
      <c r="P40" s="43" t="s">
        <v>323</v>
      </c>
      <c r="Q40" s="43"/>
      <c r="R40" s="15"/>
      <c r="S40" s="168">
        <f t="shared" si="4"/>
        <v>30</v>
      </c>
      <c r="T40" s="168">
        <f t="shared" si="4"/>
        <v>30</v>
      </c>
      <c r="U40" s="168">
        <f t="shared" si="4"/>
        <v>40</v>
      </c>
      <c r="V40" s="1313">
        <v>100</v>
      </c>
      <c r="X40" s="150" t="s">
        <v>989</v>
      </c>
      <c r="Y40" s="187"/>
      <c r="Z40" s="187"/>
      <c r="AA40" s="187">
        <v>0</v>
      </c>
      <c r="AB40" s="21">
        <f ca="1">IF(AB36=0,0,ROUND(Y38/2+(Term_C3/12),1))</f>
        <v>0</v>
      </c>
    </row>
    <row r="41" spans="1:28">
      <c r="A41" s="20" t="s">
        <v>1535</v>
      </c>
      <c r="B41" s="1531">
        <v>10400</v>
      </c>
      <c r="C41" s="143" t="s">
        <v>1538</v>
      </c>
      <c r="D41" s="15"/>
      <c r="E41" s="759">
        <v>360.4</v>
      </c>
      <c r="F41" s="995" t="s">
        <v>1541</v>
      </c>
      <c r="H41" s="20" t="s">
        <v>1577</v>
      </c>
      <c r="I41" s="778">
        <v>1998</v>
      </c>
      <c r="J41" s="778">
        <v>2004</v>
      </c>
      <c r="K41" s="778">
        <v>2009</v>
      </c>
      <c r="L41" s="21"/>
      <c r="M41" s="342">
        <f>M40+1</f>
        <v>2</v>
      </c>
      <c r="N41" s="174" t="s">
        <v>1445</v>
      </c>
      <c r="O41" s="36"/>
      <c r="P41" s="36"/>
      <c r="Q41" s="36"/>
      <c r="R41" s="36"/>
      <c r="S41" s="165">
        <f ca="1">SUM(S38:S40)</f>
        <v>1393.3481999999999</v>
      </c>
      <c r="T41" s="165">
        <f ca="1">SUM(T38:T40)</f>
        <v>1393.3481999999999</v>
      </c>
      <c r="U41" s="165">
        <f ca="1">SUM(U38:U40)</f>
        <v>1857.7975999999999</v>
      </c>
      <c r="V41" s="182">
        <f ca="1">SUM(S41:U41)</f>
        <v>4644.4939999999997</v>
      </c>
      <c r="X41" s="150" t="s">
        <v>996</v>
      </c>
      <c r="Y41" s="783">
        <v>0.1168</v>
      </c>
      <c r="Z41" s="783">
        <v>3.5000000000000003E-2</v>
      </c>
      <c r="AA41" s="187"/>
      <c r="AB41" s="980">
        <f>Z41+Y41</f>
        <v>0.15179999999999999</v>
      </c>
    </row>
    <row r="42" spans="1:28" ht="13.5" thickBot="1">
      <c r="A42" s="20" t="s">
        <v>1536</v>
      </c>
      <c r="B42" s="1531">
        <v>850</v>
      </c>
      <c r="C42" s="143" t="s">
        <v>1533</v>
      </c>
      <c r="D42" s="15"/>
      <c r="E42" s="262">
        <f>1/B44</f>
        <v>2.8506456655419541E-2</v>
      </c>
      <c r="F42" s="21"/>
      <c r="H42" s="48" t="s">
        <v>44</v>
      </c>
      <c r="I42" s="775">
        <v>0.75</v>
      </c>
      <c r="J42" s="775">
        <v>0.5</v>
      </c>
      <c r="K42" s="775">
        <v>0.25</v>
      </c>
      <c r="L42" s="125"/>
      <c r="N42" s="150"/>
      <c r="O42" s="53"/>
      <c r="P42" s="53"/>
      <c r="Q42" s="53"/>
      <c r="R42" s="53"/>
      <c r="S42" s="166"/>
      <c r="T42" s="166"/>
      <c r="U42" s="166"/>
      <c r="V42" s="183"/>
      <c r="X42" s="150" t="s">
        <v>94</v>
      </c>
      <c r="Y42" s="187"/>
      <c r="Z42" s="187"/>
      <c r="AA42" s="187"/>
      <c r="AB42" s="792">
        <v>0.01</v>
      </c>
    </row>
    <row r="43" spans="1:28" ht="13.5" thickBot="1">
      <c r="A43" s="20" t="s">
        <v>1534</v>
      </c>
      <c r="B43" s="1532">
        <f>3.9683</f>
        <v>3.9683000000000002</v>
      </c>
      <c r="C43" s="143" t="s">
        <v>1539</v>
      </c>
      <c r="D43" s="15"/>
      <c r="E43" s="53">
        <f>E41*E42</f>
        <v>10.273726978613201</v>
      </c>
      <c r="F43" s="21"/>
      <c r="N43" s="20" t="s">
        <v>1220</v>
      </c>
      <c r="O43" s="53"/>
      <c r="P43" s="24"/>
      <c r="Q43" s="15"/>
      <c r="R43" s="15"/>
      <c r="S43" s="164">
        <f t="shared" ref="S43:U45" si="5">$V43*S$5</f>
        <v>0</v>
      </c>
      <c r="T43" s="164">
        <f t="shared" si="5"/>
        <v>0</v>
      </c>
      <c r="U43" s="164">
        <f t="shared" si="5"/>
        <v>0</v>
      </c>
      <c r="V43" s="1312">
        <v>0</v>
      </c>
      <c r="X43" s="981" t="s">
        <v>1263</v>
      </c>
      <c r="Y43" s="192"/>
      <c r="Z43" s="192"/>
      <c r="AA43" s="192"/>
      <c r="AB43" s="977">
        <v>0</v>
      </c>
    </row>
    <row r="44" spans="1:28" ht="13.5" thickBot="1">
      <c r="A44" s="20" t="s">
        <v>1537</v>
      </c>
      <c r="B44" s="55">
        <f>B41*B42*B43/1000000</f>
        <v>35.079771999999998</v>
      </c>
      <c r="C44" s="143" t="s">
        <v>1332</v>
      </c>
      <c r="D44" s="15"/>
      <c r="E44" s="1026">
        <f>E43/Exch</f>
        <v>9.6466919986978414</v>
      </c>
      <c r="F44" s="995" t="s">
        <v>1542</v>
      </c>
      <c r="H44" s="120" t="s">
        <v>381</v>
      </c>
      <c r="I44" s="11"/>
      <c r="J44" s="11"/>
      <c r="K44" s="11"/>
      <c r="L44" s="122"/>
      <c r="N44" s="20" t="s">
        <v>1894</v>
      </c>
      <c r="O44" s="53"/>
      <c r="P44" s="1251"/>
      <c r="Q44" s="15"/>
      <c r="R44" s="15"/>
      <c r="S44" s="164">
        <f t="shared" si="5"/>
        <v>1253.8224999999998</v>
      </c>
      <c r="T44" s="164">
        <f t="shared" si="5"/>
        <v>1253.8224999999998</v>
      </c>
      <c r="U44" s="164">
        <f t="shared" si="5"/>
        <v>1671.7633333333333</v>
      </c>
      <c r="V44" s="1312">
        <v>4179.4083333333328</v>
      </c>
      <c r="X44" s="174" t="s">
        <v>92</v>
      </c>
      <c r="Y44" s="187"/>
      <c r="Z44" s="143"/>
      <c r="AA44" s="187"/>
      <c r="AB44" s="21"/>
    </row>
    <row r="45" spans="1:28">
      <c r="A45" s="20"/>
      <c r="B45" s="15"/>
      <c r="C45" s="143" t="s">
        <v>1540</v>
      </c>
      <c r="D45" s="15"/>
      <c r="E45" s="15">
        <f>E44*Hr_I/1000000</f>
        <v>9.7431589186848203E-2</v>
      </c>
      <c r="F45" s="21"/>
      <c r="H45" s="20" t="s">
        <v>1135</v>
      </c>
      <c r="I45" s="15"/>
      <c r="J45" s="961" t="s">
        <v>1134</v>
      </c>
      <c r="K45" s="15"/>
      <c r="L45" s="21"/>
      <c r="N45" s="20" t="s">
        <v>1895</v>
      </c>
      <c r="O45" s="53"/>
      <c r="P45" s="1251"/>
      <c r="Q45" s="15"/>
      <c r="R45" s="15"/>
      <c r="S45" s="168">
        <f t="shared" si="5"/>
        <v>0</v>
      </c>
      <c r="T45" s="168">
        <f t="shared" si="5"/>
        <v>0</v>
      </c>
      <c r="U45" s="168">
        <f t="shared" si="5"/>
        <v>0</v>
      </c>
      <c r="V45" s="1313">
        <v>0</v>
      </c>
      <c r="X45" s="20" t="s">
        <v>567</v>
      </c>
      <c r="Y45" s="187"/>
      <c r="Z45" s="187"/>
      <c r="AA45" s="374">
        <f ca="1">AB45/Est_Cost1</f>
        <v>0.10570427725362079</v>
      </c>
      <c r="AB45" s="1417">
        <f>200000-[1]Assm!$X$9-[4]Assm!$X$9</f>
        <v>36351.11991105834</v>
      </c>
    </row>
    <row r="46" spans="1:28" ht="13.5" thickBot="1">
      <c r="A46" s="128" t="s">
        <v>397</v>
      </c>
      <c r="B46" s="15"/>
      <c r="C46" s="257"/>
      <c r="D46" s="15"/>
      <c r="E46" s="15"/>
      <c r="F46" s="344"/>
      <c r="H46" s="48" t="s">
        <v>1265</v>
      </c>
      <c r="I46" s="49"/>
      <c r="J46" s="775">
        <v>0.37</v>
      </c>
      <c r="K46" s="49"/>
      <c r="L46" s="125"/>
      <c r="N46" s="174" t="s">
        <v>1446</v>
      </c>
      <c r="O46" s="36"/>
      <c r="P46" s="36"/>
      <c r="Q46" s="36"/>
      <c r="R46" s="36"/>
      <c r="S46" s="165">
        <f>SUM(S43:S45)</f>
        <v>1253.8224999999998</v>
      </c>
      <c r="T46" s="165">
        <f>SUM(T43:T45)</f>
        <v>1253.8224999999998</v>
      </c>
      <c r="U46" s="165">
        <f>SUM(U43:U45)</f>
        <v>1671.7633333333333</v>
      </c>
      <c r="V46" s="182">
        <f>SUM(S46:U46)</f>
        <v>4179.4083333333328</v>
      </c>
      <c r="X46" s="20" t="s">
        <v>988</v>
      </c>
      <c r="Y46" s="187"/>
      <c r="Z46" s="187"/>
      <c r="AA46" s="143"/>
      <c r="AB46" s="976">
        <v>3</v>
      </c>
    </row>
    <row r="47" spans="1:28" ht="13.5" thickBot="1">
      <c r="A47" s="20" t="s">
        <v>1788</v>
      </c>
      <c r="B47" s="15"/>
      <c r="C47" s="768">
        <v>1.21</v>
      </c>
      <c r="D47" s="15" t="s">
        <v>733</v>
      </c>
      <c r="E47" s="770"/>
      <c r="F47" s="996" t="s">
        <v>154</v>
      </c>
      <c r="N47" s="174"/>
      <c r="O47" s="36"/>
      <c r="P47" s="36"/>
      <c r="Q47" s="36"/>
      <c r="R47" s="36"/>
      <c r="S47" s="165"/>
      <c r="T47" s="165"/>
      <c r="U47" s="165"/>
      <c r="V47" s="182"/>
      <c r="X47" s="20" t="s">
        <v>990</v>
      </c>
      <c r="Y47" s="777">
        <v>15</v>
      </c>
      <c r="Z47" s="143"/>
      <c r="AA47" s="44" t="s">
        <v>991</v>
      </c>
      <c r="AB47" s="21">
        <f ca="1">IF(Y47=0,0,Y47-ROUND(((Startops3-Fin_Close)/365),0)+AB48/2)*2</f>
        <v>29</v>
      </c>
    </row>
    <row r="48" spans="1:28" ht="13.5" thickBot="1">
      <c r="A48" s="20" t="s">
        <v>1804</v>
      </c>
      <c r="B48" s="15"/>
      <c r="C48" s="768">
        <v>0.25</v>
      </c>
      <c r="D48" s="15" t="s">
        <v>733</v>
      </c>
      <c r="E48" s="44"/>
      <c r="F48" s="995" t="s">
        <v>1806</v>
      </c>
      <c r="H48" s="120" t="s">
        <v>384</v>
      </c>
      <c r="I48" s="11"/>
      <c r="J48" s="12" t="s">
        <v>385</v>
      </c>
      <c r="K48" s="12" t="s">
        <v>386</v>
      </c>
      <c r="L48" s="13" t="s">
        <v>387</v>
      </c>
      <c r="N48" s="175" t="s">
        <v>1447</v>
      </c>
      <c r="O48" s="169"/>
      <c r="P48" s="169"/>
      <c r="Q48" s="170"/>
      <c r="R48" s="171"/>
      <c r="S48" s="172">
        <f ca="1">SUM(S14,S21,S31,S36,S41,S46)</f>
        <v>103168.35095662082</v>
      </c>
      <c r="T48" s="172">
        <f ca="1">SUM(T14,T21,T31,T36,T41,T46)</f>
        <v>103168.35095662082</v>
      </c>
      <c r="U48" s="172">
        <f ca="1">SUM(U14,U21,U31,U36,U41,U46)</f>
        <v>137557.80127549448</v>
      </c>
      <c r="V48" s="184">
        <f ca="1">SUM(V14,V21,V31,V36,V41,V46)</f>
        <v>343894.5031887361</v>
      </c>
      <c r="X48" s="20" t="s">
        <v>994</v>
      </c>
      <c r="Y48" s="55">
        <f ca="1">IF(AB48=0,0,AB48+ROUND(((Startops3-Fin_Close)/365),2))</f>
        <v>1.92</v>
      </c>
      <c r="Z48" s="143"/>
      <c r="AA48" s="44" t="s">
        <v>995</v>
      </c>
      <c r="AB48" s="978">
        <v>1</v>
      </c>
    </row>
    <row r="49" spans="1:30" ht="13.5" thickBot="1">
      <c r="A49" s="345" t="s">
        <v>1803</v>
      </c>
      <c r="B49" s="15"/>
      <c r="C49" s="257"/>
      <c r="D49" s="15"/>
      <c r="E49" s="44"/>
      <c r="F49" s="344"/>
      <c r="H49" s="20"/>
      <c r="I49" s="15"/>
      <c r="J49" s="15"/>
      <c r="K49" s="15"/>
      <c r="L49" s="21"/>
      <c r="N49" s="176" t="s">
        <v>1448</v>
      </c>
      <c r="O49" s="177"/>
      <c r="P49" s="177"/>
      <c r="Q49" s="177"/>
      <c r="R49" s="177"/>
      <c r="S49" s="178">
        <f ca="1">Cost_I/Capacity_I</f>
        <v>687.78900637747211</v>
      </c>
      <c r="T49" s="178">
        <f ca="1">Cost_II/Capacity_II</f>
        <v>433.88267985169267</v>
      </c>
      <c r="U49" s="178">
        <f ca="1">Cost_III/Capacity_III</f>
        <v>286.57875265728018</v>
      </c>
      <c r="V49" s="185">
        <f ca="1">Tot_Cost/Capacity_III</f>
        <v>716.44688164320019</v>
      </c>
      <c r="X49" s="20" t="s">
        <v>989</v>
      </c>
      <c r="Y49" s="187"/>
      <c r="Z49" s="187"/>
      <c r="AA49" s="143">
        <v>0</v>
      </c>
      <c r="AB49" s="21">
        <f>IF(AB45=0,0,ROUND(Y47/2+(Term_C3/12),1))</f>
        <v>11.2</v>
      </c>
    </row>
    <row r="50" spans="1:30" ht="13.5" thickBot="1">
      <c r="A50" s="20"/>
      <c r="B50" s="15"/>
      <c r="C50" s="257"/>
      <c r="D50" s="15"/>
      <c r="E50" s="44"/>
      <c r="F50" s="344"/>
      <c r="H50" s="20" t="s">
        <v>766</v>
      </c>
      <c r="I50" s="15" t="s">
        <v>325</v>
      </c>
      <c r="J50" s="114">
        <f ca="1">Depr!G21</f>
        <v>98794.94800002416</v>
      </c>
      <c r="K50" s="779">
        <v>20</v>
      </c>
      <c r="L50" s="149" t="s">
        <v>390</v>
      </c>
      <c r="X50" s="20" t="s">
        <v>996</v>
      </c>
      <c r="Y50" s="783">
        <v>6.3125000000000001E-2</v>
      </c>
      <c r="Z50" s="783">
        <v>4.7E-2</v>
      </c>
      <c r="AA50" s="143"/>
      <c r="AB50" s="135">
        <f>RAROC!E92</f>
        <v>0.1101</v>
      </c>
    </row>
    <row r="51" spans="1:30" ht="13.5" thickBot="1">
      <c r="A51" s="20" t="s">
        <v>1805</v>
      </c>
      <c r="B51" s="15"/>
      <c r="C51" s="759" t="s">
        <v>1506</v>
      </c>
      <c r="D51" s="769"/>
      <c r="E51" s="770"/>
      <c r="F51" s="995" t="s">
        <v>1454</v>
      </c>
      <c r="H51" s="20"/>
      <c r="I51" s="15" t="s">
        <v>327</v>
      </c>
      <c r="J51" s="114">
        <f ca="1">Depr!H21</f>
        <v>98794.94800002416</v>
      </c>
      <c r="K51" s="779">
        <v>20</v>
      </c>
      <c r="L51" s="149" t="s">
        <v>390</v>
      </c>
      <c r="N51" s="162" t="s">
        <v>159</v>
      </c>
      <c r="O51" s="358"/>
      <c r="P51" s="11"/>
      <c r="Q51" s="11"/>
      <c r="R51" s="190"/>
      <c r="S51" s="190"/>
      <c r="T51" s="11"/>
      <c r="U51" s="11"/>
      <c r="V51" s="122"/>
      <c r="X51" s="20" t="s">
        <v>94</v>
      </c>
      <c r="Y51" s="187"/>
      <c r="Z51" s="187"/>
      <c r="AA51" s="143"/>
      <c r="AB51" s="792">
        <v>1.4999999999999999E-2</v>
      </c>
    </row>
    <row r="52" spans="1:30">
      <c r="A52" s="20"/>
      <c r="B52" s="15"/>
      <c r="C52" s="257"/>
      <c r="D52" s="15"/>
      <c r="E52" s="44"/>
      <c r="F52" s="344"/>
      <c r="H52" s="20"/>
      <c r="I52" s="15" t="s">
        <v>328</v>
      </c>
      <c r="J52" s="114">
        <f ca="1">Depr!I21</f>
        <v>131726.59733336561</v>
      </c>
      <c r="K52" s="779">
        <v>20</v>
      </c>
      <c r="L52" s="149" t="s">
        <v>390</v>
      </c>
      <c r="N52" s="20"/>
      <c r="O52" s="15"/>
      <c r="P52" s="15"/>
      <c r="Q52" s="257" t="s">
        <v>1821</v>
      </c>
      <c r="R52" s="34" t="s">
        <v>1822</v>
      </c>
      <c r="S52" s="34" t="s">
        <v>426</v>
      </c>
      <c r="T52" s="34" t="s">
        <v>1150</v>
      </c>
      <c r="U52" s="34" t="s">
        <v>1151</v>
      </c>
      <c r="V52" s="362" t="s">
        <v>1821</v>
      </c>
      <c r="X52" s="130" t="s">
        <v>1263</v>
      </c>
      <c r="Y52" s="192"/>
      <c r="Z52" s="192"/>
      <c r="AA52" s="191"/>
      <c r="AB52" s="977">
        <v>5.0000000000000001E-3</v>
      </c>
    </row>
    <row r="53" spans="1:30">
      <c r="A53" s="128" t="s">
        <v>505</v>
      </c>
      <c r="B53" s="15"/>
      <c r="C53" s="257" t="s">
        <v>504</v>
      </c>
      <c r="D53" s="257" t="s">
        <v>744</v>
      </c>
      <c r="E53" s="257"/>
      <c r="F53" s="1118"/>
      <c r="H53" s="150"/>
      <c r="I53" s="53"/>
      <c r="J53" s="53"/>
      <c r="K53" s="53"/>
      <c r="L53" s="151"/>
      <c r="N53" s="1523"/>
      <c r="O53" s="1524" t="s">
        <v>1136</v>
      </c>
      <c r="P53" s="1524" t="s">
        <v>1137</v>
      </c>
      <c r="Q53" s="960" t="s">
        <v>1133</v>
      </c>
      <c r="R53" s="1524" t="s">
        <v>1148</v>
      </c>
      <c r="S53" s="1524" t="s">
        <v>1492</v>
      </c>
      <c r="T53" s="1524" t="s">
        <v>1492</v>
      </c>
      <c r="U53" s="1524" t="s">
        <v>1492</v>
      </c>
      <c r="V53" s="1525" t="s">
        <v>1152</v>
      </c>
      <c r="W53" s="1526"/>
      <c r="X53" s="174" t="s">
        <v>106</v>
      </c>
      <c r="Y53" s="187"/>
      <c r="Z53" s="187"/>
      <c r="AA53" s="187"/>
      <c r="AB53" s="979"/>
    </row>
    <row r="54" spans="1:30">
      <c r="A54" s="1016" t="s">
        <v>1148</v>
      </c>
      <c r="B54" s="960" t="s">
        <v>503</v>
      </c>
      <c r="C54" s="960" t="s">
        <v>1492</v>
      </c>
      <c r="D54" s="960" t="s">
        <v>503</v>
      </c>
      <c r="E54" s="960" t="s">
        <v>506</v>
      </c>
      <c r="F54" s="1119" t="s">
        <v>501</v>
      </c>
      <c r="H54" s="150" t="s">
        <v>616</v>
      </c>
      <c r="I54" s="15" t="s">
        <v>325</v>
      </c>
      <c r="J54" s="148">
        <f ca="1">Depr!J21</f>
        <v>98794.94800002416</v>
      </c>
      <c r="K54" s="779">
        <v>20</v>
      </c>
      <c r="L54" s="152" t="s">
        <v>390</v>
      </c>
      <c r="N54" s="20" t="s">
        <v>1138</v>
      </c>
      <c r="O54" s="788">
        <v>36064</v>
      </c>
      <c r="P54" s="788">
        <v>36284</v>
      </c>
      <c r="Q54" s="766">
        <v>49577</v>
      </c>
      <c r="R54" s="788">
        <v>36255</v>
      </c>
      <c r="S54" s="283">
        <f>IF(R54&lt;O54,0,IF(R54&gt;P54,P54-O54,R54-O54))</f>
        <v>191</v>
      </c>
      <c r="T54" s="779">
        <f>-76</f>
        <v>-76</v>
      </c>
      <c r="U54" s="283">
        <f>SUM(S54:T54)</f>
        <v>115</v>
      </c>
      <c r="V54" s="710">
        <f>U54*$Q54/1000</f>
        <v>5701.3549999999996</v>
      </c>
      <c r="X54" s="150" t="s">
        <v>567</v>
      </c>
      <c r="Y54" s="187"/>
      <c r="Z54" s="187"/>
      <c r="AA54" s="374">
        <f ca="1">AB54/Est_Cost1</f>
        <v>0.1446659153067503</v>
      </c>
      <c r="AB54" s="766">
        <f ca="1">IF(AB91=0,AB69,SUM(AB69:AB70)-AB95)</f>
        <v>49749.813072758669</v>
      </c>
      <c r="AC54" s="1522" t="s">
        <v>1282</v>
      </c>
    </row>
    <row r="55" spans="1:30" ht="13.5" thickBot="1">
      <c r="A55" s="1120">
        <f>Startops3</f>
        <v>37104</v>
      </c>
      <c r="B55" s="1123">
        <v>80800</v>
      </c>
      <c r="C55" s="1123">
        <v>32</v>
      </c>
      <c r="D55" s="1121">
        <f>B55*((365-C55)/365)</f>
        <v>73716.164383561641</v>
      </c>
      <c r="E55" s="1122">
        <v>0.8</v>
      </c>
      <c r="F55" s="1117">
        <f>D55*E55</f>
        <v>58972.931506849316</v>
      </c>
      <c r="H55" s="150"/>
      <c r="I55" s="15" t="s">
        <v>327</v>
      </c>
      <c r="J55" s="148">
        <f ca="1">Depr!K21</f>
        <v>98794.94800002416</v>
      </c>
      <c r="K55" s="779">
        <v>20</v>
      </c>
      <c r="L55" s="152" t="s">
        <v>390</v>
      </c>
      <c r="N55" s="20"/>
      <c r="O55" s="962">
        <f>P54+1</f>
        <v>36285</v>
      </c>
      <c r="P55" s="962">
        <f>EDATE(P54,12)</f>
        <v>36650</v>
      </c>
      <c r="Q55" s="766">
        <v>105948</v>
      </c>
      <c r="R55" s="359">
        <f>R54</f>
        <v>36255</v>
      </c>
      <c r="S55" s="283">
        <f>IF(R55&lt;O55,0,IF(R55&gt;P55,P55-O55,R55-O55))</f>
        <v>0</v>
      </c>
      <c r="T55" s="779">
        <v>0</v>
      </c>
      <c r="U55" s="283">
        <f>SUM(S55:T55)</f>
        <v>0</v>
      </c>
      <c r="V55" s="710">
        <f>U55*$Q55/1000</f>
        <v>0</v>
      </c>
      <c r="X55" s="150" t="s">
        <v>988</v>
      </c>
      <c r="Y55" s="187"/>
      <c r="Z55" s="187"/>
      <c r="AA55" s="187"/>
      <c r="AB55" s="976">
        <v>2</v>
      </c>
    </row>
    <row r="56" spans="1:30" ht="13.5" thickBot="1">
      <c r="H56" s="150"/>
      <c r="I56" s="15" t="s">
        <v>328</v>
      </c>
      <c r="J56" s="148">
        <f ca="1">Depr!L21</f>
        <v>131726.59733336561</v>
      </c>
      <c r="K56" s="779">
        <v>20</v>
      </c>
      <c r="L56" s="152" t="s">
        <v>390</v>
      </c>
      <c r="N56" s="20"/>
      <c r="O56" s="15"/>
      <c r="P56" s="15"/>
      <c r="Q56" s="15"/>
      <c r="R56" s="15"/>
      <c r="S56" s="15"/>
      <c r="T56" s="15"/>
      <c r="U56" s="15"/>
      <c r="V56" s="364"/>
      <c r="X56" s="20" t="s">
        <v>990</v>
      </c>
      <c r="Y56" s="777">
        <v>12</v>
      </c>
      <c r="Z56" s="143"/>
      <c r="AA56" s="44" t="s">
        <v>991</v>
      </c>
      <c r="AB56" s="21">
        <f ca="1">IF(Y56=0,0,Y56-ROUND(((Startops3-Fin_Close)/365),0)+AB57/2)*2</f>
        <v>23</v>
      </c>
    </row>
    <row r="57" spans="1:30" ht="13.5" thickBot="1">
      <c r="A57" s="120" t="s">
        <v>363</v>
      </c>
      <c r="B57" s="11"/>
      <c r="C57" s="11"/>
      <c r="D57" s="11"/>
      <c r="E57" s="136" t="s">
        <v>1483</v>
      </c>
      <c r="F57" s="772">
        <v>1998</v>
      </c>
      <c r="H57" s="150"/>
      <c r="I57" s="53"/>
      <c r="J57" s="54"/>
      <c r="K57" s="54"/>
      <c r="L57" s="151"/>
      <c r="N57" s="20" t="s">
        <v>1139</v>
      </c>
      <c r="O57" s="788">
        <v>36737</v>
      </c>
      <c r="P57" s="788">
        <f>O57+154</f>
        <v>36891</v>
      </c>
      <c r="Q57" s="766">
        <v>140000</v>
      </c>
      <c r="R57" s="788">
        <v>36496</v>
      </c>
      <c r="S57" s="283">
        <f>IF(R57&lt;O57,0,IF(R57&gt;P57,P57-O57,R57-O57))</f>
        <v>0</v>
      </c>
      <c r="T57" s="779">
        <v>0</v>
      </c>
      <c r="U57" s="283">
        <f>SUM(S57:T57)</f>
        <v>0</v>
      </c>
      <c r="V57" s="710">
        <f>U57*$Q57/1000</f>
        <v>0</v>
      </c>
      <c r="X57" s="20" t="s">
        <v>994</v>
      </c>
      <c r="Y57" s="55">
        <f ca="1">IF(AB57=0,0,AB57+ROUND(((Startops3-Fin_Close)/365),2))</f>
        <v>1.92</v>
      </c>
      <c r="Z57" s="143"/>
      <c r="AA57" s="44" t="s">
        <v>995</v>
      </c>
      <c r="AB57" s="978">
        <v>1</v>
      </c>
      <c r="AD57" s="1425"/>
    </row>
    <row r="58" spans="1:30">
      <c r="A58" s="20"/>
      <c r="C58" s="216"/>
      <c r="D58" s="42"/>
      <c r="E58" s="15"/>
      <c r="F58" s="21"/>
      <c r="G58" s="361">
        <v>1</v>
      </c>
      <c r="H58" s="150" t="s">
        <v>617</v>
      </c>
      <c r="I58" s="15" t="s">
        <v>325</v>
      </c>
      <c r="J58" s="148">
        <f ca="1">Depr!M21</f>
        <v>98794.94800002416</v>
      </c>
      <c r="K58" s="779">
        <v>20</v>
      </c>
      <c r="L58" s="152" t="s">
        <v>390</v>
      </c>
      <c r="N58" s="20"/>
      <c r="O58" s="962">
        <f>EDATE(O57,7)</f>
        <v>36950</v>
      </c>
      <c r="P58" s="962">
        <f>EDATE(P57,12)</f>
        <v>37256</v>
      </c>
      <c r="Q58" s="766">
        <v>386009</v>
      </c>
      <c r="R58" s="359">
        <f>R57</f>
        <v>36496</v>
      </c>
      <c r="S58" s="283">
        <f>IF(R58&lt;O58,0,IF(R58&gt;P58,P58-O58,R58-O58))</f>
        <v>0</v>
      </c>
      <c r="T58" s="779">
        <v>0</v>
      </c>
      <c r="U58" s="283">
        <f>SUM(S58:T58)</f>
        <v>0</v>
      </c>
      <c r="V58" s="710">
        <f>U58*$Q58/1000</f>
        <v>0</v>
      </c>
      <c r="X58" s="150" t="s">
        <v>989</v>
      </c>
      <c r="Y58" s="187"/>
      <c r="Z58" s="187"/>
      <c r="AA58" s="187">
        <v>0</v>
      </c>
      <c r="AB58" s="979">
        <f ca="1">IF(AB54=0,0,ROUND(AB56/2+(Term_C3/12),1))</f>
        <v>15.2</v>
      </c>
    </row>
    <row r="59" spans="1:30">
      <c r="A59" s="128" t="s">
        <v>1910</v>
      </c>
      <c r="C59" s="167">
        <f ca="1">YEAR(Startops1)</f>
        <v>1999</v>
      </c>
      <c r="D59" s="167">
        <f>YEAR(Startops3)</f>
        <v>2001</v>
      </c>
      <c r="E59" s="167">
        <f>YEAR(Startops4)</f>
        <v>2002</v>
      </c>
      <c r="F59" s="133" t="s">
        <v>382</v>
      </c>
      <c r="G59" s="361">
        <f>G58+1</f>
        <v>2</v>
      </c>
      <c r="H59" s="150"/>
      <c r="I59" s="15" t="s">
        <v>327</v>
      </c>
      <c r="J59" s="148">
        <f ca="1">Depr!N21</f>
        <v>98794.94800002416</v>
      </c>
      <c r="K59" s="779">
        <v>20</v>
      </c>
      <c r="L59" s="152" t="s">
        <v>390</v>
      </c>
      <c r="N59" s="20"/>
      <c r="O59" s="15"/>
      <c r="P59" s="15"/>
      <c r="Q59" s="15"/>
      <c r="R59" s="15"/>
      <c r="S59" s="15"/>
      <c r="T59" s="15"/>
      <c r="U59" s="15"/>
      <c r="V59" s="364"/>
      <c r="X59" s="150" t="s">
        <v>529</v>
      </c>
      <c r="Y59" s="187"/>
      <c r="Z59" s="187"/>
      <c r="AA59" s="187"/>
      <c r="AB59" s="792">
        <v>0.13</v>
      </c>
    </row>
    <row r="60" spans="1:30" ht="13.5" thickBot="1">
      <c r="A60" s="20" t="s">
        <v>364</v>
      </c>
      <c r="C60" s="766">
        <f>1623.035*RAROC!$D$78</f>
        <v>1623.0350000000001</v>
      </c>
      <c r="D60" s="766">
        <f>(2000.28+120)*RAROC!$D$78</f>
        <v>2120.2799999999997</v>
      </c>
      <c r="E60" s="766">
        <f>(1645.57+120)*RAROC!$D$78</f>
        <v>1765.57</v>
      </c>
      <c r="F60" s="995" t="s">
        <v>1402</v>
      </c>
      <c r="G60" s="361">
        <f t="shared" ref="G60:G76" si="6">G59+1</f>
        <v>3</v>
      </c>
      <c r="H60" s="153"/>
      <c r="I60" s="154" t="s">
        <v>328</v>
      </c>
      <c r="J60" s="155">
        <f ca="1">Depr!O21</f>
        <v>131726.59733336561</v>
      </c>
      <c r="K60" s="780">
        <v>20</v>
      </c>
      <c r="L60" s="156" t="s">
        <v>390</v>
      </c>
      <c r="N60" s="20" t="s">
        <v>1149</v>
      </c>
      <c r="O60" s="788">
        <f>O57+155</f>
        <v>36892</v>
      </c>
      <c r="P60" s="788">
        <v>37015</v>
      </c>
      <c r="Q60" s="766">
        <v>115000</v>
      </c>
      <c r="R60" s="788">
        <v>36648</v>
      </c>
      <c r="S60" s="283">
        <f>IF(R60&lt;O60,0,IF(R60&gt;P60,P60-O60,R60-O60))</f>
        <v>0</v>
      </c>
      <c r="T60" s="779">
        <v>0</v>
      </c>
      <c r="U60" s="283">
        <f>SUM(S60:T60)</f>
        <v>0</v>
      </c>
      <c r="V60" s="710">
        <f>U60*$Q60/1000</f>
        <v>0</v>
      </c>
      <c r="X60" s="150" t="s">
        <v>94</v>
      </c>
      <c r="Y60" s="187"/>
      <c r="Z60" s="187"/>
      <c r="AA60" s="187"/>
      <c r="AB60" s="792">
        <v>0</v>
      </c>
    </row>
    <row r="61" spans="1:30" ht="13.5" thickBot="1">
      <c r="A61" s="20" t="s">
        <v>229</v>
      </c>
      <c r="C61" s="766">
        <f>692.502*RAROC!$D$78</f>
        <v>692.50199999999995</v>
      </c>
      <c r="D61" s="766">
        <f>706.359*RAROC!$D$78</f>
        <v>706.35900000000004</v>
      </c>
      <c r="E61" s="766">
        <f>727.959*RAROC!$D$78</f>
        <v>727.95899999999995</v>
      </c>
      <c r="F61" s="995" t="s">
        <v>1402</v>
      </c>
      <c r="G61" s="361">
        <f t="shared" si="6"/>
        <v>4</v>
      </c>
      <c r="N61" s="20"/>
      <c r="O61" s="962">
        <f>P60+1</f>
        <v>37016</v>
      </c>
      <c r="P61" s="962">
        <f>EDATE(P60,12)</f>
        <v>37380</v>
      </c>
      <c r="Q61" s="766">
        <v>181221</v>
      </c>
      <c r="R61" s="359">
        <f>R60</f>
        <v>36648</v>
      </c>
      <c r="S61" s="283">
        <f>IF(R61&lt;O61,0,IF(R61&gt;P61,P61-O61,R61-O61))</f>
        <v>0</v>
      </c>
      <c r="T61" s="779">
        <v>0</v>
      </c>
      <c r="U61" s="283">
        <f>SUM(S61:T61)</f>
        <v>0</v>
      </c>
      <c r="V61" s="710">
        <f>U61*$Q61/1000</f>
        <v>0</v>
      </c>
      <c r="X61" s="153" t="s">
        <v>1263</v>
      </c>
      <c r="Y61" s="982"/>
      <c r="Z61" s="982"/>
      <c r="AA61" s="982"/>
      <c r="AB61" s="793">
        <v>0</v>
      </c>
    </row>
    <row r="62" spans="1:30" ht="13.5" thickBot="1">
      <c r="A62" s="20" t="s">
        <v>409</v>
      </c>
      <c r="C62" s="766">
        <f>874.148*RAROC!$D$78</f>
        <v>874.14800000000002</v>
      </c>
      <c r="D62" s="766">
        <f>874.148*RAROC!$D$78</f>
        <v>874.14800000000002</v>
      </c>
      <c r="E62" s="766">
        <f>874.148*RAROC!$D$78</f>
        <v>874.14800000000002</v>
      </c>
      <c r="F62" s="995" t="s">
        <v>1402</v>
      </c>
      <c r="G62" s="361">
        <f t="shared" si="6"/>
        <v>5</v>
      </c>
      <c r="H62" s="120" t="s">
        <v>402</v>
      </c>
      <c r="I62" s="11"/>
      <c r="J62" s="11"/>
      <c r="K62" s="11"/>
      <c r="L62" s="122"/>
      <c r="N62" s="20"/>
      <c r="O62" s="15"/>
      <c r="P62" s="15"/>
      <c r="Q62" s="15"/>
      <c r="R62" s="15"/>
      <c r="S62" s="15"/>
      <c r="T62" s="15"/>
      <c r="U62" s="15"/>
      <c r="V62" s="364"/>
    </row>
    <row r="63" spans="1:30" ht="13.5" thickBot="1">
      <c r="A63" s="20" t="s">
        <v>407</v>
      </c>
      <c r="C63" s="766">
        <f>0*RAROC!$D$78</f>
        <v>0</v>
      </c>
      <c r="D63" s="766">
        <f>337.5*RAROC!$D$78</f>
        <v>337.5</v>
      </c>
      <c r="E63" s="766">
        <f>337.5*RAROC!$D$78</f>
        <v>337.5</v>
      </c>
      <c r="F63" s="995" t="s">
        <v>1402</v>
      </c>
      <c r="G63" s="361">
        <f t="shared" si="6"/>
        <v>6</v>
      </c>
      <c r="H63" s="20" t="s">
        <v>770</v>
      </c>
      <c r="I63" s="15"/>
      <c r="J63" s="15"/>
      <c r="K63" s="15"/>
      <c r="L63" s="21"/>
      <c r="N63" s="20"/>
      <c r="O63" s="15"/>
      <c r="P63" s="15"/>
      <c r="Q63" s="15"/>
      <c r="R63" s="1402" t="s">
        <v>162</v>
      </c>
      <c r="S63" s="15"/>
      <c r="T63" s="1402" t="s">
        <v>160</v>
      </c>
      <c r="U63" s="15"/>
      <c r="V63" s="1320" t="s">
        <v>161</v>
      </c>
      <c r="X63" s="120" t="s">
        <v>1235</v>
      </c>
      <c r="Y63" s="11" t="s">
        <v>686</v>
      </c>
      <c r="Z63" s="11"/>
      <c r="AA63" s="11"/>
      <c r="AB63" s="1375">
        <v>25</v>
      </c>
    </row>
    <row r="64" spans="1:30">
      <c r="A64" s="20" t="s">
        <v>366</v>
      </c>
      <c r="B64" s="1216">
        <v>0.7</v>
      </c>
      <c r="C64" s="766">
        <f>286.375*$B64*RAROC!$D$78</f>
        <v>200.46249999999998</v>
      </c>
      <c r="D64" s="766">
        <f>((1381.56+36.804)*$B64)*RAROC!$D$78</f>
        <v>992.85479999999995</v>
      </c>
      <c r="E64" s="766">
        <f>(1597.595+36.804)*$B64*RAROC!$D$78</f>
        <v>1144.0793000000001</v>
      </c>
      <c r="F64" s="995" t="s">
        <v>1402</v>
      </c>
      <c r="G64" s="361">
        <f t="shared" si="6"/>
        <v>7</v>
      </c>
      <c r="H64" s="20" t="s">
        <v>1889</v>
      </c>
      <c r="I64" s="15"/>
      <c r="J64" s="218"/>
      <c r="K64" s="218"/>
      <c r="L64" s="1306">
        <v>0</v>
      </c>
      <c r="N64" s="20" t="s">
        <v>163</v>
      </c>
      <c r="O64" s="15"/>
      <c r="Q64" s="15"/>
      <c r="R64" s="37">
        <f>MIN(T64,V64)</f>
        <v>5701.3549999999996</v>
      </c>
      <c r="S64" s="15"/>
      <c r="T64" s="766">
        <v>60000</v>
      </c>
      <c r="U64" s="143"/>
      <c r="V64" s="710">
        <f>SUM(V54:V61)</f>
        <v>5701.3549999999996</v>
      </c>
      <c r="X64" s="20"/>
      <c r="Y64" s="15" t="s">
        <v>1236</v>
      </c>
      <c r="Z64" s="15"/>
      <c r="AA64" s="993">
        <v>0.5</v>
      </c>
      <c r="AB64" s="33">
        <f>AA64*AB63</f>
        <v>12.5</v>
      </c>
    </row>
    <row r="65" spans="1:30" ht="13.5" thickBot="1">
      <c r="A65" s="20" t="s">
        <v>1425</v>
      </c>
      <c r="C65" s="971">
        <f>AVERAGE(Trapped!$F$61:$AA$61)</f>
        <v>215.76834545454543</v>
      </c>
      <c r="D65" s="971">
        <f>AVERAGE(Trapped!$F$61:$AA$61)</f>
        <v>215.76834545454543</v>
      </c>
      <c r="E65" s="971">
        <f>AVERAGE(Trapped!$F$61:$AA$61)</f>
        <v>215.76834545454543</v>
      </c>
      <c r="F65" s="995" t="s">
        <v>1402</v>
      </c>
      <c r="G65" s="361">
        <f t="shared" si="6"/>
        <v>8</v>
      </c>
      <c r="H65" s="20" t="s">
        <v>1890</v>
      </c>
      <c r="I65" s="15"/>
      <c r="J65" s="218"/>
      <c r="K65" s="218"/>
      <c r="L65" s="1306">
        <v>1</v>
      </c>
      <c r="N65" s="20" t="s">
        <v>164</v>
      </c>
      <c r="O65" s="15"/>
      <c r="Q65" s="15"/>
      <c r="R65" s="142">
        <f>MIN(T65,V65)</f>
        <v>1600</v>
      </c>
      <c r="S65" s="15"/>
      <c r="T65" s="766">
        <v>53600</v>
      </c>
      <c r="U65" s="143"/>
      <c r="V65" s="1403">
        <v>1600</v>
      </c>
      <c r="X65" s="48"/>
      <c r="Y65" s="49" t="s">
        <v>1238</v>
      </c>
      <c r="Z65" s="49"/>
      <c r="AA65" s="1377">
        <f ca="1">YEAR(Fin_Close)+$Y$47</f>
        <v>2015</v>
      </c>
      <c r="AB65" s="1376"/>
    </row>
    <row r="66" spans="1:30" ht="13.5" thickBot="1">
      <c r="A66" s="20"/>
      <c r="C66" s="15"/>
      <c r="D66" s="15"/>
      <c r="E66" s="15"/>
      <c r="F66" s="129"/>
      <c r="G66" s="361">
        <f t="shared" si="6"/>
        <v>9</v>
      </c>
      <c r="H66" s="20" t="s">
        <v>1891</v>
      </c>
      <c r="I66" s="15"/>
      <c r="J66" s="218"/>
      <c r="K66" s="218"/>
      <c r="L66" s="1306">
        <v>1</v>
      </c>
      <c r="N66" s="48" t="s">
        <v>1153</v>
      </c>
      <c r="O66" s="49"/>
      <c r="P66" s="49"/>
      <c r="Q66" s="49"/>
      <c r="R66" s="1404">
        <f>SUM(R64:R65)</f>
        <v>7301.3549999999996</v>
      </c>
      <c r="S66" s="49"/>
      <c r="T66" s="49"/>
      <c r="U66" s="964"/>
      <c r="V66" s="125"/>
    </row>
    <row r="67" spans="1:30" ht="13.5" thickBot="1">
      <c r="A67" s="128" t="s">
        <v>1911</v>
      </c>
      <c r="C67" s="15"/>
      <c r="D67" s="15"/>
      <c r="E67" s="15"/>
      <c r="F67" s="129"/>
      <c r="G67" s="361">
        <f t="shared" si="6"/>
        <v>10</v>
      </c>
      <c r="H67" s="20"/>
      <c r="I67" s="15"/>
      <c r="J67" s="218"/>
      <c r="K67" s="218"/>
      <c r="L67" s="1307"/>
      <c r="X67" s="120" t="s">
        <v>396</v>
      </c>
      <c r="Y67" s="11"/>
      <c r="Z67" s="11"/>
      <c r="AA67" s="11"/>
      <c r="AB67" s="122"/>
    </row>
    <row r="68" spans="1:30" ht="13.5" thickBot="1">
      <c r="A68" s="20" t="s">
        <v>405</v>
      </c>
      <c r="C68" s="766">
        <f>450*RAROC!$D$78</f>
        <v>450</v>
      </c>
      <c r="D68" s="766">
        <f>900*RAROC!$D$78</f>
        <v>900</v>
      </c>
      <c r="E68" s="766">
        <f>900*RAROC!$D$78</f>
        <v>900</v>
      </c>
      <c r="F68" s="995" t="s">
        <v>1454</v>
      </c>
      <c r="G68" s="361">
        <f t="shared" si="6"/>
        <v>11</v>
      </c>
      <c r="H68" s="20" t="s">
        <v>1896</v>
      </c>
      <c r="I68" s="15"/>
      <c r="J68" s="218"/>
      <c r="K68" s="218"/>
      <c r="L68" s="1308">
        <v>0.05</v>
      </c>
      <c r="N68" s="162" t="s">
        <v>1820</v>
      </c>
      <c r="O68" s="11"/>
      <c r="P68" s="11"/>
      <c r="Q68" s="11"/>
      <c r="R68" s="11"/>
      <c r="S68" s="11"/>
      <c r="T68" s="11"/>
      <c r="U68" s="11"/>
      <c r="V68" s="122"/>
      <c r="X68" s="20" t="s">
        <v>738</v>
      </c>
      <c r="Y68" s="15"/>
      <c r="Z68" s="164">
        <f ca="1">Tot_Cost*AA68</f>
        <v>201351.11991105834</v>
      </c>
      <c r="AA68" s="62">
        <f ca="1">AB68/Est_Cost1</f>
        <v>0.58550258304231417</v>
      </c>
      <c r="AB68" s="33">
        <f ca="1">SUM(AB9,AB18,AB27,AB36,AB45)</f>
        <v>201351.11991105834</v>
      </c>
      <c r="AC68" s="1560"/>
    </row>
    <row r="69" spans="1:30" ht="13.5" thickBot="1">
      <c r="A69" s="20" t="s">
        <v>406</v>
      </c>
      <c r="C69" s="766">
        <f>75*RAROC!$D$78</f>
        <v>75</v>
      </c>
      <c r="D69" s="766">
        <f>150*RAROC!$D$78</f>
        <v>150</v>
      </c>
      <c r="E69" s="766">
        <f>150*RAROC!$D$78</f>
        <v>150</v>
      </c>
      <c r="F69" s="995" t="s">
        <v>1454</v>
      </c>
      <c r="G69" s="361">
        <f t="shared" si="6"/>
        <v>12</v>
      </c>
      <c r="H69" s="48" t="s">
        <v>1897</v>
      </c>
      <c r="I69" s="49"/>
      <c r="J69" s="724"/>
      <c r="K69" s="724"/>
      <c r="L69" s="782">
        <v>0.06</v>
      </c>
      <c r="N69" s="20"/>
      <c r="O69" s="15"/>
      <c r="P69" s="15"/>
      <c r="Q69" s="15"/>
      <c r="R69" s="15"/>
      <c r="S69" s="15"/>
      <c r="T69" s="18" t="s">
        <v>412</v>
      </c>
      <c r="U69" s="18" t="s">
        <v>413</v>
      </c>
      <c r="V69" s="159" t="s">
        <v>414</v>
      </c>
      <c r="X69" s="20" t="s">
        <v>190</v>
      </c>
      <c r="Y69" s="15"/>
      <c r="Z69" s="164">
        <f ca="1">Tot_Cost*AA69</f>
        <v>49749.813072758669</v>
      </c>
      <c r="AA69" s="62">
        <f ca="1">AB69/Est_Cost1</f>
        <v>0.1446659153067503</v>
      </c>
      <c r="AB69" s="33">
        <f ca="1">Tot_Cost-AB68-AB70-AB71</f>
        <v>49749.813072758669</v>
      </c>
      <c r="AC69" s="1560"/>
      <c r="AD69" s="7">
        <f>137.4*0.38</f>
        <v>52.212000000000003</v>
      </c>
    </row>
    <row r="70" spans="1:30" ht="13.5" thickBot="1">
      <c r="A70" s="20" t="s">
        <v>411</v>
      </c>
      <c r="C70" s="766">
        <v>0</v>
      </c>
      <c r="D70" s="766">
        <f>1390.002*RAROC!$D$78</f>
        <v>1390.002</v>
      </c>
      <c r="E70" s="766">
        <f>1390.002*RAROC!$D$78</f>
        <v>1390.002</v>
      </c>
      <c r="F70" s="995" t="s">
        <v>1454</v>
      </c>
      <c r="G70" s="361">
        <f t="shared" si="6"/>
        <v>13</v>
      </c>
      <c r="N70" s="27" t="s">
        <v>772</v>
      </c>
      <c r="O70" s="15"/>
      <c r="P70" s="15"/>
      <c r="Q70" s="15"/>
      <c r="R70" s="15"/>
      <c r="S70" s="15"/>
      <c r="T70" s="789">
        <f ca="1">[3]!EPE_Disc</f>
        <v>0.19</v>
      </c>
      <c r="U70" s="201">
        <f ca="1">'Project &amp; Investor Returns'!$C$23</f>
        <v>5.7133246458342335E-2</v>
      </c>
      <c r="V70" s="28">
        <f ca="1">'Project &amp; Investor Returns'!$C$22</f>
        <v>-60978.652194421746</v>
      </c>
      <c r="X70" s="20" t="s">
        <v>921</v>
      </c>
      <c r="Y70" s="15"/>
      <c r="Z70" s="164">
        <f ca="1">Tot_Cost*AA70</f>
        <v>0</v>
      </c>
      <c r="AA70" s="62">
        <f ca="1">AB70/Est_Cost1</f>
        <v>0</v>
      </c>
      <c r="AB70" s="33">
        <f>AB95</f>
        <v>0</v>
      </c>
    </row>
    <row r="71" spans="1:30" ht="13.5" thickBot="1">
      <c r="A71" s="20" t="s">
        <v>366</v>
      </c>
      <c r="B71" s="1217">
        <f>100%-B64</f>
        <v>0.30000000000000004</v>
      </c>
      <c r="C71" s="766">
        <f>286.375*$B71*RAROC!$D$78</f>
        <v>85.912500000000009</v>
      </c>
      <c r="D71" s="766">
        <f>(1381.56+36.804)*$B71*RAROC!$D$78</f>
        <v>425.50920000000008</v>
      </c>
      <c r="E71" s="766">
        <f>(1597.595+36.804)*$B71*RAROC!$D$78</f>
        <v>490.31970000000013</v>
      </c>
      <c r="F71" s="995" t="s">
        <v>1454</v>
      </c>
      <c r="G71" s="361">
        <f t="shared" si="6"/>
        <v>14</v>
      </c>
      <c r="H71" s="120" t="s">
        <v>395</v>
      </c>
      <c r="I71" s="11"/>
      <c r="J71" s="11"/>
      <c r="K71" s="11"/>
      <c r="L71" s="122"/>
      <c r="N71" s="20"/>
      <c r="O71" s="15"/>
      <c r="P71" s="15"/>
      <c r="Q71" s="15"/>
      <c r="R71" s="15"/>
      <c r="S71" s="15"/>
      <c r="T71" s="55"/>
      <c r="U71" s="783">
        <v>0.15</v>
      </c>
      <c r="V71" s="30" t="s">
        <v>415</v>
      </c>
      <c r="X71" s="20" t="s">
        <v>781</v>
      </c>
      <c r="Y71" s="15"/>
      <c r="Z71" s="168">
        <f ca="1">Tot_Cost*AA71</f>
        <v>92793.570204919088</v>
      </c>
      <c r="AA71" s="1756">
        <f ca="1">IDC!$BA$77/Tot_Cost</f>
        <v>0.2698315016509355</v>
      </c>
      <c r="AB71" s="1702">
        <f ca="1">Tot_Cost*Equityperc</f>
        <v>92793.570204919088</v>
      </c>
    </row>
    <row r="72" spans="1:30">
      <c r="A72" s="20" t="s">
        <v>1425</v>
      </c>
      <c r="C72" s="971">
        <f>AVERAGE(Trapped!$F$62:$AA$62)*(1+Duties_Maint)</f>
        <v>4409.7048200000008</v>
      </c>
      <c r="D72" s="971">
        <f>AVERAGE(Trapped!$F$62:$AA$62)*(1+Duties_Maint)</f>
        <v>4409.7048200000008</v>
      </c>
      <c r="E72" s="971">
        <f>AVERAGE(Trapped!$F$62:$AA$62)*(1+Duties_Maint)</f>
        <v>4409.7048200000008</v>
      </c>
      <c r="F72" s="995" t="s">
        <v>1454</v>
      </c>
      <c r="G72" s="361">
        <f t="shared" si="6"/>
        <v>15</v>
      </c>
      <c r="H72" s="20" t="s">
        <v>1848</v>
      </c>
      <c r="I72" s="15"/>
      <c r="J72" s="15"/>
      <c r="K72" s="15"/>
      <c r="L72" s="1015">
        <v>1.0649999999999999</v>
      </c>
      <c r="N72" s="20"/>
      <c r="O72" s="15"/>
      <c r="P72" s="15"/>
      <c r="Q72" s="15"/>
      <c r="R72" s="15"/>
      <c r="S72" s="15"/>
      <c r="T72" s="55"/>
      <c r="U72" s="55"/>
      <c r="V72" s="21"/>
      <c r="X72" s="130" t="s">
        <v>429</v>
      </c>
      <c r="Y72" s="126"/>
      <c r="Z72" s="193">
        <f ca="1">SUM(Z68:Z71)</f>
        <v>343894.5031887361</v>
      </c>
      <c r="AA72" s="194">
        <f ca="1">SUM(AA68:AA71)</f>
        <v>1</v>
      </c>
      <c r="AB72" s="920">
        <f ca="1">SUM(AB68:AB71)</f>
        <v>343894.5031887361</v>
      </c>
    </row>
    <row r="73" spans="1:30">
      <c r="A73" s="20"/>
      <c r="C73" s="15"/>
      <c r="D73" s="15"/>
      <c r="E73" s="15"/>
      <c r="F73" s="129"/>
      <c r="G73" s="361">
        <f t="shared" si="6"/>
        <v>16</v>
      </c>
      <c r="H73" s="20" t="s">
        <v>1847</v>
      </c>
      <c r="I73" s="15"/>
      <c r="J73" s="15"/>
      <c r="K73" s="15"/>
      <c r="L73" s="1209">
        <v>36404</v>
      </c>
      <c r="N73" s="20" t="str">
        <f>H85</f>
        <v>Enron</v>
      </c>
      <c r="O73" s="15"/>
      <c r="P73" s="15"/>
      <c r="Q73" s="15"/>
      <c r="R73" s="15"/>
      <c r="S73" s="15"/>
      <c r="T73" s="62">
        <f ca="1">Disc</f>
        <v>0.19</v>
      </c>
      <c r="U73" s="62">
        <f ca="1">'Enron Returns'!C81</f>
        <v>5.0402789410165377E-2</v>
      </c>
      <c r="V73" s="33">
        <f ca="1">'Enron Returns'!C80</f>
        <v>-53668.225821927648</v>
      </c>
      <c r="X73" s="197" t="s">
        <v>780</v>
      </c>
      <c r="Y73" s="198"/>
      <c r="Z73" s="198"/>
      <c r="AA73" s="198"/>
      <c r="AB73" s="921">
        <f ca="1">MAX(AB11,AB20,AB38,AB47)</f>
        <v>31</v>
      </c>
    </row>
    <row r="74" spans="1:30">
      <c r="A74" s="128" t="s">
        <v>735</v>
      </c>
      <c r="C74" s="15"/>
      <c r="D74" s="15"/>
      <c r="E74" s="15"/>
      <c r="F74" s="129"/>
      <c r="G74" s="361">
        <f t="shared" si="6"/>
        <v>17</v>
      </c>
      <c r="H74" s="20" t="s">
        <v>522</v>
      </c>
      <c r="I74" s="15"/>
      <c r="J74" s="15"/>
      <c r="K74" s="15"/>
      <c r="L74" s="1015">
        <v>0</v>
      </c>
      <c r="N74" s="20" t="str">
        <f>H86</f>
        <v>Shell</v>
      </c>
      <c r="O74" s="15"/>
      <c r="P74" s="15"/>
      <c r="Q74" s="15"/>
      <c r="R74" s="15"/>
      <c r="S74" s="15"/>
      <c r="T74" s="62">
        <f ca="1">Disc</f>
        <v>0.19</v>
      </c>
      <c r="U74" s="62">
        <f ca="1">'Shell &amp; Trans Returns'!C52</f>
        <v>4.4684069858470905E-2</v>
      </c>
      <c r="V74" s="33">
        <f ca="1">'Shell &amp; Trans Returns'!C51</f>
        <v>-20458.802678312153</v>
      </c>
      <c r="X74" s="196" t="s">
        <v>108</v>
      </c>
      <c r="Z74" s="195">
        <f ca="1">IF(Tot_Debt=0,0,(($AB9*Y14)+($AB18*Y23)+($AB27*Y32)+($AB36*Y41)+($AB45*Y50))/Tot_Debt)</f>
        <v>6.7326801809563908E-2</v>
      </c>
      <c r="AA74" s="195">
        <f ca="1">IF(Tot_Debt=0,0,(($AB9*Z14)+($AB18*Z23)+($AB27*Z32)+($AB36*Z41)+($AB45*Z50))/Tot_Debt)</f>
        <v>1.4518494543815008E-2</v>
      </c>
      <c r="AB74" s="922">
        <f ca="1">SUM(Z74:AA74)</f>
        <v>8.1845296353378921E-2</v>
      </c>
    </row>
    <row r="75" spans="1:30" ht="13.5" thickBot="1">
      <c r="A75" s="20" t="s">
        <v>365</v>
      </c>
      <c r="C75" s="766">
        <f>75*RAROC!$D$78</f>
        <v>75</v>
      </c>
      <c r="D75" s="766">
        <f>(616.96+109.111)*RAROC!$D$78</f>
        <v>726.07100000000003</v>
      </c>
      <c r="E75" s="766">
        <f>(616.96+109.111)*RAROC!$D$78</f>
        <v>726.07100000000003</v>
      </c>
      <c r="F75" s="995" t="s">
        <v>1402</v>
      </c>
      <c r="G75" s="361">
        <f t="shared" si="6"/>
        <v>18</v>
      </c>
      <c r="H75" s="48" t="s">
        <v>578</v>
      </c>
      <c r="I75" s="49"/>
      <c r="J75" s="49"/>
      <c r="K75" s="49"/>
      <c r="L75" s="997">
        <v>1</v>
      </c>
      <c r="N75" s="20" t="str">
        <f>H87</f>
        <v>Transredes</v>
      </c>
      <c r="O75" s="15"/>
      <c r="P75" s="15"/>
      <c r="Q75" s="15"/>
      <c r="R75" s="15"/>
      <c r="S75" s="15"/>
      <c r="T75" s="62">
        <f ca="1">Disc</f>
        <v>0.19</v>
      </c>
      <c r="U75" s="62">
        <f ca="1">'Shell &amp; Trans Returns'!C97</f>
        <v>4.4684069858470898E-2</v>
      </c>
      <c r="V75" s="33">
        <f ca="1">'Shell &amp; Trans Returns'!C96</f>
        <v>-11690.744387606939</v>
      </c>
      <c r="X75" s="20" t="s">
        <v>107</v>
      </c>
      <c r="Y75" s="15"/>
      <c r="Z75" s="15"/>
      <c r="AA75" s="15"/>
      <c r="AB75" s="923">
        <f ca="1">IF(Tot_Debt=0,0,(($AB$9*$AB15)+($AB$18*$AB24)+($AB$27*$AB33)+($AB$36*$AB42)+($AB$45*$AB51))/Tot_Debt)</f>
        <v>0.14664689628599478</v>
      </c>
    </row>
    <row r="76" spans="1:30" ht="13.5" thickBot="1">
      <c r="A76" s="20" t="s">
        <v>1426</v>
      </c>
      <c r="C76" s="972">
        <f>150*8760*92%*39.67%</f>
        <v>479562.696</v>
      </c>
      <c r="D76" s="972">
        <f>480*8760*92%*90.6%</f>
        <v>3504784.8959999997</v>
      </c>
      <c r="E76" s="972">
        <f>480*8760*92%*90.6%</f>
        <v>3504784.8959999997</v>
      </c>
      <c r="F76" s="340"/>
      <c r="G76" s="361">
        <f t="shared" si="6"/>
        <v>19</v>
      </c>
      <c r="H76" s="53"/>
      <c r="I76" s="53"/>
      <c r="J76" s="53"/>
      <c r="K76" s="53"/>
      <c r="L76" s="1386"/>
      <c r="N76" s="20" t="str">
        <f>H98</f>
        <v>New Investor Equity % (LJM)</v>
      </c>
      <c r="O76" s="15"/>
      <c r="P76" s="15"/>
      <c r="Q76" s="15"/>
      <c r="R76" s="15"/>
      <c r="S76" s="15"/>
      <c r="T76" s="62">
        <f ca="1">Disc</f>
        <v>0.19</v>
      </c>
      <c r="U76" s="62">
        <f ca="1">'Project &amp; Investor Returns'!C58</f>
        <v>5.5544846984273463E-2</v>
      </c>
      <c r="V76" s="35">
        <f ca="1">'Project &amp; Investor Returns'!C57</f>
        <v>-5677.8219842883127</v>
      </c>
      <c r="X76" s="48" t="s">
        <v>109</v>
      </c>
      <c r="Y76" s="49"/>
      <c r="Z76" s="49"/>
      <c r="AA76" s="49"/>
      <c r="AB76" s="924">
        <f ca="1">IF(Tot_Debt=0,0,(($AB$9*$AB16)+($AB$18*$AB25)+($AB$27*$AB34)+($AB$36*$AB43)+($AB$45*$AB52))/Tot_Debt)</f>
        <v>3.3866801925735933E-3</v>
      </c>
    </row>
    <row r="77" spans="1:30" ht="13.5" thickBot="1">
      <c r="A77" s="48" t="s">
        <v>734</v>
      </c>
      <c r="B77" s="49"/>
      <c r="C77" s="771">
        <f>C75/C76</f>
        <v>1.5639248137015228E-4</v>
      </c>
      <c r="D77" s="771">
        <f>D75/D76</f>
        <v>2.0716563827602162E-4</v>
      </c>
      <c r="E77" s="771">
        <f>E75/E76</f>
        <v>2.0716563827602162E-4</v>
      </c>
      <c r="F77" s="782" t="s">
        <v>1402</v>
      </c>
      <c r="H77" s="120" t="s">
        <v>1801</v>
      </c>
      <c r="I77" s="1387"/>
      <c r="J77" s="1387"/>
      <c r="K77" s="1387"/>
      <c r="L77" s="1388"/>
      <c r="N77" s="20" t="s">
        <v>423</v>
      </c>
      <c r="O77" s="15"/>
      <c r="P77" s="15"/>
      <c r="Q77" s="15"/>
      <c r="R77" s="15"/>
      <c r="S77" s="15"/>
      <c r="T77" s="32"/>
      <c r="U77" s="32"/>
      <c r="V77" s="33">
        <f ca="1">SUM(V73:V76)</f>
        <v>-91495.594872135058</v>
      </c>
    </row>
    <row r="78" spans="1:30" ht="13.5" thickBot="1">
      <c r="H78" s="153" t="s">
        <v>1802</v>
      </c>
      <c r="I78" s="154"/>
      <c r="J78" s="154"/>
      <c r="K78" s="154"/>
      <c r="L78" s="156">
        <f ca="1">'[2]Monthly Curve Calc.'!$F$12</f>
        <v>0</v>
      </c>
      <c r="N78" s="20"/>
      <c r="O78" s="32"/>
      <c r="P78" s="15"/>
      <c r="Q78" s="15"/>
      <c r="R78" s="15"/>
      <c r="S78" s="15"/>
      <c r="T78" s="37"/>
      <c r="U78" s="37"/>
      <c r="V78" s="33"/>
      <c r="X78" s="120" t="s">
        <v>736</v>
      </c>
      <c r="Y78" s="11"/>
      <c r="Z78" s="121" t="s">
        <v>419</v>
      </c>
      <c r="AA78" s="121" t="s">
        <v>420</v>
      </c>
      <c r="AB78" s="158" t="s">
        <v>737</v>
      </c>
    </row>
    <row r="79" spans="1:30" ht="13.5" thickBot="1">
      <c r="A79" s="120" t="s">
        <v>721</v>
      </c>
      <c r="B79" s="11"/>
      <c r="C79" s="11"/>
      <c r="D79" s="11"/>
      <c r="E79" s="1564" t="s">
        <v>1893</v>
      </c>
      <c r="F79" s="1374">
        <v>0</v>
      </c>
      <c r="N79" s="20" t="s">
        <v>424</v>
      </c>
      <c r="O79" s="15"/>
      <c r="Q79" s="161" t="s">
        <v>478</v>
      </c>
      <c r="R79" s="15"/>
      <c r="S79" s="15"/>
      <c r="U79" s="37"/>
      <c r="V79" s="719">
        <f ca="1">-('Enron Returns'!AC33)</f>
        <v>2995.0758228878917</v>
      </c>
      <c r="X79" s="139" t="s">
        <v>421</v>
      </c>
      <c r="Y79" s="15"/>
      <c r="Z79" s="138">
        <f ca="1">MIN(PLRisk!F83:Z83)</f>
        <v>0.84691205944333681</v>
      </c>
      <c r="AA79" s="138">
        <f ca="1">MIN(PLRisk!F89:Z89)</f>
        <v>0.84691205944333681</v>
      </c>
      <c r="AB79" s="925">
        <v>1.4</v>
      </c>
    </row>
    <row r="80" spans="1:30" ht="13.5" thickBot="1">
      <c r="A80" s="20"/>
      <c r="B80" s="15"/>
      <c r="C80" s="15"/>
      <c r="D80" s="15"/>
      <c r="E80" s="15"/>
      <c r="F80" s="1118" t="str">
        <f>IF($F$79=0,"Included In Project Costs","Funded Through W/C Facility")</f>
        <v>Included In Project Costs</v>
      </c>
      <c r="H80" s="120" t="s">
        <v>1605</v>
      </c>
      <c r="I80" s="11"/>
      <c r="J80" s="11"/>
      <c r="K80" s="11"/>
      <c r="L80" s="122"/>
      <c r="N80" s="20" t="s">
        <v>774</v>
      </c>
      <c r="O80" s="160"/>
      <c r="Q80" s="161" t="s">
        <v>478</v>
      </c>
      <c r="R80" s="15"/>
      <c r="S80" s="15"/>
      <c r="U80" s="37"/>
      <c r="V80" s="719">
        <f ca="1">-('Enron Returns'!AC19+'Shell &amp; Trans Returns'!AC13+'Shell &amp; Trans Returns'!AC58+'Project &amp; Investor Returns'!AC34)</f>
        <v>4108.4811073910341</v>
      </c>
      <c r="X80" s="140" t="s">
        <v>422</v>
      </c>
      <c r="Y80" s="49"/>
      <c r="Z80" s="141">
        <f ca="1">AVERAGE(PLRisk!F83:T83)</f>
        <v>1.939213971709524</v>
      </c>
      <c r="AA80" s="141">
        <f ca="1">AVERAGE(PLRisk!F89:Y89)</f>
        <v>1.8386273076192559</v>
      </c>
      <c r="AB80" s="926">
        <v>1.8</v>
      </c>
    </row>
    <row r="81" spans="1:28" ht="13.5" thickBot="1">
      <c r="A81" s="128" t="s">
        <v>608</v>
      </c>
      <c r="B81" s="15"/>
      <c r="C81" s="15"/>
      <c r="D81" s="15"/>
      <c r="E81" s="167" t="s">
        <v>425</v>
      </c>
      <c r="F81" s="133" t="s">
        <v>573</v>
      </c>
      <c r="H81" s="20" t="s">
        <v>53</v>
      </c>
      <c r="I81" s="774">
        <v>0.5</v>
      </c>
      <c r="J81" s="15" t="s">
        <v>52</v>
      </c>
      <c r="K81" s="15"/>
      <c r="L81" s="21"/>
      <c r="N81" s="20" t="s">
        <v>776</v>
      </c>
      <c r="O81" s="15"/>
      <c r="Q81" s="161" t="s">
        <v>478</v>
      </c>
      <c r="R81" s="15"/>
      <c r="S81" s="15"/>
      <c r="U81" s="37"/>
      <c r="V81" s="33">
        <f ca="1">-('Enron Returns'!AC21+'Shell &amp; Trans Returns'!AC15+'Shell &amp; Trans Returns'!AC60+'Project &amp; Investor Returns'!AC36)</f>
        <v>1749.3135065903284</v>
      </c>
    </row>
    <row r="82" spans="1:28" ht="13.5" thickBot="1">
      <c r="A82" s="20" t="s">
        <v>1427</v>
      </c>
      <c r="B82" s="777">
        <v>0</v>
      </c>
      <c r="C82" s="37">
        <f>((C47+C48)*Capacity_III*Hr_III*24*B82*92%*91%/1000)/1000</f>
        <v>0</v>
      </c>
      <c r="D82" s="44" t="s">
        <v>408</v>
      </c>
      <c r="E82" s="1254">
        <v>1.4999999999999999E-2</v>
      </c>
      <c r="F82" s="1214">
        <v>5.7500000000000002E-2</v>
      </c>
      <c r="H82" s="373"/>
      <c r="I82" s="50">
        <f>Tjlp</f>
        <v>0.1</v>
      </c>
      <c r="J82" s="49" t="s">
        <v>1849</v>
      </c>
      <c r="K82" s="49"/>
      <c r="L82" s="125"/>
      <c r="N82" s="20" t="s">
        <v>427</v>
      </c>
      <c r="O82" s="160"/>
      <c r="Q82" s="161" t="s">
        <v>478</v>
      </c>
      <c r="R82" s="15"/>
      <c r="S82" s="15"/>
      <c r="U82" s="37"/>
      <c r="V82" s="33">
        <f ca="1">-('Enron Returns'!AC34)</f>
        <v>-7138.3923984601752</v>
      </c>
      <c r="X82" s="120" t="s">
        <v>394</v>
      </c>
      <c r="Y82" s="11"/>
      <c r="Z82" s="1383" t="s">
        <v>746</v>
      </c>
      <c r="AA82" s="1384" t="s">
        <v>1231</v>
      </c>
      <c r="AB82" s="1385"/>
    </row>
    <row r="83" spans="1:28" ht="13.5" thickBot="1">
      <c r="A83" s="20" t="s">
        <v>902</v>
      </c>
      <c r="B83" s="777">
        <v>0</v>
      </c>
      <c r="C83" s="37">
        <f ca="1">VLOOKUP(Startops3,Tariff_Table,Tariff!$O$33)*B83/30</f>
        <v>0</v>
      </c>
      <c r="D83" s="44" t="s">
        <v>604</v>
      </c>
      <c r="E83" s="1255">
        <v>0.5</v>
      </c>
      <c r="F83" s="1256">
        <f>100%-50%</f>
        <v>0.5</v>
      </c>
      <c r="N83" s="20" t="s">
        <v>775</v>
      </c>
      <c r="O83" s="160"/>
      <c r="Q83" s="161" t="s">
        <v>478</v>
      </c>
      <c r="R83" s="15"/>
      <c r="S83" s="15"/>
      <c r="U83" s="37"/>
      <c r="V83" s="33">
        <f ca="1">-('Enron Returns'!AC35)</f>
        <v>1259.9262583282207</v>
      </c>
      <c r="X83" s="20"/>
      <c r="Y83" s="755">
        <v>6</v>
      </c>
      <c r="Z83" s="15" t="s">
        <v>1266</v>
      </c>
      <c r="AA83" s="15"/>
      <c r="AB83" s="21"/>
    </row>
    <row r="84" spans="1:28" ht="13.5" thickBot="1">
      <c r="A84" s="20" t="s">
        <v>903</v>
      </c>
      <c r="B84" s="777">
        <v>0</v>
      </c>
      <c r="C84" s="37">
        <f>SUM(D60:D64,D68:D69,D71,D75)/365*B84</f>
        <v>0</v>
      </c>
      <c r="D84" s="44" t="s">
        <v>723</v>
      </c>
      <c r="E84" s="1252">
        <f>E82*E83</f>
        <v>7.4999999999999997E-3</v>
      </c>
      <c r="F84" s="1253">
        <f>F82*F83</f>
        <v>2.8750000000000001E-2</v>
      </c>
      <c r="H84" s="120" t="s">
        <v>1339</v>
      </c>
      <c r="I84" s="11"/>
      <c r="J84" s="121" t="s">
        <v>769</v>
      </c>
      <c r="K84" s="121" t="s">
        <v>767</v>
      </c>
      <c r="L84" s="158" t="s">
        <v>768</v>
      </c>
      <c r="N84" s="20" t="s">
        <v>545</v>
      </c>
      <c r="O84" s="160"/>
      <c r="Q84" s="161" t="s">
        <v>478</v>
      </c>
      <c r="R84" s="15"/>
      <c r="S84" s="15"/>
      <c r="U84" s="37"/>
      <c r="V84" s="33">
        <f ca="1">-'Enron Returns'!AC37</f>
        <v>293.55144064575296</v>
      </c>
      <c r="X84" s="48"/>
      <c r="Y84" s="775">
        <v>2.5000000000000001E-2</v>
      </c>
      <c r="Z84" s="49" t="s">
        <v>393</v>
      </c>
      <c r="AA84" s="49"/>
      <c r="AB84" s="125"/>
    </row>
    <row r="85" spans="1:28" ht="13.5" thickBot="1">
      <c r="A85" s="20" t="s">
        <v>904</v>
      </c>
      <c r="B85" s="777">
        <v>0</v>
      </c>
      <c r="C85" s="142">
        <f>D70*B85</f>
        <v>0</v>
      </c>
      <c r="D85" s="15"/>
      <c r="E85" s="44" t="s">
        <v>724</v>
      </c>
      <c r="F85" s="1253">
        <f>SUM(E84:F84)</f>
        <v>3.6250000000000004E-2</v>
      </c>
      <c r="H85" s="20" t="s">
        <v>399</v>
      </c>
      <c r="I85" s="15"/>
      <c r="J85" s="37">
        <f ca="1">K85*Tot_Equity</f>
        <v>60895.780446978155</v>
      </c>
      <c r="K85" s="15">
        <f>1-SUM(K86:K87)</f>
        <v>0.65625</v>
      </c>
      <c r="L85" s="979">
        <f>K85</f>
        <v>0.65625</v>
      </c>
      <c r="N85" s="20" t="s">
        <v>546</v>
      </c>
      <c r="O85" s="160"/>
      <c r="Q85" s="161" t="s">
        <v>478</v>
      </c>
      <c r="R85" s="15"/>
      <c r="S85" s="15"/>
      <c r="U85" s="37"/>
      <c r="V85" s="33">
        <f ca="1">-'Enron Returns'!AC38</f>
        <v>1347.2265452948473</v>
      </c>
    </row>
    <row r="86" spans="1:28" ht="13.5" thickBot="1">
      <c r="A86" s="461" t="s">
        <v>725</v>
      </c>
      <c r="B86" s="15"/>
      <c r="C86" s="37">
        <f ca="1">SUM(C82:C85)</f>
        <v>0</v>
      </c>
      <c r="D86" s="15"/>
      <c r="E86" s="44" t="s">
        <v>1233</v>
      </c>
      <c r="F86" s="710">
        <f ca="1">C86*F85*F79</f>
        <v>0</v>
      </c>
      <c r="H86" s="20" t="s">
        <v>28</v>
      </c>
      <c r="I86" s="15"/>
      <c r="J86" s="37">
        <f ca="1">K86*Tot_Equity</f>
        <v>20298.59348232605</v>
      </c>
      <c r="K86" s="759">
        <v>0.21875</v>
      </c>
      <c r="L86" s="979">
        <f>K86</f>
        <v>0.21875</v>
      </c>
      <c r="N86" s="20" t="s">
        <v>428</v>
      </c>
      <c r="O86" s="160"/>
      <c r="Q86" s="161" t="s">
        <v>478</v>
      </c>
      <c r="R86" s="15"/>
      <c r="S86" s="15"/>
      <c r="U86" s="37"/>
      <c r="V86" s="33">
        <f ca="1">-('Enron Returns'!AC36)</f>
        <v>-4651.6193315858009</v>
      </c>
      <c r="X86" s="120" t="s">
        <v>1346</v>
      </c>
      <c r="Y86" s="11"/>
      <c r="Z86" s="11"/>
      <c r="AA86" s="11"/>
      <c r="AB86" s="122"/>
    </row>
    <row r="87" spans="1:28">
      <c r="A87" s="461"/>
      <c r="B87" s="15"/>
      <c r="C87" s="37"/>
      <c r="D87" s="15"/>
      <c r="E87" s="44"/>
      <c r="F87" s="710"/>
      <c r="H87" s="20" t="s">
        <v>29</v>
      </c>
      <c r="I87" s="15"/>
      <c r="J87" s="142">
        <f ca="1">K87*Tot_Equity</f>
        <v>11599.196275614886</v>
      </c>
      <c r="K87" s="778">
        <v>0.125</v>
      </c>
      <c r="L87" s="1317">
        <f>K87</f>
        <v>0.125</v>
      </c>
      <c r="N87" s="20" t="s">
        <v>777</v>
      </c>
      <c r="O87" s="32"/>
      <c r="Q87" s="15"/>
      <c r="R87" s="15"/>
      <c r="S87" s="15"/>
      <c r="T87" s="37"/>
      <c r="U87" s="37"/>
      <c r="V87" s="33">
        <f ca="1">-('Enron Returns'!AC22+'Enron Returns'!AC39+'Shell &amp; Trans Returns'!AC16+'Shell &amp; Trans Returns'!AC61+'Project &amp; Investor Returns'!AC37)</f>
        <v>858.3456467998526</v>
      </c>
      <c r="X87" s="20" t="s">
        <v>174</v>
      </c>
      <c r="Y87" s="37">
        <f ca="1">HLOOKUP(Fin_Close,Idc_Table,IDC!$BB$92)</f>
        <v>130448.46906099447</v>
      </c>
      <c r="Z87" s="15"/>
      <c r="AA87" s="44" t="s">
        <v>529</v>
      </c>
      <c r="AB87" s="792">
        <v>0.06</v>
      </c>
    </row>
    <row r="88" spans="1:28" ht="13.5" thickBot="1">
      <c r="A88" s="1562" t="s">
        <v>1892</v>
      </c>
      <c r="B88" s="49"/>
      <c r="C88" s="1563">
        <v>0</v>
      </c>
      <c r="D88" s="49"/>
      <c r="E88" s="608"/>
      <c r="F88" s="711"/>
      <c r="H88" s="48" t="s">
        <v>401</v>
      </c>
      <c r="I88" s="49"/>
      <c r="J88" s="51">
        <f ca="1">SUM(J85:J87)</f>
        <v>92793.570204919088</v>
      </c>
      <c r="K88" s="1516">
        <f>SUM(K85:K87)</f>
        <v>1</v>
      </c>
      <c r="L88" s="1517">
        <f>SUM(L85:L87)</f>
        <v>1</v>
      </c>
      <c r="N88" s="20" t="s">
        <v>1823</v>
      </c>
      <c r="O88" s="160"/>
      <c r="Q88" s="161"/>
      <c r="R88" s="15"/>
      <c r="S88" s="15"/>
      <c r="U88" s="37"/>
      <c r="V88" s="33">
        <f ca="1">-SUM('Enron Returns'!AC50,'Shell &amp; Trans Returns'!AC26,'Shell &amp; Trans Returns'!AC71)</f>
        <v>100768.09913308988</v>
      </c>
      <c r="X88" s="48"/>
      <c r="Y88" s="49"/>
      <c r="Z88" s="49"/>
      <c r="AA88" s="608" t="s">
        <v>95</v>
      </c>
      <c r="AB88" s="793">
        <v>6.5000000000000002E-2</v>
      </c>
    </row>
    <row r="89" spans="1:28" ht="13.5" thickBot="1">
      <c r="H89" s="15"/>
      <c r="I89" s="15"/>
      <c r="J89" s="37"/>
      <c r="K89" s="225"/>
      <c r="L89" s="225"/>
      <c r="N89" s="20" t="s">
        <v>1824</v>
      </c>
      <c r="O89" s="32"/>
      <c r="Q89" s="15"/>
      <c r="R89" s="15"/>
      <c r="S89" s="15"/>
      <c r="T89" s="37"/>
      <c r="U89" s="37"/>
      <c r="V89" s="33">
        <f ca="1">-SUM('Enron Returns'!AC51,'Shell &amp; Trans Returns'!AC27,'Shell &amp; Trans Returns'!AC72)</f>
        <v>-85650.829523089051</v>
      </c>
      <c r="AA89" s="15"/>
    </row>
    <row r="90" spans="1:28" ht="13.5" thickBot="1">
      <c r="A90" s="120" t="s">
        <v>65</v>
      </c>
      <c r="B90" s="11"/>
      <c r="C90" s="12" t="s">
        <v>771</v>
      </c>
      <c r="D90" s="12" t="s">
        <v>567</v>
      </c>
      <c r="E90" s="12" t="s">
        <v>408</v>
      </c>
      <c r="F90" s="13" t="s">
        <v>404</v>
      </c>
      <c r="H90" s="120" t="s">
        <v>1067</v>
      </c>
      <c r="I90" s="11"/>
      <c r="J90" s="121" t="s">
        <v>769</v>
      </c>
      <c r="K90" s="121" t="s">
        <v>767</v>
      </c>
      <c r="L90" s="158" t="s">
        <v>768</v>
      </c>
      <c r="N90" s="20" t="s">
        <v>32</v>
      </c>
      <c r="O90" s="32"/>
      <c r="Q90" s="161" t="s">
        <v>486</v>
      </c>
      <c r="R90" s="15"/>
      <c r="S90" s="15"/>
      <c r="T90" s="37"/>
      <c r="U90" s="37"/>
      <c r="V90" s="33">
        <f ca="1">-SUM('Enron Returns'!AC52,'Shell &amp; Trans Returns'!AC28,'Shell &amp; Trans Returns'!AC73)</f>
        <v>-6036.7980899372687</v>
      </c>
      <c r="X90" s="120" t="s">
        <v>187</v>
      </c>
      <c r="Y90" s="11"/>
      <c r="Z90" s="11"/>
      <c r="AA90" s="11"/>
      <c r="AB90" s="122"/>
    </row>
    <row r="91" spans="1:28" ht="13.5" thickBot="1">
      <c r="A91" s="48" t="s">
        <v>410</v>
      </c>
      <c r="B91" s="49"/>
      <c r="C91" s="780">
        <v>20</v>
      </c>
      <c r="D91" s="794">
        <v>22000</v>
      </c>
      <c r="E91" s="781">
        <v>5.0000000000000001E-3</v>
      </c>
      <c r="F91" s="186">
        <f>D91*E91</f>
        <v>110</v>
      </c>
      <c r="H91" s="20" t="s">
        <v>399</v>
      </c>
      <c r="I91" s="15"/>
      <c r="J91" s="37">
        <f ca="1">J85-J94</f>
        <v>60857.780446978155</v>
      </c>
      <c r="K91" s="67">
        <f>1-SUM(K92:K94)</f>
        <v>0.52625</v>
      </c>
      <c r="L91" s="1536">
        <f>K91</f>
        <v>0.52625</v>
      </c>
      <c r="N91" s="20" t="s">
        <v>33</v>
      </c>
      <c r="O91" s="32"/>
      <c r="Q91" s="161" t="s">
        <v>486</v>
      </c>
      <c r="R91" s="15"/>
      <c r="S91" s="15"/>
      <c r="T91" s="37"/>
      <c r="U91" s="37"/>
      <c r="V91" s="33">
        <f ca="1">-('Enron Returns'!AC54)</f>
        <v>713.93678335077152</v>
      </c>
      <c r="X91" s="20" t="s">
        <v>188</v>
      </c>
      <c r="Y91" s="15"/>
      <c r="Z91" s="15"/>
      <c r="AA91" s="15"/>
      <c r="AB91" s="758">
        <v>0</v>
      </c>
    </row>
    <row r="92" spans="1:28" ht="13.5" thickBot="1">
      <c r="H92" s="20" t="s">
        <v>28</v>
      </c>
      <c r="I92" s="15"/>
      <c r="J92" s="37">
        <f ca="1">J86</f>
        <v>20298.59348232605</v>
      </c>
      <c r="K92" s="1544">
        <f>K86</f>
        <v>0.21875</v>
      </c>
      <c r="L92" s="1536">
        <f>K92</f>
        <v>0.21875</v>
      </c>
      <c r="N92" s="20" t="s">
        <v>34</v>
      </c>
      <c r="O92" s="32"/>
      <c r="P92" s="15"/>
      <c r="Q92" s="15"/>
      <c r="R92" s="15"/>
      <c r="S92" s="15"/>
      <c r="T92" s="37"/>
      <c r="U92" s="37"/>
      <c r="V92" s="33">
        <f ca="1">-SUM('Enron Returns'!AC55,'Shell &amp; Trans Returns'!AC30,'Shell &amp; Trans Returns'!AC75)</f>
        <v>1487.835385824196</v>
      </c>
      <c r="X92" s="20" t="s">
        <v>189</v>
      </c>
      <c r="Y92" s="15"/>
      <c r="Z92" s="15"/>
      <c r="AA92" s="15"/>
      <c r="AB92" s="791">
        <v>36678</v>
      </c>
    </row>
    <row r="93" spans="1:28" ht="13.5" thickBot="1">
      <c r="A93" s="120" t="s">
        <v>391</v>
      </c>
      <c r="B93" s="11"/>
      <c r="C93" s="11"/>
      <c r="D93" s="795">
        <v>12500</v>
      </c>
      <c r="E93" s="11" t="s">
        <v>715</v>
      </c>
      <c r="F93" s="122"/>
      <c r="H93" s="20" t="s">
        <v>29</v>
      </c>
      <c r="I93" s="15"/>
      <c r="J93" s="37">
        <f ca="1">J87</f>
        <v>11599.196275614886</v>
      </c>
      <c r="K93" s="1544">
        <f>K87</f>
        <v>0.125</v>
      </c>
      <c r="L93" s="1536">
        <f>K93</f>
        <v>0.125</v>
      </c>
      <c r="N93" s="20" t="s">
        <v>269</v>
      </c>
      <c r="O93" s="160"/>
      <c r="Q93" s="161"/>
      <c r="R93" s="15"/>
      <c r="S93" s="15"/>
      <c r="U93" s="37"/>
      <c r="V93" s="33">
        <f ca="1">-SUM('Enron Returns'!AC65,'Shell &amp; Trans Returns'!AC40,'Shell &amp; Trans Returns'!AC85)</f>
        <v>33735.616270650593</v>
      </c>
      <c r="X93" s="20" t="s">
        <v>192</v>
      </c>
      <c r="Y93" s="15"/>
      <c r="Z93" s="15"/>
      <c r="AA93" s="15"/>
      <c r="AB93" s="758">
        <v>2</v>
      </c>
    </row>
    <row r="94" spans="1:28" ht="13.5" thickBot="1">
      <c r="A94" s="48"/>
      <c r="B94" s="49"/>
      <c r="C94" s="49"/>
      <c r="D94" s="775">
        <v>2.5000000000000001E-2</v>
      </c>
      <c r="E94" s="49" t="s">
        <v>393</v>
      </c>
      <c r="F94" s="125"/>
      <c r="H94" s="20" t="s">
        <v>1066</v>
      </c>
      <c r="I94" s="15"/>
      <c r="J94" s="142">
        <f>L107</f>
        <v>38</v>
      </c>
      <c r="K94" s="1545">
        <f>New_Investor_Equity</f>
        <v>0.13</v>
      </c>
      <c r="L94" s="1546">
        <f>K94</f>
        <v>0.13</v>
      </c>
      <c r="N94" s="20" t="s">
        <v>267</v>
      </c>
      <c r="O94" s="32"/>
      <c r="Q94" s="15"/>
      <c r="R94" s="15"/>
      <c r="S94" s="15"/>
      <c r="T94" s="37"/>
      <c r="U94" s="37"/>
      <c r="V94" s="33">
        <f ca="1">-SUM('Project &amp; Investor Returns'!AC48,'Enron Returns'!AC67,'Shell &amp; Trans Returns'!AC41,'Shell &amp; Trans Returns'!AC86)</f>
        <v>-9726.429858467387</v>
      </c>
      <c r="X94" s="20" t="s">
        <v>191</v>
      </c>
      <c r="Y94" s="15"/>
      <c r="Z94" s="15"/>
      <c r="AA94" s="15"/>
      <c r="AB94" s="1245">
        <f>EDATE(Startops3,AB93)</f>
        <v>37165</v>
      </c>
    </row>
    <row r="95" spans="1:28" ht="13.5" thickBot="1">
      <c r="H95" s="48" t="s">
        <v>401</v>
      </c>
      <c r="I95" s="49"/>
      <c r="J95" s="51">
        <f ca="1">SUM(J91:J94)</f>
        <v>92793.570204919088</v>
      </c>
      <c r="K95" s="1547">
        <f>SUM(K91:K94)</f>
        <v>1</v>
      </c>
      <c r="L95" s="924">
        <f>SUM(L91:L94)</f>
        <v>1</v>
      </c>
      <c r="N95" s="20" t="s">
        <v>268</v>
      </c>
      <c r="O95" s="32"/>
      <c r="Q95" s="161" t="s">
        <v>36</v>
      </c>
      <c r="R95" s="15"/>
      <c r="S95" s="15"/>
      <c r="T95" s="37"/>
      <c r="U95" s="37"/>
      <c r="V95" s="33">
        <f ca="1">-SUM('Project &amp; Investor Returns'!AC49,'Enron Returns'!AC68,'Shell &amp; Trans Returns'!AC42,'Shell &amp; Trans Returns'!AC87)</f>
        <v>-14837.52757466683</v>
      </c>
      <c r="X95" s="20" t="s">
        <v>652</v>
      </c>
      <c r="Y95" s="15"/>
      <c r="Z95" s="15"/>
      <c r="AA95" s="785">
        <v>30000</v>
      </c>
      <c r="AB95" s="33">
        <f>AA95*AB91</f>
        <v>0</v>
      </c>
    </row>
    <row r="96" spans="1:28" ht="13.5" thickBot="1">
      <c r="A96" s="120" t="s">
        <v>1234</v>
      </c>
      <c r="B96" s="11"/>
      <c r="C96" s="11"/>
      <c r="D96" s="11"/>
      <c r="E96" s="11"/>
      <c r="F96" s="122"/>
      <c r="N96" s="20" t="s">
        <v>166</v>
      </c>
      <c r="O96" s="32"/>
      <c r="Q96" s="161" t="s">
        <v>36</v>
      </c>
      <c r="R96" s="15"/>
      <c r="S96" s="15"/>
      <c r="T96" s="37"/>
      <c r="U96" s="37"/>
      <c r="V96" s="33">
        <f ca="1">-('Enron Returns'!AC70)</f>
        <v>976.85798344700322</v>
      </c>
      <c r="X96" s="20" t="s">
        <v>711</v>
      </c>
      <c r="Y96" s="15"/>
      <c r="Z96" s="15"/>
      <c r="AA96" s="1321">
        <v>0.45</v>
      </c>
      <c r="AB96" s="33">
        <f>AB95*AA96</f>
        <v>0</v>
      </c>
    </row>
    <row r="97" spans="1:28" ht="13.5" thickBot="1">
      <c r="A97" s="48"/>
      <c r="B97" s="49"/>
      <c r="C97" s="49"/>
      <c r="D97" s="49"/>
      <c r="E97" s="608" t="s">
        <v>158</v>
      </c>
      <c r="F97" s="793">
        <v>0.05</v>
      </c>
      <c r="H97" s="120" t="s">
        <v>1340</v>
      </c>
      <c r="I97" s="11"/>
      <c r="J97" s="11"/>
      <c r="K97" s="121" t="s">
        <v>767</v>
      </c>
      <c r="L97" s="158" t="s">
        <v>768</v>
      </c>
      <c r="N97" s="20" t="s">
        <v>270</v>
      </c>
      <c r="O97" s="32"/>
      <c r="P97" s="15"/>
      <c r="Q97" s="15"/>
      <c r="R97" s="15"/>
      <c r="S97" s="15"/>
      <c r="T97" s="37"/>
      <c r="U97" s="37"/>
      <c r="V97" s="33">
        <f ca="1">-SUM('Project &amp; Investor Returns'!AC51,'Enron Returns'!AC73,'Shell &amp; Trans Returns'!AC45,'Shell &amp; Trans Returns'!AC90)</f>
        <v>4304.9649683573271</v>
      </c>
      <c r="X97" s="20" t="s">
        <v>710</v>
      </c>
      <c r="Y97" s="15"/>
      <c r="Z97" s="15"/>
      <c r="AA97" s="1321">
        <v>0.03</v>
      </c>
      <c r="AB97" s="33">
        <f>AB95*AA97</f>
        <v>0</v>
      </c>
    </row>
    <row r="98" spans="1:28" ht="13.5" thickBot="1">
      <c r="H98" s="20" t="s">
        <v>1855</v>
      </c>
      <c r="I98" s="15"/>
      <c r="J98" s="15"/>
      <c r="K98" s="1534">
        <v>0.13</v>
      </c>
      <c r="L98" s="1535">
        <f>K98</f>
        <v>0.13</v>
      </c>
      <c r="N98" s="20" t="s">
        <v>1075</v>
      </c>
      <c r="O98" s="32"/>
      <c r="P98" s="15"/>
      <c r="Q98" s="15"/>
      <c r="R98" s="15"/>
      <c r="S98" s="15"/>
      <c r="T98" s="37"/>
      <c r="U98" s="37"/>
      <c r="V98" s="33">
        <f ca="1">-('Enron Returns'!AC71+'Shell &amp; Trans Returns'!AC44+'Shell &amp; Trans Returns'!AC89+'Project &amp; Investor Returns'!AC50)</f>
        <v>0</v>
      </c>
      <c r="X98" s="456" t="s">
        <v>1305</v>
      </c>
      <c r="Y98" s="15"/>
      <c r="Z98" s="93" t="s">
        <v>1306</v>
      </c>
      <c r="AA98" s="262" t="s">
        <v>1304</v>
      </c>
      <c r="AB98" s="1320" t="s">
        <v>713</v>
      </c>
    </row>
    <row r="99" spans="1:28" ht="13.5" thickBot="1">
      <c r="A99" s="162" t="s">
        <v>1859</v>
      </c>
      <c r="B99" s="707"/>
      <c r="C99" s="11"/>
      <c r="D99" s="11"/>
      <c r="E99" s="11"/>
      <c r="F99" s="363"/>
      <c r="H99" s="20" t="s">
        <v>1627</v>
      </c>
      <c r="I99" s="15"/>
      <c r="J99" s="15"/>
      <c r="K99" s="1534">
        <v>0</v>
      </c>
      <c r="L99" s="1535"/>
      <c r="N99" s="20" t="s">
        <v>1076</v>
      </c>
      <c r="O99" s="32"/>
      <c r="P99" s="15"/>
      <c r="Q99" s="161" t="s">
        <v>1077</v>
      </c>
      <c r="R99" s="15"/>
      <c r="S99" s="15"/>
      <c r="T99" s="37"/>
      <c r="U99" s="37"/>
      <c r="V99" s="33">
        <f ca="1">-'Enron Returns'!AC72</f>
        <v>0</v>
      </c>
      <c r="X99" s="20" t="s">
        <v>399</v>
      </c>
      <c r="Y99" s="15"/>
      <c r="Z99" s="15"/>
      <c r="AA99" s="820">
        <f>100%-SUM(AA100:AA102)</f>
        <v>0.65625</v>
      </c>
      <c r="AB99" s="33">
        <f>AA99*SUM(AB$96:AB$97)</f>
        <v>0</v>
      </c>
    </row>
    <row r="100" spans="1:28">
      <c r="A100" s="20" t="s">
        <v>1860</v>
      </c>
      <c r="C100" s="15"/>
      <c r="D100" s="15"/>
      <c r="E100" s="15"/>
      <c r="F100" s="1358">
        <f>Tariff!D31</f>
        <v>1291.0185185185185</v>
      </c>
      <c r="H100" s="20" t="s">
        <v>1854</v>
      </c>
      <c r="I100" s="15"/>
      <c r="J100" s="15"/>
      <c r="K100" s="1537">
        <f>K85-K98</f>
        <v>0.52625</v>
      </c>
      <c r="L100" s="1538">
        <f>K100</f>
        <v>0.52625</v>
      </c>
      <c r="N100" s="20" t="s">
        <v>1079</v>
      </c>
      <c r="O100" s="32"/>
      <c r="P100" s="15"/>
      <c r="Q100" s="15"/>
      <c r="R100" s="15"/>
      <c r="S100" s="15"/>
      <c r="T100" s="37"/>
      <c r="U100" s="37"/>
      <c r="V100" s="35">
        <f ca="1">-'Enron Returns'!AC74</f>
        <v>0</v>
      </c>
      <c r="X100" s="20" t="s">
        <v>28</v>
      </c>
      <c r="Y100" s="15"/>
      <c r="Z100" s="779">
        <v>1</v>
      </c>
      <c r="AA100" s="212">
        <f>K86*Z100</f>
        <v>0.21875</v>
      </c>
      <c r="AB100" s="33">
        <f>AA100*SUM(AB$96:AB$97)</f>
        <v>0</v>
      </c>
    </row>
    <row r="101" spans="1:28">
      <c r="A101" s="20" t="s">
        <v>1850</v>
      </c>
      <c r="C101" s="15"/>
      <c r="D101" s="15"/>
      <c r="E101" s="15"/>
      <c r="F101" s="1359">
        <f>Capacity_III</f>
        <v>480</v>
      </c>
      <c r="H101" s="20" t="s">
        <v>760</v>
      </c>
      <c r="I101" s="15"/>
      <c r="J101" s="15"/>
      <c r="K101" s="15"/>
      <c r="L101" s="963">
        <v>11300</v>
      </c>
      <c r="N101" s="20" t="s">
        <v>778</v>
      </c>
      <c r="O101" s="32"/>
      <c r="P101" s="15"/>
      <c r="Q101" s="15"/>
      <c r="R101" s="15"/>
      <c r="S101" s="15"/>
      <c r="T101" s="37"/>
      <c r="U101" s="37"/>
      <c r="V101" s="33">
        <f ca="1">SUM(V79:V100)</f>
        <v>26557.634076451181</v>
      </c>
      <c r="X101" s="20" t="s">
        <v>29</v>
      </c>
      <c r="Y101" s="15"/>
      <c r="Z101" s="779">
        <v>1</v>
      </c>
      <c r="AA101" s="212">
        <f>K87*Z101</f>
        <v>0.125</v>
      </c>
      <c r="AB101" s="33">
        <f>AA101*SUM(AB$96:AB$97)</f>
        <v>0</v>
      </c>
    </row>
    <row r="102" spans="1:28">
      <c r="A102" s="20" t="s">
        <v>1851</v>
      </c>
      <c r="B102" s="1321">
        <v>0.01</v>
      </c>
      <c r="D102" s="44" t="s">
        <v>1237</v>
      </c>
      <c r="E102" s="777">
        <v>240</v>
      </c>
      <c r="F102" s="1360">
        <f>B102*E102</f>
        <v>2.4</v>
      </c>
      <c r="H102" s="20" t="s">
        <v>1853</v>
      </c>
      <c r="I102" s="15"/>
      <c r="J102" s="15"/>
      <c r="K102" s="15"/>
      <c r="L102" s="1213">
        <v>36434</v>
      </c>
      <c r="N102" s="20"/>
      <c r="O102" s="32"/>
      <c r="P102" s="15"/>
      <c r="Q102" s="15"/>
      <c r="R102" s="15"/>
      <c r="S102" s="15"/>
      <c r="T102" s="37"/>
      <c r="U102" s="37"/>
      <c r="V102" s="33"/>
      <c r="X102" s="20" t="s">
        <v>1066</v>
      </c>
      <c r="Y102" s="15"/>
      <c r="Z102" s="779">
        <v>0</v>
      </c>
      <c r="AA102" s="1548">
        <f>K94*Z102</f>
        <v>0</v>
      </c>
      <c r="AB102" s="35">
        <f>AA102*SUM(AB$96:AB$97)</f>
        <v>0</v>
      </c>
    </row>
    <row r="103" spans="1:28">
      <c r="A103" s="20" t="s">
        <v>1852</v>
      </c>
      <c r="C103" s="15"/>
      <c r="D103" s="15"/>
      <c r="E103" s="15"/>
      <c r="F103" s="151">
        <f>F100*F101*F102/1000</f>
        <v>1487.2533333333333</v>
      </c>
      <c r="H103" s="20" t="s">
        <v>761</v>
      </c>
      <c r="I103" s="15"/>
      <c r="J103" s="15"/>
      <c r="K103" s="15"/>
      <c r="L103" s="1214">
        <v>0.13</v>
      </c>
      <c r="N103" s="20" t="s">
        <v>779</v>
      </c>
      <c r="O103" s="32"/>
      <c r="P103" s="15"/>
      <c r="Q103" s="15"/>
      <c r="R103" s="15"/>
      <c r="S103" s="15"/>
      <c r="T103" s="37"/>
      <c r="U103" s="37"/>
      <c r="V103" s="35">
        <f ca="1">V101+V77</f>
        <v>-64937.960795683874</v>
      </c>
      <c r="X103" s="1322" t="s">
        <v>712</v>
      </c>
      <c r="Y103" s="218"/>
      <c r="Z103" s="218"/>
      <c r="AA103" s="272" t="s">
        <v>714</v>
      </c>
      <c r="AB103" s="33">
        <f>SUM(AB99:AB102)</f>
        <v>0</v>
      </c>
    </row>
    <row r="104" spans="1:28" ht="13.5" thickBot="1">
      <c r="A104" s="48" t="s">
        <v>1858</v>
      </c>
      <c r="B104" s="49"/>
      <c r="C104" s="49"/>
      <c r="D104" s="49"/>
      <c r="E104" s="49"/>
      <c r="F104" s="1361">
        <f>F103/Exch</f>
        <v>1396.4820031298905</v>
      </c>
      <c r="H104" s="20" t="s">
        <v>762</v>
      </c>
      <c r="I104" s="15"/>
      <c r="J104" s="1520" t="s">
        <v>1382</v>
      </c>
      <c r="K104" s="777">
        <v>1</v>
      </c>
      <c r="L104" s="1521">
        <f>(L105-L102)/365*L103*L101*K104</f>
        <v>611.74794520547948</v>
      </c>
      <c r="N104" s="48" t="s">
        <v>433</v>
      </c>
      <c r="O104" s="50"/>
      <c r="P104" s="49"/>
      <c r="Q104" s="49"/>
      <c r="R104" s="49"/>
      <c r="S104" s="49"/>
      <c r="T104" s="51"/>
      <c r="U104" s="51"/>
      <c r="V104" s="52">
        <f ca="1">Npv-V103</f>
        <v>3959.3086012621279</v>
      </c>
      <c r="X104" s="48" t="s">
        <v>496</v>
      </c>
      <c r="Y104" s="49"/>
      <c r="Z104" s="49"/>
      <c r="AA104" s="49"/>
      <c r="AB104" s="52">
        <f>AB96</f>
        <v>0</v>
      </c>
    </row>
    <row r="105" spans="1:28" ht="13.5" thickBot="1">
      <c r="H105" s="196" t="s">
        <v>1856</v>
      </c>
      <c r="I105" s="15"/>
      <c r="J105" s="15"/>
      <c r="K105" s="15"/>
      <c r="L105" s="1213">
        <v>36586</v>
      </c>
    </row>
    <row r="106" spans="1:28" ht="13.5" thickBot="1">
      <c r="H106" s="196" t="s">
        <v>1857</v>
      </c>
      <c r="I106" s="15"/>
      <c r="J106" s="15"/>
      <c r="K106" s="15"/>
      <c r="L106" s="1213">
        <v>36586</v>
      </c>
      <c r="N106" s="120" t="s">
        <v>315</v>
      </c>
      <c r="O106" s="376"/>
      <c r="P106" s="11"/>
      <c r="Q106" s="11"/>
      <c r="R106" s="11"/>
      <c r="S106" s="11"/>
      <c r="T106" s="11"/>
      <c r="U106" s="11"/>
      <c r="V106" s="122"/>
    </row>
    <row r="107" spans="1:28">
      <c r="H107" s="196" t="s">
        <v>1069</v>
      </c>
      <c r="I107" s="15"/>
      <c r="J107" s="15"/>
      <c r="K107" s="15"/>
      <c r="L107" s="963">
        <v>38</v>
      </c>
      <c r="N107" s="20" t="s">
        <v>543</v>
      </c>
      <c r="R107" s="164"/>
      <c r="S107" s="164"/>
      <c r="T107" s="164"/>
      <c r="U107" s="164"/>
      <c r="V107" s="1403">
        <f>(3029.823/4775.883)*775.883</f>
        <v>492.22063411289599</v>
      </c>
    </row>
    <row r="108" spans="1:28">
      <c r="H108" s="1074" t="s">
        <v>1626</v>
      </c>
      <c r="I108" s="743"/>
      <c r="J108" s="53"/>
      <c r="K108" s="53"/>
      <c r="L108" s="1533">
        <v>0.13</v>
      </c>
      <c r="N108" s="20" t="s">
        <v>544</v>
      </c>
      <c r="R108" s="164"/>
      <c r="S108" s="164"/>
      <c r="T108" s="164"/>
      <c r="U108" s="164"/>
      <c r="V108" s="1403">
        <v>2259</v>
      </c>
    </row>
    <row r="109" spans="1:28">
      <c r="H109" s="20" t="s">
        <v>1068</v>
      </c>
      <c r="I109" s="743"/>
      <c r="J109" s="53"/>
      <c r="K109" s="53"/>
      <c r="L109" s="1539">
        <f>K85-New_Investor_Equity</f>
        <v>0.52625</v>
      </c>
      <c r="N109" s="20"/>
      <c r="R109" s="164"/>
      <c r="S109" s="164"/>
      <c r="T109" s="164"/>
      <c r="U109" s="164"/>
      <c r="V109" s="710"/>
    </row>
    <row r="110" spans="1:28">
      <c r="H110" s="196" t="s">
        <v>1381</v>
      </c>
      <c r="I110" s="743"/>
      <c r="J110" s="1520" t="s">
        <v>1382</v>
      </c>
      <c r="K110" s="15"/>
      <c r="L110" s="758">
        <v>0</v>
      </c>
      <c r="N110" s="20"/>
      <c r="R110" s="708">
        <v>1998</v>
      </c>
      <c r="S110" s="708">
        <v>1999</v>
      </c>
      <c r="T110" s="708">
        <v>2000</v>
      </c>
      <c r="U110" s="708">
        <v>2001</v>
      </c>
      <c r="V110" s="709">
        <v>2002</v>
      </c>
    </row>
    <row r="111" spans="1:28" ht="13.5" thickBot="1">
      <c r="H111" s="1540" t="s">
        <v>1383</v>
      </c>
      <c r="I111" s="1541"/>
      <c r="J111" s="1542"/>
      <c r="K111" s="154"/>
      <c r="L111" s="1543">
        <f>IF($L$110=1,L108*AB54,0)</f>
        <v>0</v>
      </c>
      <c r="N111" s="20" t="s">
        <v>470</v>
      </c>
      <c r="R111" s="164">
        <f ca="1">EINC!F58</f>
        <v>648.30756775828024</v>
      </c>
      <c r="S111" s="164">
        <f ca="1">EINC!G58</f>
        <v>-9223.5919302034818</v>
      </c>
      <c r="T111" s="164">
        <f ca="1">EINC!H58</f>
        <v>2449.4963860193066</v>
      </c>
      <c r="U111" s="164">
        <f ca="1">EINC!I58</f>
        <v>-125.91381997799385</v>
      </c>
      <c r="V111" s="710">
        <f ca="1">EINC!J58</f>
        <v>1179.9750110143175</v>
      </c>
    </row>
    <row r="112" spans="1:28" ht="13.5" thickBot="1">
      <c r="N112" s="20" t="s">
        <v>1606</v>
      </c>
      <c r="R112" s="55"/>
      <c r="S112" s="55"/>
      <c r="T112" s="55"/>
      <c r="U112" s="55"/>
      <c r="V112" s="710">
        <f ca="1">EINC!D64</f>
        <v>-4.7513060167257208</v>
      </c>
    </row>
    <row r="113" spans="8:22" ht="13.5" thickBot="1">
      <c r="H113" s="120" t="s">
        <v>418</v>
      </c>
      <c r="I113" s="11"/>
      <c r="J113" s="11"/>
      <c r="K113" s="1327" t="s">
        <v>26</v>
      </c>
      <c r="L113" s="122"/>
      <c r="N113" s="48" t="s">
        <v>1607</v>
      </c>
      <c r="O113" s="49"/>
      <c r="P113" s="49"/>
      <c r="Q113" s="49"/>
      <c r="R113" s="275"/>
      <c r="S113" s="275"/>
      <c r="T113" s="275"/>
      <c r="U113" s="275"/>
      <c r="V113" s="711">
        <f ca="1">EINC!D65</f>
        <v>2149.4683081584903</v>
      </c>
    </row>
    <row r="114" spans="8:22" ht="13.5" thickBot="1">
      <c r="H114" s="48" t="s">
        <v>25</v>
      </c>
      <c r="I114" s="49"/>
      <c r="J114" s="781">
        <v>0.01</v>
      </c>
      <c r="K114" s="49" t="s">
        <v>1862</v>
      </c>
      <c r="L114" s="125"/>
    </row>
    <row r="122" spans="8:22">
      <c r="P122" s="1425"/>
    </row>
  </sheetData>
  <printOptions horizontalCentered="1"/>
  <pageMargins left="0.25" right="0.25" top="0.5" bottom="0.5" header="0.25" footer="0.25"/>
  <pageSetup scale="26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17" r:id="rId4" name="Button 93">
              <controlPr defaultSize="0" print="0" autoFill="0" autoLine="0" autoPict="0" macro="[0]!Converge_Model">
                <anchor moveWithCells="1" sizeWithCells="1">
                  <from>
                    <xdr:col>0</xdr:col>
                    <xdr:colOff>1695450</xdr:colOff>
                    <xdr:row>2</xdr:row>
                    <xdr:rowOff>38100</xdr:rowOff>
                  </from>
                  <to>
                    <xdr:col>2</xdr:col>
                    <xdr:colOff>219075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" r:id="rId5" name="Button 95">
              <controlPr defaultSize="0" print="0" autoFill="0" autoPict="0" macro="[0]!Converge_Commit">
                <anchor moveWithCells="1" sizeWithCells="1">
                  <from>
                    <xdr:col>2</xdr:col>
                    <xdr:colOff>276225</xdr:colOff>
                    <xdr:row>2</xdr:row>
                    <xdr:rowOff>38100</xdr:rowOff>
                  </from>
                  <to>
                    <xdr:col>3</xdr:col>
                    <xdr:colOff>523875</xdr:colOff>
                    <xdr:row>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" r:id="rId6" name="Button 96">
              <controlPr defaultSize="0" print="0" autoFill="0" autoLine="0" autoPict="0" macro="[0]!Print_Model">
                <anchor moveWithCells="1" sizeWithCells="1">
                  <from>
                    <xdr:col>3</xdr:col>
                    <xdr:colOff>600075</xdr:colOff>
                    <xdr:row>2</xdr:row>
                    <xdr:rowOff>28575</xdr:rowOff>
                  </from>
                  <to>
                    <xdr:col>5</xdr:col>
                    <xdr:colOff>219075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" r:id="rId7" name="Button 97">
              <controlPr defaultSize="0" print="0" autoFill="0" autoPict="0" macro="[0]!Print_Appendix">
                <anchor moveWithCells="1" sizeWithCells="1">
                  <from>
                    <xdr:col>5</xdr:col>
                    <xdr:colOff>295275</xdr:colOff>
                    <xdr:row>2</xdr:row>
                    <xdr:rowOff>38100</xdr:rowOff>
                  </from>
                  <to>
                    <xdr:col>7</xdr:col>
                    <xdr:colOff>381000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8" name="Button 393">
              <controlPr defaultSize="0" print="0" autoFill="0" autoPict="0" macro="[0]!Subdebtloop_Model">
                <anchor moveWithCells="1" sizeWithCells="1">
                  <from>
                    <xdr:col>7</xdr:col>
                    <xdr:colOff>438150</xdr:colOff>
                    <xdr:row>2</xdr:row>
                    <xdr:rowOff>38100</xdr:rowOff>
                  </from>
                  <to>
                    <xdr:col>7</xdr:col>
                    <xdr:colOff>1485900</xdr:colOff>
                    <xdr:row>4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>
    <pageSetUpPr fitToPage="1"/>
  </sheetPr>
  <dimension ref="A1:Y150"/>
  <sheetViews>
    <sheetView topLeftCell="A3" zoomScale="75" workbookViewId="0">
      <pane ySplit="1" topLeftCell="A12" activePane="bottomLeft" state="frozen"/>
      <selection activeCell="A3" sqref="A3"/>
      <selection pane="bottomLeft" activeCell="C45" sqref="C45"/>
    </sheetView>
  </sheetViews>
  <sheetFormatPr defaultRowHeight="12.75"/>
  <cols>
    <col min="1" max="1" width="34.5703125" customWidth="1"/>
    <col min="2" max="2" width="14.42578125" bestFit="1" customWidth="1"/>
    <col min="3" max="3" width="13.28515625" bestFit="1" customWidth="1"/>
    <col min="4" max="4" width="11.5703125" customWidth="1"/>
    <col min="5" max="5" width="11" bestFit="1" customWidth="1"/>
    <col min="6" max="6" width="12.5703125" customWidth="1"/>
    <col min="7" max="7" width="11.28515625" bestFit="1" customWidth="1"/>
    <col min="8" max="8" width="18.7109375" bestFit="1" customWidth="1"/>
    <col min="9" max="12" width="11.7109375" bestFit="1" customWidth="1"/>
    <col min="13" max="13" width="11.7109375" customWidth="1"/>
    <col min="14" max="23" width="11.7109375" bestFit="1" customWidth="1"/>
    <col min="24" max="24" width="10.7109375" bestFit="1" customWidth="1"/>
    <col min="25" max="25" width="5.7109375" bestFit="1" customWidth="1"/>
  </cols>
  <sheetData>
    <row r="1" spans="1:25">
      <c r="A1" s="9" t="s">
        <v>1679</v>
      </c>
    </row>
    <row r="3" spans="1:25">
      <c r="A3" s="1743" t="s">
        <v>1678</v>
      </c>
      <c r="B3" s="1742">
        <v>35795</v>
      </c>
      <c r="C3" s="1742">
        <v>36160</v>
      </c>
      <c r="D3" s="1742">
        <v>36525</v>
      </c>
      <c r="E3" s="1741">
        <v>36891</v>
      </c>
      <c r="F3" s="1741">
        <v>37256</v>
      </c>
      <c r="G3" s="1741">
        <v>37621</v>
      </c>
      <c r="H3" s="1741">
        <v>37986</v>
      </c>
      <c r="I3" s="1741">
        <v>38352</v>
      </c>
      <c r="J3" s="1741">
        <v>38717</v>
      </c>
      <c r="K3" s="1741">
        <v>39082</v>
      </c>
      <c r="L3" s="1741">
        <v>39447</v>
      </c>
      <c r="M3" s="1741">
        <v>39813</v>
      </c>
      <c r="N3" s="1741">
        <v>40178</v>
      </c>
      <c r="O3" s="1741">
        <v>40543</v>
      </c>
      <c r="P3" s="1741">
        <v>40908</v>
      </c>
      <c r="Q3" s="1741">
        <v>41274</v>
      </c>
      <c r="R3" s="1741">
        <v>41639</v>
      </c>
      <c r="S3" s="1741">
        <v>42004</v>
      </c>
      <c r="T3" s="1741">
        <v>42369</v>
      </c>
      <c r="U3" s="1741">
        <v>42735</v>
      </c>
      <c r="V3" s="1741">
        <v>43100</v>
      </c>
      <c r="W3" s="1741">
        <v>43465</v>
      </c>
      <c r="X3" s="1741">
        <v>43830</v>
      </c>
      <c r="Y3" s="1740"/>
    </row>
    <row r="4" spans="1:25">
      <c r="A4" s="1743" t="s">
        <v>1677</v>
      </c>
      <c r="B4" s="1742">
        <f t="shared" ref="B4:X4" si="0">+IF(B3&lt;$B$50,$B$50,B3)</f>
        <v>36685</v>
      </c>
      <c r="C4" s="1742">
        <f t="shared" si="0"/>
        <v>36685</v>
      </c>
      <c r="D4" s="1742">
        <f t="shared" si="0"/>
        <v>36685</v>
      </c>
      <c r="E4" s="1741">
        <f t="shared" si="0"/>
        <v>36891</v>
      </c>
      <c r="F4" s="1741">
        <f t="shared" si="0"/>
        <v>37256</v>
      </c>
      <c r="G4" s="1741">
        <f t="shared" si="0"/>
        <v>37621</v>
      </c>
      <c r="H4" s="1741">
        <f t="shared" si="0"/>
        <v>37986</v>
      </c>
      <c r="I4" s="1741">
        <f t="shared" si="0"/>
        <v>38352</v>
      </c>
      <c r="J4" s="1741">
        <f t="shared" si="0"/>
        <v>38717</v>
      </c>
      <c r="K4" s="1741">
        <f t="shared" si="0"/>
        <v>39082</v>
      </c>
      <c r="L4" s="1741">
        <f t="shared" si="0"/>
        <v>39447</v>
      </c>
      <c r="M4" s="1741">
        <f t="shared" si="0"/>
        <v>39813</v>
      </c>
      <c r="N4" s="1741">
        <f t="shared" si="0"/>
        <v>40178</v>
      </c>
      <c r="O4" s="1741">
        <f t="shared" si="0"/>
        <v>40543</v>
      </c>
      <c r="P4" s="1741">
        <f t="shared" si="0"/>
        <v>40908</v>
      </c>
      <c r="Q4" s="1741">
        <f t="shared" si="0"/>
        <v>41274</v>
      </c>
      <c r="R4" s="1741">
        <f t="shared" si="0"/>
        <v>41639</v>
      </c>
      <c r="S4" s="1741">
        <f t="shared" si="0"/>
        <v>42004</v>
      </c>
      <c r="T4" s="1741">
        <f t="shared" si="0"/>
        <v>42369</v>
      </c>
      <c r="U4" s="1741">
        <f t="shared" si="0"/>
        <v>42735</v>
      </c>
      <c r="V4" s="1741">
        <f t="shared" si="0"/>
        <v>43100</v>
      </c>
      <c r="W4" s="1741">
        <f t="shared" si="0"/>
        <v>43465</v>
      </c>
      <c r="X4" s="1741">
        <f t="shared" si="0"/>
        <v>43830</v>
      </c>
      <c r="Y4" s="1740"/>
    </row>
    <row r="6" spans="1:25" s="1750" customFormat="1">
      <c r="A6" s="36" t="s">
        <v>1676</v>
      </c>
      <c r="B6" s="36"/>
    </row>
    <row r="7" spans="1:25" s="1766" customFormat="1">
      <c r="A7" s="1815" t="s">
        <v>1675</v>
      </c>
      <c r="B7" s="1766" t="s">
        <v>1682</v>
      </c>
      <c r="C7" s="1766" t="s">
        <v>1683</v>
      </c>
      <c r="D7" s="1766" t="s">
        <v>1684</v>
      </c>
      <c r="E7" s="1766" t="s">
        <v>1685</v>
      </c>
      <c r="F7" s="1766" t="s">
        <v>1686</v>
      </c>
      <c r="G7" s="1766" t="s">
        <v>1687</v>
      </c>
      <c r="H7" s="1766" t="s">
        <v>1688</v>
      </c>
      <c r="I7" s="1766" t="s">
        <v>1689</v>
      </c>
      <c r="J7" s="1766" t="s">
        <v>1690</v>
      </c>
      <c r="K7" s="1766" t="s">
        <v>1691</v>
      </c>
      <c r="L7" s="1766" t="s">
        <v>1692</v>
      </c>
      <c r="M7" s="1766" t="s">
        <v>1693</v>
      </c>
      <c r="N7" s="1766" t="s">
        <v>1694</v>
      </c>
      <c r="O7" s="1766" t="s">
        <v>1695</v>
      </c>
      <c r="P7" s="1766" t="s">
        <v>1696</v>
      </c>
      <c r="Q7" s="1766" t="s">
        <v>1697</v>
      </c>
      <c r="R7" s="1766" t="s">
        <v>1698</v>
      </c>
      <c r="S7" s="1766" t="s">
        <v>1699</v>
      </c>
      <c r="T7" s="1766" t="s">
        <v>1700</v>
      </c>
      <c r="U7" s="1766" t="s">
        <v>1701</v>
      </c>
      <c r="V7" s="1766" t="s">
        <v>1702</v>
      </c>
      <c r="W7" s="1766" t="s">
        <v>1703</v>
      </c>
      <c r="X7" s="1766" t="s">
        <v>1704</v>
      </c>
    </row>
    <row r="8" spans="1:25" s="1641" customFormat="1">
      <c r="A8" s="1745" t="s">
        <v>1143</v>
      </c>
      <c r="B8" s="1830">
        <f ca="1">'Enron Returns'!E13+'Enron Returns'!E15</f>
        <v>0</v>
      </c>
      <c r="C8" s="1830">
        <f ca="1">'Enron Returns'!F13+'Enron Returns'!F15+'Enron Returns'!F50+'Enron Returns'!F65</f>
        <v>-78171.481337820966</v>
      </c>
      <c r="D8" s="1830">
        <f ca="1">'Enron Returns'!G13+'Enron Returns'!G15+'Enron Returns'!G50+'Enron Returns'!G65</f>
        <v>-24806.819553851339</v>
      </c>
      <c r="E8" s="1830">
        <f ca="1">'Enron Returns'!H13+'Enron Returns'!H15+'Enron Returns'!H50+'Enron Returns'!H65</f>
        <v>-50737.382151601225</v>
      </c>
      <c r="F8" s="1830">
        <f ca="1">'Enron Returns'!I13+'Enron Returns'!I15+'Enron Returns'!I50+'Enron Returns'!I65</f>
        <v>-8125.0664027204439</v>
      </c>
      <c r="G8" s="1830">
        <f ca="1">'Enron Returns'!J13+'Enron Returns'!J15+'Enron Returns'!J50+'Enron Returns'!J65</f>
        <v>0</v>
      </c>
      <c r="H8" s="1830">
        <f ca="1">'Enron Returns'!K13+'Enron Returns'!K15+'Enron Returns'!K50+'Enron Returns'!K65</f>
        <v>0</v>
      </c>
      <c r="I8" s="1830">
        <f ca="1">'Enron Returns'!L13+'Enron Returns'!L15+'Enron Returns'!L50+'Enron Returns'!L65</f>
        <v>0</v>
      </c>
      <c r="J8" s="1830">
        <f ca="1">'Enron Returns'!M13+'Enron Returns'!M15+'Enron Returns'!M50+'Enron Returns'!M65</f>
        <v>0</v>
      </c>
      <c r="K8" s="1830">
        <f ca="1">'Enron Returns'!N13+'Enron Returns'!N15+'Enron Returns'!N50+'Enron Returns'!N65</f>
        <v>0</v>
      </c>
      <c r="L8" s="1830">
        <f ca="1">'Enron Returns'!O13+'Enron Returns'!O15+'Enron Returns'!O50+'Enron Returns'!O65</f>
        <v>0</v>
      </c>
      <c r="M8" s="1830">
        <f ca="1">'Enron Returns'!P13+'Enron Returns'!P15+'Enron Returns'!P50+'Enron Returns'!P65</f>
        <v>0</v>
      </c>
      <c r="N8" s="1830">
        <f ca="1">'Enron Returns'!Q13+'Enron Returns'!Q15+'Enron Returns'!Q50+'Enron Returns'!Q65</f>
        <v>0</v>
      </c>
      <c r="O8" s="1830">
        <f ca="1">'Enron Returns'!R13+'Enron Returns'!R15+'Enron Returns'!R50+'Enron Returns'!R65</f>
        <v>0</v>
      </c>
      <c r="P8" s="1830">
        <f ca="1">'Enron Returns'!S13+'Enron Returns'!S15+'Enron Returns'!S50+'Enron Returns'!S65</f>
        <v>0</v>
      </c>
      <c r="Q8" s="1830">
        <f ca="1">'Enron Returns'!T13+'Enron Returns'!T15+'Enron Returns'!T50+'Enron Returns'!T65</f>
        <v>0</v>
      </c>
      <c r="R8" s="1830">
        <f ca="1">'Enron Returns'!U13+'Enron Returns'!U15+'Enron Returns'!U50+'Enron Returns'!U65</f>
        <v>0</v>
      </c>
      <c r="S8" s="1830">
        <f ca="1">'Enron Returns'!V13+'Enron Returns'!V15+'Enron Returns'!V50+'Enron Returns'!V65</f>
        <v>0</v>
      </c>
      <c r="T8" s="1830">
        <f ca="1">'Enron Returns'!W13+'Enron Returns'!W15+'Enron Returns'!W50+'Enron Returns'!W65</f>
        <v>0</v>
      </c>
      <c r="U8" s="1830">
        <f ca="1">'Enron Returns'!X13+'Enron Returns'!X15+'Enron Returns'!X50+'Enron Returns'!X65</f>
        <v>0</v>
      </c>
      <c r="V8" s="1830">
        <f ca="1">'Enron Returns'!Y13+'Enron Returns'!Y15+'Enron Returns'!Y50+'Enron Returns'!Y65</f>
        <v>0</v>
      </c>
      <c r="W8" s="1830">
        <f ca="1">'Enron Returns'!Z13+'Enron Returns'!Z15+'Enron Returns'!Z50+'Enron Returns'!Z65</f>
        <v>0</v>
      </c>
      <c r="X8" s="1830">
        <f ca="1">'Enron Returns'!AA13+'Enron Returns'!AA15+'Enron Returns'!AA50+'Enron Returns'!AA65</f>
        <v>0</v>
      </c>
      <c r="Y8" s="1746"/>
    </row>
    <row r="9" spans="1:25" s="1641" customFormat="1">
      <c r="A9" s="1745" t="s">
        <v>1680</v>
      </c>
      <c r="B9" s="1746">
        <v>0</v>
      </c>
      <c r="C9" s="1830">
        <f ca="1">[5]Returns!E26+[5]Returns!E52+[5]Returns!E68</f>
        <v>-3318.9850428247569</v>
      </c>
      <c r="D9" s="1830">
        <f ca="1">[5]Returns!F26+[5]Returns!F52+[5]Returns!F68</f>
        <v>-24855.380423157207</v>
      </c>
      <c r="E9" s="1830">
        <f ca="1">[5]Returns!G26+[5]Returns!G52+[5]Returns!G68</f>
        <v>-33618.394487206191</v>
      </c>
      <c r="F9" s="1830">
        <f ca="1">[5]Returns!H26+[5]Returns!H52+[5]Returns!H68</f>
        <v>-211.03273076391088</v>
      </c>
      <c r="G9" s="1830">
        <f ca="1">[5]Returns!I26+[5]Returns!I52+[5]Returns!I68</f>
        <v>0</v>
      </c>
      <c r="H9" s="1830">
        <f ca="1">[5]Returns!J26+[5]Returns!J52+[5]Returns!J68</f>
        <v>0</v>
      </c>
      <c r="I9" s="1830">
        <f ca="1">[5]Returns!K26+[5]Returns!K52+[5]Returns!K68</f>
        <v>0</v>
      </c>
      <c r="J9" s="1830">
        <f ca="1">[5]Returns!L26+[5]Returns!L52+[5]Returns!L68</f>
        <v>0</v>
      </c>
      <c r="K9" s="1830">
        <f ca="1">[5]Returns!M26+[5]Returns!M52+[5]Returns!M68</f>
        <v>0</v>
      </c>
      <c r="L9" s="1830">
        <f ca="1">[5]Returns!N26+[5]Returns!N52+[5]Returns!N68</f>
        <v>0</v>
      </c>
      <c r="M9" s="1830">
        <f ca="1">[5]Returns!O26+[5]Returns!O52+[5]Returns!O68</f>
        <v>0</v>
      </c>
      <c r="N9" s="1830">
        <f ca="1">[5]Returns!P26+[5]Returns!P52+[5]Returns!P68</f>
        <v>0</v>
      </c>
      <c r="O9" s="1830">
        <f ca="1">[5]Returns!Q26+[5]Returns!Q52+[5]Returns!Q68</f>
        <v>0</v>
      </c>
      <c r="P9" s="1830">
        <f ca="1">[5]Returns!R26+[5]Returns!R52+[5]Returns!R68</f>
        <v>0</v>
      </c>
      <c r="Q9" s="1830">
        <f ca="1">[5]Returns!S26+[5]Returns!S52+[5]Returns!S68</f>
        <v>0</v>
      </c>
      <c r="R9" s="1830">
        <f ca="1">[5]Returns!T26+[5]Returns!T52+[5]Returns!T68</f>
        <v>0</v>
      </c>
      <c r="S9" s="1830">
        <f ca="1">[5]Returns!U26+[5]Returns!U52+[5]Returns!U68</f>
        <v>0</v>
      </c>
      <c r="T9" s="1830">
        <f ca="1">[5]Returns!V26+[5]Returns!V52+[5]Returns!V68</f>
        <v>0</v>
      </c>
      <c r="U9" s="1830">
        <f ca="1">[5]Returns!W26+[5]Returns!W52+[5]Returns!W68</f>
        <v>0</v>
      </c>
      <c r="V9" s="1830">
        <f ca="1">[5]Returns!X26+[5]Returns!X52+[5]Returns!X68</f>
        <v>0</v>
      </c>
      <c r="W9" s="1830">
        <f ca="1">[5]Returns!Y26+[5]Returns!Y52+[5]Returns!Y68</f>
        <v>0</v>
      </c>
      <c r="X9" s="1830">
        <f ca="1">[5]Returns!Z26+[5]Returns!Z52+[5]Returns!Z68</f>
        <v>0</v>
      </c>
      <c r="Y9" s="1746"/>
    </row>
    <row r="10" spans="1:25" s="1641" customFormat="1">
      <c r="A10" s="1745" t="s">
        <v>1634</v>
      </c>
      <c r="B10" s="1746">
        <v>0</v>
      </c>
      <c r="C10" s="1830">
        <f ca="1">([6]Returns!E24)+[6]Returns!E48+[6]Returns!E64</f>
        <v>-3111.7009109999995</v>
      </c>
      <c r="D10" s="1830">
        <f ca="1">([6]Returns!F24)+[6]Returns!F48+[6]Returns!F64</f>
        <v>-22295.731691872272</v>
      </c>
      <c r="E10" s="1830">
        <f ca="1">([6]Returns!G24)+[6]Returns!G48+[6]Returns!G64</f>
        <v>-14359.922671563178</v>
      </c>
      <c r="F10" s="1830">
        <f ca="1">([6]Returns!H24)+[6]Returns!H48+[6]Returns!H64</f>
        <v>-13.556959376798432</v>
      </c>
      <c r="G10" s="1830">
        <f ca="1">([6]Returns!I24)+[6]Returns!I48+[6]Returns!I64</f>
        <v>0</v>
      </c>
      <c r="H10" s="1830">
        <f ca="1">([6]Returns!J24)+[6]Returns!J48+[6]Returns!J64</f>
        <v>0</v>
      </c>
      <c r="I10" s="1830">
        <f ca="1">([6]Returns!K24)+[6]Returns!K48+[6]Returns!K64</f>
        <v>0</v>
      </c>
      <c r="J10" s="1830">
        <f ca="1">([6]Returns!L24)+[6]Returns!L48+[6]Returns!L64</f>
        <v>0</v>
      </c>
      <c r="K10" s="1830">
        <f ca="1">([6]Returns!M24)+[6]Returns!M48+[6]Returns!M64</f>
        <v>0</v>
      </c>
      <c r="L10" s="1830">
        <f ca="1">([6]Returns!N24)+[6]Returns!N48+[6]Returns!N64</f>
        <v>0</v>
      </c>
      <c r="M10" s="1830">
        <f ca="1">([6]Returns!O24)+[6]Returns!O48+[6]Returns!O64</f>
        <v>0</v>
      </c>
      <c r="N10" s="1830">
        <f ca="1">([6]Returns!P24)+[6]Returns!P48+[6]Returns!P64</f>
        <v>0</v>
      </c>
      <c r="O10" s="1830">
        <f ca="1">([6]Returns!Q24)+[6]Returns!Q48+[6]Returns!Q64</f>
        <v>0</v>
      </c>
      <c r="P10" s="1830">
        <f ca="1">([6]Returns!R24)+[6]Returns!R48+[6]Returns!R64</f>
        <v>0</v>
      </c>
      <c r="Q10" s="1830">
        <f ca="1">([6]Returns!S24)+[6]Returns!S48+[6]Returns!S64</f>
        <v>0</v>
      </c>
      <c r="R10" s="1830">
        <f ca="1">([6]Returns!T24)+[6]Returns!T48+[6]Returns!T64</f>
        <v>0</v>
      </c>
      <c r="S10" s="1830">
        <f ca="1">([6]Returns!U24)+[6]Returns!U48+[6]Returns!U64</f>
        <v>0</v>
      </c>
      <c r="T10" s="1830">
        <f ca="1">([6]Returns!V24)+[6]Returns!V48+[6]Returns!V64</f>
        <v>0</v>
      </c>
      <c r="U10" s="1830">
        <f ca="1">([6]Returns!W24)+[6]Returns!W48+[6]Returns!W64</f>
        <v>0</v>
      </c>
      <c r="V10" s="1830">
        <f ca="1">([6]Returns!X24)+[6]Returns!X48+[6]Returns!X64</f>
        <v>0</v>
      </c>
      <c r="W10" s="1830">
        <f ca="1">([6]Returns!Y24)+[6]Returns!Y48+[6]Returns!Y64</f>
        <v>0</v>
      </c>
      <c r="X10" s="1830">
        <f ca="1">([6]Returns!Z24)+[6]Returns!Z48+[6]Returns!Z64</f>
        <v>0</v>
      </c>
      <c r="Y10" s="1746"/>
    </row>
    <row r="11" spans="1:25" s="1641" customFormat="1">
      <c r="A11" s="1745" t="s">
        <v>1681</v>
      </c>
      <c r="B11" s="1746">
        <v>0</v>
      </c>
      <c r="C11" s="1746">
        <f>[7]Returns!E23</f>
        <v>0</v>
      </c>
      <c r="D11" s="1746">
        <f>[7]Returns!F23</f>
        <v>0</v>
      </c>
      <c r="E11" s="1746">
        <f ca="1">[7]Returns!G23</f>
        <v>1064.4284700000001</v>
      </c>
      <c r="F11" s="1746">
        <f>[7]Returns!H23</f>
        <v>0</v>
      </c>
      <c r="G11" s="1746">
        <f>[7]Returns!I23</f>
        <v>0</v>
      </c>
      <c r="H11" s="1746">
        <f>[7]Returns!J23</f>
        <v>0</v>
      </c>
      <c r="I11" s="1746">
        <f>[7]Returns!K23</f>
        <v>0</v>
      </c>
      <c r="J11" s="1746">
        <f>[7]Returns!L23</f>
        <v>0</v>
      </c>
      <c r="K11" s="1746">
        <f>[7]Returns!M23</f>
        <v>0</v>
      </c>
      <c r="L11" s="1746">
        <f>[7]Returns!N23</f>
        <v>0</v>
      </c>
      <c r="M11" s="1746">
        <f>[7]Returns!O23</f>
        <v>0</v>
      </c>
      <c r="N11" s="1746">
        <f>[7]Returns!P23</f>
        <v>0</v>
      </c>
      <c r="O11" s="1746">
        <f>[7]Returns!Q23</f>
        <v>0</v>
      </c>
      <c r="P11" s="1746">
        <f>[7]Returns!R23</f>
        <v>0</v>
      </c>
      <c r="Q11" s="1746">
        <f>[7]Returns!S23</f>
        <v>0</v>
      </c>
      <c r="R11" s="1746">
        <f>[7]Returns!T23</f>
        <v>0</v>
      </c>
      <c r="S11" s="1746">
        <f>[7]Returns!U23</f>
        <v>0</v>
      </c>
      <c r="T11" s="1746">
        <f>[7]Returns!V23</f>
        <v>0</v>
      </c>
      <c r="U11" s="1746">
        <f>[7]Returns!W23</f>
        <v>0</v>
      </c>
      <c r="V11" s="1746">
        <f>[7]Returns!X23</f>
        <v>0</v>
      </c>
      <c r="W11" s="1746">
        <f>[7]Returns!Y23</f>
        <v>0</v>
      </c>
      <c r="X11" s="1746">
        <f>[7]Returns!Z23</f>
        <v>0</v>
      </c>
      <c r="Y11" s="1746"/>
    </row>
    <row r="12" spans="1:25" s="1750" customFormat="1">
      <c r="A12" s="1765" t="s">
        <v>1774</v>
      </c>
      <c r="B12" s="1744">
        <f ca="1">SUM(B8:B11)</f>
        <v>0</v>
      </c>
      <c r="C12" s="1744">
        <f ca="1">SUM(C8:C11)</f>
        <v>-84602.167291645717</v>
      </c>
      <c r="D12" s="1744">
        <f ca="1">SUM(D8:D11)</f>
        <v>-71957.931668880818</v>
      </c>
      <c r="E12" s="1786">
        <f ca="1">SUM(E8:E11)*E64</f>
        <v>-97651.270840370591</v>
      </c>
      <c r="F12" s="1786">
        <f t="shared" ref="F12:X12" ca="1" si="1">SUM(F8:F11)*F64</f>
        <v>-8349.6560928611525</v>
      </c>
      <c r="G12" s="1786">
        <f t="shared" ca="1" si="1"/>
        <v>0</v>
      </c>
      <c r="H12" s="1786">
        <f t="shared" ca="1" si="1"/>
        <v>0</v>
      </c>
      <c r="I12" s="1786">
        <f t="shared" ca="1" si="1"/>
        <v>0</v>
      </c>
      <c r="J12" s="1786">
        <f t="shared" ca="1" si="1"/>
        <v>0</v>
      </c>
      <c r="K12" s="1786">
        <f t="shared" ca="1" si="1"/>
        <v>0</v>
      </c>
      <c r="L12" s="1786">
        <f t="shared" ca="1" si="1"/>
        <v>0</v>
      </c>
      <c r="M12" s="1786">
        <f t="shared" ca="1" si="1"/>
        <v>0</v>
      </c>
      <c r="N12" s="1786">
        <f t="shared" ca="1" si="1"/>
        <v>0</v>
      </c>
      <c r="O12" s="1786">
        <f t="shared" ca="1" si="1"/>
        <v>0</v>
      </c>
      <c r="P12" s="1786">
        <f t="shared" ca="1" si="1"/>
        <v>0</v>
      </c>
      <c r="Q12" s="1786">
        <f t="shared" ca="1" si="1"/>
        <v>0</v>
      </c>
      <c r="R12" s="1786">
        <f t="shared" ca="1" si="1"/>
        <v>0</v>
      </c>
      <c r="S12" s="1786">
        <f t="shared" ca="1" si="1"/>
        <v>0</v>
      </c>
      <c r="T12" s="1786">
        <f t="shared" ca="1" si="1"/>
        <v>0</v>
      </c>
      <c r="U12" s="1786">
        <f t="shared" ca="1" si="1"/>
        <v>0</v>
      </c>
      <c r="V12" s="1786">
        <f t="shared" ca="1" si="1"/>
        <v>0</v>
      </c>
      <c r="W12" s="1786">
        <f t="shared" ca="1" si="1"/>
        <v>0</v>
      </c>
      <c r="X12" s="1786">
        <f t="shared" ca="1" si="1"/>
        <v>0</v>
      </c>
      <c r="Y12" s="1744"/>
    </row>
    <row r="13" spans="1:25" s="1766" customFormat="1">
      <c r="A13" s="1817" t="s">
        <v>1674</v>
      </c>
      <c r="B13" s="1766" t="s">
        <v>1705</v>
      </c>
      <c r="C13" s="1766" t="s">
        <v>1706</v>
      </c>
      <c r="D13" s="1766" t="s">
        <v>1707</v>
      </c>
      <c r="E13" s="1766" t="s">
        <v>1708</v>
      </c>
      <c r="F13" s="1766" t="s">
        <v>1709</v>
      </c>
      <c r="G13" s="1766" t="s">
        <v>1710</v>
      </c>
      <c r="H13" s="1766" t="s">
        <v>1711</v>
      </c>
      <c r="I13" s="1766" t="s">
        <v>1712</v>
      </c>
      <c r="J13" s="1766" t="s">
        <v>1713</v>
      </c>
      <c r="K13" s="1766" t="s">
        <v>1714</v>
      </c>
      <c r="L13" s="1766" t="s">
        <v>1715</v>
      </c>
      <c r="M13" s="1766" t="s">
        <v>1716</v>
      </c>
      <c r="N13" s="1766" t="s">
        <v>1717</v>
      </c>
      <c r="O13" s="1766" t="s">
        <v>1718</v>
      </c>
      <c r="P13" s="1766" t="s">
        <v>1719</v>
      </c>
      <c r="Q13" s="1766" t="s">
        <v>1720</v>
      </c>
      <c r="R13" s="1766" t="s">
        <v>1721</v>
      </c>
      <c r="S13" s="1766" t="s">
        <v>1722</v>
      </c>
      <c r="T13" s="1766" t="s">
        <v>1723</v>
      </c>
      <c r="U13" s="1766" t="s">
        <v>1724</v>
      </c>
      <c r="V13" s="1766" t="s">
        <v>1725</v>
      </c>
      <c r="W13" s="1766" t="s">
        <v>1726</v>
      </c>
      <c r="X13" s="1766" t="s">
        <v>1727</v>
      </c>
      <c r="Y13" s="1767"/>
    </row>
    <row r="14" spans="1:25" s="1641" customFormat="1">
      <c r="A14" s="1745" t="s">
        <v>1143</v>
      </c>
      <c r="B14" s="1831">
        <f ca="1">SUM('Enron Returns'!E34:E38)</f>
        <v>0</v>
      </c>
      <c r="C14" s="1831">
        <f ca="1">SUM('Enron Returns'!F34:F38)</f>
        <v>3350.6768900143252</v>
      </c>
      <c r="D14" s="1831">
        <f ca="1">SUM('Enron Returns'!G34:G38)</f>
        <v>18.322484638576952</v>
      </c>
      <c r="E14" s="1831">
        <f ca="1">SUM('Enron Returns'!H34:H38)</f>
        <v>1437.7032057628796</v>
      </c>
      <c r="F14" s="1831">
        <f ca="1">SUM('Enron Returns'!I34:I38)</f>
        <v>1124.4527947743727</v>
      </c>
      <c r="G14" s="1831">
        <f ca="1">SUM('Enron Returns'!J34:J38)</f>
        <v>1155.961839197495</v>
      </c>
      <c r="H14" s="1831">
        <f ca="1">SUM('Enron Returns'!K34:K38)</f>
        <v>1186.6485803779253</v>
      </c>
      <c r="I14" s="1831">
        <f ca="1">SUM('Enron Returns'!L34:L38)</f>
        <v>1217.3046399045506</v>
      </c>
      <c r="J14" s="1831">
        <f ca="1">SUM('Enron Returns'!M34:M38)</f>
        <v>1248.150888426662</v>
      </c>
      <c r="K14" s="1831">
        <f ca="1">SUM('Enron Returns'!N34:N38)</f>
        <v>1279.2620997021552</v>
      </c>
      <c r="L14" s="1831">
        <f ca="1">SUM('Enron Returns'!O34:O38)</f>
        <v>1310.4971575390998</v>
      </c>
      <c r="M14" s="1831">
        <f ca="1">SUM('Enron Returns'!P34:P38)</f>
        <v>1341.8920415731791</v>
      </c>
      <c r="N14" s="1831">
        <f ca="1">SUM('Enron Returns'!Q34:Q38)</f>
        <v>1373.546152087267</v>
      </c>
      <c r="O14" s="1831">
        <f ca="1">SUM('Enron Returns'!R34:R38)</f>
        <v>1405.4994583259268</v>
      </c>
      <c r="P14" s="1831">
        <f ca="1">SUM('Enron Returns'!S34:S38)</f>
        <v>1437.8168762839921</v>
      </c>
      <c r="Q14" s="1831">
        <f ca="1">SUM('Enron Returns'!T34:T38)</f>
        <v>1470.61798850284</v>
      </c>
      <c r="R14" s="1831">
        <f ca="1">SUM('Enron Returns'!U34:U38)</f>
        <v>1504.0998770468661</v>
      </c>
      <c r="S14" s="1831">
        <f ca="1">SUM('Enron Returns'!V34:V38)</f>
        <v>1538.6482874297915</v>
      </c>
      <c r="T14" s="1831">
        <f ca="1">SUM('Enron Returns'!W34:W38)</f>
        <v>1574.5875974603225</v>
      </c>
      <c r="U14" s="1831">
        <f ca="1">SUM('Enron Returns'!X34:X38)</f>
        <v>1612.0753391199146</v>
      </c>
      <c r="V14" s="1831">
        <f ca="1">SUM('Enron Returns'!Y34:Y38)</f>
        <v>1651.2822679054996</v>
      </c>
      <c r="W14" s="1831">
        <f ca="1">SUM('Enron Returns'!Z34:Z38)</f>
        <v>1692.2022336461464</v>
      </c>
      <c r="X14" s="1831">
        <f ca="1">SUM('Enron Returns'!AA34:AA38)</f>
        <v>578.29413174621561</v>
      </c>
      <c r="Y14" s="1746"/>
    </row>
    <row r="15" spans="1:25" s="1641" customFormat="1">
      <c r="A15" s="1745" t="s">
        <v>1680</v>
      </c>
      <c r="B15" s="1831">
        <v>0</v>
      </c>
      <c r="C15" s="1831">
        <f ca="1">[5]Returns!E34+[5]Returns!E35+[5]Returns!E36+[5]Returns!E39+[5]Returns!E40</f>
        <v>843.65812367789431</v>
      </c>
      <c r="D15" s="1831">
        <f ca="1">[5]Returns!F34+[5]Returns!F35+[5]Returns!F36+[5]Returns!F39+[5]Returns!F40</f>
        <v>3253.6193041105448</v>
      </c>
      <c r="E15" s="1831">
        <f ca="1">[5]Returns!G34+[5]Returns!G35+[5]Returns!G36+[5]Returns!G39+[5]Returns!G40</f>
        <v>57.692572211560631</v>
      </c>
      <c r="F15" s="1831">
        <f ca="1">[5]Returns!H34+[5]Returns!H35+[5]Returns!H36+[5]Returns!H39+[5]Returns!H40</f>
        <v>-110.19817628971738</v>
      </c>
      <c r="G15" s="1831">
        <f ca="1">[5]Returns!I34+[5]Returns!I35+[5]Returns!I36+[5]Returns!I39+[5]Returns!I40</f>
        <v>6.3575870936375409</v>
      </c>
      <c r="H15" s="1831">
        <f ca="1">[5]Returns!J34+[5]Returns!J35+[5]Returns!J36+[5]Returns!J39+[5]Returns!J40</f>
        <v>6.3575870936375409</v>
      </c>
      <c r="I15" s="1831">
        <f ca="1">[5]Returns!K34+[5]Returns!K35+[5]Returns!K36+[5]Returns!K39+[5]Returns!K40</f>
        <v>6.3575870936375409</v>
      </c>
      <c r="J15" s="1831">
        <f ca="1">[5]Returns!L34+[5]Returns!L35+[5]Returns!L36+[5]Returns!L39+[5]Returns!L40</f>
        <v>6.3575870936375409</v>
      </c>
      <c r="K15" s="1831">
        <f ca="1">[5]Returns!M34+[5]Returns!M35+[5]Returns!M36+[5]Returns!M39+[5]Returns!M40</f>
        <v>6.3575870936375409</v>
      </c>
      <c r="L15" s="1831">
        <f ca="1">[5]Returns!N34+[5]Returns!N35+[5]Returns!N36+[5]Returns!N39+[5]Returns!N40</f>
        <v>6.3575870936375409</v>
      </c>
      <c r="M15" s="1831">
        <f ca="1">[5]Returns!O34+[5]Returns!O35+[5]Returns!O36+[5]Returns!O39+[5]Returns!O40</f>
        <v>6.3575870936375409</v>
      </c>
      <c r="N15" s="1831">
        <f ca="1">[5]Returns!P34+[5]Returns!P35+[5]Returns!P36+[5]Returns!P39+[5]Returns!P40</f>
        <v>6.3575870936375409</v>
      </c>
      <c r="O15" s="1831">
        <f ca="1">[5]Returns!Q34+[5]Returns!Q35+[5]Returns!Q36+[5]Returns!Q39+[5]Returns!Q40</f>
        <v>6.3575870936375409</v>
      </c>
      <c r="P15" s="1831">
        <f ca="1">[5]Returns!R34+[5]Returns!R35+[5]Returns!R36+[5]Returns!R39+[5]Returns!R40</f>
        <v>6.3575870936375409</v>
      </c>
      <c r="Q15" s="1831">
        <f ca="1">[5]Returns!S34+[5]Returns!S35+[5]Returns!S36+[5]Returns!S39+[5]Returns!S40</f>
        <v>6.3575870936375409</v>
      </c>
      <c r="R15" s="1831">
        <f ca="1">[5]Returns!T34+[5]Returns!T35+[5]Returns!T36+[5]Returns!T39+[5]Returns!T40</f>
        <v>6.3575870936375409</v>
      </c>
      <c r="S15" s="1831">
        <f ca="1">[5]Returns!U34+[5]Returns!U35+[5]Returns!U36+[5]Returns!U39+[5]Returns!U40</f>
        <v>6.3575870936375409</v>
      </c>
      <c r="T15" s="1831">
        <f ca="1">[5]Returns!V34+[5]Returns!V35+[5]Returns!V36+[5]Returns!V39+[5]Returns!V40</f>
        <v>6.3575870936375409</v>
      </c>
      <c r="U15" s="1831">
        <f ca="1">[5]Returns!W34+[5]Returns!W35+[5]Returns!W36+[5]Returns!W39+[5]Returns!W40</f>
        <v>6.3575870936375409</v>
      </c>
      <c r="V15" s="1831">
        <f ca="1">[5]Returns!X34+[5]Returns!X35+[5]Returns!X36+[5]Returns!X39+[5]Returns!X40</f>
        <v>6.3575870936375409</v>
      </c>
      <c r="W15" s="1831">
        <f ca="1">[5]Returns!Y34+[5]Returns!Y35+[5]Returns!Y36+[5]Returns!Y39+[5]Returns!Y40</f>
        <v>6.3575870936375409</v>
      </c>
      <c r="X15" s="1831">
        <f ca="1">[5]Returns!Z34+[5]Returns!Z35+[5]Returns!Z36+[5]Returns!Z39+[5]Returns!Z40</f>
        <v>2.1191956978791802</v>
      </c>
      <c r="Y15" s="1746"/>
    </row>
    <row r="16" spans="1:25" s="1641" customFormat="1">
      <c r="A16" s="1745" t="s">
        <v>1634</v>
      </c>
      <c r="B16" s="1746">
        <v>0</v>
      </c>
      <c r="C16" s="1831">
        <f ca="1">([6]Returns!E31+[6]Returns!E32+[6]Returns!E33+[6]Returns!E34+[6]Returns!E35+[6]Returns!E36)</f>
        <v>935.89028984476067</v>
      </c>
      <c r="D16" s="1831">
        <f ca="1">([6]Returns!F31+[6]Returns!F32+[6]Returns!F33+[6]Returns!F34+[6]Returns!F35+[6]Returns!F36)</f>
        <v>3956.3594329638668</v>
      </c>
      <c r="E16" s="1831">
        <f ca="1">([6]Returns!G31+[6]Returns!G32+[6]Returns!G33+[6]Returns!G34+[6]Returns!G35+[6]Returns!G36)</f>
        <v>559.57952719137256</v>
      </c>
      <c r="F16" s="1831">
        <f ca="1">([6]Returns!H31+[6]Returns!H32+[6]Returns!H33+[6]Returns!H34+[6]Returns!H35+[6]Returns!H36)</f>
        <v>-807.34364172419998</v>
      </c>
      <c r="G16" s="1831">
        <f ca="1">([6]Returns!I31+[6]Returns!I32+[6]Returns!I33+[6]Returns!I34+[6]Returns!I35+[6]Returns!I36)</f>
        <v>46.577517791780764</v>
      </c>
      <c r="H16" s="1831">
        <f ca="1">([6]Returns!J31+[6]Returns!J32+[6]Returns!J33+[6]Returns!J34+[6]Returns!J35+[6]Returns!J36)</f>
        <v>46.577517791780764</v>
      </c>
      <c r="I16" s="1831">
        <f ca="1">([6]Returns!K31+[6]Returns!K32+[6]Returns!K33+[6]Returns!K34+[6]Returns!K35+[6]Returns!K36)</f>
        <v>46.577517791780764</v>
      </c>
      <c r="J16" s="1831">
        <f ca="1">([6]Returns!L31+[6]Returns!L32+[6]Returns!L33+[6]Returns!L34+[6]Returns!L35+[6]Returns!L36)</f>
        <v>46.577517791780764</v>
      </c>
      <c r="K16" s="1831">
        <f ca="1">([6]Returns!M31+[6]Returns!M32+[6]Returns!M33+[6]Returns!M34+[6]Returns!M35+[6]Returns!M36)</f>
        <v>46.577517791780764</v>
      </c>
      <c r="L16" s="1831">
        <f ca="1">([6]Returns!N31+[6]Returns!N32+[6]Returns!N33+[6]Returns!N34+[6]Returns!N35+[6]Returns!N36)</f>
        <v>46.577517791780764</v>
      </c>
      <c r="M16" s="1831">
        <f ca="1">([6]Returns!O31+[6]Returns!O32+[6]Returns!O33+[6]Returns!O34+[6]Returns!O35+[6]Returns!O36)</f>
        <v>46.577517791780764</v>
      </c>
      <c r="N16" s="1831">
        <f ca="1">([6]Returns!P31+[6]Returns!P32+[6]Returns!P33+[6]Returns!P34+[6]Returns!P35+[6]Returns!P36)</f>
        <v>46.577517791780764</v>
      </c>
      <c r="O16" s="1831">
        <f ca="1">([6]Returns!Q31+[6]Returns!Q32+[6]Returns!Q33+[6]Returns!Q34+[6]Returns!Q35+[6]Returns!Q36)</f>
        <v>46.577517791780764</v>
      </c>
      <c r="P16" s="1831">
        <f ca="1">([6]Returns!R31+[6]Returns!R32+[6]Returns!R33+[6]Returns!R34+[6]Returns!R35+[6]Returns!R36)</f>
        <v>46.577517791780764</v>
      </c>
      <c r="Q16" s="1831">
        <f ca="1">([6]Returns!S31+[6]Returns!S32+[6]Returns!S33+[6]Returns!S34+[6]Returns!S35+[6]Returns!S36)</f>
        <v>46.577517791780764</v>
      </c>
      <c r="R16" s="1831">
        <f ca="1">([6]Returns!T31+[6]Returns!T32+[6]Returns!T33+[6]Returns!T34+[6]Returns!T35+[6]Returns!T36)</f>
        <v>46.577517791780764</v>
      </c>
      <c r="S16" s="1831">
        <f ca="1">([6]Returns!U31+[6]Returns!U32+[6]Returns!U33+[6]Returns!U34+[6]Returns!U35+[6]Returns!U36)</f>
        <v>46.577517791780764</v>
      </c>
      <c r="T16" s="1831">
        <f ca="1">([6]Returns!V31+[6]Returns!V32+[6]Returns!V33+[6]Returns!V34+[6]Returns!V35+[6]Returns!V36)</f>
        <v>46.577517791780764</v>
      </c>
      <c r="U16" s="1831">
        <f ca="1">([6]Returns!W31+[6]Returns!W32+[6]Returns!W33+[6]Returns!W34+[6]Returns!W35+[6]Returns!W36)</f>
        <v>46.577517791780764</v>
      </c>
      <c r="V16" s="1831">
        <f ca="1">([6]Returns!X31+[6]Returns!X32+[6]Returns!X33+[6]Returns!X34+[6]Returns!X35+[6]Returns!X36)</f>
        <v>46.577517791780764</v>
      </c>
      <c r="W16" s="1831">
        <f ca="1">([6]Returns!Y31+[6]Returns!Y32+[6]Returns!Y33+[6]Returns!Y34+[6]Returns!Y35+[6]Returns!Y36)</f>
        <v>46.577517791780764</v>
      </c>
      <c r="X16" s="1831">
        <f ca="1">([6]Returns!Z31+[6]Returns!Z32+[6]Returns!Z33+[6]Returns!Z34+[6]Returns!Z35+[6]Returns!Z36)</f>
        <v>15.525839263926922</v>
      </c>
      <c r="Y16" s="1746"/>
    </row>
    <row r="17" spans="1:25" s="1641" customFormat="1">
      <c r="A17" s="1745" t="s">
        <v>1681</v>
      </c>
      <c r="B17" s="1746">
        <v>0</v>
      </c>
      <c r="C17" s="1746">
        <f>B17</f>
        <v>0</v>
      </c>
      <c r="D17" s="1746">
        <f>C17</f>
        <v>0</v>
      </c>
      <c r="E17" s="1746">
        <f>D17</f>
        <v>0</v>
      </c>
      <c r="F17" s="1746">
        <f t="shared" ref="F17:X17" si="2">E17</f>
        <v>0</v>
      </c>
      <c r="G17" s="1746">
        <f t="shared" si="2"/>
        <v>0</v>
      </c>
      <c r="H17" s="1746">
        <f t="shared" si="2"/>
        <v>0</v>
      </c>
      <c r="I17" s="1746">
        <f t="shared" si="2"/>
        <v>0</v>
      </c>
      <c r="J17" s="1746">
        <f t="shared" si="2"/>
        <v>0</v>
      </c>
      <c r="K17" s="1746">
        <f t="shared" si="2"/>
        <v>0</v>
      </c>
      <c r="L17" s="1746">
        <f t="shared" si="2"/>
        <v>0</v>
      </c>
      <c r="M17" s="1746">
        <f t="shared" si="2"/>
        <v>0</v>
      </c>
      <c r="N17" s="1746">
        <f t="shared" si="2"/>
        <v>0</v>
      </c>
      <c r="O17" s="1746">
        <f t="shared" si="2"/>
        <v>0</v>
      </c>
      <c r="P17" s="1746">
        <f t="shared" si="2"/>
        <v>0</v>
      </c>
      <c r="Q17" s="1746">
        <f t="shared" si="2"/>
        <v>0</v>
      </c>
      <c r="R17" s="1746">
        <f t="shared" si="2"/>
        <v>0</v>
      </c>
      <c r="S17" s="1746">
        <f t="shared" si="2"/>
        <v>0</v>
      </c>
      <c r="T17" s="1746">
        <f t="shared" si="2"/>
        <v>0</v>
      </c>
      <c r="U17" s="1746">
        <f t="shared" si="2"/>
        <v>0</v>
      </c>
      <c r="V17" s="1746">
        <f t="shared" si="2"/>
        <v>0</v>
      </c>
      <c r="W17" s="1746">
        <f t="shared" si="2"/>
        <v>0</v>
      </c>
      <c r="X17" s="1746">
        <f t="shared" si="2"/>
        <v>0</v>
      </c>
      <c r="Y17" s="1746"/>
    </row>
    <row r="18" spans="1:25" s="1750" customFormat="1">
      <c r="A18" s="1765" t="s">
        <v>1774</v>
      </c>
      <c r="B18" s="1744">
        <f ca="1">SUM(B14:B17)</f>
        <v>0</v>
      </c>
      <c r="C18" s="1744">
        <f ca="1">SUM(C14:C17)</f>
        <v>5130.2253035369804</v>
      </c>
      <c r="D18" s="1744">
        <f ca="1">SUM(D14:D17)</f>
        <v>7228.301221712989</v>
      </c>
      <c r="E18" s="1786">
        <f ca="1">SUM(E14:E17)*E64</f>
        <v>2054.9753051658126</v>
      </c>
      <c r="F18" s="1786">
        <f t="shared" ref="F18:X18" ca="1" si="3">SUM(F14:F17)*F64</f>
        <v>206.91097676045536</v>
      </c>
      <c r="G18" s="1786">
        <f t="shared" ca="1" si="3"/>
        <v>1208.8969440829133</v>
      </c>
      <c r="H18" s="1786">
        <f t="shared" ca="1" si="3"/>
        <v>1239.5836852633436</v>
      </c>
      <c r="I18" s="1786">
        <f t="shared" ca="1" si="3"/>
        <v>1270.2397447899689</v>
      </c>
      <c r="J18" s="1786">
        <f t="shared" ca="1" si="3"/>
        <v>1301.0859933120803</v>
      </c>
      <c r="K18" s="1786">
        <f t="shared" ca="1" si="3"/>
        <v>1332.1972045875734</v>
      </c>
      <c r="L18" s="1786">
        <f t="shared" ca="1" si="3"/>
        <v>1363.4322624245181</v>
      </c>
      <c r="M18" s="1786">
        <f t="shared" ca="1" si="3"/>
        <v>1394.8271464585973</v>
      </c>
      <c r="N18" s="1786">
        <f t="shared" ca="1" si="3"/>
        <v>1426.4812569726853</v>
      </c>
      <c r="O18" s="1786">
        <f t="shared" ca="1" si="3"/>
        <v>1458.434563211345</v>
      </c>
      <c r="P18" s="1786">
        <f t="shared" ca="1" si="3"/>
        <v>1490.7519811694103</v>
      </c>
      <c r="Q18" s="1786">
        <f t="shared" ca="1" si="3"/>
        <v>1523.5530933882583</v>
      </c>
      <c r="R18" s="1786">
        <f t="shared" ca="1" si="3"/>
        <v>1557.0349819322844</v>
      </c>
      <c r="S18" s="1786">
        <f t="shared" ca="1" si="3"/>
        <v>1591.5833923152097</v>
      </c>
      <c r="T18" s="1786">
        <f t="shared" ca="1" si="3"/>
        <v>1627.5227023457408</v>
      </c>
      <c r="U18" s="1786">
        <f t="shared" ca="1" si="3"/>
        <v>1665.0104440053328</v>
      </c>
      <c r="V18" s="1786">
        <f t="shared" ca="1" si="3"/>
        <v>1704.2173727909178</v>
      </c>
      <c r="W18" s="1786">
        <f t="shared" ca="1" si="3"/>
        <v>1745.1373385315646</v>
      </c>
      <c r="X18" s="1786">
        <f t="shared" ca="1" si="3"/>
        <v>595.93916670802173</v>
      </c>
      <c r="Y18" s="1744"/>
    </row>
    <row r="19" spans="1:25" s="1766" customFormat="1" ht="12.75" customHeight="1">
      <c r="A19" s="1816" t="s">
        <v>1673</v>
      </c>
      <c r="B19" s="1766" t="s">
        <v>1728</v>
      </c>
      <c r="C19" s="1766" t="s">
        <v>1729</v>
      </c>
      <c r="D19" s="1766" t="s">
        <v>1730</v>
      </c>
      <c r="E19" s="1766" t="s">
        <v>1731</v>
      </c>
      <c r="F19" s="1766" t="s">
        <v>1732</v>
      </c>
      <c r="G19" s="1766" t="s">
        <v>1733</v>
      </c>
      <c r="H19" s="1766" t="s">
        <v>1734</v>
      </c>
      <c r="I19" s="1766" t="s">
        <v>1735</v>
      </c>
      <c r="J19" s="1766" t="s">
        <v>1736</v>
      </c>
      <c r="K19" s="1766" t="s">
        <v>1737</v>
      </c>
      <c r="L19" s="1766" t="s">
        <v>1738</v>
      </c>
      <c r="M19" s="1766" t="s">
        <v>1739</v>
      </c>
      <c r="N19" s="1766" t="s">
        <v>1740</v>
      </c>
      <c r="O19" s="1766" t="s">
        <v>1741</v>
      </c>
      <c r="P19" s="1766" t="s">
        <v>1742</v>
      </c>
      <c r="Q19" s="1766" t="s">
        <v>1743</v>
      </c>
      <c r="R19" s="1766" t="s">
        <v>1744</v>
      </c>
      <c r="S19" s="1766" t="s">
        <v>1745</v>
      </c>
      <c r="T19" s="1766" t="s">
        <v>1746</v>
      </c>
      <c r="U19" s="1766" t="s">
        <v>1747</v>
      </c>
      <c r="V19" s="1766" t="s">
        <v>1748</v>
      </c>
      <c r="W19" s="1766" t="s">
        <v>1749</v>
      </c>
      <c r="X19" s="1766" t="s">
        <v>1750</v>
      </c>
      <c r="Y19" s="1767"/>
    </row>
    <row r="20" spans="1:25" s="1641" customFormat="1">
      <c r="A20" s="1752" t="s">
        <v>1143</v>
      </c>
      <c r="B20" s="1832">
        <f ca="1">'Enron Returns'!E16+SUM('Enron Returns'!E19:E22)+'Enron Returns'!E33+'Enron Returns'!E39</f>
        <v>0</v>
      </c>
      <c r="C20" s="1832">
        <f ca="1">SUM('Enron Returns'!F16:F22)+'Enron Returns'!F33+'Enron Returns'!F39+SUM('Enron Returns'!F51:F55)+SUM('Enron Returns'!F66:F74)</f>
        <v>-1525.1815984789839</v>
      </c>
      <c r="D20" s="1832">
        <f ca="1">SUM('Enron Returns'!G16:G22)+'Enron Returns'!G33+'Enron Returns'!G39+SUM('Enron Returns'!G51:G55)+SUM('Enron Returns'!G66:G74)</f>
        <v>-787.27475176643748</v>
      </c>
      <c r="E20" s="1832">
        <f ca="1">SUM('Enron Returns'!H16:H22)+'Enron Returns'!H33+'Enron Returns'!H39+SUM('Enron Returns'!H51:H55)+SUM('Enron Returns'!H66:H74)</f>
        <v>80828.149097103727</v>
      </c>
      <c r="F20" s="1832">
        <f ca="1">SUM('Enron Returns'!I16:I22)+'Enron Returns'!I33+'Enron Returns'!I39+SUM('Enron Returns'!I51:I55)+SUM('Enron Returns'!I66:I74)</f>
        <v>8089.9057582874593</v>
      </c>
      <c r="G20" s="1832">
        <f ca="1">SUM('Enron Returns'!J16:J22)+'Enron Returns'!J33+'Enron Returns'!J39+SUM('Enron Returns'!J51:J55)+SUM('Enron Returns'!J66:J74)</f>
        <v>3410.0308979624788</v>
      </c>
      <c r="H20" s="1832">
        <f ca="1">SUM('Enron Returns'!K16:K22)+'Enron Returns'!K33+'Enron Returns'!K39+SUM('Enron Returns'!K51:K55)+SUM('Enron Returns'!K66:K74)</f>
        <v>5870.6789100602527</v>
      </c>
      <c r="I20" s="1832">
        <f ca="1">SUM('Enron Returns'!L16:L22)+'Enron Returns'!L33+'Enron Returns'!L39+SUM('Enron Returns'!L51:L55)+SUM('Enron Returns'!L66:L74)</f>
        <v>-1461.0183371983117</v>
      </c>
      <c r="J20" s="1832">
        <f ca="1">SUM('Enron Returns'!M16:M22)+'Enron Returns'!M33+'Enron Returns'!M39+SUM('Enron Returns'!M51:M55)+SUM('Enron Returns'!M66:M74)</f>
        <v>9468.4729803429218</v>
      </c>
      <c r="K20" s="1832">
        <f ca="1">SUM('Enron Returns'!N16:N22)+'Enron Returns'!N33+'Enron Returns'!N39+SUM('Enron Returns'!N51:N55)+SUM('Enron Returns'!N66:N74)</f>
        <v>10118.923697643999</v>
      </c>
      <c r="L20" s="1832">
        <f ca="1">SUM('Enron Returns'!O16:O22)+'Enron Returns'!O33+'Enron Returns'!O39+SUM('Enron Returns'!O51:O55)+SUM('Enron Returns'!O66:O74)</f>
        <v>8771.1914323687961</v>
      </c>
      <c r="M20" s="1832">
        <f ca="1">SUM('Enron Returns'!P16:P22)+'Enron Returns'!P33+'Enron Returns'!P39+SUM('Enron Returns'!P51:P55)+SUM('Enron Returns'!P66:P74)</f>
        <v>8133.1150619096643</v>
      </c>
      <c r="N20" s="1832">
        <f ca="1">SUM('Enron Returns'!Q16:Q22)+'Enron Returns'!Q33+'Enron Returns'!Q39+SUM('Enron Returns'!Q51:Q55)+SUM('Enron Returns'!Q66:Q74)</f>
        <v>9357.8831642317637</v>
      </c>
      <c r="O20" s="1832">
        <f ca="1">SUM('Enron Returns'!R16:R22)+'Enron Returns'!R33+'Enron Returns'!R39+SUM('Enron Returns'!R51:R55)+SUM('Enron Returns'!R66:R74)</f>
        <v>10067.817320994447</v>
      </c>
      <c r="P20" s="1832">
        <f ca="1">SUM('Enron Returns'!S16:S22)+'Enron Returns'!S33+'Enron Returns'!S39+SUM('Enron Returns'!S51:S55)+SUM('Enron Returns'!S66:S74)</f>
        <v>7933.4178229614936</v>
      </c>
      <c r="Q20" s="1832">
        <f ca="1">SUM('Enron Returns'!T16:T22)+'Enron Returns'!T33+'Enron Returns'!T39+SUM('Enron Returns'!T51:T55)+SUM('Enron Returns'!T66:T74)</f>
        <v>7346.2347592393044</v>
      </c>
      <c r="R20" s="1832">
        <f ca="1">SUM('Enron Returns'!U16:U22)+'Enron Returns'!U33+'Enron Returns'!U39+SUM('Enron Returns'!U51:U55)+SUM('Enron Returns'!U66:U74)</f>
        <v>10419.084476367083</v>
      </c>
      <c r="S20" s="1832">
        <f ca="1">SUM('Enron Returns'!V16:V22)+'Enron Returns'!V33+'Enron Returns'!V39+SUM('Enron Returns'!V51:V55)+SUM('Enron Returns'!V66:V74)</f>
        <v>3345.0280864611</v>
      </c>
      <c r="T20" s="1832">
        <f ca="1">SUM('Enron Returns'!W16:W22)+'Enron Returns'!W33+'Enron Returns'!W39+SUM('Enron Returns'!W51:W55)+SUM('Enron Returns'!W66:W74)</f>
        <v>-2435.5089478344876</v>
      </c>
      <c r="U20" s="1832">
        <f ca="1">SUM('Enron Returns'!X16:X22)+'Enron Returns'!X33+'Enron Returns'!X39+SUM('Enron Returns'!X51:X55)+SUM('Enron Returns'!X66:X74)</f>
        <v>1829.6340069870694</v>
      </c>
      <c r="V20" s="1832">
        <f ca="1">SUM('Enron Returns'!Y16:Y22)+'Enron Returns'!Y33+'Enron Returns'!Y39+SUM('Enron Returns'!Y51:Y55)+SUM('Enron Returns'!Y66:Y74)</f>
        <v>1039.5148919850399</v>
      </c>
      <c r="W20" s="1832">
        <f ca="1">SUM('Enron Returns'!Z16:Z22)+'Enron Returns'!Z33+'Enron Returns'!Z39+SUM('Enron Returns'!Z51:Z55)+SUM('Enron Returns'!Z66:Z74)</f>
        <v>1776.5065864077851</v>
      </c>
      <c r="X20" s="1832">
        <f ca="1">SUM('Enron Returns'!AA16:AA22)+'Enron Returns'!AA33+'Enron Returns'!AA39+SUM('Enron Returns'!AA51:AA55)+SUM('Enron Returns'!AA66:AA74)</f>
        <v>2859.5997281399891</v>
      </c>
      <c r="Y20" s="1746"/>
    </row>
    <row r="21" spans="1:25" s="1641" customFormat="1">
      <c r="A21" s="1745" t="s">
        <v>1680</v>
      </c>
      <c r="B21" s="1746">
        <v>0</v>
      </c>
      <c r="C21" s="1832">
        <f ca="1">[5]Returns!E27+[5]Returns!E28+[5]Returns!E30+[5]Returns!E31+[5]Returns!E32+[5]Returns!E33+[5]Returns!E37+[5]Returns!E38+[5]Returns!E41+SUM([5]Returns!E53:E57)+SUM([5]Returns!E69:E73)</f>
        <v>-326.09324294068489</v>
      </c>
      <c r="D21" s="1832">
        <f ca="1">[5]Returns!F27+[5]Returns!F28+[5]Returns!F30+[5]Returns!F31+[5]Returns!F32+[5]Returns!F33+[5]Returns!F37+[5]Returns!F38+[5]Returns!F41+SUM([5]Returns!F53:F57)+SUM([5]Returns!F69:F73)</f>
        <v>-1286.1375597980125</v>
      </c>
      <c r="E21" s="1832">
        <f ca="1">[5]Returns!G27+[5]Returns!G28+[5]Returns!G30+[5]Returns!G31+[5]Returns!G32+[5]Returns!G33+[5]Returns!G37+[5]Returns!G38+[5]Returns!G41+SUM([5]Returns!G53:G57)+SUM([5]Returns!G69:G73)</f>
        <v>36905.75945486311</v>
      </c>
      <c r="F21" s="1832">
        <f ca="1">[5]Returns!H27+[5]Returns!H28+[5]Returns!H30+[5]Returns!H31+[5]Returns!H32+[5]Returns!H33+[5]Returns!H37+[5]Returns!H38+[5]Returns!H41+SUM([5]Returns!H53:H57)+SUM([5]Returns!H69:H73)</f>
        <v>-55.749850415007188</v>
      </c>
      <c r="G21" s="1832">
        <f ca="1">[5]Returns!I27+[5]Returns!I28+[5]Returns!I30+[5]Returns!I31+[5]Returns!I32+[5]Returns!I33+[5]Returns!I37+[5]Returns!I38+[5]Returns!I41+SUM([5]Returns!I53:I57)+SUM([5]Returns!I69:I73)</f>
        <v>-1363.7767994813137</v>
      </c>
      <c r="H21" s="1832">
        <f ca="1">[5]Returns!J27+[5]Returns!J28+[5]Returns!J30+[5]Returns!J31+[5]Returns!J32+[5]Returns!J33+[5]Returns!J37+[5]Returns!J38+[5]Returns!J41+SUM([5]Returns!J53:J57)+SUM([5]Returns!J69:J73)</f>
        <v>-1859.552148274817</v>
      </c>
      <c r="I21" s="1832">
        <f ca="1">[5]Returns!K27+[5]Returns!K28+[5]Returns!K30+[5]Returns!K31+[5]Returns!K32+[5]Returns!K33+[5]Returns!K37+[5]Returns!K38+[5]Returns!K41+SUM([5]Returns!K53:K57)+SUM([5]Returns!K69:K73)</f>
        <v>-1181.2851346613497</v>
      </c>
      <c r="J21" s="1832">
        <f ca="1">[5]Returns!L27+[5]Returns!L28+[5]Returns!L30+[5]Returns!L31+[5]Returns!L32+[5]Returns!L33+[5]Returns!L37+[5]Returns!L38+[5]Returns!L41+SUM([5]Returns!L53:L57)+SUM([5]Returns!L69:L73)</f>
        <v>-1220.9201416541894</v>
      </c>
      <c r="K21" s="1832">
        <f ca="1">[5]Returns!M27+[5]Returns!M28+[5]Returns!M30+[5]Returns!M31+[5]Returns!M32+[5]Returns!M33+[5]Returns!M37+[5]Returns!M38+[5]Returns!M41+SUM([5]Returns!M53:M57)+SUM([5]Returns!M69:M73)</f>
        <v>-1112.4405660976302</v>
      </c>
      <c r="L21" s="1832">
        <f ca="1">[5]Returns!N27+[5]Returns!N28+[5]Returns!N30+[5]Returns!N31+[5]Returns!N32+[5]Returns!N33+[5]Returns!N37+[5]Returns!N38+[5]Returns!N41+SUM([5]Returns!N53:N57)+SUM([5]Returns!N69:N73)</f>
        <v>-780.57056439354074</v>
      </c>
      <c r="M21" s="1832">
        <f ca="1">[5]Returns!O27+[5]Returns!O28+[5]Returns!O30+[5]Returns!O31+[5]Returns!O32+[5]Returns!O33+[5]Returns!O37+[5]Returns!O38+[5]Returns!O41+SUM([5]Returns!O53:O57)+SUM([5]Returns!O69:O73)</f>
        <v>748.5471808396926</v>
      </c>
      <c r="N21" s="1832">
        <f ca="1">[5]Returns!P27+[5]Returns!P28+[5]Returns!P30+[5]Returns!P31+[5]Returns!P32+[5]Returns!P33+[5]Returns!P37+[5]Returns!P38+[5]Returns!P41+SUM([5]Returns!P53:P57)+SUM([5]Returns!P69:P73)</f>
        <v>2273.0092744694812</v>
      </c>
      <c r="O21" s="1832">
        <f ca="1">[5]Returns!Q27+[5]Returns!Q28+[5]Returns!Q30+[5]Returns!Q31+[5]Returns!Q32+[5]Returns!Q33+[5]Returns!Q37+[5]Returns!Q38+[5]Returns!Q41+SUM([5]Returns!Q53:Q57)+SUM([5]Returns!Q69:Q73)</f>
        <v>2738.027600981346</v>
      </c>
      <c r="P21" s="1832">
        <f ca="1">[5]Returns!R27+[5]Returns!R28+[5]Returns!R30+[5]Returns!R31+[5]Returns!R32+[5]Returns!R33+[5]Returns!R37+[5]Returns!R38+[5]Returns!R41+SUM([5]Returns!R53:R57)+SUM([5]Returns!R69:R73)</f>
        <v>2742.8119578234737</v>
      </c>
      <c r="Q21" s="1832">
        <f ca="1">[5]Returns!S27+[5]Returns!S28+[5]Returns!S30+[5]Returns!S31+[5]Returns!S32+[5]Returns!S33+[5]Returns!S37+[5]Returns!S38+[5]Returns!S41+SUM([5]Returns!S53:S57)+SUM([5]Returns!S69:S73)</f>
        <v>2757.1397062005817</v>
      </c>
      <c r="R21" s="1832">
        <f ca="1">[5]Returns!T27+[5]Returns!T28+[5]Returns!T30+[5]Returns!T31+[5]Returns!T32+[5]Returns!T33+[5]Returns!T37+[5]Returns!T38+[5]Returns!T41+SUM([5]Returns!T53:T57)+SUM([5]Returns!T69:T73)</f>
        <v>2744.5977317501956</v>
      </c>
      <c r="S21" s="1832">
        <f ca="1">[5]Returns!U27+[5]Returns!U28+[5]Returns!U30+[5]Returns!U31+[5]Returns!U32+[5]Returns!U33+[5]Returns!U37+[5]Returns!U38+[5]Returns!U41+SUM([5]Returns!U53:U57)+SUM([5]Returns!U69:U73)</f>
        <v>3488.2016562942454</v>
      </c>
      <c r="T21" s="1832">
        <f ca="1">[5]Returns!V27+[5]Returns!V28+[5]Returns!V30+[5]Returns!V31+[5]Returns!V32+[5]Returns!V33+[5]Returns!V37+[5]Returns!V38+[5]Returns!V41+SUM([5]Returns!V53:V57)+SUM([5]Returns!V69:V73)</f>
        <v>4937.061435859262</v>
      </c>
      <c r="U21" s="1832">
        <f ca="1">[5]Returns!W27+[5]Returns!W28+[5]Returns!W30+[5]Returns!W31+[5]Returns!W32+[5]Returns!W33+[5]Returns!W37+[5]Returns!W38+[5]Returns!W41+SUM([5]Returns!W53:W57)+SUM([5]Returns!W69:W73)</f>
        <v>7702.0232599622777</v>
      </c>
      <c r="V21" s="1832">
        <f ca="1">[5]Returns!X27+[5]Returns!X28+[5]Returns!X30+[5]Returns!X31+[5]Returns!X32+[5]Returns!X33+[5]Returns!X37+[5]Returns!X38+[5]Returns!X41+SUM([5]Returns!X53:X57)+SUM([5]Returns!X69:X73)</f>
        <v>7990.6656075041965</v>
      </c>
      <c r="W21" s="1832">
        <f ca="1">[5]Returns!Y27+[5]Returns!Y28+[5]Returns!Y30+[5]Returns!Y31+[5]Returns!Y32+[5]Returns!Y33+[5]Returns!Y37+[5]Returns!Y38+[5]Returns!Y41+SUM([5]Returns!Y53:Y57)+SUM([5]Returns!Y69:Y73)</f>
        <v>8113.6526980227536</v>
      </c>
      <c r="X21" s="1832">
        <f ca="1">[5]Returns!Z27+[5]Returns!Z28+[5]Returns!Z30+[5]Returns!Z31+[5]Returns!Z32+[5]Returns!Z33+[5]Returns!Z37+[5]Returns!Z38+[5]Returns!Z41+SUM([5]Returns!Z53:Z57)+SUM([5]Returns!Z69:Z73)</f>
        <v>2334.5557176868092</v>
      </c>
      <c r="Y21" s="1746"/>
    </row>
    <row r="22" spans="1:25" s="1641" customFormat="1">
      <c r="A22" s="1745" t="s">
        <v>1634</v>
      </c>
      <c r="B22" s="1746">
        <v>0</v>
      </c>
      <c r="C22" s="1832">
        <f ca="1">[6]Returns!E25+[6]Returns!E26+[6]Returns!E28+[6]Returns!E29+[6]Returns!E30+[6]Returns!E37+SUM([6]Returns!E49:E53)+SUM([6]Returns!E65:E69)</f>
        <v>-359.34855106876148</v>
      </c>
      <c r="D22" s="1832">
        <f ca="1">[6]Returns!F25+[6]Returns!F26+[6]Returns!F28+[6]Returns!F29+[6]Returns!F30+[6]Returns!F37+SUM([6]Returns!F49:F53)+SUM([6]Returns!F65:F69)</f>
        <v>-1441.4907388743813</v>
      </c>
      <c r="E22" s="1832">
        <f ca="1">[6]Returns!G25+[6]Returns!G26+[6]Returns!G28+[6]Returns!G29+[6]Returns!G30+[6]Returns!G37+SUM([6]Returns!G49:G53)+SUM([6]Returns!G65:G69)</f>
        <v>21062.937535629309</v>
      </c>
      <c r="F22" s="1832">
        <f ca="1">[6]Returns!H25+[6]Returns!H26+[6]Returns!H28+[6]Returns!H29+[6]Returns!H30+[6]Returns!H37+SUM([6]Returns!H49:H53)+SUM([6]Returns!H65:H69)</f>
        <v>2012.3926747714538</v>
      </c>
      <c r="G22" s="1832">
        <f ca="1">[6]Returns!I25+[6]Returns!I26+[6]Returns!I28+[6]Returns!I29+[6]Returns!I30+[6]Returns!I37+SUM([6]Returns!I49:I53)+SUM([6]Returns!I65:I69)</f>
        <v>1469.9530460186652</v>
      </c>
      <c r="H22" s="1832">
        <f ca="1">[6]Returns!J25+[6]Returns!J26+[6]Returns!J28+[6]Returns!J29+[6]Returns!J30+[6]Returns!J37+SUM([6]Returns!J49:J53)+SUM([6]Returns!J65:J69)</f>
        <v>1023.2525917627033</v>
      </c>
      <c r="I22" s="1832">
        <f ca="1">[6]Returns!K25+[6]Returns!K26+[6]Returns!K28+[6]Returns!K29+[6]Returns!K30+[6]Returns!K37+SUM([6]Returns!K49:K53)+SUM([6]Returns!K65:K69)</f>
        <v>1504.2625282959623</v>
      </c>
      <c r="J22" s="1832">
        <f ca="1">[6]Returns!L25+[6]Returns!L26+[6]Returns!L28+[6]Returns!L29+[6]Returns!L30+[6]Returns!L37+SUM([6]Returns!L49:L53)+SUM([6]Returns!L65:L69)</f>
        <v>292.54070445860646</v>
      </c>
      <c r="K22" s="1832">
        <f ca="1">[6]Returns!M25+[6]Returns!M26+[6]Returns!M28+[6]Returns!M29+[6]Returns!M30+[6]Returns!M37+SUM([6]Returns!M49:M53)+SUM([6]Returns!M65:M69)</f>
        <v>1299.1133102177132</v>
      </c>
      <c r="L22" s="1832">
        <f ca="1">[6]Returns!N25+[6]Returns!N26+[6]Returns!N28+[6]Returns!N29+[6]Returns!N30+[6]Returns!N37+SUM([6]Returns!N49:N53)+SUM([6]Returns!N65:N69)</f>
        <v>1461.2663518669171</v>
      </c>
      <c r="M22" s="1832">
        <f ca="1">[6]Returns!O25+[6]Returns!O26+[6]Returns!O28+[6]Returns!O29+[6]Returns!O30+[6]Returns!O37+SUM([6]Returns!O49:O53)+SUM([6]Returns!O65:O69)</f>
        <v>2561.0005000813894</v>
      </c>
      <c r="N22" s="1832">
        <f ca="1">[6]Returns!P25+[6]Returns!P26+[6]Returns!P28+[6]Returns!P29+[6]Returns!P30+[6]Returns!P37+SUM([6]Returns!P49:P53)+SUM([6]Returns!P65:P69)</f>
        <v>3859.1055139842588</v>
      </c>
      <c r="O22" s="1832">
        <f ca="1">[6]Returns!Q25+[6]Returns!Q26+[6]Returns!Q28+[6]Returns!Q29+[6]Returns!Q30+[6]Returns!Q37+SUM([6]Returns!Q49:Q53)+SUM([6]Returns!Q65:Q69)</f>
        <v>4181.2822071780993</v>
      </c>
      <c r="P22" s="1832">
        <f ca="1">[6]Returns!R25+[6]Returns!R26+[6]Returns!R28+[6]Returns!R29+[6]Returns!R30+[6]Returns!R37+SUM([6]Returns!R49:R53)+SUM([6]Returns!R65:R69)</f>
        <v>3779.3193449123796</v>
      </c>
      <c r="Q22" s="1832">
        <f ca="1">[6]Returns!S25+[6]Returns!S26+[6]Returns!S28+[6]Returns!S29+[6]Returns!S30+[6]Returns!S37+SUM([6]Returns!S49:S53)+SUM([6]Returns!S65:S69)</f>
        <v>2547.8267119050488</v>
      </c>
      <c r="R22" s="1832">
        <f ca="1">[6]Returns!T25+[6]Returns!T26+[6]Returns!T28+[6]Returns!T29+[6]Returns!T30+[6]Returns!T37+SUM([6]Returns!T49:T53)+SUM([6]Returns!T65:T69)</f>
        <v>2419.1237473558713</v>
      </c>
      <c r="S22" s="1832">
        <f ca="1">[6]Returns!U25+[6]Returns!U26+[6]Returns!U28+[6]Returns!U29+[6]Returns!U30+[6]Returns!U37+SUM([6]Returns!U49:U53)+SUM([6]Returns!U65:U69)</f>
        <v>3036.8406486838903</v>
      </c>
      <c r="T22" s="1832">
        <f ca="1">[6]Returns!V25+[6]Returns!V26+[6]Returns!V28+[6]Returns!V29+[6]Returns!V30+[6]Returns!V37+SUM([6]Returns!V49:V53)+SUM([6]Returns!V65:V69)</f>
        <v>4080.9239109475284</v>
      </c>
      <c r="U22" s="1832">
        <f ca="1">[6]Returns!W25+[6]Returns!W26+[6]Returns!W28+[6]Returns!W29+[6]Returns!W30+[6]Returns!W37+SUM([6]Returns!W49:W53)+SUM([6]Returns!W65:W69)</f>
        <v>6100.6730712966382</v>
      </c>
      <c r="V22" s="1832">
        <f ca="1">[6]Returns!X25+[6]Returns!X26+[6]Returns!X28+[6]Returns!X29+[6]Returns!X30+[6]Returns!X37+SUM([6]Returns!X49:X53)+SUM([6]Returns!X65:X69)</f>
        <v>6252.1431658684824</v>
      </c>
      <c r="W22" s="1832">
        <f ca="1">[6]Returns!Y25+[6]Returns!Y26+[6]Returns!Y28+[6]Returns!Y29+[6]Returns!Y30+[6]Returns!Y37+SUM([6]Returns!Y49:Y53)+SUM([6]Returns!Y65:Y69)</f>
        <v>6421.0285231953376</v>
      </c>
      <c r="X22" s="1832">
        <f ca="1">[6]Returns!Z25+[6]Returns!Z26+[6]Returns!Z28+[6]Returns!Z29+[6]Returns!Z30+[6]Returns!Z37+SUM([6]Returns!Z49:Z53)+SUM([6]Returns!Z65:Z69)</f>
        <v>-132.31754406503646</v>
      </c>
      <c r="Y22" s="1746"/>
    </row>
    <row r="23" spans="1:25" s="1641" customFormat="1">
      <c r="A23" s="1745" t="s">
        <v>1681</v>
      </c>
      <c r="B23" s="1746">
        <v>0</v>
      </c>
      <c r="C23" s="1746">
        <f ca="1">[7]Returns!E24</f>
        <v>0</v>
      </c>
      <c r="D23" s="1746">
        <f ca="1">[7]Returns!F24</f>
        <v>0</v>
      </c>
      <c r="E23" s="1746">
        <f ca="1">[7]Returns!G24</f>
        <v>-1064.4284700000001</v>
      </c>
      <c r="F23" s="1746">
        <f ca="1">[7]Returns!H24</f>
        <v>528.10305393820363</v>
      </c>
      <c r="G23" s="1746">
        <f ca="1">[7]Returns!I24</f>
        <v>816.49158541611394</v>
      </c>
      <c r="H23" s="1746">
        <f ca="1">[7]Returns!J24</f>
        <v>1276.8176167338886</v>
      </c>
      <c r="I23" s="1746">
        <f ca="1">[7]Returns!K24</f>
        <v>2412.1075274621471</v>
      </c>
      <c r="J23" s="1746">
        <f ca="1">[7]Returns!L24</f>
        <v>3549.3435917777915</v>
      </c>
      <c r="K23" s="1746">
        <f ca="1">[7]Returns!M24</f>
        <v>4236.8535658367682</v>
      </c>
      <c r="L23" s="1746">
        <f ca="1">[7]Returns!N24</f>
        <v>4609.0758316410647</v>
      </c>
      <c r="M23" s="1746">
        <f ca="1">[7]Returns!O24</f>
        <v>4763.5501408501214</v>
      </c>
      <c r="N23" s="1746">
        <f ca="1">[7]Returns!P24</f>
        <v>5018.908724994787</v>
      </c>
      <c r="O23" s="1746">
        <f ca="1">[7]Returns!Q24</f>
        <v>5234.3993313455712</v>
      </c>
      <c r="P23" s="1746">
        <f ca="1">[7]Returns!R24</f>
        <v>5416.6699760429519</v>
      </c>
      <c r="Q23" s="1746">
        <f ca="1">[7]Returns!S24</f>
        <v>5858.6146781432499</v>
      </c>
      <c r="R23" s="1746">
        <f ca="1">[7]Returns!T24</f>
        <v>5827.45000935589</v>
      </c>
      <c r="S23" s="1746">
        <f ca="1">[7]Returns!U24</f>
        <v>5950.4348678972538</v>
      </c>
      <c r="T23" s="1746">
        <f ca="1">[7]Returns!V24</f>
        <v>6074.7470120398366</v>
      </c>
      <c r="U23" s="1746">
        <f ca="1">[7]Returns!W24</f>
        <v>6167.016777486695</v>
      </c>
      <c r="V23" s="1746">
        <f ca="1">[7]Returns!X24</f>
        <v>6415.3062619912744</v>
      </c>
      <c r="W23" s="1746">
        <f ca="1">[7]Returns!Y24</f>
        <v>6845.4965601944023</v>
      </c>
      <c r="X23" s="1746">
        <f ca="1">[7]Returns!Z24</f>
        <v>2447.3167687468672</v>
      </c>
      <c r="Y23" s="1746"/>
    </row>
    <row r="24" spans="1:25" s="1750" customFormat="1">
      <c r="A24" s="1765" t="s">
        <v>1774</v>
      </c>
      <c r="B24" s="1744">
        <f ca="1">SUM(B20:B23)</f>
        <v>0</v>
      </c>
      <c r="C24" s="1744">
        <f ca="1">SUM(C20:C23)</f>
        <v>-2210.62339248843</v>
      </c>
      <c r="D24" s="1744">
        <f ca="1">SUM(D20:D23)</f>
        <v>-3514.9030504388311</v>
      </c>
      <c r="E24" s="1786">
        <f ca="1">SUM(E20:E23)*E64</f>
        <v>137732.41761759613</v>
      </c>
      <c r="F24" s="1786">
        <f t="shared" ref="F24:X24" ca="1" si="4">SUM(F20:F23)*F64</f>
        <v>10574.651636582108</v>
      </c>
      <c r="G24" s="1786">
        <f t="shared" ca="1" si="4"/>
        <v>4332.6987299159437</v>
      </c>
      <c r="H24" s="1786">
        <f t="shared" ca="1" si="4"/>
        <v>6311.1969702820279</v>
      </c>
      <c r="I24" s="1786">
        <f t="shared" ca="1" si="4"/>
        <v>1274.066583898448</v>
      </c>
      <c r="J24" s="1786">
        <f t="shared" ca="1" si="4"/>
        <v>12089.437134925131</v>
      </c>
      <c r="K24" s="1786">
        <f t="shared" ca="1" si="4"/>
        <v>14542.450007600852</v>
      </c>
      <c r="L24" s="1786">
        <f t="shared" ca="1" si="4"/>
        <v>14060.963051483237</v>
      </c>
      <c r="M24" s="1786">
        <f t="shared" ca="1" si="4"/>
        <v>16206.212883680866</v>
      </c>
      <c r="N24" s="1786">
        <f t="shared" ca="1" si="4"/>
        <v>20508.90667768029</v>
      </c>
      <c r="O24" s="1786">
        <f t="shared" ca="1" si="4"/>
        <v>22221.526460499466</v>
      </c>
      <c r="P24" s="1786">
        <f t="shared" ca="1" si="4"/>
        <v>19872.219101740298</v>
      </c>
      <c r="Q24" s="1786">
        <f t="shared" ca="1" si="4"/>
        <v>18509.815855488185</v>
      </c>
      <c r="R24" s="1786">
        <f t="shared" ca="1" si="4"/>
        <v>21410.255964829041</v>
      </c>
      <c r="S24" s="1786">
        <f t="shared" ca="1" si="4"/>
        <v>15820.505259336489</v>
      </c>
      <c r="T24" s="1786">
        <f t="shared" ca="1" si="4"/>
        <v>12657.223411012139</v>
      </c>
      <c r="U24" s="1786">
        <f t="shared" ca="1" si="4"/>
        <v>21799.347115732679</v>
      </c>
      <c r="V24" s="1786">
        <f t="shared" ca="1" si="4"/>
        <v>21697.629927348993</v>
      </c>
      <c r="W24" s="1786">
        <f t="shared" ca="1" si="4"/>
        <v>23156.684367820279</v>
      </c>
      <c r="X24" s="1786">
        <f t="shared" ca="1" si="4"/>
        <v>7509.1546705086294</v>
      </c>
      <c r="Y24" s="1744"/>
    </row>
    <row r="25" spans="1:25" s="1766" customFormat="1">
      <c r="A25" s="1766" t="s">
        <v>1672</v>
      </c>
      <c r="B25" s="1766" t="s">
        <v>1751</v>
      </c>
      <c r="C25" s="1766" t="s">
        <v>1752</v>
      </c>
      <c r="D25" s="1766" t="s">
        <v>1753</v>
      </c>
      <c r="E25" s="1766" t="s">
        <v>1754</v>
      </c>
      <c r="F25" s="1766" t="s">
        <v>1755</v>
      </c>
      <c r="G25" s="1766" t="s">
        <v>1756</v>
      </c>
      <c r="H25" s="1766" t="s">
        <v>1757</v>
      </c>
      <c r="I25" s="1766" t="s">
        <v>1758</v>
      </c>
      <c r="J25" s="1766" t="s">
        <v>1759</v>
      </c>
      <c r="K25" s="1766" t="s">
        <v>1760</v>
      </c>
      <c r="L25" s="1766" t="s">
        <v>1761</v>
      </c>
      <c r="M25" s="1766" t="s">
        <v>1762</v>
      </c>
      <c r="N25" s="1766" t="s">
        <v>1763</v>
      </c>
      <c r="O25" s="1766" t="s">
        <v>1764</v>
      </c>
      <c r="P25" s="1766" t="s">
        <v>1765</v>
      </c>
      <c r="Q25" s="1766" t="s">
        <v>1766</v>
      </c>
      <c r="R25" s="1766" t="s">
        <v>1767</v>
      </c>
      <c r="S25" s="1766" t="s">
        <v>1768</v>
      </c>
      <c r="T25" s="1766" t="s">
        <v>1769</v>
      </c>
      <c r="U25" s="1766" t="s">
        <v>1770</v>
      </c>
      <c r="V25" s="1766" t="s">
        <v>1771</v>
      </c>
      <c r="W25" s="1766" t="s">
        <v>1772</v>
      </c>
      <c r="X25" s="1766" t="s">
        <v>1773</v>
      </c>
      <c r="Y25" s="1767"/>
    </row>
    <row r="26" spans="1:25" s="1641" customFormat="1">
      <c r="A26" s="1752" t="s">
        <v>1143</v>
      </c>
      <c r="B26" s="1744">
        <v>0</v>
      </c>
      <c r="C26" s="1744">
        <v>0</v>
      </c>
      <c r="D26" s="1744">
        <v>0</v>
      </c>
      <c r="E26" s="1744">
        <v>0</v>
      </c>
      <c r="F26" s="1744">
        <v>0</v>
      </c>
      <c r="G26" s="1744">
        <v>0</v>
      </c>
      <c r="H26" s="1744">
        <v>0</v>
      </c>
      <c r="I26" s="1744">
        <v>0</v>
      </c>
      <c r="J26" s="1744">
        <v>0</v>
      </c>
      <c r="K26" s="1744">
        <v>0</v>
      </c>
      <c r="L26" s="1744">
        <v>0</v>
      </c>
      <c r="M26" s="1744">
        <v>0</v>
      </c>
      <c r="N26" s="1744">
        <v>0</v>
      </c>
      <c r="O26" s="1744">
        <v>0</v>
      </c>
      <c r="P26" s="1744">
        <v>0</v>
      </c>
      <c r="Q26" s="1744">
        <v>0</v>
      </c>
      <c r="R26" s="1744">
        <v>0</v>
      </c>
      <c r="S26" s="1744">
        <v>0</v>
      </c>
      <c r="T26" s="1744">
        <v>0</v>
      </c>
      <c r="U26" s="1744">
        <v>0</v>
      </c>
      <c r="V26" s="1744">
        <v>0</v>
      </c>
      <c r="W26" s="1744">
        <v>0</v>
      </c>
      <c r="X26" s="1744">
        <v>0</v>
      </c>
    </row>
    <row r="27" spans="1:25" s="1641" customFormat="1">
      <c r="A27" s="1745" t="s">
        <v>1680</v>
      </c>
      <c r="B27" s="1744">
        <v>0</v>
      </c>
      <c r="C27" s="1744">
        <f>[5]Returns!E29</f>
        <v>0</v>
      </c>
      <c r="D27" s="1744">
        <f>[5]Returns!F29</f>
        <v>0</v>
      </c>
      <c r="E27" s="1744">
        <f ca="1">IF(E64=0,E67,[5]Returns!G29)</f>
        <v>0</v>
      </c>
      <c r="F27" s="1744">
        <f ca="1">IF(F64=0,F67,[5]Returns!H29)</f>
        <v>0</v>
      </c>
      <c r="G27" s="1744">
        <f ca="1">IF(G64=0,G67,[5]Returns!I29)</f>
        <v>0</v>
      </c>
      <c r="H27" s="1744">
        <f ca="1">IF(H64=0,H67,[5]Returns!J29)</f>
        <v>0</v>
      </c>
      <c r="I27" s="1744">
        <f ca="1">IF(I64=0,I67,[5]Returns!K29)</f>
        <v>0</v>
      </c>
      <c r="J27" s="1744">
        <f ca="1">IF(J64=0,J67,[5]Returns!L29)</f>
        <v>0</v>
      </c>
      <c r="K27" s="1744">
        <f ca="1">IF(K64=0,K67,[5]Returns!M29)</f>
        <v>0</v>
      </c>
      <c r="L27" s="1744">
        <f ca="1">IF(L64=0,L67,[5]Returns!N29)</f>
        <v>0</v>
      </c>
      <c r="M27" s="1744">
        <f ca="1">IF(M64=0,M67,[5]Returns!O29)</f>
        <v>0</v>
      </c>
      <c r="N27" s="1744">
        <f ca="1">IF(N64=0,N67,[5]Returns!P29)</f>
        <v>0</v>
      </c>
      <c r="O27" s="1744">
        <f ca="1">IF(O64=0,O67,[5]Returns!Q29)</f>
        <v>0</v>
      </c>
      <c r="P27" s="1744">
        <f ca="1">IF(P64=0,P67,[5]Returns!R29)</f>
        <v>0</v>
      </c>
      <c r="Q27" s="1744">
        <f ca="1">IF(Q64=0,Q67,[5]Returns!S29)</f>
        <v>0</v>
      </c>
      <c r="R27" s="1744">
        <f ca="1">IF(R64=0,R67,[5]Returns!T29)</f>
        <v>0</v>
      </c>
      <c r="S27" s="1744">
        <f ca="1">IF(S64=0,S67,[5]Returns!U29)</f>
        <v>0</v>
      </c>
      <c r="T27" s="1744">
        <f ca="1">IF(T64=0,T67,[5]Returns!V29)</f>
        <v>0</v>
      </c>
      <c r="U27" s="1744">
        <f ca="1">IF(U64=0,U67,[5]Returns!W29)</f>
        <v>0</v>
      </c>
      <c r="V27" s="1744">
        <f ca="1">IF(V64=0,V67,[5]Returns!X29)</f>
        <v>0</v>
      </c>
      <c r="W27" s="1744">
        <f ca="1">IF(W64=0,W67,[5]Returns!Y29)</f>
        <v>0</v>
      </c>
      <c r="X27" s="1744">
        <f ca="1">IF(X64=0,X67,[5]Returns!Z29)</f>
        <v>96044.567479589488</v>
      </c>
    </row>
    <row r="28" spans="1:25" s="1641" customFormat="1">
      <c r="A28" s="1745" t="s">
        <v>1634</v>
      </c>
      <c r="B28" s="1744">
        <v>0</v>
      </c>
      <c r="C28" s="1744">
        <f ca="1">[6]Returns!E27</f>
        <v>0</v>
      </c>
      <c r="D28" s="1744">
        <f ca="1">[6]Returns!F27</f>
        <v>0</v>
      </c>
      <c r="E28" s="1744">
        <f ca="1">IF(E64=0,E68,[6]Returns!G27)</f>
        <v>0</v>
      </c>
      <c r="F28" s="1744">
        <f ca="1">IF(F64=0,F68,[6]Returns!H27)</f>
        <v>0</v>
      </c>
      <c r="G28" s="1744">
        <f ca="1">IF(G64=0,G68,[6]Returns!I27)</f>
        <v>0</v>
      </c>
      <c r="H28" s="1744">
        <f ca="1">IF(H64=0,H68,[6]Returns!J27)</f>
        <v>0</v>
      </c>
      <c r="I28" s="1744">
        <f ca="1">IF(I64=0,I68,[6]Returns!K27)</f>
        <v>0</v>
      </c>
      <c r="J28" s="1744">
        <f ca="1">IF(J64=0,J68,[6]Returns!L27)</f>
        <v>0</v>
      </c>
      <c r="K28" s="1744">
        <f ca="1">IF(K64=0,K68,[6]Returns!M27)</f>
        <v>0</v>
      </c>
      <c r="L28" s="1744">
        <f ca="1">IF(L64=0,L68,[6]Returns!N27)</f>
        <v>0</v>
      </c>
      <c r="M28" s="1744">
        <f ca="1">IF(M64=0,M68,[6]Returns!O27)</f>
        <v>0</v>
      </c>
      <c r="N28" s="1744">
        <f ca="1">IF(N64=0,N68,[6]Returns!P27)</f>
        <v>0</v>
      </c>
      <c r="O28" s="1744">
        <f ca="1">IF(O64=0,O68,[6]Returns!Q27)</f>
        <v>0</v>
      </c>
      <c r="P28" s="1744">
        <f ca="1">IF(P64=0,P68,[6]Returns!R27)</f>
        <v>0</v>
      </c>
      <c r="Q28" s="1744">
        <f ca="1">IF(Q64=0,Q68,[6]Returns!S27)</f>
        <v>0</v>
      </c>
      <c r="R28" s="1744">
        <f ca="1">IF(R64=0,R68,[6]Returns!T27)</f>
        <v>0</v>
      </c>
      <c r="S28" s="1744">
        <f ca="1">IF(S64=0,S68,[6]Returns!U27)</f>
        <v>0</v>
      </c>
      <c r="T28" s="1744">
        <f ca="1">IF(T64=0,T68,[6]Returns!V27)</f>
        <v>0</v>
      </c>
      <c r="U28" s="1744">
        <f ca="1">IF(U64=0,U68,[6]Returns!W27)</f>
        <v>0</v>
      </c>
      <c r="V28" s="1744">
        <f ca="1">IF(V64=0,V68,[6]Returns!X27)</f>
        <v>0</v>
      </c>
      <c r="W28" s="1744">
        <f ca="1">IF(W64=0,W68,[6]Returns!Y27)</f>
        <v>0</v>
      </c>
      <c r="X28" s="1744">
        <f ca="1">IF(X64=0,X68,[6]Returns!Z27)</f>
        <v>103759.12759405807</v>
      </c>
    </row>
    <row r="29" spans="1:25" s="1641" customFormat="1">
      <c r="A29" s="1745" t="s">
        <v>1681</v>
      </c>
      <c r="B29" s="1744">
        <v>0</v>
      </c>
      <c r="C29" s="1744">
        <f ca="1">[7]Returns!E25</f>
        <v>0</v>
      </c>
      <c r="D29" s="1744">
        <f ca="1">[7]Returns!F25</f>
        <v>0</v>
      </c>
      <c r="E29" s="1744">
        <f ca="1">IF(E64=0,E69,[7]Returns!G25)</f>
        <v>0</v>
      </c>
      <c r="F29" s="1744">
        <f ca="1">IF(F64=0,F69,[7]Returns!H25)</f>
        <v>0</v>
      </c>
      <c r="G29" s="1744">
        <f ca="1">IF(G64=0,G69,[7]Returns!I25)</f>
        <v>0</v>
      </c>
      <c r="H29" s="1744">
        <f ca="1">IF(H64=0,H69,[7]Returns!J25)</f>
        <v>0</v>
      </c>
      <c r="I29" s="1744">
        <f ca="1">IF(I64=0,I69,[7]Returns!K25)</f>
        <v>0</v>
      </c>
      <c r="J29" s="1744">
        <f ca="1">IF(J64=0,J69,[7]Returns!L25)</f>
        <v>0</v>
      </c>
      <c r="K29" s="1744">
        <f ca="1">IF(K64=0,K69,[7]Returns!M25)</f>
        <v>0</v>
      </c>
      <c r="L29" s="1744">
        <f ca="1">IF(L64=0,L69,[7]Returns!N25)</f>
        <v>0</v>
      </c>
      <c r="M29" s="1744">
        <f ca="1">IF(M64=0,M69,[7]Returns!O25)</f>
        <v>0</v>
      </c>
      <c r="N29" s="1744">
        <f ca="1">IF(N64=0,N69,[7]Returns!P25)</f>
        <v>0</v>
      </c>
      <c r="O29" s="1744">
        <f ca="1">IF(O64=0,O69,[7]Returns!Q25)</f>
        <v>0</v>
      </c>
      <c r="P29" s="1744">
        <f ca="1">IF(P64=0,P69,[7]Returns!R25)</f>
        <v>0</v>
      </c>
      <c r="Q29" s="1744">
        <f ca="1">IF(Q64=0,Q69,[7]Returns!S25)</f>
        <v>0</v>
      </c>
      <c r="R29" s="1744">
        <f ca="1">IF(R64=0,R69,[7]Returns!T25)</f>
        <v>0</v>
      </c>
      <c r="S29" s="1744">
        <f ca="1">IF(S64=0,S69,[7]Returns!U25)</f>
        <v>0</v>
      </c>
      <c r="T29" s="1744">
        <f ca="1">IF(T64=0,T69,[7]Returns!V25)</f>
        <v>0</v>
      </c>
      <c r="U29" s="1744">
        <f ca="1">IF(U64=0,U69,[7]Returns!W25)</f>
        <v>0</v>
      </c>
      <c r="V29" s="1744">
        <f ca="1">IF(V64=0,V69,[7]Returns!X25)</f>
        <v>0</v>
      </c>
      <c r="W29" s="1744">
        <f ca="1">IF(W64=0,W69,[7]Returns!Y25)</f>
        <v>0</v>
      </c>
      <c r="X29" s="1744">
        <f ca="1">IF(X64=0,X69,[7]Returns!Z25)</f>
        <v>69923.336249910484</v>
      </c>
    </row>
    <row r="30" spans="1:25" s="1731" customFormat="1">
      <c r="A30" s="1755" t="s">
        <v>1774</v>
      </c>
      <c r="B30" s="1838">
        <f>SUM(B26:B29)</f>
        <v>0</v>
      </c>
      <c r="C30" s="1838">
        <f ca="1">SUM(C26:C29)</f>
        <v>0</v>
      </c>
      <c r="D30" s="1838">
        <f ca="1">SUM(D26:D29)</f>
        <v>0</v>
      </c>
      <c r="E30" s="1751">
        <f ca="1">SUM(E26:E29)*E64</f>
        <v>0</v>
      </c>
      <c r="F30" s="1751">
        <f t="shared" ref="F30:X30" ca="1" si="5">SUM(F26:F29)*F64</f>
        <v>0</v>
      </c>
      <c r="G30" s="1751">
        <f t="shared" ca="1" si="5"/>
        <v>0</v>
      </c>
      <c r="H30" s="1751">
        <f t="shared" ca="1" si="5"/>
        <v>0</v>
      </c>
      <c r="I30" s="1751">
        <f t="shared" ca="1" si="5"/>
        <v>0</v>
      </c>
      <c r="J30" s="1751">
        <f t="shared" ca="1" si="5"/>
        <v>0</v>
      </c>
      <c r="K30" s="1751">
        <f t="shared" ca="1" si="5"/>
        <v>0</v>
      </c>
      <c r="L30" s="1751">
        <f t="shared" ca="1" si="5"/>
        <v>0</v>
      </c>
      <c r="M30" s="1751">
        <f t="shared" ca="1" si="5"/>
        <v>0</v>
      </c>
      <c r="N30" s="1751">
        <f t="shared" ca="1" si="5"/>
        <v>0</v>
      </c>
      <c r="O30" s="1751">
        <f t="shared" ca="1" si="5"/>
        <v>0</v>
      </c>
      <c r="P30" s="1751">
        <f t="shared" ca="1" si="5"/>
        <v>0</v>
      </c>
      <c r="Q30" s="1751">
        <f t="shared" ca="1" si="5"/>
        <v>0</v>
      </c>
      <c r="R30" s="1751">
        <f t="shared" ca="1" si="5"/>
        <v>0</v>
      </c>
      <c r="S30" s="1751">
        <f t="shared" ca="1" si="5"/>
        <v>0</v>
      </c>
      <c r="T30" s="1751">
        <f t="shared" ca="1" si="5"/>
        <v>0</v>
      </c>
      <c r="U30" s="1751">
        <f t="shared" ca="1" si="5"/>
        <v>0</v>
      </c>
      <c r="V30" s="1751">
        <f t="shared" ca="1" si="5"/>
        <v>0</v>
      </c>
      <c r="W30" s="1751">
        <f t="shared" ca="1" si="5"/>
        <v>0</v>
      </c>
      <c r="X30" s="1751">
        <f t="shared" ca="1" si="5"/>
        <v>269727.03132355801</v>
      </c>
    </row>
    <row r="31" spans="1:25" s="1641" customFormat="1">
      <c r="C31" s="1747"/>
      <c r="D31" s="1747"/>
      <c r="E31" s="1747"/>
      <c r="F31" s="1747"/>
      <c r="G31" s="1747"/>
      <c r="H31" s="1747"/>
      <c r="I31" s="1747"/>
      <c r="J31" s="1747"/>
      <c r="K31" s="1747"/>
      <c r="L31" s="1747"/>
      <c r="M31" s="1747"/>
      <c r="N31" s="1747"/>
      <c r="O31" s="1747"/>
      <c r="P31" s="1747"/>
      <c r="Q31" s="1747"/>
      <c r="R31" s="1747"/>
      <c r="S31" s="1747"/>
      <c r="T31" s="1747"/>
      <c r="U31" s="1747"/>
      <c r="V31" s="1747"/>
      <c r="W31" s="1747"/>
      <c r="X31" s="1747"/>
    </row>
    <row r="32" spans="1:25" s="1641" customFormat="1" ht="13.5" thickBot="1">
      <c r="A32" s="1748" t="s">
        <v>1032</v>
      </c>
      <c r="B32" s="1749">
        <f ca="1">SUM(B33:B36)</f>
        <v>0</v>
      </c>
      <c r="C32" s="1749">
        <f ca="1">SUM(C33:C36)-502</f>
        <v>-82184.565380597182</v>
      </c>
      <c r="D32" s="1749">
        <f ca="1">SUM(D33:D36)-3195</f>
        <v>-71439.533497606666</v>
      </c>
      <c r="E32" s="1749">
        <f ca="1">SUM(E33:E36)+2093</f>
        <v>44229.122082391368</v>
      </c>
      <c r="F32" s="1749">
        <f t="shared" ref="F32:X32" ca="1" si="6">SUM(F33:F36)</f>
        <v>2431.9065204814115</v>
      </c>
      <c r="G32" s="1749">
        <f t="shared" ca="1" si="6"/>
        <v>5541.595673998856</v>
      </c>
      <c r="H32" s="1749">
        <f t="shared" ca="1" si="6"/>
        <v>7550.7806555453708</v>
      </c>
      <c r="I32" s="1749">
        <f t="shared" ca="1" si="6"/>
        <v>2544.3063286884171</v>
      </c>
      <c r="J32" s="1749">
        <f t="shared" ca="1" si="6"/>
        <v>13390.52312823721</v>
      </c>
      <c r="K32" s="1749">
        <f t="shared" ca="1" si="6"/>
        <v>15874.647212188422</v>
      </c>
      <c r="L32" s="1749">
        <f t="shared" ca="1" si="6"/>
        <v>15424.395313907755</v>
      </c>
      <c r="M32" s="1749">
        <f t="shared" ca="1" si="6"/>
        <v>17601.040030139466</v>
      </c>
      <c r="N32" s="1749">
        <f t="shared" ca="1" si="6"/>
        <v>21935.387934652976</v>
      </c>
      <c r="O32" s="1749">
        <f t="shared" ca="1" si="6"/>
        <v>23679.96102371081</v>
      </c>
      <c r="P32" s="1749">
        <f t="shared" ca="1" si="6"/>
        <v>21362.971082909709</v>
      </c>
      <c r="Q32" s="1749">
        <f t="shared" ca="1" si="6"/>
        <v>20033.368948876443</v>
      </c>
      <c r="R32" s="1749">
        <f t="shared" ca="1" si="6"/>
        <v>22967.290946761324</v>
      </c>
      <c r="S32" s="1749">
        <f t="shared" ca="1" si="6"/>
        <v>17412.088651651698</v>
      </c>
      <c r="T32" s="1749">
        <f t="shared" ca="1" si="6"/>
        <v>14284.74611335788</v>
      </c>
      <c r="U32" s="1749">
        <f t="shared" ca="1" si="6"/>
        <v>23464.357559738011</v>
      </c>
      <c r="V32" s="1749">
        <f t="shared" ca="1" si="6"/>
        <v>23401.847300139911</v>
      </c>
      <c r="W32" s="1749">
        <f t="shared" ca="1" si="6"/>
        <v>24901.821706351842</v>
      </c>
      <c r="X32" s="1749">
        <f t="shared" ca="1" si="6"/>
        <v>277832.12516077468</v>
      </c>
    </row>
    <row r="33" spans="1:24" s="1641" customFormat="1" ht="13.5" thickTop="1">
      <c r="A33" s="1745" t="s">
        <v>1143</v>
      </c>
      <c r="B33" s="1746">
        <f t="shared" ref="B33:X33" ca="1" si="7">B8+B14+B20+B26</f>
        <v>0</v>
      </c>
      <c r="C33" s="1746">
        <f t="shared" ca="1" si="7"/>
        <v>-76345.98604628563</v>
      </c>
      <c r="D33" s="1746">
        <f ca="1">D8+D14+D20+D26</f>
        <v>-25575.7718209792</v>
      </c>
      <c r="E33" s="1746">
        <f t="shared" ca="1" si="7"/>
        <v>31528.470151265385</v>
      </c>
      <c r="F33" s="1746">
        <f t="shared" ca="1" si="7"/>
        <v>1089.2921503413882</v>
      </c>
      <c r="G33" s="1746">
        <f t="shared" ca="1" si="7"/>
        <v>4565.9927371599733</v>
      </c>
      <c r="H33" s="1746">
        <f t="shared" ca="1" si="7"/>
        <v>7057.3274904381778</v>
      </c>
      <c r="I33" s="1746">
        <f t="shared" ca="1" si="7"/>
        <v>-243.71369729376102</v>
      </c>
      <c r="J33" s="1746">
        <f t="shared" ca="1" si="7"/>
        <v>10716.623868769584</v>
      </c>
      <c r="K33" s="1746">
        <f t="shared" ca="1" si="7"/>
        <v>11398.185797346154</v>
      </c>
      <c r="L33" s="1746">
        <f t="shared" ca="1" si="7"/>
        <v>10081.688589907895</v>
      </c>
      <c r="M33" s="1746">
        <f t="shared" ca="1" si="7"/>
        <v>9475.0071034828434</v>
      </c>
      <c r="N33" s="1746">
        <f t="shared" ca="1" si="7"/>
        <v>10731.42931631903</v>
      </c>
      <c r="O33" s="1746">
        <f t="shared" ca="1" si="7"/>
        <v>11473.316779320374</v>
      </c>
      <c r="P33" s="1746">
        <f t="shared" ca="1" si="7"/>
        <v>9371.2346992454859</v>
      </c>
      <c r="Q33" s="1746">
        <f t="shared" ca="1" si="7"/>
        <v>8816.8527477421449</v>
      </c>
      <c r="R33" s="1746">
        <f t="shared" ca="1" si="7"/>
        <v>11923.18435341395</v>
      </c>
      <c r="S33" s="1746">
        <f t="shared" ca="1" si="7"/>
        <v>4883.6763738908912</v>
      </c>
      <c r="T33" s="1746">
        <f t="shared" ca="1" si="7"/>
        <v>-860.92135037416506</v>
      </c>
      <c r="U33" s="1746">
        <f t="shared" ca="1" si="7"/>
        <v>3441.709346106984</v>
      </c>
      <c r="V33" s="1746">
        <f t="shared" ca="1" si="7"/>
        <v>2690.7971598905397</v>
      </c>
      <c r="W33" s="1746">
        <f t="shared" ca="1" si="7"/>
        <v>3468.7088200539315</v>
      </c>
      <c r="X33" s="1746">
        <f t="shared" ca="1" si="7"/>
        <v>3437.8938598862046</v>
      </c>
    </row>
    <row r="34" spans="1:24" s="1641" customFormat="1">
      <c r="A34" s="1745" t="s">
        <v>1680</v>
      </c>
      <c r="B34" s="1746">
        <f t="shared" ref="B34:X34" si="8">B9+B15+B21+B27</f>
        <v>0</v>
      </c>
      <c r="C34" s="1746">
        <f t="shared" ca="1" si="8"/>
        <v>-2801.4201620875474</v>
      </c>
      <c r="D34" s="1746">
        <f t="shared" ca="1" si="8"/>
        <v>-22887.898678844675</v>
      </c>
      <c r="E34" s="1746">
        <f t="shared" ca="1" si="8"/>
        <v>3345.0575398684814</v>
      </c>
      <c r="F34" s="1746">
        <f t="shared" ca="1" si="8"/>
        <v>-376.98075746863543</v>
      </c>
      <c r="G34" s="1746">
        <f t="shared" ca="1" si="8"/>
        <v>-1357.4192123876762</v>
      </c>
      <c r="H34" s="1746">
        <f t="shared" ca="1" si="8"/>
        <v>-1853.1945611811796</v>
      </c>
      <c r="I34" s="1746">
        <f t="shared" ca="1" si="8"/>
        <v>-1174.9275475677123</v>
      </c>
      <c r="J34" s="1746">
        <f t="shared" ca="1" si="8"/>
        <v>-1214.5625545605519</v>
      </c>
      <c r="K34" s="1746">
        <f t="shared" ca="1" si="8"/>
        <v>-1106.0829790039927</v>
      </c>
      <c r="L34" s="1746">
        <f t="shared" ca="1" si="8"/>
        <v>-774.21297729990317</v>
      </c>
      <c r="M34" s="1746">
        <f t="shared" ca="1" si="8"/>
        <v>754.90476793333016</v>
      </c>
      <c r="N34" s="1746">
        <f t="shared" ca="1" si="8"/>
        <v>2279.3668615631186</v>
      </c>
      <c r="O34" s="1746">
        <f t="shared" ca="1" si="8"/>
        <v>2744.3851880749835</v>
      </c>
      <c r="P34" s="1746">
        <f t="shared" ca="1" si="8"/>
        <v>2749.1695449171111</v>
      </c>
      <c r="Q34" s="1746">
        <f t="shared" ca="1" si="8"/>
        <v>2763.4972932942192</v>
      </c>
      <c r="R34" s="1746">
        <f t="shared" ca="1" si="8"/>
        <v>2750.9553188438331</v>
      </c>
      <c r="S34" s="1746">
        <f t="shared" ca="1" si="8"/>
        <v>3494.5592433878828</v>
      </c>
      <c r="T34" s="1746">
        <f t="shared" ca="1" si="8"/>
        <v>4943.4190229528995</v>
      </c>
      <c r="U34" s="1746">
        <f t="shared" ca="1" si="8"/>
        <v>7708.3808470559152</v>
      </c>
      <c r="V34" s="1746">
        <f t="shared" ca="1" si="8"/>
        <v>7997.0231945978339</v>
      </c>
      <c r="W34" s="1746">
        <f t="shared" ca="1" si="8"/>
        <v>8120.0102851163911</v>
      </c>
      <c r="X34" s="1746">
        <f t="shared" ca="1" si="8"/>
        <v>98381.242392974178</v>
      </c>
    </row>
    <row r="35" spans="1:24" s="1641" customFormat="1">
      <c r="A35" s="1745" t="s">
        <v>1634</v>
      </c>
      <c r="B35" s="1746">
        <f t="shared" ref="B35:X35" ca="1" si="9">B10+B16+B22+B28</f>
        <v>0</v>
      </c>
      <c r="C35" s="1746">
        <f t="shared" ca="1" si="9"/>
        <v>-2535.159172224</v>
      </c>
      <c r="D35" s="1746">
        <f t="shared" ca="1" si="9"/>
        <v>-19780.862997782788</v>
      </c>
      <c r="E35" s="1746">
        <f t="shared" ca="1" si="9"/>
        <v>7262.594391257504</v>
      </c>
      <c r="F35" s="1746">
        <f t="shared" ca="1" si="9"/>
        <v>1191.4920736704553</v>
      </c>
      <c r="G35" s="1746">
        <f t="shared" ca="1" si="9"/>
        <v>1516.530563810446</v>
      </c>
      <c r="H35" s="1746">
        <f t="shared" ca="1" si="9"/>
        <v>1069.8301095544841</v>
      </c>
      <c r="I35" s="1746">
        <f t="shared" ca="1" si="9"/>
        <v>1550.8400460877431</v>
      </c>
      <c r="J35" s="1746">
        <f t="shared" ca="1" si="9"/>
        <v>339.11822225038725</v>
      </c>
      <c r="K35" s="1746">
        <f t="shared" ca="1" si="9"/>
        <v>1345.690828009494</v>
      </c>
      <c r="L35" s="1746">
        <f t="shared" ca="1" si="9"/>
        <v>1507.8438696586979</v>
      </c>
      <c r="M35" s="1746">
        <f t="shared" ca="1" si="9"/>
        <v>2607.5780178731702</v>
      </c>
      <c r="N35" s="1746">
        <f t="shared" ca="1" si="9"/>
        <v>3905.6830317760396</v>
      </c>
      <c r="O35" s="1746">
        <f t="shared" ca="1" si="9"/>
        <v>4227.8597249698796</v>
      </c>
      <c r="P35" s="1746">
        <f t="shared" ca="1" si="9"/>
        <v>3825.8968627041604</v>
      </c>
      <c r="Q35" s="1746">
        <f t="shared" ca="1" si="9"/>
        <v>2594.4042296968296</v>
      </c>
      <c r="R35" s="1746">
        <f t="shared" ca="1" si="9"/>
        <v>2465.7012651476521</v>
      </c>
      <c r="S35" s="1746">
        <f t="shared" ca="1" si="9"/>
        <v>3083.4181664756711</v>
      </c>
      <c r="T35" s="1746">
        <f t="shared" ca="1" si="9"/>
        <v>4127.5014287393087</v>
      </c>
      <c r="U35" s="1746">
        <f t="shared" ca="1" si="9"/>
        <v>6147.2505890884186</v>
      </c>
      <c r="V35" s="1746">
        <f t="shared" ca="1" si="9"/>
        <v>6298.7206836602627</v>
      </c>
      <c r="W35" s="1746">
        <f t="shared" ca="1" si="9"/>
        <v>6467.6060409871179</v>
      </c>
      <c r="X35" s="1746">
        <f t="shared" ca="1" si="9"/>
        <v>103642.33588925695</v>
      </c>
    </row>
    <row r="36" spans="1:24" s="1641" customFormat="1">
      <c r="A36" s="1745" t="s">
        <v>1681</v>
      </c>
      <c r="B36" s="1746">
        <f t="shared" ref="B36:X36" si="10">B11+B17+B23+B29</f>
        <v>0</v>
      </c>
      <c r="C36" s="1746">
        <f t="shared" ca="1" si="10"/>
        <v>0</v>
      </c>
      <c r="D36" s="1746">
        <f t="shared" ca="1" si="10"/>
        <v>0</v>
      </c>
      <c r="E36" s="1746">
        <f t="shared" ca="1" si="10"/>
        <v>0</v>
      </c>
      <c r="F36" s="1746">
        <f t="shared" ca="1" si="10"/>
        <v>528.10305393820363</v>
      </c>
      <c r="G36" s="1746">
        <f t="shared" ca="1" si="10"/>
        <v>816.49158541611394</v>
      </c>
      <c r="H36" s="1746">
        <f t="shared" ca="1" si="10"/>
        <v>1276.8176167338886</v>
      </c>
      <c r="I36" s="1746">
        <f t="shared" ca="1" si="10"/>
        <v>2412.1075274621471</v>
      </c>
      <c r="J36" s="1746">
        <f t="shared" ca="1" si="10"/>
        <v>3549.3435917777915</v>
      </c>
      <c r="K36" s="1746">
        <f t="shared" ca="1" si="10"/>
        <v>4236.8535658367682</v>
      </c>
      <c r="L36" s="1746">
        <f t="shared" ca="1" si="10"/>
        <v>4609.0758316410647</v>
      </c>
      <c r="M36" s="1746">
        <f t="shared" ca="1" si="10"/>
        <v>4763.5501408501214</v>
      </c>
      <c r="N36" s="1746">
        <f t="shared" ca="1" si="10"/>
        <v>5018.908724994787</v>
      </c>
      <c r="O36" s="1746">
        <f t="shared" ca="1" si="10"/>
        <v>5234.3993313455712</v>
      </c>
      <c r="P36" s="1746">
        <f t="shared" ca="1" si="10"/>
        <v>5416.6699760429519</v>
      </c>
      <c r="Q36" s="1746">
        <f t="shared" ca="1" si="10"/>
        <v>5858.6146781432499</v>
      </c>
      <c r="R36" s="1746">
        <f t="shared" ca="1" si="10"/>
        <v>5827.45000935589</v>
      </c>
      <c r="S36" s="1746">
        <f t="shared" ca="1" si="10"/>
        <v>5950.4348678972538</v>
      </c>
      <c r="T36" s="1746">
        <f t="shared" ca="1" si="10"/>
        <v>6074.7470120398366</v>
      </c>
      <c r="U36" s="1746">
        <f t="shared" ca="1" si="10"/>
        <v>6167.016777486695</v>
      </c>
      <c r="V36" s="1746">
        <f t="shared" ca="1" si="10"/>
        <v>6415.3062619912744</v>
      </c>
      <c r="W36" s="1746">
        <f t="shared" ca="1" si="10"/>
        <v>6845.4965601944023</v>
      </c>
      <c r="X36" s="1746">
        <f t="shared" ca="1" si="10"/>
        <v>72370.653018657351</v>
      </c>
    </row>
    <row r="37" spans="1:24" s="959" customFormat="1">
      <c r="C37" s="1852">
        <f ca="1">C32-'[3]Enron Summary W-TBS'!H90</f>
        <v>0</v>
      </c>
      <c r="D37" s="1852">
        <f ca="1">D32-'[3]Enron Summary W-TBS'!I90</f>
        <v>0</v>
      </c>
      <c r="E37" s="1852">
        <f ca="1">E32-'[3]Enron Summary W-TBS'!J90</f>
        <v>0</v>
      </c>
      <c r="F37" s="1852">
        <f ca="1">F32-'[3]Enron Summary W-TBS'!K90</f>
        <v>0</v>
      </c>
      <c r="G37" s="1852">
        <f ca="1">G32-'[3]Enron Summary W-TBS'!L90</f>
        <v>0</v>
      </c>
      <c r="H37" s="1852">
        <f ca="1">H32-'[3]Enron Summary W-TBS'!M90</f>
        <v>0</v>
      </c>
      <c r="I37" s="1852">
        <f ca="1">I32-'[3]Enron Summary W-TBS'!N90</f>
        <v>0</v>
      </c>
      <c r="J37" s="1852">
        <f ca="1">J32-'[3]Enron Summary W-TBS'!O90</f>
        <v>0</v>
      </c>
      <c r="K37" s="1852">
        <f ca="1">K32-'[3]Enron Summary W-TBS'!P90</f>
        <v>0</v>
      </c>
      <c r="L37" s="1852">
        <f ca="1">L32-'[3]Enron Summary W-TBS'!Q90</f>
        <v>0</v>
      </c>
      <c r="M37" s="1852">
        <f ca="1">M32-'[3]Enron Summary W-TBS'!R90</f>
        <v>0</v>
      </c>
      <c r="N37" s="1852">
        <f ca="1">N32-'[3]Enron Summary W-TBS'!S90</f>
        <v>0</v>
      </c>
      <c r="O37" s="1852">
        <f ca="1">O32-'[3]Enron Summary W-TBS'!T90</f>
        <v>0</v>
      </c>
      <c r="P37" s="1852">
        <f ca="1">P32-'[3]Enron Summary W-TBS'!U90</f>
        <v>0</v>
      </c>
      <c r="Q37" s="1852">
        <f ca="1">Q32-'[3]Enron Summary W-TBS'!V90</f>
        <v>0</v>
      </c>
      <c r="R37" s="1852">
        <f ca="1">R32-'[3]Enron Summary W-TBS'!W90</f>
        <v>0</v>
      </c>
      <c r="S37" s="1852">
        <f ca="1">S32-'[3]Enron Summary W-TBS'!X90</f>
        <v>0</v>
      </c>
      <c r="T37" s="1852">
        <f ca="1">T32-'[3]Enron Summary W-TBS'!Y90</f>
        <v>0</v>
      </c>
      <c r="U37" s="1852">
        <f ca="1">U32-'[3]Enron Summary W-TBS'!Z90</f>
        <v>0</v>
      </c>
      <c r="V37" s="1852">
        <f ca="1">V32-'[3]Enron Summary W-TBS'!AA90</f>
        <v>0</v>
      </c>
      <c r="W37" s="1852">
        <f ca="1">W32-'[3]Enron Summary W-TBS'!AB90</f>
        <v>0</v>
      </c>
      <c r="X37" s="1852">
        <f ca="1">X32-'[3]Enron Summary W-TBS'!AC90</f>
        <v>0</v>
      </c>
    </row>
    <row r="38" spans="1:24" s="959" customFormat="1">
      <c r="A38" s="1859" t="s">
        <v>895</v>
      </c>
      <c r="C38" s="1852"/>
      <c r="D38" s="1852"/>
      <c r="E38" s="1852"/>
      <c r="F38" s="1852"/>
      <c r="G38" s="1852"/>
      <c r="H38" s="1852"/>
      <c r="I38" s="1852"/>
      <c r="J38" s="1852"/>
      <c r="K38" s="1852"/>
      <c r="L38" s="1852"/>
      <c r="M38" s="1852"/>
      <c r="N38" s="1852"/>
      <c r="O38" s="1852"/>
      <c r="P38" s="1852"/>
      <c r="Q38" s="1852"/>
      <c r="R38" s="1852"/>
      <c r="S38" s="1852"/>
      <c r="T38" s="1852"/>
      <c r="U38" s="1852"/>
      <c r="V38" s="1852"/>
      <c r="W38" s="1852"/>
      <c r="X38" s="1852"/>
    </row>
    <row r="39" spans="1:24" s="1854" customFormat="1">
      <c r="A39" s="1854" t="s">
        <v>1143</v>
      </c>
      <c r="C39" s="1855">
        <f ca="1">'[3]Enron Summary W-TBS'!H89</f>
        <v>-76842.786046285619</v>
      </c>
      <c r="D39" s="1855">
        <f ca="1">'[3]Enron Summary W-TBS'!I89</f>
        <v>-27451.971820979201</v>
      </c>
      <c r="E39" s="1855">
        <f ca="1">'[3]Enron Summary W-TBS'!J89</f>
        <v>32320.470151265377</v>
      </c>
      <c r="F39" s="1855">
        <f ca="1">'[3]Enron Summary W-TBS'!K89</f>
        <v>1089.2921503413877</v>
      </c>
      <c r="G39" s="1855">
        <f ca="1">'[3]Enron Summary W-TBS'!L89</f>
        <v>4565.9927371599742</v>
      </c>
      <c r="H39" s="1855">
        <f ca="1">'[3]Enron Summary W-TBS'!M89</f>
        <v>7057.3274904381797</v>
      </c>
      <c r="I39" s="1855">
        <f ca="1">'[3]Enron Summary W-TBS'!N89</f>
        <v>-243.71369729376181</v>
      </c>
      <c r="J39" s="1855">
        <f ca="1">'[3]Enron Summary W-TBS'!O89</f>
        <v>10716.623868769584</v>
      </c>
      <c r="K39" s="1855">
        <f ca="1">'[3]Enron Summary W-TBS'!P89</f>
        <v>11398.185797346156</v>
      </c>
      <c r="L39" s="1855">
        <f ca="1">'[3]Enron Summary W-TBS'!Q89</f>
        <v>10081.688589907895</v>
      </c>
      <c r="M39" s="1855">
        <f ca="1">'[3]Enron Summary W-TBS'!R89</f>
        <v>9475.0071034828434</v>
      </c>
      <c r="N39" s="1855">
        <f ca="1">'[3]Enron Summary W-TBS'!S89</f>
        <v>10731.42931631903</v>
      </c>
      <c r="O39" s="1855">
        <f ca="1">'[3]Enron Summary W-TBS'!T89</f>
        <v>11473.316779320372</v>
      </c>
      <c r="P39" s="1855">
        <f ca="1">'[3]Enron Summary W-TBS'!U89</f>
        <v>9371.2346992454859</v>
      </c>
      <c r="Q39" s="1855">
        <f ca="1">'[3]Enron Summary W-TBS'!V89</f>
        <v>8816.8527477421449</v>
      </c>
      <c r="R39" s="1855">
        <f ca="1">'[3]Enron Summary W-TBS'!W89</f>
        <v>11923.184353413948</v>
      </c>
      <c r="S39" s="1855">
        <f ca="1">'[3]Enron Summary W-TBS'!X89</f>
        <v>4883.6763738908912</v>
      </c>
      <c r="T39" s="1855">
        <f ca="1">'[3]Enron Summary W-TBS'!Y89</f>
        <v>-860.92135037416494</v>
      </c>
      <c r="U39" s="1855">
        <f ca="1">'[3]Enron Summary W-TBS'!Z89</f>
        <v>3441.7093461069844</v>
      </c>
      <c r="V39" s="1855">
        <f ca="1">'[3]Enron Summary W-TBS'!AA89</f>
        <v>2690.7971598905397</v>
      </c>
      <c r="W39" s="1855">
        <f ca="1">'[3]Enron Summary W-TBS'!AB89</f>
        <v>3468.708820053932</v>
      </c>
      <c r="X39" s="1855">
        <f ca="1">'[3]Enron Summary W-TBS'!AC89</f>
        <v>3437.8938598862046</v>
      </c>
    </row>
    <row r="40" spans="1:24" s="1858" customFormat="1">
      <c r="A40" s="1856" t="s">
        <v>896</v>
      </c>
      <c r="B40" s="1857">
        <f ca="1">B33-B39</f>
        <v>0</v>
      </c>
      <c r="C40" s="1857">
        <f ca="1">C33-C39</f>
        <v>496.79999999998836</v>
      </c>
      <c r="D40" s="1857">
        <f t="shared" ref="D40:X40" ca="1" si="11">D33-D39</f>
        <v>1876.2000000000007</v>
      </c>
      <c r="E40" s="1857">
        <f t="shared" ca="1" si="11"/>
        <v>-791.99999999999272</v>
      </c>
      <c r="F40" s="1857">
        <f t="shared" ca="1" si="11"/>
        <v>0</v>
      </c>
      <c r="G40" s="1857">
        <f t="shared" ca="1" si="11"/>
        <v>0</v>
      </c>
      <c r="H40" s="1857">
        <f t="shared" ca="1" si="11"/>
        <v>0</v>
      </c>
      <c r="I40" s="1857">
        <f t="shared" ca="1" si="11"/>
        <v>7.9580786405131221E-13</v>
      </c>
      <c r="J40" s="1857">
        <f t="shared" ca="1" si="11"/>
        <v>0</v>
      </c>
      <c r="K40" s="1857">
        <f t="shared" ca="1" si="11"/>
        <v>0</v>
      </c>
      <c r="L40" s="1857">
        <f t="shared" ca="1" si="11"/>
        <v>0</v>
      </c>
      <c r="M40" s="1857">
        <f t="shared" ca="1" si="11"/>
        <v>0</v>
      </c>
      <c r="N40" s="1857">
        <f t="shared" ca="1" si="11"/>
        <v>0</v>
      </c>
      <c r="O40" s="1857">
        <f t="shared" ca="1" si="11"/>
        <v>0</v>
      </c>
      <c r="P40" s="1857">
        <f t="shared" ca="1" si="11"/>
        <v>0</v>
      </c>
      <c r="Q40" s="1857">
        <f t="shared" ca="1" si="11"/>
        <v>0</v>
      </c>
      <c r="R40" s="1857">
        <f t="shared" ca="1" si="11"/>
        <v>0</v>
      </c>
      <c r="S40" s="1857">
        <f t="shared" ca="1" si="11"/>
        <v>0</v>
      </c>
      <c r="T40" s="1857">
        <f t="shared" ca="1" si="11"/>
        <v>0</v>
      </c>
      <c r="U40" s="1857">
        <f t="shared" ca="1" si="11"/>
        <v>0</v>
      </c>
      <c r="V40" s="1857">
        <f t="shared" ca="1" si="11"/>
        <v>0</v>
      </c>
      <c r="W40" s="1857">
        <f t="shared" ca="1" si="11"/>
        <v>0</v>
      </c>
      <c r="X40" s="1857">
        <f t="shared" ca="1" si="11"/>
        <v>0</v>
      </c>
    </row>
    <row r="41" spans="1:24" s="959" customFormat="1">
      <c r="A41" s="959" t="s">
        <v>1680</v>
      </c>
      <c r="C41" s="1852">
        <f ca="1">'[3]Enron Summary W-TBS'!H88</f>
        <v>-2806.6201620875472</v>
      </c>
      <c r="D41" s="1852">
        <f ca="1">'[3]Enron Summary W-TBS'!I88</f>
        <v>-23365.698678844677</v>
      </c>
      <c r="E41" s="1852">
        <f ca="1">'[3]Enron Summary W-TBS'!J88</f>
        <v>3805.0575398684809</v>
      </c>
      <c r="F41" s="1852">
        <f ca="1">'[3]Enron Summary W-TBS'!K88</f>
        <v>-376.98075746863537</v>
      </c>
      <c r="G41" s="1852">
        <f ca="1">'[3]Enron Summary W-TBS'!L88</f>
        <v>-1357.4192123876762</v>
      </c>
      <c r="H41" s="1852">
        <f ca="1">'[3]Enron Summary W-TBS'!M88</f>
        <v>-1853.1945611811798</v>
      </c>
      <c r="I41" s="1852">
        <f ca="1">'[3]Enron Summary W-TBS'!N88</f>
        <v>-1174.9275475677123</v>
      </c>
      <c r="J41" s="1852">
        <f ca="1">'[3]Enron Summary W-TBS'!O88</f>
        <v>-1214.5625545605521</v>
      </c>
      <c r="K41" s="1852">
        <f ca="1">'[3]Enron Summary W-TBS'!P88</f>
        <v>-1106.0829790039927</v>
      </c>
      <c r="L41" s="1852">
        <f ca="1">'[3]Enron Summary W-TBS'!Q88</f>
        <v>-774.21297729990329</v>
      </c>
      <c r="M41" s="1852">
        <f ca="1">'[3]Enron Summary W-TBS'!R88</f>
        <v>754.9047679333305</v>
      </c>
      <c r="N41" s="1852">
        <f ca="1">'[3]Enron Summary W-TBS'!S88</f>
        <v>2279.3668615631186</v>
      </c>
      <c r="O41" s="1852">
        <f ca="1">'[3]Enron Summary W-TBS'!T88</f>
        <v>2744.3851880749835</v>
      </c>
      <c r="P41" s="1852">
        <f ca="1">'[3]Enron Summary W-TBS'!U88</f>
        <v>2749.1695449171111</v>
      </c>
      <c r="Q41" s="1852">
        <f ca="1">'[3]Enron Summary W-TBS'!V88</f>
        <v>2763.4972932942187</v>
      </c>
      <c r="R41" s="1852">
        <f ca="1">'[3]Enron Summary W-TBS'!W88</f>
        <v>2750.9553188438331</v>
      </c>
      <c r="S41" s="1852">
        <f ca="1">'[3]Enron Summary W-TBS'!X88</f>
        <v>3494.5592433878828</v>
      </c>
      <c r="T41" s="1852">
        <f ca="1">'[3]Enron Summary W-TBS'!Y88</f>
        <v>4943.4190229528995</v>
      </c>
      <c r="U41" s="1852">
        <f ca="1">'[3]Enron Summary W-TBS'!Z88</f>
        <v>7708.3808470559152</v>
      </c>
      <c r="V41" s="1852">
        <f ca="1">'[3]Enron Summary W-TBS'!AA88</f>
        <v>7997.023194597833</v>
      </c>
      <c r="W41" s="1852">
        <f ca="1">'[3]Enron Summary W-TBS'!AB88</f>
        <v>8120.010285116392</v>
      </c>
      <c r="X41" s="1852">
        <f ca="1">'[3]Enron Summary W-TBS'!AC88</f>
        <v>98381.242392974149</v>
      </c>
    </row>
    <row r="42" spans="1:24" s="959" customFormat="1">
      <c r="A42" s="1853" t="s">
        <v>896</v>
      </c>
      <c r="B42" s="1852">
        <f ca="1">B35-B41</f>
        <v>0</v>
      </c>
      <c r="C42" s="1852">
        <f ca="1">C34-C41</f>
        <v>5.1999999999998181</v>
      </c>
      <c r="D42" s="1852">
        <f t="shared" ref="D42:X42" ca="1" si="12">D34-D41</f>
        <v>477.80000000000291</v>
      </c>
      <c r="E42" s="1852">
        <f t="shared" ca="1" si="12"/>
        <v>-459.99999999999955</v>
      </c>
      <c r="F42" s="1852">
        <f t="shared" ca="1" si="12"/>
        <v>0</v>
      </c>
      <c r="G42" s="1852">
        <f t="shared" ca="1" si="12"/>
        <v>0</v>
      </c>
      <c r="H42" s="1852">
        <f t="shared" ca="1" si="12"/>
        <v>0</v>
      </c>
      <c r="I42" s="1852">
        <f t="shared" ca="1" si="12"/>
        <v>0</v>
      </c>
      <c r="J42" s="1852">
        <f t="shared" ca="1" si="12"/>
        <v>0</v>
      </c>
      <c r="K42" s="1852">
        <f t="shared" ca="1" si="12"/>
        <v>0</v>
      </c>
      <c r="L42" s="1852">
        <f t="shared" ca="1" si="12"/>
        <v>0</v>
      </c>
      <c r="M42" s="1852">
        <f t="shared" ca="1" si="12"/>
        <v>0</v>
      </c>
      <c r="N42" s="1852">
        <f t="shared" ca="1" si="12"/>
        <v>0</v>
      </c>
      <c r="O42" s="1852">
        <f t="shared" ca="1" si="12"/>
        <v>0</v>
      </c>
      <c r="P42" s="1852">
        <f t="shared" ca="1" si="12"/>
        <v>0</v>
      </c>
      <c r="Q42" s="1852">
        <f t="shared" ca="1" si="12"/>
        <v>0</v>
      </c>
      <c r="R42" s="1852">
        <f t="shared" ca="1" si="12"/>
        <v>0</v>
      </c>
      <c r="S42" s="1852">
        <f t="shared" ca="1" si="12"/>
        <v>0</v>
      </c>
      <c r="T42" s="1852">
        <f t="shared" ca="1" si="12"/>
        <v>0</v>
      </c>
      <c r="U42" s="1852">
        <f t="shared" ca="1" si="12"/>
        <v>0</v>
      </c>
      <c r="V42" s="1852">
        <f t="shared" ca="1" si="12"/>
        <v>0</v>
      </c>
      <c r="W42" s="1852">
        <f t="shared" ca="1" si="12"/>
        <v>0</v>
      </c>
      <c r="X42" s="1852">
        <f t="shared" ca="1" si="12"/>
        <v>0</v>
      </c>
    </row>
    <row r="43" spans="1:24" s="1854" customFormat="1">
      <c r="A43" s="1854" t="s">
        <v>1634</v>
      </c>
      <c r="C43" s="1855">
        <f ca="1">'[3]Enron Summary W-TBS'!H87</f>
        <v>-2535.1591722240005</v>
      </c>
      <c r="D43" s="1855">
        <f ca="1">'[3]Enron Summary W-TBS'!I87</f>
        <v>-20621.862997782784</v>
      </c>
      <c r="E43" s="1855">
        <f ca="1">'[3]Enron Summary W-TBS'!J87</f>
        <v>8103.5943912575003</v>
      </c>
      <c r="F43" s="1855">
        <f ca="1">'[3]Enron Summary W-TBS'!K87</f>
        <v>1191.4920736704557</v>
      </c>
      <c r="G43" s="1855">
        <f ca="1">'[3]Enron Summary W-TBS'!L87</f>
        <v>1516.530563810446</v>
      </c>
      <c r="H43" s="1855">
        <f ca="1">'[3]Enron Summary W-TBS'!M87</f>
        <v>1069.8301095544841</v>
      </c>
      <c r="I43" s="1855">
        <f ca="1">'[3]Enron Summary W-TBS'!N87</f>
        <v>1550.8400460877433</v>
      </c>
      <c r="J43" s="1855">
        <f ca="1">'[3]Enron Summary W-TBS'!O87</f>
        <v>339.11822225038725</v>
      </c>
      <c r="K43" s="1855">
        <f ca="1">'[3]Enron Summary W-TBS'!P87</f>
        <v>1345.6908280094942</v>
      </c>
      <c r="L43" s="1855">
        <f ca="1">'[3]Enron Summary W-TBS'!Q87</f>
        <v>1507.8438696586979</v>
      </c>
      <c r="M43" s="1855">
        <f ca="1">'[3]Enron Summary W-TBS'!R87</f>
        <v>2607.5780178731702</v>
      </c>
      <c r="N43" s="1855">
        <f ca="1">'[3]Enron Summary W-TBS'!S87</f>
        <v>3905.68303177604</v>
      </c>
      <c r="O43" s="1855">
        <f ca="1">'[3]Enron Summary W-TBS'!T87</f>
        <v>4227.8597249698796</v>
      </c>
      <c r="P43" s="1855">
        <f ca="1">'[3]Enron Summary W-TBS'!U87</f>
        <v>3825.8968627041604</v>
      </c>
      <c r="Q43" s="1855">
        <f ca="1">'[3]Enron Summary W-TBS'!V87</f>
        <v>2594.40422969683</v>
      </c>
      <c r="R43" s="1855">
        <f ca="1">'[3]Enron Summary W-TBS'!W87</f>
        <v>2465.7012651476521</v>
      </c>
      <c r="S43" s="1855">
        <f ca="1">'[3]Enron Summary W-TBS'!X87</f>
        <v>3083.4181664756716</v>
      </c>
      <c r="T43" s="1855">
        <f ca="1">'[3]Enron Summary W-TBS'!Y87</f>
        <v>4127.5014287393096</v>
      </c>
      <c r="U43" s="1855">
        <f ca="1">'[3]Enron Summary W-TBS'!Z87</f>
        <v>6147.2505890884186</v>
      </c>
      <c r="V43" s="1855">
        <f ca="1">'[3]Enron Summary W-TBS'!AA87</f>
        <v>6298.7206836602627</v>
      </c>
      <c r="W43" s="1855">
        <f ca="1">'[3]Enron Summary W-TBS'!AB87</f>
        <v>6467.6060409871234</v>
      </c>
      <c r="X43" s="1855">
        <f ca="1">'[3]Enron Summary W-TBS'!AC87</f>
        <v>103642.33588925682</v>
      </c>
    </row>
    <row r="44" spans="1:24" s="1858" customFormat="1">
      <c r="A44" s="1856" t="s">
        <v>896</v>
      </c>
      <c r="B44" s="1857">
        <f>B37-B43</f>
        <v>0</v>
      </c>
      <c r="C44" s="1857">
        <f ca="1">C35-C43</f>
        <v>0</v>
      </c>
      <c r="D44" s="1857">
        <f t="shared" ref="D44:X44" ca="1" si="13">D35-D43</f>
        <v>840.99999999999636</v>
      </c>
      <c r="E44" s="1857">
        <f t="shared" ca="1" si="13"/>
        <v>-840.99999999999636</v>
      </c>
      <c r="F44" s="1857">
        <f t="shared" ca="1" si="13"/>
        <v>0</v>
      </c>
      <c r="G44" s="1857">
        <f t="shared" ca="1" si="13"/>
        <v>0</v>
      </c>
      <c r="H44" s="1857">
        <f t="shared" ca="1" si="13"/>
        <v>0</v>
      </c>
      <c r="I44" s="1857">
        <f t="shared" ca="1" si="13"/>
        <v>0</v>
      </c>
      <c r="J44" s="1857">
        <f t="shared" ca="1" si="13"/>
        <v>0</v>
      </c>
      <c r="K44" s="1857">
        <f t="shared" ca="1" si="13"/>
        <v>0</v>
      </c>
      <c r="L44" s="1857">
        <f t="shared" ca="1" si="13"/>
        <v>0</v>
      </c>
      <c r="M44" s="1857">
        <f t="shared" ca="1" si="13"/>
        <v>0</v>
      </c>
      <c r="N44" s="1857">
        <f t="shared" ca="1" si="13"/>
        <v>0</v>
      </c>
      <c r="O44" s="1857">
        <f t="shared" ca="1" si="13"/>
        <v>0</v>
      </c>
      <c r="P44" s="1857">
        <f t="shared" ca="1" si="13"/>
        <v>0</v>
      </c>
      <c r="Q44" s="1857">
        <f t="shared" ca="1" si="13"/>
        <v>0</v>
      </c>
      <c r="R44" s="1857">
        <f t="shared" ca="1" si="13"/>
        <v>0</v>
      </c>
      <c r="S44" s="1857">
        <f t="shared" ca="1" si="13"/>
        <v>0</v>
      </c>
      <c r="T44" s="1857">
        <f t="shared" ca="1" si="13"/>
        <v>0</v>
      </c>
      <c r="U44" s="1857">
        <f t="shared" ca="1" si="13"/>
        <v>0</v>
      </c>
      <c r="V44" s="1857">
        <f t="shared" ca="1" si="13"/>
        <v>0</v>
      </c>
      <c r="W44" s="1857">
        <f t="shared" ca="1" si="13"/>
        <v>0</v>
      </c>
      <c r="X44" s="1857">
        <f t="shared" ca="1" si="13"/>
        <v>1.3096723705530167E-10</v>
      </c>
    </row>
    <row r="45" spans="1:24" s="959" customFormat="1">
      <c r="A45" s="959" t="s">
        <v>897</v>
      </c>
      <c r="C45" s="1852">
        <f ca="1">'[3]Enron Summary W-TBS'!H86</f>
        <v>0</v>
      </c>
      <c r="D45" s="1852">
        <f ca="1">'[3]Enron Summary W-TBS'!I86</f>
        <v>0</v>
      </c>
      <c r="E45" s="1852">
        <f ca="1">'[3]Enron Summary W-TBS'!J86</f>
        <v>0</v>
      </c>
      <c r="F45" s="1852">
        <f ca="1">'[3]Enron Summary W-TBS'!K86</f>
        <v>528.10305393820363</v>
      </c>
      <c r="G45" s="1852">
        <f ca="1">'[3]Enron Summary W-TBS'!L86</f>
        <v>816.49158541611394</v>
      </c>
      <c r="H45" s="1852">
        <f ca="1">'[3]Enron Summary W-TBS'!M86</f>
        <v>1276.8176167338886</v>
      </c>
      <c r="I45" s="1852">
        <f ca="1">'[3]Enron Summary W-TBS'!N86</f>
        <v>2412.1075274621471</v>
      </c>
      <c r="J45" s="1852">
        <f ca="1">'[3]Enron Summary W-TBS'!O86</f>
        <v>3549.3435917777915</v>
      </c>
      <c r="K45" s="1852">
        <f ca="1">'[3]Enron Summary W-TBS'!P86</f>
        <v>4236.8535658367682</v>
      </c>
      <c r="L45" s="1852">
        <f ca="1">'[3]Enron Summary W-TBS'!Q86</f>
        <v>4609.0758316410647</v>
      </c>
      <c r="M45" s="1852">
        <f ca="1">'[3]Enron Summary W-TBS'!R86</f>
        <v>4763.5501408501214</v>
      </c>
      <c r="N45" s="1852">
        <f ca="1">'[3]Enron Summary W-TBS'!S86</f>
        <v>5018.908724994787</v>
      </c>
      <c r="O45" s="1852">
        <f ca="1">'[3]Enron Summary W-TBS'!T86</f>
        <v>5234.3993313455712</v>
      </c>
      <c r="P45" s="1852">
        <f ca="1">'[3]Enron Summary W-TBS'!U86</f>
        <v>5416.6699760429519</v>
      </c>
      <c r="Q45" s="1852">
        <f ca="1">'[3]Enron Summary W-TBS'!V86</f>
        <v>5858.6146781432499</v>
      </c>
      <c r="R45" s="1852">
        <f ca="1">'[3]Enron Summary W-TBS'!W86</f>
        <v>5827.45000935589</v>
      </c>
      <c r="S45" s="1852">
        <f ca="1">'[3]Enron Summary W-TBS'!X86</f>
        <v>5950.4348678972538</v>
      </c>
      <c r="T45" s="1852">
        <f ca="1">'[3]Enron Summary W-TBS'!Y86</f>
        <v>6074.7470120398366</v>
      </c>
      <c r="U45" s="1852">
        <f ca="1">'[3]Enron Summary W-TBS'!Z86</f>
        <v>6167.016777486695</v>
      </c>
      <c r="V45" s="1852">
        <f ca="1">'[3]Enron Summary W-TBS'!AA86</f>
        <v>6415.3062619912744</v>
      </c>
      <c r="W45" s="1852">
        <f ca="1">'[3]Enron Summary W-TBS'!AB86</f>
        <v>6845.4965601944023</v>
      </c>
      <c r="X45" s="1852">
        <f ca="1">'[3]Enron Summary W-TBS'!AC86</f>
        <v>72370.653018657351</v>
      </c>
    </row>
    <row r="46" spans="1:24" s="959" customFormat="1">
      <c r="A46" s="1853" t="s">
        <v>896</v>
      </c>
      <c r="B46" s="1852">
        <f>B39-B45</f>
        <v>0</v>
      </c>
      <c r="C46" s="1852">
        <f ca="1">C36-C45</f>
        <v>0</v>
      </c>
      <c r="D46" s="1852">
        <f t="shared" ref="D46:X46" ca="1" si="14">D36-D45</f>
        <v>0</v>
      </c>
      <c r="E46" s="1852">
        <f t="shared" ca="1" si="14"/>
        <v>0</v>
      </c>
      <c r="F46" s="1852">
        <f t="shared" ca="1" si="14"/>
        <v>0</v>
      </c>
      <c r="G46" s="1852">
        <f t="shared" ca="1" si="14"/>
        <v>0</v>
      </c>
      <c r="H46" s="1852">
        <f t="shared" ca="1" si="14"/>
        <v>0</v>
      </c>
      <c r="I46" s="1852">
        <f t="shared" ca="1" si="14"/>
        <v>0</v>
      </c>
      <c r="J46" s="1852">
        <f t="shared" ca="1" si="14"/>
        <v>0</v>
      </c>
      <c r="K46" s="1852">
        <f t="shared" ca="1" si="14"/>
        <v>0</v>
      </c>
      <c r="L46" s="1852">
        <f t="shared" ca="1" si="14"/>
        <v>0</v>
      </c>
      <c r="M46" s="1852">
        <f t="shared" ca="1" si="14"/>
        <v>0</v>
      </c>
      <c r="N46" s="1852">
        <f t="shared" ca="1" si="14"/>
        <v>0</v>
      </c>
      <c r="O46" s="1852">
        <f t="shared" ca="1" si="14"/>
        <v>0</v>
      </c>
      <c r="P46" s="1852">
        <f t="shared" ca="1" si="14"/>
        <v>0</v>
      </c>
      <c r="Q46" s="1852">
        <f t="shared" ca="1" si="14"/>
        <v>0</v>
      </c>
      <c r="R46" s="1852">
        <f t="shared" ca="1" si="14"/>
        <v>0</v>
      </c>
      <c r="S46" s="1852">
        <f t="shared" ca="1" si="14"/>
        <v>0</v>
      </c>
      <c r="T46" s="1852">
        <f t="shared" ca="1" si="14"/>
        <v>0</v>
      </c>
      <c r="U46" s="1852">
        <f t="shared" ca="1" si="14"/>
        <v>0</v>
      </c>
      <c r="V46" s="1852">
        <f t="shared" ca="1" si="14"/>
        <v>0</v>
      </c>
      <c r="W46" s="1852">
        <f t="shared" ca="1" si="14"/>
        <v>0</v>
      </c>
      <c r="X46" s="1852">
        <f t="shared" ca="1" si="14"/>
        <v>0</v>
      </c>
    </row>
    <row r="47" spans="1:24" s="1860" customFormat="1">
      <c r="A47" s="1860" t="s">
        <v>426</v>
      </c>
      <c r="C47" s="1861">
        <f ca="1">'[3]Enron Summary W-TBS'!H90</f>
        <v>-82184.565380597167</v>
      </c>
      <c r="D47" s="1861">
        <f ca="1">'[3]Enron Summary W-TBS'!I90</f>
        <v>-71439.533497606666</v>
      </c>
      <c r="E47" s="1861">
        <f ca="1">'[3]Enron Summary W-TBS'!J90</f>
        <v>44229.122082391361</v>
      </c>
      <c r="F47" s="1861">
        <f ca="1">'[3]Enron Summary W-TBS'!K90</f>
        <v>2431.9065204814115</v>
      </c>
      <c r="G47" s="1861">
        <f ca="1">'[3]Enron Summary W-TBS'!L90</f>
        <v>5541.5956739988578</v>
      </c>
      <c r="H47" s="1861">
        <f ca="1">'[3]Enron Summary W-TBS'!M90</f>
        <v>7550.7806555453726</v>
      </c>
      <c r="I47" s="1861">
        <f ca="1">'[3]Enron Summary W-TBS'!N90</f>
        <v>2544.3063286884162</v>
      </c>
      <c r="J47" s="1861">
        <f ca="1">'[3]Enron Summary W-TBS'!O90</f>
        <v>13390.523128237211</v>
      </c>
      <c r="K47" s="1861">
        <f ca="1">'[3]Enron Summary W-TBS'!P90</f>
        <v>15874.647212188425</v>
      </c>
      <c r="L47" s="1861">
        <f ca="1">'[3]Enron Summary W-TBS'!Q90</f>
        <v>15424.395313907755</v>
      </c>
      <c r="M47" s="1861">
        <f ca="1">'[3]Enron Summary W-TBS'!R90</f>
        <v>17601.040030139466</v>
      </c>
      <c r="N47" s="1861">
        <f ca="1">'[3]Enron Summary W-TBS'!S90</f>
        <v>21935.387934652976</v>
      </c>
      <c r="O47" s="1861">
        <f ca="1">'[3]Enron Summary W-TBS'!T90</f>
        <v>23679.961023710806</v>
      </c>
      <c r="P47" s="1861">
        <f ca="1">'[3]Enron Summary W-TBS'!U90</f>
        <v>21362.971082909709</v>
      </c>
      <c r="Q47" s="1861">
        <f ca="1">'[3]Enron Summary W-TBS'!V90</f>
        <v>20033.368948876443</v>
      </c>
      <c r="R47" s="1861">
        <f ca="1">'[3]Enron Summary W-TBS'!W90</f>
        <v>22967.290946761321</v>
      </c>
      <c r="S47" s="1861">
        <f ca="1">'[3]Enron Summary W-TBS'!X90</f>
        <v>17412.088651651698</v>
      </c>
      <c r="T47" s="1861">
        <f ca="1">'[3]Enron Summary W-TBS'!Y90</f>
        <v>14284.74611335788</v>
      </c>
      <c r="U47" s="1861">
        <f ca="1">'[3]Enron Summary W-TBS'!Z90</f>
        <v>23464.357559738015</v>
      </c>
      <c r="V47" s="1861">
        <f ca="1">'[3]Enron Summary W-TBS'!AA90</f>
        <v>23401.847300139911</v>
      </c>
      <c r="W47" s="1861">
        <f ca="1">'[3]Enron Summary W-TBS'!AB90</f>
        <v>24901.82170635185</v>
      </c>
      <c r="X47" s="1861">
        <f ca="1">'[3]Enron Summary W-TBS'!AC90</f>
        <v>277832.12516077457</v>
      </c>
    </row>
    <row r="48" spans="1:24" s="1864" customFormat="1">
      <c r="A48" s="1862" t="s">
        <v>896</v>
      </c>
      <c r="B48" s="1863">
        <f>B41-B47</f>
        <v>0</v>
      </c>
      <c r="C48" s="1863">
        <f ca="1">C47-C32</f>
        <v>0</v>
      </c>
      <c r="D48" s="1863">
        <f t="shared" ref="D48:X48" ca="1" si="15">D47-D32</f>
        <v>0</v>
      </c>
      <c r="E48" s="1863">
        <f t="shared" ca="1" si="15"/>
        <v>0</v>
      </c>
      <c r="F48" s="1863">
        <f t="shared" ca="1" si="15"/>
        <v>0</v>
      </c>
      <c r="G48" s="1863">
        <f t="shared" ca="1" si="15"/>
        <v>0</v>
      </c>
      <c r="H48" s="1863">
        <f t="shared" ca="1" si="15"/>
        <v>0</v>
      </c>
      <c r="I48" s="1863">
        <f t="shared" ca="1" si="15"/>
        <v>0</v>
      </c>
      <c r="J48" s="1863">
        <f t="shared" ca="1" si="15"/>
        <v>0</v>
      </c>
      <c r="K48" s="1863">
        <f t="shared" ca="1" si="15"/>
        <v>0</v>
      </c>
      <c r="L48" s="1863">
        <f t="shared" ca="1" si="15"/>
        <v>0</v>
      </c>
      <c r="M48" s="1863">
        <f t="shared" ca="1" si="15"/>
        <v>0</v>
      </c>
      <c r="N48" s="1863">
        <f t="shared" ca="1" si="15"/>
        <v>0</v>
      </c>
      <c r="O48" s="1863">
        <f t="shared" ca="1" si="15"/>
        <v>0</v>
      </c>
      <c r="P48" s="1863">
        <f t="shared" ca="1" si="15"/>
        <v>0</v>
      </c>
      <c r="Q48" s="1863">
        <f t="shared" ca="1" si="15"/>
        <v>0</v>
      </c>
      <c r="R48" s="1863">
        <f t="shared" ca="1" si="15"/>
        <v>0</v>
      </c>
      <c r="S48" s="1863">
        <f t="shared" ca="1" si="15"/>
        <v>0</v>
      </c>
      <c r="T48" s="1863">
        <f t="shared" ca="1" si="15"/>
        <v>0</v>
      </c>
      <c r="U48" s="1863">
        <f t="shared" ca="1" si="15"/>
        <v>0</v>
      </c>
      <c r="V48" s="1863">
        <f t="shared" ca="1" si="15"/>
        <v>0</v>
      </c>
      <c r="W48" s="1863">
        <f t="shared" ca="1" si="15"/>
        <v>0</v>
      </c>
      <c r="X48" s="1863">
        <f t="shared" ca="1" si="15"/>
        <v>0</v>
      </c>
    </row>
    <row r="49" spans="1:24" s="268" customFormat="1" ht="13.5" thickBot="1">
      <c r="A49" s="83" t="s">
        <v>320</v>
      </c>
    </row>
    <row r="50" spans="1:24">
      <c r="A50" t="s">
        <v>1671</v>
      </c>
      <c r="B50" s="1739">
        <v>36685</v>
      </c>
      <c r="F50" s="1737"/>
      <c r="H50" t="s">
        <v>1030</v>
      </c>
      <c r="J50" s="1712">
        <f>+VLOOKUP($B$125,$B$127:$E$129,3)</f>
        <v>36892</v>
      </c>
      <c r="K50" s="1712">
        <v>36892</v>
      </c>
      <c r="N50" s="1734"/>
    </row>
    <row r="51" spans="1:24">
      <c r="A51" t="s">
        <v>1669</v>
      </c>
      <c r="B51" s="1738">
        <v>0.19</v>
      </c>
      <c r="F51" s="1737"/>
      <c r="H51" t="s">
        <v>1670</v>
      </c>
      <c r="J51" s="1712">
        <f>+VLOOKUP($B$125,$B$127:$E$129,4)</f>
        <v>36951</v>
      </c>
      <c r="K51" s="1712">
        <v>36951</v>
      </c>
      <c r="N51" s="1641"/>
    </row>
    <row r="52" spans="1:24">
      <c r="A52" t="s">
        <v>414</v>
      </c>
      <c r="B52" s="1732">
        <f ca="1">D52+SUM(B32:D32)</f>
        <v>-61711.884586115033</v>
      </c>
      <c r="C52" s="1716" t="s">
        <v>894</v>
      </c>
      <c r="D52" s="1865">
        <f ca="1">NPV(B51,E32:X32)</f>
        <v>91912.2142920888</v>
      </c>
      <c r="F52" s="1737"/>
      <c r="H52" t="s">
        <v>1668</v>
      </c>
      <c r="J52" s="1712">
        <f>+VLOOKUP(B125,B126:F129,5)</f>
        <v>37104</v>
      </c>
      <c r="K52" s="1712">
        <v>37104</v>
      </c>
    </row>
    <row r="53" spans="1:24">
      <c r="A53" t="s">
        <v>413</v>
      </c>
      <c r="B53" s="1736">
        <f ca="1">XIRR(C32:X32,C4:X4)</f>
        <v>0.12346000075340272</v>
      </c>
      <c r="F53" s="1732"/>
      <c r="H53" t="s">
        <v>245</v>
      </c>
      <c r="J53" s="1712">
        <v>37377</v>
      </c>
      <c r="K53" s="1712">
        <v>37377</v>
      </c>
    </row>
    <row r="54" spans="1:24">
      <c r="B54" s="1841">
        <f ca="1">NPV(B51,C32:X32)</f>
        <v>-54605.573058702408</v>
      </c>
      <c r="F54" s="1732"/>
    </row>
    <row r="55" spans="1:24">
      <c r="B55" t="s">
        <v>823</v>
      </c>
      <c r="C55" t="s">
        <v>824</v>
      </c>
      <c r="D55" t="s">
        <v>825</v>
      </c>
      <c r="E55" t="s">
        <v>826</v>
      </c>
      <c r="F55" t="s">
        <v>827</v>
      </c>
      <c r="G55" t="s">
        <v>828</v>
      </c>
      <c r="H55" t="s">
        <v>829</v>
      </c>
      <c r="I55" t="s">
        <v>830</v>
      </c>
      <c r="J55" t="s">
        <v>831</v>
      </c>
      <c r="K55" t="s">
        <v>832</v>
      </c>
      <c r="L55" t="s">
        <v>833</v>
      </c>
      <c r="M55" t="s">
        <v>834</v>
      </c>
      <c r="N55" t="s">
        <v>835</v>
      </c>
      <c r="O55" t="s">
        <v>836</v>
      </c>
      <c r="P55" t="s">
        <v>837</v>
      </c>
      <c r="Q55" t="s">
        <v>838</v>
      </c>
      <c r="R55" t="s">
        <v>839</v>
      </c>
      <c r="S55" t="s">
        <v>840</v>
      </c>
      <c r="T55" t="s">
        <v>841</v>
      </c>
      <c r="U55" t="s">
        <v>842</v>
      </c>
      <c r="V55" t="s">
        <v>843</v>
      </c>
      <c r="W55" t="s">
        <v>844</v>
      </c>
      <c r="X55" t="s">
        <v>845</v>
      </c>
    </row>
    <row r="56" spans="1:24" s="1641" customFormat="1" ht="13.5" thickBot="1">
      <c r="A56" s="1748" t="s">
        <v>1667</v>
      </c>
      <c r="B56" s="1839">
        <f>BS_IS!F36</f>
        <v>0</v>
      </c>
      <c r="C56" s="1839">
        <f ca="1">BS_IS!G36+[5]BS_IS!G35+[6]BS_IS!G35</f>
        <v>0</v>
      </c>
      <c r="D56" s="1839">
        <f ca="1">BS_IS!H36+[5]BS_IS!H35+[6]BS_IS!H35</f>
        <v>0</v>
      </c>
      <c r="E56" s="1790">
        <f ca="1">BS_IS!I36+[5]BS_IS!I35+[6]BS_IS!I35</f>
        <v>0</v>
      </c>
      <c r="F56" s="1790">
        <f ca="1">BS_IS!J36+[5]BS_IS!J35+[6]BS_IS!J35</f>
        <v>0</v>
      </c>
      <c r="G56" s="1790">
        <f ca="1">BS_IS!K36+[5]BS_IS!K35+[6]BS_IS!K35</f>
        <v>0</v>
      </c>
      <c r="H56" s="1790">
        <f ca="1">BS_IS!L36+[5]BS_IS!L35+[6]BS_IS!L35</f>
        <v>0</v>
      </c>
      <c r="I56" s="1790">
        <f ca="1">BS_IS!M36+[5]BS_IS!M35+[6]BS_IS!M35</f>
        <v>0</v>
      </c>
      <c r="J56" s="1790">
        <f ca="1">BS_IS!N36+[5]BS_IS!N35+[6]BS_IS!N35</f>
        <v>0</v>
      </c>
      <c r="K56" s="1790">
        <f ca="1">BS_IS!O36+[5]BS_IS!O35+[6]BS_IS!O35</f>
        <v>0</v>
      </c>
      <c r="L56" s="1790">
        <f ca="1">BS_IS!P36+[5]BS_IS!P35+[6]BS_IS!P35</f>
        <v>0</v>
      </c>
      <c r="M56" s="1790">
        <f ca="1">BS_IS!Q36+[5]BS_IS!Q35+[6]BS_IS!Q35</f>
        <v>0</v>
      </c>
      <c r="N56" s="1790">
        <f ca="1">BS_IS!R36+[5]BS_IS!R35+[6]BS_IS!R35</f>
        <v>0</v>
      </c>
      <c r="O56" s="1790">
        <f ca="1">BS_IS!S36+[5]BS_IS!S35+[6]BS_IS!S35</f>
        <v>0</v>
      </c>
      <c r="P56" s="1790">
        <f ca="1">BS_IS!T36+[5]BS_IS!T35+[6]BS_IS!T35</f>
        <v>0</v>
      </c>
      <c r="Q56" s="1790">
        <f ca="1">BS_IS!U36+[5]BS_IS!U35+[6]BS_IS!U35</f>
        <v>0</v>
      </c>
      <c r="R56" s="1790">
        <f ca="1">BS_IS!V36+[5]BS_IS!V35+[6]BS_IS!V35</f>
        <v>0</v>
      </c>
      <c r="S56" s="1790">
        <f ca="1">BS_IS!W36+[5]BS_IS!W35+[6]BS_IS!W35</f>
        <v>0</v>
      </c>
      <c r="T56" s="1790">
        <f ca="1">BS_IS!X36+[5]BS_IS!X35+[6]BS_IS!X35</f>
        <v>0</v>
      </c>
      <c r="U56" s="1790">
        <f ca="1">BS_IS!Y36+[5]BS_IS!Y35+[6]BS_IS!Y35</f>
        <v>0</v>
      </c>
      <c r="V56" s="1790">
        <f ca="1">BS_IS!Z36+[5]BS_IS!Z35+[6]BS_IS!Z35</f>
        <v>0</v>
      </c>
      <c r="W56" s="1790">
        <f ca="1">BS_IS!AA36+[5]BS_IS!AA35+[6]BS_IS!AA35</f>
        <v>2.9103830456733704E-11</v>
      </c>
      <c r="X56" s="1790">
        <f ca="1">BS_IS!AB36+[5]BS_IS!AB35+[6]BS_IS!AB35</f>
        <v>2.5465851649641991E-11</v>
      </c>
    </row>
    <row r="57" spans="1:24" ht="13.5" thickTop="1">
      <c r="A57" s="1787">
        <f ca="1">MAX(B56:X56)</f>
        <v>2.9103830456733704E-11</v>
      </c>
    </row>
    <row r="58" spans="1:24">
      <c r="A58" s="1591"/>
    </row>
    <row r="59" spans="1:24" s="1" customFormat="1">
      <c r="A59" s="3" t="s">
        <v>1666</v>
      </c>
      <c r="C59" s="1777">
        <f t="shared" ref="C59:X59" si="16">+C3</f>
        <v>36160</v>
      </c>
      <c r="D59" s="1777">
        <f t="shared" si="16"/>
        <v>36525</v>
      </c>
      <c r="E59" s="1777">
        <f t="shared" si="16"/>
        <v>36891</v>
      </c>
      <c r="F59" s="1777">
        <f t="shared" si="16"/>
        <v>37256</v>
      </c>
      <c r="G59" s="1777">
        <f t="shared" si="16"/>
        <v>37621</v>
      </c>
      <c r="H59" s="1777">
        <f t="shared" si="16"/>
        <v>37986</v>
      </c>
      <c r="I59" s="1777">
        <f t="shared" si="16"/>
        <v>38352</v>
      </c>
      <c r="J59" s="1777">
        <f t="shared" si="16"/>
        <v>38717</v>
      </c>
      <c r="K59" s="1777">
        <f t="shared" si="16"/>
        <v>39082</v>
      </c>
      <c r="L59" s="1777">
        <f t="shared" si="16"/>
        <v>39447</v>
      </c>
      <c r="M59" s="1777">
        <f t="shared" si="16"/>
        <v>39813</v>
      </c>
      <c r="N59" s="1777">
        <f t="shared" si="16"/>
        <v>40178</v>
      </c>
      <c r="O59" s="1777">
        <f t="shared" si="16"/>
        <v>40543</v>
      </c>
      <c r="P59" s="1777">
        <f t="shared" si="16"/>
        <v>40908</v>
      </c>
      <c r="Q59" s="1777">
        <f t="shared" si="16"/>
        <v>41274</v>
      </c>
      <c r="R59" s="1777">
        <f t="shared" si="16"/>
        <v>41639</v>
      </c>
      <c r="S59" s="1777">
        <f t="shared" si="16"/>
        <v>42004</v>
      </c>
      <c r="T59" s="1777">
        <f t="shared" si="16"/>
        <v>42369</v>
      </c>
      <c r="U59" s="1777">
        <f t="shared" si="16"/>
        <v>42735</v>
      </c>
      <c r="V59" s="1777">
        <f t="shared" si="16"/>
        <v>43100</v>
      </c>
      <c r="W59" s="1777">
        <f t="shared" si="16"/>
        <v>43465</v>
      </c>
      <c r="X59" s="1777">
        <f t="shared" si="16"/>
        <v>43830</v>
      </c>
    </row>
    <row r="60" spans="1:24" s="1708" customFormat="1" ht="33" customHeight="1" thickBot="1">
      <c r="A60" s="1833" t="s">
        <v>869</v>
      </c>
      <c r="D60" s="1707"/>
      <c r="E60" s="1707"/>
      <c r="U60" s="1707"/>
      <c r="V60" s="1707"/>
      <c r="W60" s="1707"/>
      <c r="X60" s="1707"/>
    </row>
    <row r="61" spans="1:24" s="1" customFormat="1">
      <c r="A61" s="1775" t="s">
        <v>247</v>
      </c>
      <c r="C61" s="384">
        <f ca="1">CF!D69</f>
        <v>0</v>
      </c>
      <c r="D61" s="1776">
        <f ca="1">CF!E69+[5]CF!E69+[6]CF!E67+[7]Cashflow!E38</f>
        <v>-1978.5080752796939</v>
      </c>
      <c r="E61" s="1776">
        <f ca="1">CF!F69+[5]CF!F69+[6]CF!F67+[7]Cashflow!F38</f>
        <v>1876.8855998993354</v>
      </c>
      <c r="F61" s="1776">
        <f ca="1">CF!G69+[5]CF!G69+[6]CF!G67+[7]Cashflow!G38</f>
        <v>22465.748735557125</v>
      </c>
      <c r="G61" s="1776">
        <f ca="1">CF!H69+[5]CF!H69+[6]CF!H67+[7]Cashflow!H38</f>
        <v>6333.9832933593225</v>
      </c>
      <c r="H61" s="1776">
        <f ca="1">CF!I69+[5]CF!I69+[6]CF!I67+[7]Cashflow!I38</f>
        <v>7799.3648582471878</v>
      </c>
      <c r="I61" s="1776">
        <f ca="1">CF!J69+[5]CF!J69+[6]CF!J67+[7]Cashflow!J38</f>
        <v>656.05731670962723</v>
      </c>
      <c r="J61" s="1776">
        <f ca="1">CF!K69+[5]CF!K69+[6]CF!K67+[7]Cashflow!K38</f>
        <v>12483.210964774</v>
      </c>
      <c r="K61" s="1776">
        <f ca="1">CF!L69+[5]CF!L69+[6]CF!L67+[7]Cashflow!L38</f>
        <v>17723.5460506979</v>
      </c>
      <c r="L61" s="1776">
        <f ca="1">CF!M69+[5]CF!M69+[6]CF!M67+[7]Cashflow!M38</f>
        <v>18303.72162927812</v>
      </c>
      <c r="M61" s="1776">
        <f ca="1">CF!N69+[5]CF!N69+[6]CF!N67+[7]Cashflow!N38</f>
        <v>25705.905823707959</v>
      </c>
      <c r="N61" s="1776">
        <f ca="1">CF!O69+[5]CF!O69+[6]CF!O67+[7]Cashflow!O38</f>
        <v>35904.547291620816</v>
      </c>
      <c r="O61" s="1776">
        <f ca="1">CF!P69+[5]CF!P69+[6]CF!P67+[7]Cashflow!P38</f>
        <v>38912.07194743205</v>
      </c>
      <c r="P61" s="1776">
        <f ca="1">CF!Q69+[5]CF!Q69+[6]CF!Q67+[7]Cashflow!Q38</f>
        <v>34397.569524032137</v>
      </c>
      <c r="Q61" s="1776">
        <f ca="1">CF!R69+[5]CF!R69+[6]CF!R67+[7]Cashflow!R38</f>
        <v>32310.958626963798</v>
      </c>
      <c r="R61" s="1776">
        <f ca="1">CF!S69+[5]CF!S69+[6]CF!S67+[7]Cashflow!S38</f>
        <v>37844.535663520335</v>
      </c>
      <c r="S61" s="1776">
        <f ca="1">CF!T69+[5]CF!T69+[6]CF!T67+[7]Cashflow!T38</f>
        <v>33033.538809046076</v>
      </c>
      <c r="T61" s="1776">
        <f ca="1">CF!U69+[5]CF!U69+[6]CF!U67+[7]Cashflow!U38</f>
        <v>31620.091692896356</v>
      </c>
      <c r="U61" s="1776">
        <f ca="1">CF!V69+[5]CF!V69+[6]CF!V67+[7]Cashflow!V38</f>
        <v>51862.20355766658</v>
      </c>
      <c r="V61" s="1776">
        <f ca="1">CF!W69+[5]CF!W69+[6]CF!W67+[7]Cashflow!W38</f>
        <v>51942.457560640978</v>
      </c>
      <c r="W61" s="1776">
        <f ca="1">CF!X69+[5]CF!X69+[6]CF!X67+[7]Cashflow!X38</f>
        <v>55479.416639194736</v>
      </c>
      <c r="X61" s="1776">
        <f ca="1">CF!Y69+[5]CF!Y69+[6]CF!Y67+[7]Cashflow!Y38</f>
        <v>23966.836513508035</v>
      </c>
    </row>
    <row r="62" spans="1:24" s="1" customFormat="1">
      <c r="A62" s="1" t="s">
        <v>1665</v>
      </c>
      <c r="B62" s="1770">
        <v>0</v>
      </c>
      <c r="C62" s="1770"/>
      <c r="D62" s="334">
        <f ca="1">+IF(D61&gt;$B$62,1,0)</f>
        <v>0</v>
      </c>
      <c r="E62" s="334">
        <f ca="1">IF(E61&gt;$B$62,1,0)</f>
        <v>1</v>
      </c>
      <c r="F62" s="334">
        <f t="shared" ref="F62:X62" ca="1" si="17">IF(E62=0,0,IF(F61&gt;$B$62,1,0))</f>
        <v>1</v>
      </c>
      <c r="G62" s="334">
        <f t="shared" ca="1" si="17"/>
        <v>1</v>
      </c>
      <c r="H62" s="334">
        <f t="shared" ca="1" si="17"/>
        <v>1</v>
      </c>
      <c r="I62" s="334">
        <f t="shared" ca="1" si="17"/>
        <v>1</v>
      </c>
      <c r="J62" s="334">
        <f t="shared" ca="1" si="17"/>
        <v>1</v>
      </c>
      <c r="K62" s="334">
        <f t="shared" ca="1" si="17"/>
        <v>1</v>
      </c>
      <c r="L62" s="334">
        <f t="shared" ca="1" si="17"/>
        <v>1</v>
      </c>
      <c r="M62" s="334">
        <f t="shared" ca="1" si="17"/>
        <v>1</v>
      </c>
      <c r="N62" s="334">
        <f t="shared" ca="1" si="17"/>
        <v>1</v>
      </c>
      <c r="O62" s="334">
        <f t="shared" ca="1" si="17"/>
        <v>1</v>
      </c>
      <c r="P62" s="334">
        <f t="shared" ca="1" si="17"/>
        <v>1</v>
      </c>
      <c r="Q62" s="334">
        <f t="shared" ca="1" si="17"/>
        <v>1</v>
      </c>
      <c r="R62" s="334">
        <f t="shared" ca="1" si="17"/>
        <v>1</v>
      </c>
      <c r="S62" s="334">
        <f t="shared" ca="1" si="17"/>
        <v>1</v>
      </c>
      <c r="T62" s="334">
        <f t="shared" ca="1" si="17"/>
        <v>1</v>
      </c>
      <c r="U62" s="334">
        <f t="shared" ca="1" si="17"/>
        <v>1</v>
      </c>
      <c r="V62" s="334">
        <f t="shared" ca="1" si="17"/>
        <v>1</v>
      </c>
      <c r="W62" s="334">
        <f t="shared" ca="1" si="17"/>
        <v>1</v>
      </c>
      <c r="X62" s="334">
        <f t="shared" ca="1" si="17"/>
        <v>1</v>
      </c>
    </row>
    <row r="63" spans="1:24" s="1788" customFormat="1">
      <c r="B63" s="1789" t="s">
        <v>846</v>
      </c>
      <c r="C63" s="1789" t="s">
        <v>847</v>
      </c>
      <c r="D63" s="1789" t="s">
        <v>848</v>
      </c>
      <c r="E63" s="1789" t="s">
        <v>849</v>
      </c>
      <c r="F63" s="1789" t="s">
        <v>850</v>
      </c>
      <c r="G63" s="1789" t="s">
        <v>851</v>
      </c>
      <c r="H63" s="1789" t="s">
        <v>852</v>
      </c>
      <c r="I63" s="1789" t="s">
        <v>853</v>
      </c>
      <c r="J63" s="1789" t="s">
        <v>854</v>
      </c>
      <c r="K63" s="1789" t="s">
        <v>855</v>
      </c>
      <c r="L63" s="1789" t="s">
        <v>856</v>
      </c>
      <c r="M63" s="1789" t="s">
        <v>857</v>
      </c>
      <c r="N63" s="1789" t="s">
        <v>858</v>
      </c>
      <c r="O63" s="1789" t="s">
        <v>859</v>
      </c>
      <c r="P63" s="1789" t="s">
        <v>860</v>
      </c>
      <c r="Q63" s="1789" t="s">
        <v>861</v>
      </c>
      <c r="R63" s="1789" t="s">
        <v>862</v>
      </c>
      <c r="S63" s="1789" t="s">
        <v>863</v>
      </c>
      <c r="T63" s="1789" t="s">
        <v>864</v>
      </c>
      <c r="U63" s="1789" t="s">
        <v>865</v>
      </c>
      <c r="V63" s="1789" t="s">
        <v>866</v>
      </c>
      <c r="W63" s="1789" t="s">
        <v>867</v>
      </c>
      <c r="X63" s="1789" t="s">
        <v>868</v>
      </c>
    </row>
    <row r="64" spans="1:24">
      <c r="A64" s="1641" t="s">
        <v>1639</v>
      </c>
      <c r="B64" s="1641">
        <v>1</v>
      </c>
      <c r="C64" s="1641">
        <v>1</v>
      </c>
      <c r="D64" s="1641">
        <v>1</v>
      </c>
      <c r="E64" s="1791">
        <f ca="1">E62</f>
        <v>1</v>
      </c>
      <c r="F64" s="1791">
        <f ca="1">IF(E64=0,0,F62)</f>
        <v>1</v>
      </c>
      <c r="G64" s="1791">
        <f ca="1">IF(F64=0,0,G62)</f>
        <v>1</v>
      </c>
      <c r="H64" s="1791">
        <f t="shared" ref="H64:T64" ca="1" si="18">IF(G64=0,0,H62)</f>
        <v>1</v>
      </c>
      <c r="I64" s="1791">
        <f t="shared" ca="1" si="18"/>
        <v>1</v>
      </c>
      <c r="J64" s="1791">
        <f t="shared" ca="1" si="18"/>
        <v>1</v>
      </c>
      <c r="K64" s="1791">
        <f t="shared" ca="1" si="18"/>
        <v>1</v>
      </c>
      <c r="L64" s="1791">
        <f t="shared" ca="1" si="18"/>
        <v>1</v>
      </c>
      <c r="M64" s="1791">
        <f t="shared" ca="1" si="18"/>
        <v>1</v>
      </c>
      <c r="N64" s="1791">
        <f t="shared" ca="1" si="18"/>
        <v>1</v>
      </c>
      <c r="O64" s="1791">
        <f t="shared" ca="1" si="18"/>
        <v>1</v>
      </c>
      <c r="P64" s="1791">
        <f t="shared" ca="1" si="18"/>
        <v>1</v>
      </c>
      <c r="Q64" s="1791">
        <f t="shared" ca="1" si="18"/>
        <v>1</v>
      </c>
      <c r="R64" s="1791">
        <f t="shared" ca="1" si="18"/>
        <v>1</v>
      </c>
      <c r="S64" s="1791">
        <f t="shared" ca="1" si="18"/>
        <v>1</v>
      </c>
      <c r="T64" s="1791">
        <f t="shared" ca="1" si="18"/>
        <v>1</v>
      </c>
      <c r="U64" s="1791">
        <f ca="1">IF(T64=0,0,U62)</f>
        <v>1</v>
      </c>
      <c r="V64" s="1791">
        <f ca="1">IF(U64=0,0,V62)</f>
        <v>1</v>
      </c>
      <c r="W64" s="1791">
        <f ca="1">IF(V64=0,0,W62)</f>
        <v>1</v>
      </c>
      <c r="X64" s="1791">
        <f ca="1">IF(W64=0,0,X62)</f>
        <v>1</v>
      </c>
    </row>
    <row r="65" spans="1:24" s="1771" customFormat="1">
      <c r="A65" s="1771" t="s">
        <v>248</v>
      </c>
      <c r="E65" s="1772"/>
      <c r="F65" s="1772"/>
      <c r="G65" s="1772"/>
      <c r="H65" s="1772"/>
      <c r="I65" s="1772"/>
      <c r="J65" s="1772"/>
      <c r="K65" s="1772"/>
      <c r="L65" s="1772"/>
      <c r="M65" s="1772"/>
      <c r="N65" s="1772"/>
      <c r="O65" s="1772"/>
      <c r="P65" s="1772"/>
      <c r="Q65" s="1772"/>
      <c r="R65" s="1772"/>
      <c r="S65" s="1772"/>
      <c r="T65" s="1772"/>
      <c r="U65" s="1773"/>
      <c r="V65" s="1773"/>
      <c r="W65" s="1773"/>
      <c r="X65" s="1773"/>
    </row>
    <row r="66" spans="1:24" s="1" customFormat="1">
      <c r="A66" s="1" t="s">
        <v>1143</v>
      </c>
      <c r="B66" s="1719">
        <v>0</v>
      </c>
      <c r="C66" s="1719"/>
      <c r="E66" s="334">
        <f ca="1">IF(E64=1,0,IF(((BS_IS!J15*RAROC!$B$66)-(BS_IS!J23+BS_IS!J24))&lt;0,0,(BS_IS!J15*RAROC!$B$66)-(BS_IS!J23+BS_IS!J24)))</f>
        <v>0</v>
      </c>
      <c r="F66" s="334">
        <f ca="1">IF(E64=0,0,IF(F64=1,0,IF(((BS_IS!K15*RAROC!$B$66)-(BS_IS!K23+BS_IS!K24))&lt;0,0,(BS_IS!K15*RAROC!$B$66)-(BS_IS!K23+BS_IS!K24))))</f>
        <v>0</v>
      </c>
      <c r="G66" s="334">
        <f ca="1">IF(F64=0,0,IF(G64=1,0,IF(((BS_IS!L15*RAROC!$B$66)-(BS_IS!L23+BS_IS!L24))&lt;0,0,(BS_IS!L15*RAROC!$B$66)-(BS_IS!L23+BS_IS!L24))))</f>
        <v>0</v>
      </c>
      <c r="H66" s="334">
        <f ca="1">IF(G64=0,0,IF(H64=1,0,IF(((BS_IS!M15*RAROC!$B$66)-(BS_IS!M23+BS_IS!M24))&lt;0,0,(BS_IS!M15*RAROC!$B$66)-(BS_IS!M23+BS_IS!M24))))</f>
        <v>0</v>
      </c>
      <c r="I66" s="334">
        <f ca="1">IF(H64=0,0,IF(I64=1,0,IF(((BS_IS!N15*RAROC!$B$66)-(BS_IS!N23+BS_IS!N24))&lt;0,0,(BS_IS!N15*RAROC!$B$66)-(BS_IS!N23+BS_IS!N24))))</f>
        <v>0</v>
      </c>
      <c r="J66" s="334">
        <f ca="1">IF(I64=0,0,IF(J64=1,0,IF(((BS_IS!O15*RAROC!$B$66)-(BS_IS!O23+BS_IS!O24))&lt;0,0,(BS_IS!O15*RAROC!$B$66)-(BS_IS!O23+BS_IS!O24))))</f>
        <v>0</v>
      </c>
      <c r="K66" s="334">
        <f ca="1">IF(J64=0,0,IF(K64=1,0,IF(((BS_IS!P15*RAROC!$B$66)-(BS_IS!P23+BS_IS!P24))&lt;0,0,(BS_IS!P15*RAROC!$B$66)-(BS_IS!P23+BS_IS!P24))))</f>
        <v>0</v>
      </c>
      <c r="L66" s="334">
        <f ca="1">IF(K64=0,0,IF(L64=1,0,IF(((BS_IS!Q15*RAROC!$B$66)-(BS_IS!Q23+BS_IS!Q24))&lt;0,0,(BS_IS!Q15*RAROC!$B$66)-(BS_IS!Q23+BS_IS!Q24))))</f>
        <v>0</v>
      </c>
      <c r="M66" s="334">
        <f ca="1">IF(L64=0,0,IF(M64=1,0,IF(((BS_IS!R15*RAROC!$B$66)-(BS_IS!R23+BS_IS!R24))&lt;0,0,(BS_IS!R15*RAROC!$B$66)-(BS_IS!R23+BS_IS!R24))))</f>
        <v>0</v>
      </c>
      <c r="N66" s="334">
        <f ca="1">IF(M64=0,0,IF(N64=1,0,IF(((BS_IS!S15*RAROC!$B$66)-(BS_IS!S23+BS_IS!S24))&lt;0,0,(BS_IS!S15*RAROC!$B$66)-(BS_IS!S23+BS_IS!S24))))</f>
        <v>0</v>
      </c>
      <c r="O66" s="334">
        <f ca="1">IF(N64=0,0,IF(O64=1,0,IF(((BS_IS!T15*RAROC!$B$66)-(BS_IS!T23+BS_IS!T24))&lt;0,0,(BS_IS!T15*RAROC!$B$66)-(BS_IS!T23+BS_IS!T24))))</f>
        <v>0</v>
      </c>
      <c r="P66" s="334">
        <f ca="1">IF(O64=0,0,IF(P64=1,0,IF(((BS_IS!U15*RAROC!$B$66)-(BS_IS!U23+BS_IS!U24))&lt;0,0,(BS_IS!U15*RAROC!$B$66)-(BS_IS!U23+BS_IS!U24))))</f>
        <v>0</v>
      </c>
      <c r="Q66" s="334">
        <f ca="1">IF(P64=0,0,IF(Q64=1,0,IF(((BS_IS!V15*RAROC!$B$66)-(BS_IS!V23+BS_IS!V24))&lt;0,0,(BS_IS!V15*RAROC!$B$66)-(BS_IS!V23+BS_IS!V24))))</f>
        <v>0</v>
      </c>
      <c r="R66" s="334">
        <f ca="1">IF(Q64=0,0,IF(R64=1,0,IF(((BS_IS!W15*RAROC!$B$66)-(BS_IS!W23+BS_IS!W24))&lt;0,0,(BS_IS!W15*RAROC!$B$66)-(BS_IS!W23+BS_IS!W24))))</f>
        <v>0</v>
      </c>
      <c r="S66" s="334">
        <f ca="1">IF(R64=0,0,IF(S64=1,0,IF(((BS_IS!X15*RAROC!$B$66)-(BS_IS!X23+BS_IS!X24))&lt;0,0,(BS_IS!X15*RAROC!$B$66)-(BS_IS!X23+BS_IS!X24))))</f>
        <v>0</v>
      </c>
      <c r="T66" s="334">
        <f ca="1">IF(S64=0,0,IF(T64=1,0,IF(((BS_IS!Y15*RAROC!$B$66)-(BS_IS!Y23+BS_IS!Y24))&lt;0,0,(BS_IS!Y15*RAROC!$B$66)-(BS_IS!Y23+BS_IS!Y24))))</f>
        <v>0</v>
      </c>
      <c r="U66" s="334">
        <f ca="1">IF(T64=0,0,IF(U64=1,0,IF(((BS_IS!Z15*RAROC!$B$66)-(BS_IS!Z23+BS_IS!Z24))&lt;0,0,(BS_IS!Z15*RAROC!$B$66)-(BS_IS!Z23+BS_IS!Z24))))</f>
        <v>0</v>
      </c>
      <c r="V66" s="334">
        <f ca="1">IF(U64=0,0,IF(V64=1,0,IF(((BS_IS!AA15*RAROC!$B$66)-(BS_IS!AA23+BS_IS!AA24))&lt;0,0,(BS_IS!AA15*RAROC!$B$66)-(BS_IS!AA23+BS_IS!AA24))))</f>
        <v>0</v>
      </c>
      <c r="W66" s="334">
        <f ca="1">IF(V64=0,0,IF(W64=1,0,IF(((BS_IS!AB15*RAROC!$B$66)-(BS_IS!AB23+BS_IS!AB24))&lt;0,0,(BS_IS!AB15*RAROC!$B$66)-(BS_IS!AB23+BS_IS!AB24))))</f>
        <v>0</v>
      </c>
      <c r="X66" s="334">
        <f ca="1">IF(W64=0,0,IF(X64=1,0,IF(((BS_IS!AC15*RAROC!$B$66)-(BS_IS!AC23+BS_IS!AC24))&lt;0,0,(BS_IS!AC15*RAROC!$B$66)-(BS_IS!AC23+BS_IS!AC24))))</f>
        <v>0</v>
      </c>
    </row>
    <row r="67" spans="1:24" s="1" customFormat="1">
      <c r="A67" s="1" t="s">
        <v>246</v>
      </c>
      <c r="B67" s="1719">
        <v>0.5</v>
      </c>
      <c r="C67" s="1719"/>
      <c r="E67" s="334">
        <f ca="1">IF(E64=1,0,IF((([5]BS_IS!I15*$B$67)-([5]BS_IS!I22))&lt;0,0,([5]BS_IS!I15*$B$67)-([5]BS_IS!I22)))</f>
        <v>0</v>
      </c>
      <c r="F67" s="334">
        <f ca="1">IF(E64=0,0,IF(F64=1,0,IF((([5]BS_IS!J15*$B$67)-([5]BS_IS!J22))&lt;0,0,([5]BS_IS!J15*$B$67)-([5]BS_IS!J22))))</f>
        <v>0</v>
      </c>
      <c r="G67" s="334">
        <f ca="1">IF(F64=0,0,IF(G64=1,0,IF((([5]BS_IS!K15*$B$67)-([5]BS_IS!K22))&lt;0,0,([5]BS_IS!K15*$B$67)-([5]BS_IS!K22))))</f>
        <v>0</v>
      </c>
      <c r="H67" s="334">
        <f ca="1">IF(G64=0,0,IF(H64=1,0,IF((([5]BS_IS!L15*$B$67)-([5]BS_IS!L22))&lt;0,0,([5]BS_IS!L15*$B$67)-([5]BS_IS!L22))))</f>
        <v>0</v>
      </c>
      <c r="I67" s="334">
        <f ca="1">IF(H64=0,0,IF(I64=1,0,IF((([5]BS_IS!M15*$B$67)-([5]BS_IS!M22))&lt;0,0,([5]BS_IS!M15*$B$67)-([5]BS_IS!M22))))</f>
        <v>0</v>
      </c>
      <c r="J67" s="334">
        <f ca="1">IF(I64=0,0,IF(J64=1,0,IF((([5]BS_IS!N15*$B$67)-([5]BS_IS!N22))&lt;0,0,([5]BS_IS!N15*$B$67)-([5]BS_IS!N22))))</f>
        <v>0</v>
      </c>
      <c r="K67" s="334">
        <f ca="1">IF(J64=0,0,IF(K64=1,0,IF((([5]BS_IS!O15*$B$67)-([5]BS_IS!O22))&lt;0,0,([5]BS_IS!O15*$B$67)-([5]BS_IS!O22))))</f>
        <v>0</v>
      </c>
      <c r="L67" s="334">
        <f ca="1">IF(K64=0,0,IF(L64=1,0,IF((([5]BS_IS!P15*$B$67)-([5]BS_IS!P22))&lt;0,0,([5]BS_IS!P15*$B$67)-([5]BS_IS!P22))))</f>
        <v>0</v>
      </c>
      <c r="M67" s="334">
        <f ca="1">IF(L64=0,0,IF(M64=1,0,IF((([5]BS_IS!Q15*$B$67)-([5]BS_IS!Q22))&lt;0,0,([5]BS_IS!Q15*$B$67)-([5]BS_IS!Q22))))</f>
        <v>0</v>
      </c>
      <c r="N67" s="334">
        <f ca="1">IF(M64=0,0,IF(N64=1,0,IF((([5]BS_IS!R15*$B$67)-([5]BS_IS!R22))&lt;0,0,([5]BS_IS!R15*$B$67)-([5]BS_IS!R22))))</f>
        <v>0</v>
      </c>
      <c r="O67" s="334">
        <f ca="1">IF(N64=0,0,IF(O64=1,0,IF((([5]BS_IS!S15*$B$67)-([5]BS_IS!S22))&lt;0,0,([5]BS_IS!S15*$B$67)-([5]BS_IS!S22))))</f>
        <v>0</v>
      </c>
      <c r="P67" s="334">
        <f ca="1">IF(O64=0,0,IF(P64=1,0,IF((([5]BS_IS!T15*$B$67)-([5]BS_IS!T22))&lt;0,0,([5]BS_IS!T15*$B$67)-([5]BS_IS!T22))))</f>
        <v>0</v>
      </c>
      <c r="Q67" s="334">
        <f ca="1">IF(P64=0,0,IF(Q64=1,0,IF((([5]BS_IS!U15*$B$67)-([5]BS_IS!U22))&lt;0,0,([5]BS_IS!U15*$B$67)-([5]BS_IS!U22))))</f>
        <v>0</v>
      </c>
      <c r="R67" s="334">
        <f ca="1">IF(Q64=0,0,IF(R64=1,0,IF((([5]BS_IS!V15*$B$67)-([5]BS_IS!V22))&lt;0,0,([5]BS_IS!V15*$B$67)-([5]BS_IS!V22))))</f>
        <v>0</v>
      </c>
      <c r="S67" s="334">
        <f ca="1">IF(R64=0,0,IF(S64=1,0,IF((([5]BS_IS!W15*$B$67)-([5]BS_IS!W22))&lt;0,0,([5]BS_IS!W15*$B$67)-([5]BS_IS!W22))))</f>
        <v>0</v>
      </c>
      <c r="T67" s="334">
        <f ca="1">IF(S64=0,0,IF(T64=1,0,IF((([5]BS_IS!X15*$B$67)-([5]BS_IS!X22))&lt;0,0,([5]BS_IS!X15*$B$67)-([5]BS_IS!X22))))</f>
        <v>0</v>
      </c>
      <c r="U67" s="334">
        <f ca="1">IF(T64=0,0,IF(U64=1,0,IF((([5]BS_IS!Y15*$B$67)-([5]BS_IS!Y22))&lt;0,0,([5]BS_IS!Y15*$B$67)-([5]BS_IS!Y22))))</f>
        <v>0</v>
      </c>
      <c r="V67" s="334">
        <f ca="1">IF(U64=0,0,IF(V64=1,0,IF((([5]BS_IS!Z15*$B$67)-([5]BS_IS!Z22))&lt;0,0,([5]BS_IS!Z15*$B$67)-([5]BS_IS!Z22))))</f>
        <v>0</v>
      </c>
      <c r="W67" s="334">
        <f ca="1">IF(V64=0,0,IF(W64=1,0,IF((([5]BS_IS!AA15*$B$67)-([5]BS_IS!AA22))&lt;0,0,([5]BS_IS!AA15*$B$67)-([5]BS_IS!AA22))))</f>
        <v>0</v>
      </c>
      <c r="X67" s="334">
        <f ca="1">IF(W64=0,0,IF(X64=1,0,IF((([5]BS_IS!AB15*$B$67)-([5]BS_IS!AB22))&lt;0,0,([5]BS_IS!AB15*$B$67)-([5]BS_IS!AB22))))</f>
        <v>0</v>
      </c>
    </row>
    <row r="68" spans="1:24" s="1" customFormat="1">
      <c r="A68" s="1" t="s">
        <v>1634</v>
      </c>
      <c r="B68" s="1719">
        <v>0.5</v>
      </c>
      <c r="C68" s="1719"/>
      <c r="E68" s="334">
        <f ca="1">IF(E64=1,0,IF((([5]BS_IS!I20*$B$67)-([5]BS_IS!I27))&lt;0,0,([5]BS_IS!I20*$B$67)-([5]BS_IS!I27)))</f>
        <v>0</v>
      </c>
      <c r="F68" s="334">
        <f ca="1">IF(E64=0,0,IF(F64=1,0,IF((([5]BS_IS!J20*$B$67)-([5]BS_IS!J27))&lt;0,0,([5]BS_IS!J20*$B$67)-([5]BS_IS!J27))))</f>
        <v>0</v>
      </c>
      <c r="G68" s="334">
        <f ca="1">IF(F64=0,0,IF(G64=1,0,IF((([5]BS_IS!K20*$B$67)-([5]BS_IS!K27))&lt;0,0,([5]BS_IS!K20*$B$67)-([5]BS_IS!K27))))</f>
        <v>0</v>
      </c>
      <c r="H68" s="334">
        <f ca="1">IF(G64=0,0,IF(H64=1,0,IF((([5]BS_IS!L20*$B$67)-([5]BS_IS!L27))&lt;0,0,([5]BS_IS!L20*$B$67)-([5]BS_IS!L27))))</f>
        <v>0</v>
      </c>
      <c r="I68" s="334">
        <f ca="1">IF(H64=0,0,IF(I64=1,0,IF((([5]BS_IS!M20*$B$67)-([5]BS_IS!M27))&lt;0,0,([5]BS_IS!M20*$B$67)-([5]BS_IS!M27))))</f>
        <v>0</v>
      </c>
      <c r="J68" s="334">
        <f ca="1">IF(I64=0,0,IF(J64=1,0,IF((([5]BS_IS!N20*$B$67)-([5]BS_IS!N27))&lt;0,0,([5]BS_IS!N20*$B$67)-([5]BS_IS!N27))))</f>
        <v>0</v>
      </c>
      <c r="K68" s="334">
        <f ca="1">IF(J64=0,0,IF(K64=1,0,IF((([5]BS_IS!O20*$B$67)-([5]BS_IS!O27))&lt;0,0,([5]BS_IS!O20*$B$67)-([5]BS_IS!O27))))</f>
        <v>0</v>
      </c>
      <c r="L68" s="334">
        <f ca="1">IF(K64=0,0,IF(L64=1,0,IF((([5]BS_IS!P20*$B$67)-([5]BS_IS!P27))&lt;0,0,([5]BS_IS!P20*$B$67)-([5]BS_IS!P27))))</f>
        <v>0</v>
      </c>
      <c r="M68" s="334">
        <f ca="1">IF(L64=0,0,IF(M64=1,0,IF((([5]BS_IS!Q20*$B$67)-([5]BS_IS!Q27))&lt;0,0,([5]BS_IS!Q20*$B$67)-([5]BS_IS!Q27))))</f>
        <v>0</v>
      </c>
      <c r="N68" s="334">
        <f ca="1">IF(M64=0,0,IF(N64=1,0,IF((([5]BS_IS!R20*$B$67)-([5]BS_IS!R27))&lt;0,0,([5]BS_IS!R20*$B$67)-([5]BS_IS!R27))))</f>
        <v>0</v>
      </c>
      <c r="O68" s="334">
        <f ca="1">IF(N64=0,0,IF(O64=1,0,IF((([5]BS_IS!S20*$B$67)-([5]BS_IS!S27))&lt;0,0,([5]BS_IS!S20*$B$67)-([5]BS_IS!S27))))</f>
        <v>0</v>
      </c>
      <c r="P68" s="334">
        <f ca="1">IF(O64=0,0,IF(P64=1,0,IF((([5]BS_IS!T20*$B$67)-([5]BS_IS!T27))&lt;0,0,([5]BS_IS!T20*$B$67)-([5]BS_IS!T27))))</f>
        <v>0</v>
      </c>
      <c r="Q68" s="334">
        <f ca="1">IF(P64=0,0,IF(Q64=1,0,IF((([5]BS_IS!U20*$B$67)-([5]BS_IS!U27))&lt;0,0,([5]BS_IS!U20*$B$67)-([5]BS_IS!U27))))</f>
        <v>0</v>
      </c>
      <c r="R68" s="334">
        <f ca="1">IF(Q64=0,0,IF(R64=1,0,IF((([5]BS_IS!V20*$B$67)-([5]BS_IS!V27))&lt;0,0,([5]BS_IS!V20*$B$67)-([5]BS_IS!V27))))</f>
        <v>0</v>
      </c>
      <c r="S68" s="334">
        <f ca="1">IF(R64=0,0,IF(S64=1,0,IF((([5]BS_IS!W20*$B$67)-([5]BS_IS!W27))&lt;0,0,([5]BS_IS!W20*$B$67)-([5]BS_IS!W27))))</f>
        <v>0</v>
      </c>
      <c r="T68" s="334">
        <f ca="1">IF(S64=0,0,IF(T64=1,0,IF((([5]BS_IS!X20*$B$67)-([5]BS_IS!X27))&lt;0,0,([5]BS_IS!X20*$B$67)-([5]BS_IS!X27))))</f>
        <v>0</v>
      </c>
      <c r="U68" s="334">
        <f ca="1">IF(T64=0,0,IF(U64=1,0,IF((([5]BS_IS!Y20*$B$67)-([5]BS_IS!Y27))&lt;0,0,([5]BS_IS!Y20*$B$67)-([5]BS_IS!Y27))))</f>
        <v>0</v>
      </c>
      <c r="V68" s="334">
        <f ca="1">IF(U64=0,0,IF(V64=1,0,IF((([5]BS_IS!Z20*$B$67)-([5]BS_IS!Z27))&lt;0,0,([5]BS_IS!Z20*$B$67)-([5]BS_IS!Z27))))</f>
        <v>0</v>
      </c>
      <c r="W68" s="334">
        <f ca="1">IF(V64=0,0,IF(W64=1,0,IF((([5]BS_IS!AA20*$B$67)-([5]BS_IS!AA27))&lt;0,0,([5]BS_IS!AA20*$B$67)-([5]BS_IS!AA27))))</f>
        <v>0</v>
      </c>
      <c r="X68" s="334">
        <f ca="1">IF(W64=0,0,IF(X64=1,0,IF((([5]BS_IS!AB20*$B$67)-([5]BS_IS!AB27))&lt;0,0,([5]BS_IS!AB20*$B$67)-([5]BS_IS!AB27))))</f>
        <v>0</v>
      </c>
    </row>
    <row r="69" spans="1:24" s="1706" customFormat="1">
      <c r="A69" s="1706" t="s">
        <v>1681</v>
      </c>
      <c r="B69" s="1709">
        <v>0</v>
      </c>
      <c r="C69" s="1709"/>
      <c r="E69" s="1774">
        <f ca="1">IF(E64=1,0,[7]Returns!G25*$B$69)</f>
        <v>0</v>
      </c>
      <c r="F69" s="1774">
        <f ca="1">IF(E64=0,0,IF(F64=1,0,[7]Returns!H25*$B$69))</f>
        <v>0</v>
      </c>
      <c r="G69" s="1774">
        <f ca="1">IF(F64=0,0,IF(G64=1,0,[7]Returns!I25*$B$69))</f>
        <v>0</v>
      </c>
      <c r="H69" s="1774">
        <f ca="1">IF(G64=0,0,IF(H64=1,0,[7]Returns!J25*$B$69))</f>
        <v>0</v>
      </c>
      <c r="I69" s="1774">
        <f ca="1">IF(H64=0,0,IF(I64=1,0,[7]Returns!K25*$B$69))</f>
        <v>0</v>
      </c>
      <c r="J69" s="1774">
        <f ca="1">IF(I64=0,0,IF(J64=1,0,[7]Returns!L25*$B$69))</f>
        <v>0</v>
      </c>
      <c r="K69" s="1774">
        <f ca="1">IF(J64=0,0,IF(K64=1,0,[7]Returns!M25*$B$69))</f>
        <v>0</v>
      </c>
      <c r="L69" s="1774">
        <f ca="1">IF(K64=0,0,IF(L64=1,0,[7]Returns!N25*$B$69))</f>
        <v>0</v>
      </c>
      <c r="M69" s="1774">
        <f ca="1">IF(L64=0,0,IF(M64=1,0,[7]Returns!O25*$B$69))</f>
        <v>0</v>
      </c>
      <c r="N69" s="1774">
        <f ca="1">IF(M64=0,0,IF(N64=1,0,[7]Returns!P25*$B$69))</f>
        <v>0</v>
      </c>
      <c r="O69" s="1774">
        <f ca="1">IF(N64=0,0,IF(O64=1,0,[7]Returns!Q25*$B$69))</f>
        <v>0</v>
      </c>
      <c r="P69" s="1774">
        <f ca="1">IF(O64=0,0,IF(P64=1,0,[7]Returns!R25*$B$69))</f>
        <v>0</v>
      </c>
      <c r="Q69" s="1774">
        <f ca="1">IF(P64=0,0,IF(Q64=1,0,[7]Returns!S25*$B$69))</f>
        <v>0</v>
      </c>
      <c r="R69" s="1774">
        <f ca="1">IF(Q64=0,0,IF(R64=1,0,[7]Returns!T25*$B$69))</f>
        <v>0</v>
      </c>
      <c r="S69" s="1774">
        <f ca="1">IF(R64=0,0,IF(S64=1,0,[7]Returns!U25*$B$69))</f>
        <v>0</v>
      </c>
      <c r="T69" s="1774">
        <f ca="1">IF(S64=0,0,IF(T64=1,0,[7]Returns!V25*$B$69))</f>
        <v>0</v>
      </c>
      <c r="U69" s="1774">
        <f ca="1">IF(T64=0,0,IF(U64=1,0,[7]Returns!W25*$B$69))</f>
        <v>0</v>
      </c>
      <c r="V69" s="1774">
        <f ca="1">IF(U64=0,0,IF(V64=1,0,[7]Returns!X25*$B$69))</f>
        <v>0</v>
      </c>
      <c r="W69" s="1774">
        <f ca="1">IF(V64=0,0,IF(W64=1,0,[7]Returns!Y25*$B$69))</f>
        <v>0</v>
      </c>
      <c r="X69" s="1774">
        <f ca="1">IF(W64=0,0,IF(X64=1,0,[7]Returns!Z25*$B$69))</f>
        <v>0</v>
      </c>
    </row>
    <row r="70" spans="1:24" s="1" customFormat="1">
      <c r="B70" s="1719"/>
      <c r="C70" s="1719"/>
      <c r="E70" s="334"/>
      <c r="F70" s="334"/>
      <c r="G70" s="334"/>
      <c r="H70" s="334"/>
      <c r="I70" s="334"/>
      <c r="J70" s="334"/>
      <c r="K70" s="334"/>
      <c r="L70" s="334"/>
      <c r="M70" s="334"/>
      <c r="N70" s="334"/>
      <c r="O70" s="334"/>
      <c r="P70" s="334"/>
      <c r="Q70" s="334"/>
      <c r="R70" s="334"/>
      <c r="S70" s="334"/>
      <c r="T70" s="334"/>
      <c r="U70" s="334"/>
      <c r="V70" s="334"/>
      <c r="W70" s="334"/>
      <c r="X70" s="334"/>
    </row>
    <row r="71" spans="1:24" s="1" customFormat="1"/>
    <row r="72" spans="1:24" s="1" customFormat="1" ht="38.25">
      <c r="A72" s="1834" t="s">
        <v>893</v>
      </c>
      <c r="B72" s="1719"/>
      <c r="C72" s="384">
        <f ca="1">CF!D73</f>
        <v>0</v>
      </c>
      <c r="D72" s="1835">
        <f ca="1">CF!E73+[5]CF!E73+[6]CF!E71+[7]Cashflow!E38</f>
        <v>-1978.5080752796939</v>
      </c>
      <c r="E72" s="1776">
        <f ca="1">CF!F73+[5]CF!F73+[6]CF!F71+[7]Cashflow!F38</f>
        <v>1876.8855998993354</v>
      </c>
      <c r="F72" s="1776">
        <f ca="1">CF!G73+[5]CF!G73+[6]CF!G71+[7]Cashflow!G38</f>
        <v>22465.748735557125</v>
      </c>
      <c r="G72" s="1776">
        <f ca="1">CF!H73+[5]CF!H73+[6]CF!H71+[7]Cashflow!H38</f>
        <v>3032.0651543665672</v>
      </c>
      <c r="H72" s="1776">
        <f ca="1">CF!I73+[5]CF!I73+[6]CF!I71+[7]Cashflow!I38</f>
        <v>4054.2467570481331</v>
      </c>
      <c r="I72" s="1835">
        <f ca="1">CF!J73+[5]CF!J73+[6]CF!J71+[7]Cashflow!J38</f>
        <v>-3591.7492616228701</v>
      </c>
      <c r="J72" s="1776">
        <f ca="1">CF!K73+[5]CF!K73+[6]CF!K71+[7]Cashflow!K38</f>
        <v>7665.2425484648211</v>
      </c>
      <c r="K72" s="1776">
        <f ca="1">CF!L73+[5]CF!L73+[6]CF!L71+[7]Cashflow!L38</f>
        <v>12258.885823709628</v>
      </c>
      <c r="L72" s="1776">
        <f ca="1">CF!M73+[5]CF!M73+[6]CF!M71+[7]Cashflow!M38</f>
        <v>12105.567383322346</v>
      </c>
      <c r="M72" s="1776">
        <f ca="1">CF!N73+[5]CF!N73+[6]CF!N71+[7]Cashflow!N38</f>
        <v>18675.804324088778</v>
      </c>
      <c r="N72" s="1776">
        <f ca="1">CF!O73+[5]CF!O73+[6]CF!O71+[7]Cashflow!O38</f>
        <v>27930.83041821525</v>
      </c>
      <c r="O72" s="1776">
        <f ca="1">CF!P73+[5]CF!P73+[6]CF!P71+[7]Cashflow!P38</f>
        <v>29868.082926693631</v>
      </c>
      <c r="P72" s="1776">
        <f ca="1">CF!Q73+[5]CF!Q73+[6]CF!Q71+[7]Cashflow!Q38</f>
        <v>24139.651076985105</v>
      </c>
      <c r="Q72" s="1776">
        <f ca="1">CF!R73+[5]CF!R73+[6]CF!R71+[7]Cashflow!R38</f>
        <v>20676.171076361905</v>
      </c>
      <c r="R72" s="1776">
        <f ca="1">CF!S73+[5]CF!S73+[6]CF!S71+[7]Cashflow!S38</f>
        <v>37844.535663520335</v>
      </c>
      <c r="S72" s="1776">
        <f ca="1">CF!T73+[5]CF!T73+[6]CF!T71+[7]Cashflow!T38</f>
        <v>33033.538809046076</v>
      </c>
      <c r="T72" s="1776">
        <f ca="1">CF!U73+[5]CF!U73+[6]CF!U71+[7]Cashflow!U38</f>
        <v>31620.091692896356</v>
      </c>
      <c r="U72" s="1776">
        <f ca="1">CF!V73+[5]CF!V73+[6]CF!V71+[7]Cashflow!V38</f>
        <v>51862.20355766658</v>
      </c>
      <c r="V72" s="1776">
        <f ca="1">CF!W73+[5]CF!W73+[6]CF!W71+[7]Cashflow!W38</f>
        <v>51942.457560640978</v>
      </c>
      <c r="W72" s="1776">
        <f ca="1">CF!X73+[5]CF!X73+[6]CF!X71+[7]Cashflow!X38</f>
        <v>55479.416639194736</v>
      </c>
      <c r="X72" s="1776">
        <f ca="1">CF!Y73+[5]CF!Y73+[6]CF!Y71+[7]Cashflow!Y38</f>
        <v>23966.836513508035</v>
      </c>
    </row>
    <row r="73" spans="1:24" s="1750" customFormat="1" hidden="1">
      <c r="A73" s="1836"/>
      <c r="B73" s="1776" t="s">
        <v>870</v>
      </c>
      <c r="C73" s="1776" t="s">
        <v>871</v>
      </c>
      <c r="D73" s="1776" t="s">
        <v>872</v>
      </c>
      <c r="E73" s="1776" t="s">
        <v>873</v>
      </c>
      <c r="F73" s="1776" t="s">
        <v>874</v>
      </c>
      <c r="G73" s="1776" t="s">
        <v>875</v>
      </c>
      <c r="H73" s="1776" t="s">
        <v>876</v>
      </c>
      <c r="I73" s="1776" t="s">
        <v>877</v>
      </c>
      <c r="J73" s="1776" t="s">
        <v>878</v>
      </c>
      <c r="K73" s="1776" t="s">
        <v>879</v>
      </c>
      <c r="L73" s="1776" t="s">
        <v>880</v>
      </c>
      <c r="M73" s="1776" t="s">
        <v>881</v>
      </c>
      <c r="N73" s="1776" t="s">
        <v>882</v>
      </c>
      <c r="O73" s="1776" t="s">
        <v>883</v>
      </c>
      <c r="P73" s="1776" t="s">
        <v>884</v>
      </c>
      <c r="Q73" s="1776" t="s">
        <v>885</v>
      </c>
      <c r="R73" s="1776" t="s">
        <v>886</v>
      </c>
      <c r="S73" s="1776" t="s">
        <v>887</v>
      </c>
      <c r="T73" s="1776" t="s">
        <v>888</v>
      </c>
      <c r="U73" s="1776" t="s">
        <v>889</v>
      </c>
      <c r="V73" s="1776" t="s">
        <v>890</v>
      </c>
      <c r="W73" s="1776" t="s">
        <v>891</v>
      </c>
      <c r="X73" s="1776" t="s">
        <v>892</v>
      </c>
    </row>
    <row r="74" spans="1:24" s="1" customFormat="1">
      <c r="B74" s="1840">
        <f>IF(B72&lt;0,0,1)</f>
        <v>1</v>
      </c>
      <c r="C74" s="1840">
        <f ca="1">IF(C72&lt;0,0,1)</f>
        <v>1</v>
      </c>
      <c r="D74" s="1840">
        <f ca="1">IF(D72&lt;0,0,1)</f>
        <v>0</v>
      </c>
      <c r="E74" s="1837">
        <f ca="1">IF(E72&lt;0,0,1)</f>
        <v>1</v>
      </c>
      <c r="F74" s="1837">
        <f t="shared" ref="F74:X74" ca="1" si="19">IF(F72&lt;0,0,1)</f>
        <v>1</v>
      </c>
      <c r="G74" s="1837">
        <f t="shared" ca="1" si="19"/>
        <v>1</v>
      </c>
      <c r="H74" s="1837">
        <f t="shared" ca="1" si="19"/>
        <v>1</v>
      </c>
      <c r="I74" s="1837">
        <f t="shared" ca="1" si="19"/>
        <v>0</v>
      </c>
      <c r="J74" s="1837">
        <f t="shared" ca="1" si="19"/>
        <v>1</v>
      </c>
      <c r="K74" s="1837">
        <f t="shared" ca="1" si="19"/>
        <v>1</v>
      </c>
      <c r="L74" s="1837">
        <f t="shared" ca="1" si="19"/>
        <v>1</v>
      </c>
      <c r="M74" s="1837">
        <f t="shared" ca="1" si="19"/>
        <v>1</v>
      </c>
      <c r="N74" s="1837">
        <f t="shared" ca="1" si="19"/>
        <v>1</v>
      </c>
      <c r="O74" s="1837">
        <f t="shared" ca="1" si="19"/>
        <v>1</v>
      </c>
      <c r="P74" s="1837">
        <f t="shared" ca="1" si="19"/>
        <v>1</v>
      </c>
      <c r="Q74" s="1837">
        <f t="shared" ca="1" si="19"/>
        <v>1</v>
      </c>
      <c r="R74" s="1837">
        <f t="shared" ca="1" si="19"/>
        <v>1</v>
      </c>
      <c r="S74" s="1837">
        <f t="shared" ca="1" si="19"/>
        <v>1</v>
      </c>
      <c r="T74" s="1837">
        <f t="shared" ca="1" si="19"/>
        <v>1</v>
      </c>
      <c r="U74" s="1837">
        <f t="shared" ca="1" si="19"/>
        <v>1</v>
      </c>
      <c r="V74" s="1837">
        <f t="shared" ca="1" si="19"/>
        <v>1</v>
      </c>
      <c r="W74" s="1837">
        <f t="shared" ca="1" si="19"/>
        <v>1</v>
      </c>
      <c r="X74" s="1837">
        <f t="shared" ca="1" si="19"/>
        <v>1</v>
      </c>
    </row>
    <row r="76" spans="1:24" s="268" customFormat="1" ht="13.5" thickBot="1">
      <c r="A76" s="83" t="s">
        <v>1664</v>
      </c>
      <c r="C76" s="1735">
        <f t="shared" ref="C76:X76" si="20">+C59</f>
        <v>36160</v>
      </c>
      <c r="D76" s="1735">
        <f t="shared" si="20"/>
        <v>36525</v>
      </c>
      <c r="E76" s="1735">
        <f t="shared" si="20"/>
        <v>36891</v>
      </c>
      <c r="F76" s="1735">
        <f t="shared" si="20"/>
        <v>37256</v>
      </c>
      <c r="G76" s="1735">
        <f t="shared" si="20"/>
        <v>37621</v>
      </c>
      <c r="H76" s="1735">
        <f t="shared" si="20"/>
        <v>37986</v>
      </c>
      <c r="I76" s="1735">
        <f t="shared" si="20"/>
        <v>38352</v>
      </c>
      <c r="J76" s="1735">
        <f t="shared" si="20"/>
        <v>38717</v>
      </c>
      <c r="K76" s="1735">
        <f t="shared" si="20"/>
        <v>39082</v>
      </c>
      <c r="L76" s="1735">
        <f t="shared" si="20"/>
        <v>39447</v>
      </c>
      <c r="M76" s="1735">
        <f t="shared" si="20"/>
        <v>39813</v>
      </c>
      <c r="N76" s="1735">
        <f t="shared" si="20"/>
        <v>40178</v>
      </c>
      <c r="O76" s="1735">
        <f t="shared" si="20"/>
        <v>40543</v>
      </c>
      <c r="P76" s="1735">
        <f t="shared" si="20"/>
        <v>40908</v>
      </c>
      <c r="Q76" s="1735">
        <f t="shared" si="20"/>
        <v>41274</v>
      </c>
      <c r="R76" s="1735">
        <f t="shared" si="20"/>
        <v>41639</v>
      </c>
      <c r="S76" s="1735">
        <f t="shared" si="20"/>
        <v>42004</v>
      </c>
      <c r="T76" s="1735">
        <f t="shared" si="20"/>
        <v>42369</v>
      </c>
      <c r="U76" s="1735">
        <f t="shared" si="20"/>
        <v>42735</v>
      </c>
      <c r="V76" s="1735">
        <f t="shared" si="20"/>
        <v>43100</v>
      </c>
      <c r="W76" s="1735">
        <f t="shared" si="20"/>
        <v>43465</v>
      </c>
      <c r="X76" s="1735">
        <f t="shared" si="20"/>
        <v>43830</v>
      </c>
    </row>
    <row r="77" spans="1:24">
      <c r="A77" s="75" t="s">
        <v>1663</v>
      </c>
      <c r="B77" s="70" t="s">
        <v>1662</v>
      </c>
      <c r="C77" s="70"/>
    </row>
    <row r="78" spans="1:24">
      <c r="A78" t="s">
        <v>1633</v>
      </c>
      <c r="D78" s="1753">
        <v>1</v>
      </c>
    </row>
    <row r="79" spans="1:24">
      <c r="A79" t="s">
        <v>1636</v>
      </c>
      <c r="D79" s="1768">
        <v>1</v>
      </c>
    </row>
    <row r="80" spans="1:24">
      <c r="A80" t="s">
        <v>1635</v>
      </c>
      <c r="D80" s="1769">
        <f>10%/3</f>
        <v>3.3333333333333333E-2</v>
      </c>
    </row>
    <row r="81" spans="1:24">
      <c r="D81" s="1750"/>
    </row>
    <row r="82" spans="1:24">
      <c r="A82" s="75" t="s">
        <v>1661</v>
      </c>
      <c r="B82" s="70" t="s">
        <v>1660</v>
      </c>
      <c r="C82" s="70"/>
    </row>
    <row r="83" spans="1:24">
      <c r="A83" s="7" t="s">
        <v>1633</v>
      </c>
      <c r="C83" s="1734">
        <v>1</v>
      </c>
      <c r="D83" s="1734">
        <v>1</v>
      </c>
      <c r="E83" s="1753">
        <v>1</v>
      </c>
      <c r="F83" s="1753">
        <v>1</v>
      </c>
      <c r="G83" s="1753">
        <v>1</v>
      </c>
      <c r="H83" s="1753">
        <v>1</v>
      </c>
      <c r="I83" s="1753">
        <v>1.2</v>
      </c>
      <c r="J83" s="1753">
        <v>1</v>
      </c>
      <c r="K83" s="1753">
        <v>1</v>
      </c>
      <c r="L83" s="1753">
        <v>1</v>
      </c>
      <c r="M83" s="1753">
        <v>1</v>
      </c>
      <c r="N83" s="1753">
        <v>1</v>
      </c>
      <c r="O83" s="1753">
        <v>1</v>
      </c>
      <c r="P83" s="1753">
        <v>1</v>
      </c>
      <c r="Q83" s="1753">
        <v>1</v>
      </c>
      <c r="R83" s="1753">
        <v>1</v>
      </c>
      <c r="S83" s="1753">
        <v>1</v>
      </c>
      <c r="T83" s="1753">
        <v>1</v>
      </c>
      <c r="U83" s="1753">
        <v>1</v>
      </c>
      <c r="V83" s="1753">
        <v>1</v>
      </c>
      <c r="W83" s="1753">
        <v>1</v>
      </c>
      <c r="X83" s="1753">
        <v>1</v>
      </c>
    </row>
    <row r="84" spans="1:24">
      <c r="A84" t="s">
        <v>1659</v>
      </c>
      <c r="B84" s="70"/>
      <c r="C84" s="1710"/>
      <c r="D84" s="1710"/>
      <c r="E84" s="1710">
        <v>1</v>
      </c>
      <c r="F84" s="1710">
        <v>1</v>
      </c>
      <c r="G84" s="1710">
        <v>1</v>
      </c>
      <c r="H84" s="1710">
        <v>1</v>
      </c>
      <c r="I84" s="1710">
        <v>1</v>
      </c>
      <c r="J84" s="1710">
        <v>1</v>
      </c>
      <c r="K84" s="1710">
        <v>1</v>
      </c>
      <c r="L84" s="1710">
        <v>1</v>
      </c>
      <c r="M84" s="1710">
        <v>1</v>
      </c>
      <c r="N84" s="1710">
        <v>1</v>
      </c>
      <c r="O84" s="1710">
        <v>1</v>
      </c>
      <c r="P84" s="1710">
        <v>1</v>
      </c>
      <c r="Q84" s="1710">
        <v>1</v>
      </c>
      <c r="R84" s="1710">
        <v>1</v>
      </c>
      <c r="S84" s="1710">
        <v>1</v>
      </c>
      <c r="T84" s="1710">
        <v>1</v>
      </c>
      <c r="U84" s="1710">
        <v>1</v>
      </c>
      <c r="V84" s="1710">
        <v>1</v>
      </c>
      <c r="W84" s="1710">
        <v>1</v>
      </c>
      <c r="X84" s="1710">
        <v>1</v>
      </c>
    </row>
    <row r="85" spans="1:24">
      <c r="A85" t="s">
        <v>1658</v>
      </c>
      <c r="B85" s="1641"/>
      <c r="C85" s="1710"/>
      <c r="D85" s="1710"/>
      <c r="E85" s="1710">
        <f t="shared" ref="E85:X85" si="21">+$B$86</f>
        <v>0.06</v>
      </c>
      <c r="F85" s="1710">
        <f t="shared" si="21"/>
        <v>0.06</v>
      </c>
      <c r="G85" s="1710">
        <f t="shared" si="21"/>
        <v>0.06</v>
      </c>
      <c r="H85" s="1710">
        <f t="shared" si="21"/>
        <v>0.06</v>
      </c>
      <c r="I85" s="1710">
        <f t="shared" si="21"/>
        <v>0.06</v>
      </c>
      <c r="J85" s="1710">
        <f t="shared" si="21"/>
        <v>0.06</v>
      </c>
      <c r="K85" s="1710">
        <f t="shared" si="21"/>
        <v>0.06</v>
      </c>
      <c r="L85" s="1710">
        <f t="shared" si="21"/>
        <v>0.06</v>
      </c>
      <c r="M85" s="1710">
        <f t="shared" si="21"/>
        <v>0.06</v>
      </c>
      <c r="N85" s="1710">
        <f t="shared" si="21"/>
        <v>0.06</v>
      </c>
      <c r="O85" s="1710">
        <f t="shared" si="21"/>
        <v>0.06</v>
      </c>
      <c r="P85" s="1710">
        <f t="shared" si="21"/>
        <v>0.06</v>
      </c>
      <c r="Q85" s="1710">
        <f t="shared" si="21"/>
        <v>0.06</v>
      </c>
      <c r="R85" s="1710">
        <f t="shared" si="21"/>
        <v>0.06</v>
      </c>
      <c r="S85" s="1710">
        <f t="shared" si="21"/>
        <v>0.06</v>
      </c>
      <c r="T85" s="1710">
        <f t="shared" si="21"/>
        <v>0.06</v>
      </c>
      <c r="U85" s="1710">
        <f t="shared" si="21"/>
        <v>0.06</v>
      </c>
      <c r="V85" s="1710">
        <f t="shared" si="21"/>
        <v>0.06</v>
      </c>
      <c r="W85" s="1710">
        <f t="shared" si="21"/>
        <v>0.06</v>
      </c>
      <c r="X85" s="1710">
        <f t="shared" si="21"/>
        <v>0.06</v>
      </c>
    </row>
    <row r="86" spans="1:24">
      <c r="A86" t="s">
        <v>1657</v>
      </c>
      <c r="B86" s="1754">
        <v>0.06</v>
      </c>
      <c r="C86" s="1754"/>
    </row>
    <row r="87" spans="1:24">
      <c r="B87" s="1754"/>
      <c r="C87" s="1641"/>
    </row>
    <row r="88" spans="1:24">
      <c r="B88" s="1641"/>
      <c r="C88" s="1641"/>
    </row>
    <row r="89" spans="1:24" s="268" customFormat="1" ht="13.5" thickBot="1">
      <c r="A89" s="83" t="s">
        <v>1656</v>
      </c>
    </row>
    <row r="90" spans="1:24">
      <c r="A90" s="75" t="s">
        <v>1027</v>
      </c>
      <c r="B90" t="s">
        <v>1028</v>
      </c>
      <c r="C90" t="s">
        <v>1029</v>
      </c>
      <c r="D90" t="s">
        <v>1967</v>
      </c>
      <c r="E90" t="s">
        <v>594</v>
      </c>
      <c r="H90" s="3"/>
      <c r="I90" s="1"/>
      <c r="J90" s="1"/>
      <c r="K90" s="1"/>
      <c r="L90" s="1"/>
      <c r="M90" s="1"/>
      <c r="N90" s="1"/>
    </row>
    <row r="91" spans="1:24">
      <c r="A91" s="75"/>
      <c r="B91" s="70" t="s">
        <v>1653</v>
      </c>
      <c r="C91" s="70" t="s">
        <v>1653</v>
      </c>
      <c r="D91" s="70" t="s">
        <v>1653</v>
      </c>
      <c r="E91" s="70" t="s">
        <v>1653</v>
      </c>
      <c r="H91" s="3"/>
      <c r="I91" s="1"/>
      <c r="J91" s="1"/>
      <c r="K91" s="1"/>
      <c r="L91" s="1"/>
      <c r="M91" s="1"/>
      <c r="N91" s="1"/>
    </row>
    <row r="92" spans="1:24">
      <c r="A92" t="s">
        <v>1633</v>
      </c>
      <c r="B92" s="1759">
        <v>7.0400000000000004E-2</v>
      </c>
      <c r="C92" s="1759">
        <v>7.4800000000000005E-2</v>
      </c>
      <c r="D92" s="1759">
        <v>9.2700000000000005E-2</v>
      </c>
      <c r="E92" s="1760">
        <v>0.1101</v>
      </c>
      <c r="F92" s="1757"/>
      <c r="G92" s="70"/>
      <c r="H92" s="1733"/>
      <c r="I92" s="1733"/>
      <c r="J92" s="1733"/>
      <c r="K92" s="1733"/>
      <c r="L92" s="1733"/>
      <c r="M92" s="1733"/>
      <c r="N92" s="1733"/>
    </row>
    <row r="93" spans="1:24">
      <c r="A93" t="s">
        <v>1651</v>
      </c>
      <c r="B93" s="1711">
        <v>7.0400000000000004E-2</v>
      </c>
      <c r="C93" s="1711">
        <v>7.4800000000000005E-2</v>
      </c>
      <c r="D93" s="1611">
        <v>9.2700000000000005E-2</v>
      </c>
      <c r="E93" s="1711">
        <v>0.1101</v>
      </c>
      <c r="F93" s="1711"/>
      <c r="H93" s="1733"/>
      <c r="J93" s="1733"/>
      <c r="K93" s="1733"/>
      <c r="L93" s="1733"/>
      <c r="M93" s="1733"/>
      <c r="N93" s="1733"/>
    </row>
    <row r="94" spans="1:24">
      <c r="A94" t="s">
        <v>1650</v>
      </c>
      <c r="B94" s="1611">
        <f>B93*(1-$B$96)</f>
        <v>6.336E-2</v>
      </c>
      <c r="C94" s="1611">
        <f>C93*(1-$B$96)</f>
        <v>6.7320000000000005E-2</v>
      </c>
      <c r="D94" s="1611">
        <f>D93*(1-$B$96)</f>
        <v>8.3430000000000004E-2</v>
      </c>
      <c r="E94" s="1611">
        <f>E93*(1-$B$96)</f>
        <v>9.9090000000000011E-2</v>
      </c>
    </row>
    <row r="95" spans="1:24">
      <c r="A95" t="s">
        <v>1649</v>
      </c>
      <c r="B95" s="1611">
        <f>B93*(1+$B$96)</f>
        <v>7.7440000000000009E-2</v>
      </c>
      <c r="C95" s="1611">
        <f>C93*(1+$B$96)</f>
        <v>8.2280000000000006E-2</v>
      </c>
      <c r="D95" s="1611">
        <f>D93*(1+$B$96)</f>
        <v>0.10197000000000002</v>
      </c>
      <c r="E95" s="1611">
        <f>E93*(1+$B$96)</f>
        <v>0.12111000000000001</v>
      </c>
      <c r="F95" s="1733"/>
      <c r="H95" s="1733"/>
      <c r="I95" s="1733"/>
      <c r="J95" s="1733"/>
      <c r="K95" s="1733"/>
      <c r="L95" s="1733"/>
    </row>
    <row r="96" spans="1:24">
      <c r="A96" t="s">
        <v>1635</v>
      </c>
      <c r="B96" s="1758">
        <v>0.1</v>
      </c>
      <c r="C96" s="1611"/>
      <c r="D96" s="1611"/>
      <c r="E96" s="1611"/>
      <c r="F96" s="1611"/>
      <c r="G96" s="1711"/>
      <c r="I96" s="1733"/>
      <c r="K96" s="1733"/>
      <c r="L96" s="1733"/>
      <c r="M96" s="1733"/>
      <c r="N96" s="1733"/>
      <c r="O96" s="1733"/>
    </row>
    <row r="98" spans="1:13">
      <c r="A98" s="75" t="s">
        <v>253</v>
      </c>
    </row>
    <row r="99" spans="1:13">
      <c r="A99" t="s">
        <v>1633</v>
      </c>
      <c r="B99">
        <v>0</v>
      </c>
    </row>
    <row r="101" spans="1:13" s="83" customFormat="1" ht="13.5" thickBot="1">
      <c r="A101" s="83" t="s">
        <v>1584</v>
      </c>
    </row>
    <row r="102" spans="1:13">
      <c r="B102" s="70" t="s">
        <v>984</v>
      </c>
    </row>
    <row r="103" spans="1:13" s="1" customFormat="1">
      <c r="A103" s="1" t="s">
        <v>1633</v>
      </c>
      <c r="B103" s="1779">
        <v>1</v>
      </c>
    </row>
    <row r="104" spans="1:13">
      <c r="A104" s="1"/>
      <c r="B104" s="113"/>
      <c r="C104" s="1782"/>
      <c r="D104" s="1782"/>
      <c r="F104" s="1780"/>
      <c r="G104" s="1780"/>
      <c r="H104" s="1780"/>
      <c r="I104" s="1733"/>
      <c r="J104" s="1733"/>
      <c r="K104" s="1733"/>
      <c r="L104" s="1733"/>
      <c r="M104" s="1733"/>
    </row>
    <row r="105" spans="1:13">
      <c r="A105" s="1" t="s">
        <v>1585</v>
      </c>
      <c r="B105" s="113">
        <v>1</v>
      </c>
      <c r="C105" s="113">
        <v>2</v>
      </c>
      <c r="D105" s="113">
        <v>3</v>
      </c>
      <c r="F105" s="1780"/>
      <c r="G105" s="1780"/>
      <c r="H105" s="1780"/>
      <c r="I105" s="1733"/>
      <c r="J105" s="1733"/>
      <c r="K105" s="1733"/>
      <c r="L105" s="1733"/>
      <c r="M105" s="1733"/>
    </row>
    <row r="106" spans="1:13">
      <c r="A106" s="1" t="s">
        <v>1645</v>
      </c>
      <c r="B106" s="1782">
        <v>0.6</v>
      </c>
      <c r="C106" s="1782">
        <v>0.3</v>
      </c>
      <c r="D106" s="1782">
        <v>0.1</v>
      </c>
      <c r="F106" s="1780"/>
      <c r="G106" s="1780"/>
      <c r="H106" s="1780"/>
      <c r="I106" s="1733"/>
      <c r="J106" s="1733"/>
      <c r="K106" s="1733"/>
      <c r="L106" s="1733"/>
      <c r="M106" s="1733"/>
    </row>
    <row r="107" spans="1:13">
      <c r="A107" s="1781">
        <f>YEAR(J52)</f>
        <v>2001</v>
      </c>
      <c r="B107" s="1784">
        <v>0.04</v>
      </c>
      <c r="C107" s="1784">
        <v>0.04</v>
      </c>
      <c r="D107" s="1784">
        <v>0.04</v>
      </c>
      <c r="E107" s="1785"/>
      <c r="F107" s="1780"/>
      <c r="G107" s="1780"/>
      <c r="H107" s="1780"/>
      <c r="I107" s="1733"/>
      <c r="J107" s="1733"/>
      <c r="K107" s="1733"/>
      <c r="L107" s="1733"/>
      <c r="M107" s="1733"/>
    </row>
    <row r="108" spans="1:13">
      <c r="A108" s="1">
        <f t="shared" ref="A108:A113" si="22">A107+1</f>
        <v>2002</v>
      </c>
      <c r="B108" s="1782">
        <v>0.04</v>
      </c>
      <c r="C108" s="1782">
        <v>0.04</v>
      </c>
      <c r="D108" s="1782">
        <v>0.04</v>
      </c>
      <c r="F108" s="1780"/>
      <c r="G108" s="1780"/>
      <c r="H108" s="1780"/>
      <c r="I108" s="1733"/>
      <c r="J108" s="1733"/>
      <c r="K108" s="1733"/>
      <c r="L108" s="1733"/>
      <c r="M108" s="1733"/>
    </row>
    <row r="109" spans="1:13">
      <c r="A109" s="1">
        <f t="shared" si="22"/>
        <v>2003</v>
      </c>
      <c r="B109" s="1783">
        <v>0.04</v>
      </c>
      <c r="C109" s="1782">
        <v>0.04</v>
      </c>
      <c r="D109" s="1782">
        <v>0.04</v>
      </c>
      <c r="F109" s="1780"/>
      <c r="G109" s="1780"/>
      <c r="H109" s="1780"/>
      <c r="I109" s="1733"/>
      <c r="J109" s="1733"/>
      <c r="K109" s="1733"/>
      <c r="L109" s="1733"/>
      <c r="M109" s="1733"/>
    </row>
    <row r="110" spans="1:13">
      <c r="A110" s="1">
        <f t="shared" si="22"/>
        <v>2004</v>
      </c>
      <c r="B110" s="1782">
        <v>0</v>
      </c>
      <c r="C110" s="1782">
        <v>0.04</v>
      </c>
      <c r="D110" s="1782">
        <v>0.04</v>
      </c>
      <c r="F110" s="1780"/>
      <c r="G110" s="1780"/>
      <c r="H110" s="1780" t="s">
        <v>323</v>
      </c>
      <c r="I110" s="1733"/>
      <c r="J110" s="1733"/>
      <c r="K110" s="1733"/>
      <c r="L110" s="1733"/>
      <c r="M110" s="1733"/>
    </row>
    <row r="111" spans="1:13">
      <c r="A111" s="1">
        <f t="shared" si="22"/>
        <v>2005</v>
      </c>
      <c r="B111" s="1782">
        <v>0</v>
      </c>
      <c r="C111" s="1783">
        <v>0.04</v>
      </c>
      <c r="D111" s="1782">
        <v>0.04</v>
      </c>
      <c r="F111" s="1780"/>
      <c r="G111" s="1780"/>
      <c r="H111" s="1780"/>
      <c r="I111" s="1733"/>
      <c r="J111" s="1733"/>
      <c r="K111" s="1733"/>
      <c r="L111" s="1733"/>
      <c r="M111" s="1733"/>
    </row>
    <row r="112" spans="1:13">
      <c r="A112" s="1">
        <f t="shared" si="22"/>
        <v>2006</v>
      </c>
      <c r="B112" s="1782">
        <v>0</v>
      </c>
      <c r="C112" s="1782">
        <v>0</v>
      </c>
      <c r="D112" s="1782">
        <v>0.04</v>
      </c>
      <c r="F112" s="1780"/>
      <c r="G112" s="1780"/>
      <c r="H112" s="1780"/>
      <c r="I112" s="1733"/>
      <c r="J112" s="1733"/>
      <c r="K112" s="1733"/>
      <c r="L112" s="1733"/>
      <c r="M112" s="1733"/>
    </row>
    <row r="113" spans="1:13">
      <c r="A113" s="1706">
        <f t="shared" si="22"/>
        <v>2007</v>
      </c>
      <c r="B113" s="1783">
        <v>0</v>
      </c>
      <c r="C113" s="1783">
        <v>0</v>
      </c>
      <c r="D113" s="1783">
        <v>0.04</v>
      </c>
      <c r="F113" s="1780"/>
      <c r="G113" s="1780"/>
      <c r="H113" s="1780"/>
      <c r="I113" s="1733"/>
      <c r="J113" s="1733"/>
      <c r="K113" s="1733"/>
      <c r="L113" s="1733"/>
      <c r="M113" s="1733"/>
    </row>
    <row r="114" spans="1:13">
      <c r="A114" s="1"/>
      <c r="B114" s="113"/>
      <c r="C114" s="1782"/>
      <c r="D114" s="1782"/>
      <c r="F114" s="1780"/>
      <c r="G114" s="1780"/>
      <c r="H114" s="1780"/>
      <c r="I114" s="1733"/>
      <c r="J114" s="1733"/>
      <c r="K114" s="1733"/>
      <c r="L114" s="1733"/>
      <c r="M114" s="1733"/>
    </row>
    <row r="115" spans="1:13">
      <c r="G115" s="1733"/>
      <c r="I115" s="1733"/>
      <c r="J115" s="1733"/>
      <c r="K115" s="1733"/>
      <c r="L115" s="1733"/>
      <c r="M115" s="1733"/>
    </row>
    <row r="116" spans="1:13" s="268" customFormat="1" ht="13.5" thickBot="1">
      <c r="A116" s="83" t="s">
        <v>1655</v>
      </c>
    </row>
    <row r="117" spans="1:13">
      <c r="A117" s="75" t="s">
        <v>1654</v>
      </c>
      <c r="B117" s="70" t="s">
        <v>1653</v>
      </c>
    </row>
    <row r="118" spans="1:13">
      <c r="A118" s="75"/>
      <c r="B118" t="s">
        <v>1143</v>
      </c>
      <c r="C118" t="s">
        <v>1680</v>
      </c>
      <c r="D118" t="s">
        <v>1634</v>
      </c>
    </row>
    <row r="119" spans="1:13">
      <c r="A119" t="s">
        <v>1652</v>
      </c>
      <c r="B119" s="1763">
        <v>1615</v>
      </c>
      <c r="C119" s="1763">
        <v>10499</v>
      </c>
      <c r="D119" s="1764">
        <v>7914</v>
      </c>
    </row>
    <row r="120" spans="1:13">
      <c r="A120" t="s">
        <v>1651</v>
      </c>
      <c r="B120" s="1761">
        <v>1615</v>
      </c>
      <c r="C120" s="1761">
        <v>10499</v>
      </c>
      <c r="D120" s="1762">
        <v>7914</v>
      </c>
    </row>
    <row r="121" spans="1:13">
      <c r="A121" t="s">
        <v>1650</v>
      </c>
      <c r="B121" s="1761">
        <f>B119-304</f>
        <v>1311</v>
      </c>
      <c r="C121" s="1761">
        <v>7491</v>
      </c>
      <c r="D121" s="1762">
        <v>2687</v>
      </c>
    </row>
    <row r="122" spans="1:13">
      <c r="A122" t="s">
        <v>1649</v>
      </c>
      <c r="B122" s="1761">
        <v>24757</v>
      </c>
      <c r="C122" s="1761">
        <v>28129</v>
      </c>
      <c r="D122" s="1762">
        <v>13671</v>
      </c>
    </row>
    <row r="124" spans="1:13">
      <c r="A124" s="75" t="s">
        <v>1648</v>
      </c>
      <c r="B124" s="70" t="s">
        <v>984</v>
      </c>
      <c r="D124" s="6" t="s">
        <v>1647</v>
      </c>
    </row>
    <row r="125" spans="1:13">
      <c r="A125" t="s">
        <v>1633</v>
      </c>
      <c r="B125" s="1778">
        <v>1</v>
      </c>
    </row>
    <row r="126" spans="1:13">
      <c r="A126" s="1706"/>
      <c r="B126" s="1726" t="s">
        <v>1646</v>
      </c>
      <c r="C126" s="1731" t="s">
        <v>1645</v>
      </c>
      <c r="D126" s="1731" t="s">
        <v>1031</v>
      </c>
      <c r="E126" s="1726" t="s">
        <v>327</v>
      </c>
      <c r="F126" s="1726" t="s">
        <v>328</v>
      </c>
    </row>
    <row r="127" spans="1:13">
      <c r="A127" t="s">
        <v>1644</v>
      </c>
      <c r="B127" s="1730">
        <v>1</v>
      </c>
      <c r="C127" s="1729">
        <v>0.5</v>
      </c>
      <c r="D127" s="1728">
        <v>36892</v>
      </c>
      <c r="E127" s="1728">
        <v>36951</v>
      </c>
      <c r="F127" s="1728">
        <v>37104</v>
      </c>
    </row>
    <row r="128" spans="1:13">
      <c r="A128" s="1712" t="s">
        <v>1643</v>
      </c>
      <c r="B128" s="1730">
        <v>2</v>
      </c>
      <c r="C128" s="1729">
        <v>0.33</v>
      </c>
      <c r="D128" s="1728">
        <v>36951</v>
      </c>
      <c r="E128" s="1728">
        <v>37043</v>
      </c>
      <c r="F128" s="1728">
        <v>37196</v>
      </c>
    </row>
    <row r="129" spans="1:23">
      <c r="A129" s="1727" t="s">
        <v>1642</v>
      </c>
      <c r="B129" s="1726">
        <v>3</v>
      </c>
      <c r="C129" s="1725">
        <v>0.17</v>
      </c>
      <c r="D129" s="1724">
        <v>37043</v>
      </c>
      <c r="E129" s="1724">
        <v>37135</v>
      </c>
      <c r="F129" s="1724">
        <v>37288</v>
      </c>
    </row>
    <row r="130" spans="1:23">
      <c r="A130" s="1723" t="s">
        <v>1641</v>
      </c>
      <c r="B130" s="113"/>
      <c r="C130" s="1714"/>
      <c r="D130" s="1713"/>
    </row>
    <row r="131" spans="1:23">
      <c r="A131" s="1712"/>
      <c r="B131" s="113"/>
      <c r="C131" s="1714"/>
      <c r="D131" s="1713"/>
    </row>
    <row r="132" spans="1:23">
      <c r="A132" s="1712"/>
      <c r="B132" s="1"/>
      <c r="C132" s="1718"/>
      <c r="D132" s="1717"/>
      <c r="E132" s="1716"/>
      <c r="F132" s="1716"/>
      <c r="G132" s="1716"/>
      <c r="H132" s="1716"/>
      <c r="I132" s="1716"/>
      <c r="J132" s="1716"/>
      <c r="K132" s="1716"/>
      <c r="L132" s="1716"/>
      <c r="M132" s="1716"/>
      <c r="N132" s="1716"/>
      <c r="O132" s="1716"/>
      <c r="P132" s="1716"/>
      <c r="Q132" s="1716"/>
      <c r="R132" s="1716"/>
      <c r="S132" s="1716"/>
      <c r="T132" s="1716"/>
      <c r="U132" s="1716"/>
      <c r="V132" s="1716"/>
      <c r="W132" s="1716"/>
    </row>
    <row r="133" spans="1:23" s="268" customFormat="1" ht="13.5" thickBot="1">
      <c r="A133" s="1722" t="s">
        <v>249</v>
      </c>
      <c r="C133" s="1721"/>
      <c r="D133" s="1720"/>
      <c r="E133" s="1720"/>
      <c r="F133" s="1720"/>
      <c r="G133" s="1720"/>
      <c r="H133" s="1720"/>
      <c r="I133" s="1720"/>
      <c r="J133" s="1720"/>
      <c r="K133" s="1720"/>
      <c r="L133" s="1720"/>
      <c r="M133" s="1720"/>
      <c r="N133" s="1720"/>
      <c r="O133" s="1720"/>
      <c r="P133" s="1720"/>
      <c r="Q133" s="1720"/>
      <c r="R133" s="1720"/>
      <c r="S133" s="1720"/>
      <c r="T133" s="1720"/>
      <c r="U133" s="1720"/>
      <c r="V133" s="1720"/>
      <c r="W133" s="1720"/>
    </row>
    <row r="134" spans="1:23">
      <c r="A134" s="75" t="s">
        <v>1638</v>
      </c>
      <c r="B134" s="70" t="s">
        <v>1637</v>
      </c>
      <c r="C134" s="1718"/>
      <c r="D134" s="1717"/>
      <c r="E134" s="1716"/>
      <c r="F134" s="1716"/>
      <c r="G134" s="1716"/>
      <c r="H134" s="1716"/>
      <c r="I134" s="1716"/>
      <c r="J134" s="1716"/>
      <c r="K134" s="1716"/>
      <c r="L134" s="1716"/>
      <c r="M134" s="1716"/>
      <c r="N134" s="1716"/>
      <c r="O134" s="1716"/>
      <c r="P134" s="1716"/>
      <c r="Q134" s="1716"/>
      <c r="R134" s="1716"/>
      <c r="S134" s="1716"/>
      <c r="T134" s="1716"/>
      <c r="U134" s="1716"/>
      <c r="V134" s="1716"/>
      <c r="W134" s="1716"/>
    </row>
    <row r="135" spans="1:23">
      <c r="A135" s="1712" t="s">
        <v>1633</v>
      </c>
      <c r="B135" s="1779">
        <v>1</v>
      </c>
      <c r="C135" s="1718"/>
      <c r="D135" s="1717"/>
      <c r="E135" s="1716"/>
      <c r="F135" s="1716"/>
      <c r="G135" s="1716"/>
      <c r="H135" s="1716"/>
      <c r="I135" s="1716"/>
      <c r="J135" s="1716"/>
      <c r="K135" s="1716"/>
      <c r="L135" s="1716"/>
      <c r="M135" s="1716"/>
      <c r="N135" s="1716"/>
      <c r="O135" s="1716"/>
      <c r="P135" s="1716"/>
      <c r="Q135" s="1716"/>
      <c r="R135" s="1716"/>
      <c r="S135" s="1716"/>
      <c r="T135" s="1716"/>
      <c r="U135" s="1716"/>
      <c r="V135" s="1716"/>
      <c r="W135" s="1716"/>
    </row>
    <row r="136" spans="1:23">
      <c r="A136" s="1712" t="s">
        <v>1636</v>
      </c>
      <c r="B136" s="1">
        <v>1</v>
      </c>
      <c r="C136" s="1718"/>
      <c r="D136" s="1717"/>
      <c r="E136" s="1716"/>
      <c r="F136" s="1716"/>
      <c r="G136" s="1716"/>
      <c r="H136" s="1716"/>
      <c r="I136" s="1716"/>
      <c r="J136" s="1716"/>
      <c r="K136" s="1716"/>
      <c r="L136" s="1716"/>
      <c r="M136" s="1716"/>
      <c r="N136" s="1716"/>
      <c r="O136" s="1716"/>
      <c r="P136" s="1716"/>
      <c r="Q136" s="1716"/>
      <c r="R136" s="1716"/>
      <c r="S136" s="1716"/>
      <c r="T136" s="1716"/>
      <c r="U136" s="1716"/>
      <c r="V136" s="1716"/>
      <c r="W136" s="1716"/>
    </row>
    <row r="137" spans="1:23">
      <c r="A137" s="1712" t="s">
        <v>1635</v>
      </c>
      <c r="B137" s="1719">
        <f>0.56*0.08</f>
        <v>4.4800000000000006E-2</v>
      </c>
      <c r="C137" s="1718"/>
      <c r="D137" s="1717"/>
      <c r="E137" s="1716"/>
      <c r="F137" s="1716"/>
      <c r="G137" s="1716"/>
      <c r="H137" s="1716"/>
      <c r="I137" s="1716"/>
      <c r="J137" s="1716"/>
      <c r="K137" s="1716"/>
      <c r="L137" s="1716"/>
      <c r="M137" s="1716"/>
      <c r="N137" s="1716"/>
      <c r="O137" s="1716"/>
      <c r="P137" s="1716"/>
      <c r="Q137" s="1716"/>
      <c r="R137" s="1716"/>
      <c r="S137" s="1716"/>
      <c r="T137" s="1716"/>
      <c r="U137" s="1716"/>
      <c r="V137" s="1716"/>
      <c r="W137" s="1716"/>
    </row>
    <row r="138" spans="1:23">
      <c r="A138" s="1712"/>
      <c r="C138" s="1714"/>
      <c r="D138" s="1714"/>
      <c r="F138" s="1715"/>
    </row>
    <row r="139" spans="1:23">
      <c r="A139" s="1712"/>
      <c r="B139" s="113"/>
      <c r="C139" s="1714"/>
      <c r="D139" s="1713"/>
    </row>
    <row r="140" spans="1:23" s="83" customFormat="1" ht="13.5" thickBot="1">
      <c r="A140" s="83" t="s">
        <v>250</v>
      </c>
    </row>
    <row r="141" spans="1:23">
      <c r="B141" s="70" t="s">
        <v>1637</v>
      </c>
    </row>
    <row r="142" spans="1:23">
      <c r="A142" t="s">
        <v>1633</v>
      </c>
      <c r="B142" s="1778">
        <v>1</v>
      </c>
    </row>
    <row r="143" spans="1:23">
      <c r="A143" t="s">
        <v>1636</v>
      </c>
      <c r="B143">
        <v>1</v>
      </c>
    </row>
    <row r="144" spans="1:23">
      <c r="A144" t="s">
        <v>1635</v>
      </c>
      <c r="B144" s="1758">
        <v>0.02</v>
      </c>
    </row>
    <row r="147" spans="1:2" s="83" customFormat="1" ht="13.5" thickBot="1">
      <c r="A147" s="83" t="s">
        <v>251</v>
      </c>
    </row>
    <row r="148" spans="1:2">
      <c r="B148" s="70" t="s">
        <v>1640</v>
      </c>
    </row>
    <row r="149" spans="1:2">
      <c r="A149" t="s">
        <v>252</v>
      </c>
      <c r="B149" s="1778">
        <v>1</v>
      </c>
    </row>
    <row r="150" spans="1:2">
      <c r="A150" t="s">
        <v>1645</v>
      </c>
      <c r="B150" s="1758">
        <v>0.5</v>
      </c>
    </row>
  </sheetData>
  <pageMargins left="0.75" right="0.75" top="1" bottom="1" header="0.5" footer="0.5"/>
  <pageSetup scale="10" orientation="landscape" verticalDpi="0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autoPageBreaks="0" fitToPage="1"/>
  </sheetPr>
  <dimension ref="A1:AB63"/>
  <sheetViews>
    <sheetView showGridLines="0" topLeftCell="I1" zoomScale="75" workbookViewId="0">
      <selection activeCell="R15" sqref="R15"/>
    </sheetView>
  </sheetViews>
  <sheetFormatPr defaultRowHeight="12.75"/>
  <cols>
    <col min="1" max="1" width="1.7109375" style="7" customWidth="1"/>
    <col min="2" max="3" width="10.7109375" style="7" customWidth="1"/>
    <col min="4" max="10" width="13.7109375" style="7" customWidth="1"/>
    <col min="11" max="11" width="4.7109375" style="7" customWidth="1"/>
    <col min="12" max="15" width="13.7109375" style="7" customWidth="1"/>
    <col min="16" max="16" width="4.7109375" style="7" customWidth="1"/>
    <col min="17" max="21" width="12.7109375" style="7" customWidth="1"/>
    <col min="22" max="22" width="4.7109375" style="7" customWidth="1"/>
    <col min="23" max="25" width="12.85546875" style="7" customWidth="1"/>
    <col min="26" max="26" width="11.7109375" style="7" customWidth="1"/>
    <col min="27" max="16384" width="9.140625" style="7"/>
  </cols>
  <sheetData>
    <row r="1" spans="1:26" s="15" customFormat="1" ht="15.75">
      <c r="A1" s="1137" t="str">
        <f>CONCATENATE(TOC!B2," ",TOC!B6)</f>
        <v>EMPRESSA PRODUTORA DE ENERGÍA LTDA (EPE) *** DRAFT COPY ***</v>
      </c>
      <c r="B1" s="1137"/>
      <c r="C1" s="1137"/>
    </row>
    <row r="2" spans="1:26" s="15" customFormat="1" ht="15.75">
      <c r="A2" s="1137" t="str">
        <f>TOC!B3</f>
        <v>480 MW POWER PLANT (CUIABA, BRAZIL)</v>
      </c>
      <c r="B2" s="1137"/>
      <c r="C2" s="1137"/>
    </row>
    <row r="3" spans="1:26" s="15" customFormat="1" ht="15">
      <c r="A3" s="118" t="str">
        <f>TOC!B4</f>
        <v>ENRON INTERNATIONAL</v>
      </c>
      <c r="B3" s="118"/>
      <c r="C3" s="118"/>
    </row>
    <row r="4" spans="1:26" s="15" customFormat="1" ht="15">
      <c r="A4" s="932" t="s">
        <v>56</v>
      </c>
      <c r="B4" s="932"/>
      <c r="C4" s="932"/>
    </row>
    <row r="5" spans="1:26" s="218" customFormat="1"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3.5" thickBot="1">
      <c r="B6" s="3"/>
      <c r="C6" s="3"/>
      <c r="D6" s="1139" t="str">
        <f>IF(AND($F$38=1,ABS(SUM($D$11:$D$31)-SUM($G$41:$G$61))&gt;0.05),"Tariff Table Does Not Match Tariff Below!"," ")</f>
        <v xml:space="preserve"> </v>
      </c>
      <c r="F6" s="40"/>
    </row>
    <row r="7" spans="1:26">
      <c r="B7" s="1140" t="s">
        <v>1785</v>
      </c>
      <c r="C7" s="395"/>
      <c r="D7" s="395"/>
      <c r="E7" s="395"/>
      <c r="F7" s="395"/>
      <c r="G7" s="395"/>
      <c r="H7" s="395"/>
      <c r="I7" s="395"/>
      <c r="J7" s="396"/>
      <c r="L7" s="1140" t="s">
        <v>924</v>
      </c>
      <c r="M7" s="395"/>
      <c r="N7" s="395"/>
      <c r="O7" s="396"/>
      <c r="Q7" s="1140" t="s">
        <v>1786</v>
      </c>
      <c r="R7" s="1247"/>
      <c r="S7" s="395"/>
      <c r="T7" s="395"/>
      <c r="U7" s="396"/>
      <c r="W7" s="554" t="s">
        <v>1868</v>
      </c>
      <c r="X7" s="11"/>
      <c r="Y7" s="122"/>
    </row>
    <row r="8" spans="1:26">
      <c r="B8" s="1141"/>
      <c r="C8" s="10"/>
      <c r="D8" s="1142" t="s">
        <v>1453</v>
      </c>
      <c r="E8" s="45"/>
      <c r="F8" s="45"/>
      <c r="G8" s="45"/>
      <c r="H8" s="86"/>
      <c r="I8" s="1142" t="s">
        <v>1500</v>
      </c>
      <c r="J8" s="397"/>
      <c r="L8" s="1143" t="s">
        <v>440</v>
      </c>
      <c r="M8" s="1114"/>
      <c r="N8" s="1144" t="s">
        <v>1783</v>
      </c>
      <c r="O8" s="397"/>
      <c r="Q8" s="1145" t="s">
        <v>1257</v>
      </c>
      <c r="R8" s="1146" t="s">
        <v>1488</v>
      </c>
      <c r="S8" s="1146" t="s">
        <v>1488</v>
      </c>
      <c r="T8" s="1146" t="s">
        <v>916</v>
      </c>
      <c r="U8" s="1147" t="s">
        <v>1632</v>
      </c>
      <c r="W8" s="575" t="s">
        <v>1845</v>
      </c>
      <c r="X8" s="31"/>
      <c r="Y8" s="1204"/>
    </row>
    <row r="9" spans="1:26">
      <c r="B9" s="139" t="s">
        <v>1437</v>
      </c>
      <c r="C9" s="55" t="s">
        <v>1156</v>
      </c>
      <c r="D9" s="265" t="s">
        <v>1776</v>
      </c>
      <c r="E9" s="55" t="s">
        <v>1777</v>
      </c>
      <c r="F9" s="55" t="s">
        <v>1779</v>
      </c>
      <c r="G9" s="55" t="s">
        <v>1782</v>
      </c>
      <c r="H9" s="92" t="s">
        <v>1456</v>
      </c>
      <c r="I9" s="265" t="s">
        <v>1456</v>
      </c>
      <c r="J9" s="149" t="s">
        <v>1456</v>
      </c>
      <c r="L9" s="139" t="s">
        <v>735</v>
      </c>
      <c r="M9" s="1148" t="s">
        <v>1457</v>
      </c>
      <c r="N9" s="1149" t="s">
        <v>920</v>
      </c>
      <c r="O9" s="149" t="s">
        <v>922</v>
      </c>
      <c r="Q9" s="541" t="s">
        <v>465</v>
      </c>
      <c r="R9" s="18" t="s">
        <v>332</v>
      </c>
      <c r="S9" s="18" t="s">
        <v>1631</v>
      </c>
      <c r="T9" s="18" t="s">
        <v>356</v>
      </c>
      <c r="U9" s="159" t="s">
        <v>1459</v>
      </c>
      <c r="W9" s="1141"/>
      <c r="X9" s="10"/>
      <c r="Y9" s="1203" t="s">
        <v>1421</v>
      </c>
    </row>
    <row r="10" spans="1:26">
      <c r="B10" s="679" t="s">
        <v>570</v>
      </c>
      <c r="C10" s="93" t="s">
        <v>571</v>
      </c>
      <c r="D10" s="741" t="s">
        <v>1775</v>
      </c>
      <c r="E10" s="93" t="s">
        <v>1778</v>
      </c>
      <c r="F10" s="93" t="s">
        <v>1434</v>
      </c>
      <c r="G10" s="93" t="s">
        <v>1780</v>
      </c>
      <c r="H10" s="327" t="s">
        <v>1780</v>
      </c>
      <c r="I10" s="741" t="s">
        <v>1780</v>
      </c>
      <c r="J10" s="680" t="s">
        <v>1781</v>
      </c>
      <c r="L10" s="679" t="s">
        <v>923</v>
      </c>
      <c r="M10" s="1151" t="s">
        <v>923</v>
      </c>
      <c r="N10" s="1152" t="s">
        <v>923</v>
      </c>
      <c r="O10" s="680" t="s">
        <v>925</v>
      </c>
      <c r="Q10" s="20"/>
      <c r="R10" s="15"/>
      <c r="S10" s="15"/>
      <c r="T10" s="15"/>
      <c r="U10" s="21"/>
      <c r="W10" s="1212">
        <v>36069</v>
      </c>
      <c r="X10" s="798">
        <v>0</v>
      </c>
      <c r="Y10" s="1128">
        <f ca="1">IF(OR($W10&lt;Startops1,$W10&gt;=Startops2),0,$X10)</f>
        <v>0</v>
      </c>
    </row>
    <row r="11" spans="1:26">
      <c r="B11" s="1004">
        <v>1</v>
      </c>
      <c r="C11" s="1513">
        <f ca="1">Startops1</f>
        <v>36251</v>
      </c>
      <c r="D11" s="1515">
        <f>IF($F$38=0,D41,G41)</f>
        <v>9586.8761904761886</v>
      </c>
      <c r="E11" s="820">
        <f t="shared" ref="E11:E31" si="0">IF($F$38=0,E41,H41)</f>
        <v>0.52500038334256949</v>
      </c>
      <c r="F11" s="820">
        <f t="shared" ref="F11:F31" si="1">IF($F$38=0,F41,I41)</f>
        <v>0.47499961665743051</v>
      </c>
      <c r="G11" s="1465">
        <v>0</v>
      </c>
      <c r="H11" s="1466">
        <v>0</v>
      </c>
      <c r="I11" s="1467">
        <v>0</v>
      </c>
      <c r="J11" s="1468">
        <v>0.17</v>
      </c>
      <c r="L11" s="697">
        <f ca="1">IF($C11&lt;Startops2,0,Assm!$C$47)</f>
        <v>0</v>
      </c>
      <c r="M11" s="1115">
        <f ca="1">IF($C11&lt;Startops2,0,Assm!$C$48)</f>
        <v>0</v>
      </c>
      <c r="N11" s="1116">
        <v>0</v>
      </c>
      <c r="O11" s="797">
        <v>0</v>
      </c>
      <c r="Q11" s="402">
        <f ca="1">Startops1</f>
        <v>36251</v>
      </c>
      <c r="R11" s="779">
        <v>150</v>
      </c>
      <c r="S11" s="783">
        <v>0.91</v>
      </c>
      <c r="T11" s="783">
        <v>0.92</v>
      </c>
      <c r="U11" s="403">
        <f>S11*T11</f>
        <v>0.83720000000000006</v>
      </c>
      <c r="W11" s="404">
        <f t="shared" ref="W11:W24" si="2">EDATE(W10,1)</f>
        <v>36100</v>
      </c>
      <c r="X11" s="798">
        <v>0</v>
      </c>
      <c r="Y11" s="1128">
        <f t="shared" ref="Y11:Y24" ca="1" si="3">IF(OR($W11&lt;Startops1,$W11&gt;=Startops2),0,$X11)</f>
        <v>0</v>
      </c>
    </row>
    <row r="12" spans="1:26">
      <c r="B12" s="1004" t="s">
        <v>123</v>
      </c>
      <c r="C12" s="1513">
        <f>Startops2</f>
        <v>36951</v>
      </c>
      <c r="D12" s="1515">
        <f t="shared" ref="D12:D31" si="4">IF($F$38=0,D42,G42)</f>
        <v>9984.454545454546</v>
      </c>
      <c r="E12" s="820">
        <f t="shared" si="0"/>
        <v>0.99000046207829151</v>
      </c>
      <c r="F12" s="820">
        <f t="shared" si="1"/>
        <v>9.9995379217084901E-3</v>
      </c>
      <c r="G12" s="1465">
        <v>11645.56</v>
      </c>
      <c r="H12" s="1466">
        <v>9025.02</v>
      </c>
      <c r="I12" s="1467">
        <v>3.2801999999999998</v>
      </c>
      <c r="J12" s="1468">
        <v>7.4550000000000005E-2</v>
      </c>
      <c r="L12" s="697">
        <f>IF($C12&lt;Startops2,0,Assm!$C$47)</f>
        <v>1.21</v>
      </c>
      <c r="M12" s="1115">
        <f>IF($C12&lt;Startops2,0,Assm!$C$48)</f>
        <v>0.25</v>
      </c>
      <c r="N12" s="1116">
        <v>1.25</v>
      </c>
      <c r="O12" s="797">
        <v>0</v>
      </c>
      <c r="Q12" s="402">
        <f>DieselOps_2</f>
        <v>36678</v>
      </c>
      <c r="R12" s="779">
        <v>150</v>
      </c>
      <c r="S12" s="783">
        <v>0.91</v>
      </c>
      <c r="T12" s="783">
        <v>0.92</v>
      </c>
      <c r="U12" s="403">
        <f>S12*T12</f>
        <v>0.83720000000000006</v>
      </c>
      <c r="W12" s="404">
        <f t="shared" si="2"/>
        <v>36130</v>
      </c>
      <c r="X12" s="798">
        <v>0</v>
      </c>
      <c r="Y12" s="1128">
        <f t="shared" ca="1" si="3"/>
        <v>0</v>
      </c>
    </row>
    <row r="13" spans="1:26">
      <c r="B13" s="1004" t="s">
        <v>124</v>
      </c>
      <c r="C13" s="1513">
        <f>Startops3</f>
        <v>37104</v>
      </c>
      <c r="D13" s="1515">
        <f t="shared" si="4"/>
        <v>8415.2278409090904</v>
      </c>
      <c r="E13" s="820">
        <f t="shared" si="0"/>
        <v>0.99000046207829151</v>
      </c>
      <c r="F13" s="820">
        <f t="shared" si="1"/>
        <v>9.9995379217084901E-3</v>
      </c>
      <c r="G13" s="1465">
        <v>11645.56</v>
      </c>
      <c r="H13" s="1466">
        <v>9025.02</v>
      </c>
      <c r="I13" s="1467">
        <v>3.2801999999999998</v>
      </c>
      <c r="J13" s="1468">
        <v>7.4550000000000005E-2</v>
      </c>
      <c r="L13" s="697">
        <f>IF($C13&lt;Startops2,0,Assm!$C$47)</f>
        <v>1.21</v>
      </c>
      <c r="M13" s="1115">
        <f>IF($C13&lt;Startops2,0,Assm!$C$48)</f>
        <v>0.25</v>
      </c>
      <c r="N13" s="1116">
        <v>0</v>
      </c>
      <c r="O13" s="797">
        <v>3258.8013700000001</v>
      </c>
      <c r="Q13" s="402">
        <f>Startops2</f>
        <v>36951</v>
      </c>
      <c r="R13" s="779">
        <v>150</v>
      </c>
      <c r="S13" s="783">
        <f>X47/(R13*24*47*T13)</f>
        <v>0.45097132284921371</v>
      </c>
      <c r="T13" s="783">
        <v>0.92</v>
      </c>
      <c r="U13" s="403">
        <f>S13*T13</f>
        <v>0.41489361702127664</v>
      </c>
      <c r="W13" s="404">
        <f t="shared" si="2"/>
        <v>36161</v>
      </c>
      <c r="X13" s="798">
        <v>0</v>
      </c>
      <c r="Y13" s="1128">
        <f t="shared" ca="1" si="3"/>
        <v>0</v>
      </c>
    </row>
    <row r="14" spans="1:26">
      <c r="B14" s="1004">
        <v>3</v>
      </c>
      <c r="C14" s="1514">
        <v>37012</v>
      </c>
      <c r="D14" s="1515">
        <f t="shared" si="4"/>
        <v>9237.4240837696343</v>
      </c>
      <c r="E14" s="820">
        <f t="shared" si="0"/>
        <v>0.95499946805505553</v>
      </c>
      <c r="F14" s="820">
        <f t="shared" si="1"/>
        <v>4.5000531944944466E-2</v>
      </c>
      <c r="G14" s="1883">
        <v>7427.29</v>
      </c>
      <c r="H14" s="1466">
        <v>6126.75</v>
      </c>
      <c r="I14" s="1467">
        <v>2.36</v>
      </c>
      <c r="J14" s="1468">
        <v>0.19</v>
      </c>
      <c r="L14" s="697">
        <f>IF($C14&lt;Startops2,0,Assm!$C$47)</f>
        <v>1.21</v>
      </c>
      <c r="M14" s="1115">
        <f>IF($C14&lt;Startops2,0,Assm!$C$48)</f>
        <v>0.25</v>
      </c>
      <c r="N14" s="1116">
        <v>0</v>
      </c>
      <c r="O14" s="797">
        <v>3258.8013700000001</v>
      </c>
      <c r="Q14" s="404">
        <f>EDATE(Q13,1)</f>
        <v>36982</v>
      </c>
      <c r="R14" s="901">
        <f>U26</f>
        <v>237.77937158469945</v>
      </c>
      <c r="S14" s="343">
        <f>U28</f>
        <v>1</v>
      </c>
      <c r="T14" s="783">
        <v>1</v>
      </c>
      <c r="U14" s="403">
        <f>S14*T14</f>
        <v>1</v>
      </c>
      <c r="W14" s="404">
        <f t="shared" si="2"/>
        <v>36192</v>
      </c>
      <c r="X14" s="798">
        <v>4680</v>
      </c>
      <c r="Y14" s="1128">
        <f t="shared" ca="1" si="3"/>
        <v>0</v>
      </c>
    </row>
    <row r="15" spans="1:26">
      <c r="B15" s="1005">
        <f t="shared" ref="B15:B31" si="5">B14+1</f>
        <v>4</v>
      </c>
      <c r="C15" s="1513">
        <f>Startops4</f>
        <v>37377</v>
      </c>
      <c r="D15" s="1515">
        <f t="shared" si="4"/>
        <v>9179.8860103626939</v>
      </c>
      <c r="E15" s="820">
        <f t="shared" si="0"/>
        <v>0.96499955456715103</v>
      </c>
      <c r="F15" s="820">
        <f t="shared" si="1"/>
        <v>3.500044543284897E-2</v>
      </c>
      <c r="G15" s="1465">
        <v>7420.08</v>
      </c>
      <c r="H15" s="1466">
        <v>6103.17</v>
      </c>
      <c r="I15" s="1467">
        <v>2.2999999999999998</v>
      </c>
      <c r="J15" s="1468">
        <v>0.19</v>
      </c>
      <c r="L15" s="697">
        <f>IF($C15&lt;Startops2,0,Assm!$C$47)</f>
        <v>1.21</v>
      </c>
      <c r="M15" s="1115">
        <f>IF($C15&lt;Startops2,0,Assm!$C$48)</f>
        <v>0.25</v>
      </c>
      <c r="N15" s="1116">
        <v>0</v>
      </c>
      <c r="O15" s="797">
        <v>3255.63789</v>
      </c>
      <c r="Q15" s="402">
        <f>Startops3</f>
        <v>37104</v>
      </c>
      <c r="R15" s="779">
        <v>480</v>
      </c>
      <c r="S15" s="783">
        <v>0.91</v>
      </c>
      <c r="T15" s="783">
        <v>0.92</v>
      </c>
      <c r="U15" s="403">
        <f>S15*T15</f>
        <v>0.83720000000000006</v>
      </c>
      <c r="W15" s="404">
        <f t="shared" si="2"/>
        <v>36220</v>
      </c>
      <c r="X15" s="798">
        <v>7020</v>
      </c>
      <c r="Y15" s="1128">
        <f t="shared" ca="1" si="3"/>
        <v>0</v>
      </c>
    </row>
    <row r="16" spans="1:26">
      <c r="B16" s="1005">
        <f t="shared" si="5"/>
        <v>5</v>
      </c>
      <c r="C16" s="1017">
        <f t="shared" ref="C16:C31" si="6">EDATE(C15,12)</f>
        <v>37742</v>
      </c>
      <c r="D16" s="1515">
        <f t="shared" si="4"/>
        <v>9798.4359454443475</v>
      </c>
      <c r="E16" s="820">
        <f t="shared" si="0"/>
        <v>0.97445500038735278</v>
      </c>
      <c r="F16" s="820">
        <f t="shared" si="1"/>
        <v>2.5544999612647223E-2</v>
      </c>
      <c r="G16" s="1465">
        <v>7428.1</v>
      </c>
      <c r="H16" s="1466">
        <v>6129.36</v>
      </c>
      <c r="I16" s="1467">
        <v>2.31</v>
      </c>
      <c r="J16" s="1468">
        <v>0.19</v>
      </c>
      <c r="L16" s="697">
        <f>IF($C16&lt;Startops2,0,Assm!$C$47)</f>
        <v>1.21</v>
      </c>
      <c r="M16" s="1115">
        <f>IF($C16&lt;Startops2,0,Assm!$C$48)</f>
        <v>0.25</v>
      </c>
      <c r="N16" s="1116">
        <v>0</v>
      </c>
      <c r="O16" s="797">
        <v>3259.1565099999998</v>
      </c>
      <c r="Q16" s="404"/>
      <c r="R16" s="1248"/>
      <c r="S16" s="217"/>
      <c r="T16" s="343"/>
      <c r="U16" s="403"/>
      <c r="W16" s="404">
        <f t="shared" si="2"/>
        <v>36251</v>
      </c>
      <c r="X16" s="798">
        <v>9360</v>
      </c>
      <c r="Y16" s="1128">
        <f t="shared" ca="1" si="3"/>
        <v>9360</v>
      </c>
    </row>
    <row r="17" spans="2:28" ht="13.5" thickBot="1">
      <c r="B17" s="1005">
        <f t="shared" si="5"/>
        <v>6</v>
      </c>
      <c r="C17" s="1017">
        <f t="shared" si="6"/>
        <v>38108</v>
      </c>
      <c r="D17" s="1515">
        <f t="shared" si="4"/>
        <v>9794.8934010152279</v>
      </c>
      <c r="E17" s="820">
        <f t="shared" si="0"/>
        <v>0.98500009049603354</v>
      </c>
      <c r="F17" s="820">
        <f t="shared" si="1"/>
        <v>1.4999909503966458E-2</v>
      </c>
      <c r="G17" s="1465">
        <v>7432.1</v>
      </c>
      <c r="H17" s="1466">
        <v>6142.46</v>
      </c>
      <c r="I17" s="1467">
        <v>2.31</v>
      </c>
      <c r="J17" s="1468">
        <v>0.19</v>
      </c>
      <c r="L17" s="697">
        <f>IF($C17&lt;Startops2,0,Assm!$C$47)</f>
        <v>1.21</v>
      </c>
      <c r="M17" s="1115">
        <f>IF($C17&lt;Startops2,0,Assm!$C$48)</f>
        <v>0.25</v>
      </c>
      <c r="N17" s="1116">
        <v>0</v>
      </c>
      <c r="O17" s="797">
        <v>3260.9134800000002</v>
      </c>
      <c r="Q17" s="1885"/>
      <c r="R17" s="1886"/>
      <c r="S17" s="1886"/>
      <c r="T17" s="49"/>
      <c r="U17" s="125"/>
      <c r="W17" s="404">
        <f t="shared" si="2"/>
        <v>36281</v>
      </c>
      <c r="X17" s="798">
        <v>9360</v>
      </c>
      <c r="Y17" s="1128">
        <f t="shared" ca="1" si="3"/>
        <v>9360</v>
      </c>
    </row>
    <row r="18" spans="2:28">
      <c r="B18" s="1005">
        <f t="shared" si="5"/>
        <v>7</v>
      </c>
      <c r="C18" s="1017">
        <f t="shared" si="6"/>
        <v>38473</v>
      </c>
      <c r="D18" s="1515">
        <f t="shared" si="4"/>
        <v>9710.486815415823</v>
      </c>
      <c r="E18" s="820">
        <f t="shared" si="0"/>
        <v>0.98599954696882786</v>
      </c>
      <c r="F18" s="820">
        <f t="shared" si="1"/>
        <v>1.4000453031172144E-2</v>
      </c>
      <c r="G18" s="1465">
        <v>7420.61</v>
      </c>
      <c r="H18" s="1466">
        <v>6104.93</v>
      </c>
      <c r="I18" s="1467">
        <v>2.2999999999999998</v>
      </c>
      <c r="J18" s="1468">
        <v>0.19</v>
      </c>
      <c r="L18" s="697">
        <f>IF($C18&lt;Startops2,0,Assm!$C$47)</f>
        <v>1.21</v>
      </c>
      <c r="M18" s="1115">
        <f>IF($C18&lt;Startops2,0,Assm!$C$48)</f>
        <v>0.25</v>
      </c>
      <c r="N18" s="1116">
        <v>0</v>
      </c>
      <c r="O18" s="797">
        <v>3255.8715299999999</v>
      </c>
      <c r="Q18" s="1884">
        <v>1</v>
      </c>
      <c r="R18" s="1884">
        <f>Q18+1</f>
        <v>2</v>
      </c>
      <c r="S18" s="1884">
        <f>R18+1</f>
        <v>3</v>
      </c>
      <c r="T18" s="1153">
        <f>S18+1</f>
        <v>4</v>
      </c>
      <c r="U18" s="1153">
        <f>T18+1</f>
        <v>5</v>
      </c>
      <c r="W18" s="404">
        <f t="shared" si="2"/>
        <v>36312</v>
      </c>
      <c r="X18" s="798">
        <v>11700</v>
      </c>
      <c r="Y18" s="1128">
        <f t="shared" ca="1" si="3"/>
        <v>11700</v>
      </c>
    </row>
    <row r="19" spans="2:28">
      <c r="B19" s="1005">
        <f t="shared" si="5"/>
        <v>8</v>
      </c>
      <c r="C19" s="1017">
        <f t="shared" si="6"/>
        <v>38838</v>
      </c>
      <c r="D19" s="1515">
        <f t="shared" si="4"/>
        <v>9508.3383991894625</v>
      </c>
      <c r="E19" s="820">
        <f t="shared" si="0"/>
        <v>0.98700028098365578</v>
      </c>
      <c r="F19" s="820">
        <f t="shared" si="1"/>
        <v>1.2999719016344224E-2</v>
      </c>
      <c r="G19" s="1465">
        <v>7429.43</v>
      </c>
      <c r="H19" s="1466">
        <v>6133.73</v>
      </c>
      <c r="I19" s="1467">
        <v>2.31</v>
      </c>
      <c r="J19" s="1468">
        <v>0.19</v>
      </c>
      <c r="L19" s="697">
        <f>IF($C19&lt;Startops2,0,Assm!$C$47)</f>
        <v>1.21</v>
      </c>
      <c r="M19" s="1115">
        <f>IF($C19&lt;Startops2,0,Assm!$C$48)</f>
        <v>0.25</v>
      </c>
      <c r="N19" s="1116">
        <v>0</v>
      </c>
      <c r="O19" s="797">
        <v>3259.7406099999998</v>
      </c>
      <c r="Q19" s="6"/>
      <c r="R19" s="6"/>
      <c r="S19" s="6"/>
      <c r="W19" s="404">
        <f t="shared" si="2"/>
        <v>36342</v>
      </c>
      <c r="X19" s="798">
        <v>11700</v>
      </c>
      <c r="Y19" s="1128">
        <f t="shared" ca="1" si="3"/>
        <v>11700</v>
      </c>
    </row>
    <row r="20" spans="2:28" ht="13.5" thickBot="1">
      <c r="B20" s="1005">
        <f t="shared" si="5"/>
        <v>9</v>
      </c>
      <c r="C20" s="1017">
        <f t="shared" si="6"/>
        <v>39203</v>
      </c>
      <c r="D20" s="1515">
        <f t="shared" si="4"/>
        <v>8615.7128412537932</v>
      </c>
      <c r="E20" s="820">
        <f t="shared" si="0"/>
        <v>0.988999816557668</v>
      </c>
      <c r="F20" s="820">
        <f t="shared" si="1"/>
        <v>1.1000183442332001E-2</v>
      </c>
      <c r="G20" s="1465">
        <v>7433.43</v>
      </c>
      <c r="H20" s="1466">
        <v>6146.82</v>
      </c>
      <c r="I20" s="1467">
        <v>2.3199999999999998</v>
      </c>
      <c r="J20" s="1468">
        <v>0.19</v>
      </c>
      <c r="L20" s="697">
        <f>IF($C20&lt;Startops2,0,Assm!$C$47)</f>
        <v>1.21</v>
      </c>
      <c r="M20" s="1115">
        <f>IF($C20&lt;Startops2,0,Assm!$C$48)</f>
        <v>0.25</v>
      </c>
      <c r="N20" s="1116">
        <v>0</v>
      </c>
      <c r="O20" s="797">
        <v>3261.4795800000002</v>
      </c>
      <c r="W20" s="404">
        <f t="shared" si="2"/>
        <v>36373</v>
      </c>
      <c r="X20" s="798">
        <v>14040</v>
      </c>
      <c r="Y20" s="1128">
        <f t="shared" ca="1" si="3"/>
        <v>14040</v>
      </c>
    </row>
    <row r="21" spans="2:28">
      <c r="B21" s="1005">
        <f t="shared" si="5"/>
        <v>10</v>
      </c>
      <c r="C21" s="1017">
        <f t="shared" si="6"/>
        <v>39569</v>
      </c>
      <c r="D21" s="1515">
        <f t="shared" si="4"/>
        <v>7894.5932028836251</v>
      </c>
      <c r="E21" s="820">
        <f t="shared" si="0"/>
        <v>0.97883561856235435</v>
      </c>
      <c r="F21" s="820">
        <f t="shared" si="1"/>
        <v>2.1164381437645652E-2</v>
      </c>
      <c r="G21" s="1465">
        <v>7424.62</v>
      </c>
      <c r="H21" s="1466">
        <v>6118.02</v>
      </c>
      <c r="I21" s="1467">
        <v>2.31</v>
      </c>
      <c r="J21" s="1468">
        <v>0.19</v>
      </c>
      <c r="L21" s="697">
        <f>IF($C21&lt;Startops2,0,Assm!$C$47)</f>
        <v>1.21</v>
      </c>
      <c r="M21" s="1115">
        <f>IF($C21&lt;Startops2,0,Assm!$C$48)</f>
        <v>0.25</v>
      </c>
      <c r="N21" s="1116">
        <v>0</v>
      </c>
      <c r="O21" s="797">
        <v>3257.6284999999998</v>
      </c>
      <c r="Q21" s="554" t="s">
        <v>133</v>
      </c>
      <c r="R21" s="11"/>
      <c r="S21" s="11"/>
      <c r="T21" s="11"/>
      <c r="U21" s="122"/>
      <c r="W21" s="404">
        <f t="shared" si="2"/>
        <v>36404</v>
      </c>
      <c r="X21" s="798">
        <v>16640</v>
      </c>
      <c r="Y21" s="1128">
        <f t="shared" ca="1" si="3"/>
        <v>16640</v>
      </c>
    </row>
    <row r="22" spans="2:28">
      <c r="B22" s="1005">
        <f t="shared" si="5"/>
        <v>11</v>
      </c>
      <c r="C22" s="1017">
        <f t="shared" si="6"/>
        <v>39934</v>
      </c>
      <c r="D22" s="1515">
        <f t="shared" si="4"/>
        <v>7730.9607438016528</v>
      </c>
      <c r="E22" s="820">
        <f t="shared" si="0"/>
        <v>0.96755631205927151</v>
      </c>
      <c r="F22" s="820">
        <f t="shared" si="1"/>
        <v>3.2443687940728494E-2</v>
      </c>
      <c r="G22" s="1465">
        <v>7431.57</v>
      </c>
      <c r="H22" s="1466">
        <v>6140.72</v>
      </c>
      <c r="I22" s="1467">
        <v>2.31</v>
      </c>
      <c r="J22" s="1468">
        <v>0.19</v>
      </c>
      <c r="L22" s="697">
        <f>IF($C22&lt;Startops2,0,Assm!$C$47)</f>
        <v>1.21</v>
      </c>
      <c r="M22" s="1115">
        <f>IF($C22&lt;Startops2,0,Assm!$C$48)</f>
        <v>0.25</v>
      </c>
      <c r="N22" s="1116">
        <v>0</v>
      </c>
      <c r="O22" s="797">
        <v>3260.6798399999998</v>
      </c>
      <c r="Q22" s="1412">
        <f>Q14</f>
        <v>36982</v>
      </c>
      <c r="R22" s="16" t="s">
        <v>129</v>
      </c>
      <c r="S22" s="1413">
        <f>EDATE(Q15,-1)</f>
        <v>37073</v>
      </c>
      <c r="T22" s="15"/>
      <c r="U22" s="21"/>
      <c r="W22" s="404">
        <f t="shared" si="2"/>
        <v>36434</v>
      </c>
      <c r="X22" s="798">
        <v>14040</v>
      </c>
      <c r="Y22" s="1128">
        <f t="shared" ca="1" si="3"/>
        <v>14040</v>
      </c>
    </row>
    <row r="23" spans="2:28">
      <c r="B23" s="1005">
        <f t="shared" si="5"/>
        <v>12</v>
      </c>
      <c r="C23" s="1017">
        <f t="shared" si="6"/>
        <v>40299</v>
      </c>
      <c r="D23" s="1515">
        <f t="shared" si="4"/>
        <v>7728.3891213389124</v>
      </c>
      <c r="E23" s="820">
        <f t="shared" si="0"/>
        <v>0.96954726753533338</v>
      </c>
      <c r="F23" s="820">
        <f t="shared" si="1"/>
        <v>3.0452732464666621E-2</v>
      </c>
      <c r="G23" s="1465">
        <v>7434.78</v>
      </c>
      <c r="H23" s="1466">
        <v>6151.18</v>
      </c>
      <c r="I23" s="1467">
        <v>2.3199999999999998</v>
      </c>
      <c r="J23" s="1468">
        <v>0.19</v>
      </c>
      <c r="L23" s="697">
        <f>IF($C23&lt;Startops2,0,Assm!$C$47)</f>
        <v>1.21</v>
      </c>
      <c r="M23" s="1115">
        <f>IF($C23&lt;Startops2,0,Assm!$C$48)</f>
        <v>0.25</v>
      </c>
      <c r="N23" s="1116">
        <v>0</v>
      </c>
      <c r="O23" s="797">
        <v>3262.08635</v>
      </c>
      <c r="Q23" s="404"/>
      <c r="R23" s="1248"/>
      <c r="S23" s="217"/>
      <c r="T23" s="343"/>
      <c r="U23" s="403"/>
      <c r="W23" s="404">
        <f t="shared" si="2"/>
        <v>36465</v>
      </c>
      <c r="X23" s="798">
        <v>11700</v>
      </c>
      <c r="Y23" s="1128">
        <f t="shared" ca="1" si="3"/>
        <v>11700</v>
      </c>
    </row>
    <row r="24" spans="2:28">
      <c r="B24" s="1005">
        <f t="shared" si="5"/>
        <v>13</v>
      </c>
      <c r="C24" s="1017">
        <f t="shared" si="6"/>
        <v>40664</v>
      </c>
      <c r="D24" s="1515">
        <f t="shared" si="4"/>
        <v>7277.2784810126586</v>
      </c>
      <c r="E24" s="820">
        <f t="shared" si="0"/>
        <v>0.97173507905914314</v>
      </c>
      <c r="F24" s="820">
        <f t="shared" si="1"/>
        <v>2.8264920940856864E-2</v>
      </c>
      <c r="G24" s="1465">
        <v>7420.61</v>
      </c>
      <c r="H24" s="1466">
        <v>6104.93</v>
      </c>
      <c r="I24" s="1467">
        <v>2.2999999999999998</v>
      </c>
      <c r="J24" s="1468">
        <v>0.19</v>
      </c>
      <c r="L24" s="697">
        <f>IF($C24&lt;Startops2,0,Assm!$C$47)</f>
        <v>1.21</v>
      </c>
      <c r="M24" s="1115">
        <f>IF($C24&lt;Startops2,0,Assm!$C$48)</f>
        <v>0.25</v>
      </c>
      <c r="N24" s="1116">
        <v>0</v>
      </c>
      <c r="O24" s="797">
        <v>3255.8715299999999</v>
      </c>
      <c r="Q24" s="20" t="s">
        <v>130</v>
      </c>
      <c r="R24" s="15"/>
      <c r="S24" s="15"/>
      <c r="T24" s="15"/>
      <c r="U24" s="1414">
        <f>SUM(X46:X51)</f>
        <v>696218</v>
      </c>
      <c r="W24" s="404">
        <f t="shared" si="2"/>
        <v>36495</v>
      </c>
      <c r="X24" s="798">
        <v>9360</v>
      </c>
      <c r="Y24" s="1128">
        <f t="shared" ca="1" si="3"/>
        <v>9360</v>
      </c>
    </row>
    <row r="25" spans="2:28" ht="13.5" thickBot="1">
      <c r="B25" s="1005">
        <f t="shared" si="5"/>
        <v>14</v>
      </c>
      <c r="C25" s="1017">
        <f t="shared" si="6"/>
        <v>41030</v>
      </c>
      <c r="D25" s="1515">
        <f t="shared" si="4"/>
        <v>6768.8424437299027</v>
      </c>
      <c r="E25" s="820">
        <f t="shared" si="0"/>
        <v>0.94158306970653705</v>
      </c>
      <c r="F25" s="820">
        <f t="shared" si="1"/>
        <v>5.8416930293462954E-2</v>
      </c>
      <c r="G25" s="1465">
        <v>7429.43</v>
      </c>
      <c r="H25" s="1466">
        <v>6133.73</v>
      </c>
      <c r="I25" s="1467">
        <v>2.31</v>
      </c>
      <c r="J25" s="1468">
        <v>0.19</v>
      </c>
      <c r="L25" s="697">
        <f>IF($C25&lt;Startops2,0,Assm!$C$47)</f>
        <v>1.21</v>
      </c>
      <c r="M25" s="1115">
        <f>IF($C25&lt;Startops2,0,Assm!$C$48)</f>
        <v>0.25</v>
      </c>
      <c r="N25" s="1116">
        <v>0</v>
      </c>
      <c r="O25" s="797">
        <v>3259.7406099999998</v>
      </c>
      <c r="Q25" s="20" t="s">
        <v>131</v>
      </c>
      <c r="R25" s="15"/>
      <c r="S25" s="15"/>
      <c r="T25" s="15"/>
      <c r="U25" s="1414">
        <f>(Q15-Q14)*24</f>
        <v>2928</v>
      </c>
      <c r="W25" s="48"/>
      <c r="X25" s="49"/>
      <c r="Y25" s="1129"/>
    </row>
    <row r="26" spans="2:28">
      <c r="B26" s="1005">
        <f t="shared" si="5"/>
        <v>15</v>
      </c>
      <c r="C26" s="1017">
        <f t="shared" si="6"/>
        <v>41395</v>
      </c>
      <c r="D26" s="1515">
        <f t="shared" si="4"/>
        <v>6530.3842049092846</v>
      </c>
      <c r="E26" s="820">
        <f t="shared" si="0"/>
        <v>0.93699994844419221</v>
      </c>
      <c r="F26" s="820">
        <f t="shared" si="1"/>
        <v>6.300005155580779E-2</v>
      </c>
      <c r="G26" s="1465">
        <v>7433.43</v>
      </c>
      <c r="H26" s="1466">
        <v>6146.82</v>
      </c>
      <c r="I26" s="1467">
        <v>2.3199999999999998</v>
      </c>
      <c r="J26" s="1468">
        <v>0.19</v>
      </c>
      <c r="L26" s="697">
        <f>IF($C26&lt;Startops2,0,Assm!$C$47)</f>
        <v>1.21</v>
      </c>
      <c r="M26" s="1115">
        <f>IF($C26&lt;Startops2,0,Assm!$C$48)</f>
        <v>0.25</v>
      </c>
      <c r="N26" s="1116">
        <v>0</v>
      </c>
      <c r="O26" s="797">
        <v>3261.4795800000002</v>
      </c>
      <c r="Q26" s="20" t="s">
        <v>132</v>
      </c>
      <c r="R26" s="15"/>
      <c r="S26" s="15"/>
      <c r="T26" s="15"/>
      <c r="U26" s="1414">
        <f>U24/U25</f>
        <v>237.77937158469945</v>
      </c>
      <c r="W26" s="1153">
        <v>1</v>
      </c>
      <c r="X26" s="1153">
        <f>W26+1</f>
        <v>2</v>
      </c>
      <c r="Y26" s="1153">
        <f>X26+1</f>
        <v>3</v>
      </c>
    </row>
    <row r="27" spans="2:28" ht="13.5" thickBot="1">
      <c r="B27" s="1005">
        <f t="shared" si="5"/>
        <v>16</v>
      </c>
      <c r="C27" s="1017">
        <f t="shared" si="6"/>
        <v>41760</v>
      </c>
      <c r="D27" s="1515">
        <f t="shared" si="4"/>
        <v>4167.6561693340209</v>
      </c>
      <c r="E27" s="820">
        <f t="shared" si="0"/>
        <v>0.90905219590648423</v>
      </c>
      <c r="F27" s="820">
        <f t="shared" si="1"/>
        <v>9.0947804093515772E-2</v>
      </c>
      <c r="G27" s="1465">
        <v>7424.62</v>
      </c>
      <c r="H27" s="1466">
        <v>6118.02</v>
      </c>
      <c r="I27" s="1467">
        <v>2.31</v>
      </c>
      <c r="J27" s="1468">
        <v>0.19</v>
      </c>
      <c r="L27" s="697">
        <f>IF($C27&lt;Startops2,0,Assm!$C$47)</f>
        <v>1.21</v>
      </c>
      <c r="M27" s="1115">
        <f>IF($C27&lt;Startops2,0,Assm!$C$48)</f>
        <v>0.25</v>
      </c>
      <c r="N27" s="1116">
        <v>0</v>
      </c>
      <c r="O27" s="797">
        <v>3257.6284999999998</v>
      </c>
      <c r="Q27" s="20" t="s">
        <v>134</v>
      </c>
      <c r="R27" s="15"/>
      <c r="S27" s="15"/>
      <c r="T27" s="15"/>
      <c r="U27" s="135">
        <f>T14</f>
        <v>1</v>
      </c>
      <c r="W27" s="1153"/>
      <c r="X27" s="1153"/>
      <c r="Y27" s="1153"/>
    </row>
    <row r="28" spans="2:28" ht="13.5" thickBot="1">
      <c r="B28" s="1005">
        <f t="shared" si="5"/>
        <v>17</v>
      </c>
      <c r="C28" s="1017">
        <f t="shared" si="6"/>
        <v>42125</v>
      </c>
      <c r="D28" s="1515">
        <f t="shared" si="4"/>
        <v>2290.3249630723781</v>
      </c>
      <c r="E28" s="820">
        <f t="shared" si="0"/>
        <v>0.67700212635067747</v>
      </c>
      <c r="F28" s="820">
        <f t="shared" si="1"/>
        <v>0.32299787364932253</v>
      </c>
      <c r="G28" s="1465">
        <v>7431.57</v>
      </c>
      <c r="H28" s="1466">
        <v>6140.72</v>
      </c>
      <c r="I28" s="1467">
        <v>2.31</v>
      </c>
      <c r="J28" s="1468">
        <v>0.19</v>
      </c>
      <c r="L28" s="697">
        <f>IF($C28&lt;Startops2,0,Assm!$C$47)</f>
        <v>1.21</v>
      </c>
      <c r="M28" s="1115">
        <f>IF($C28&lt;Startops2,0,Assm!$C$48)</f>
        <v>0.25</v>
      </c>
      <c r="N28" s="1116">
        <v>0</v>
      </c>
      <c r="O28" s="797">
        <v>3260.6798399999998</v>
      </c>
      <c r="Q28" s="48" t="s">
        <v>135</v>
      </c>
      <c r="R28" s="49"/>
      <c r="S28" s="49"/>
      <c r="T28" s="49"/>
      <c r="U28" s="1415">
        <f>U24/(U25*U26*U27)</f>
        <v>1</v>
      </c>
      <c r="W28" s="554" t="s">
        <v>1010</v>
      </c>
      <c r="X28" s="11"/>
      <c r="Y28" s="122"/>
    </row>
    <row r="29" spans="2:28">
      <c r="B29" s="1005">
        <f t="shared" si="5"/>
        <v>18</v>
      </c>
      <c r="C29" s="1017">
        <f t="shared" si="6"/>
        <v>42491</v>
      </c>
      <c r="D29" s="1515">
        <f t="shared" si="4"/>
        <v>2290.3249630723781</v>
      </c>
      <c r="E29" s="820">
        <f t="shared" si="0"/>
        <v>0.67700212635067747</v>
      </c>
      <c r="F29" s="820">
        <f t="shared" si="1"/>
        <v>0.32299787364932253</v>
      </c>
      <c r="G29" s="1465">
        <v>7434.78</v>
      </c>
      <c r="H29" s="1466">
        <v>6151.18</v>
      </c>
      <c r="I29" s="1467">
        <v>2.3199999999999998</v>
      </c>
      <c r="J29" s="1468">
        <v>0.19</v>
      </c>
      <c r="L29" s="697">
        <f>IF($C29&lt;Startops2,0,Assm!$C$47)</f>
        <v>1.21</v>
      </c>
      <c r="M29" s="1115">
        <f>IF($C29&lt;Startops2,0,Assm!$C$48)</f>
        <v>0.25</v>
      </c>
      <c r="N29" s="1116">
        <v>0</v>
      </c>
      <c r="O29" s="797">
        <v>3262.08635</v>
      </c>
      <c r="W29" s="575" t="s">
        <v>1011</v>
      </c>
      <c r="X29" s="31"/>
      <c r="Y29" s="1204"/>
    </row>
    <row r="30" spans="2:28">
      <c r="B30" s="1005">
        <f t="shared" si="5"/>
        <v>19</v>
      </c>
      <c r="C30" s="1017">
        <f t="shared" si="6"/>
        <v>42856</v>
      </c>
      <c r="D30" s="1515">
        <f t="shared" si="4"/>
        <v>2089.0491283676706</v>
      </c>
      <c r="E30" s="820">
        <f t="shared" si="0"/>
        <v>0.63099895312419418</v>
      </c>
      <c r="F30" s="820">
        <f t="shared" si="1"/>
        <v>0.36900104687580582</v>
      </c>
      <c r="G30" s="1465">
        <v>7420.61</v>
      </c>
      <c r="H30" s="1466">
        <v>6104.93</v>
      </c>
      <c r="I30" s="1467">
        <v>2.2999999999999998</v>
      </c>
      <c r="J30" s="1468">
        <v>0.19</v>
      </c>
      <c r="L30" s="697">
        <f>IF($C30&lt;Startops2,0,Assm!$C$47)</f>
        <v>1.21</v>
      </c>
      <c r="M30" s="1115">
        <f>IF($C30&lt;Startops2,0,Assm!$C$48)</f>
        <v>0.25</v>
      </c>
      <c r="N30" s="1116">
        <v>0</v>
      </c>
      <c r="O30" s="797">
        <v>3255.8715299999999</v>
      </c>
      <c r="W30" s="1141"/>
      <c r="X30" s="10"/>
      <c r="Y30" s="1203" t="s">
        <v>1421</v>
      </c>
      <c r="AA30" s="7" t="s">
        <v>1927</v>
      </c>
      <c r="AB30" s="7" t="s">
        <v>1928</v>
      </c>
    </row>
    <row r="31" spans="2:28">
      <c r="B31" s="1005">
        <f t="shared" si="5"/>
        <v>20</v>
      </c>
      <c r="C31" s="1017">
        <f t="shared" si="6"/>
        <v>43221</v>
      </c>
      <c r="D31" s="1515">
        <f t="shared" si="4"/>
        <v>1291.0185185185185</v>
      </c>
      <c r="E31" s="820">
        <f t="shared" si="0"/>
        <v>0.5400032880191058</v>
      </c>
      <c r="F31" s="820">
        <f t="shared" si="1"/>
        <v>0.4599967119808942</v>
      </c>
      <c r="G31" s="1465">
        <v>7429.43</v>
      </c>
      <c r="H31" s="1466">
        <v>6133.73</v>
      </c>
      <c r="I31" s="1467">
        <v>2.31</v>
      </c>
      <c r="J31" s="1468">
        <v>0.19</v>
      </c>
      <c r="L31" s="697">
        <f>IF($C31&lt;Startops2,0,Assm!$C$47)</f>
        <v>1.21</v>
      </c>
      <c r="M31" s="1115">
        <f>IF($C31&lt;Startops2,0,Assm!$C$48)</f>
        <v>0.25</v>
      </c>
      <c r="N31" s="1116">
        <v>0</v>
      </c>
      <c r="O31" s="797">
        <v>3259.7406099999998</v>
      </c>
      <c r="W31" s="1212">
        <v>36678</v>
      </c>
      <c r="X31" s="798">
        <v>90417.600000000006</v>
      </c>
      <c r="Y31" s="1128">
        <f t="shared" ref="Y31:Y39" ca="1" si="7">IF(OR($W31&lt;Startops1,$W31&gt;=Startops2),0,$X31)</f>
        <v>90417.600000000006</v>
      </c>
      <c r="AA31" s="798">
        <v>90417.600000000006</v>
      </c>
      <c r="AB31" s="798">
        <f>2*AA31</f>
        <v>180835.20000000001</v>
      </c>
    </row>
    <row r="32" spans="2:28" ht="13.5" thickBot="1">
      <c r="B32" s="48"/>
      <c r="C32" s="49"/>
      <c r="D32" s="1154"/>
      <c r="E32" s="275"/>
      <c r="F32" s="275"/>
      <c r="G32" s="275"/>
      <c r="H32" s="1155"/>
      <c r="I32" s="1154"/>
      <c r="J32" s="1156"/>
      <c r="L32" s="140"/>
      <c r="M32" s="1157"/>
      <c r="N32" s="1158"/>
      <c r="O32" s="1156"/>
      <c r="W32" s="404">
        <f t="shared" ref="W32:W39" si="8">EDATE(W31,1)</f>
        <v>36708</v>
      </c>
      <c r="X32" s="798">
        <v>93431.52</v>
      </c>
      <c r="Y32" s="1128">
        <f t="shared" ca="1" si="7"/>
        <v>93431.52</v>
      </c>
      <c r="AA32" s="798">
        <v>93431.52</v>
      </c>
      <c r="AB32" s="798">
        <f t="shared" ref="AB32:AB37" si="9">2*AA32</f>
        <v>186863.04</v>
      </c>
    </row>
    <row r="33" spans="2:28">
      <c r="C33" s="1153">
        <v>1</v>
      </c>
      <c r="D33" s="1296">
        <f>C33+1</f>
        <v>2</v>
      </c>
      <c r="E33" s="1153">
        <f t="shared" ref="E33:O33" si="10">D33+1</f>
        <v>3</v>
      </c>
      <c r="F33" s="1153">
        <f t="shared" si="10"/>
        <v>4</v>
      </c>
      <c r="G33" s="1153">
        <f t="shared" si="10"/>
        <v>5</v>
      </c>
      <c r="H33" s="1153">
        <f t="shared" si="10"/>
        <v>6</v>
      </c>
      <c r="I33" s="1153">
        <f t="shared" si="10"/>
        <v>7</v>
      </c>
      <c r="J33" s="1153">
        <f t="shared" si="10"/>
        <v>8</v>
      </c>
      <c r="K33" s="1153">
        <f t="shared" si="10"/>
        <v>9</v>
      </c>
      <c r="L33" s="1153">
        <f t="shared" si="10"/>
        <v>10</v>
      </c>
      <c r="M33" s="1153">
        <f t="shared" si="10"/>
        <v>11</v>
      </c>
      <c r="N33" s="1153">
        <f t="shared" si="10"/>
        <v>12</v>
      </c>
      <c r="O33" s="1153">
        <f t="shared" si="10"/>
        <v>13</v>
      </c>
      <c r="W33" s="404">
        <f t="shared" si="8"/>
        <v>36739</v>
      </c>
      <c r="X33" s="798">
        <v>93431.52</v>
      </c>
      <c r="Y33" s="1128">
        <f t="shared" ca="1" si="7"/>
        <v>93431.52</v>
      </c>
      <c r="AA33" s="798">
        <v>93431.52</v>
      </c>
      <c r="AB33" s="798">
        <f t="shared" si="9"/>
        <v>186863.04</v>
      </c>
    </row>
    <row r="34" spans="2:28">
      <c r="W34" s="404">
        <f t="shared" si="8"/>
        <v>36770</v>
      </c>
      <c r="X34" s="798">
        <v>90417.600000000006</v>
      </c>
      <c r="Y34" s="1128">
        <f t="shared" ca="1" si="7"/>
        <v>90417.600000000006</v>
      </c>
      <c r="AA34" s="798">
        <v>90417.600000000006</v>
      </c>
      <c r="AB34" s="798">
        <f t="shared" si="9"/>
        <v>180835.20000000001</v>
      </c>
    </row>
    <row r="35" spans="2:28">
      <c r="W35" s="404">
        <f t="shared" si="8"/>
        <v>36800</v>
      </c>
      <c r="X35" s="798">
        <v>93431.52</v>
      </c>
      <c r="Y35" s="1128">
        <f t="shared" ca="1" si="7"/>
        <v>93431.52</v>
      </c>
      <c r="AA35" s="798">
        <v>93431.52</v>
      </c>
      <c r="AB35" s="798">
        <f t="shared" si="9"/>
        <v>186863.04</v>
      </c>
    </row>
    <row r="36" spans="2:28">
      <c r="W36" s="404">
        <f t="shared" si="8"/>
        <v>36831</v>
      </c>
      <c r="X36" s="798">
        <v>90417.600000000006</v>
      </c>
      <c r="Y36" s="1128">
        <f t="shared" ca="1" si="7"/>
        <v>90417.600000000006</v>
      </c>
      <c r="AA36" s="798">
        <v>90417.600000000006</v>
      </c>
      <c r="AB36" s="798">
        <f t="shared" si="9"/>
        <v>180835.20000000001</v>
      </c>
    </row>
    <row r="37" spans="2:28">
      <c r="W37" s="404">
        <f t="shared" si="8"/>
        <v>36861</v>
      </c>
      <c r="X37" s="798">
        <v>93431.52</v>
      </c>
      <c r="Y37" s="1128">
        <f t="shared" ca="1" si="7"/>
        <v>93431.52</v>
      </c>
      <c r="AA37" s="798">
        <v>93431.52</v>
      </c>
      <c r="AB37" s="798">
        <f t="shared" si="9"/>
        <v>186863.04</v>
      </c>
    </row>
    <row r="38" spans="2:28" ht="13.5" thickBot="1">
      <c r="E38" s="1159" t="s">
        <v>700</v>
      </c>
      <c r="F38" s="786">
        <v>1</v>
      </c>
      <c r="G38" s="7" t="str">
        <f>CONCATENATE("Currently Using ",IF(F38=0,"Original","Revised")," Tariff")</f>
        <v>Currently Using Revised Tariff</v>
      </c>
      <c r="L38" s="9" t="s">
        <v>125</v>
      </c>
      <c r="W38" s="404">
        <f t="shared" si="8"/>
        <v>36892</v>
      </c>
      <c r="X38" s="798">
        <v>93431.52</v>
      </c>
      <c r="Y38" s="1128">
        <f t="shared" ca="1" si="7"/>
        <v>93431.52</v>
      </c>
      <c r="AA38" s="7">
        <f>X38/31*28</f>
        <v>84389.760000000009</v>
      </c>
    </row>
    <row r="39" spans="2:28">
      <c r="B39" s="1160" t="s">
        <v>1437</v>
      </c>
      <c r="C39" s="1161" t="s">
        <v>1156</v>
      </c>
      <c r="D39" s="1162" t="s">
        <v>1157</v>
      </c>
      <c r="E39" s="131"/>
      <c r="F39" s="557"/>
      <c r="G39" s="1162" t="s">
        <v>699</v>
      </c>
      <c r="H39" s="131"/>
      <c r="I39" s="831"/>
      <c r="L39" s="412"/>
      <c r="M39" s="11"/>
      <c r="N39" s="11"/>
      <c r="O39" s="122"/>
      <c r="W39" s="404">
        <f t="shared" si="8"/>
        <v>36923</v>
      </c>
      <c r="X39" s="798">
        <v>84389.759999999995</v>
      </c>
      <c r="Y39" s="1128">
        <f t="shared" ca="1" si="7"/>
        <v>84389.759999999995</v>
      </c>
    </row>
    <row r="40" spans="2:28" ht="13.5" thickBot="1">
      <c r="B40" s="679" t="s">
        <v>570</v>
      </c>
      <c r="C40" s="327" t="s">
        <v>571</v>
      </c>
      <c r="D40" s="1163" t="s">
        <v>1158</v>
      </c>
      <c r="E40" s="42"/>
      <c r="F40" s="101"/>
      <c r="G40" s="1163" t="s">
        <v>1158</v>
      </c>
      <c r="H40" s="42"/>
      <c r="I40" s="144"/>
      <c r="L40" s="20" t="s">
        <v>126</v>
      </c>
      <c r="M40" s="1465">
        <v>9984.454545454546</v>
      </c>
      <c r="N40" s="777">
        <v>300</v>
      </c>
      <c r="O40" s="21">
        <f>N40/N$42*M40</f>
        <v>6240.284090909091</v>
      </c>
      <c r="W40" s="1556"/>
      <c r="X40" s="1557"/>
      <c r="Y40" s="1558"/>
    </row>
    <row r="41" spans="2:28">
      <c r="B41" s="1004">
        <f>B11</f>
        <v>1</v>
      </c>
      <c r="C41" s="1017">
        <f ca="1">C11</f>
        <v>36251</v>
      </c>
      <c r="D41" s="1465">
        <v>10721.11</v>
      </c>
      <c r="E41" s="796">
        <v>0.64141959181465347</v>
      </c>
      <c r="F41" s="1020">
        <v>0.35858040818534653</v>
      </c>
      <c r="G41" s="1465">
        <v>9586.8761904761886</v>
      </c>
      <c r="H41" s="796">
        <v>0.52500038334256949</v>
      </c>
      <c r="I41" s="919">
        <f>100%-H41</f>
        <v>0.47499961665743051</v>
      </c>
      <c r="L41" s="20" t="s">
        <v>127</v>
      </c>
      <c r="M41" s="1465">
        <v>5799.85</v>
      </c>
      <c r="N41" s="1025">
        <v>180</v>
      </c>
      <c r="O41" s="914">
        <f>N41/N$42*M41</f>
        <v>2174.9437500000004</v>
      </c>
      <c r="W41" s="1153">
        <v>1</v>
      </c>
      <c r="X41" s="1153">
        <f>W41+1</f>
        <v>2</v>
      </c>
      <c r="Y41" s="1153">
        <f>X41+1</f>
        <v>3</v>
      </c>
    </row>
    <row r="42" spans="2:28" ht="13.5" thickBot="1">
      <c r="B42" s="1005" t="str">
        <f t="shared" ref="B42:B61" si="11">B12</f>
        <v>2(a)</v>
      </c>
      <c r="C42" s="1017">
        <f>C12</f>
        <v>36951</v>
      </c>
      <c r="D42" s="1465">
        <v>10502.5</v>
      </c>
      <c r="E42" s="796">
        <v>0.52526922161390144</v>
      </c>
      <c r="F42" s="1020">
        <v>0.47473077838609851</v>
      </c>
      <c r="G42" s="1465">
        <v>9984.454545454546</v>
      </c>
      <c r="H42" s="796">
        <v>0.99000046207829151</v>
      </c>
      <c r="I42" s="919">
        <f t="shared" ref="I42:I61" si="12">100%-H42</f>
        <v>9.9995379217084901E-3</v>
      </c>
      <c r="L42" s="20" t="s">
        <v>128</v>
      </c>
      <c r="M42" s="15"/>
      <c r="N42" s="55">
        <f>SUM(N40:N41)</f>
        <v>480</v>
      </c>
      <c r="O42" s="21">
        <f>SUM(O40:O41)</f>
        <v>8415.2278409090904</v>
      </c>
    </row>
    <row r="43" spans="2:28" ht="13.5" thickBot="1">
      <c r="B43" s="1005" t="str">
        <f t="shared" si="11"/>
        <v>2(b)</v>
      </c>
      <c r="C43" s="1017">
        <f>C13</f>
        <v>37104</v>
      </c>
      <c r="D43" s="1465">
        <v>6782.87</v>
      </c>
      <c r="E43" s="796">
        <v>0.71082152540148935</v>
      </c>
      <c r="F43" s="1020">
        <v>0.28917847459851065</v>
      </c>
      <c r="G43" s="1465">
        <f>O42</f>
        <v>8415.2278409090904</v>
      </c>
      <c r="H43" s="796">
        <v>0.99000046207829151</v>
      </c>
      <c r="I43" s="919">
        <f t="shared" si="12"/>
        <v>9.9995379217084901E-3</v>
      </c>
      <c r="L43" s="48"/>
      <c r="M43" s="49"/>
      <c r="N43" s="49"/>
      <c r="O43" s="125"/>
      <c r="W43" s="554" t="s">
        <v>1846</v>
      </c>
      <c r="X43" s="11"/>
      <c r="Y43" s="122"/>
      <c r="AB43" s="7" t="s">
        <v>1926</v>
      </c>
    </row>
    <row r="44" spans="2:28">
      <c r="B44" s="1005">
        <f t="shared" si="11"/>
        <v>3</v>
      </c>
      <c r="C44" s="1017">
        <f t="shared" ref="C44:C61" si="13">C14</f>
        <v>37012</v>
      </c>
      <c r="D44" s="1465">
        <v>6782.87</v>
      </c>
      <c r="E44" s="796">
        <v>0.71082152540148935</v>
      </c>
      <c r="F44" s="1020">
        <v>0.28917847459851065</v>
      </c>
      <c r="G44" s="1465">
        <v>9237.4240837696343</v>
      </c>
      <c r="H44" s="796">
        <v>0.95499946805505553</v>
      </c>
      <c r="I44" s="919">
        <f t="shared" si="12"/>
        <v>4.5000531944944466E-2</v>
      </c>
      <c r="W44" s="575" t="s">
        <v>1867</v>
      </c>
      <c r="X44" s="31"/>
      <c r="Y44" s="1204"/>
      <c r="Z44" s="798">
        <v>108000</v>
      </c>
      <c r="AA44" s="798">
        <v>98820</v>
      </c>
      <c r="AB44" s="798">
        <v>86000</v>
      </c>
    </row>
    <row r="45" spans="2:28">
      <c r="B45" s="1005">
        <f t="shared" si="11"/>
        <v>4</v>
      </c>
      <c r="C45" s="1017">
        <f t="shared" si="13"/>
        <v>37377</v>
      </c>
      <c r="D45" s="1465">
        <v>7854.93</v>
      </c>
      <c r="E45" s="796">
        <v>0.77457724002632744</v>
      </c>
      <c r="F45" s="1020">
        <v>0.22542275997367262</v>
      </c>
      <c r="G45" s="1465">
        <v>9179.8860103626939</v>
      </c>
      <c r="H45" s="796">
        <v>0.96499955456715103</v>
      </c>
      <c r="I45" s="919">
        <f t="shared" si="12"/>
        <v>3.500044543284897E-2</v>
      </c>
      <c r="W45" s="20"/>
      <c r="X45" s="15"/>
      <c r="Y45" s="1150" t="s">
        <v>1422</v>
      </c>
      <c r="Z45" s="798">
        <f>300*31*24</f>
        <v>223200</v>
      </c>
      <c r="AA45" s="798">
        <f>100800+28800</f>
        <v>129600</v>
      </c>
      <c r="AB45" s="798">
        <v>45000</v>
      </c>
    </row>
    <row r="46" spans="2:28">
      <c r="B46" s="1005">
        <f t="shared" si="11"/>
        <v>5</v>
      </c>
      <c r="C46" s="1017">
        <f t="shared" si="13"/>
        <v>37742</v>
      </c>
      <c r="D46" s="1465">
        <v>9495.86</v>
      </c>
      <c r="E46" s="796">
        <v>0.77314534965764026</v>
      </c>
      <c r="F46" s="1020">
        <v>0.22685465034235974</v>
      </c>
      <c r="G46" s="1465">
        <v>9798.4359454443475</v>
      </c>
      <c r="H46" s="796">
        <v>0.97445500038735278</v>
      </c>
      <c r="I46" s="919">
        <f t="shared" si="12"/>
        <v>2.5544999612647223E-2</v>
      </c>
      <c r="W46" s="402">
        <f>Startops2</f>
        <v>36951</v>
      </c>
      <c r="X46" s="798">
        <v>12600</v>
      </c>
      <c r="Y46" s="1128">
        <f t="shared" ref="Y46:Y52" si="14">IF($W46&lt;Startops2,0,$X46)</f>
        <v>12600</v>
      </c>
      <c r="Z46" s="798">
        <f>300*31*24</f>
        <v>223200</v>
      </c>
      <c r="AA46" s="798">
        <f>316800/2</f>
        <v>158400</v>
      </c>
      <c r="AB46" s="798">
        <v>115660</v>
      </c>
    </row>
    <row r="47" spans="2:28">
      <c r="B47" s="1005">
        <f t="shared" si="11"/>
        <v>6</v>
      </c>
      <c r="C47" s="1017">
        <f t="shared" si="13"/>
        <v>38108</v>
      </c>
      <c r="D47" s="1465">
        <v>9425.51</v>
      </c>
      <c r="E47" s="796">
        <v>0.77811068048307197</v>
      </c>
      <c r="F47" s="1020">
        <v>0.221889319516928</v>
      </c>
      <c r="G47" s="1465">
        <v>9794.8934010152279</v>
      </c>
      <c r="H47" s="796">
        <v>0.98500009049603354</v>
      </c>
      <c r="I47" s="919">
        <f t="shared" si="12"/>
        <v>1.4999909503966458E-2</v>
      </c>
      <c r="W47" s="404">
        <f t="shared" ref="W47:W52" si="15">EDATE(W46,1)</f>
        <v>36982</v>
      </c>
      <c r="X47" s="798">
        <v>70200</v>
      </c>
      <c r="Y47" s="1128">
        <f t="shared" si="14"/>
        <v>70200</v>
      </c>
      <c r="Z47" s="798">
        <f>300*24*29</f>
        <v>208800</v>
      </c>
      <c r="AA47" s="798">
        <f>316800/2</f>
        <v>158400</v>
      </c>
      <c r="AB47" s="798">
        <v>188990</v>
      </c>
    </row>
    <row r="48" spans="2:28">
      <c r="B48" s="1005">
        <f t="shared" si="11"/>
        <v>7</v>
      </c>
      <c r="C48" s="1017">
        <f t="shared" si="13"/>
        <v>38473</v>
      </c>
      <c r="D48" s="1465">
        <v>9803.42</v>
      </c>
      <c r="E48" s="796">
        <v>0.77920868431628965</v>
      </c>
      <c r="F48" s="1020">
        <v>0.22079131568371041</v>
      </c>
      <c r="G48" s="1465">
        <v>9710.486815415823</v>
      </c>
      <c r="H48" s="796">
        <v>0.98599954696882786</v>
      </c>
      <c r="I48" s="919">
        <f t="shared" si="12"/>
        <v>1.4000453031172144E-2</v>
      </c>
      <c r="W48" s="404">
        <f t="shared" si="15"/>
        <v>37012</v>
      </c>
      <c r="X48" s="798">
        <v>146880</v>
      </c>
      <c r="Y48" s="1128">
        <f t="shared" si="14"/>
        <v>146880</v>
      </c>
      <c r="Z48" s="798">
        <f>300*24*31</f>
        <v>223200</v>
      </c>
      <c r="AA48" s="798">
        <f>30240+14400</f>
        <v>44640</v>
      </c>
      <c r="AB48" s="798">
        <v>234410</v>
      </c>
    </row>
    <row r="49" spans="2:28">
      <c r="B49" s="1005">
        <f t="shared" si="11"/>
        <v>8</v>
      </c>
      <c r="C49" s="1017">
        <f t="shared" si="13"/>
        <v>38838</v>
      </c>
      <c r="D49" s="1465">
        <v>9776.1</v>
      </c>
      <c r="E49" s="796">
        <v>0.77610703654831681</v>
      </c>
      <c r="F49" s="1020">
        <v>0.22389296345168319</v>
      </c>
      <c r="G49" s="1465">
        <v>9508.3383991894625</v>
      </c>
      <c r="H49" s="796">
        <v>0.98700028098365578</v>
      </c>
      <c r="I49" s="919">
        <f t="shared" si="12"/>
        <v>1.2999719016344224E-2</v>
      </c>
      <c r="W49" s="404">
        <f t="shared" si="15"/>
        <v>37043</v>
      </c>
      <c r="X49" s="798">
        <v>232128</v>
      </c>
      <c r="Y49" s="1128">
        <f t="shared" si="14"/>
        <v>232128</v>
      </c>
      <c r="Z49" s="798">
        <f>300*24*30*0.91*0.92</f>
        <v>180835.20000000001</v>
      </c>
      <c r="AA49" s="798">
        <f>50400+10800+81560</f>
        <v>142760</v>
      </c>
      <c r="AB49" s="798">
        <v>106000</v>
      </c>
    </row>
    <row r="50" spans="2:28">
      <c r="B50" s="1005">
        <f t="shared" si="11"/>
        <v>9</v>
      </c>
      <c r="C50" s="1017">
        <f t="shared" si="13"/>
        <v>39203</v>
      </c>
      <c r="D50" s="1465">
        <v>10096.24</v>
      </c>
      <c r="E50" s="796">
        <v>0.7463085267386671</v>
      </c>
      <c r="F50" s="1020">
        <v>0.25369147326133296</v>
      </c>
      <c r="G50" s="1465">
        <v>8615.7128412537932</v>
      </c>
      <c r="H50" s="796">
        <v>0.988999816557668</v>
      </c>
      <c r="I50" s="919">
        <f t="shared" si="12"/>
        <v>1.1000183442332001E-2</v>
      </c>
      <c r="W50" s="404">
        <f t="shared" si="15"/>
        <v>37073</v>
      </c>
      <c r="X50" s="798">
        <v>234410</v>
      </c>
      <c r="Y50" s="1128">
        <f t="shared" si="14"/>
        <v>234410</v>
      </c>
      <c r="Z50" s="798">
        <f>300*24*31*0.91*0.92</f>
        <v>186863.04</v>
      </c>
      <c r="AA50" s="798">
        <v>46800</v>
      </c>
      <c r="AB50" s="798"/>
    </row>
    <row r="51" spans="2:28">
      <c r="B51" s="1005">
        <f t="shared" si="11"/>
        <v>10</v>
      </c>
      <c r="C51" s="1017">
        <f t="shared" si="13"/>
        <v>39569</v>
      </c>
      <c r="D51" s="1465">
        <v>10416.24</v>
      </c>
      <c r="E51" s="796">
        <v>0.71825821985668536</v>
      </c>
      <c r="F51" s="1020">
        <v>0.28174178014331464</v>
      </c>
      <c r="G51" s="1465">
        <v>7894.5932028836251</v>
      </c>
      <c r="H51" s="796">
        <v>0.97883561856235435</v>
      </c>
      <c r="I51" s="919">
        <f t="shared" si="12"/>
        <v>2.1164381437645652E-2</v>
      </c>
      <c r="W51" s="404">
        <f t="shared" si="15"/>
        <v>37104</v>
      </c>
      <c r="X51" s="798">
        <v>0</v>
      </c>
      <c r="Y51" s="1128">
        <f t="shared" si="14"/>
        <v>0</v>
      </c>
    </row>
    <row r="52" spans="2:28">
      <c r="B52" s="1005">
        <f t="shared" si="11"/>
        <v>11</v>
      </c>
      <c r="C52" s="1017">
        <f t="shared" si="13"/>
        <v>39934</v>
      </c>
      <c r="D52" s="1465">
        <v>10554.88</v>
      </c>
      <c r="E52" s="796">
        <v>0.70364040140674278</v>
      </c>
      <c r="F52" s="1020">
        <v>0.29635959859325728</v>
      </c>
      <c r="G52" s="1465">
        <v>7730.9607438016528</v>
      </c>
      <c r="H52" s="796">
        <v>0.96755631205927151</v>
      </c>
      <c r="I52" s="919">
        <f t="shared" si="12"/>
        <v>3.2443687940728494E-2</v>
      </c>
      <c r="W52" s="404">
        <f t="shared" si="15"/>
        <v>37135</v>
      </c>
      <c r="X52" s="798"/>
      <c r="Y52" s="1128">
        <f t="shared" si="14"/>
        <v>0</v>
      </c>
    </row>
    <row r="53" spans="2:28" ht="13.5" thickBot="1">
      <c r="B53" s="1005">
        <f t="shared" si="11"/>
        <v>12</v>
      </c>
      <c r="C53" s="1017">
        <f t="shared" si="13"/>
        <v>40299</v>
      </c>
      <c r="D53" s="1465">
        <v>10709.97</v>
      </c>
      <c r="E53" s="796">
        <v>0.68822415002096182</v>
      </c>
      <c r="F53" s="1020">
        <v>0.31177584997903823</v>
      </c>
      <c r="G53" s="1465">
        <v>7728.3891213389124</v>
      </c>
      <c r="H53" s="796">
        <v>0.96954726753533338</v>
      </c>
      <c r="I53" s="919">
        <f t="shared" si="12"/>
        <v>3.0452732464666621E-2</v>
      </c>
      <c r="W53" s="48"/>
      <c r="X53" s="49"/>
      <c r="Y53" s="1129"/>
    </row>
    <row r="54" spans="2:28">
      <c r="B54" s="1005">
        <f t="shared" si="11"/>
        <v>13</v>
      </c>
      <c r="C54" s="1017">
        <f t="shared" si="13"/>
        <v>40664</v>
      </c>
      <c r="D54" s="1465">
        <v>5172.37</v>
      </c>
      <c r="E54" s="796">
        <v>0.693842474532951</v>
      </c>
      <c r="F54" s="1020">
        <v>0.30615752546704894</v>
      </c>
      <c r="G54" s="1465">
        <v>7277.2784810126586</v>
      </c>
      <c r="H54" s="796">
        <v>0.97173507905914314</v>
      </c>
      <c r="I54" s="919">
        <f t="shared" si="12"/>
        <v>2.8264920940856864E-2</v>
      </c>
      <c r="W54" s="1153">
        <v>1</v>
      </c>
      <c r="X54" s="1153">
        <f>W54+1</f>
        <v>2</v>
      </c>
      <c r="Y54" s="1153">
        <f>X54+1</f>
        <v>3</v>
      </c>
    </row>
    <row r="55" spans="2:28">
      <c r="B55" s="1005">
        <f t="shared" si="11"/>
        <v>14</v>
      </c>
      <c r="C55" s="1017">
        <f t="shared" si="13"/>
        <v>41030</v>
      </c>
      <c r="D55" s="1465">
        <v>3801.75</v>
      </c>
      <c r="E55" s="796">
        <v>0.47404747813506937</v>
      </c>
      <c r="F55" s="1020">
        <v>0.52595252186493058</v>
      </c>
      <c r="G55" s="1465">
        <v>6768.8424437299027</v>
      </c>
      <c r="H55" s="796">
        <v>0.94158306970653705</v>
      </c>
      <c r="I55" s="919">
        <f t="shared" si="12"/>
        <v>5.8416930293462954E-2</v>
      </c>
    </row>
    <row r="56" spans="2:28">
      <c r="B56" s="1005">
        <f t="shared" si="11"/>
        <v>15</v>
      </c>
      <c r="C56" s="1017">
        <f t="shared" si="13"/>
        <v>41395</v>
      </c>
      <c r="D56" s="1465">
        <v>3801.76</v>
      </c>
      <c r="E56" s="796">
        <v>0.38016865872648453</v>
      </c>
      <c r="F56" s="1020">
        <v>0.61983134127351547</v>
      </c>
      <c r="G56" s="1465">
        <v>6530.3842049092846</v>
      </c>
      <c r="H56" s="796">
        <v>0.93699994844419221</v>
      </c>
      <c r="I56" s="919">
        <f t="shared" si="12"/>
        <v>6.300005155580779E-2</v>
      </c>
    </row>
    <row r="57" spans="2:28">
      <c r="B57" s="1005">
        <f t="shared" si="11"/>
        <v>16</v>
      </c>
      <c r="C57" s="1017">
        <f t="shared" si="13"/>
        <v>41760</v>
      </c>
      <c r="D57" s="1465">
        <v>3801.75</v>
      </c>
      <c r="E57" s="796">
        <v>0.17509830998882092</v>
      </c>
      <c r="F57" s="1020">
        <v>0.82490169001117908</v>
      </c>
      <c r="G57" s="1465">
        <v>4167.6561693340209</v>
      </c>
      <c r="H57" s="796">
        <v>0.90905219590648423</v>
      </c>
      <c r="I57" s="919">
        <f t="shared" si="12"/>
        <v>9.0947804093515772E-2</v>
      </c>
    </row>
    <row r="58" spans="2:28">
      <c r="B58" s="1005">
        <f t="shared" si="11"/>
        <v>17</v>
      </c>
      <c r="C58" s="1017">
        <f t="shared" si="13"/>
        <v>42125</v>
      </c>
      <c r="D58" s="1465">
        <v>3801.74</v>
      </c>
      <c r="E58" s="796">
        <v>0.17509877056295275</v>
      </c>
      <c r="F58" s="1020">
        <v>0.82490122943704725</v>
      </c>
      <c r="G58" s="1465">
        <v>2290.3249630723781</v>
      </c>
      <c r="H58" s="796">
        <v>0.67700212635067747</v>
      </c>
      <c r="I58" s="919">
        <f t="shared" si="12"/>
        <v>0.32299787364932253</v>
      </c>
    </row>
    <row r="59" spans="2:28">
      <c r="B59" s="1005">
        <f t="shared" si="11"/>
        <v>18</v>
      </c>
      <c r="C59" s="1017">
        <f t="shared" si="13"/>
        <v>42491</v>
      </c>
      <c r="D59" s="1465">
        <v>3801.75</v>
      </c>
      <c r="E59" s="796">
        <v>0.17509830998882092</v>
      </c>
      <c r="F59" s="1020">
        <v>0.82490169001117908</v>
      </c>
      <c r="G59" s="1465">
        <v>2290.3249630723781</v>
      </c>
      <c r="H59" s="796">
        <v>0.67700212635067747</v>
      </c>
      <c r="I59" s="919">
        <f t="shared" si="12"/>
        <v>0.32299787364932253</v>
      </c>
    </row>
    <row r="60" spans="2:28">
      <c r="B60" s="1005">
        <f t="shared" si="11"/>
        <v>19</v>
      </c>
      <c r="C60" s="1017">
        <f t="shared" si="13"/>
        <v>42856</v>
      </c>
      <c r="D60" s="1465">
        <v>3801.74</v>
      </c>
      <c r="E60" s="796">
        <v>0.17509877056295275</v>
      </c>
      <c r="F60" s="1020">
        <v>0.82490122943704725</v>
      </c>
      <c r="G60" s="1465">
        <v>2089.0491283676706</v>
      </c>
      <c r="H60" s="796">
        <v>0.63099895312419418</v>
      </c>
      <c r="I60" s="919">
        <f t="shared" si="12"/>
        <v>0.36900104687580582</v>
      </c>
    </row>
    <row r="61" spans="2:28">
      <c r="B61" s="1005">
        <f t="shared" si="11"/>
        <v>20</v>
      </c>
      <c r="C61" s="1017">
        <f t="shared" si="13"/>
        <v>43221</v>
      </c>
      <c r="D61" s="1465">
        <v>3801.75</v>
      </c>
      <c r="E61" s="796">
        <v>0.17509877056295275</v>
      </c>
      <c r="F61" s="1020">
        <v>0.82490122943704725</v>
      </c>
      <c r="G61" s="1465">
        <v>1291.0185185185185</v>
      </c>
      <c r="H61" s="796">
        <v>0.5400032880191058</v>
      </c>
      <c r="I61" s="919">
        <f t="shared" si="12"/>
        <v>0.4599967119808942</v>
      </c>
    </row>
    <row r="62" spans="2:28" ht="13.5" thickBot="1">
      <c r="B62" s="48"/>
      <c r="C62" s="598"/>
      <c r="D62" s="1154"/>
      <c r="E62" s="275"/>
      <c r="F62" s="1155"/>
      <c r="G62" s="1154"/>
      <c r="H62" s="275"/>
      <c r="I62" s="1156"/>
    </row>
    <row r="63" spans="2:28">
      <c r="B63" s="1153">
        <v>1</v>
      </c>
      <c r="C63" s="1153">
        <f t="shared" ref="C63:I63" si="16">B63+1</f>
        <v>2</v>
      </c>
      <c r="D63" s="1153">
        <f t="shared" si="16"/>
        <v>3</v>
      </c>
      <c r="E63" s="1153">
        <f t="shared" si="16"/>
        <v>4</v>
      </c>
      <c r="F63" s="1153">
        <f t="shared" si="16"/>
        <v>5</v>
      </c>
      <c r="G63" s="1153">
        <f t="shared" si="16"/>
        <v>6</v>
      </c>
      <c r="H63" s="1153">
        <f t="shared" si="16"/>
        <v>7</v>
      </c>
      <c r="I63" s="1153">
        <f t="shared" si="16"/>
        <v>8</v>
      </c>
    </row>
  </sheetData>
  <printOptions horizontalCentered="1"/>
  <pageMargins left="0.25" right="0.25" top="0.5" bottom="0.5" header="0.25" footer="0.25"/>
  <pageSetup scale="47" orientation="landscape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93" r:id="rId4" name="Button 45">
              <controlPr defaultSize="0" print="0" autoFill="0" autoPict="0" macro="[0]!Copy_New_Tariff">
                <anchor moveWithCells="1" sizeWithCells="1">
                  <from>
                    <xdr:col>35</xdr:col>
                    <xdr:colOff>409575</xdr:colOff>
                    <xdr:row>1</xdr:row>
                    <xdr:rowOff>190500</xdr:rowOff>
                  </from>
                  <to>
                    <xdr:col>37</xdr:col>
                    <xdr:colOff>361950</xdr:colOff>
                    <xdr:row>4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>
    <pageSetUpPr fitToPage="1"/>
  </sheetPr>
  <dimension ref="A1:AE94"/>
  <sheetViews>
    <sheetView showGridLines="0" tabSelected="1" topLeftCell="A7" zoomScale="80" zoomScaleNormal="90" workbookViewId="0">
      <pane xSplit="3" ySplit="1" topLeftCell="E8" activePane="bottomRight" state="frozen"/>
      <selection activeCell="A7" sqref="A7"/>
      <selection pane="topRight" activeCell="D7" sqref="D7"/>
      <selection pane="bottomLeft" activeCell="A8" sqref="A8"/>
      <selection pane="bottomRight" activeCell="H28" sqref="H28"/>
    </sheetView>
  </sheetViews>
  <sheetFormatPr defaultColWidth="13.28515625" defaultRowHeight="12.75"/>
  <cols>
    <col min="1" max="1" width="28.7109375" style="15" customWidth="1"/>
    <col min="2" max="12" width="11.7109375" style="7" customWidth="1"/>
    <col min="13" max="13" width="11.140625" style="7" customWidth="1"/>
    <col min="14" max="25" width="11.7109375" style="7" customWidth="1"/>
    <col min="26" max="26" width="12.7109375" style="15" customWidth="1"/>
    <col min="27" max="16384" width="13.28515625" style="7"/>
  </cols>
  <sheetData>
    <row r="1" spans="1:31" s="1" customFormat="1" ht="15.75">
      <c r="A1" s="1137" t="str">
        <f>CONCATENATE(TOC!B2," ",TOC!B6)</f>
        <v>EMPRESSA PRODUTORA DE ENERGÍA LTDA (EPE) *** DRAFT COPY ***</v>
      </c>
      <c r="C1" s="15"/>
    </row>
    <row r="2" spans="1:31" s="1" customFormat="1" ht="15.75">
      <c r="A2" s="1137" t="str">
        <f>TOC!B3</f>
        <v>480 MW POWER PLANT (CUIABA, BRAZIL)</v>
      </c>
      <c r="C2" s="15"/>
    </row>
    <row r="3" spans="1:31" s="1" customFormat="1" ht="15">
      <c r="A3" s="118" t="str">
        <f>TOC!B4</f>
        <v>ENRON INTERNATIONAL</v>
      </c>
      <c r="C3" s="15"/>
    </row>
    <row r="4" spans="1:31" s="1" customFormat="1" ht="15">
      <c r="A4" s="932" t="s">
        <v>905</v>
      </c>
      <c r="C4" s="15"/>
    </row>
    <row r="5" spans="1:31" customFormat="1" ht="13.5" thickBot="1">
      <c r="A5" s="1"/>
      <c r="C5" s="7"/>
      <c r="Z5" s="1"/>
      <c r="AA5" s="1309" t="s">
        <v>628</v>
      </c>
    </row>
    <row r="6" spans="1:31" s="15" customFormat="1">
      <c r="A6" s="412" t="s">
        <v>443</v>
      </c>
      <c r="B6" s="11"/>
      <c r="C6" s="11"/>
      <c r="D6" s="928">
        <v>1</v>
      </c>
      <c r="E6" s="413">
        <f t="shared" ref="E6:Y6" si="0">D6+1</f>
        <v>2</v>
      </c>
      <c r="F6" s="413">
        <f t="shared" si="0"/>
        <v>3</v>
      </c>
      <c r="G6" s="413">
        <f t="shared" si="0"/>
        <v>4</v>
      </c>
      <c r="H6" s="413">
        <f t="shared" si="0"/>
        <v>5</v>
      </c>
      <c r="I6" s="413">
        <f t="shared" si="0"/>
        <v>6</v>
      </c>
      <c r="J6" s="413">
        <f t="shared" si="0"/>
        <v>7</v>
      </c>
      <c r="K6" s="413">
        <f t="shared" si="0"/>
        <v>8</v>
      </c>
      <c r="L6" s="413">
        <f t="shared" si="0"/>
        <v>9</v>
      </c>
      <c r="M6" s="413">
        <f t="shared" si="0"/>
        <v>10</v>
      </c>
      <c r="N6" s="413">
        <f t="shared" si="0"/>
        <v>11</v>
      </c>
      <c r="O6" s="413">
        <f t="shared" si="0"/>
        <v>12</v>
      </c>
      <c r="P6" s="413">
        <f t="shared" si="0"/>
        <v>13</v>
      </c>
      <c r="Q6" s="413">
        <f t="shared" si="0"/>
        <v>14</v>
      </c>
      <c r="R6" s="413">
        <f t="shared" si="0"/>
        <v>15</v>
      </c>
      <c r="S6" s="413">
        <f t="shared" si="0"/>
        <v>16</v>
      </c>
      <c r="T6" s="413">
        <f t="shared" si="0"/>
        <v>17</v>
      </c>
      <c r="U6" s="413">
        <f t="shared" si="0"/>
        <v>18</v>
      </c>
      <c r="V6" s="413">
        <f t="shared" si="0"/>
        <v>19</v>
      </c>
      <c r="W6" s="413">
        <f t="shared" si="0"/>
        <v>20</v>
      </c>
      <c r="X6" s="413">
        <f t="shared" si="0"/>
        <v>21</v>
      </c>
      <c r="Y6" s="413">
        <f t="shared" si="0"/>
        <v>22</v>
      </c>
      <c r="Z6" s="424"/>
      <c r="AA6" s="1311" t="s">
        <v>1901</v>
      </c>
    </row>
    <row r="7" spans="1:31" s="15" customFormat="1" ht="13.5" thickBot="1">
      <c r="A7" s="415" t="s">
        <v>444</v>
      </c>
      <c r="B7" s="49"/>
      <c r="C7" s="49"/>
      <c r="D7" s="994">
        <v>1998</v>
      </c>
      <c r="E7" s="231">
        <f t="shared" ref="E7:Y7" si="1">D7+1</f>
        <v>1999</v>
      </c>
      <c r="F7" s="231">
        <f t="shared" si="1"/>
        <v>2000</v>
      </c>
      <c r="G7" s="231">
        <f t="shared" si="1"/>
        <v>2001</v>
      </c>
      <c r="H7" s="231">
        <f t="shared" si="1"/>
        <v>2002</v>
      </c>
      <c r="I7" s="231">
        <f t="shared" si="1"/>
        <v>2003</v>
      </c>
      <c r="J7" s="231">
        <f t="shared" si="1"/>
        <v>2004</v>
      </c>
      <c r="K7" s="231">
        <f t="shared" si="1"/>
        <v>2005</v>
      </c>
      <c r="L7" s="231">
        <f t="shared" si="1"/>
        <v>2006</v>
      </c>
      <c r="M7" s="231">
        <f t="shared" si="1"/>
        <v>2007</v>
      </c>
      <c r="N7" s="231">
        <f t="shared" si="1"/>
        <v>2008</v>
      </c>
      <c r="O7" s="231">
        <f t="shared" si="1"/>
        <v>2009</v>
      </c>
      <c r="P7" s="231">
        <f t="shared" si="1"/>
        <v>2010</v>
      </c>
      <c r="Q7" s="231">
        <f t="shared" si="1"/>
        <v>2011</v>
      </c>
      <c r="R7" s="231">
        <f t="shared" si="1"/>
        <v>2012</v>
      </c>
      <c r="S7" s="231">
        <f t="shared" si="1"/>
        <v>2013</v>
      </c>
      <c r="T7" s="231">
        <f t="shared" si="1"/>
        <v>2014</v>
      </c>
      <c r="U7" s="231">
        <f t="shared" si="1"/>
        <v>2015</v>
      </c>
      <c r="V7" s="231">
        <f t="shared" si="1"/>
        <v>2016</v>
      </c>
      <c r="W7" s="231">
        <f t="shared" si="1"/>
        <v>2017</v>
      </c>
      <c r="X7" s="231">
        <f t="shared" si="1"/>
        <v>2018</v>
      </c>
      <c r="Y7" s="231">
        <f t="shared" si="1"/>
        <v>2019</v>
      </c>
      <c r="Z7" s="425" t="s">
        <v>441</v>
      </c>
      <c r="AA7" s="787">
        <v>1</v>
      </c>
    </row>
    <row r="8" spans="1:31" customFormat="1">
      <c r="A8" s="416"/>
      <c r="B8" s="1"/>
      <c r="C8" s="53"/>
      <c r="D8" s="1552"/>
      <c r="E8" s="1553"/>
      <c r="F8" s="1554"/>
      <c r="G8" s="1553"/>
      <c r="H8" s="1553"/>
      <c r="I8" s="1553"/>
      <c r="J8" s="1553"/>
      <c r="K8" s="1553"/>
      <c r="L8" s="1553"/>
      <c r="M8" s="1553"/>
      <c r="N8" s="1553"/>
      <c r="O8" s="1553"/>
      <c r="P8" s="1553"/>
      <c r="Q8" s="1553"/>
      <c r="R8" s="1553"/>
      <c r="S8" s="1553"/>
      <c r="T8" s="1553"/>
      <c r="U8" s="1553"/>
      <c r="V8" s="1553"/>
      <c r="W8" s="1553"/>
      <c r="X8" s="1553"/>
      <c r="Y8" s="1553"/>
      <c r="Z8" s="1555"/>
      <c r="AA8" s="34">
        <f t="shared" ref="AA8:AA71" si="2">AA7+1</f>
        <v>2</v>
      </c>
      <c r="AC8" s="15"/>
      <c r="AD8" s="15"/>
      <c r="AE8" s="15"/>
    </row>
    <row r="9" spans="1:31" s="15" customFormat="1">
      <c r="A9" s="20" t="s">
        <v>785</v>
      </c>
      <c r="D9" s="218">
        <f ca="1">IF(D$7&lt;YEAR(Startops1),0,IF(D$7=YEAR(Startops1),IF(D$7=YEAR(Startops2),MONTH(Startops2)-MONTH(Startops1),13-MONTH(Startops1)),IF(D$7&gt;YEAR(Startops2),0,IF(D$7=YEAR(Startops2),MONTH(Startops2)-1-D11,12))))</f>
        <v>0</v>
      </c>
      <c r="E9" s="218">
        <f ca="1">IF(E$7&lt;YEAR(Startops1),0,IF(E$7=YEAR(Startops1),IF(E$7=YEAR(Startops2),MONTH(Startops2)-MONTH(Startops1),13-MONTH(Startops1)),IF(E$7&gt;YEAR(Startops2),0,IF(E$7=YEAR(Startops2),MONTH(Startops2)-1-E11,12))))</f>
        <v>9</v>
      </c>
      <c r="F9" s="218">
        <f ca="1">IF(F$7&lt;YEAR(Startops1),0,IF(F$7=YEAR(Startops1),IF(F$7=YEAR(Startops2),MONTH(Startops2)-MONTH(Startops1),13-MONTH(Startops1)),IF(F$7&gt;YEAR(Startops2),0,IF(F$7=YEAR(Startops2),MONTH(Startops2)-1-F11,12))))</f>
        <v>12</v>
      </c>
      <c r="G9" s="1561">
        <v>0</v>
      </c>
      <c r="H9" s="218">
        <f t="shared" ref="H9:Y9" ca="1" si="3">IF(H$7&lt;YEAR(Startops1),0,IF(H$7=YEAR(Startops1),IF(H$7=YEAR(Startops2),MONTH(Startops2)-MONTH(Startops1),13-MONTH(Startops1)),IF(H$7&gt;YEAR(Startops2),0,IF(H$7=YEAR(Startops2),MONTH(Startops2)-1-H11,12))))</f>
        <v>0</v>
      </c>
      <c r="I9" s="218">
        <f t="shared" ca="1" si="3"/>
        <v>0</v>
      </c>
      <c r="J9" s="218">
        <f t="shared" ca="1" si="3"/>
        <v>0</v>
      </c>
      <c r="K9" s="218">
        <f t="shared" ca="1" si="3"/>
        <v>0</v>
      </c>
      <c r="L9" s="218">
        <f t="shared" ca="1" si="3"/>
        <v>0</v>
      </c>
      <c r="M9" s="218">
        <f t="shared" ca="1" si="3"/>
        <v>0</v>
      </c>
      <c r="N9" s="218">
        <f t="shared" ca="1" si="3"/>
        <v>0</v>
      </c>
      <c r="O9" s="218">
        <f t="shared" ca="1" si="3"/>
        <v>0</v>
      </c>
      <c r="P9" s="218">
        <f t="shared" ca="1" si="3"/>
        <v>0</v>
      </c>
      <c r="Q9" s="218">
        <f t="shared" ca="1" si="3"/>
        <v>0</v>
      </c>
      <c r="R9" s="218">
        <f t="shared" ca="1" si="3"/>
        <v>0</v>
      </c>
      <c r="S9" s="218">
        <f t="shared" ca="1" si="3"/>
        <v>0</v>
      </c>
      <c r="T9" s="218">
        <f t="shared" ca="1" si="3"/>
        <v>0</v>
      </c>
      <c r="U9" s="218">
        <f t="shared" ca="1" si="3"/>
        <v>0</v>
      </c>
      <c r="V9" s="218">
        <f t="shared" ca="1" si="3"/>
        <v>0</v>
      </c>
      <c r="W9" s="218">
        <f t="shared" ca="1" si="3"/>
        <v>0</v>
      </c>
      <c r="X9" s="218">
        <f t="shared" ca="1" si="3"/>
        <v>0</v>
      </c>
      <c r="Y9" s="218">
        <f t="shared" ca="1" si="3"/>
        <v>0</v>
      </c>
      <c r="Z9" s="427">
        <f ca="1">SUM(D9:Y9)</f>
        <v>21</v>
      </c>
      <c r="AA9" s="34">
        <f t="shared" si="2"/>
        <v>3</v>
      </c>
    </row>
    <row r="10" spans="1:31" s="15" customFormat="1">
      <c r="A10" s="20" t="s">
        <v>788</v>
      </c>
      <c r="D10" s="218">
        <f ca="1">D12-D9-D11</f>
        <v>0</v>
      </c>
      <c r="E10" s="218">
        <f t="shared" ref="E10:Y10" ca="1" si="4">E12-E9-E11</f>
        <v>0</v>
      </c>
      <c r="F10" s="218">
        <f t="shared" ca="1" si="4"/>
        <v>0</v>
      </c>
      <c r="G10" s="218">
        <f t="shared" ca="1" si="4"/>
        <v>7</v>
      </c>
      <c r="H10" s="218">
        <f t="shared" ca="1" si="4"/>
        <v>0</v>
      </c>
      <c r="I10" s="218">
        <f t="shared" ca="1" si="4"/>
        <v>0</v>
      </c>
      <c r="J10" s="218">
        <f t="shared" ca="1" si="4"/>
        <v>0</v>
      </c>
      <c r="K10" s="218">
        <f t="shared" ca="1" si="4"/>
        <v>0</v>
      </c>
      <c r="L10" s="218">
        <f t="shared" ca="1" si="4"/>
        <v>0</v>
      </c>
      <c r="M10" s="218">
        <f t="shared" ca="1" si="4"/>
        <v>0</v>
      </c>
      <c r="N10" s="218">
        <f t="shared" ca="1" si="4"/>
        <v>0</v>
      </c>
      <c r="O10" s="218">
        <f t="shared" ca="1" si="4"/>
        <v>0</v>
      </c>
      <c r="P10" s="218">
        <f t="shared" ca="1" si="4"/>
        <v>0</v>
      </c>
      <c r="Q10" s="218">
        <f t="shared" ca="1" si="4"/>
        <v>0</v>
      </c>
      <c r="R10" s="218">
        <f t="shared" ca="1" si="4"/>
        <v>0</v>
      </c>
      <c r="S10" s="218">
        <f t="shared" ca="1" si="4"/>
        <v>0</v>
      </c>
      <c r="T10" s="218">
        <f t="shared" ca="1" si="4"/>
        <v>0</v>
      </c>
      <c r="U10" s="218">
        <f t="shared" ca="1" si="4"/>
        <v>0</v>
      </c>
      <c r="V10" s="218">
        <f t="shared" ca="1" si="4"/>
        <v>0</v>
      </c>
      <c r="W10" s="218">
        <f t="shared" ca="1" si="4"/>
        <v>0</v>
      </c>
      <c r="X10" s="218">
        <f t="shared" ca="1" si="4"/>
        <v>0</v>
      </c>
      <c r="Y10" s="218">
        <f t="shared" ca="1" si="4"/>
        <v>0</v>
      </c>
      <c r="Z10" s="427">
        <f ca="1">SUM(D10:Y10)</f>
        <v>7</v>
      </c>
      <c r="AA10" s="34">
        <f t="shared" si="2"/>
        <v>4</v>
      </c>
    </row>
    <row r="11" spans="1:31" s="15" customFormat="1">
      <c r="A11" s="20" t="s">
        <v>789</v>
      </c>
      <c r="D11" s="228">
        <f>IF(D$7&lt;YEAR(Startops3),0,IF(D$7=YEAR(Startops3),13-MONTH(Startops3),IF(D$7=YEAR(Endyr),MONTH(Endyr),12)))</f>
        <v>0</v>
      </c>
      <c r="E11" s="228">
        <f t="shared" ref="E11:Y11" si="5">IF(E$7&lt;YEAR(Startops3),0,IF(E$7=YEAR(Startops3),13-MONTH(Startops3),IF(E$7=YEAR(Endyr),MONTH(Endyr),12)))</f>
        <v>0</v>
      </c>
      <c r="F11" s="228">
        <f t="shared" si="5"/>
        <v>0</v>
      </c>
      <c r="G11" s="228">
        <f t="shared" si="5"/>
        <v>5</v>
      </c>
      <c r="H11" s="228">
        <f t="shared" si="5"/>
        <v>12</v>
      </c>
      <c r="I11" s="228">
        <f t="shared" si="5"/>
        <v>12</v>
      </c>
      <c r="J11" s="228">
        <f t="shared" si="5"/>
        <v>12</v>
      </c>
      <c r="K11" s="228">
        <f t="shared" si="5"/>
        <v>12</v>
      </c>
      <c r="L11" s="228">
        <f t="shared" si="5"/>
        <v>12</v>
      </c>
      <c r="M11" s="228">
        <f t="shared" si="5"/>
        <v>12</v>
      </c>
      <c r="N11" s="228">
        <f t="shared" si="5"/>
        <v>12</v>
      </c>
      <c r="O11" s="228">
        <f t="shared" si="5"/>
        <v>12</v>
      </c>
      <c r="P11" s="228">
        <f t="shared" si="5"/>
        <v>12</v>
      </c>
      <c r="Q11" s="228">
        <f t="shared" si="5"/>
        <v>12</v>
      </c>
      <c r="R11" s="228">
        <f t="shared" si="5"/>
        <v>12</v>
      </c>
      <c r="S11" s="228">
        <f t="shared" si="5"/>
        <v>12</v>
      </c>
      <c r="T11" s="228">
        <f t="shared" si="5"/>
        <v>12</v>
      </c>
      <c r="U11" s="228">
        <f t="shared" si="5"/>
        <v>12</v>
      </c>
      <c r="V11" s="228">
        <f t="shared" si="5"/>
        <v>12</v>
      </c>
      <c r="W11" s="228">
        <f t="shared" si="5"/>
        <v>12</v>
      </c>
      <c r="X11" s="228">
        <f t="shared" si="5"/>
        <v>12</v>
      </c>
      <c r="Y11" s="228">
        <f t="shared" si="5"/>
        <v>4</v>
      </c>
      <c r="Z11" s="428">
        <f>SUM(D11:Y11)</f>
        <v>213</v>
      </c>
      <c r="AA11" s="34">
        <f t="shared" si="2"/>
        <v>5</v>
      </c>
    </row>
    <row r="12" spans="1:31" s="15" customFormat="1">
      <c r="A12" s="27" t="s">
        <v>790</v>
      </c>
      <c r="B12" s="3"/>
      <c r="D12" s="229">
        <f ca="1">IF(D$7&lt;YEAR(Startops1),0,IF(D$7=YEAR(Startops1),13-MONTH(Startops1),IF(D$7=YEAR(Endyr),MONTH(Startops1),12)))</f>
        <v>0</v>
      </c>
      <c r="E12" s="229">
        <f t="shared" ref="E12:Y12" ca="1" si="6">IF(E$7&lt;YEAR(Startops1),0,IF(E$7=YEAR(Startops1),13-MONTH(Startops1),IF(E$7=YEAR(Endyr),MONTH(Startops1),12)))</f>
        <v>9</v>
      </c>
      <c r="F12" s="229">
        <f t="shared" ca="1" si="6"/>
        <v>12</v>
      </c>
      <c r="G12" s="229">
        <f t="shared" ca="1" si="6"/>
        <v>12</v>
      </c>
      <c r="H12" s="229">
        <f t="shared" ca="1" si="6"/>
        <v>12</v>
      </c>
      <c r="I12" s="229">
        <f t="shared" ca="1" si="6"/>
        <v>12</v>
      </c>
      <c r="J12" s="229">
        <f t="shared" ca="1" si="6"/>
        <v>12</v>
      </c>
      <c r="K12" s="229">
        <f t="shared" ca="1" si="6"/>
        <v>12</v>
      </c>
      <c r="L12" s="229">
        <f t="shared" ca="1" si="6"/>
        <v>12</v>
      </c>
      <c r="M12" s="229">
        <f t="shared" ca="1" si="6"/>
        <v>12</v>
      </c>
      <c r="N12" s="229">
        <f t="shared" ca="1" si="6"/>
        <v>12</v>
      </c>
      <c r="O12" s="229">
        <f t="shared" ca="1" si="6"/>
        <v>12</v>
      </c>
      <c r="P12" s="229">
        <f t="shared" ca="1" si="6"/>
        <v>12</v>
      </c>
      <c r="Q12" s="229">
        <f t="shared" ca="1" si="6"/>
        <v>12</v>
      </c>
      <c r="R12" s="229">
        <f t="shared" ca="1" si="6"/>
        <v>12</v>
      </c>
      <c r="S12" s="229">
        <f t="shared" ca="1" si="6"/>
        <v>12</v>
      </c>
      <c r="T12" s="229">
        <f t="shared" ca="1" si="6"/>
        <v>12</v>
      </c>
      <c r="U12" s="229">
        <f t="shared" ca="1" si="6"/>
        <v>12</v>
      </c>
      <c r="V12" s="229">
        <f t="shared" ca="1" si="6"/>
        <v>12</v>
      </c>
      <c r="W12" s="229">
        <f t="shared" ca="1" si="6"/>
        <v>12</v>
      </c>
      <c r="X12" s="229">
        <f t="shared" ca="1" si="6"/>
        <v>12</v>
      </c>
      <c r="Y12" s="229">
        <f t="shared" ca="1" si="6"/>
        <v>4</v>
      </c>
      <c r="Z12" s="429">
        <f ca="1">SUM(D12:Y12)</f>
        <v>241</v>
      </c>
      <c r="AA12" s="34">
        <f t="shared" si="2"/>
        <v>6</v>
      </c>
    </row>
    <row r="13" spans="1:31" s="15" customFormat="1">
      <c r="A13" s="20"/>
      <c r="Z13" s="430"/>
      <c r="AA13" s="34">
        <f t="shared" si="2"/>
        <v>7</v>
      </c>
    </row>
    <row r="14" spans="1:31" s="15" customFormat="1">
      <c r="A14" s="20" t="s">
        <v>1496</v>
      </c>
      <c r="D14" s="65">
        <f ca="1">IF(D$7&lt;YEAR(Startops1),0,VLOOKUP(DATE(D$7,12,1),Plant_Table,'Plant Operations'!$J$270))</f>
        <v>0</v>
      </c>
      <c r="E14" s="65">
        <f ca="1">IF(E$7&lt;YEAR(Startops1),0,VLOOKUP(DATE(E$7,12,1),Plant_Table,'Plant Operations'!$J$270))</f>
        <v>107900</v>
      </c>
      <c r="F14" s="65">
        <f ca="1">IF(F$7&lt;YEAR(Startops1),0,VLOOKUP(DATE(F$7,12,1),Plant_Table,'Plant Operations'!$J$270))</f>
        <v>691778.88</v>
      </c>
      <c r="G14" s="65">
        <f ca="1">IF(G$7&lt;YEAR(Startops1),0,VLOOKUP(DATE(G$7,12,1),Plant_Table,'Plant Operations'!$J$270))</f>
        <v>177821.28</v>
      </c>
      <c r="H14" s="65">
        <f ca="1">IF(H$7&lt;YEAR(Startops1),0,VLOOKUP(DATE(H$7,12,1),Plant_Table,'Plant Operations'!$J$270))</f>
        <v>0</v>
      </c>
      <c r="I14" s="65">
        <f ca="1">IF(I$7&lt;YEAR(Startops1),0,VLOOKUP(DATE(I$7,12,1),Plant_Table,'Plant Operations'!$J$270))</f>
        <v>0</v>
      </c>
      <c r="J14" s="65">
        <f ca="1">IF(J$7&lt;YEAR(Startops1),0,VLOOKUP(DATE(J$7,12,1),Plant_Table,'Plant Operations'!$J$270))</f>
        <v>0</v>
      </c>
      <c r="K14" s="65">
        <f ca="1">IF(K$7&lt;YEAR(Startops1),0,VLOOKUP(DATE(K$7,12,1),Plant_Table,'Plant Operations'!$J$270))</f>
        <v>0</v>
      </c>
      <c r="L14" s="65">
        <f ca="1">IF(L$7&lt;YEAR(Startops1),0,VLOOKUP(DATE(L$7,12,1),Plant_Table,'Plant Operations'!$J$270))</f>
        <v>0</v>
      </c>
      <c r="M14" s="65">
        <f ca="1">IF(M$7&lt;YEAR(Startops1),0,VLOOKUP(DATE(M$7,12,1),Plant_Table,'Plant Operations'!$J$270))</f>
        <v>0</v>
      </c>
      <c r="N14" s="65">
        <f ca="1">IF(N$7&lt;YEAR(Startops1),0,VLOOKUP(DATE(N$7,12,1),Plant_Table,'Plant Operations'!$J$270))</f>
        <v>0</v>
      </c>
      <c r="O14" s="65">
        <f ca="1">IF(O$7&lt;YEAR(Startops1),0,VLOOKUP(DATE(O$7,12,1),Plant_Table,'Plant Operations'!$J$270))</f>
        <v>0</v>
      </c>
      <c r="P14" s="65">
        <f ca="1">IF(P$7&lt;YEAR(Startops1),0,VLOOKUP(DATE(P$7,12,1),Plant_Table,'Plant Operations'!$J$270))</f>
        <v>0</v>
      </c>
      <c r="Q14" s="65">
        <f ca="1">IF(Q$7&lt;YEAR(Startops1),0,VLOOKUP(DATE(Q$7,12,1),Plant_Table,'Plant Operations'!$J$270))</f>
        <v>0</v>
      </c>
      <c r="R14" s="65">
        <f ca="1">IF(R$7&lt;YEAR(Startops1),0,VLOOKUP(DATE(R$7,12,1),Plant_Table,'Plant Operations'!$J$270))</f>
        <v>0</v>
      </c>
      <c r="S14" s="65">
        <f ca="1">IF(S$7&lt;YEAR(Startops1),0,VLOOKUP(DATE(S$7,12,1),Plant_Table,'Plant Operations'!$J$270))</f>
        <v>0</v>
      </c>
      <c r="T14" s="65">
        <f ca="1">IF(T$7&lt;YEAR(Startops1),0,VLOOKUP(DATE(T$7,12,1),Plant_Table,'Plant Operations'!$J$270))</f>
        <v>0</v>
      </c>
      <c r="U14" s="65">
        <f ca="1">IF(U$7&lt;YEAR(Startops1),0,VLOOKUP(DATE(U$7,12,1),Plant_Table,'Plant Operations'!$J$270))</f>
        <v>0</v>
      </c>
      <c r="V14" s="65">
        <f ca="1">IF(V$7&lt;YEAR(Startops1),0,VLOOKUP(DATE(V$7,12,1),Plant_Table,'Plant Operations'!$J$270))</f>
        <v>0</v>
      </c>
      <c r="W14" s="65">
        <f ca="1">IF(W$7&lt;YEAR(Startops1),0,VLOOKUP(DATE(W$7,12,1),Plant_Table,'Plant Operations'!$J$270))</f>
        <v>0</v>
      </c>
      <c r="X14" s="65">
        <f ca="1">IF(X$7&lt;YEAR(Startops1),0,VLOOKUP(DATE(X$7,12,1),Plant_Table,'Plant Operations'!$J$270))</f>
        <v>0</v>
      </c>
      <c r="Y14" s="65">
        <f ca="1">IF(Y$7&lt;YEAR(Startops1),0,VLOOKUP(DATE(Y$7,12,1),Plant_Table,'Plant Operations'!$J$270))</f>
        <v>0</v>
      </c>
      <c r="Z14" s="431">
        <f ca="1">SUM(D14:Y14)</f>
        <v>977500.16000000003</v>
      </c>
      <c r="AA14" s="34">
        <f t="shared" si="2"/>
        <v>8</v>
      </c>
    </row>
    <row r="15" spans="1:31" s="15" customFormat="1">
      <c r="A15" s="20" t="s">
        <v>1499</v>
      </c>
      <c r="D15" s="72">
        <f ca="1">IF(D$7&lt;YEAR(Startops1),0,VLOOKUP(DATE(D$7,12,1),Plant_Table,'Plant Operations'!$N$270))</f>
        <v>0</v>
      </c>
      <c r="E15" s="72">
        <f ca="1">IF(E$7&lt;YEAR(Startops1),0,VLOOKUP(DATE(E$7,12,1),Plant_Table,'Plant Operations'!$N$270))</f>
        <v>0</v>
      </c>
      <c r="F15" s="72">
        <f ca="1">IF(F$7&lt;YEAR(Startops1),0,VLOOKUP(DATE(F$7,12,1),Plant_Table,'Plant Operations'!$N$270))</f>
        <v>0</v>
      </c>
      <c r="G15" s="72">
        <f ca="1">IF(G$7&lt;YEAR(Startops1),0,VLOOKUP(DATE(G$7,12,1),Plant_Table,'Plant Operations'!$N$270))</f>
        <v>2171833.2320000003</v>
      </c>
      <c r="H15" s="72">
        <f ca="1">IF(H$7&lt;YEAR(Startops1),0,VLOOKUP(DATE(H$7,12,1),Plant_Table,'Plant Operations'!$N$270))</f>
        <v>3520258.56</v>
      </c>
      <c r="I15" s="72">
        <f ca="1">IF(I$7&lt;YEAR(Startops1),0,VLOOKUP(DATE(I$7,12,1),Plant_Table,'Plant Operations'!$N$270))</f>
        <v>3520258.56</v>
      </c>
      <c r="J15" s="72">
        <f ca="1">IF(J$7&lt;YEAR(Startops1),0,VLOOKUP(DATE(J$7,12,1),Plant_Table,'Plant Operations'!$N$270))</f>
        <v>3529903.1039999998</v>
      </c>
      <c r="K15" s="72">
        <f ca="1">IF(K$7&lt;YEAR(Startops1),0,VLOOKUP(DATE(K$7,12,1),Plant_Table,'Plant Operations'!$N$270))</f>
        <v>3520258.56</v>
      </c>
      <c r="L15" s="72">
        <f ca="1">IF(L$7&lt;YEAR(Startops1),0,VLOOKUP(DATE(L$7,12,1),Plant_Table,'Plant Operations'!$N$270))</f>
        <v>3520258.56</v>
      </c>
      <c r="M15" s="72">
        <f ca="1">IF(M$7&lt;YEAR(Startops1),0,VLOOKUP(DATE(M$7,12,1),Plant_Table,'Plant Operations'!$N$270))</f>
        <v>3520258.56</v>
      </c>
      <c r="N15" s="72">
        <f ca="1">IF(N$7&lt;YEAR(Startops1),0,VLOOKUP(DATE(N$7,12,1),Plant_Table,'Plant Operations'!$N$270))</f>
        <v>3529903.1039999998</v>
      </c>
      <c r="O15" s="72">
        <f ca="1">IF(O$7&lt;YEAR(Startops1),0,VLOOKUP(DATE(O$7,12,1),Plant_Table,'Plant Operations'!$N$270))</f>
        <v>3520258.56</v>
      </c>
      <c r="P15" s="72">
        <f ca="1">IF(P$7&lt;YEAR(Startops1),0,VLOOKUP(DATE(P$7,12,1),Plant_Table,'Plant Operations'!$N$270))</f>
        <v>3520258.56</v>
      </c>
      <c r="Q15" s="72">
        <f ca="1">IF(Q$7&lt;YEAR(Startops1),0,VLOOKUP(DATE(Q$7,12,1),Plant_Table,'Plant Operations'!$N$270))</f>
        <v>3520258.56</v>
      </c>
      <c r="R15" s="72">
        <f ca="1">IF(R$7&lt;YEAR(Startops1),0,VLOOKUP(DATE(R$7,12,1),Plant_Table,'Plant Operations'!$N$270))</f>
        <v>3529903.1039999998</v>
      </c>
      <c r="S15" s="72">
        <f ca="1">IF(S$7&lt;YEAR(Startops1),0,VLOOKUP(DATE(S$7,12,1),Plant_Table,'Plant Operations'!$N$270))</f>
        <v>3520258.56</v>
      </c>
      <c r="T15" s="72">
        <f ca="1">IF(T$7&lt;YEAR(Startops1),0,VLOOKUP(DATE(T$7,12,1),Plant_Table,'Plant Operations'!$N$270))</f>
        <v>3520258.56</v>
      </c>
      <c r="U15" s="72">
        <f ca="1">IF(U$7&lt;YEAR(Startops1),0,VLOOKUP(DATE(U$7,12,1),Plant_Table,'Plant Operations'!$N$270))</f>
        <v>3520258.56</v>
      </c>
      <c r="V15" s="72">
        <f ca="1">IF(V$7&lt;YEAR(Startops1),0,VLOOKUP(DATE(V$7,12,1),Plant_Table,'Plant Operations'!$N$270))</f>
        <v>3529903.1039999998</v>
      </c>
      <c r="W15" s="72">
        <f ca="1">IF(W$7&lt;YEAR(Startops1),0,VLOOKUP(DATE(W$7,12,1),Plant_Table,'Plant Operations'!$N$270))</f>
        <v>3520258.56</v>
      </c>
      <c r="X15" s="72">
        <f ca="1">IF(X$7&lt;YEAR(Startops1),0,VLOOKUP(DATE(X$7,12,1),Plant_Table,'Plant Operations'!$N$270))</f>
        <v>3520258.56</v>
      </c>
      <c r="Y15" s="72">
        <f ca="1">IF(Y$7&lt;YEAR(Startops1),0,VLOOKUP(DATE(Y$7,12,1),Plant_Table,'Plant Operations'!$N$270))</f>
        <v>1157345.28</v>
      </c>
      <c r="Z15" s="432">
        <f ca="1">SUM(D15:Y15)</f>
        <v>63212152.208000019</v>
      </c>
      <c r="AA15" s="34">
        <f t="shared" si="2"/>
        <v>9</v>
      </c>
    </row>
    <row r="16" spans="1:31" s="15" customFormat="1">
      <c r="A16" s="27" t="s">
        <v>451</v>
      </c>
      <c r="B16" s="3"/>
      <c r="D16" s="73">
        <f t="shared" ref="D16:Y16" ca="1" si="7">SUM(D14:D15)</f>
        <v>0</v>
      </c>
      <c r="E16" s="73">
        <f t="shared" ca="1" si="7"/>
        <v>107900</v>
      </c>
      <c r="F16" s="73">
        <f t="shared" ca="1" si="7"/>
        <v>691778.88</v>
      </c>
      <c r="G16" s="73">
        <f ca="1">SUM(G14:G15)</f>
        <v>2349654.5120000001</v>
      </c>
      <c r="H16" s="73">
        <f t="shared" ca="1" si="7"/>
        <v>3520258.56</v>
      </c>
      <c r="I16" s="73">
        <f t="shared" ca="1" si="7"/>
        <v>3520258.56</v>
      </c>
      <c r="J16" s="73">
        <f t="shared" ca="1" si="7"/>
        <v>3529903.1039999998</v>
      </c>
      <c r="K16" s="73">
        <f t="shared" ca="1" si="7"/>
        <v>3520258.56</v>
      </c>
      <c r="L16" s="73">
        <f t="shared" ca="1" si="7"/>
        <v>3520258.56</v>
      </c>
      <c r="M16" s="73">
        <f t="shared" ca="1" si="7"/>
        <v>3520258.56</v>
      </c>
      <c r="N16" s="73">
        <f t="shared" ca="1" si="7"/>
        <v>3529903.1039999998</v>
      </c>
      <c r="O16" s="73">
        <f t="shared" ca="1" si="7"/>
        <v>3520258.56</v>
      </c>
      <c r="P16" s="73">
        <f t="shared" ca="1" si="7"/>
        <v>3520258.56</v>
      </c>
      <c r="Q16" s="73">
        <f t="shared" ca="1" si="7"/>
        <v>3520258.56</v>
      </c>
      <c r="R16" s="73">
        <f t="shared" ca="1" si="7"/>
        <v>3529903.1039999998</v>
      </c>
      <c r="S16" s="73">
        <f t="shared" ca="1" si="7"/>
        <v>3520258.56</v>
      </c>
      <c r="T16" s="73">
        <f t="shared" ca="1" si="7"/>
        <v>3520258.56</v>
      </c>
      <c r="U16" s="73">
        <f t="shared" ca="1" si="7"/>
        <v>3520258.56</v>
      </c>
      <c r="V16" s="73">
        <f t="shared" ca="1" si="7"/>
        <v>3529903.1039999998</v>
      </c>
      <c r="W16" s="73">
        <f t="shared" ca="1" si="7"/>
        <v>3520258.56</v>
      </c>
      <c r="X16" s="73">
        <f t="shared" ca="1" si="7"/>
        <v>3520258.56</v>
      </c>
      <c r="Y16" s="73">
        <f t="shared" ca="1" si="7"/>
        <v>1157345.28</v>
      </c>
      <c r="Z16" s="433">
        <f ca="1">SUM(D16:Y16)</f>
        <v>64189652.368000016</v>
      </c>
      <c r="AA16" s="34">
        <f t="shared" si="2"/>
        <v>10</v>
      </c>
    </row>
    <row r="17" spans="1:27" s="15" customFormat="1">
      <c r="A17" s="20"/>
      <c r="Z17" s="430"/>
      <c r="AA17" s="34">
        <f t="shared" si="2"/>
        <v>11</v>
      </c>
    </row>
    <row r="18" spans="1:27" s="15" customFormat="1">
      <c r="A18" s="20" t="s">
        <v>1497</v>
      </c>
      <c r="D18" s="65">
        <f ca="1">D14*Hr_I/1000</f>
        <v>0</v>
      </c>
      <c r="E18" s="65">
        <f t="shared" ref="E18:Y18" ca="1" si="8">E14*Hr_I/1000</f>
        <v>1089790</v>
      </c>
      <c r="F18" s="65">
        <f t="shared" ca="1" si="8"/>
        <v>6986966.6880000001</v>
      </c>
      <c r="G18" s="1876">
        <f ca="1">G14*Hr_I/1000</f>
        <v>1795994.9280000001</v>
      </c>
      <c r="H18" s="65">
        <f t="shared" ca="1" si="8"/>
        <v>0</v>
      </c>
      <c r="I18" s="65">
        <f t="shared" ca="1" si="8"/>
        <v>0</v>
      </c>
      <c r="J18" s="65">
        <f t="shared" ca="1" si="8"/>
        <v>0</v>
      </c>
      <c r="K18" s="65">
        <f t="shared" ca="1" si="8"/>
        <v>0</v>
      </c>
      <c r="L18" s="65">
        <f t="shared" ca="1" si="8"/>
        <v>0</v>
      </c>
      <c r="M18" s="65">
        <f t="shared" ca="1" si="8"/>
        <v>0</v>
      </c>
      <c r="N18" s="65">
        <f t="shared" ca="1" si="8"/>
        <v>0</v>
      </c>
      <c r="O18" s="65">
        <f t="shared" ca="1" si="8"/>
        <v>0</v>
      </c>
      <c r="P18" s="65">
        <f t="shared" ca="1" si="8"/>
        <v>0</v>
      </c>
      <c r="Q18" s="65">
        <f t="shared" ca="1" si="8"/>
        <v>0</v>
      </c>
      <c r="R18" s="65">
        <f t="shared" ca="1" si="8"/>
        <v>0</v>
      </c>
      <c r="S18" s="65">
        <f t="shared" ca="1" si="8"/>
        <v>0</v>
      </c>
      <c r="T18" s="65">
        <f t="shared" ca="1" si="8"/>
        <v>0</v>
      </c>
      <c r="U18" s="65">
        <f t="shared" ca="1" si="8"/>
        <v>0</v>
      </c>
      <c r="V18" s="65">
        <f t="shared" ca="1" si="8"/>
        <v>0</v>
      </c>
      <c r="W18" s="65">
        <f t="shared" ca="1" si="8"/>
        <v>0</v>
      </c>
      <c r="X18" s="65">
        <f t="shared" ca="1" si="8"/>
        <v>0</v>
      </c>
      <c r="Y18" s="65">
        <f t="shared" ca="1" si="8"/>
        <v>0</v>
      </c>
      <c r="Z18" s="431">
        <f ca="1">SUM(D18:Y18)</f>
        <v>9872751.6160000004</v>
      </c>
      <c r="AA18" s="34">
        <f t="shared" si="2"/>
        <v>12</v>
      </c>
    </row>
    <row r="19" spans="1:27" s="15" customFormat="1">
      <c r="A19" s="20" t="s">
        <v>1498</v>
      </c>
      <c r="D19" s="72">
        <f ca="1">IF(D$7&lt;YEAR(Startops1),0,VLOOKUP(DATE(D$7,12,1),Plant_Table,'Plant Operations'!$Q$270))</f>
        <v>0</v>
      </c>
      <c r="E19" s="72">
        <f ca="1">IF(E$7&lt;YEAR(Startops1),0,VLOOKUP(DATE(E$7,12,1),Plant_Table,'Plant Operations'!$Q$270))</f>
        <v>0</v>
      </c>
      <c r="F19" s="72">
        <f ca="1">IF(F$7&lt;YEAR(Startops1),0,VLOOKUP(DATE(F$7,12,1),Plant_Table,'Plant Operations'!$Q$270))</f>
        <v>0</v>
      </c>
      <c r="G19" s="72">
        <f ca="1">IF(G$7&lt;YEAR(Startops1),0,VLOOKUP(DATE(G$7,12,1),Plant_Table,'Plant Operations'!$Q$270))</f>
        <v>17361108.423999999</v>
      </c>
      <c r="H19" s="72">
        <f ca="1">IF(H$7&lt;YEAR(Startops1),0,VLOOKUP(DATE(H$7,12,1),Plant_Table,'Plant Operations'!$Q$270))</f>
        <v>24641809.920000002</v>
      </c>
      <c r="I19" s="72">
        <f ca="1">IF(I$7&lt;YEAR(Startops1),0,VLOOKUP(DATE(I$7,12,1),Plant_Table,'Plant Operations'!$Q$270))</f>
        <v>24641809.920000002</v>
      </c>
      <c r="J19" s="72">
        <f ca="1">IF(J$7&lt;YEAR(Startops1),0,VLOOKUP(DATE(J$7,12,1),Plant_Table,'Plant Operations'!$Q$270))</f>
        <v>24709321.728</v>
      </c>
      <c r="K19" s="72">
        <f ca="1">IF(K$7&lt;YEAR(Startops1),0,VLOOKUP(DATE(K$7,12,1),Plant_Table,'Plant Operations'!$Q$270))</f>
        <v>24641809.920000002</v>
      </c>
      <c r="L19" s="72">
        <f ca="1">IF(L$7&lt;YEAR(Startops1),0,VLOOKUP(DATE(L$7,12,1),Plant_Table,'Plant Operations'!$Q$270))</f>
        <v>24641809.920000002</v>
      </c>
      <c r="M19" s="72">
        <f ca="1">IF(M$7&lt;YEAR(Startops1),0,VLOOKUP(DATE(M$7,12,1),Plant_Table,'Plant Operations'!$Q$270))</f>
        <v>24641809.920000002</v>
      </c>
      <c r="N19" s="72">
        <f ca="1">IF(N$7&lt;YEAR(Startops1),0,VLOOKUP(DATE(N$7,12,1),Plant_Table,'Plant Operations'!$Q$270))</f>
        <v>24709321.728</v>
      </c>
      <c r="O19" s="72">
        <f ca="1">IF(O$7&lt;YEAR(Startops1),0,VLOOKUP(DATE(O$7,12,1),Plant_Table,'Plant Operations'!$Q$270))</f>
        <v>24641809.920000002</v>
      </c>
      <c r="P19" s="72">
        <f ca="1">IF(P$7&lt;YEAR(Startops1),0,VLOOKUP(DATE(P$7,12,1),Plant_Table,'Plant Operations'!$Q$270))</f>
        <v>24641809.920000002</v>
      </c>
      <c r="Q19" s="72">
        <f ca="1">IF(Q$7&lt;YEAR(Startops1),0,VLOOKUP(DATE(Q$7,12,1),Plant_Table,'Plant Operations'!$Q$270))</f>
        <v>24641809.920000002</v>
      </c>
      <c r="R19" s="72">
        <f ca="1">IF(R$7&lt;YEAR(Startops1),0,VLOOKUP(DATE(R$7,12,1),Plant_Table,'Plant Operations'!$Q$270))</f>
        <v>24709321.728</v>
      </c>
      <c r="S19" s="72">
        <f ca="1">IF(S$7&lt;YEAR(Startops1),0,VLOOKUP(DATE(S$7,12,1),Plant_Table,'Plant Operations'!$Q$270))</f>
        <v>24641809.920000002</v>
      </c>
      <c r="T19" s="72">
        <f ca="1">IF(T$7&lt;YEAR(Startops1),0,VLOOKUP(DATE(T$7,12,1),Plant_Table,'Plant Operations'!$Q$270))</f>
        <v>24641809.920000002</v>
      </c>
      <c r="U19" s="72">
        <f ca="1">IF(U$7&lt;YEAR(Startops1),0,VLOOKUP(DATE(U$7,12,1),Plant_Table,'Plant Operations'!$Q$270))</f>
        <v>24641809.920000002</v>
      </c>
      <c r="V19" s="72">
        <f ca="1">IF(V$7&lt;YEAR(Startops1),0,VLOOKUP(DATE(V$7,12,1),Plant_Table,'Plant Operations'!$Q$270))</f>
        <v>24709321.728</v>
      </c>
      <c r="W19" s="72">
        <f ca="1">IF(W$7&lt;YEAR(Startops1),0,VLOOKUP(DATE(W$7,12,1),Plant_Table,'Plant Operations'!$Q$270))</f>
        <v>24641809.920000002</v>
      </c>
      <c r="X19" s="72">
        <f ca="1">IF(X$7&lt;YEAR(Startops1),0,VLOOKUP(DATE(X$7,12,1),Plant_Table,'Plant Operations'!$Q$270))</f>
        <v>24641809.920000002</v>
      </c>
      <c r="Y19" s="72">
        <f ca="1">IF(Y$7&lt;YEAR(Startops1),0,VLOOKUP(DATE(Y$7,12,1),Plant_Table,'Plant Operations'!$Q$270))</f>
        <v>8101416.9600000009</v>
      </c>
      <c r="Z19" s="432">
        <f ca="1">SUM(D19:Y19)</f>
        <v>444643341.2560001</v>
      </c>
      <c r="AA19" s="34">
        <f t="shared" si="2"/>
        <v>13</v>
      </c>
    </row>
    <row r="20" spans="1:27" s="15" customFormat="1">
      <c r="A20" s="20" t="s">
        <v>1486</v>
      </c>
      <c r="D20" s="65">
        <f t="shared" ref="D20:Y20" ca="1" si="9">SUM(D18:D19)</f>
        <v>0</v>
      </c>
      <c r="E20" s="65">
        <f t="shared" ca="1" si="9"/>
        <v>1089790</v>
      </c>
      <c r="F20" s="65">
        <f t="shared" ca="1" si="9"/>
        <v>6986966.6880000001</v>
      </c>
      <c r="G20" s="65">
        <f ca="1">SUM(G18:G19)</f>
        <v>19157103.351999998</v>
      </c>
      <c r="H20" s="65">
        <f t="shared" ca="1" si="9"/>
        <v>24641809.920000002</v>
      </c>
      <c r="I20" s="65">
        <f t="shared" ca="1" si="9"/>
        <v>24641809.920000002</v>
      </c>
      <c r="J20" s="65">
        <f t="shared" ca="1" si="9"/>
        <v>24709321.728</v>
      </c>
      <c r="K20" s="65">
        <f t="shared" ca="1" si="9"/>
        <v>24641809.920000002</v>
      </c>
      <c r="L20" s="65">
        <f t="shared" ca="1" si="9"/>
        <v>24641809.920000002</v>
      </c>
      <c r="M20" s="65">
        <f t="shared" ca="1" si="9"/>
        <v>24641809.920000002</v>
      </c>
      <c r="N20" s="65">
        <f t="shared" ca="1" si="9"/>
        <v>24709321.728</v>
      </c>
      <c r="O20" s="65">
        <f t="shared" ca="1" si="9"/>
        <v>24641809.920000002</v>
      </c>
      <c r="P20" s="65">
        <f t="shared" ca="1" si="9"/>
        <v>24641809.920000002</v>
      </c>
      <c r="Q20" s="65">
        <f t="shared" ca="1" si="9"/>
        <v>24641809.920000002</v>
      </c>
      <c r="R20" s="65">
        <f t="shared" ca="1" si="9"/>
        <v>24709321.728</v>
      </c>
      <c r="S20" s="65">
        <f t="shared" ca="1" si="9"/>
        <v>24641809.920000002</v>
      </c>
      <c r="T20" s="65">
        <f t="shared" ca="1" si="9"/>
        <v>24641809.920000002</v>
      </c>
      <c r="U20" s="65">
        <f t="shared" ca="1" si="9"/>
        <v>24641809.920000002</v>
      </c>
      <c r="V20" s="65">
        <f t="shared" ca="1" si="9"/>
        <v>24709321.728</v>
      </c>
      <c r="W20" s="65">
        <f t="shared" ca="1" si="9"/>
        <v>24641809.920000002</v>
      </c>
      <c r="X20" s="65">
        <f t="shared" ca="1" si="9"/>
        <v>24641809.920000002</v>
      </c>
      <c r="Y20" s="65">
        <f t="shared" ca="1" si="9"/>
        <v>8101416.9600000009</v>
      </c>
      <c r="Z20" s="431">
        <f ca="1">SUM(D20:Y20)</f>
        <v>454516092.8720001</v>
      </c>
      <c r="AA20" s="34">
        <f t="shared" si="2"/>
        <v>14</v>
      </c>
    </row>
    <row r="21" spans="1:27" s="15" customFormat="1">
      <c r="A21" s="20"/>
      <c r="Z21" s="430"/>
      <c r="AA21" s="34">
        <f t="shared" si="2"/>
        <v>15</v>
      </c>
    </row>
    <row r="22" spans="1:27" s="15" customFormat="1">
      <c r="A22" s="417" t="s">
        <v>1244</v>
      </c>
      <c r="B22" s="31"/>
      <c r="C22" s="31"/>
      <c r="D22" s="85">
        <f ca="1">IF(D$7&lt;YEAR(Startops1),0,VLOOKUP(DATE(D$7,12,1),Plant_Table,'Plant Operations'!$U$270))</f>
        <v>0</v>
      </c>
      <c r="E22" s="85">
        <f ca="1">IF(E$7&lt;YEAR(Startops1),0,VLOOKUP(DATE(E$7,12,1),Plant_Table,'Plant Operations'!$U$270))</f>
        <v>0</v>
      </c>
      <c r="F22" s="85">
        <f ca="1">IF(F$7&lt;YEAR(Startops1),0,VLOOKUP(DATE(F$7,12,1),Plant_Table,'Plant Operations'!$U$270))</f>
        <v>0</v>
      </c>
      <c r="G22" s="85">
        <f ca="1">IF(G$7&lt;YEAR(Startops1),0,VLOOKUP(DATE(G$7,12,1),Plant_Table,'Plant Operations'!$U$270))</f>
        <v>17361108.423999999</v>
      </c>
      <c r="H22" s="1877">
        <f ca="1">IF(H$7&lt;YEAR(Startops1),0,VLOOKUP(DATE(H$7,12,1),Plant_Table,'Plant Operations'!$U$270))</f>
        <v>24641809.920000002</v>
      </c>
      <c r="I22" s="85">
        <f ca="1">IF(I$7&lt;YEAR(Startops1),0,VLOOKUP(DATE(I$7,12,1),Plant_Table,'Plant Operations'!$U$270))</f>
        <v>24641809.920000002</v>
      </c>
      <c r="J22" s="85">
        <f ca="1">IF(J$7&lt;YEAR(Startops1),0,VLOOKUP(DATE(J$7,12,1),Plant_Table,'Plant Operations'!$U$270))</f>
        <v>24709321.728</v>
      </c>
      <c r="K22" s="85">
        <f ca="1">IF(K$7&lt;YEAR(Startops1),0,VLOOKUP(DATE(K$7,12,1),Plant_Table,'Plant Operations'!$U$270))</f>
        <v>24641809.920000002</v>
      </c>
      <c r="L22" s="85">
        <f ca="1">IF(L$7&lt;YEAR(Startops1),0,VLOOKUP(DATE(L$7,12,1),Plant_Table,'Plant Operations'!$U$270))</f>
        <v>24641809.920000002</v>
      </c>
      <c r="M22" s="85">
        <f ca="1">IF(M$7&lt;YEAR(Startops1),0,VLOOKUP(DATE(M$7,12,1),Plant_Table,'Plant Operations'!$U$270))</f>
        <v>24641809.920000002</v>
      </c>
      <c r="N22" s="85">
        <f ca="1">IF(N$7&lt;YEAR(Startops1),0,VLOOKUP(DATE(N$7,12,1),Plant_Table,'Plant Operations'!$U$270))</f>
        <v>24709321.728</v>
      </c>
      <c r="O22" s="85">
        <f ca="1">IF(O$7&lt;YEAR(Startops1),0,VLOOKUP(DATE(O$7,12,1),Plant_Table,'Plant Operations'!$U$270))</f>
        <v>24641809.920000002</v>
      </c>
      <c r="P22" s="85">
        <f ca="1">IF(P$7&lt;YEAR(Startops1),0,VLOOKUP(DATE(P$7,12,1),Plant_Table,'Plant Operations'!$U$270))</f>
        <v>24641809.920000002</v>
      </c>
      <c r="Q22" s="85">
        <f ca="1">IF(Q$7&lt;YEAR(Startops1),0,VLOOKUP(DATE(Q$7,12,1),Plant_Table,'Plant Operations'!$U$270))</f>
        <v>24641809.920000002</v>
      </c>
      <c r="R22" s="85">
        <f ca="1">IF(R$7&lt;YEAR(Startops1),0,VLOOKUP(DATE(R$7,12,1),Plant_Table,'Plant Operations'!$U$270))</f>
        <v>24709321.728</v>
      </c>
      <c r="S22" s="85">
        <f ca="1">IF(S$7&lt;YEAR(Startops1),0,VLOOKUP(DATE(S$7,12,1),Plant_Table,'Plant Operations'!$U$270))</f>
        <v>24641809.920000002</v>
      </c>
      <c r="T22" s="85">
        <f ca="1">IF(T$7&lt;YEAR(Startops1),0,VLOOKUP(DATE(T$7,12,1),Plant_Table,'Plant Operations'!$U$270))</f>
        <v>24641809.920000002</v>
      </c>
      <c r="U22" s="85">
        <f ca="1">IF(U$7&lt;YEAR(Startops1),0,VLOOKUP(DATE(U$7,12,1),Plant_Table,'Plant Operations'!$U$270))</f>
        <v>24641809.920000002</v>
      </c>
      <c r="V22" s="85">
        <f ca="1">IF(V$7&lt;YEAR(Startops1),0,VLOOKUP(DATE(V$7,12,1),Plant_Table,'Plant Operations'!$U$270))</f>
        <v>24709321.728</v>
      </c>
      <c r="W22" s="85">
        <f ca="1">IF(W$7&lt;YEAR(Startops1),0,VLOOKUP(DATE(W$7,12,1),Plant_Table,'Plant Operations'!$U$270))</f>
        <v>24641809.920000002</v>
      </c>
      <c r="X22" s="85">
        <f ca="1">IF(X$7&lt;YEAR(Startops1),0,VLOOKUP(DATE(X$7,12,1),Plant_Table,'Plant Operations'!$U$270))</f>
        <v>24641809.920000002</v>
      </c>
      <c r="Y22" s="85">
        <f ca="1">IF(Y$7&lt;YEAR(Startops1),0,VLOOKUP(DATE(Y$7,12,1),Plant_Table,'Plant Operations'!$U$270))</f>
        <v>8101416.9600000009</v>
      </c>
      <c r="Z22" s="434">
        <f ca="1">SUM(D22:Y22)</f>
        <v>444643341.2560001</v>
      </c>
      <c r="AA22" s="34">
        <f t="shared" si="2"/>
        <v>16</v>
      </c>
    </row>
    <row r="23" spans="1:27" s="15" customFormat="1">
      <c r="A23" s="20"/>
      <c r="Z23" s="430"/>
      <c r="AA23" s="34">
        <f t="shared" si="2"/>
        <v>17</v>
      </c>
    </row>
    <row r="24" spans="1:27" s="15" customFormat="1">
      <c r="A24" s="27" t="s">
        <v>1569</v>
      </c>
      <c r="Z24" s="430"/>
      <c r="AA24" s="34">
        <f t="shared" si="2"/>
        <v>18</v>
      </c>
    </row>
    <row r="25" spans="1:27" s="1570" customFormat="1">
      <c r="A25" s="1568" t="s">
        <v>1568</v>
      </c>
      <c r="B25" s="1569"/>
      <c r="D25" s="1570">
        <f ca="1">VLOOKUP(DATE(D$7,12,1),Curves_Table,Escalation!$N$291)</f>
        <v>1.0143570536828965</v>
      </c>
      <c r="E25" s="1570">
        <f ca="1">VLOOKUP(DATE(E$7,12,1),Curves_Table,Escalation!$N$291)</f>
        <v>1.0374531835205993</v>
      </c>
      <c r="F25" s="1570">
        <f ca="1">VLOOKUP(DATE(F$7,12,1),Curves_Table,Escalation!$N$291)</f>
        <v>1.0620799950339679</v>
      </c>
      <c r="G25" s="1570">
        <f ca="1">VLOOKUP(DATE(G$7,12,1),Curves_Table,Escalation!$N$291)</f>
        <v>1.097180617479341</v>
      </c>
      <c r="H25" s="1570">
        <f ca="1">VLOOKUP(DATE(H$7,12,1),Curves_Table,Escalation!$N$291)</f>
        <v>1.1321906668383659</v>
      </c>
      <c r="I25" s="1570">
        <f ca="1">VLOOKUP(DATE(I$7,12,1),Curves_Table,Escalation!$N$291)</f>
        <v>1.166287045927733</v>
      </c>
      <c r="J25" s="1570">
        <f ca="1">VLOOKUP(DATE(J$7,12,1),Curves_Table,Escalation!$N$291)</f>
        <v>1.2003493342906499</v>
      </c>
      <c r="K25" s="1570">
        <f ca="1">VLOOKUP(DATE(K$7,12,1),Curves_Table,Escalation!$N$291)</f>
        <v>1.2346229437596627</v>
      </c>
      <c r="L25" s="1570">
        <f ca="1">VLOOKUP(DATE(L$7,12,1),Curves_Table,Escalation!$N$291)</f>
        <v>1.2691909562879884</v>
      </c>
      <c r="M25" s="1570">
        <f ca="1">VLOOKUP(DATE(M$7,12,1),Curves_Table,Escalation!$N$291)</f>
        <v>1.3038965761068158</v>
      </c>
      <c r="N25" s="1570">
        <f ca="1">VLOOKUP(DATE(N$7,12,1),Curves_Table,Escalation!$N$291)</f>
        <v>1.3387797805891259</v>
      </c>
      <c r="O25" s="1570">
        <f ca="1">VLOOKUP(DATE(O$7,12,1),Curves_Table,Escalation!$N$291)</f>
        <v>1.3739510144936682</v>
      </c>
      <c r="P25" s="1570">
        <f ca="1">VLOOKUP(DATE(P$7,12,1),Curves_Table,Escalation!$N$291)</f>
        <v>1.409454688092179</v>
      </c>
      <c r="Q25" s="1570">
        <f ca="1">VLOOKUP(DATE(Q$7,12,1),Curves_Table,Escalation!$N$291)</f>
        <v>1.4453629302678073</v>
      </c>
      <c r="R25" s="1570">
        <f ca="1">VLOOKUP(DATE(R$7,12,1),Curves_Table,Escalation!$N$291)</f>
        <v>1.4818086105109716</v>
      </c>
      <c r="S25" s="1570">
        <f ca="1">VLOOKUP(DATE(S$7,12,1),Curves_Table,Escalation!$N$291)</f>
        <v>1.5190107088932228</v>
      </c>
      <c r="T25" s="1570">
        <f ca="1">VLOOKUP(DATE(T$7,12,1),Curves_Table,Escalation!$N$291)</f>
        <v>1.5573978315409176</v>
      </c>
      <c r="U25" s="1570">
        <f ca="1">VLOOKUP(DATE(U$7,12,1),Curves_Table,Escalation!$N$291)</f>
        <v>1.5973303982415077</v>
      </c>
      <c r="V25" s="1570">
        <f ca="1">VLOOKUP(DATE(V$7,12,1),Curves_Table,Escalation!$N$291)</f>
        <v>1.6389834445299432</v>
      </c>
      <c r="W25" s="1570">
        <f ca="1">VLOOKUP(DATE(W$7,12,1),Curves_Table,Escalation!$N$291)</f>
        <v>1.6825466987361488</v>
      </c>
      <c r="X25" s="1570">
        <f ca="1">VLOOKUP(DATE(X$7,12,1),Curves_Table,Escalation!$N$291)</f>
        <v>1.7280133273368676</v>
      </c>
      <c r="Y25" s="1570">
        <f ca="1">VLOOKUP(DATE(Y$7,12,1),Curves_Table,Escalation!$N$291)</f>
        <v>1.7754357291063123</v>
      </c>
      <c r="Z25" s="1571"/>
      <c r="AA25" s="1572">
        <f t="shared" si="2"/>
        <v>19</v>
      </c>
    </row>
    <row r="26" spans="1:27" s="1570" customFormat="1">
      <c r="A26" s="1568" t="s">
        <v>1016</v>
      </c>
      <c r="B26" s="1569"/>
      <c r="D26" s="1570">
        <f ca="1">VLOOKUP(DATE(D$7,12,1),Curves_Table,Escalation!$R$291)</f>
        <v>1.0458060039912167</v>
      </c>
      <c r="E26" s="1570">
        <f ca="1">VLOOKUP(DATE(E$7,12,1),Curves_Table,Escalation!$R$291)</f>
        <v>1.1347786591515447</v>
      </c>
      <c r="F26" s="1570">
        <f ca="1">VLOOKUP(DATE(F$7,12,1),Curves_Table,Escalation!$R$291)</f>
        <v>1.3015048368339124</v>
      </c>
      <c r="G26" s="1570">
        <f ca="1">VLOOKUP(DATE(G$7,12,1),Curves_Table,Escalation!$R$291)</f>
        <v>1.4211614171077698</v>
      </c>
      <c r="H26" s="1570">
        <f ca="1">VLOOKUP(DATE(H$7,12,1),Curves_Table,Escalation!$R$291)</f>
        <v>1.5466937113114996</v>
      </c>
      <c r="I26" s="1570">
        <f ca="1">VLOOKUP(DATE(I$7,12,1),Curves_Table,Escalation!$R$291)</f>
        <v>1.6755808839625042</v>
      </c>
      <c r="J26" s="1570">
        <f ca="1">VLOOKUP(DATE(J$7,12,1),Curves_Table,Escalation!$R$291)</f>
        <v>1.8096273546795039</v>
      </c>
      <c r="K26" s="1570">
        <f ca="1">VLOOKUP(DATE(K$7,12,1),Curves_Table,Escalation!$R$291)</f>
        <v>1.9513768310631414</v>
      </c>
      <c r="L26" s="1570">
        <f ca="1">VLOOKUP(DATE(L$7,12,1),Curves_Table,Escalation!$R$291)</f>
        <v>2.0977300933928777</v>
      </c>
      <c r="M26" s="1570">
        <f ca="1">VLOOKUP(DATE(M$7,12,1),Curves_Table,Escalation!$R$291)</f>
        <v>2.2550598503973429</v>
      </c>
      <c r="N26" s="1570">
        <f ca="1">VLOOKUP(DATE(N$7,12,1),Curves_Table,Escalation!$R$291)</f>
        <v>2.4241893391771434</v>
      </c>
      <c r="O26" s="1570">
        <f ca="1">VLOOKUP(DATE(O$7,12,1),Curves_Table,Escalation!$R$291)</f>
        <v>2.6035770917136669</v>
      </c>
      <c r="P26" s="1570">
        <f ca="1">VLOOKUP(DATE(P$7,12,1),Curves_Table,Escalation!$R$291)</f>
        <v>2.7910346423170522</v>
      </c>
      <c r="Q26" s="1570">
        <f ca="1">VLOOKUP(DATE(Q$7,12,1),Curves_Table,Escalation!$R$291)</f>
        <v>2.9919891365638813</v>
      </c>
      <c r="R26" s="1570">
        <f ca="1">VLOOKUP(DATE(R$7,12,1),Curves_Table,Escalation!$R$291)</f>
        <v>3.2074123543964816</v>
      </c>
      <c r="S26" s="1570">
        <f ca="1">VLOOKUP(DATE(S$7,12,1),Curves_Table,Escalation!$R$291)</f>
        <v>3.4362064378571429</v>
      </c>
      <c r="T26" s="1570">
        <f ca="1">VLOOKUP(DATE(T$7,12,1),Curves_Table,Escalation!$R$291)</f>
        <v>3.6767408885071422</v>
      </c>
      <c r="U26" s="1570">
        <f ca="1">VLOOKUP(DATE(U$7,12,1),Curves_Table,Escalation!$R$291)</f>
        <v>3.9328867884073979</v>
      </c>
      <c r="V26" s="1570">
        <f ca="1">VLOOKUP(DATE(V$7,12,1),Curves_Table,Escalation!$R$291)</f>
        <v>4.2042559768075041</v>
      </c>
      <c r="W26" s="1570">
        <f ca="1">VLOOKUP(DATE(W$7,12,1),Curves_Table,Escalation!$R$291)</f>
        <v>4.4929477833336211</v>
      </c>
      <c r="X26" s="1570">
        <f ca="1">VLOOKUP(DATE(X$7,12,1),Curves_Table,Escalation!$R$291)</f>
        <v>4.7984682326003112</v>
      </c>
      <c r="Y26" s="1570">
        <f ca="1">VLOOKUP(DATE(Y$7,12,1),Curves_Table,Escalation!$R$291)</f>
        <v>5.1247640724171344</v>
      </c>
      <c r="Z26" s="1571"/>
      <c r="AA26" s="1572">
        <f t="shared" si="2"/>
        <v>20</v>
      </c>
    </row>
    <row r="27" spans="1:27" s="1570" customFormat="1">
      <c r="A27" s="1568" t="s">
        <v>633</v>
      </c>
      <c r="B27" s="1569"/>
      <c r="D27" s="1570">
        <f ca="1">IF(Assm!$L$74=0,VLOOKUP(DATE(D$7,12,1),Curves_Table,Escalation!$I$291),VLOOKUP(DATE(D$7,12,1),Curves_Table,Escalation!$J$291))</f>
        <v>1.0804</v>
      </c>
      <c r="E27" s="1570">
        <f ca="1">IF(Assm!$L$74=0,VLOOKUP(DATE(E$7,12,1),Curves_Table,Escalation!$I$291),VLOOKUP(DATE(E$7,12,1),Curves_Table,Escalation!$J$291))</f>
        <v>1.1640250000000001</v>
      </c>
      <c r="F27" s="1570">
        <f ca="1">IF(Assm!$L$74=0,VLOOKUP(DATE(F$7,12,1),Curves_Table,Escalation!$I$291),VLOOKUP(DATE(F$7,12,1),Curves_Table,Escalation!$J$291))</f>
        <v>1.8557916666666667</v>
      </c>
      <c r="G27" s="1570">
        <f ca="1">IF(Assm!$L$74=0,VLOOKUP(DATE(G$7,12,1),Curves_Table,Escalation!$I$291),VLOOKUP(DATE(G$7,12,1),Curves_Table,Escalation!$J$291))</f>
        <v>1.7762172530894818</v>
      </c>
      <c r="H27" s="1570">
        <f ca="1">IF(Assm!$L$74=0,VLOOKUP(DATE(H$7,12,1),Curves_Table,Escalation!$I$291),VLOOKUP(DATE(H$7,12,1),Curves_Table,Escalation!$J$291))</f>
        <v>1.9040823167445471</v>
      </c>
      <c r="I27" s="1570">
        <f ca="1">IF(Assm!$L$74=0,VLOOKUP(DATE(I$7,12,1),Curves_Table,Escalation!$I$291),VLOOKUP(DATE(I$7,12,1),Curves_Table,Escalation!$J$291))</f>
        <v>2.0630970585159614</v>
      </c>
      <c r="J27" s="1570">
        <f ca="1">IF(Assm!$L$74=0,VLOOKUP(DATE(J$7,12,1),Curves_Table,Escalation!$I$291),VLOOKUP(DATE(J$7,12,1),Curves_Table,Escalation!$J$291))</f>
        <v>2.1646877473553214</v>
      </c>
      <c r="K27" s="1570">
        <f ca="1">IF(Assm!$L$74=0,VLOOKUP(DATE(K$7,12,1),Curves_Table,Escalation!$I$291),VLOOKUP(DATE(K$7,12,1),Curves_Table,Escalation!$J$291))</f>
        <v>2.2361082090630116</v>
      </c>
      <c r="L27" s="1570">
        <f ca="1">IF(Assm!$L$74=0,VLOOKUP(DATE(L$7,12,1),Curves_Table,Escalation!$I$291),VLOOKUP(DATE(L$7,12,1),Curves_Table,Escalation!$J$291))</f>
        <v>2.3027862192387638</v>
      </c>
      <c r="M27" s="1570">
        <f ca="1">IF(Assm!$L$74=0,VLOOKUP(DATE(M$7,12,1),Curves_Table,Escalation!$I$291),VLOOKUP(DATE(M$7,12,1),Curves_Table,Escalation!$J$291))</f>
        <v>2.3677358500106247</v>
      </c>
      <c r="N27" s="1570">
        <f ca="1">IF(Assm!$L$74=0,VLOOKUP(DATE(N$7,12,1),Curves_Table,Escalation!$I$291),VLOOKUP(DATE(N$7,12,1),Curves_Table,Escalation!$J$291))</f>
        <v>2.4329667131936445</v>
      </c>
      <c r="O27" s="1570">
        <f ca="1">IF(Assm!$L$74=0,VLOOKUP(DATE(O$7,12,1),Curves_Table,Escalation!$I$291),VLOOKUP(DATE(O$7,12,1),Curves_Table,Escalation!$J$291))</f>
        <v>2.4970941347776465</v>
      </c>
      <c r="P27" s="1570">
        <f ca="1">IF(Assm!$L$74=0,VLOOKUP(DATE(P$7,12,1),Curves_Table,Escalation!$I$291),VLOOKUP(DATE(P$7,12,1),Curves_Table,Escalation!$J$291))</f>
        <v>2.5602899799837568</v>
      </c>
      <c r="Q27" s="1570">
        <f ca="1">IF(Assm!$L$74=0,VLOOKUP(DATE(Q$7,12,1),Curves_Table,Escalation!$I$291),VLOOKUP(DATE(Q$7,12,1),Curves_Table,Escalation!$J$291))</f>
        <v>2.6223805711397459</v>
      </c>
      <c r="R27" s="1570">
        <f ca="1">IF(Assm!$L$74=0,VLOOKUP(DATE(R$7,12,1),Curves_Table,Escalation!$I$291),VLOOKUP(DATE(R$7,12,1),Curves_Table,Escalation!$J$291))</f>
        <v>2.6806160002247092</v>
      </c>
      <c r="S27" s="1570">
        <f ca="1">IF(Assm!$L$74=0,VLOOKUP(DATE(S$7,12,1),Curves_Table,Escalation!$I$291),VLOOKUP(DATE(S$7,12,1),Curves_Table,Escalation!$J$291))</f>
        <v>2.7354586737388158</v>
      </c>
      <c r="T27" s="1570">
        <f ca="1">IF(Assm!$L$74=0,VLOOKUP(DATE(T$7,12,1),Curves_Table,Escalation!$I$291),VLOOKUP(DATE(T$7,12,1),Curves_Table,Escalation!$J$291))</f>
        <v>2.7903438893562451</v>
      </c>
      <c r="U27" s="1570">
        <f ca="1">IF(Assm!$L$74=0,VLOOKUP(DATE(U$7,12,1),Curves_Table,Escalation!$I$291),VLOOKUP(DATE(U$7,12,1),Curves_Table,Escalation!$J$291))</f>
        <v>2.8463067760959695</v>
      </c>
      <c r="V27" s="1570">
        <f ca="1">IF(Assm!$L$74=0,VLOOKUP(DATE(V$7,12,1),Curves_Table,Escalation!$I$291),VLOOKUP(DATE(V$7,12,1),Curves_Table,Escalation!$J$291))</f>
        <v>2.9031828886711959</v>
      </c>
      <c r="W27" s="1570">
        <f ca="1">IF(Assm!$L$74=0,VLOOKUP(DATE(W$7,12,1),Curves_Table,Escalation!$I$291),VLOOKUP(DATE(W$7,12,1),Curves_Table,Escalation!$J$291))</f>
        <v>2.9612224191821213</v>
      </c>
      <c r="X27" s="1570">
        <f ca="1">IF(Assm!$L$74=0,VLOOKUP(DATE(X$7,12,1),Curves_Table,Escalation!$I$291),VLOOKUP(DATE(X$7,12,1),Curves_Table,Escalation!$J$291))</f>
        <v>3.0203892595286703</v>
      </c>
      <c r="Y27" s="1570">
        <f ca="1">IF(Assm!$L$74=0,VLOOKUP(DATE(Y$7,12,1),Curves_Table,Escalation!$I$291),VLOOKUP(DATE(Y$7,12,1),Curves_Table,Escalation!$J$291))</f>
        <v>3.0807225214616292</v>
      </c>
      <c r="Z27" s="1571"/>
      <c r="AA27" s="1572">
        <f t="shared" si="2"/>
        <v>21</v>
      </c>
    </row>
    <row r="28" spans="1:27" s="15" customFormat="1">
      <c r="A28" s="20"/>
      <c r="B28" s="3"/>
      <c r="D28" s="225"/>
      <c r="E28" s="225"/>
      <c r="F28" s="225"/>
      <c r="G28" s="225"/>
      <c r="H28" s="225"/>
      <c r="I28" s="225"/>
      <c r="J28" s="225"/>
      <c r="K28" s="225"/>
      <c r="L28" s="225"/>
      <c r="M28" s="225"/>
      <c r="N28" s="225"/>
      <c r="O28" s="225"/>
      <c r="P28" s="225"/>
      <c r="Q28" s="225"/>
      <c r="R28" s="225"/>
      <c r="S28" s="225"/>
      <c r="T28" s="225"/>
      <c r="U28" s="225"/>
      <c r="V28" s="225"/>
      <c r="W28" s="225"/>
      <c r="X28" s="225"/>
      <c r="Y28" s="225"/>
      <c r="Z28" s="430"/>
      <c r="AA28" s="34">
        <f t="shared" si="2"/>
        <v>22</v>
      </c>
    </row>
    <row r="29" spans="1:27" s="15" customFormat="1">
      <c r="A29" s="27" t="s">
        <v>800</v>
      </c>
      <c r="Z29" s="430"/>
      <c r="AA29" s="34">
        <f t="shared" si="2"/>
        <v>23</v>
      </c>
    </row>
    <row r="30" spans="1:27" s="15" customFormat="1">
      <c r="A30" s="1419" t="s">
        <v>1510</v>
      </c>
      <c r="F30" s="37"/>
      <c r="Z30" s="430"/>
      <c r="AA30" s="34">
        <f t="shared" si="2"/>
        <v>24</v>
      </c>
    </row>
    <row r="31" spans="1:27">
      <c r="A31" s="20" t="s">
        <v>1441</v>
      </c>
      <c r="B31" s="15"/>
      <c r="C31" s="55"/>
      <c r="D31" s="37">
        <f ca="1">IF(D$7&lt;YEAR(Startops1),0,IF(Assm!$F$29=1,VLOOKUP(DATE(D$7,12,1),Annex12_Plant_Table,'Annex 12-Plant'!$W$270),VLOOKUP(DATE(D$7,12,1),Annex10_Plant_Table,'Annex 10-Plant'!$J$270)))</f>
        <v>0</v>
      </c>
      <c r="E31" s="37">
        <f ca="1">IF(E$7&lt;YEAR(Startops1),0,IF(Assm!$F$29=1,VLOOKUP(DATE(E$7,12,1),Annex12_Plant_Table,'Annex 12-Plant'!$W$270),VLOOKUP(DATE(E$7,12,1),Annex10_Plant_Table,'Annex 10-Plant'!$J$270)))</f>
        <v>8934.5434162791098</v>
      </c>
      <c r="F31" s="37">
        <f ca="1">IF(F$7&lt;YEAR(Startops1),0,IF(Assm!$F$29=1,VLOOKUP(DATE(F$7,12,1),Annex12_Plant_Table,'Annex 12-Plant'!$W$270),VLOOKUP(DATE(F$7,12,1),Annex10_Plant_Table,'Annex 10-Plant'!$J$270)))</f>
        <v>14716.753348715603</v>
      </c>
      <c r="G31" s="37">
        <f ca="1">IF(G$7&lt;YEAR(Startops1),0,IF(Assm!$F$29=1,VLOOKUP(DATE(G$7,12,1),Annex12_Plant_Table,'Annex 12-Plant'!$W$270),VLOOKUP(DATE(G$7,12,1),Annex10_Plant_Table,'Annex 10-Plant'!$J$270)))</f>
        <v>35822.207796894509</v>
      </c>
      <c r="H31" s="1867">
        <f ca="1">IF(H$7&lt;YEAR(Startops1),0,IF(Assm!$F$29=1,VLOOKUP(DATE(H$7,12,1),Annex12_Plant_Table,'Annex 12-Plant'!$W$270),VLOOKUP(DATE(H$7,12,1),Annex10_Plant_Table,'Annex 10-Plant'!$J$270)))</f>
        <v>55089.779762335973</v>
      </c>
      <c r="I31" s="37">
        <f ca="1">IF(I$7&lt;YEAR(Startops1),0,IF(Assm!$F$29=1,VLOOKUP(DATE(I$7,12,1),Annex12_Plant_Table,'Annex 12-Plant'!$W$270),VLOOKUP(DATE(I$7,12,1),Annex10_Plant_Table,'Annex 10-Plant'!$J$270)))</f>
        <v>59419.067984874513</v>
      </c>
      <c r="J31" s="37">
        <f ca="1">IF(J$7&lt;YEAR(Startops1),0,IF(Assm!$F$29=1,VLOOKUP(DATE(J$7,12,1),Annex12_Plant_Table,'Annex 12-Plant'!$W$270),VLOOKUP(DATE(J$7,12,1),Annex10_Plant_Table,'Annex 10-Plant'!$J$270)))</f>
        <v>62650.657979112759</v>
      </c>
      <c r="K31" s="37">
        <f ca="1">IF(K$7&lt;YEAR(Startops1),0,IF(Assm!$F$29=1,VLOOKUP(DATE(K$7,12,1),Annex12_Plant_Table,'Annex 12-Plant'!$W$270),VLOOKUP(DATE(K$7,12,1),Annex10_Plant_Table,'Annex 10-Plant'!$J$270)))</f>
        <v>64164.405320004807</v>
      </c>
      <c r="L31" s="37">
        <f ca="1">IF(L$7&lt;YEAR(Startops1),0,IF(Assm!$F$29=1,VLOOKUP(DATE(L$7,12,1),Annex12_Plant_Table,'Annex 12-Plant'!$W$270),VLOOKUP(DATE(L$7,12,1),Annex10_Plant_Table,'Annex 10-Plant'!$J$270)))</f>
        <v>64893.491520775286</v>
      </c>
      <c r="M31" s="37">
        <f ca="1">IF(M$7&lt;YEAR(Startops1),0,IF(Assm!$F$29=1,VLOOKUP(DATE(M$7,12,1),Annex12_Plant_Table,'Annex 12-Plant'!$W$270),VLOOKUP(DATE(M$7,12,1),Annex10_Plant_Table,'Annex 10-Plant'!$J$270)))</f>
        <v>62075.797187336982</v>
      </c>
      <c r="N31" s="37">
        <f ca="1">IF(N$7&lt;YEAR(Startops1),0,IF(Assm!$F$29=1,VLOOKUP(DATE(N$7,12,1),Annex12_Plant_Table,'Annex 12-Plant'!$W$270),VLOOKUP(DATE(N$7,12,1),Annex10_Plant_Table,'Annex 10-Plant'!$J$270)))</f>
        <v>58117.897253678049</v>
      </c>
      <c r="O31" s="37">
        <f ca="1">IF(O$7&lt;YEAR(Startops1),0,IF(Assm!$F$29=1,VLOOKUP(DATE(O$7,12,1),Annex12_Plant_Table,'Annex 12-Plant'!$W$270),VLOOKUP(DATE(O$7,12,1),Annex10_Plant_Table,'Annex 10-Plant'!$J$270)))</f>
        <v>56988.982978049331</v>
      </c>
      <c r="P31" s="37">
        <f ca="1">IF(P$7&lt;YEAR(Startops1),0,IF(Assm!$F$29=1,VLOOKUP(DATE(P$7,12,1),Annex12_Plant_Table,'Annex 12-Plant'!$W$270),VLOOKUP(DATE(P$7,12,1),Annex10_Plant_Table,'Annex 10-Plant'!$J$270)))</f>
        <v>58047.660898359078</v>
      </c>
      <c r="Q31" s="37">
        <f ca="1">IF(Q$7&lt;YEAR(Startops1),0,IF(Assm!$F$29=1,VLOOKUP(DATE(Q$7,12,1),Annex12_Plant_Table,'Annex 12-Plant'!$W$270),VLOOKUP(DATE(Q$7,12,1),Annex10_Plant_Table,'Annex 10-Plant'!$J$270)))</f>
        <v>57245.288104348838</v>
      </c>
      <c r="R31" s="37">
        <f ca="1">IF(R$7&lt;YEAR(Startops1),0,IF(Assm!$F$29=1,VLOOKUP(DATE(R$7,12,1),Annex12_Plant_Table,'Annex 12-Plant'!$W$270),VLOOKUP(DATE(R$7,12,1),Annex10_Plant_Table,'Annex 10-Plant'!$J$270)))</f>
        <v>49972.679517331351</v>
      </c>
      <c r="S31" s="37">
        <f ca="1">IF(S$7&lt;YEAR(Startops1),0,IF(Assm!$F$29=1,VLOOKUP(DATE(S$7,12,1),Annex12_Plant_Table,'Annex 12-Plant'!$W$270),VLOOKUP(DATE(S$7,12,1),Annex10_Plant_Table,'Annex 10-Plant'!$J$270)))</f>
        <v>53357.342325709695</v>
      </c>
      <c r="T31" s="37">
        <f ca="1">IF(T$7&lt;YEAR(Startops1),0,IF(Assm!$F$29=1,VLOOKUP(DATE(T$7,12,1),Annex12_Plant_Table,'Annex 12-Plant'!$W$270),VLOOKUP(DATE(T$7,12,1),Annex10_Plant_Table,'Annex 10-Plant'!$J$270)))</f>
        <v>40865.386924783474</v>
      </c>
      <c r="U31" s="37">
        <f ca="1">IF(U$7&lt;YEAR(Startops1),0,IF(Assm!$F$29=1,VLOOKUP(DATE(U$7,12,1),Annex12_Plant_Table,'Annex 12-Plant'!$W$270),VLOOKUP(DATE(U$7,12,1),Annex10_Plant_Table,'Annex 10-Plant'!$J$270)))</f>
        <v>24331.031210172554</v>
      </c>
      <c r="V31" s="37">
        <f ca="1">IF(V$7&lt;YEAR(Startops1),0,IF(Assm!$F$29=1,VLOOKUP(DATE(V$7,12,1),Annex12_Plant_Table,'Annex 12-Plant'!$W$270),VLOOKUP(DATE(V$7,12,1),Annex10_Plant_Table,'Annex 10-Plant'!$J$270)))</f>
        <v>19547.160857234136</v>
      </c>
      <c r="W31" s="37">
        <f ca="1">IF(W$7&lt;YEAR(Startops1),0,IF(Assm!$F$29=1,VLOOKUP(DATE(W$7,12,1),Annex12_Plant_Table,'Annex 12-Plant'!$W$270),VLOOKUP(DATE(W$7,12,1),Annex10_Plant_Table,'Annex 10-Plant'!$J$270)))</f>
        <v>18957.621493068724</v>
      </c>
      <c r="X31" s="37">
        <f ca="1">IF(X$7&lt;YEAR(Startops1),0,IF(Assm!$F$29=1,VLOOKUP(DATE(X$7,12,1),Annex12_Plant_Table,'Annex 12-Plant'!$W$270),VLOOKUP(DATE(X$7,12,1),Annex10_Plant_Table,'Annex 10-Plant'!$J$270)))</f>
        <v>14055.363934478106</v>
      </c>
      <c r="Y31" s="37">
        <f ca="1">IF(Y$7&lt;YEAR(Startops1),0,IF(Assm!$F$29=1,VLOOKUP(DATE(Y$7,12,1),Annex12_Plant_Table,'Annex 12-Plant'!$W$270),VLOOKUP(DATE(Y$7,12,1),Annex10_Plant_Table,'Annex 10-Plant'!$J$270)))</f>
        <v>3924.5529045111334</v>
      </c>
      <c r="Z31" s="435">
        <f ca="1">SUM(D31:Y31)</f>
        <v>883177.67271805392</v>
      </c>
      <c r="AA31" s="34">
        <f t="shared" si="2"/>
        <v>25</v>
      </c>
    </row>
    <row r="32" spans="1:27">
      <c r="A32" s="20" t="s">
        <v>439</v>
      </c>
      <c r="B32" s="15"/>
      <c r="C32" s="55"/>
      <c r="D32" s="37">
        <f ca="1">IF(D$7&lt;YEAR(Startops2),0,IF(Assm!$F$29=1,VLOOKUP(DATE(D$7,12,1),Annex12_Gas_Table,'Annex 12-Gas'!$M$270),VLOOKUP(DATE(D$7,12,1),Annex10_Gas_Table,'Annex 10-Gas'!$J$270)))</f>
        <v>0</v>
      </c>
      <c r="E32" s="37">
        <f ca="1">IF(E$7&lt;YEAR(Startops2),0,IF(Assm!$F$29=1,VLOOKUP(DATE(E$7,12,1),Annex12_Gas_Table,'Annex 12-Gas'!$M$270),VLOOKUP(DATE(E$7,12,1),Annex10_Gas_Table,'Annex 10-Gas'!$J$270)))</f>
        <v>0</v>
      </c>
      <c r="F32" s="37">
        <f ca="1">IF(F$7&lt;YEAR(Startops2),0,IF(Assm!$F$29=1,VLOOKUP(DATE(F$7,12,1),Annex12_Gas_Table,'Annex 12-Gas'!$M$270),VLOOKUP(DATE(F$7,12,1),Annex10_Gas_Table,'Annex 10-Gas'!$J$270)))</f>
        <v>0</v>
      </c>
      <c r="G32" s="37">
        <f ca="1">IF(G$7&lt;YEAR(Startops2),0,IF(Assm!$F$29=1,VLOOKUP(DATE(G$7,12,1),Annex12_Gas_Table,'Annex 12-Gas'!$M$270),VLOOKUP(DATE(G$7,12,1),Annex10_Gas_Table,'Annex 10-Gas'!$J$270)))</f>
        <v>33511.83559655118</v>
      </c>
      <c r="H32" s="1867">
        <f ca="1">IF(H$7&lt;YEAR(Startops2),0,IF(Assm!$F$29=1,VLOOKUP(DATE(H$7,12,1),Annex12_Gas_Table,'Annex 12-Gas'!$M$270),VLOOKUP(DATE(H$7,12,1),Annex10_Gas_Table,'Annex 10-Gas'!$J$270)))</f>
        <v>44982.029115107471</v>
      </c>
      <c r="I32" s="37">
        <f ca="1">IF(I$7&lt;YEAR(Startops2),0,IF(Assm!$F$29=1,VLOOKUP(DATE(I$7,12,1),Annex12_Gas_Table,'Annex 12-Gas'!$M$270),VLOOKUP(DATE(I$7,12,1),Annex10_Gas_Table,'Annex 10-Gas'!$J$270)))</f>
        <v>46382.042023491813</v>
      </c>
      <c r="J32" s="37">
        <f ca="1">IF(J$7&lt;YEAR(Startops2),0,IF(Assm!$F$29=1,VLOOKUP(DATE(J$7,12,1),Annex12_Gas_Table,'Annex 12-Gas'!$M$270),VLOOKUP(DATE(J$7,12,1),Annex10_Gas_Table,'Annex 10-Gas'!$J$270)))</f>
        <v>47784.616348157979</v>
      </c>
      <c r="K32" s="37">
        <f ca="1">IF(K$7&lt;YEAR(Startops2),0,IF(Assm!$F$29=1,VLOOKUP(DATE(K$7,12,1),Annex12_Gas_Table,'Annex 12-Gas'!$M$270),VLOOKUP(DATE(K$7,12,1),Annex10_Gas_Table,'Annex 10-Gas'!$J$270)))</f>
        <v>49116.713487804074</v>
      </c>
      <c r="L32" s="37">
        <f ca="1">IF(L$7&lt;YEAR(Startops2),0,IF(Assm!$F$29=1,VLOOKUP(DATE(L$7,12,1),Annex12_Gas_Table,'Annex 12-Gas'!$M$270),VLOOKUP(DATE(L$7,12,1),Annex10_Gas_Table,'Annex 10-Gas'!$J$270)))</f>
        <v>50515.62563685271</v>
      </c>
      <c r="M32" s="37">
        <f ca="1">IF(M$7&lt;YEAR(Startops2),0,IF(Assm!$F$29=1,VLOOKUP(DATE(M$7,12,1),Annex12_Gas_Table,'Annex 12-Gas'!$M$270),VLOOKUP(DATE(M$7,12,1),Annex10_Gas_Table,'Annex 10-Gas'!$J$270)))</f>
        <v>51946.750589898023</v>
      </c>
      <c r="N32" s="37">
        <f ca="1">IF(N$7&lt;YEAR(Startops2),0,IF(Assm!$F$29=1,VLOOKUP(DATE(N$7,12,1),Annex12_Gas_Table,'Annex 12-Gas'!$M$270),VLOOKUP(DATE(N$7,12,1),Annex10_Gas_Table,'Annex 10-Gas'!$J$270)))</f>
        <v>53313.417365354304</v>
      </c>
      <c r="O32" s="37">
        <f ca="1">IF(O$7&lt;YEAR(Startops2),0,IF(Assm!$F$29=1,VLOOKUP(DATE(O$7,12,1),Annex12_Gas_Table,'Annex 12-Gas'!$M$270),VLOOKUP(DATE(O$7,12,1),Annex10_Gas_Table,'Annex 10-Gas'!$J$270)))</f>
        <v>54735.607736101956</v>
      </c>
      <c r="P32" s="37">
        <f ca="1">IF(P$7&lt;YEAR(Startops2),0,IF(Assm!$F$29=1,VLOOKUP(DATE(P$7,12,1),Annex12_Gas_Table,'Annex 12-Gas'!$M$270),VLOOKUP(DATE(P$7,12,1),Annex10_Gas_Table,'Annex 10-Gas'!$J$270)))</f>
        <v>56191.250375479256</v>
      </c>
      <c r="Q32" s="37">
        <f ca="1">IF(Q$7&lt;YEAR(Startops2),0,IF(Assm!$F$29=1,VLOOKUP(DATE(Q$7,12,1),Annex12_Gas_Table,'Annex 12-Gas'!$M$270),VLOOKUP(DATE(Q$7,12,1),Annex10_Gas_Table,'Annex 10-Gas'!$J$270)))</f>
        <v>57563.826035169637</v>
      </c>
      <c r="R32" s="37">
        <f ca="1">IF(R$7&lt;YEAR(Startops2),0,IF(Assm!$F$29=1,VLOOKUP(DATE(R$7,12,1),Annex12_Gas_Table,'Annex 12-Gas'!$M$270),VLOOKUP(DATE(R$7,12,1),Annex10_Gas_Table,'Annex 10-Gas'!$J$270)))</f>
        <v>59030.465450098767</v>
      </c>
      <c r="S32" s="37">
        <f ca="1">IF(S$7&lt;YEAR(Startops2),0,IF(Assm!$F$29=1,VLOOKUP(DATE(S$7,12,1),Annex12_Gas_Table,'Annex 12-Gas'!$M$270),VLOOKUP(DATE(S$7,12,1),Annex10_Gas_Table,'Annex 10-Gas'!$J$270)))</f>
        <v>60560.068313788986</v>
      </c>
      <c r="T32" s="37">
        <f ca="1">IF(T$7&lt;YEAR(Startops2),0,IF(Assm!$F$29=1,VLOOKUP(DATE(T$7,12,1),Annex12_Gas_Table,'Annex 12-Gas'!$M$270),VLOOKUP(DATE(T$7,12,1),Annex10_Gas_Table,'Annex 10-Gas'!$J$270)))</f>
        <v>62048.692191258677</v>
      </c>
      <c r="U32" s="37">
        <f ca="1">IF(U$7&lt;YEAR(Startops2),0,IF(Assm!$F$29=1,VLOOKUP(DATE(U$7,12,1),Annex12_Gas_Table,'Annex 12-Gas'!$M$270),VLOOKUP(DATE(U$7,12,1),Annex10_Gas_Table,'Annex 10-Gas'!$J$270)))</f>
        <v>63647.427467420159</v>
      </c>
      <c r="V32" s="37">
        <f ca="1">IF(V$7&lt;YEAR(Startops2),0,IF(Assm!$F$29=1,VLOOKUP(DATE(V$7,12,1),Annex12_Gas_Table,'Annex 12-Gas'!$M$270),VLOOKUP(DATE(V$7,12,1),Annex10_Gas_Table,'Annex 10-Gas'!$J$270)))</f>
        <v>65337.032716807757</v>
      </c>
      <c r="W32" s="37">
        <f ca="1">IF(W$7&lt;YEAR(Startops2),0,IF(Assm!$F$29=1,VLOOKUP(DATE(W$7,12,1),Annex12_Gas_Table,'Annex 12-Gas'!$M$270),VLOOKUP(DATE(W$7,12,1),Annex10_Gas_Table,'Annex 10-Gas'!$J$270)))</f>
        <v>66986.414963270727</v>
      </c>
      <c r="X32" s="37">
        <f ca="1">IF(X$7&lt;YEAR(Startops2),0,IF(Assm!$F$29=1,VLOOKUP(DATE(X$7,12,1),Annex12_Gas_Table,'Annex 12-Gas'!$M$270),VLOOKUP(DATE(X$7,12,1),Annex10_Gas_Table,'Annex 10-Gas'!$J$270)))</f>
        <v>68798.793856254444</v>
      </c>
      <c r="Y32" s="37">
        <f ca="1">IF(Y$7&lt;YEAR(Startops2),0,IF(Assm!$F$29=1,VLOOKUP(DATE(Y$7,12,1),Annex12_Gas_Table,'Annex 12-Gas'!$M$270),VLOOKUP(DATE(Y$7,12,1),Annex10_Gas_Table,'Annex 10-Gas'!$J$270)))</f>
        <v>23144.841112367492</v>
      </c>
      <c r="Z32" s="435">
        <f ca="1">SUM(D32:Y32)</f>
        <v>1015597.4503812353</v>
      </c>
      <c r="AA32" s="34">
        <f t="shared" si="2"/>
        <v>26</v>
      </c>
    </row>
    <row r="33" spans="1:27">
      <c r="A33" s="20" t="s">
        <v>440</v>
      </c>
      <c r="B33" s="15"/>
      <c r="C33" s="55"/>
      <c r="D33" s="37">
        <f ca="1">IF(D$7&lt;YEAR(Startops2),0,IF(Assm!$F$29=1,VLOOKUP(DATE(D$7,12,1),Annex12_Gas_Table,'Annex 12-Gas'!$Y$270),VLOOKUP(DATE(D$7,12,1),Annex10_Gas_Table,'Annex 10-Gas'!$S$270)))</f>
        <v>0</v>
      </c>
      <c r="E33" s="37">
        <f ca="1">IF(E$7&lt;YEAR(Startops2),0,IF(Assm!$F$29=1,VLOOKUP(DATE(E$7,12,1),Annex12_Gas_Table,'Annex 12-Gas'!$Y$270),VLOOKUP(DATE(E$7,12,1),Annex10_Gas_Table,'Annex 10-Gas'!$S$270)))</f>
        <v>0</v>
      </c>
      <c r="F33" s="37">
        <f ca="1">IF(F$7&lt;YEAR(Startops2),0,IF(Assm!$F$29=1,VLOOKUP(DATE(F$7,12,1),Annex12_Gas_Table,'Annex 12-Gas'!$Y$270),VLOOKUP(DATE(F$7,12,1),Annex10_Gas_Table,'Annex 10-Gas'!$S$270)))</f>
        <v>0</v>
      </c>
      <c r="G33" s="37">
        <f ca="1">IF(G$7&lt;YEAR(Startops2),0,IF(Assm!$F$29=1,VLOOKUP(DATE(G$7,12,1),Annex12_Gas_Table,'Annex 12-Gas'!$Y$270),VLOOKUP(DATE(G$7,12,1),Annex10_Gas_Table,'Annex 10-Gas'!$S$270)))</f>
        <v>26285.165014813301</v>
      </c>
      <c r="H33" s="1409">
        <f ca="1">IF(H$7&lt;YEAR(Startops2),0,IF(Assm!$F$29=1,VLOOKUP(DATE(H$7,12,1),Annex12_Gas_Table,'Annex 12-Gas'!$Y$270),VLOOKUP(DATE(H$7,12,1),Annex10_Gas_Table,'Annex 10-Gas'!$S$270)))</f>
        <v>36247.512113263227</v>
      </c>
      <c r="I33" s="37">
        <f ca="1">IF(I$7&lt;YEAR(Startops2),0,IF(Assm!$F$29=1,VLOOKUP(DATE(I$7,12,1),Annex12_Gas_Table,'Annex 12-Gas'!$Y$270),VLOOKUP(DATE(I$7,12,1),Annex10_Gas_Table,'Annex 10-Gas'!$S$270)))</f>
        <v>37170.039409474404</v>
      </c>
      <c r="J33" s="37">
        <f ca="1">IF(J$7&lt;YEAR(Startops2),0,IF(Assm!$F$29=1,VLOOKUP(DATE(J$7,12,1),Annex12_Gas_Table,'Annex 12-Gas'!$Y$270),VLOOKUP(DATE(J$7,12,1),Annex10_Gas_Table,'Annex 10-Gas'!$S$270)))</f>
        <v>38128.742583453815</v>
      </c>
      <c r="K33" s="37">
        <f ca="1">IF(K$7&lt;YEAR(Startops2),0,IF(Assm!$F$29=1,VLOOKUP(DATE(K$7,12,1),Annex12_Gas_Table,'Annex 12-Gas'!$Y$270),VLOOKUP(DATE(K$7,12,1),Annex10_Gas_Table,'Annex 10-Gas'!$S$270)))</f>
        <v>38848.214704316539</v>
      </c>
      <c r="L33" s="37">
        <f ca="1">IF(L$7&lt;YEAR(Startops2),0,IF(Assm!$F$29=1,VLOOKUP(DATE(L$7,12,1),Annex12_Gas_Table,'Annex 12-Gas'!$Y$270),VLOOKUP(DATE(L$7,12,1),Annex10_Gas_Table,'Annex 10-Gas'!$S$270)))</f>
        <v>39745.861982318645</v>
      </c>
      <c r="M33" s="37">
        <f ca="1">IF(M$7&lt;YEAR(Startops2),0,IF(Assm!$F$29=1,VLOOKUP(DATE(M$7,12,1),Annex12_Gas_Table,'Annex 12-Gas'!$Y$270),VLOOKUP(DATE(M$7,12,1),Annex10_Gas_Table,'Annex 10-Gas'!$S$270)))</f>
        <v>40720.715948416844</v>
      </c>
      <c r="N33" s="37">
        <f ca="1">IF(N$7&lt;YEAR(Startops2),0,IF(Assm!$F$29=1,VLOOKUP(DATE(N$7,12,1),Annex12_Gas_Table,'Annex 12-Gas'!$Y$270),VLOOKUP(DATE(N$7,12,1),Annex10_Gas_Table,'Annex 10-Gas'!$S$270)))</f>
        <v>41475.41519044256</v>
      </c>
      <c r="O33" s="37">
        <f ca="1">IF(O$7&lt;YEAR(Startops2),0,IF(Assm!$F$29=1,VLOOKUP(DATE(O$7,12,1),Annex12_Gas_Table,'Annex 12-Gas'!$Y$270),VLOOKUP(DATE(O$7,12,1),Annex10_Gas_Table,'Annex 10-Gas'!$S$270)))</f>
        <v>42371.942229258151</v>
      </c>
      <c r="P33" s="37">
        <f ca="1">IF(P$7&lt;YEAR(Startops2),0,IF(Assm!$F$29=1,VLOOKUP(DATE(P$7,12,1),Annex12_Gas_Table,'Annex 12-Gas'!$Y$270),VLOOKUP(DATE(P$7,12,1),Annex10_Gas_Table,'Annex 10-Gas'!$S$270)))</f>
        <v>43335.635366778515</v>
      </c>
      <c r="Q33" s="37">
        <f ca="1">IF(Q$7&lt;YEAR(Startops2),0,IF(Assm!$F$29=1,VLOOKUP(DATE(Q$7,12,1),Annex12_Gas_Table,'Annex 12-Gas'!$Y$270),VLOOKUP(DATE(Q$7,12,1),Annex10_Gas_Table,'Annex 10-Gas'!$S$270)))</f>
        <v>44006.598439196518</v>
      </c>
      <c r="R33" s="37">
        <f ca="1">IF(R$7&lt;YEAR(Startops2),0,IF(Assm!$F$29=1,VLOOKUP(DATE(R$7,12,1),Annex12_Gas_Table,'Annex 12-Gas'!$Y$270),VLOOKUP(DATE(R$7,12,1),Annex10_Gas_Table,'Annex 10-Gas'!$S$270)))</f>
        <v>44910.918981984752</v>
      </c>
      <c r="S33" s="37">
        <f ca="1">IF(S$7&lt;YEAR(Startops2),0,IF(Assm!$F$29=1,VLOOKUP(DATE(S$7,12,1),Annex12_Gas_Table,'Annex 12-Gas'!$Y$270),VLOOKUP(DATE(S$7,12,1),Annex10_Gas_Table,'Annex 10-Gas'!$S$270)))</f>
        <v>45935.911533156759</v>
      </c>
      <c r="T33" s="37">
        <f ca="1">IF(T$7&lt;YEAR(Startops2),0,IF(Assm!$F$29=1,VLOOKUP(DATE(T$7,12,1),Annex12_Gas_Table,'Annex 12-Gas'!$Y$270),VLOOKUP(DATE(T$7,12,1),Annex10_Gas_Table,'Annex 10-Gas'!$S$270)))</f>
        <v>46735.646852540936</v>
      </c>
      <c r="U33" s="37">
        <f ca="1">IF(U$7&lt;YEAR(Startops2),0,IF(Assm!$F$29=1,VLOOKUP(DATE(U$7,12,1),Annex12_Gas_Table,'Annex 12-Gas'!$Y$270),VLOOKUP(DATE(U$7,12,1),Annex10_Gas_Table,'Annex 10-Gas'!$S$270)))</f>
        <v>47725.666603630241</v>
      </c>
      <c r="V33" s="37">
        <f ca="1">IF(V$7&lt;YEAR(Startops2),0,IF(Assm!$F$29=1,VLOOKUP(DATE(V$7,12,1),Annex12_Gas_Table,'Annex 12-Gas'!$Y$270),VLOOKUP(DATE(V$7,12,1),Annex10_Gas_Table,'Annex 10-Gas'!$S$270)))</f>
        <v>48825.995577172733</v>
      </c>
      <c r="W33" s="37">
        <f ca="1">IF(W$7&lt;YEAR(Startops2),0,IF(Assm!$F$29=1,VLOOKUP(DATE(W$7,12,1),Annex12_Gas_Table,'Annex 12-Gas'!$Y$270),VLOOKUP(DATE(W$7,12,1),Annex10_Gas_Table,'Annex 10-Gas'!$S$270)))</f>
        <v>49633.57142965254</v>
      </c>
      <c r="X33" s="37">
        <f ca="1">IF(X$7&lt;YEAR(Startops2),0,IF(Assm!$F$29=1,VLOOKUP(DATE(X$7,12,1),Annex12_Gas_Table,'Annex 12-Gas'!$Y$270),VLOOKUP(DATE(X$7,12,1),Annex10_Gas_Table,'Annex 10-Gas'!$S$270)))</f>
        <v>50739.598484589464</v>
      </c>
      <c r="Y33" s="37">
        <f ca="1">IF(Y$7&lt;YEAR(Startops2),0,IF(Assm!$F$29=1,VLOOKUP(DATE(Y$7,12,1),Annex12_Gas_Table,'Annex 12-Gas'!$Y$270),VLOOKUP(DATE(Y$7,12,1),Annex10_Gas_Table,'Annex 10-Gas'!$S$270)))</f>
        <v>17060.341679708705</v>
      </c>
      <c r="Z33" s="435">
        <f ca="1">SUM(D33:Y33)</f>
        <v>779903.49412416865</v>
      </c>
      <c r="AA33" s="34">
        <f t="shared" si="2"/>
        <v>27</v>
      </c>
    </row>
    <row r="34" spans="1:27">
      <c r="A34" s="20" t="s">
        <v>436</v>
      </c>
      <c r="B34" s="15"/>
      <c r="C34" s="55"/>
      <c r="D34" s="142">
        <f ca="1">IF(D$7&lt;YEAR(Startops1),0,-VLOOKUP(DATE(D$7,12,1),Penalty_Table,'Avail Penalty'!$M$270))</f>
        <v>0</v>
      </c>
      <c r="E34" s="142">
        <f ca="1">IF(E$7&lt;YEAR(Startops1),0,-VLOOKUP(DATE(E$7,12,1),Penalty_Table,'Avail Penalty'!$M$270))</f>
        <v>2.293460917784562E-13</v>
      </c>
      <c r="F34" s="142">
        <f ca="1">IF(F$7&lt;YEAR(Startops1),0,-VLOOKUP(DATE(F$7,12,1),Penalty_Table,'Avail Penalty'!$M$270))</f>
        <v>4.3647888758468624E-13</v>
      </c>
      <c r="G34" s="142">
        <f ca="1">IF(G$7&lt;YEAR(Startops1),0,-VLOOKUP(DATE(G$7,12,1),Penalty_Table,'Avail Penalty'!$M$270))</f>
        <v>0</v>
      </c>
      <c r="H34" s="142">
        <f ca="1">IF(H$7&lt;YEAR(Startops1),0,-VLOOKUP(DATE(H$7,12,1),Penalty_Table,'Avail Penalty'!$M$270))</f>
        <v>0</v>
      </c>
      <c r="I34" s="142">
        <f ca="1">IF(I$7&lt;YEAR(Startops1),0,-VLOOKUP(DATE(I$7,12,1),Penalty_Table,'Avail Penalty'!$M$270))</f>
        <v>0</v>
      </c>
      <c r="J34" s="142">
        <f ca="1">IF(J$7&lt;YEAR(Startops1),0,-VLOOKUP(DATE(J$7,12,1),Penalty_Table,'Avail Penalty'!$M$270))</f>
        <v>0</v>
      </c>
      <c r="K34" s="142">
        <f ca="1">IF(K$7&lt;YEAR(Startops1),0,-VLOOKUP(DATE(K$7,12,1),Penalty_Table,'Avail Penalty'!$M$270))</f>
        <v>0</v>
      </c>
      <c r="L34" s="142">
        <f ca="1">IF(L$7&lt;YEAR(Startops1),0,-VLOOKUP(DATE(L$7,12,1),Penalty_Table,'Avail Penalty'!$M$270))</f>
        <v>0</v>
      </c>
      <c r="M34" s="142">
        <f ca="1">IF(M$7&lt;YEAR(Startops1),0,-VLOOKUP(DATE(M$7,12,1),Penalty_Table,'Avail Penalty'!$M$270))</f>
        <v>0</v>
      </c>
      <c r="N34" s="142">
        <f ca="1">IF(N$7&lt;YEAR(Startops1),0,-VLOOKUP(DATE(N$7,12,1),Penalty_Table,'Avail Penalty'!$M$270))</f>
        <v>0</v>
      </c>
      <c r="O34" s="142">
        <f ca="1">IF(O$7&lt;YEAR(Startops1),0,-VLOOKUP(DATE(O$7,12,1),Penalty_Table,'Avail Penalty'!$M$270))</f>
        <v>0</v>
      </c>
      <c r="P34" s="142">
        <f ca="1">IF(P$7&lt;YEAR(Startops1),0,-VLOOKUP(DATE(P$7,12,1),Penalty_Table,'Avail Penalty'!$M$270))</f>
        <v>0</v>
      </c>
      <c r="Q34" s="142">
        <f ca="1">IF(Q$7&lt;YEAR(Startops1),0,-VLOOKUP(DATE(Q$7,12,1),Penalty_Table,'Avail Penalty'!$M$270))</f>
        <v>0</v>
      </c>
      <c r="R34" s="142">
        <f ca="1">IF(R$7&lt;YEAR(Startops1),0,-VLOOKUP(DATE(R$7,12,1),Penalty_Table,'Avail Penalty'!$M$270))</f>
        <v>0</v>
      </c>
      <c r="S34" s="142">
        <f ca="1">IF(S$7&lt;YEAR(Startops1),0,-VLOOKUP(DATE(S$7,12,1),Penalty_Table,'Avail Penalty'!$M$270))</f>
        <v>0</v>
      </c>
      <c r="T34" s="142">
        <f ca="1">IF(T$7&lt;YEAR(Startops1),0,-VLOOKUP(DATE(T$7,12,1),Penalty_Table,'Avail Penalty'!$M$270))</f>
        <v>0</v>
      </c>
      <c r="U34" s="142">
        <f ca="1">IF(U$7&lt;YEAR(Startops1),0,-VLOOKUP(DATE(U$7,12,1),Penalty_Table,'Avail Penalty'!$M$270))</f>
        <v>0</v>
      </c>
      <c r="V34" s="142">
        <f ca="1">IF(V$7&lt;YEAR(Startops1),0,-VLOOKUP(DATE(V$7,12,1),Penalty_Table,'Avail Penalty'!$M$270))</f>
        <v>0</v>
      </c>
      <c r="W34" s="142">
        <f ca="1">IF(W$7&lt;YEAR(Startops1),0,-VLOOKUP(DATE(W$7,12,1),Penalty_Table,'Avail Penalty'!$M$270))</f>
        <v>0</v>
      </c>
      <c r="X34" s="142">
        <f ca="1">IF(X$7&lt;YEAR(Startops1),0,-VLOOKUP(DATE(X$7,12,1),Penalty_Table,'Avail Penalty'!$M$270))</f>
        <v>0</v>
      </c>
      <c r="Y34" s="142">
        <f ca="1">IF(Y$7&lt;YEAR(Startops1),0,-VLOOKUP(DATE(Y$7,12,1),Penalty_Table,'Avail Penalty'!$M$270))</f>
        <v>0</v>
      </c>
      <c r="Z34" s="436">
        <f ca="1">SUM(D34:Y34)</f>
        <v>6.6582497936314239E-13</v>
      </c>
      <c r="AA34" s="34">
        <f t="shared" si="2"/>
        <v>28</v>
      </c>
    </row>
    <row r="35" spans="1:27">
      <c r="A35" s="27" t="s">
        <v>1278</v>
      </c>
      <c r="B35" s="3"/>
      <c r="C35" s="55"/>
      <c r="D35" s="224">
        <f t="shared" ref="D35:Y35" ca="1" si="10">SUM(D31:D34)</f>
        <v>0</v>
      </c>
      <c r="E35" s="224">
        <f t="shared" ca="1" si="10"/>
        <v>8934.5434162791098</v>
      </c>
      <c r="F35" s="224">
        <f t="shared" ca="1" si="10"/>
        <v>14716.753348715603</v>
      </c>
      <c r="G35" s="224">
        <f ca="1">SUM(G31:G34)</f>
        <v>95619.208408259001</v>
      </c>
      <c r="H35" s="1868">
        <f ca="1">SUM(H31:H34)</f>
        <v>136319.32099070668</v>
      </c>
      <c r="I35" s="224">
        <f t="shared" ca="1" si="10"/>
        <v>142971.14941784073</v>
      </c>
      <c r="J35" s="224">
        <f t="shared" ca="1" si="10"/>
        <v>148564.01691072457</v>
      </c>
      <c r="K35" s="224">
        <f t="shared" ca="1" si="10"/>
        <v>152129.33351212542</v>
      </c>
      <c r="L35" s="224">
        <f t="shared" ca="1" si="10"/>
        <v>155154.97913994663</v>
      </c>
      <c r="M35" s="224">
        <f t="shared" ca="1" si="10"/>
        <v>154743.26372565186</v>
      </c>
      <c r="N35" s="224">
        <f t="shared" ca="1" si="10"/>
        <v>152906.7298094749</v>
      </c>
      <c r="O35" s="224">
        <f t="shared" ca="1" si="10"/>
        <v>154096.53294340943</v>
      </c>
      <c r="P35" s="224">
        <f t="shared" ca="1" si="10"/>
        <v>157574.54664061684</v>
      </c>
      <c r="Q35" s="224">
        <f t="shared" ca="1" si="10"/>
        <v>158815.712578715</v>
      </c>
      <c r="R35" s="224">
        <f t="shared" ca="1" si="10"/>
        <v>153914.06394941488</v>
      </c>
      <c r="S35" s="224">
        <f t="shared" ca="1" si="10"/>
        <v>159853.32217265543</v>
      </c>
      <c r="T35" s="224">
        <f t="shared" ca="1" si="10"/>
        <v>149649.72596858308</v>
      </c>
      <c r="U35" s="224">
        <f t="shared" ca="1" si="10"/>
        <v>135704.12528122295</v>
      </c>
      <c r="V35" s="224">
        <f t="shared" ca="1" si="10"/>
        <v>133710.18915121461</v>
      </c>
      <c r="W35" s="224">
        <f t="shared" ca="1" si="10"/>
        <v>135577.60788599198</v>
      </c>
      <c r="X35" s="224">
        <f t="shared" ca="1" si="10"/>
        <v>133593.75627532203</v>
      </c>
      <c r="Y35" s="224">
        <f t="shared" ca="1" si="10"/>
        <v>44129.735696587333</v>
      </c>
      <c r="Z35" s="437">
        <f ca="1">SUM(D35:Y35)</f>
        <v>2678678.6172234579</v>
      </c>
      <c r="AA35" s="34">
        <f t="shared" si="2"/>
        <v>29</v>
      </c>
    </row>
    <row r="36" spans="1:27" s="70" customFormat="1">
      <c r="A36" s="345"/>
      <c r="B36" s="69"/>
      <c r="C36" s="34"/>
      <c r="D36" s="223"/>
      <c r="E36" s="223"/>
      <c r="F36" s="223"/>
      <c r="G36" s="223"/>
      <c r="H36" s="223"/>
      <c r="I36" s="223"/>
      <c r="J36" s="223"/>
      <c r="K36" s="223"/>
      <c r="L36" s="223"/>
      <c r="M36" s="223"/>
      <c r="N36" s="223"/>
      <c r="O36" s="223"/>
      <c r="P36" s="223"/>
      <c r="Q36" s="223"/>
      <c r="R36" s="223"/>
      <c r="S36" s="223"/>
      <c r="T36" s="223"/>
      <c r="U36" s="223"/>
      <c r="V36" s="223"/>
      <c r="W36" s="223"/>
      <c r="X36" s="223"/>
      <c r="Y36" s="223"/>
      <c r="Z36" s="438"/>
      <c r="AA36" s="34">
        <f t="shared" si="2"/>
        <v>30</v>
      </c>
    </row>
    <row r="37" spans="1:27">
      <c r="A37" s="132" t="s">
        <v>1511</v>
      </c>
      <c r="B37" s="15"/>
      <c r="C37" s="43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435"/>
      <c r="AA37" s="34">
        <f t="shared" si="2"/>
        <v>31</v>
      </c>
    </row>
    <row r="38" spans="1:27">
      <c r="A38" s="20" t="s">
        <v>1462</v>
      </c>
      <c r="B38" s="15"/>
      <c r="C38" s="55"/>
      <c r="D38" s="37">
        <f ca="1">IF(D$7&lt;YEAR(Startops2),0,IF(Assm!$F$29=1,VLOOKUP(DATE(D$7,12,1),Annex12_Gas_Table,'Annex 12-Gas'!$AK$270),VLOOKUP(DATE(D$7,12,1),Annex10_Gas_Table,'Annex 10-Gas'!$AD$270)))</f>
        <v>0</v>
      </c>
      <c r="E38" s="37">
        <f ca="1">IF(E$7&lt;YEAR(Startops2),0,IF(Assm!$F$29=1,VLOOKUP(DATE(E$7,12,1),Annex12_Gas_Table,'Annex 12-Gas'!$AK$270),VLOOKUP(DATE(E$7,12,1),Annex10_Gas_Table,'Annex 10-Gas'!$AD$270)))</f>
        <v>0</v>
      </c>
      <c r="F38" s="37">
        <f ca="1">IF(F$7&lt;YEAR(Startops2),0,IF(Assm!$F$29=1,VLOOKUP(DATE(F$7,12,1),Annex12_Gas_Table,'Annex 12-Gas'!$AK$270),VLOOKUP(DATE(F$7,12,1),Annex10_Gas_Table,'Annex 10-Gas'!$AD$270)))</f>
        <v>0</v>
      </c>
      <c r="G38" s="37">
        <f ca="1">IF(G$7&lt;YEAR(Startops2),0,IF(Assm!$F$29=1,VLOOKUP(DATE(G$7,12,1),Annex12_Gas_Table,'Annex 12-Gas'!$AK$270),VLOOKUP(DATE(G$7,12,1),Annex10_Gas_Table,'Annex 10-Gas'!$AD$270)))</f>
        <v>6113.4893281478526</v>
      </c>
      <c r="H38" s="37">
        <f ca="1">IF(H$7&lt;YEAR(Startops2),0,IF(Assm!$F$29=1,VLOOKUP(DATE(H$7,12,1),Annex12_Gas_Table,'Annex 12-Gas'!$AK$270),VLOOKUP(DATE(H$7,12,1),Annex10_Gas_Table,'Annex 10-Gas'!$AD$270)))</f>
        <v>8409.1008017016484</v>
      </c>
      <c r="I38" s="37">
        <f ca="1">IF(I$7&lt;YEAR(Startops2),0,IF(Assm!$F$29=1,VLOOKUP(DATE(I$7,12,1),Annex12_Gas_Table,'Annex 12-Gas'!$AK$270),VLOOKUP(DATE(I$7,12,1),Annex10_Gas_Table,'Annex 10-Gas'!$AD$270)))</f>
        <v>8562.2526594248866</v>
      </c>
      <c r="J38" s="37">
        <f ca="1">IF(J$7&lt;YEAR(Startops2),0,IF(Assm!$F$29=1,VLOOKUP(DATE(J$7,12,1),Annex12_Gas_Table,'Annex 12-Gas'!$AK$270),VLOOKUP(DATE(J$7,12,1),Annex10_Gas_Table,'Annex 10-Gas'!$AD$270)))</f>
        <v>8794.1358326536229</v>
      </c>
      <c r="K38" s="37">
        <f ca="1">IF(K$7&lt;YEAR(Startops2),0,IF(Assm!$F$29=1,VLOOKUP(DATE(K$7,12,1),Annex12_Gas_Table,'Annex 12-Gas'!$AK$270),VLOOKUP(DATE(K$7,12,1),Annex10_Gas_Table,'Annex 10-Gas'!$AD$270)))</f>
        <v>8940.2329541338295</v>
      </c>
      <c r="L38" s="37">
        <f ca="1">IF(L$7&lt;YEAR(Startops2),0,IF(Assm!$F$29=1,VLOOKUP(DATE(L$7,12,1),Annex12_Gas_Table,'Annex 12-Gas'!$AK$270),VLOOKUP(DATE(L$7,12,1),Annex10_Gas_Table,'Annex 10-Gas'!$AD$270)))</f>
        <v>9150.2894789582988</v>
      </c>
      <c r="M38" s="37">
        <f ca="1">IF(M$7&lt;YEAR(Startops2),0,IF(Assm!$F$29=1,VLOOKUP(DATE(M$7,12,1),Annex12_Gas_Table,'Annex 12-Gas'!$AK$270),VLOOKUP(DATE(M$7,12,1),Annex10_Gas_Table,'Annex 10-Gas'!$AD$270)))</f>
        <v>9387.3618744129744</v>
      </c>
      <c r="N38" s="37">
        <f ca="1">IF(N$7&lt;YEAR(Startops2),0,IF(Assm!$F$29=1,VLOOKUP(DATE(N$7,12,1),Annex12_Gas_Table,'Annex 12-Gas'!$AK$270),VLOOKUP(DATE(N$7,12,1),Annex10_Gas_Table,'Annex 10-Gas'!$AD$270)))</f>
        <v>9596.1612138839482</v>
      </c>
      <c r="O38" s="37">
        <f ca="1">IF(O$7&lt;YEAR(Startops2),0,IF(Assm!$F$29=1,VLOOKUP(DATE(O$7,12,1),Annex12_Gas_Table,'Annex 12-Gas'!$AK$270),VLOOKUP(DATE(O$7,12,1),Annex10_Gas_Table,'Annex 10-Gas'!$AD$270)))</f>
        <v>9754.1976777943237</v>
      </c>
      <c r="P38" s="37">
        <f ca="1">IF(P$7&lt;YEAR(Startops2),0,IF(Assm!$F$29=1,VLOOKUP(DATE(P$7,12,1),Annex12_Gas_Table,'Annex 12-Gas'!$AK$270),VLOOKUP(DATE(P$7,12,1),Annex10_Gas_Table,'Annex 10-Gas'!$AD$270)))</f>
        <v>9981.6360276105897</v>
      </c>
      <c r="Q38" s="37">
        <f ca="1">IF(Q$7&lt;YEAR(Startops2),0,IF(Assm!$F$29=1,VLOOKUP(DATE(Q$7,12,1),Annex12_Gas_Table,'Annex 12-Gas'!$AK$270),VLOOKUP(DATE(Q$7,12,1),Annex10_Gas_Table,'Annex 10-Gas'!$AD$270)))</f>
        <v>10136.746709115192</v>
      </c>
      <c r="R38" s="37">
        <f ca="1">IF(R$7&lt;YEAR(Startops2),0,IF(Assm!$F$29=1,VLOOKUP(DATE(R$7,12,1),Annex12_Gas_Table,'Annex 12-Gas'!$AK$270),VLOOKUP(DATE(R$7,12,1),Annex10_Gas_Table,'Annex 10-Gas'!$AD$270)))</f>
        <v>10367.171812323919</v>
      </c>
      <c r="S38" s="37">
        <f ca="1">IF(S$7&lt;YEAR(Startops2),0,IF(Assm!$F$29=1,VLOOKUP(DATE(S$7,12,1),Annex12_Gas_Table,'Annex 12-Gas'!$AK$270),VLOOKUP(DATE(S$7,12,1),Annex10_Gas_Table,'Annex 10-Gas'!$AD$270)))</f>
        <v>10589.542020892852</v>
      </c>
      <c r="T38" s="37">
        <f ca="1">IF(T$7&lt;YEAR(Startops2),0,IF(Assm!$F$29=1,VLOOKUP(DATE(T$7,12,1),Annex12_Gas_Table,'Annex 12-Gas'!$AK$270),VLOOKUP(DATE(T$7,12,1),Annex10_Gas_Table,'Annex 10-Gas'!$AD$270)))</f>
        <v>10783.953590314888</v>
      </c>
      <c r="U38" s="37">
        <f ca="1">IF(U$7&lt;YEAR(Startops2),0,IF(Assm!$F$29=1,VLOOKUP(DATE(U$7,12,1),Annex12_Gas_Table,'Annex 12-Gas'!$AK$270),VLOOKUP(DATE(U$7,12,1),Annex10_Gas_Table,'Annex 10-Gas'!$AD$270)))</f>
        <v>10986.639663394441</v>
      </c>
      <c r="V38" s="37">
        <f ca="1">IF(V$7&lt;YEAR(Startops2),0,IF(Assm!$F$29=1,VLOOKUP(DATE(V$7,12,1),Annex12_Gas_Table,'Annex 12-Gas'!$AK$270),VLOOKUP(DATE(V$7,12,1),Annex10_Gas_Table,'Annex 10-Gas'!$AD$270)))</f>
        <v>11276.578682134301</v>
      </c>
      <c r="W38" s="37">
        <f ca="1">IF(W$7&lt;YEAR(Startops2),0,IF(Assm!$F$29=1,VLOOKUP(DATE(W$7,12,1),Annex12_Gas_Table,'Annex 12-Gas'!$AK$270),VLOOKUP(DATE(W$7,12,1),Annex10_Gas_Table,'Annex 10-Gas'!$AD$270)))</f>
        <v>11432.961047079445</v>
      </c>
      <c r="X38" s="37">
        <f ca="1">IF(X$7&lt;YEAR(Startops2),0,IF(Assm!$F$29=1,VLOOKUP(DATE(X$7,12,1),Annex12_Gas_Table,'Annex 12-Gas'!$AK$270),VLOOKUP(DATE(X$7,12,1),Annex10_Gas_Table,'Annex 10-Gas'!$AD$270)))</f>
        <v>11681.263368113881</v>
      </c>
      <c r="Y38" s="37">
        <f ca="1">IF(Y$7&lt;YEAR(Startops2),0,IF(Assm!$F$29=1,VLOOKUP(DATE(Y$7,12,1),Annex12_Gas_Table,'Annex 12-Gas'!$AK$270),VLOOKUP(DATE(Y$7,12,1),Annex10_Gas_Table,'Annex 10-Gas'!$AD$270)))</f>
        <v>3872.9043025748024</v>
      </c>
      <c r="Z38" s="435">
        <f ca="1">SUM(D38:Y38)</f>
        <v>179816.61904466568</v>
      </c>
      <c r="AA38" s="34">
        <f t="shared" si="2"/>
        <v>32</v>
      </c>
    </row>
    <row r="39" spans="1:27">
      <c r="A39" s="20" t="s">
        <v>383</v>
      </c>
      <c r="B39" s="15"/>
      <c r="C39" s="55"/>
      <c r="D39" s="142">
        <f ca="1">IF(D$7&lt;YEAR(Startops1),0,IF(Assm!$F$29=1,VLOOKUP(DATE(D$7,12,1),Annex12_Plant_Table,'Annex 12-Plant'!$AF$270),VLOOKUP(DATE(D$7,12,1),Annex10_Plant_Table,'Annex 10-Plant'!$S$270)))</f>
        <v>0</v>
      </c>
      <c r="E39" s="142">
        <f ca="1">IF(E$7&lt;YEAR(Startops1),0,IF(Assm!$F$29=1,VLOOKUP(DATE(E$7,12,1),Annex12_Plant_Table,'Annex 12-Plant'!$AF$270),VLOOKUP(DATE(E$7,12,1),Annex10_Plant_Table,'Annex 10-Plant'!$S$270)))</f>
        <v>11.225117330992536</v>
      </c>
      <c r="F39" s="142">
        <f ca="1">IF(F$7&lt;YEAR(Startops1),0,IF(Assm!$F$29=1,VLOOKUP(DATE(F$7,12,1),Annex12_Plant_Table,'Annex 12-Plant'!$AF$270),VLOOKUP(DATE(F$7,12,1),Annex10_Plant_Table,'Annex 10-Plant'!$S$270)))</f>
        <v>85.874749017426893</v>
      </c>
      <c r="G39" s="142">
        <f ca="1">IF(G$7&lt;YEAR(Startops1),0,IF(Assm!$F$29=1,VLOOKUP(DATE(G$7,12,1),Annex12_Plant_Table,'Annex 12-Plant'!$AF$270),VLOOKUP(DATE(G$7,12,1),Annex10_Plant_Table,'Annex 10-Plant'!$S$270)))</f>
        <v>238.04864495999257</v>
      </c>
      <c r="H39" s="142">
        <f ca="1">IF(H$7&lt;YEAR(Startops1),0,IF(Assm!$F$29=1,VLOOKUP(DATE(H$7,12,1),Annex12_Plant_Table,'Annex 12-Plant'!$AF$270),VLOOKUP(DATE(H$7,12,1),Annex10_Plant_Table,'Annex 10-Plant'!$S$270)))</f>
        <v>487.86184538946912</v>
      </c>
      <c r="I39" s="142">
        <f ca="1">IF(I$7&lt;YEAR(Startops1),0,IF(Assm!$F$29=1,VLOOKUP(DATE(I$7,12,1),Annex12_Plant_Table,'Annex 12-Plant'!$AF$270),VLOOKUP(DATE(I$7,12,1),Annex10_Plant_Table,'Annex 10-Plant'!$S$270)))</f>
        <v>504.49197196668308</v>
      </c>
      <c r="J39" s="142">
        <f ca="1">IF(J$7&lt;YEAR(Startops1),0,IF(Assm!$F$29=1,VLOOKUP(DATE(J$7,12,1),Annex12_Plant_Table,'Annex 12-Plant'!$AF$270),VLOOKUP(DATE(J$7,12,1),Annex10_Plant_Table,'Annex 10-Plant'!$S$270)))</f>
        <v>529.35959922793404</v>
      </c>
      <c r="K39" s="142">
        <f ca="1">IF(K$7&lt;YEAR(Startops1),0,IF(Assm!$F$29=1,VLOOKUP(DATE(K$7,12,1),Annex12_Plant_Table,'Annex 12-Plant'!$AF$270),VLOOKUP(DATE(K$7,12,1),Annex10_Plant_Table,'Annex 10-Plant'!$S$270)))</f>
        <v>553.12043744124298</v>
      </c>
      <c r="L39" s="142">
        <f ca="1">IF(L$7&lt;YEAR(Startops1),0,IF(Assm!$F$29=1,VLOOKUP(DATE(L$7,12,1),Annex12_Plant_Table,'Annex 12-Plant'!$AF$270),VLOOKUP(DATE(L$7,12,1),Annex10_Plant_Table,'Annex 10-Plant'!$S$270)))</f>
        <v>578.86024712248411</v>
      </c>
      <c r="M39" s="142">
        <f ca="1">IF(M$7&lt;YEAR(Startops1),0,IF(Assm!$F$29=1,VLOOKUP(DATE(M$7,12,1),Annex12_Plant_Table,'Annex 12-Plant'!$AF$270),VLOOKUP(DATE(M$7,12,1),Annex10_Plant_Table,'Annex 10-Plant'!$S$270)))</f>
        <v>605.59352264170366</v>
      </c>
      <c r="N39" s="142">
        <f ca="1">IF(N$7&lt;YEAR(Startops1),0,IF(Assm!$F$29=1,VLOOKUP(DATE(N$7,12,1),Annex12_Plant_Table,'Annex 12-Plant'!$AF$270),VLOOKUP(DATE(N$7,12,1),Annex10_Plant_Table,'Annex 10-Plant'!$S$270)))</f>
        <v>635.97052069696997</v>
      </c>
      <c r="O39" s="142">
        <f ca="1">IF(O$7&lt;YEAR(Startops1),0,IF(Assm!$F$29=1,VLOOKUP(DATE(O$7,12,1),Annex12_Plant_Table,'Annex 12-Plant'!$AF$270),VLOOKUP(DATE(O$7,12,1),Annex10_Plant_Table,'Annex 10-Plant'!$S$270)))</f>
        <v>664.62043959477103</v>
      </c>
      <c r="P39" s="142">
        <f ca="1">IF(P$7&lt;YEAR(Startops1),0,IF(Assm!$F$29=1,VLOOKUP(DATE(P$7,12,1),Annex12_Plant_Table,'Annex 12-Plant'!$AF$270),VLOOKUP(DATE(P$7,12,1),Annex10_Plant_Table,'Annex 10-Plant'!$S$270)))</f>
        <v>696.01890838712848</v>
      </c>
      <c r="Q39" s="142">
        <f ca="1">IF(Q$7&lt;YEAR(Startops1),0,IF(Assm!$F$29=1,VLOOKUP(DATE(Q$7,12,1),Annex12_Plant_Table,'Annex 12-Plant'!$AF$270),VLOOKUP(DATE(Q$7,12,1),Annex10_Plant_Table,'Annex 10-Plant'!$S$270)))</f>
        <v>729.93418444925874</v>
      </c>
      <c r="R39" s="142">
        <f ca="1">IF(R$7&lt;YEAR(Startops1),0,IF(Assm!$F$29=1,VLOOKUP(DATE(R$7,12,1),Annex12_Plant_Table,'Annex 12-Plant'!$AF$270),VLOOKUP(DATE(R$7,12,1),Annex10_Plant_Table,'Annex 10-Plant'!$S$270)))</f>
        <v>706.12485771678234</v>
      </c>
      <c r="S39" s="142">
        <f ca="1">IF(S$7&lt;YEAR(Startops1),0,IF(Assm!$F$29=1,VLOOKUP(DATE(S$7,12,1),Annex12_Plant_Table,'Annex 12-Plant'!$AF$270),VLOOKUP(DATE(S$7,12,1),Annex10_Plant_Table,'Annex 10-Plant'!$S$270)))</f>
        <v>805.50384393810873</v>
      </c>
      <c r="T39" s="142">
        <f ca="1">IF(T$7&lt;YEAR(Startops1),0,IF(Assm!$F$29=1,VLOOKUP(DATE(T$7,12,1),Annex12_Plant_Table,'Annex 12-Plant'!$AF$270),VLOOKUP(DATE(T$7,12,1),Annex10_Plant_Table,'Annex 10-Plant'!$S$270)))</f>
        <v>845.27619801994047</v>
      </c>
      <c r="U39" s="142">
        <f ca="1">IF(U$7&lt;YEAR(Startops1),0,IF(Assm!$F$29=1,VLOOKUP(DATE(U$7,12,1),Annex12_Plant_Table,'Annex 12-Plant'!$AF$270),VLOOKUP(DATE(U$7,12,1),Annex10_Plant_Table,'Annex 10-Plant'!$S$270)))</f>
        <v>886.53774728754217</v>
      </c>
      <c r="V39" s="142">
        <f ca="1">IF(V$7&lt;YEAR(Startops1),0,IF(Assm!$F$29=1,VLOOKUP(DATE(V$7,12,1),Annex12_Plant_Table,'Annex 12-Plant'!$AF$270),VLOOKUP(DATE(V$7,12,1),Annex10_Plant_Table,'Annex 10-Plant'!$S$270)))</f>
        <v>931.7688214122478</v>
      </c>
      <c r="W39" s="142">
        <f ca="1">IF(W$7&lt;YEAR(Startops1),0,IF(Assm!$F$29=1,VLOOKUP(DATE(W$7,12,1),Annex12_Plant_Table,'Annex 12-Plant'!$AF$270),VLOOKUP(DATE(W$7,12,1),Annex10_Plant_Table,'Annex 10-Plant'!$S$270)))</f>
        <v>973.77172689714109</v>
      </c>
      <c r="X39" s="142">
        <f ca="1">IF(X$7&lt;YEAR(Startops1),0,IF(Assm!$F$29=1,VLOOKUP(DATE(X$7,12,1),Annex12_Plant_Table,'Annex 12-Plant'!$AF$270),VLOOKUP(DATE(X$7,12,1),Annex10_Plant_Table,'Annex 10-Plant'!$S$270)))</f>
        <v>1019.822092554298</v>
      </c>
      <c r="Y39" s="142">
        <f ca="1">IF(Y$7&lt;YEAR(Startops1),0,IF(Assm!$F$29=1,VLOOKUP(DATE(Y$7,12,1),Annex12_Plant_Table,'Annex 12-Plant'!$AF$270),VLOOKUP(DATE(Y$7,12,1),Annex10_Plant_Table,'Annex 10-Plant'!$S$270)))</f>
        <v>338.01752135795903</v>
      </c>
      <c r="Z39" s="436">
        <f ca="1">SUM(D39:Y39)</f>
        <v>12827.802997410075</v>
      </c>
      <c r="AA39" s="34">
        <f t="shared" si="2"/>
        <v>33</v>
      </c>
    </row>
    <row r="40" spans="1:27">
      <c r="A40" s="27" t="s">
        <v>1279</v>
      </c>
      <c r="B40" s="3"/>
      <c r="C40" s="15"/>
      <c r="D40" s="224">
        <f t="shared" ref="D40:Y40" ca="1" si="11">SUM(D38:D39)</f>
        <v>0</v>
      </c>
      <c r="E40" s="224">
        <f t="shared" ca="1" si="11"/>
        <v>11.225117330992536</v>
      </c>
      <c r="F40" s="224">
        <f t="shared" ca="1" si="11"/>
        <v>85.874749017426893</v>
      </c>
      <c r="G40" s="224">
        <f t="shared" ca="1" si="11"/>
        <v>6351.5379731078456</v>
      </c>
      <c r="H40" s="224">
        <f t="shared" ca="1" si="11"/>
        <v>8896.9626470911171</v>
      </c>
      <c r="I40" s="224">
        <f t="shared" ca="1" si="11"/>
        <v>9066.7446313915698</v>
      </c>
      <c r="J40" s="224">
        <f t="shared" ca="1" si="11"/>
        <v>9323.4954318815562</v>
      </c>
      <c r="K40" s="224">
        <f t="shared" ca="1" si="11"/>
        <v>9493.3533915750722</v>
      </c>
      <c r="L40" s="224">
        <f t="shared" ca="1" si="11"/>
        <v>9729.1497260807828</v>
      </c>
      <c r="M40" s="224">
        <f t="shared" ca="1" si="11"/>
        <v>9992.9553970546785</v>
      </c>
      <c r="N40" s="224">
        <f t="shared" ca="1" si="11"/>
        <v>10232.131734580918</v>
      </c>
      <c r="O40" s="224">
        <f t="shared" ca="1" si="11"/>
        <v>10418.818117389095</v>
      </c>
      <c r="P40" s="224">
        <f t="shared" ca="1" si="11"/>
        <v>10677.654935997718</v>
      </c>
      <c r="Q40" s="224">
        <f t="shared" ca="1" si="11"/>
        <v>10866.680893564451</v>
      </c>
      <c r="R40" s="224">
        <f t="shared" ca="1" si="11"/>
        <v>11073.296670040701</v>
      </c>
      <c r="S40" s="224">
        <f t="shared" ca="1" si="11"/>
        <v>11395.045864830961</v>
      </c>
      <c r="T40" s="224">
        <f t="shared" ca="1" si="11"/>
        <v>11629.229788334829</v>
      </c>
      <c r="U40" s="224">
        <f t="shared" ca="1" si="11"/>
        <v>11873.177410681983</v>
      </c>
      <c r="V40" s="224">
        <f t="shared" ca="1" si="11"/>
        <v>12208.347503546549</v>
      </c>
      <c r="W40" s="224">
        <f t="shared" ca="1" si="11"/>
        <v>12406.732773976586</v>
      </c>
      <c r="X40" s="224">
        <f t="shared" ca="1" si="11"/>
        <v>12701.085460668179</v>
      </c>
      <c r="Y40" s="224">
        <f t="shared" ca="1" si="11"/>
        <v>4210.9218239327611</v>
      </c>
      <c r="Z40" s="437">
        <f ca="1">SUM(D40:Y40)</f>
        <v>192644.42204207575</v>
      </c>
      <c r="AA40" s="34">
        <f t="shared" si="2"/>
        <v>34</v>
      </c>
    </row>
    <row r="41" spans="1:27" s="70" customFormat="1">
      <c r="A41" s="345"/>
      <c r="B41" s="69"/>
      <c r="C41" s="34"/>
      <c r="D41" s="223"/>
      <c r="E41" s="223"/>
      <c r="F41" s="223"/>
      <c r="G41" s="223"/>
      <c r="H41" s="223"/>
      <c r="I41" s="223"/>
      <c r="J41" s="223"/>
      <c r="K41" s="223"/>
      <c r="L41" s="223"/>
      <c r="M41" s="223"/>
      <c r="N41" s="223"/>
      <c r="O41" s="223"/>
      <c r="P41" s="223"/>
      <c r="Q41" s="223"/>
      <c r="R41" s="223"/>
      <c r="S41" s="223"/>
      <c r="T41" s="223"/>
      <c r="U41" s="223"/>
      <c r="V41" s="223"/>
      <c r="W41" s="223"/>
      <c r="X41" s="223"/>
      <c r="Y41" s="223"/>
      <c r="Z41" s="438"/>
      <c r="AA41" s="34">
        <f t="shared" si="2"/>
        <v>35</v>
      </c>
    </row>
    <row r="42" spans="1:27">
      <c r="A42" s="20" t="s">
        <v>1277</v>
      </c>
      <c r="B42" s="15"/>
      <c r="C42" s="15"/>
      <c r="D42" s="37">
        <f t="shared" ref="D42:Y42" ca="1" si="12">SUM(D35,D40)</f>
        <v>0</v>
      </c>
      <c r="E42" s="37">
        <f t="shared" ca="1" si="12"/>
        <v>8945.7685336101022</v>
      </c>
      <c r="F42" s="37">
        <f t="shared" ca="1" si="12"/>
        <v>14802.62809773303</v>
      </c>
      <c r="G42" s="37">
        <f t="shared" ca="1" si="12"/>
        <v>101970.74638136684</v>
      </c>
      <c r="H42" s="37">
        <f t="shared" ca="1" si="12"/>
        <v>145216.28363779781</v>
      </c>
      <c r="I42" s="37">
        <f t="shared" ca="1" si="12"/>
        <v>152037.8940492323</v>
      </c>
      <c r="J42" s="37">
        <f t="shared" ca="1" si="12"/>
        <v>157887.51234260612</v>
      </c>
      <c r="K42" s="37">
        <f t="shared" ca="1" si="12"/>
        <v>161622.68690370049</v>
      </c>
      <c r="L42" s="37">
        <f t="shared" ca="1" si="12"/>
        <v>164884.12886602743</v>
      </c>
      <c r="M42" s="37">
        <f t="shared" ca="1" si="12"/>
        <v>164736.21912270653</v>
      </c>
      <c r="N42" s="37">
        <f t="shared" ca="1" si="12"/>
        <v>163138.86154405581</v>
      </c>
      <c r="O42" s="37">
        <f t="shared" ca="1" si="12"/>
        <v>164515.35106079854</v>
      </c>
      <c r="P42" s="37">
        <f t="shared" ca="1" si="12"/>
        <v>168252.20157661455</v>
      </c>
      <c r="Q42" s="37">
        <f t="shared" ca="1" si="12"/>
        <v>169682.39347227945</v>
      </c>
      <c r="R42" s="37">
        <f t="shared" ca="1" si="12"/>
        <v>164987.36061945558</v>
      </c>
      <c r="S42" s="37">
        <f t="shared" ca="1" si="12"/>
        <v>171248.36803748639</v>
      </c>
      <c r="T42" s="37">
        <f t="shared" ca="1" si="12"/>
        <v>161278.95575691792</v>
      </c>
      <c r="U42" s="37">
        <f t="shared" ca="1" si="12"/>
        <v>147577.30269190494</v>
      </c>
      <c r="V42" s="37">
        <f t="shared" ca="1" si="12"/>
        <v>145918.53665476115</v>
      </c>
      <c r="W42" s="37">
        <f t="shared" ca="1" si="12"/>
        <v>147984.34065996855</v>
      </c>
      <c r="X42" s="37">
        <f t="shared" ca="1" si="12"/>
        <v>146294.84173599019</v>
      </c>
      <c r="Y42" s="37">
        <f t="shared" ca="1" si="12"/>
        <v>48340.657520520093</v>
      </c>
      <c r="Z42" s="435">
        <f ca="1">SUM(D42:Y42)</f>
        <v>2871323.0392655339</v>
      </c>
      <c r="AA42" s="34">
        <f t="shared" si="2"/>
        <v>36</v>
      </c>
    </row>
    <row r="43" spans="1:27">
      <c r="A43" s="20" t="s">
        <v>666</v>
      </c>
      <c r="B43" s="69">
        <f>Pis+Cofins</f>
        <v>2.6499999999999999E-2</v>
      </c>
      <c r="C43" s="15"/>
      <c r="D43" s="142">
        <f ca="1">-D42*$B43</f>
        <v>0</v>
      </c>
      <c r="E43" s="142">
        <f t="shared" ref="E43:Y43" ca="1" si="13">-E42*$B43</f>
        <v>-237.06286614066769</v>
      </c>
      <c r="F43" s="142">
        <f t="shared" ca="1" si="13"/>
        <v>-392.26964458992529</v>
      </c>
      <c r="G43" s="142">
        <f t="shared" ca="1" si="13"/>
        <v>-2702.2247791062214</v>
      </c>
      <c r="H43" s="142">
        <f t="shared" ca="1" si="13"/>
        <v>-3848.2315164016418</v>
      </c>
      <c r="I43" s="142">
        <f t="shared" ca="1" si="13"/>
        <v>-4029.004192304656</v>
      </c>
      <c r="J43" s="142">
        <f t="shared" ca="1" si="13"/>
        <v>-4184.0190770790623</v>
      </c>
      <c r="K43" s="142">
        <f t="shared" ca="1" si="13"/>
        <v>-4283.0012029480631</v>
      </c>
      <c r="L43" s="142">
        <f t="shared" ca="1" si="13"/>
        <v>-4369.4294149497264</v>
      </c>
      <c r="M43" s="142">
        <f t="shared" ca="1" si="13"/>
        <v>-4365.5098067517229</v>
      </c>
      <c r="N43" s="142">
        <f t="shared" ca="1" si="13"/>
        <v>-4323.1798309174783</v>
      </c>
      <c r="O43" s="142">
        <f t="shared" ca="1" si="13"/>
        <v>-4359.656803111161</v>
      </c>
      <c r="P43" s="142">
        <f t="shared" ca="1" si="13"/>
        <v>-4458.6833417802854</v>
      </c>
      <c r="Q43" s="142">
        <f t="shared" ca="1" si="13"/>
        <v>-4496.5834270154055</v>
      </c>
      <c r="R43" s="142">
        <f t="shared" ca="1" si="13"/>
        <v>-4372.1650564155725</v>
      </c>
      <c r="S43" s="142">
        <f t="shared" ca="1" si="13"/>
        <v>-4538.0817529933893</v>
      </c>
      <c r="T43" s="142">
        <f t="shared" ca="1" si="13"/>
        <v>-4273.8923275583247</v>
      </c>
      <c r="U43" s="142">
        <f t="shared" ca="1" si="13"/>
        <v>-3910.7985213354809</v>
      </c>
      <c r="V43" s="142">
        <f t="shared" ca="1" si="13"/>
        <v>-3866.8412213511701</v>
      </c>
      <c r="W43" s="142">
        <f t="shared" ca="1" si="13"/>
        <v>-3921.5850274891668</v>
      </c>
      <c r="X43" s="142">
        <f t="shared" ca="1" si="13"/>
        <v>-3876.8133060037399</v>
      </c>
      <c r="Y43" s="142">
        <f t="shared" ca="1" si="13"/>
        <v>-1281.0274242937824</v>
      </c>
      <c r="Z43" s="436">
        <f ca="1">SUM(D43:Y43)</f>
        <v>-76090.060540536651</v>
      </c>
      <c r="AA43" s="34">
        <f t="shared" si="2"/>
        <v>37</v>
      </c>
    </row>
    <row r="44" spans="1:27" s="9" customFormat="1">
      <c r="A44" s="420" t="s">
        <v>1267</v>
      </c>
      <c r="B44" s="407"/>
      <c r="C44" s="491"/>
      <c r="D44" s="408">
        <f ca="1">SUM(D42:D43)</f>
        <v>0</v>
      </c>
      <c r="E44" s="408">
        <f t="shared" ref="E44:Y44" ca="1" si="14">SUM(E42:E43)</f>
        <v>8708.705667469434</v>
      </c>
      <c r="F44" s="408">
        <f t="shared" ca="1" si="14"/>
        <v>14410.358453143104</v>
      </c>
      <c r="G44" s="408">
        <f t="shared" ca="1" si="14"/>
        <v>99268.521602260618</v>
      </c>
      <c r="H44" s="408">
        <f t="shared" ca="1" si="14"/>
        <v>141368.05212139618</v>
      </c>
      <c r="I44" s="408">
        <f t="shared" ca="1" si="14"/>
        <v>148008.88985692765</v>
      </c>
      <c r="J44" s="408">
        <f t="shared" ca="1" si="14"/>
        <v>153703.49326552707</v>
      </c>
      <c r="K44" s="408">
        <f t="shared" ca="1" si="14"/>
        <v>157339.68570075242</v>
      </c>
      <c r="L44" s="408">
        <f t="shared" ca="1" si="14"/>
        <v>160514.6994510777</v>
      </c>
      <c r="M44" s="408">
        <f t="shared" ca="1" si="14"/>
        <v>160370.70931595482</v>
      </c>
      <c r="N44" s="408">
        <f t="shared" ca="1" si="14"/>
        <v>158815.68171313833</v>
      </c>
      <c r="O44" s="408">
        <f t="shared" ca="1" si="14"/>
        <v>160155.69425768737</v>
      </c>
      <c r="P44" s="408">
        <f t="shared" ca="1" si="14"/>
        <v>163793.51823483425</v>
      </c>
      <c r="Q44" s="408">
        <f t="shared" ca="1" si="14"/>
        <v>165185.81004526405</v>
      </c>
      <c r="R44" s="408">
        <f t="shared" ca="1" si="14"/>
        <v>160615.19556304</v>
      </c>
      <c r="S44" s="408">
        <f t="shared" ca="1" si="14"/>
        <v>166710.28628449299</v>
      </c>
      <c r="T44" s="408">
        <f t="shared" ca="1" si="14"/>
        <v>157005.06342935958</v>
      </c>
      <c r="U44" s="408">
        <f t="shared" ca="1" si="14"/>
        <v>143666.50417056947</v>
      </c>
      <c r="V44" s="408">
        <f t="shared" ca="1" si="14"/>
        <v>142051.69543340997</v>
      </c>
      <c r="W44" s="408">
        <f t="shared" ca="1" si="14"/>
        <v>144062.75563247938</v>
      </c>
      <c r="X44" s="408">
        <f t="shared" ca="1" si="14"/>
        <v>142418.02842998644</v>
      </c>
      <c r="Y44" s="408">
        <f t="shared" ca="1" si="14"/>
        <v>47059.630096226312</v>
      </c>
      <c r="Z44" s="439">
        <f ca="1">SUM(D44:Y44)</f>
        <v>2795232.978724997</v>
      </c>
      <c r="AA44" s="34">
        <f t="shared" si="2"/>
        <v>38</v>
      </c>
    </row>
    <row r="45" spans="1:27">
      <c r="A45" s="20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430"/>
      <c r="AA45" s="34">
        <f t="shared" si="2"/>
        <v>39</v>
      </c>
    </row>
    <row r="46" spans="1:27" s="3" customFormat="1">
      <c r="A46" s="421" t="s">
        <v>793</v>
      </c>
      <c r="B46" s="244"/>
      <c r="C46" s="890"/>
      <c r="D46" s="245">
        <f t="shared" ref="D46:Y46" si="15">D7</f>
        <v>1998</v>
      </c>
      <c r="E46" s="245">
        <f t="shared" si="15"/>
        <v>1999</v>
      </c>
      <c r="F46" s="245">
        <f t="shared" si="15"/>
        <v>2000</v>
      </c>
      <c r="G46" s="245">
        <f t="shared" si="15"/>
        <v>2001</v>
      </c>
      <c r="H46" s="245">
        <f t="shared" si="15"/>
        <v>2002</v>
      </c>
      <c r="I46" s="245">
        <f t="shared" si="15"/>
        <v>2003</v>
      </c>
      <c r="J46" s="245">
        <f t="shared" si="15"/>
        <v>2004</v>
      </c>
      <c r="K46" s="245">
        <f t="shared" si="15"/>
        <v>2005</v>
      </c>
      <c r="L46" s="245">
        <f t="shared" si="15"/>
        <v>2006</v>
      </c>
      <c r="M46" s="245">
        <f t="shared" si="15"/>
        <v>2007</v>
      </c>
      <c r="N46" s="245">
        <f t="shared" si="15"/>
        <v>2008</v>
      </c>
      <c r="O46" s="245">
        <f t="shared" si="15"/>
        <v>2009</v>
      </c>
      <c r="P46" s="245">
        <f t="shared" si="15"/>
        <v>2010</v>
      </c>
      <c r="Q46" s="245">
        <f t="shared" si="15"/>
        <v>2011</v>
      </c>
      <c r="R46" s="245">
        <f t="shared" si="15"/>
        <v>2012</v>
      </c>
      <c r="S46" s="245">
        <f t="shared" si="15"/>
        <v>2013</v>
      </c>
      <c r="T46" s="245">
        <f t="shared" si="15"/>
        <v>2014</v>
      </c>
      <c r="U46" s="245">
        <f t="shared" si="15"/>
        <v>2015</v>
      </c>
      <c r="V46" s="245">
        <f t="shared" si="15"/>
        <v>2016</v>
      </c>
      <c r="W46" s="245">
        <f t="shared" si="15"/>
        <v>2017</v>
      </c>
      <c r="X46" s="245">
        <f t="shared" si="15"/>
        <v>2018</v>
      </c>
      <c r="Y46" s="388">
        <f t="shared" si="15"/>
        <v>2019</v>
      </c>
      <c r="Z46" s="440"/>
      <c r="AA46" s="34">
        <f t="shared" si="2"/>
        <v>40</v>
      </c>
    </row>
    <row r="47" spans="1:27">
      <c r="A47" s="422" t="s">
        <v>584</v>
      </c>
      <c r="B47" s="238"/>
      <c r="C47" s="238"/>
      <c r="D47" s="246">
        <f t="shared" ref="D47:Y47" ca="1" si="16">IF(D$12=0,0,D35/D$16*100)</f>
        <v>0</v>
      </c>
      <c r="E47" s="246">
        <f t="shared" ca="1" si="16"/>
        <v>8.2803924154579338</v>
      </c>
      <c r="F47" s="246">
        <f t="shared" ca="1" si="16"/>
        <v>2.1273782380745136</v>
      </c>
      <c r="G47" s="246">
        <f t="shared" ca="1" si="16"/>
        <v>4.0695007678754003</v>
      </c>
      <c r="H47" s="246">
        <f t="shared" ca="1" si="16"/>
        <v>3.8724235355799173</v>
      </c>
      <c r="I47" s="246">
        <f t="shared" ca="1" si="16"/>
        <v>4.0613820542159473</v>
      </c>
      <c r="J47" s="246">
        <f t="shared" ca="1" si="16"/>
        <v>4.208727903674621</v>
      </c>
      <c r="K47" s="246">
        <f t="shared" ca="1" si="16"/>
        <v>4.321538629029722</v>
      </c>
      <c r="L47" s="246">
        <f t="shared" ca="1" si="16"/>
        <v>4.4074881573456537</v>
      </c>
      <c r="M47" s="246">
        <f t="shared" ca="1" si="16"/>
        <v>4.3957925558073745</v>
      </c>
      <c r="N47" s="246">
        <f t="shared" ca="1" si="16"/>
        <v>4.331754308955527</v>
      </c>
      <c r="O47" s="246">
        <f t="shared" ca="1" si="16"/>
        <v>4.377420871704647</v>
      </c>
      <c r="P47" s="246">
        <f t="shared" ca="1" si="16"/>
        <v>4.4762208217062565</v>
      </c>
      <c r="Q47" s="246">
        <f t="shared" ca="1" si="16"/>
        <v>4.5114786278288319</v>
      </c>
      <c r="R47" s="246">
        <f t="shared" ca="1" si="16"/>
        <v>4.360291470182375</v>
      </c>
      <c r="S47" s="246">
        <f t="shared" ca="1" si="16"/>
        <v>4.5409540080105772</v>
      </c>
      <c r="T47" s="246">
        <f t="shared" ca="1" si="16"/>
        <v>4.251100406913948</v>
      </c>
      <c r="U47" s="246">
        <f t="shared" ca="1" si="16"/>
        <v>3.8549476684241899</v>
      </c>
      <c r="V47" s="246">
        <f t="shared" ca="1" si="16"/>
        <v>3.7879280312169903</v>
      </c>
      <c r="W47" s="246">
        <f t="shared" ca="1" si="16"/>
        <v>3.8513536882356725</v>
      </c>
      <c r="X47" s="246">
        <f t="shared" ca="1" si="16"/>
        <v>3.7949984070295684</v>
      </c>
      <c r="Y47" s="389">
        <f t="shared" ca="1" si="16"/>
        <v>3.8130138394470601</v>
      </c>
      <c r="Z47" s="441"/>
      <c r="AA47" s="34">
        <f t="shared" si="2"/>
        <v>41</v>
      </c>
    </row>
    <row r="48" spans="1:27">
      <c r="A48" s="422" t="s">
        <v>585</v>
      </c>
      <c r="B48" s="238"/>
      <c r="C48" s="238"/>
      <c r="D48" s="247">
        <f ca="1">IF(D$12=0,0,D40/D$16*100)</f>
        <v>0</v>
      </c>
      <c r="E48" s="247">
        <f t="shared" ref="E48:Y48" ca="1" si="17">IF(E$12=0,0,E40/E$16*100)</f>
        <v>1.0403259806295213E-2</v>
      </c>
      <c r="F48" s="247">
        <f t="shared" ca="1" si="17"/>
        <v>1.2413612427344831E-2</v>
      </c>
      <c r="G48" s="247">
        <f t="shared" ca="1" si="17"/>
        <v>0.27031795273176079</v>
      </c>
      <c r="H48" s="247">
        <f t="shared" ca="1" si="17"/>
        <v>0.252736056043881</v>
      </c>
      <c r="I48" s="247">
        <f t="shared" ca="1" si="17"/>
        <v>0.25755905359950515</v>
      </c>
      <c r="J48" s="247">
        <f t="shared" ca="1" si="17"/>
        <v>0.26412893377487895</v>
      </c>
      <c r="K48" s="247">
        <f t="shared" ca="1" si="17"/>
        <v>0.26967773047827126</v>
      </c>
      <c r="L48" s="247">
        <f t="shared" ca="1" si="17"/>
        <v>0.27637599796308093</v>
      </c>
      <c r="M48" s="247">
        <f t="shared" ca="1" si="17"/>
        <v>0.28386992678897649</v>
      </c>
      <c r="N48" s="247">
        <f t="shared" ca="1" si="17"/>
        <v>0.2898700455257856</v>
      </c>
      <c r="O48" s="247">
        <f t="shared" ca="1" si="17"/>
        <v>0.2959674109105524</v>
      </c>
      <c r="P48" s="247">
        <f t="shared" ca="1" si="17"/>
        <v>0.30332018952601358</v>
      </c>
      <c r="Q48" s="247">
        <f t="shared" ca="1" si="17"/>
        <v>0.30868985071268323</v>
      </c>
      <c r="R48" s="247">
        <f t="shared" ca="1" si="17"/>
        <v>0.31369973463273571</v>
      </c>
      <c r="S48" s="247">
        <f t="shared" ca="1" si="17"/>
        <v>0.32369911671576085</v>
      </c>
      <c r="T48" s="247">
        <f t="shared" ca="1" si="17"/>
        <v>0.33035158043433122</v>
      </c>
      <c r="U48" s="247">
        <f t="shared" ca="1" si="17"/>
        <v>0.33728140158778513</v>
      </c>
      <c r="V48" s="247">
        <f t="shared" ca="1" si="17"/>
        <v>0.3458550318197785</v>
      </c>
      <c r="W48" s="247">
        <f t="shared" ca="1" si="17"/>
        <v>0.35243811107944828</v>
      </c>
      <c r="X48" s="247">
        <f t="shared" ca="1" si="17"/>
        <v>0.36079978911174576</v>
      </c>
      <c r="Y48" s="390">
        <f t="shared" ca="1" si="17"/>
        <v>0.36384317599089883</v>
      </c>
      <c r="Z48" s="441"/>
      <c r="AA48" s="34">
        <f t="shared" si="2"/>
        <v>42</v>
      </c>
    </row>
    <row r="49" spans="1:27">
      <c r="A49" s="423" t="s">
        <v>794</v>
      </c>
      <c r="B49" s="409"/>
      <c r="C49" s="409"/>
      <c r="D49" s="410">
        <f t="shared" ref="D49:Y49" ca="1" si="18">SUM(D47:D48)</f>
        <v>0</v>
      </c>
      <c r="E49" s="410">
        <f t="shared" ca="1" si="18"/>
        <v>8.2907956752642296</v>
      </c>
      <c r="F49" s="410">
        <f t="shared" ca="1" si="18"/>
        <v>2.1397918505018585</v>
      </c>
      <c r="G49" s="410">
        <f t="shared" ca="1" si="18"/>
        <v>4.3398187206071608</v>
      </c>
      <c r="H49" s="410">
        <f t="shared" ca="1" si="18"/>
        <v>4.125159591623798</v>
      </c>
      <c r="I49" s="410">
        <f t="shared" ca="1" si="18"/>
        <v>4.3189411078154523</v>
      </c>
      <c r="J49" s="410">
        <f t="shared" ca="1" si="18"/>
        <v>4.4728568374495001</v>
      </c>
      <c r="K49" s="410">
        <f t="shared" ca="1" si="18"/>
        <v>4.5912163595079933</v>
      </c>
      <c r="L49" s="410">
        <f t="shared" ca="1" si="18"/>
        <v>4.6838641553087346</v>
      </c>
      <c r="M49" s="410">
        <f t="shared" ca="1" si="18"/>
        <v>4.6796624825963509</v>
      </c>
      <c r="N49" s="410">
        <f t="shared" ca="1" si="18"/>
        <v>4.6216243544813125</v>
      </c>
      <c r="O49" s="410">
        <f t="shared" ca="1" si="18"/>
        <v>4.6733882826151998</v>
      </c>
      <c r="P49" s="410">
        <f t="shared" ca="1" si="18"/>
        <v>4.7795410112322703</v>
      </c>
      <c r="Q49" s="410">
        <f t="shared" ca="1" si="18"/>
        <v>4.8201684785415155</v>
      </c>
      <c r="R49" s="410">
        <f t="shared" ca="1" si="18"/>
        <v>4.6739912048151107</v>
      </c>
      <c r="S49" s="410">
        <f t="shared" ca="1" si="18"/>
        <v>4.8646531247263383</v>
      </c>
      <c r="T49" s="410">
        <f t="shared" ca="1" si="18"/>
        <v>4.5814519873482791</v>
      </c>
      <c r="U49" s="410">
        <f t="shared" ca="1" si="18"/>
        <v>4.1922290700119751</v>
      </c>
      <c r="V49" s="410">
        <f t="shared" ca="1" si="18"/>
        <v>4.1337830630367689</v>
      </c>
      <c r="W49" s="410">
        <f t="shared" ca="1" si="18"/>
        <v>4.2037917993151206</v>
      </c>
      <c r="X49" s="410">
        <f t="shared" ca="1" si="18"/>
        <v>4.1557981961413137</v>
      </c>
      <c r="Y49" s="411">
        <f t="shared" ca="1" si="18"/>
        <v>4.1768570154379585</v>
      </c>
      <c r="Z49" s="442"/>
      <c r="AA49" s="34">
        <f t="shared" si="2"/>
        <v>43</v>
      </c>
    </row>
    <row r="50" spans="1:27">
      <c r="A50" s="20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430"/>
      <c r="AA50" s="34">
        <f t="shared" si="2"/>
        <v>44</v>
      </c>
    </row>
    <row r="51" spans="1:27">
      <c r="A51" s="27" t="s">
        <v>1112</v>
      </c>
      <c r="B51" s="15"/>
      <c r="C51" s="143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430"/>
      <c r="AA51" s="34">
        <f t="shared" si="2"/>
        <v>45</v>
      </c>
    </row>
    <row r="52" spans="1:27">
      <c r="A52" s="132" t="s">
        <v>586</v>
      </c>
      <c r="B52" s="15"/>
      <c r="C52" s="143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430"/>
      <c r="AA52" s="34">
        <f t="shared" si="2"/>
        <v>46</v>
      </c>
    </row>
    <row r="53" spans="1:27">
      <c r="A53" s="20" t="s">
        <v>587</v>
      </c>
      <c r="B53" s="15"/>
      <c r="C53" s="143"/>
      <c r="D53" s="37">
        <f ca="1">Assm!$E$43/D$27*D$18/1000</f>
        <v>0</v>
      </c>
      <c r="E53" s="37">
        <f ca="1">Assm!$E$43/E$27*E$18/1000</f>
        <v>9618.5261691311425</v>
      </c>
      <c r="F53" s="37">
        <f ca="1">Assm!$E$43/F$27*F$18/1000</f>
        <v>38680.089716164613</v>
      </c>
      <c r="G53" s="37">
        <f ca="1">Assm!$E$43/G$27*G$18/1000</f>
        <v>10388.122012187507</v>
      </c>
      <c r="H53" s="37">
        <f ca="1">Assm!$E$43/H$27*H$18/1000</f>
        <v>0</v>
      </c>
      <c r="I53" s="37">
        <f ca="1">Assm!$E$43/I$27*I$18/1000</f>
        <v>0</v>
      </c>
      <c r="J53" s="37">
        <f ca="1">Assm!$E$43/J$27*J$18/1000</f>
        <v>0</v>
      </c>
      <c r="K53" s="37">
        <f ca="1">Assm!$E$43/K$27*K$18/1000</f>
        <v>0</v>
      </c>
      <c r="L53" s="37">
        <f ca="1">Assm!$E$43/L$27*L$18/1000</f>
        <v>0</v>
      </c>
      <c r="M53" s="37">
        <f ca="1">Assm!$E$43/M$27*M$18/1000</f>
        <v>0</v>
      </c>
      <c r="N53" s="37">
        <f ca="1">Assm!$E$43/N$27*N$18/1000</f>
        <v>0</v>
      </c>
      <c r="O53" s="37">
        <f ca="1">Assm!$E$43/O$27*O$18/1000</f>
        <v>0</v>
      </c>
      <c r="P53" s="37">
        <f ca="1">Assm!$E$43/P$27*P$18/1000</f>
        <v>0</v>
      </c>
      <c r="Q53" s="37">
        <f ca="1">Assm!$E$43/Q$27*Q$18/1000</f>
        <v>0</v>
      </c>
      <c r="R53" s="37">
        <f ca="1">Assm!$E$43/R$27*R$18/1000</f>
        <v>0</v>
      </c>
      <c r="S53" s="37">
        <f ca="1">Assm!$E$43/S$27*S$18/1000</f>
        <v>0</v>
      </c>
      <c r="T53" s="37">
        <f ca="1">Assm!$E$43/T$27*T$18/1000</f>
        <v>0</v>
      </c>
      <c r="U53" s="37">
        <f ca="1">Assm!$E$43/U$27*U$18/1000</f>
        <v>0</v>
      </c>
      <c r="V53" s="37">
        <f ca="1">Assm!$E$43/V$27*V$18/1000</f>
        <v>0</v>
      </c>
      <c r="W53" s="37">
        <f ca="1">Assm!$E$43/W$27*W$18/1000</f>
        <v>0</v>
      </c>
      <c r="X53" s="37">
        <f ca="1">Assm!$E$43/X$27*X$18/1000</f>
        <v>0</v>
      </c>
      <c r="Y53" s="37">
        <f ca="1">Assm!$E$43/Y$27*Y$18/1000</f>
        <v>0</v>
      </c>
      <c r="Z53" s="435">
        <f t="shared" ref="Z53:Z61" ca="1" si="19">SUM(D53:Y53)</f>
        <v>58686.737897483268</v>
      </c>
      <c r="AA53" s="34">
        <f t="shared" si="2"/>
        <v>47</v>
      </c>
    </row>
    <row r="54" spans="1:27">
      <c r="A54" s="20" t="s">
        <v>588</v>
      </c>
      <c r="B54" s="15"/>
      <c r="C54" s="143"/>
      <c r="D54" s="142">
        <f ca="1">IF(D$7&lt;YEAR(Startops2),0,VLOOKUP(DATE(D$7,12,1),Fuel_Cost_Table,'Fuel Expense'!$J$270))</f>
        <v>0</v>
      </c>
      <c r="E54" s="142">
        <f ca="1">IF(E$7&lt;YEAR(Startops2),0,VLOOKUP(DATE(E$7,12,1),Fuel_Cost_Table,'Fuel Expense'!$J$270))</f>
        <v>0</v>
      </c>
      <c r="F54" s="142">
        <f ca="1">IF(F$7&lt;YEAR(Startops2),0,VLOOKUP(DATE(F$7,12,1),Fuel_Cost_Table,'Fuel Expense'!$J$270))</f>
        <v>0</v>
      </c>
      <c r="G54" s="142">
        <f ca="1">IF(G$7&lt;YEAR(Startops2),0,VLOOKUP(DATE(G$7,12,1),Fuel_Cost_Table,'Fuel Expense'!$J$270))</f>
        <v>27315.127313939407</v>
      </c>
      <c r="H54" s="142">
        <f ca="1">IF(H$7&lt;YEAR(Startops2),0,VLOOKUP(DATE(H$7,12,1),Fuel_Cost_Table,'Fuel Expense'!$J$270))</f>
        <v>39461.510170493224</v>
      </c>
      <c r="I54" s="142">
        <f ca="1">IF(I$7&lt;YEAR(Startops2),0,VLOOKUP(DATE(I$7,12,1),Fuel_Cost_Table,'Fuel Expense'!$J$270))</f>
        <v>40400.390114087357</v>
      </c>
      <c r="J54" s="142">
        <f ca="1">IF(J$7&lt;YEAR(Startops2),0,VLOOKUP(DATE(J$7,12,1),Fuel_Cost_Table,'Fuel Expense'!$J$270))</f>
        <v>41436.369109676125</v>
      </c>
      <c r="K54" s="142">
        <f ca="1">IF(K$7&lt;YEAR(Startops2),0,VLOOKUP(DATE(K$7,12,1),Fuel_Cost_Table,'Fuel Expense'!$J$270))</f>
        <v>42248.399071166699</v>
      </c>
      <c r="L54" s="142">
        <f ca="1">IF(L$7&lt;YEAR(Startops2),0,VLOOKUP(DATE(L$7,12,1),Fuel_Cost_Table,'Fuel Expense'!$J$270))</f>
        <v>43175.062077009061</v>
      </c>
      <c r="M54" s="142">
        <f ca="1">IF(M$7&lt;YEAR(Startops2),0,VLOOKUP(DATE(M$7,12,1),Fuel_Cost_Table,'Fuel Expense'!$J$270))</f>
        <v>44102.50485224228</v>
      </c>
      <c r="N54" s="142">
        <f ca="1">IF(N$7&lt;YEAR(Startops2),0,VLOOKUP(DATE(N$7,12,1),Fuel_Cost_Table,'Fuel Expense'!$J$270))</f>
        <v>45151.638155327622</v>
      </c>
      <c r="O54" s="142">
        <f ca="1">IF(O$7&lt;YEAR(Startops2),0,VLOOKUP(DATE(O$7,12,1),Fuel_Cost_Table,'Fuel Expense'!$J$270))</f>
        <v>45960.005967279969</v>
      </c>
      <c r="P54" s="142">
        <f ca="1">IF(P$7&lt;YEAR(Startops2),0,VLOOKUP(DATE(P$7,12,1),Fuel_Cost_Table,'Fuel Expense'!$J$270))</f>
        <v>46894.495233378933</v>
      </c>
      <c r="Q54" s="142">
        <f ca="1">IF(Q$7&lt;YEAR(Startops2),0,VLOOKUP(DATE(Q$7,12,1),Fuel_Cost_Table,'Fuel Expense'!$J$270))</f>
        <v>47835.22662676758</v>
      </c>
      <c r="R54" s="142">
        <f ca="1">IF(R$7&lt;YEAR(Startops2),0,VLOOKUP(DATE(R$7,12,1),Fuel_Cost_Table,'Fuel Expense'!$J$270))</f>
        <v>48917.321634956534</v>
      </c>
      <c r="S54" s="142">
        <f ca="1">IF(S$7&lt;YEAR(Startops2),0,VLOOKUP(DATE(S$7,12,1),Fuel_Cost_Table,'Fuel Expense'!$J$270))</f>
        <v>49750.505807509238</v>
      </c>
      <c r="T54" s="142">
        <f ca="1">IF(T$7&lt;YEAR(Startops2),0,VLOOKUP(DATE(T$7,12,1),Fuel_Cost_Table,'Fuel Expense'!$J$270))</f>
        <v>50740.767787139906</v>
      </c>
      <c r="U54" s="142">
        <f ca="1">IF(U$7&lt;YEAR(Startops2),0,VLOOKUP(DATE(U$7,12,1),Fuel_Cost_Table,'Fuel Expense'!$J$270))</f>
        <v>51767.048523066689</v>
      </c>
      <c r="V54" s="142">
        <f ca="1">IF(V$7&lt;YEAR(Startops2),0,VLOOKUP(DATE(V$7,12,1),Fuel_Cost_Table,'Fuel Expense'!$J$270))</f>
        <v>52978.624695289735</v>
      </c>
      <c r="W54" s="142">
        <f ca="1">IF(W$7&lt;YEAR(Startops2),0,VLOOKUP(DATE(W$7,12,1),Fuel_Cost_Table,'Fuel Expense'!$J$270))</f>
        <v>53952.18356457437</v>
      </c>
      <c r="X54" s="142">
        <f ca="1">IF(X$7&lt;YEAR(Startops2),0,VLOOKUP(DATE(X$7,12,1),Fuel_Cost_Table,'Fuel Expense'!$J$270))</f>
        <v>55117.305630723211</v>
      </c>
      <c r="Y54" s="142">
        <f ca="1">IF(Y$7&lt;YEAR(Startops2),0,VLOOKUP(DATE(Y$7,12,1),Fuel_Cost_Table,'Fuel Expense'!$J$270))</f>
        <v>18248.420909313816</v>
      </c>
      <c r="Z54" s="436">
        <f t="shared" ca="1" si="19"/>
        <v>845452.90724394179</v>
      </c>
      <c r="AA54" s="34">
        <f t="shared" si="2"/>
        <v>48</v>
      </c>
    </row>
    <row r="55" spans="1:27">
      <c r="A55" s="20" t="s">
        <v>589</v>
      </c>
      <c r="B55" s="15"/>
      <c r="C55" s="143"/>
      <c r="D55" s="37">
        <f t="shared" ref="D55:Y55" ca="1" si="20">SUM(D53:D54)</f>
        <v>0</v>
      </c>
      <c r="E55" s="37">
        <f t="shared" ca="1" si="20"/>
        <v>9618.5261691311425</v>
      </c>
      <c r="F55" s="37">
        <f t="shared" ca="1" si="20"/>
        <v>38680.089716164613</v>
      </c>
      <c r="G55" s="37">
        <f t="shared" ca="1" si="20"/>
        <v>37703.249326126912</v>
      </c>
      <c r="H55" s="37">
        <f ca="1">SUM(H53:H54)</f>
        <v>39461.510170493224</v>
      </c>
      <c r="I55" s="37">
        <f t="shared" ca="1" si="20"/>
        <v>40400.390114087357</v>
      </c>
      <c r="J55" s="37">
        <f t="shared" ca="1" si="20"/>
        <v>41436.369109676125</v>
      </c>
      <c r="K55" s="37">
        <f t="shared" ca="1" si="20"/>
        <v>42248.399071166699</v>
      </c>
      <c r="L55" s="37">
        <f t="shared" ca="1" si="20"/>
        <v>43175.062077009061</v>
      </c>
      <c r="M55" s="37">
        <f t="shared" ca="1" si="20"/>
        <v>44102.50485224228</v>
      </c>
      <c r="N55" s="37">
        <f t="shared" ca="1" si="20"/>
        <v>45151.638155327622</v>
      </c>
      <c r="O55" s="37">
        <f t="shared" ca="1" si="20"/>
        <v>45960.005967279969</v>
      </c>
      <c r="P55" s="37">
        <f t="shared" ca="1" si="20"/>
        <v>46894.495233378933</v>
      </c>
      <c r="Q55" s="37">
        <f t="shared" ca="1" si="20"/>
        <v>47835.22662676758</v>
      </c>
      <c r="R55" s="37">
        <f t="shared" ca="1" si="20"/>
        <v>48917.321634956534</v>
      </c>
      <c r="S55" s="37">
        <f t="shared" ca="1" si="20"/>
        <v>49750.505807509238</v>
      </c>
      <c r="T55" s="37">
        <f t="shared" ca="1" si="20"/>
        <v>50740.767787139906</v>
      </c>
      <c r="U55" s="37">
        <f t="shared" ca="1" si="20"/>
        <v>51767.048523066689</v>
      </c>
      <c r="V55" s="37">
        <f t="shared" ca="1" si="20"/>
        <v>52978.624695289735</v>
      </c>
      <c r="W55" s="37">
        <f t="shared" ca="1" si="20"/>
        <v>53952.18356457437</v>
      </c>
      <c r="X55" s="37">
        <f t="shared" ca="1" si="20"/>
        <v>55117.305630723211</v>
      </c>
      <c r="Y55" s="37">
        <f t="shared" ca="1" si="20"/>
        <v>18248.420909313816</v>
      </c>
      <c r="Z55" s="435">
        <f t="shared" ca="1" si="19"/>
        <v>904139.64514142508</v>
      </c>
      <c r="AA55" s="34">
        <f t="shared" si="2"/>
        <v>49</v>
      </c>
    </row>
    <row r="56" spans="1:27">
      <c r="A56" s="20" t="s">
        <v>816</v>
      </c>
      <c r="B56" s="220">
        <f>Icms_Fuel/(1-Icms_Fuel)</f>
        <v>0</v>
      </c>
      <c r="C56" s="143"/>
      <c r="D56" s="142">
        <f t="shared" ref="D56:Y56" ca="1" si="21">D55*$B56</f>
        <v>0</v>
      </c>
      <c r="E56" s="142">
        <f t="shared" ca="1" si="21"/>
        <v>0</v>
      </c>
      <c r="F56" s="142">
        <f t="shared" ca="1" si="21"/>
        <v>0</v>
      </c>
      <c r="G56" s="142">
        <f t="shared" ca="1" si="21"/>
        <v>0</v>
      </c>
      <c r="H56" s="142">
        <f t="shared" ca="1" si="21"/>
        <v>0</v>
      </c>
      <c r="I56" s="142">
        <f t="shared" ca="1" si="21"/>
        <v>0</v>
      </c>
      <c r="J56" s="142">
        <f t="shared" ca="1" si="21"/>
        <v>0</v>
      </c>
      <c r="K56" s="142">
        <f t="shared" ca="1" si="21"/>
        <v>0</v>
      </c>
      <c r="L56" s="142">
        <f t="shared" ca="1" si="21"/>
        <v>0</v>
      </c>
      <c r="M56" s="142">
        <f t="shared" ca="1" si="21"/>
        <v>0</v>
      </c>
      <c r="N56" s="142">
        <f t="shared" ca="1" si="21"/>
        <v>0</v>
      </c>
      <c r="O56" s="142">
        <f t="shared" ca="1" si="21"/>
        <v>0</v>
      </c>
      <c r="P56" s="142">
        <f t="shared" ca="1" si="21"/>
        <v>0</v>
      </c>
      <c r="Q56" s="142">
        <f t="shared" ca="1" si="21"/>
        <v>0</v>
      </c>
      <c r="R56" s="142">
        <f t="shared" ca="1" si="21"/>
        <v>0</v>
      </c>
      <c r="S56" s="142">
        <f t="shared" ca="1" si="21"/>
        <v>0</v>
      </c>
      <c r="T56" s="142">
        <f t="shared" ca="1" si="21"/>
        <v>0</v>
      </c>
      <c r="U56" s="142">
        <f t="shared" ca="1" si="21"/>
        <v>0</v>
      </c>
      <c r="V56" s="142">
        <f t="shared" ca="1" si="21"/>
        <v>0</v>
      </c>
      <c r="W56" s="142">
        <f t="shared" ca="1" si="21"/>
        <v>0</v>
      </c>
      <c r="X56" s="142">
        <f t="shared" ca="1" si="21"/>
        <v>0</v>
      </c>
      <c r="Y56" s="142">
        <f t="shared" ca="1" si="21"/>
        <v>0</v>
      </c>
      <c r="Z56" s="436">
        <f t="shared" ca="1" si="19"/>
        <v>0</v>
      </c>
      <c r="AA56" s="34">
        <f t="shared" si="2"/>
        <v>50</v>
      </c>
    </row>
    <row r="57" spans="1:27">
      <c r="A57" s="20" t="s">
        <v>590</v>
      </c>
      <c r="B57" s="32"/>
      <c r="C57" s="143"/>
      <c r="D57" s="37">
        <f t="shared" ref="D57:Y57" ca="1" si="22">SUM(D55:D56)</f>
        <v>0</v>
      </c>
      <c r="E57" s="37">
        <f t="shared" ca="1" si="22"/>
        <v>9618.5261691311425</v>
      </c>
      <c r="F57" s="37">
        <f t="shared" ca="1" si="22"/>
        <v>38680.089716164613</v>
      </c>
      <c r="G57" s="37">
        <f t="shared" ca="1" si="22"/>
        <v>37703.249326126912</v>
      </c>
      <c r="H57" s="37">
        <f ca="1">SUM(H55:H56)</f>
        <v>39461.510170493224</v>
      </c>
      <c r="I57" s="37">
        <f t="shared" ca="1" si="22"/>
        <v>40400.390114087357</v>
      </c>
      <c r="J57" s="37">
        <f t="shared" ca="1" si="22"/>
        <v>41436.369109676125</v>
      </c>
      <c r="K57" s="37">
        <f t="shared" ca="1" si="22"/>
        <v>42248.399071166699</v>
      </c>
      <c r="L57" s="37">
        <f t="shared" ca="1" si="22"/>
        <v>43175.062077009061</v>
      </c>
      <c r="M57" s="37">
        <f t="shared" ca="1" si="22"/>
        <v>44102.50485224228</v>
      </c>
      <c r="N57" s="37">
        <f t="shared" ca="1" si="22"/>
        <v>45151.638155327622</v>
      </c>
      <c r="O57" s="37">
        <f t="shared" ca="1" si="22"/>
        <v>45960.005967279969</v>
      </c>
      <c r="P57" s="37">
        <f t="shared" ca="1" si="22"/>
        <v>46894.495233378933</v>
      </c>
      <c r="Q57" s="37">
        <f t="shared" ca="1" si="22"/>
        <v>47835.22662676758</v>
      </c>
      <c r="R57" s="37">
        <f t="shared" ca="1" si="22"/>
        <v>48917.321634956534</v>
      </c>
      <c r="S57" s="37">
        <f t="shared" ca="1" si="22"/>
        <v>49750.505807509238</v>
      </c>
      <c r="T57" s="37">
        <f t="shared" ca="1" si="22"/>
        <v>50740.767787139906</v>
      </c>
      <c r="U57" s="37">
        <f t="shared" ca="1" si="22"/>
        <v>51767.048523066689</v>
      </c>
      <c r="V57" s="37">
        <f t="shared" ca="1" si="22"/>
        <v>52978.624695289735</v>
      </c>
      <c r="W57" s="37">
        <f t="shared" ca="1" si="22"/>
        <v>53952.18356457437</v>
      </c>
      <c r="X57" s="37">
        <f t="shared" ca="1" si="22"/>
        <v>55117.305630723211</v>
      </c>
      <c r="Y57" s="37">
        <f t="shared" ca="1" si="22"/>
        <v>18248.420909313816</v>
      </c>
      <c r="Z57" s="435">
        <f t="shared" ca="1" si="19"/>
        <v>904139.64514142508</v>
      </c>
      <c r="AA57" s="34">
        <f t="shared" si="2"/>
        <v>51</v>
      </c>
    </row>
    <row r="58" spans="1:27">
      <c r="A58" s="20" t="s">
        <v>795</v>
      </c>
      <c r="B58" s="220">
        <f>(Pis+Cofins)/(1-(Pis+Cofins))*0</f>
        <v>0</v>
      </c>
      <c r="C58" s="143"/>
      <c r="D58" s="142">
        <f t="shared" ref="D58:Y58" ca="1" si="23">D57*$B58</f>
        <v>0</v>
      </c>
      <c r="E58" s="142">
        <f t="shared" ca="1" si="23"/>
        <v>0</v>
      </c>
      <c r="F58" s="142">
        <f t="shared" ca="1" si="23"/>
        <v>0</v>
      </c>
      <c r="G58" s="142">
        <f t="shared" ca="1" si="23"/>
        <v>0</v>
      </c>
      <c r="H58" s="142">
        <f t="shared" ca="1" si="23"/>
        <v>0</v>
      </c>
      <c r="I58" s="142">
        <f t="shared" ca="1" si="23"/>
        <v>0</v>
      </c>
      <c r="J58" s="142">
        <f t="shared" ca="1" si="23"/>
        <v>0</v>
      </c>
      <c r="K58" s="142">
        <f t="shared" ca="1" si="23"/>
        <v>0</v>
      </c>
      <c r="L58" s="142">
        <f t="shared" ca="1" si="23"/>
        <v>0</v>
      </c>
      <c r="M58" s="142">
        <f t="shared" ca="1" si="23"/>
        <v>0</v>
      </c>
      <c r="N58" s="142">
        <f t="shared" ca="1" si="23"/>
        <v>0</v>
      </c>
      <c r="O58" s="142">
        <f t="shared" ca="1" si="23"/>
        <v>0</v>
      </c>
      <c r="P58" s="142">
        <f t="shared" ca="1" si="23"/>
        <v>0</v>
      </c>
      <c r="Q58" s="142">
        <f t="shared" ca="1" si="23"/>
        <v>0</v>
      </c>
      <c r="R58" s="142">
        <f t="shared" ca="1" si="23"/>
        <v>0</v>
      </c>
      <c r="S58" s="142">
        <f t="shared" ca="1" si="23"/>
        <v>0</v>
      </c>
      <c r="T58" s="142">
        <f t="shared" ca="1" si="23"/>
        <v>0</v>
      </c>
      <c r="U58" s="142">
        <f t="shared" ca="1" si="23"/>
        <v>0</v>
      </c>
      <c r="V58" s="142">
        <f t="shared" ca="1" si="23"/>
        <v>0</v>
      </c>
      <c r="W58" s="142">
        <f t="shared" ca="1" si="23"/>
        <v>0</v>
      </c>
      <c r="X58" s="142">
        <f t="shared" ca="1" si="23"/>
        <v>0</v>
      </c>
      <c r="Y58" s="142">
        <f t="shared" ca="1" si="23"/>
        <v>0</v>
      </c>
      <c r="Z58" s="436">
        <f t="shared" ca="1" si="19"/>
        <v>0</v>
      </c>
      <c r="AA58" s="34">
        <f t="shared" si="2"/>
        <v>52</v>
      </c>
    </row>
    <row r="59" spans="1:27">
      <c r="A59" s="20" t="s">
        <v>453</v>
      </c>
      <c r="B59" s="32"/>
      <c r="C59" s="143"/>
      <c r="D59" s="37">
        <f t="shared" ref="D59:Y59" ca="1" si="24">SUM(D57:D58)</f>
        <v>0</v>
      </c>
      <c r="E59" s="37">
        <f t="shared" ca="1" si="24"/>
        <v>9618.5261691311425</v>
      </c>
      <c r="F59" s="37">
        <f t="shared" ca="1" si="24"/>
        <v>38680.089716164613</v>
      </c>
      <c r="G59" s="37">
        <f t="shared" ca="1" si="24"/>
        <v>37703.249326126912</v>
      </c>
      <c r="H59" s="37">
        <f ca="1">SUM(H57:H58)</f>
        <v>39461.510170493224</v>
      </c>
      <c r="I59" s="37">
        <f t="shared" ca="1" si="24"/>
        <v>40400.390114087357</v>
      </c>
      <c r="J59" s="37">
        <f t="shared" ca="1" si="24"/>
        <v>41436.369109676125</v>
      </c>
      <c r="K59" s="37">
        <f t="shared" ca="1" si="24"/>
        <v>42248.399071166699</v>
      </c>
      <c r="L59" s="37">
        <f t="shared" ca="1" si="24"/>
        <v>43175.062077009061</v>
      </c>
      <c r="M59" s="37">
        <f t="shared" ca="1" si="24"/>
        <v>44102.50485224228</v>
      </c>
      <c r="N59" s="37">
        <f t="shared" ca="1" si="24"/>
        <v>45151.638155327622</v>
      </c>
      <c r="O59" s="37">
        <f t="shared" ca="1" si="24"/>
        <v>45960.005967279969</v>
      </c>
      <c r="P59" s="37">
        <f t="shared" ca="1" si="24"/>
        <v>46894.495233378933</v>
      </c>
      <c r="Q59" s="37">
        <f t="shared" ca="1" si="24"/>
        <v>47835.22662676758</v>
      </c>
      <c r="R59" s="37">
        <f t="shared" ca="1" si="24"/>
        <v>48917.321634956534</v>
      </c>
      <c r="S59" s="37">
        <f t="shared" ca="1" si="24"/>
        <v>49750.505807509238</v>
      </c>
      <c r="T59" s="37">
        <f t="shared" ca="1" si="24"/>
        <v>50740.767787139906</v>
      </c>
      <c r="U59" s="37">
        <f t="shared" ca="1" si="24"/>
        <v>51767.048523066689</v>
      </c>
      <c r="V59" s="37">
        <f t="shared" ca="1" si="24"/>
        <v>52978.624695289735</v>
      </c>
      <c r="W59" s="37">
        <f t="shared" ca="1" si="24"/>
        <v>53952.18356457437</v>
      </c>
      <c r="X59" s="37">
        <f t="shared" ca="1" si="24"/>
        <v>55117.305630723211</v>
      </c>
      <c r="Y59" s="37">
        <f t="shared" ca="1" si="24"/>
        <v>18248.420909313816</v>
      </c>
      <c r="Z59" s="435">
        <f t="shared" ca="1" si="19"/>
        <v>904139.64514142508</v>
      </c>
      <c r="AA59" s="34">
        <f t="shared" si="2"/>
        <v>53</v>
      </c>
    </row>
    <row r="60" spans="1:27">
      <c r="A60" s="20" t="s">
        <v>454</v>
      </c>
      <c r="B60" s="32"/>
      <c r="C60" s="143"/>
      <c r="D60" s="142">
        <f ca="1">-D53*(1+$B56)*(1+$B58)*Assm!$J$25</f>
        <v>0</v>
      </c>
      <c r="E60" s="142">
        <f ca="1">-E53*(1+$B56)*(1+$B58)*Assm!$J$25</f>
        <v>-9618.5261691311425</v>
      </c>
      <c r="F60" s="142">
        <f ca="1">-F53*(1+$B56)*(1+$B58)*Assm!$J$25</f>
        <v>-38680.089716164613</v>
      </c>
      <c r="G60" s="142">
        <f ca="1">-G53*(1+$B56)*(1+$B58)*Assm!$J$25</f>
        <v>-10388.122012187507</v>
      </c>
      <c r="H60" s="142">
        <f ca="1">-H53*(1+$B56)*(1+$B58)*Assm!$J$25</f>
        <v>0</v>
      </c>
      <c r="I60" s="142">
        <f ca="1">-I53*(1+$B56)*(1+$B58)*Assm!$J$25</f>
        <v>0</v>
      </c>
      <c r="J60" s="142">
        <f ca="1">-J53*(1+$B56)*(1+$B58)*Assm!$J$25</f>
        <v>0</v>
      </c>
      <c r="K60" s="142">
        <f ca="1">-K53*(1+$B56)*(1+$B58)*Assm!$J$25</f>
        <v>0</v>
      </c>
      <c r="L60" s="142">
        <f ca="1">-L53*(1+$B56)*(1+$B58)*Assm!$J$25</f>
        <v>0</v>
      </c>
      <c r="M60" s="142">
        <f ca="1">-M53*(1+$B56)*(1+$B58)*Assm!$J$25</f>
        <v>0</v>
      </c>
      <c r="N60" s="142">
        <f ca="1">-N53*(1+$B56)*(1+$B58)*Assm!$J$25</f>
        <v>0</v>
      </c>
      <c r="O60" s="142">
        <f ca="1">-O53*(1+$B56)*(1+$B58)*Assm!$J$25</f>
        <v>0</v>
      </c>
      <c r="P60" s="142">
        <f ca="1">-P53*(1+$B56)*(1+$B58)*Assm!$J$25</f>
        <v>0</v>
      </c>
      <c r="Q60" s="142">
        <f ca="1">-Q53*(1+$B56)*(1+$B58)*Assm!$J$25</f>
        <v>0</v>
      </c>
      <c r="R60" s="142">
        <f ca="1">-R53*(1+$B56)*(1+$B58)*Assm!$J$25</f>
        <v>0</v>
      </c>
      <c r="S60" s="142">
        <f ca="1">-S53*(1+$B56)*(1+$B58)*Assm!$J$25</f>
        <v>0</v>
      </c>
      <c r="T60" s="142">
        <f ca="1">-T53*(1+$B56)*(1+$B58)*Assm!$J$25</f>
        <v>0</v>
      </c>
      <c r="U60" s="142">
        <f ca="1">-U53*(1+$B56)*(1+$B58)*Assm!$J$25</f>
        <v>0</v>
      </c>
      <c r="V60" s="142">
        <f ca="1">-V53*(1+$B56)*(1+$B58)*Assm!$J$25</f>
        <v>0</v>
      </c>
      <c r="W60" s="142">
        <f ca="1">-W53*(1+$B56)*(1+$B58)*Assm!$J$25</f>
        <v>0</v>
      </c>
      <c r="X60" s="142">
        <f ca="1">-X53*(1+$B56)*(1+$B58)*Assm!$J$25</f>
        <v>0</v>
      </c>
      <c r="Y60" s="142">
        <f ca="1">-Y53*(1+$B56)*(1+$B58)*Assm!$J$25</f>
        <v>0</v>
      </c>
      <c r="Z60" s="436">
        <f t="shared" ca="1" si="19"/>
        <v>-58686.737897483268</v>
      </c>
      <c r="AA60" s="34">
        <f t="shared" si="2"/>
        <v>54</v>
      </c>
    </row>
    <row r="61" spans="1:27">
      <c r="A61" s="20" t="s">
        <v>455</v>
      </c>
      <c r="B61" s="15"/>
      <c r="C61" s="143"/>
      <c r="D61" s="37">
        <f t="shared" ref="D61:Y61" ca="1" si="25">SUM(D59:D60)</f>
        <v>0</v>
      </c>
      <c r="E61" s="37">
        <f t="shared" ca="1" si="25"/>
        <v>0</v>
      </c>
      <c r="F61" s="37">
        <f t="shared" ca="1" si="25"/>
        <v>0</v>
      </c>
      <c r="G61" s="37">
        <f t="shared" ca="1" si="25"/>
        <v>27315.127313939403</v>
      </c>
      <c r="H61" s="37">
        <f ca="1">SUM(H59:H60)</f>
        <v>39461.510170493224</v>
      </c>
      <c r="I61" s="37">
        <f t="shared" ca="1" si="25"/>
        <v>40400.390114087357</v>
      </c>
      <c r="J61" s="37">
        <f t="shared" ca="1" si="25"/>
        <v>41436.369109676125</v>
      </c>
      <c r="K61" s="37">
        <f t="shared" ca="1" si="25"/>
        <v>42248.399071166699</v>
      </c>
      <c r="L61" s="37">
        <f t="shared" ca="1" si="25"/>
        <v>43175.062077009061</v>
      </c>
      <c r="M61" s="37">
        <f t="shared" ca="1" si="25"/>
        <v>44102.50485224228</v>
      </c>
      <c r="N61" s="37">
        <f t="shared" ca="1" si="25"/>
        <v>45151.638155327622</v>
      </c>
      <c r="O61" s="37">
        <f t="shared" ca="1" si="25"/>
        <v>45960.005967279969</v>
      </c>
      <c r="P61" s="37">
        <f t="shared" ca="1" si="25"/>
        <v>46894.495233378933</v>
      </c>
      <c r="Q61" s="37">
        <f t="shared" ca="1" si="25"/>
        <v>47835.22662676758</v>
      </c>
      <c r="R61" s="37">
        <f t="shared" ca="1" si="25"/>
        <v>48917.321634956534</v>
      </c>
      <c r="S61" s="37">
        <f t="shared" ca="1" si="25"/>
        <v>49750.505807509238</v>
      </c>
      <c r="T61" s="37">
        <f t="shared" ca="1" si="25"/>
        <v>50740.767787139906</v>
      </c>
      <c r="U61" s="37">
        <f t="shared" ca="1" si="25"/>
        <v>51767.048523066689</v>
      </c>
      <c r="V61" s="37">
        <f t="shared" ca="1" si="25"/>
        <v>52978.624695289735</v>
      </c>
      <c r="W61" s="37">
        <f t="shared" ca="1" si="25"/>
        <v>53952.18356457437</v>
      </c>
      <c r="X61" s="37">
        <f t="shared" ca="1" si="25"/>
        <v>55117.305630723211</v>
      </c>
      <c r="Y61" s="37">
        <f t="shared" ca="1" si="25"/>
        <v>18248.420909313816</v>
      </c>
      <c r="Z61" s="435">
        <f t="shared" ca="1" si="19"/>
        <v>845452.90724394179</v>
      </c>
      <c r="AA61" s="34">
        <f t="shared" si="2"/>
        <v>55</v>
      </c>
    </row>
    <row r="62" spans="1:27">
      <c r="A62" s="20"/>
      <c r="B62" s="15"/>
      <c r="C62" s="143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431"/>
      <c r="AA62" s="34">
        <f t="shared" si="2"/>
        <v>56</v>
      </c>
    </row>
    <row r="63" spans="1:27">
      <c r="A63" s="132" t="s">
        <v>1487</v>
      </c>
      <c r="B63" s="15"/>
      <c r="C63" s="143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431"/>
      <c r="AA63" s="34">
        <f t="shared" si="2"/>
        <v>57</v>
      </c>
    </row>
    <row r="64" spans="1:27">
      <c r="A64" s="20" t="s">
        <v>591</v>
      </c>
      <c r="B64" s="15"/>
      <c r="C64" s="143"/>
      <c r="D64" s="142">
        <f ca="1">IF(D$7&lt;YEAR(Startops2),0,VLOOKUP(DATE(D$7,12,1),Fuel_Cost_Table,'Fuel Expense'!$R$270))</f>
        <v>0</v>
      </c>
      <c r="E64" s="142">
        <f ca="1">IF(E$7&lt;YEAR(Startops2),0,VLOOKUP(DATE(E$7,12,1),Fuel_Cost_Table,'Fuel Expense'!$R$270))</f>
        <v>0</v>
      </c>
      <c r="F64" s="142">
        <f ca="1">IF(F$7&lt;YEAR(Startops2),0,VLOOKUP(DATE(F$7,12,1),Fuel_Cost_Table,'Fuel Expense'!$R$270))</f>
        <v>0</v>
      </c>
      <c r="G64" s="142">
        <f ca="1">IF(G$7&lt;YEAR(Startops2),0,VLOOKUP(DATE(G$7,12,1),Fuel_Cost_Table,'Fuel Expense'!$R$270))</f>
        <v>27484.721862367773</v>
      </c>
      <c r="H64" s="142">
        <f ca="1">IF(H$7&lt;YEAR(Startops2),0,VLOOKUP(DATE(H$7,12,1),Fuel_Cost_Table,'Fuel Expense'!$R$270))</f>
        <v>43789.99746682329</v>
      </c>
      <c r="I64" s="142">
        <f ca="1">IF(I$7&lt;YEAR(Startops2),0,VLOOKUP(DATE(I$7,12,1),Fuel_Cost_Table,'Fuel Expense'!$R$270))</f>
        <v>45152.907480765716</v>
      </c>
      <c r="J64" s="142">
        <f ca="1">IF(J$7&lt;YEAR(Startops2),0,VLOOKUP(DATE(J$7,12,1),Fuel_Cost_Table,'Fuel Expense'!$R$270))</f>
        <v>46518.330672235417</v>
      </c>
      <c r="K64" s="142">
        <f ca="1">IF(K$7&lt;YEAR(Startops2),0,VLOOKUP(DATE(K$7,12,1),Fuel_Cost_Table,'Fuel Expense'!$R$270))</f>
        <v>47815.130842564657</v>
      </c>
      <c r="L64" s="142">
        <f ca="1">IF(L$7&lt;YEAR(Startops2),0,VLOOKUP(DATE(L$7,12,1),Fuel_Cost_Table,'Fuel Expense'!$R$270))</f>
        <v>49176.961187941022</v>
      </c>
      <c r="M64" s="142">
        <f ca="1">IF(M$7&lt;YEAR(Startops2),0,VLOOKUP(DATE(M$7,12,1),Fuel_Cost_Table,'Fuel Expense'!$R$270))</f>
        <v>50569.989667461137</v>
      </c>
      <c r="N64" s="142">
        <f ca="1">IF(N$7&lt;YEAR(Startops2),0,VLOOKUP(DATE(N$7,12,1),Fuel_Cost_Table,'Fuel Expense'!$R$270))</f>
        <v>51900.505577384261</v>
      </c>
      <c r="O64" s="142">
        <f ca="1">IF(O$7&lt;YEAR(Startops2),0,VLOOKUP(DATE(O$7,12,1),Fuel_Cost_Table,'Fuel Expense'!$R$270))</f>
        <v>53285.103666739931</v>
      </c>
      <c r="P64" s="142">
        <f ca="1">IF(P$7&lt;YEAR(Startops2),0,VLOOKUP(DATE(P$7,12,1),Fuel_Cost_Table,'Fuel Expense'!$R$270))</f>
        <v>54702.160688180251</v>
      </c>
      <c r="Q64" s="142">
        <f ca="1">IF(Q$7&lt;YEAR(Startops2),0,VLOOKUP(DATE(Q$7,12,1),Fuel_Cost_Table,'Fuel Expense'!$R$270))</f>
        <v>56038.379717286647</v>
      </c>
      <c r="R64" s="142">
        <f ca="1">IF(R$7&lt;YEAR(Startops2),0,VLOOKUP(DATE(R$7,12,1),Fuel_Cost_Table,'Fuel Expense'!$R$270))</f>
        <v>57466.157692147623</v>
      </c>
      <c r="S64" s="142">
        <f ca="1">IF(S$7&lt;YEAR(Startops2),0,VLOOKUP(DATE(S$7,12,1),Fuel_Cost_Table,'Fuel Expense'!$R$270))</f>
        <v>58955.026086573715</v>
      </c>
      <c r="T64" s="142">
        <f ca="1">IF(T$7&lt;YEAR(Startops2),0,VLOOKUP(DATE(T$7,12,1),Fuel_Cost_Table,'Fuel Expense'!$R$270))</f>
        <v>60404.278130353428</v>
      </c>
      <c r="U64" s="142">
        <f ca="1">IF(U$7&lt;YEAR(Startops2),0,VLOOKUP(DATE(U$7,12,1),Fuel_Cost_Table,'Fuel Expense'!$R$270))</f>
        <v>61960.758466385618</v>
      </c>
      <c r="V64" s="142">
        <f ca="1">IF(V$7&lt;YEAR(Startops2),0,VLOOKUP(DATE(V$7,12,1),Fuel_Cost_Table,'Fuel Expense'!$R$270))</f>
        <v>63605.576287677912</v>
      </c>
      <c r="W64" s="142">
        <f ca="1">IF(W$7&lt;YEAR(Startops2),0,VLOOKUP(DATE(W$7,12,1),Fuel_Cost_Table,'Fuel Expense'!$R$270))</f>
        <v>65211.269243592535</v>
      </c>
      <c r="X64" s="142">
        <f ca="1">IF(X$7&lt;YEAR(Startops2),0,VLOOKUP(DATE(X$7,12,1),Fuel_Cost_Table,'Fuel Expense'!$R$270))</f>
        <v>66975.625319171741</v>
      </c>
      <c r="Y64" s="142">
        <f ca="1">IF(Y$7&lt;YEAR(Startops2),0,VLOOKUP(DATE(Y$7,12,1),Fuel_Cost_Table,'Fuel Expense'!$R$270))</f>
        <v>22531.500870964843</v>
      </c>
      <c r="Z64" s="436">
        <f t="shared" ref="Z64:Z69" ca="1" si="26">SUM(D64:Y64)</f>
        <v>983544.38092661742</v>
      </c>
      <c r="AA64" s="34">
        <f t="shared" si="2"/>
        <v>58</v>
      </c>
    </row>
    <row r="65" spans="1:27">
      <c r="A65" s="20" t="s">
        <v>592</v>
      </c>
      <c r="B65" s="15"/>
      <c r="C65" s="143"/>
      <c r="D65" s="37">
        <f t="shared" ref="D65:Y65" ca="1" si="27">SUM(D64:D64)</f>
        <v>0</v>
      </c>
      <c r="E65" s="37">
        <f t="shared" ca="1" si="27"/>
        <v>0</v>
      </c>
      <c r="F65" s="37">
        <f t="shared" ca="1" si="27"/>
        <v>0</v>
      </c>
      <c r="G65" s="37">
        <f t="shared" ca="1" si="27"/>
        <v>27484.721862367773</v>
      </c>
      <c r="H65" s="37">
        <f t="shared" ca="1" si="27"/>
        <v>43789.99746682329</v>
      </c>
      <c r="I65" s="37">
        <f t="shared" ca="1" si="27"/>
        <v>45152.907480765716</v>
      </c>
      <c r="J65" s="37">
        <f t="shared" ca="1" si="27"/>
        <v>46518.330672235417</v>
      </c>
      <c r="K65" s="37">
        <f t="shared" ca="1" si="27"/>
        <v>47815.130842564657</v>
      </c>
      <c r="L65" s="37">
        <f t="shared" ca="1" si="27"/>
        <v>49176.961187941022</v>
      </c>
      <c r="M65" s="37">
        <f t="shared" ca="1" si="27"/>
        <v>50569.989667461137</v>
      </c>
      <c r="N65" s="37">
        <f t="shared" ca="1" si="27"/>
        <v>51900.505577384261</v>
      </c>
      <c r="O65" s="37">
        <f t="shared" ca="1" si="27"/>
        <v>53285.103666739931</v>
      </c>
      <c r="P65" s="37">
        <f t="shared" ca="1" si="27"/>
        <v>54702.160688180251</v>
      </c>
      <c r="Q65" s="37">
        <f t="shared" ca="1" si="27"/>
        <v>56038.379717286647</v>
      </c>
      <c r="R65" s="37">
        <f t="shared" ca="1" si="27"/>
        <v>57466.157692147623</v>
      </c>
      <c r="S65" s="37">
        <f t="shared" ca="1" si="27"/>
        <v>58955.026086573715</v>
      </c>
      <c r="T65" s="37">
        <f t="shared" ca="1" si="27"/>
        <v>60404.278130353428</v>
      </c>
      <c r="U65" s="37">
        <f t="shared" ca="1" si="27"/>
        <v>61960.758466385618</v>
      </c>
      <c r="V65" s="37">
        <f t="shared" ca="1" si="27"/>
        <v>63605.576287677912</v>
      </c>
      <c r="W65" s="37">
        <f t="shared" ca="1" si="27"/>
        <v>65211.269243592535</v>
      </c>
      <c r="X65" s="37">
        <f t="shared" ca="1" si="27"/>
        <v>66975.625319171741</v>
      </c>
      <c r="Y65" s="37">
        <f t="shared" ca="1" si="27"/>
        <v>22531.500870964843</v>
      </c>
      <c r="Z65" s="435">
        <f t="shared" ca="1" si="26"/>
        <v>983544.38092661742</v>
      </c>
      <c r="AA65" s="34">
        <f t="shared" si="2"/>
        <v>59</v>
      </c>
    </row>
    <row r="66" spans="1:27">
      <c r="A66" s="20" t="s">
        <v>796</v>
      </c>
      <c r="B66" s="220">
        <f>Icms_Trans/(1-Icms_Trans)</f>
        <v>0</v>
      </c>
      <c r="C66" s="143"/>
      <c r="D66" s="142">
        <f t="shared" ref="D66:Y66" ca="1" si="28">D65*$B66</f>
        <v>0</v>
      </c>
      <c r="E66" s="142">
        <f t="shared" ca="1" si="28"/>
        <v>0</v>
      </c>
      <c r="F66" s="142">
        <f t="shared" ca="1" si="28"/>
        <v>0</v>
      </c>
      <c r="G66" s="142">
        <f t="shared" ca="1" si="28"/>
        <v>0</v>
      </c>
      <c r="H66" s="142">
        <f t="shared" ca="1" si="28"/>
        <v>0</v>
      </c>
      <c r="I66" s="142">
        <f t="shared" ca="1" si="28"/>
        <v>0</v>
      </c>
      <c r="J66" s="142">
        <f t="shared" ca="1" si="28"/>
        <v>0</v>
      </c>
      <c r="K66" s="142">
        <f t="shared" ca="1" si="28"/>
        <v>0</v>
      </c>
      <c r="L66" s="142">
        <f t="shared" ca="1" si="28"/>
        <v>0</v>
      </c>
      <c r="M66" s="142">
        <f t="shared" ca="1" si="28"/>
        <v>0</v>
      </c>
      <c r="N66" s="142">
        <f t="shared" ca="1" si="28"/>
        <v>0</v>
      </c>
      <c r="O66" s="142">
        <f t="shared" ca="1" si="28"/>
        <v>0</v>
      </c>
      <c r="P66" s="142">
        <f t="shared" ca="1" si="28"/>
        <v>0</v>
      </c>
      <c r="Q66" s="142">
        <f t="shared" ca="1" si="28"/>
        <v>0</v>
      </c>
      <c r="R66" s="142">
        <f t="shared" ca="1" si="28"/>
        <v>0</v>
      </c>
      <c r="S66" s="142">
        <f t="shared" ca="1" si="28"/>
        <v>0</v>
      </c>
      <c r="T66" s="142">
        <f t="shared" ca="1" si="28"/>
        <v>0</v>
      </c>
      <c r="U66" s="142">
        <f t="shared" ca="1" si="28"/>
        <v>0</v>
      </c>
      <c r="V66" s="142">
        <f t="shared" ca="1" si="28"/>
        <v>0</v>
      </c>
      <c r="W66" s="142">
        <f t="shared" ca="1" si="28"/>
        <v>0</v>
      </c>
      <c r="X66" s="142">
        <f t="shared" ca="1" si="28"/>
        <v>0</v>
      </c>
      <c r="Y66" s="142">
        <f t="shared" ca="1" si="28"/>
        <v>0</v>
      </c>
      <c r="Z66" s="436">
        <f t="shared" ca="1" si="26"/>
        <v>0</v>
      </c>
      <c r="AA66" s="34">
        <f t="shared" si="2"/>
        <v>60</v>
      </c>
    </row>
    <row r="67" spans="1:27">
      <c r="A67" s="20" t="s">
        <v>797</v>
      </c>
      <c r="B67" s="15"/>
      <c r="C67" s="143"/>
      <c r="D67" s="37">
        <f t="shared" ref="D67:Y67" ca="1" si="29">SUM(D65:D66)</f>
        <v>0</v>
      </c>
      <c r="E67" s="37">
        <f t="shared" ca="1" si="29"/>
        <v>0</v>
      </c>
      <c r="F67" s="37">
        <f t="shared" ca="1" si="29"/>
        <v>0</v>
      </c>
      <c r="G67" s="37">
        <f t="shared" ca="1" si="29"/>
        <v>27484.721862367773</v>
      </c>
      <c r="H67" s="37">
        <f t="shared" ca="1" si="29"/>
        <v>43789.99746682329</v>
      </c>
      <c r="I67" s="37">
        <f t="shared" ca="1" si="29"/>
        <v>45152.907480765716</v>
      </c>
      <c r="J67" s="37">
        <f t="shared" ca="1" si="29"/>
        <v>46518.330672235417</v>
      </c>
      <c r="K67" s="37">
        <f t="shared" ca="1" si="29"/>
        <v>47815.130842564657</v>
      </c>
      <c r="L67" s="37">
        <f t="shared" ca="1" si="29"/>
        <v>49176.961187941022</v>
      </c>
      <c r="M67" s="37">
        <f t="shared" ca="1" si="29"/>
        <v>50569.989667461137</v>
      </c>
      <c r="N67" s="37">
        <f t="shared" ca="1" si="29"/>
        <v>51900.505577384261</v>
      </c>
      <c r="O67" s="37">
        <f t="shared" ca="1" si="29"/>
        <v>53285.103666739931</v>
      </c>
      <c r="P67" s="37">
        <f t="shared" ca="1" si="29"/>
        <v>54702.160688180251</v>
      </c>
      <c r="Q67" s="37">
        <f t="shared" ca="1" si="29"/>
        <v>56038.379717286647</v>
      </c>
      <c r="R67" s="37">
        <f t="shared" ca="1" si="29"/>
        <v>57466.157692147623</v>
      </c>
      <c r="S67" s="37">
        <f t="shared" ca="1" si="29"/>
        <v>58955.026086573715</v>
      </c>
      <c r="T67" s="37">
        <f t="shared" ca="1" si="29"/>
        <v>60404.278130353428</v>
      </c>
      <c r="U67" s="37">
        <f t="shared" ca="1" si="29"/>
        <v>61960.758466385618</v>
      </c>
      <c r="V67" s="37">
        <f t="shared" ca="1" si="29"/>
        <v>63605.576287677912</v>
      </c>
      <c r="W67" s="37">
        <f t="shared" ca="1" si="29"/>
        <v>65211.269243592535</v>
      </c>
      <c r="X67" s="37">
        <f t="shared" ca="1" si="29"/>
        <v>66975.625319171741</v>
      </c>
      <c r="Y67" s="37">
        <f t="shared" ca="1" si="29"/>
        <v>22531.500870964843</v>
      </c>
      <c r="Z67" s="435">
        <f t="shared" ca="1" si="26"/>
        <v>983544.38092661742</v>
      </c>
      <c r="AA67" s="34">
        <f t="shared" si="2"/>
        <v>61</v>
      </c>
    </row>
    <row r="68" spans="1:27">
      <c r="A68" s="20" t="s">
        <v>798</v>
      </c>
      <c r="B68" s="220">
        <f>(Pis+Cofins)/(1-(Pis+Cofins))*0</f>
        <v>0</v>
      </c>
      <c r="C68" s="143"/>
      <c r="D68" s="142">
        <f t="shared" ref="D68:Y68" ca="1" si="30">D67*$B68</f>
        <v>0</v>
      </c>
      <c r="E68" s="142">
        <f t="shared" ca="1" si="30"/>
        <v>0</v>
      </c>
      <c r="F68" s="142">
        <f t="shared" ca="1" si="30"/>
        <v>0</v>
      </c>
      <c r="G68" s="142">
        <f t="shared" ca="1" si="30"/>
        <v>0</v>
      </c>
      <c r="H68" s="142">
        <f t="shared" ca="1" si="30"/>
        <v>0</v>
      </c>
      <c r="I68" s="142">
        <f t="shared" ca="1" si="30"/>
        <v>0</v>
      </c>
      <c r="J68" s="142">
        <f t="shared" ca="1" si="30"/>
        <v>0</v>
      </c>
      <c r="K68" s="142">
        <f t="shared" ca="1" si="30"/>
        <v>0</v>
      </c>
      <c r="L68" s="142">
        <f t="shared" ca="1" si="30"/>
        <v>0</v>
      </c>
      <c r="M68" s="142">
        <f t="shared" ca="1" si="30"/>
        <v>0</v>
      </c>
      <c r="N68" s="142">
        <f t="shared" ca="1" si="30"/>
        <v>0</v>
      </c>
      <c r="O68" s="142">
        <f t="shared" ca="1" si="30"/>
        <v>0</v>
      </c>
      <c r="P68" s="142">
        <f t="shared" ca="1" si="30"/>
        <v>0</v>
      </c>
      <c r="Q68" s="142">
        <f t="shared" ca="1" si="30"/>
        <v>0</v>
      </c>
      <c r="R68" s="142">
        <f t="shared" ca="1" si="30"/>
        <v>0</v>
      </c>
      <c r="S68" s="142">
        <f t="shared" ca="1" si="30"/>
        <v>0</v>
      </c>
      <c r="T68" s="142">
        <f t="shared" ca="1" si="30"/>
        <v>0</v>
      </c>
      <c r="U68" s="142">
        <f t="shared" ca="1" si="30"/>
        <v>0</v>
      </c>
      <c r="V68" s="142">
        <f t="shared" ca="1" si="30"/>
        <v>0</v>
      </c>
      <c r="W68" s="142">
        <f t="shared" ca="1" si="30"/>
        <v>0</v>
      </c>
      <c r="X68" s="142">
        <f t="shared" ca="1" si="30"/>
        <v>0</v>
      </c>
      <c r="Y68" s="142">
        <f t="shared" ca="1" si="30"/>
        <v>0</v>
      </c>
      <c r="Z68" s="436">
        <f t="shared" ca="1" si="26"/>
        <v>0</v>
      </c>
      <c r="AA68" s="34">
        <f t="shared" si="2"/>
        <v>62</v>
      </c>
    </row>
    <row r="69" spans="1:27">
      <c r="A69" s="20" t="s">
        <v>593</v>
      </c>
      <c r="B69" s="15"/>
      <c r="C69" s="143"/>
      <c r="D69" s="37">
        <f t="shared" ref="D69:Y69" ca="1" si="31">SUM(D67:D68)</f>
        <v>0</v>
      </c>
      <c r="E69" s="37">
        <f t="shared" ca="1" si="31"/>
        <v>0</v>
      </c>
      <c r="F69" s="37">
        <f t="shared" ca="1" si="31"/>
        <v>0</v>
      </c>
      <c r="G69" s="37">
        <f t="shared" ca="1" si="31"/>
        <v>27484.721862367773</v>
      </c>
      <c r="H69" s="37">
        <f t="shared" ca="1" si="31"/>
        <v>43789.99746682329</v>
      </c>
      <c r="I69" s="37">
        <f t="shared" ca="1" si="31"/>
        <v>45152.907480765716</v>
      </c>
      <c r="J69" s="37">
        <f t="shared" ca="1" si="31"/>
        <v>46518.330672235417</v>
      </c>
      <c r="K69" s="37">
        <f t="shared" ca="1" si="31"/>
        <v>47815.130842564657</v>
      </c>
      <c r="L69" s="37">
        <f t="shared" ca="1" si="31"/>
        <v>49176.961187941022</v>
      </c>
      <c r="M69" s="37">
        <f t="shared" ca="1" si="31"/>
        <v>50569.989667461137</v>
      </c>
      <c r="N69" s="37">
        <f t="shared" ca="1" si="31"/>
        <v>51900.505577384261</v>
      </c>
      <c r="O69" s="37">
        <f t="shared" ca="1" si="31"/>
        <v>53285.103666739931</v>
      </c>
      <c r="P69" s="37">
        <f t="shared" ca="1" si="31"/>
        <v>54702.160688180251</v>
      </c>
      <c r="Q69" s="37">
        <f t="shared" ca="1" si="31"/>
        <v>56038.379717286647</v>
      </c>
      <c r="R69" s="37">
        <f t="shared" ca="1" si="31"/>
        <v>57466.157692147623</v>
      </c>
      <c r="S69" s="37">
        <f t="shared" ca="1" si="31"/>
        <v>58955.026086573715</v>
      </c>
      <c r="T69" s="37">
        <f t="shared" ca="1" si="31"/>
        <v>60404.278130353428</v>
      </c>
      <c r="U69" s="37">
        <f t="shared" ca="1" si="31"/>
        <v>61960.758466385618</v>
      </c>
      <c r="V69" s="37">
        <f t="shared" ca="1" si="31"/>
        <v>63605.576287677912</v>
      </c>
      <c r="W69" s="37">
        <f t="shared" ca="1" si="31"/>
        <v>65211.269243592535</v>
      </c>
      <c r="X69" s="37">
        <f t="shared" ca="1" si="31"/>
        <v>66975.625319171741</v>
      </c>
      <c r="Y69" s="37">
        <f t="shared" ca="1" si="31"/>
        <v>22531.500870964843</v>
      </c>
      <c r="Z69" s="435">
        <f t="shared" ca="1" si="26"/>
        <v>983544.38092661742</v>
      </c>
      <c r="AA69" s="34">
        <f t="shared" si="2"/>
        <v>63</v>
      </c>
    </row>
    <row r="70" spans="1:27">
      <c r="A70" s="20"/>
      <c r="B70" s="15"/>
      <c r="C70" s="143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431"/>
      <c r="AA70" s="34">
        <f t="shared" si="2"/>
        <v>64</v>
      </c>
    </row>
    <row r="71" spans="1:27">
      <c r="A71" s="132" t="s">
        <v>1948</v>
      </c>
      <c r="B71" s="15"/>
      <c r="C71" s="143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431"/>
      <c r="AA71" s="34">
        <f t="shared" si="2"/>
        <v>65</v>
      </c>
    </row>
    <row r="72" spans="1:27">
      <c r="A72" s="20" t="str">
        <f>Assm!A60</f>
        <v>Payroll &amp; Burden (Includes WTF)</v>
      </c>
      <c r="B72" s="15"/>
      <c r="C72" s="143"/>
      <c r="D72" s="37">
        <f ca="1">IF(D$7&lt;YEAR(Startops1),0,HLOOKUP(D$7,OM_Table,Assm!$G59)*D$12/12*Exch/D$27*D$26)</f>
        <v>0</v>
      </c>
      <c r="E72" s="37">
        <f ca="1">IF(E$7&lt;YEAR(Startops1),0,HLOOKUP(E$7,OM_Table,Assm!$G59)*E$12/12*Exch/E$27*E$26)</f>
        <v>1263.8269392783677</v>
      </c>
      <c r="F72" s="37">
        <f ca="1">IF(F$7&lt;YEAR(Startops1),0,HLOOKUP(F$7,OM_Table,Assm!$G59)*F$12/12*Exch/F$27*F$26)</f>
        <v>1212.2552099702425</v>
      </c>
      <c r="G72" s="37">
        <f ca="1">IF(G$7&lt;YEAR(Startops1),0,HLOOKUP(G$7,OM_Table,Assm!$G59)*G$12/12*Exch/G$27*G$26)</f>
        <v>1806.7170737693734</v>
      </c>
      <c r="H72" s="37">
        <f ca="1">IF(H$7&lt;YEAR(Startops1),0,HLOOKUP(H$7,OM_Table,Assm!$G59)*H$12/12*Exch/H$27*H$26)</f>
        <v>1527.4012742709795</v>
      </c>
      <c r="I72" s="37">
        <f ca="1">IF(I$7&lt;YEAR(Startops1),0,HLOOKUP(I$7,OM_Table,Assm!$G59)*I$12/12*Exch/I$27*I$26)</f>
        <v>1527.1450392878603</v>
      </c>
      <c r="J72" s="37">
        <f ca="1">IF(J$7&lt;YEAR(Startops1),0,HLOOKUP(J$7,OM_Table,Assm!$G59)*J$12/12*Exch/J$27*J$26)</f>
        <v>1571.9127701987468</v>
      </c>
      <c r="K72" s="37">
        <f ca="1">IF(K$7&lt;YEAR(Startops1),0,HLOOKUP(K$7,OM_Table,Assm!$G59)*K$12/12*Exch/K$27*K$26)</f>
        <v>1640.9028785833968</v>
      </c>
      <c r="L72" s="37">
        <f ca="1">IF(L$7&lt;YEAR(Startops1),0,HLOOKUP(L$7,OM_Table,Assm!$G59)*L$12/12*Exch/L$27*L$26)</f>
        <v>1712.8941861394489</v>
      </c>
      <c r="M72" s="37">
        <f ca="1">IF(M$7&lt;YEAR(Startops1),0,HLOOKUP(M$7,OM_Table,Assm!$G59)*M$12/12*Exch/M$27*M$26)</f>
        <v>1790.8506607066415</v>
      </c>
      <c r="N72" s="37">
        <f ca="1">IF(N$7&lt;YEAR(Startops1),0,HLOOKUP(N$7,OM_Table,Assm!$G59)*N$12/12*Exch/N$27*N$26)</f>
        <v>1873.5484069733347</v>
      </c>
      <c r="O72" s="37">
        <f ca="1">IF(O$7&lt;YEAR(Startops1),0,HLOOKUP(O$7,OM_Table,Assm!$G59)*O$12/12*Exch/O$27*O$26)</f>
        <v>1960.5145765283389</v>
      </c>
      <c r="P72" s="37">
        <f ca="1">IF(P$7&lt;YEAR(Startops1),0,HLOOKUP(P$7,OM_Table,Assm!$G59)*P$12/12*Exch/P$27*P$26)</f>
        <v>2049.7958948549781</v>
      </c>
      <c r="Q72" s="37">
        <f ca="1">IF(Q$7&lt;YEAR(Startops1),0,HLOOKUP(Q$7,OM_Table,Assm!$G59)*Q$12/12*Exch/Q$27*Q$26)</f>
        <v>2145.3533970806284</v>
      </c>
      <c r="R72" s="37">
        <f ca="1">IF(R$7&lt;YEAR(Startops1),0,HLOOKUP(R$7,OM_Table,Assm!$G59)*R$12/12*Exch/R$27*R$26)</f>
        <v>2249.8560954019895</v>
      </c>
      <c r="S72" s="37">
        <f ca="1">IF(S$7&lt;YEAR(Startops1),0,HLOOKUP(S$7,OM_Table,Assm!$G59)*S$12/12*Exch/S$27*S$26)</f>
        <v>2362.0203651945358</v>
      </c>
      <c r="T72" s="37">
        <f ca="1">IF(T$7&lt;YEAR(Startops1),0,HLOOKUP(T$7,OM_Table,Assm!$G59)*T$12/12*Exch/T$27*T$26)</f>
        <v>2477.6493530338494</v>
      </c>
      <c r="U72" s="37">
        <f ca="1">IF(U$7&lt;YEAR(Startops1),0,HLOOKUP(U$7,OM_Table,Assm!$G59)*U$12/12*Exch/U$27*U$26)</f>
        <v>2598.1503959342203</v>
      </c>
      <c r="V72" s="37">
        <f ca="1">IF(V$7&lt;YEAR(Startops1),0,HLOOKUP(V$7,OM_Table,Assm!$G59)*V$12/12*Exch/V$27*V$26)</f>
        <v>2723.0104208879352</v>
      </c>
      <c r="W72" s="37">
        <f ca="1">IF(W$7&lt;YEAR(Startops1),0,HLOOKUP(W$7,OM_Table,Assm!$G59)*W$12/12*Exch/W$27*W$26)</f>
        <v>2852.9548004408371</v>
      </c>
      <c r="X72" s="37">
        <f ca="1">IF(X$7&lt;YEAR(Startops1),0,HLOOKUP(X$7,OM_Table,Assm!$G59)*X$12/12*Exch/X$27*X$26)</f>
        <v>2987.268472168123</v>
      </c>
      <c r="Y72" s="37">
        <f ca="1">IF(Y$7&lt;YEAR(Startops1),0,HLOOKUP(Y$7,OM_Table,Assm!$G59)*Y$12/12*Exch/Y$27*Y$26)</f>
        <v>1042.6404917379139</v>
      </c>
      <c r="Z72" s="435">
        <f t="shared" ref="Z72:Z78" ca="1" si="32">SUM(D72:Y72)</f>
        <v>41376.668702441733</v>
      </c>
      <c r="AA72" s="34">
        <f t="shared" ref="AA72:AA93" si="33">AA71+1</f>
        <v>66</v>
      </c>
    </row>
    <row r="73" spans="1:27">
      <c r="A73" s="20" t="str">
        <f>Assm!A61</f>
        <v>Other O&amp;M Expenses</v>
      </c>
      <c r="B73" s="15"/>
      <c r="C73" s="143"/>
      <c r="D73" s="37">
        <f ca="1">IF(D$7&lt;YEAR(Startops1),0,HLOOKUP(D$7,OM_Table,Assm!$G60)*D$12/12*Exch/D$27*D$26)</f>
        <v>0</v>
      </c>
      <c r="E73" s="37">
        <f ca="1">IF(E$7&lt;YEAR(Startops1),0,HLOOKUP(E$7,OM_Table,Assm!$G60)*E$12/12*Exch/E$27*E$26)</f>
        <v>539.2383301063428</v>
      </c>
      <c r="F73" s="37">
        <f ca="1">IF(F$7&lt;YEAR(Startops1),0,HLOOKUP(F$7,OM_Table,Assm!$G60)*F$12/12*Exch/F$27*F$26)</f>
        <v>517.23416772578082</v>
      </c>
      <c r="G73" s="37">
        <f ca="1">IF(G$7&lt;YEAR(Startops1),0,HLOOKUP(G$7,OM_Table,Assm!$G60)*G$12/12*Exch/G$27*G$26)</f>
        <v>601.89732748064466</v>
      </c>
      <c r="H73" s="37">
        <f ca="1">IF(H$7&lt;YEAR(Startops1),0,HLOOKUP(H$7,OM_Table,Assm!$G60)*H$12/12*Exch/H$27*H$26)</f>
        <v>629.76007987053924</v>
      </c>
      <c r="I73" s="37">
        <f ca="1">IF(I$7&lt;YEAR(Startops1),0,HLOOKUP(I$7,OM_Table,Assm!$G60)*I$12/12*Exch/I$27*I$26)</f>
        <v>629.65443208422869</v>
      </c>
      <c r="J73" s="37">
        <f ca="1">IF(J$7&lt;YEAR(Startops1),0,HLOOKUP(J$7,OM_Table,Assm!$G60)*J$12/12*Exch/J$27*J$26)</f>
        <v>648.11253492136223</v>
      </c>
      <c r="K73" s="37">
        <f ca="1">IF(K$7&lt;YEAR(Startops1),0,HLOOKUP(K$7,OM_Table,Assm!$G60)*K$12/12*Exch/K$27*K$26)</f>
        <v>676.55772276980861</v>
      </c>
      <c r="L73" s="37">
        <f ca="1">IF(L$7&lt;YEAR(Startops1),0,HLOOKUP(L$7,OM_Table,Assm!$G60)*L$12/12*Exch/L$27*L$26)</f>
        <v>706.24032966570974</v>
      </c>
      <c r="M73" s="37">
        <f ca="1">IF(M$7&lt;YEAR(Startops1),0,HLOOKUP(M$7,OM_Table,Assm!$G60)*M$12/12*Exch/M$27*M$26)</f>
        <v>738.38242387293963</v>
      </c>
      <c r="N73" s="37">
        <f ca="1">IF(N$7&lt;YEAR(Startops1),0,HLOOKUP(N$7,OM_Table,Assm!$G60)*N$12/12*Exch/N$27*N$26)</f>
        <v>772.47938331071646</v>
      </c>
      <c r="O73" s="37">
        <f ca="1">IF(O$7&lt;YEAR(Startops1),0,HLOOKUP(O$7,OM_Table,Assm!$G60)*O$12/12*Exch/O$27*O$26)</f>
        <v>808.33624869871653</v>
      </c>
      <c r="P73" s="37">
        <f ca="1">IF(P$7&lt;YEAR(Startops1),0,HLOOKUP(P$7,OM_Table,Assm!$G60)*P$12/12*Exch/P$27*P$26)</f>
        <v>845.14766892433329</v>
      </c>
      <c r="Q73" s="37">
        <f ca="1">IF(Q$7&lt;YEAR(Startops1),0,HLOOKUP(Q$7,OM_Table,Assm!$G60)*Q$12/12*Exch/Q$27*Q$26)</f>
        <v>884.54681127648144</v>
      </c>
      <c r="R73" s="37">
        <f ca="1">IF(R$7&lt;YEAR(Startops1),0,HLOOKUP(R$7,OM_Table,Assm!$G60)*R$12/12*Exch/R$27*R$26)</f>
        <v>927.63413138688156</v>
      </c>
      <c r="S73" s="37">
        <f ca="1">IF(S$7&lt;YEAR(Startops1),0,HLOOKUP(S$7,OM_Table,Assm!$G60)*S$12/12*Exch/S$27*S$26)</f>
        <v>973.88038028888639</v>
      </c>
      <c r="T73" s="37">
        <f ca="1">IF(T$7&lt;YEAR(Startops1),0,HLOOKUP(T$7,OM_Table,Assm!$G60)*T$12/12*Exch/T$27*T$26)</f>
        <v>1021.5551608744869</v>
      </c>
      <c r="U73" s="37">
        <f ca="1">IF(U$7&lt;YEAR(Startops1),0,HLOOKUP(U$7,OM_Table,Assm!$G60)*U$12/12*Exch/U$27*U$26)</f>
        <v>1071.2387297438668</v>
      </c>
      <c r="V73" s="37">
        <f ca="1">IF(V$7&lt;YEAR(Startops1),0,HLOOKUP(V$7,OM_Table,Assm!$G60)*V$12/12*Exch/V$27*V$26)</f>
        <v>1122.7195426854562</v>
      </c>
      <c r="W73" s="37">
        <f ca="1">IF(W$7&lt;YEAR(Startops1),0,HLOOKUP(W$7,OM_Table,Assm!$G60)*W$12/12*Exch/W$27*W$26)</f>
        <v>1176.2966767526132</v>
      </c>
      <c r="X73" s="37">
        <f ca="1">IF(X$7&lt;YEAR(Startops1),0,HLOOKUP(X$7,OM_Table,Assm!$G60)*X$12/12*Exch/X$27*X$26)</f>
        <v>1231.6753058394934</v>
      </c>
      <c r="Y73" s="37">
        <f ca="1">IF(Y$7&lt;YEAR(Startops1),0,HLOOKUP(Y$7,OM_Table,Assm!$G60)*Y$12/12*Exch/Y$27*Y$26)</f>
        <v>429.88923108403526</v>
      </c>
      <c r="Z73" s="435">
        <f t="shared" ca="1" si="32"/>
        <v>16952.476619363322</v>
      </c>
      <c r="AA73" s="34">
        <f t="shared" si="33"/>
        <v>67</v>
      </c>
    </row>
    <row r="74" spans="1:27">
      <c r="A74" s="20" t="str">
        <f>Assm!A62</f>
        <v>Commercial Office</v>
      </c>
      <c r="B74" s="15"/>
      <c r="C74" s="25"/>
      <c r="D74" s="37">
        <f ca="1">IF(D$7&lt;YEAR(Startops1),0,HLOOKUP(D$7,OM_Table,Assm!$G61)*D$12/12*Exch/D$27*D$26)</f>
        <v>0</v>
      </c>
      <c r="E74" s="37">
        <f ca="1">IF(E$7&lt;YEAR(Startops1),0,HLOOKUP(E$7,OM_Table,Assm!$G61)*E$12/12*Exch/E$27*E$26)</f>
        <v>680.68266631114318</v>
      </c>
      <c r="F74" s="37">
        <f ca="1">IF(F$7&lt;YEAR(Startops1),0,HLOOKUP(F$7,OM_Table,Assm!$G61)*F$12/12*Exch/F$27*F$26)</f>
        <v>652.90672553892398</v>
      </c>
      <c r="G74" s="37">
        <f ca="1">IF(G$7&lt;YEAR(Startops1),0,HLOOKUP(G$7,OM_Table,Assm!$G61)*G$12/12*Exch/G$27*G$26)</f>
        <v>744.8724303400262</v>
      </c>
      <c r="H74" s="37">
        <f ca="1">IF(H$7&lt;YEAR(Startops1),0,HLOOKUP(H$7,OM_Table,Assm!$G61)*H$12/12*Exch/H$27*H$26)</f>
        <v>756.22873581983629</v>
      </c>
      <c r="I74" s="37">
        <f ca="1">IF(I$7&lt;YEAR(Startops1),0,HLOOKUP(I$7,OM_Table,Assm!$G61)*I$12/12*Exch/I$27*I$26)</f>
        <v>756.10187180536877</v>
      </c>
      <c r="J74" s="37">
        <f ca="1">IF(J$7&lt;YEAR(Startops1),0,HLOOKUP(J$7,OM_Table,Assm!$G61)*J$12/12*Exch/J$27*J$26)</f>
        <v>778.26673779215457</v>
      </c>
      <c r="K74" s="37">
        <f ca="1">IF(K$7&lt;YEAR(Startops1),0,HLOOKUP(K$7,OM_Table,Assm!$G61)*K$12/12*Exch/K$27*K$26)</f>
        <v>812.42429895609882</v>
      </c>
      <c r="L74" s="37">
        <f ca="1">IF(L$7&lt;YEAR(Startops1),0,HLOOKUP(L$7,OM_Table,Assm!$G61)*L$12/12*Exch/L$27*L$26)</f>
        <v>848.06777812571977</v>
      </c>
      <c r="M74" s="37">
        <f ca="1">IF(M$7&lt;YEAR(Startops1),0,HLOOKUP(M$7,OM_Table,Assm!$G61)*M$12/12*Exch/M$27*M$26)</f>
        <v>886.66465977298526</v>
      </c>
      <c r="N74" s="37">
        <f ca="1">IF(N$7&lt;YEAR(Startops1),0,HLOOKUP(N$7,OM_Table,Assm!$G61)*N$12/12*Exch/N$27*N$26)</f>
        <v>927.60898342117662</v>
      </c>
      <c r="O74" s="37">
        <f ca="1">IF(O$7&lt;YEAR(Startops1),0,HLOOKUP(O$7,OM_Table,Assm!$G61)*O$12/12*Exch/O$27*O$26)</f>
        <v>970.6666379940159</v>
      </c>
      <c r="P74" s="37">
        <f ca="1">IF(P$7&lt;YEAR(Startops1),0,HLOOKUP(P$7,OM_Table,Assm!$G61)*P$12/12*Exch/P$27*P$26)</f>
        <v>1014.870541465753</v>
      </c>
      <c r="Q74" s="37">
        <f ca="1">IF(Q$7&lt;YEAR(Startops1),0,HLOOKUP(Q$7,OM_Table,Assm!$G61)*Q$12/12*Exch/Q$27*Q$26)</f>
        <v>1062.1818343941261</v>
      </c>
      <c r="R74" s="37">
        <f ca="1">IF(R$7&lt;YEAR(Startops1),0,HLOOKUP(R$7,OM_Table,Assm!$G61)*R$12/12*Exch/R$27*R$26)</f>
        <v>1113.9219663244496</v>
      </c>
      <c r="S74" s="37">
        <f ca="1">IF(S$7&lt;YEAR(Startops1),0,HLOOKUP(S$7,OM_Table,Assm!$G61)*S$12/12*Exch/S$27*S$26)</f>
        <v>1169.4554043136627</v>
      </c>
      <c r="T74" s="37">
        <f ca="1">IF(T$7&lt;YEAR(Startops1),0,HLOOKUP(T$7,OM_Table,Assm!$G61)*T$12/12*Exch/T$27*T$26)</f>
        <v>1226.7042522561176</v>
      </c>
      <c r="U74" s="37">
        <f ca="1">IF(U$7&lt;YEAR(Startops1),0,HLOOKUP(U$7,OM_Table,Assm!$G61)*U$12/12*Exch/U$27*U$26)</f>
        <v>1286.3652941005496</v>
      </c>
      <c r="V74" s="37">
        <f ca="1">IF(V$7&lt;YEAR(Startops1),0,HLOOKUP(V$7,OM_Table,Assm!$G61)*V$12/12*Exch/V$27*V$26)</f>
        <v>1348.1845032473068</v>
      </c>
      <c r="W74" s="37">
        <f ca="1">IF(W$7&lt;YEAR(Startops1),0,HLOOKUP(W$7,OM_Table,Assm!$G61)*W$12/12*Exch/W$27*W$26)</f>
        <v>1412.5210175160189</v>
      </c>
      <c r="X74" s="37">
        <f ca="1">IF(X$7&lt;YEAR(Startops1),0,HLOOKUP(X$7,OM_Table,Assm!$G61)*X$12/12*Exch/X$27*X$26)</f>
        <v>1479.0208037114476</v>
      </c>
      <c r="Y74" s="37">
        <f ca="1">IF(Y$7&lt;YEAR(Startops1),0,HLOOKUP(Y$7,OM_Table,Assm!$G61)*Y$12/12*Exch/Y$27*Y$26)</f>
        <v>516.2197480540076</v>
      </c>
      <c r="Z74" s="435">
        <f t="shared" ca="1" si="32"/>
        <v>20443.936891260888</v>
      </c>
      <c r="AA74" s="34">
        <f t="shared" si="33"/>
        <v>68</v>
      </c>
    </row>
    <row r="75" spans="1:27">
      <c r="A75" s="20" t="str">
        <f>Assm!A63</f>
        <v>Sustaining Capital</v>
      </c>
      <c r="B75" s="15"/>
      <c r="C75" s="15"/>
      <c r="D75" s="37">
        <f ca="1">IF(D$7&lt;YEAR(Startops1),0,HLOOKUP(D$7,OM_Table,Assm!$G62)*D$12/12*Exch/D$27*D$26)</f>
        <v>0</v>
      </c>
      <c r="E75" s="37">
        <f ca="1">IF(E$7&lt;YEAR(Startops1),0,HLOOKUP(E$7,OM_Table,Assm!$G62)*E$12/12*Exch/E$27*E$26)</f>
        <v>0</v>
      </c>
      <c r="F75" s="37">
        <f ca="1">IF(F$7&lt;YEAR(Startops1),0,HLOOKUP(F$7,OM_Table,Assm!$G62)*F$12/12*Exch/F$27*F$26)</f>
        <v>0</v>
      </c>
      <c r="G75" s="37">
        <f ca="1">IF(G$7&lt;YEAR(Startops1),0,HLOOKUP(G$7,OM_Table,Assm!$G62)*G$12/12*Exch/G$27*G$26)</f>
        <v>287.58796592769056</v>
      </c>
      <c r="H75" s="37">
        <f ca="1">IF(H$7&lt;YEAR(Startops1),0,HLOOKUP(H$7,OM_Table,Assm!$G62)*H$12/12*Exch/H$27*H$26)</f>
        <v>291.9725244914988</v>
      </c>
      <c r="I75" s="37">
        <f ca="1">IF(I$7&lt;YEAR(Startops1),0,HLOOKUP(I$7,OM_Table,Assm!$G62)*I$12/12*Exch/I$27*I$26)</f>
        <v>291.92354353531886</v>
      </c>
      <c r="J75" s="37">
        <f ca="1">IF(J$7&lt;YEAR(Startops1),0,HLOOKUP(J$7,OM_Table,Assm!$G62)*J$12/12*Exch/J$27*J$26)</f>
        <v>300.48118168188012</v>
      </c>
      <c r="K75" s="37">
        <f ca="1">IF(K$7&lt;YEAR(Startops1),0,HLOOKUP(K$7,OM_Table,Assm!$G62)*K$12/12*Exch/K$27*K$26)</f>
        <v>313.66908223514019</v>
      </c>
      <c r="L75" s="37">
        <f ca="1">IF(L$7&lt;YEAR(Startops1),0,HLOOKUP(L$7,OM_Table,Assm!$G62)*L$12/12*Exch/L$27*L$26)</f>
        <v>327.43068120893764</v>
      </c>
      <c r="M75" s="37">
        <f ca="1">IF(M$7&lt;YEAR(Startops1),0,HLOOKUP(M$7,OM_Table,Assm!$G62)*M$12/12*Exch/M$27*M$26)</f>
        <v>342.33256001659043</v>
      </c>
      <c r="N75" s="37">
        <f ca="1">IF(N$7&lt;YEAR(Startops1),0,HLOOKUP(N$7,OM_Table,Assm!$G62)*N$12/12*Exch/N$27*N$26)</f>
        <v>358.14076323991713</v>
      </c>
      <c r="O75" s="37">
        <f ca="1">IF(O$7&lt;YEAR(Startops1),0,HLOOKUP(O$7,OM_Table,Assm!$G62)*O$12/12*Exch/O$27*O$26)</f>
        <v>374.76490288026781</v>
      </c>
      <c r="P75" s="37">
        <f ca="1">IF(P$7&lt;YEAR(Startops1),0,HLOOKUP(P$7,OM_Table,Assm!$G62)*P$12/12*Exch/P$27*P$26)</f>
        <v>391.83159801851821</v>
      </c>
      <c r="Q75" s="37">
        <f ca="1">IF(Q$7&lt;YEAR(Startops1),0,HLOOKUP(Q$7,OM_Table,Assm!$G62)*Q$12/12*Exch/Q$27*Q$26)</f>
        <v>410.0980258583416</v>
      </c>
      <c r="R75" s="37">
        <f ca="1">IF(R$7&lt;YEAR(Startops1),0,HLOOKUP(R$7,OM_Table,Assm!$G62)*R$12/12*Exch/R$27*R$26)</f>
        <v>430.07438515503287</v>
      </c>
      <c r="S75" s="37">
        <f ca="1">IF(S$7&lt;YEAR(Startops1),0,HLOOKUP(S$7,OM_Table,Assm!$G62)*S$12/12*Exch/S$27*S$26)</f>
        <v>451.51530285015946</v>
      </c>
      <c r="T75" s="37">
        <f ca="1">IF(T$7&lt;YEAR(Startops1),0,HLOOKUP(T$7,OM_Table,Assm!$G62)*T$12/12*Exch/T$27*T$26)</f>
        <v>473.61852356401857</v>
      </c>
      <c r="U75" s="37">
        <f ca="1">IF(U$7&lt;YEAR(Startops1),0,HLOOKUP(U$7,OM_Table,Assm!$G62)*U$12/12*Exch/U$27*U$26)</f>
        <v>496.65306876974546</v>
      </c>
      <c r="V75" s="37">
        <f ca="1">IF(V$7&lt;YEAR(Startops1),0,HLOOKUP(V$7,OM_Table,Assm!$G62)*V$12/12*Exch/V$27*V$26)</f>
        <v>520.52086127974439</v>
      </c>
      <c r="W75" s="37">
        <f ca="1">IF(W$7&lt;YEAR(Startops1),0,HLOOKUP(W$7,OM_Table,Assm!$G62)*W$12/12*Exch/W$27*W$26)</f>
        <v>545.36056069642257</v>
      </c>
      <c r="X75" s="37">
        <f ca="1">IF(X$7&lt;YEAR(Startops1),0,HLOOKUP(X$7,OM_Table,Assm!$G62)*X$12/12*Exch/X$27*X$26)</f>
        <v>571.03547826296415</v>
      </c>
      <c r="Y75" s="37">
        <f ca="1">IF(Y$7&lt;YEAR(Startops1),0,HLOOKUP(Y$7,OM_Table,Assm!$G62)*Y$12/12*Exch/Y$27*Y$26)</f>
        <v>199.30739985474719</v>
      </c>
      <c r="Z75" s="435">
        <f t="shared" ca="1" si="32"/>
        <v>7378.3184095269353</v>
      </c>
      <c r="AA75" s="34">
        <f t="shared" si="33"/>
        <v>69</v>
      </c>
    </row>
    <row r="76" spans="1:27">
      <c r="A76" s="20" t="str">
        <f>Assm!A64</f>
        <v>Minor Maintenance (Incl WTF)</v>
      </c>
      <c r="B76" s="15"/>
      <c r="C76" s="143"/>
      <c r="D76" s="37">
        <f ca="1">IF(D$7&lt;YEAR(Startops1),0,HLOOKUP(D$7,OM_Table,Assm!$G63)*D$12/12*Exch/D$27*D$26)</f>
        <v>0</v>
      </c>
      <c r="E76" s="37">
        <f ca="1">IF(E$7&lt;YEAR(Startops1),0,HLOOKUP(E$7,OM_Table,Assm!$G63)*E$12/12*Exch/E$27*E$26)</f>
        <v>156.09639213885697</v>
      </c>
      <c r="F76" s="37">
        <f ca="1">IF(F$7&lt;YEAR(Startops1),0,HLOOKUP(F$7,OM_Table,Assm!$G63)*F$12/12*Exch/F$27*F$26)</f>
        <v>149.72672186900448</v>
      </c>
      <c r="G76" s="37">
        <f ca="1">IF(G$7&lt;YEAR(Startops1),0,HLOOKUP(G$7,OM_Table,Assm!$G63)*G$12/12*Exch/G$27*G$26)</f>
        <v>846.0239774623526</v>
      </c>
      <c r="H76" s="37">
        <f ca="1">IF(H$7&lt;YEAR(Startops1),0,HLOOKUP(H$7,OM_Table,Assm!$G63)*H$12/12*Exch/H$27*H$26)</f>
        <v>989.74732278360568</v>
      </c>
      <c r="I76" s="37">
        <f ca="1">IF(I$7&lt;YEAR(Startops1),0,HLOOKUP(I$7,OM_Table,Assm!$G63)*I$12/12*Exch/I$27*I$26)</f>
        <v>989.58128397453982</v>
      </c>
      <c r="J76" s="37">
        <f ca="1">IF(J$7&lt;YEAR(Startops1),0,HLOOKUP(J$7,OM_Table,Assm!$G63)*J$12/12*Exch/J$27*J$26)</f>
        <v>1018.5905185237875</v>
      </c>
      <c r="K76" s="37">
        <f ca="1">IF(K$7&lt;YEAR(Startops1),0,HLOOKUP(K$7,OM_Table,Assm!$G63)*K$12/12*Exch/K$27*K$26)</f>
        <v>1063.2957156599161</v>
      </c>
      <c r="L76" s="37">
        <f ca="1">IF(L$7&lt;YEAR(Startops1),0,HLOOKUP(L$7,OM_Table,Assm!$G63)*L$12/12*Exch/L$27*L$26)</f>
        <v>1109.9456727586505</v>
      </c>
      <c r="M76" s="37">
        <f ca="1">IF(M$7&lt;YEAR(Startops1),0,HLOOKUP(M$7,OM_Table,Assm!$G63)*M$12/12*Exch/M$27*M$26)</f>
        <v>1160.4610240918187</v>
      </c>
      <c r="N76" s="37">
        <f ca="1">IF(N$7&lt;YEAR(Startops1),0,HLOOKUP(N$7,OM_Table,Assm!$G63)*N$12/12*Exch/N$27*N$26)</f>
        <v>1214.0486924710819</v>
      </c>
      <c r="O76" s="37">
        <f ca="1">IF(O$7&lt;YEAR(Startops1),0,HLOOKUP(O$7,OM_Table,Assm!$G63)*O$12/12*Exch/O$27*O$26)</f>
        <v>1270.4022748202217</v>
      </c>
      <c r="P76" s="37">
        <f ca="1">IF(P$7&lt;YEAR(Startops1),0,HLOOKUP(P$7,OM_Table,Assm!$G63)*P$12/12*Exch/P$27*P$26)</f>
        <v>1328.2560603819488</v>
      </c>
      <c r="Q76" s="37">
        <f ca="1">IF(Q$7&lt;YEAR(Startops1),0,HLOOKUP(Q$7,OM_Table,Assm!$G63)*Q$12/12*Exch/Q$27*Q$26)</f>
        <v>1390.1767773493139</v>
      </c>
      <c r="R76" s="37">
        <f ca="1">IF(R$7&lt;YEAR(Startops1),0,HLOOKUP(R$7,OM_Table,Assm!$G63)*R$12/12*Exch/R$27*R$26)</f>
        <v>1457.8939304180753</v>
      </c>
      <c r="S76" s="37">
        <f ca="1">IF(S$7&lt;YEAR(Startops1),0,HLOOKUP(S$7,OM_Table,Assm!$G63)*S$12/12*Exch/S$27*S$26)</f>
        <v>1530.5757381454769</v>
      </c>
      <c r="T76" s="37">
        <f ca="1">IF(T$7&lt;YEAR(Startops1),0,HLOOKUP(T$7,OM_Table,Assm!$G63)*T$12/12*Exch/T$27*T$26)</f>
        <v>1605.5026634256471</v>
      </c>
      <c r="U76" s="37">
        <f ca="1">IF(U$7&lt;YEAR(Startops1),0,HLOOKUP(U$7,OM_Table,Assm!$G63)*U$12/12*Exch/U$27*U$26)</f>
        <v>1683.5866526250143</v>
      </c>
      <c r="V76" s="37">
        <f ca="1">IF(V$7&lt;YEAR(Startops1),0,HLOOKUP(V$7,OM_Table,Assm!$G63)*V$12/12*Exch/V$27*V$26)</f>
        <v>1764.4952373580065</v>
      </c>
      <c r="W76" s="37">
        <f ca="1">IF(W$7&lt;YEAR(Startops1),0,HLOOKUP(W$7,OM_Table,Assm!$G63)*W$12/12*Exch/W$27*W$26)</f>
        <v>1848.6984549012466</v>
      </c>
      <c r="X76" s="37">
        <f ca="1">IF(X$7&lt;YEAR(Startops1),0,HLOOKUP(X$7,OM_Table,Assm!$G63)*X$12/12*Exch/X$27*X$26)</f>
        <v>1935.7329488777993</v>
      </c>
      <c r="Y76" s="37">
        <f ca="1">IF(Y$7&lt;YEAR(Startops1),0,HLOOKUP(Y$7,OM_Table,Assm!$G63)*Y$12/12*Exch/Y$27*Y$26)</f>
        <v>675.62509780930168</v>
      </c>
      <c r="Z76" s="435">
        <f t="shared" ca="1" si="32"/>
        <v>25188.463157845661</v>
      </c>
      <c r="AA76" s="34">
        <f t="shared" si="33"/>
        <v>70</v>
      </c>
    </row>
    <row r="77" spans="1:27">
      <c r="A77" s="20" t="str">
        <f>Assm!A65</f>
        <v>Major Maintenance (Avg)</v>
      </c>
      <c r="B77" s="15"/>
      <c r="C77" s="15"/>
      <c r="D77" s="142">
        <f ca="1">Trapped!F86</f>
        <v>0</v>
      </c>
      <c r="E77" s="142">
        <f ca="1">Trapped!G86</f>
        <v>282.92822515128216</v>
      </c>
      <c r="F77" s="142">
        <f ca="1">Trapped!H86</f>
        <v>282.92822515128216</v>
      </c>
      <c r="G77" s="142">
        <f ca="1">Trapped!I86</f>
        <v>282.92822515128216</v>
      </c>
      <c r="H77" s="142">
        <f ca="1">Trapped!J86</f>
        <v>282.92822515128216</v>
      </c>
      <c r="I77" s="142">
        <f ca="1">Trapped!K86</f>
        <v>282.92822515128216</v>
      </c>
      <c r="J77" s="142">
        <f ca="1">Trapped!L86</f>
        <v>282.92822515128216</v>
      </c>
      <c r="K77" s="142">
        <f ca="1">Trapped!M86</f>
        <v>282.92822515128216</v>
      </c>
      <c r="L77" s="142">
        <f ca="1">Trapped!N86</f>
        <v>282.92822515128216</v>
      </c>
      <c r="M77" s="142">
        <f ca="1">Trapped!O86</f>
        <v>282.92822515128216</v>
      </c>
      <c r="N77" s="142">
        <f ca="1">Trapped!P86</f>
        <v>282.92822515128216</v>
      </c>
      <c r="O77" s="142">
        <f ca="1">Trapped!Q86</f>
        <v>282.92822515128216</v>
      </c>
      <c r="P77" s="142">
        <f ca="1">Trapped!R86</f>
        <v>282.92822515128216</v>
      </c>
      <c r="Q77" s="142">
        <f ca="1">Trapped!S86</f>
        <v>282.92822515128216</v>
      </c>
      <c r="R77" s="142">
        <f ca="1">Trapped!T86</f>
        <v>282.92822515128216</v>
      </c>
      <c r="S77" s="142">
        <f ca="1">Trapped!U86</f>
        <v>282.92822515128216</v>
      </c>
      <c r="T77" s="142">
        <f ca="1">Trapped!V86</f>
        <v>282.92822515128216</v>
      </c>
      <c r="U77" s="142">
        <f ca="1">Trapped!W86</f>
        <v>282.92822515128216</v>
      </c>
      <c r="V77" s="142">
        <f ca="1">Trapped!X86</f>
        <v>282.92822515128216</v>
      </c>
      <c r="W77" s="142">
        <f ca="1">Trapped!Y86</f>
        <v>282.92822515128216</v>
      </c>
      <c r="X77" s="142">
        <f ca="1">Trapped!Z86</f>
        <v>109.06067012894107</v>
      </c>
      <c r="Y77" s="142">
        <f ca="1">Trapped!AA86</f>
        <v>114.19569930717554</v>
      </c>
      <c r="Z77" s="436">
        <f t="shared" ca="1" si="32"/>
        <v>5598.8926473104784</v>
      </c>
      <c r="AA77" s="34">
        <f t="shared" si="33"/>
        <v>71</v>
      </c>
    </row>
    <row r="78" spans="1:27">
      <c r="A78" s="20" t="s">
        <v>1958</v>
      </c>
      <c r="B78" s="15"/>
      <c r="C78" s="143"/>
      <c r="D78" s="37">
        <f ca="1">SUM(D72:D77)</f>
        <v>0</v>
      </c>
      <c r="E78" s="37">
        <f t="shared" ref="E78:Y78" ca="1" si="34">SUM(E72:E77)</f>
        <v>2922.7725529859931</v>
      </c>
      <c r="F78" s="37">
        <f t="shared" ca="1" si="34"/>
        <v>2815.0510502552343</v>
      </c>
      <c r="G78" s="37">
        <f t="shared" ca="1" si="34"/>
        <v>4570.0270001313702</v>
      </c>
      <c r="H78" s="37">
        <f t="shared" ca="1" si="34"/>
        <v>4478.038162387742</v>
      </c>
      <c r="I78" s="37">
        <f t="shared" ca="1" si="34"/>
        <v>4477.3343958385985</v>
      </c>
      <c r="J78" s="37">
        <f t="shared" ca="1" si="34"/>
        <v>4600.2919682692127</v>
      </c>
      <c r="K78" s="37">
        <f t="shared" ca="1" si="34"/>
        <v>4789.777923355643</v>
      </c>
      <c r="L78" s="37">
        <f t="shared" ca="1" si="34"/>
        <v>4987.5068730497487</v>
      </c>
      <c r="M78" s="37">
        <f t="shared" ca="1" si="34"/>
        <v>5201.6195536122577</v>
      </c>
      <c r="N78" s="37">
        <f t="shared" ca="1" si="34"/>
        <v>5428.7544545675091</v>
      </c>
      <c r="O78" s="37">
        <f t="shared" ca="1" si="34"/>
        <v>5667.6128660728427</v>
      </c>
      <c r="P78" s="37">
        <f t="shared" ca="1" si="34"/>
        <v>5912.8299887968142</v>
      </c>
      <c r="Q78" s="37">
        <f t="shared" ca="1" si="34"/>
        <v>6175.2850711101737</v>
      </c>
      <c r="R78" s="37">
        <f t="shared" ca="1" si="34"/>
        <v>6462.3087338377109</v>
      </c>
      <c r="S78" s="37">
        <f t="shared" ca="1" si="34"/>
        <v>6770.3754159440032</v>
      </c>
      <c r="T78" s="37">
        <f t="shared" ca="1" si="34"/>
        <v>7087.9581783054018</v>
      </c>
      <c r="U78" s="37">
        <f t="shared" ca="1" si="34"/>
        <v>7418.9223663246785</v>
      </c>
      <c r="V78" s="37">
        <f t="shared" ca="1" si="34"/>
        <v>7761.8587906097309</v>
      </c>
      <c r="W78" s="37">
        <f t="shared" ca="1" si="34"/>
        <v>8118.7597354584213</v>
      </c>
      <c r="X78" s="37">
        <f t="shared" ca="1" si="34"/>
        <v>8313.7936789887699</v>
      </c>
      <c r="Y78" s="37">
        <f t="shared" ca="1" si="34"/>
        <v>2977.8776678471809</v>
      </c>
      <c r="Z78" s="435">
        <f t="shared" ca="1" si="32"/>
        <v>116938.75642774902</v>
      </c>
      <c r="AA78" s="34">
        <f t="shared" si="33"/>
        <v>72</v>
      </c>
    </row>
    <row r="79" spans="1:27">
      <c r="A79" s="20"/>
      <c r="B79" s="15"/>
      <c r="C79" s="143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431"/>
      <c r="AA79" s="34">
        <f t="shared" si="33"/>
        <v>73</v>
      </c>
    </row>
    <row r="80" spans="1:27">
      <c r="A80" s="132" t="s">
        <v>1956</v>
      </c>
      <c r="B80" s="15"/>
      <c r="C80" s="143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431"/>
      <c r="AA80" s="34">
        <f t="shared" si="33"/>
        <v>74</v>
      </c>
    </row>
    <row r="81" spans="1:30">
      <c r="A81" s="20" t="str">
        <f>Assm!A68</f>
        <v>JVM Management Fee</v>
      </c>
      <c r="B81" s="55">
        <v>-2</v>
      </c>
      <c r="C81" s="143"/>
      <c r="D81" s="37">
        <f ca="1">IF(D$7&lt;YEAR(Startops1),0,HLOOKUP(D$7,OM_Table,Assm!$G67)*D$12/12*D$25)</f>
        <v>0</v>
      </c>
      <c r="E81" s="37">
        <f ca="1">IF(E$7&lt;YEAR(Startops1),0,HLOOKUP(E$7,OM_Table,Assm!$G67)*E$12/12*E$25)</f>
        <v>350.14044943820227</v>
      </c>
      <c r="F81" s="37">
        <f ca="1">IF(F$7&lt;YEAR(Startops1),0,HLOOKUP(F$7,OM_Table,Assm!$G67)*F$12/12*F$25)</f>
        <v>477.93599776528555</v>
      </c>
      <c r="G81" s="37">
        <f ca="1">IF(G$7&lt;YEAR(Startops1),0,HLOOKUP(G$7,OM_Table,Assm!$G67)*G$12/12*G$25)</f>
        <v>987.46255573140695</v>
      </c>
      <c r="H81" s="37">
        <f ca="1">IF(H$7&lt;YEAR(Startops1),0,HLOOKUP(H$7,OM_Table,Assm!$G67)*H$12/12*H$25)</f>
        <v>1018.9716001545293</v>
      </c>
      <c r="I81" s="37">
        <f ca="1">IF(I$7&lt;YEAR(Startops1),0,HLOOKUP(I$7,OM_Table,Assm!$G67)*I$12/12*I$25)</f>
        <v>1049.6583413349597</v>
      </c>
      <c r="J81" s="37">
        <f ca="1">IF(J$7&lt;YEAR(Startops1),0,HLOOKUP(J$7,OM_Table,Assm!$G67)*J$12/12*J$25)</f>
        <v>1080.314400861585</v>
      </c>
      <c r="K81" s="37">
        <f ca="1">IF(K$7&lt;YEAR(Startops1),0,HLOOKUP(K$7,OM_Table,Assm!$G67)*K$12/12*K$25)</f>
        <v>1111.1606493836964</v>
      </c>
      <c r="L81" s="37">
        <f ca="1">IF(L$7&lt;YEAR(Startops1),0,HLOOKUP(L$7,OM_Table,Assm!$G67)*L$12/12*L$25)</f>
        <v>1142.2718606591895</v>
      </c>
      <c r="M81" s="37">
        <f ca="1">IF(M$7&lt;YEAR(Startops1),0,HLOOKUP(M$7,OM_Table,Assm!$G67)*M$12/12*M$25)</f>
        <v>1173.5069184961342</v>
      </c>
      <c r="N81" s="37">
        <f ca="1">IF(N$7&lt;YEAR(Startops1),0,HLOOKUP(N$7,OM_Table,Assm!$G67)*N$12/12*N$25)</f>
        <v>1204.9018025302134</v>
      </c>
      <c r="O81" s="37">
        <f ca="1">IF(O$7&lt;YEAR(Startops1),0,HLOOKUP(O$7,OM_Table,Assm!$G67)*O$12/12*O$25)</f>
        <v>1236.5559130443014</v>
      </c>
      <c r="P81" s="37">
        <f ca="1">IF(P$7&lt;YEAR(Startops1),0,HLOOKUP(P$7,OM_Table,Assm!$G67)*P$12/12*P$25)</f>
        <v>1268.5092192829611</v>
      </c>
      <c r="Q81" s="37">
        <f ca="1">IF(Q$7&lt;YEAR(Startops1),0,HLOOKUP(Q$7,OM_Table,Assm!$G67)*Q$12/12*Q$25)</f>
        <v>1300.8266372410264</v>
      </c>
      <c r="R81" s="37">
        <f ca="1">IF(R$7&lt;YEAR(Startops1),0,HLOOKUP(R$7,OM_Table,Assm!$G67)*R$12/12*R$25)</f>
        <v>1333.6277494598744</v>
      </c>
      <c r="S81" s="37">
        <f ca="1">IF(S$7&lt;YEAR(Startops1),0,HLOOKUP(S$7,OM_Table,Assm!$G67)*S$12/12*S$25)</f>
        <v>1367.1096380039005</v>
      </c>
      <c r="T81" s="37">
        <f ca="1">IF(T$7&lt;YEAR(Startops1),0,HLOOKUP(T$7,OM_Table,Assm!$G67)*T$12/12*T$25)</f>
        <v>1401.6580483868258</v>
      </c>
      <c r="U81" s="37">
        <f ca="1">IF(U$7&lt;YEAR(Startops1),0,HLOOKUP(U$7,OM_Table,Assm!$G67)*U$12/12*U$25)</f>
        <v>1437.5973584173569</v>
      </c>
      <c r="V81" s="37">
        <f ca="1">IF(V$7&lt;YEAR(Startops1),0,HLOOKUP(V$7,OM_Table,Assm!$G67)*V$12/12*V$25)</f>
        <v>1475.0851000769489</v>
      </c>
      <c r="W81" s="37">
        <f ca="1">IF(W$7&lt;YEAR(Startops1),0,HLOOKUP(W$7,OM_Table,Assm!$G67)*W$12/12*W$25)</f>
        <v>1514.2920288625339</v>
      </c>
      <c r="X81" s="37">
        <f ca="1">IF(X$7&lt;YEAR(Startops1),0,HLOOKUP(X$7,OM_Table,Assm!$G67)*X$12/12*X$25)</f>
        <v>1555.2119946031808</v>
      </c>
      <c r="Y81" s="37">
        <f ca="1">IF(Y$7&lt;YEAR(Startops1),0,HLOOKUP(Y$7,OM_Table,Assm!$G67)*Y$12/12*Y$25)</f>
        <v>532.63071873189369</v>
      </c>
      <c r="Z81" s="435">
        <f t="shared" ref="Z81:Z87" ca="1" si="35">SUM(D81:Y81)</f>
        <v>24019.428982466008</v>
      </c>
      <c r="AA81" s="34">
        <f t="shared" si="33"/>
        <v>75</v>
      </c>
      <c r="AB81" s="1566">
        <f ca="1">NPV(0.14,F81:Y81)</f>
        <v>7001.8846725290878</v>
      </c>
      <c r="AC81" s="7">
        <v>0.38</v>
      </c>
      <c r="AD81" s="1566">
        <f ca="1">AC81*AB81</f>
        <v>2660.7161755610532</v>
      </c>
    </row>
    <row r="82" spans="1:30">
      <c r="A82" s="20" t="str">
        <f>Assm!A69</f>
        <v>JVM G&amp;A</v>
      </c>
      <c r="B82" s="15"/>
      <c r="C82" s="15"/>
      <c r="D82" s="37">
        <f ca="1">IF(D$7&lt;YEAR(Startops1),0,HLOOKUP(D$7,OM_Table,Assm!$G68)*D$12/12*D$25)</f>
        <v>0</v>
      </c>
      <c r="E82" s="37">
        <f ca="1">IF(E$7&lt;YEAR(Startops1),0,HLOOKUP(E$7,OM_Table,Assm!$G68)*E$12/12*E$25)</f>
        <v>58.356741573033716</v>
      </c>
      <c r="F82" s="37">
        <f ca="1">IF(F$7&lt;YEAR(Startops1),0,HLOOKUP(F$7,OM_Table,Assm!$G68)*F$12/12*F$25)</f>
        <v>79.655999627547587</v>
      </c>
      <c r="G82" s="37">
        <f ca="1">IF(G$7&lt;YEAR(Startops1),0,HLOOKUP(G$7,OM_Table,Assm!$G68)*G$12/12*G$25)</f>
        <v>164.57709262190116</v>
      </c>
      <c r="H82" s="37">
        <f ca="1">IF(H$7&lt;YEAR(Startops1),0,HLOOKUP(H$7,OM_Table,Assm!$G68)*H$12/12*H$25)</f>
        <v>169.82860002575489</v>
      </c>
      <c r="I82" s="37">
        <f ca="1">IF(I$7&lt;YEAR(Startops1),0,HLOOKUP(I$7,OM_Table,Assm!$G68)*I$12/12*I$25)</f>
        <v>174.94305688915995</v>
      </c>
      <c r="J82" s="37">
        <f ca="1">IF(J$7&lt;YEAR(Startops1),0,HLOOKUP(J$7,OM_Table,Assm!$G68)*J$12/12*J$25)</f>
        <v>180.05240014359748</v>
      </c>
      <c r="K82" s="37">
        <f ca="1">IF(K$7&lt;YEAR(Startops1),0,HLOOKUP(K$7,OM_Table,Assm!$G68)*K$12/12*K$25)</f>
        <v>185.19344156394942</v>
      </c>
      <c r="L82" s="37">
        <f ca="1">IF(L$7&lt;YEAR(Startops1),0,HLOOKUP(L$7,OM_Table,Assm!$G68)*L$12/12*L$25)</f>
        <v>190.37864344319826</v>
      </c>
      <c r="M82" s="37">
        <f ca="1">IF(M$7&lt;YEAR(Startops1),0,HLOOKUP(M$7,OM_Table,Assm!$G68)*M$12/12*M$25)</f>
        <v>195.58448641602237</v>
      </c>
      <c r="N82" s="37">
        <f ca="1">IF(N$7&lt;YEAR(Startops1),0,HLOOKUP(N$7,OM_Table,Assm!$G68)*N$12/12*N$25)</f>
        <v>200.8169670883689</v>
      </c>
      <c r="O82" s="37">
        <f ca="1">IF(O$7&lt;YEAR(Startops1),0,HLOOKUP(O$7,OM_Table,Assm!$G68)*O$12/12*O$25)</f>
        <v>206.09265217405022</v>
      </c>
      <c r="P82" s="37">
        <f ca="1">IF(P$7&lt;YEAR(Startops1),0,HLOOKUP(P$7,OM_Table,Assm!$G68)*P$12/12*P$25)</f>
        <v>211.41820321382684</v>
      </c>
      <c r="Q82" s="37">
        <f ca="1">IF(Q$7&lt;YEAR(Startops1),0,HLOOKUP(Q$7,OM_Table,Assm!$G68)*Q$12/12*Q$25)</f>
        <v>216.8044395401711</v>
      </c>
      <c r="R82" s="37">
        <f ca="1">IF(R$7&lt;YEAR(Startops1),0,HLOOKUP(R$7,OM_Table,Assm!$G68)*R$12/12*R$25)</f>
        <v>222.27129157664572</v>
      </c>
      <c r="S82" s="37">
        <f ca="1">IF(S$7&lt;YEAR(Startops1),0,HLOOKUP(S$7,OM_Table,Assm!$G68)*S$12/12*S$25)</f>
        <v>227.85160633398343</v>
      </c>
      <c r="T82" s="37">
        <f ca="1">IF(T$7&lt;YEAR(Startops1),0,HLOOKUP(T$7,OM_Table,Assm!$G68)*T$12/12*T$25)</f>
        <v>233.60967473113763</v>
      </c>
      <c r="U82" s="37">
        <f ca="1">IF(U$7&lt;YEAR(Startops1),0,HLOOKUP(U$7,OM_Table,Assm!$G68)*U$12/12*U$25)</f>
        <v>239.59955973622615</v>
      </c>
      <c r="V82" s="37">
        <f ca="1">IF(V$7&lt;YEAR(Startops1),0,HLOOKUP(V$7,OM_Table,Assm!$G68)*V$12/12*V$25)</f>
        <v>245.84751667949146</v>
      </c>
      <c r="W82" s="37">
        <f ca="1">IF(W$7&lt;YEAR(Startops1),0,HLOOKUP(W$7,OM_Table,Assm!$G68)*W$12/12*W$25)</f>
        <v>252.38200481042233</v>
      </c>
      <c r="X82" s="37">
        <f ca="1">IF(X$7&lt;YEAR(Startops1),0,HLOOKUP(X$7,OM_Table,Assm!$G68)*X$12/12*X$25)</f>
        <v>259.20199910053014</v>
      </c>
      <c r="Y82" s="37">
        <f ca="1">IF(Y$7&lt;YEAR(Startops1),0,HLOOKUP(Y$7,OM_Table,Assm!$G68)*Y$12/12*Y$25)</f>
        <v>88.77178645531562</v>
      </c>
      <c r="Z82" s="435">
        <f t="shared" ca="1" si="35"/>
        <v>4003.2381637443341</v>
      </c>
      <c r="AA82" s="34">
        <f t="shared" si="33"/>
        <v>76</v>
      </c>
    </row>
    <row r="83" spans="1:30">
      <c r="A83" s="20" t="str">
        <f>Assm!A70</f>
        <v>Operating Insurance</v>
      </c>
      <c r="B83" s="15"/>
      <c r="C83" s="25"/>
      <c r="D83" s="37">
        <f ca="1">IF(D$7&lt;YEAR(Startops1),0,HLOOKUP(D$7,OM_Table,Assm!$G69)*D$12/12*D$25)</f>
        <v>0</v>
      </c>
      <c r="E83" s="37">
        <f ca="1">IF(E$7&lt;YEAR(Startops1),0,HLOOKUP(E$7,OM_Table,Assm!$G69)*E$12/12*E$25)</f>
        <v>0</v>
      </c>
      <c r="F83" s="37">
        <f ca="1">IF(F$7&lt;YEAR(Startops1),0,HLOOKUP(F$7,OM_Table,Assm!$G69)*F$12/12*F$25)</f>
        <v>0</v>
      </c>
      <c r="G83" s="37">
        <f ca="1">IF(G$7&lt;YEAR(Startops1),0,HLOOKUP(G$7,OM_Table,Assm!$G69)*G$12/12*G$25)</f>
        <v>1525.0832526575186</v>
      </c>
      <c r="H83" s="37">
        <f ca="1">IF(H$7&lt;YEAR(Startops1),0,HLOOKUP(H$7,OM_Table,Assm!$G69)*H$12/12*H$25)</f>
        <v>1573.7472912866619</v>
      </c>
      <c r="I83" s="37">
        <f ca="1">IF(I$7&lt;YEAR(Startops1),0,HLOOKUP(I$7,OM_Table,Assm!$G69)*I$12/12*I$25)</f>
        <v>1621.1413264136404</v>
      </c>
      <c r="J83" s="37">
        <f ca="1">IF(J$7&lt;YEAR(Startops1),0,HLOOKUP(J$7,OM_Table,Assm!$G69)*J$12/12*J$25)</f>
        <v>1668.4879753626717</v>
      </c>
      <c r="K83" s="37">
        <f ca="1">IF(K$7&lt;YEAR(Startops1),0,HLOOKUP(K$7,OM_Table,Assm!$G69)*K$12/12*K$25)</f>
        <v>1716.1283610718183</v>
      </c>
      <c r="L83" s="37">
        <f ca="1">IF(L$7&lt;YEAR(Startops1),0,HLOOKUP(L$7,OM_Table,Assm!$G69)*L$12/12*L$25)</f>
        <v>1764.1779676222161</v>
      </c>
      <c r="M83" s="37">
        <f ca="1">IF(M$7&lt;YEAR(Startops1),0,HLOOKUP(M$7,OM_Table,Assm!$G69)*M$12/12*M$25)</f>
        <v>1812.4188485816258</v>
      </c>
      <c r="N83" s="37">
        <f ca="1">IF(N$7&lt;YEAR(Startops1),0,HLOOKUP(N$7,OM_Table,Assm!$G69)*N$12/12*N$25)</f>
        <v>1860.9065725784458</v>
      </c>
      <c r="O83" s="37">
        <f ca="1">IF(O$7&lt;YEAR(Startops1),0,HLOOKUP(O$7,OM_Table,Assm!$G69)*O$12/12*O$25)</f>
        <v>1909.7946580482273</v>
      </c>
      <c r="P83" s="37">
        <f ca="1">IF(P$7&lt;YEAR(Startops1),0,HLOOKUP(P$7,OM_Table,Assm!$G69)*P$12/12*P$25)</f>
        <v>1959.1448353575047</v>
      </c>
      <c r="Q83" s="37">
        <f ca="1">IF(Q$7&lt;YEAR(Startops1),0,HLOOKUP(Q$7,OM_Table,Assm!$G69)*Q$12/12*Q$25)</f>
        <v>2009.0573637981122</v>
      </c>
      <c r="R83" s="37">
        <f ca="1">IF(R$7&lt;YEAR(Startops1),0,HLOOKUP(R$7,OM_Table,Assm!$G69)*R$12/12*R$25)</f>
        <v>2059.7169322274713</v>
      </c>
      <c r="S83" s="37">
        <f ca="1">IF(S$7&lt;YEAR(Startops1),0,HLOOKUP(S$7,OM_Table,Assm!$G69)*S$12/12*S$25)</f>
        <v>2111.4279233829971</v>
      </c>
      <c r="T83" s="37">
        <f ca="1">IF(T$7&lt;YEAR(Startops1),0,HLOOKUP(T$7,OM_Table,Assm!$G69)*T$12/12*T$25)</f>
        <v>2164.7861006375383</v>
      </c>
      <c r="U83" s="37">
        <f ca="1">IF(U$7&lt;YEAR(Startops1),0,HLOOKUP(U$7,OM_Table,Assm!$G69)*U$12/12*U$25)</f>
        <v>2220.2924482164917</v>
      </c>
      <c r="V83" s="37">
        <f ca="1">IF(V$7&lt;YEAR(Startops1),0,HLOOKUP(V$7,OM_Table,Assm!$G69)*V$12/12*V$25)</f>
        <v>2278.1902658635095</v>
      </c>
      <c r="W83" s="37">
        <f ca="1">IF(W$7&lt;YEAR(Startops1),0,HLOOKUP(W$7,OM_Table,Assm!$G69)*W$12/12*W$25)</f>
        <v>2338.7432763366437</v>
      </c>
      <c r="X83" s="37">
        <f ca="1">IF(X$7&lt;YEAR(Startops1),0,HLOOKUP(X$7,OM_Table,Assm!$G69)*X$12/12*X$25)</f>
        <v>2401.9419810249001</v>
      </c>
      <c r="Y83" s="37">
        <f ca="1">IF(Y$7&lt;YEAR(Startops1),0,HLOOKUP(Y$7,OM_Table,Assm!$G69)*Y$12/12*Y$25)</f>
        <v>822.61973810974416</v>
      </c>
      <c r="Z83" s="435">
        <f t="shared" ca="1" si="35"/>
        <v>35817.807118577737</v>
      </c>
      <c r="AA83" s="34">
        <f t="shared" si="33"/>
        <v>77</v>
      </c>
    </row>
    <row r="84" spans="1:30">
      <c r="A84" s="20" t="str">
        <f>Assm!A71</f>
        <v>Minor Maintenance (Incl WTF)</v>
      </c>
      <c r="B84" s="15"/>
      <c r="C84" s="25"/>
      <c r="D84" s="37">
        <f ca="1">IF(D$7&lt;YEAR(Startops1),0,HLOOKUP(D$7,OM_Table,Assm!$G70)*D$12/12*D$25)</f>
        <v>0</v>
      </c>
      <c r="E84" s="37">
        <f ca="1">IF(E$7&lt;YEAR(Startops1),0,HLOOKUP(E$7,OM_Table,Assm!$G70)*E$12/12*E$25)</f>
        <v>66.847647471910122</v>
      </c>
      <c r="F84" s="37">
        <f ca="1">IF(F$7&lt;YEAR(Startops1),0,HLOOKUP(F$7,OM_Table,Assm!$G70)*F$12/12*F$25)</f>
        <v>91.245947573355778</v>
      </c>
      <c r="G84" s="37">
        <f ca="1">IF(G$7&lt;YEAR(Startops1),0,HLOOKUP(G$7,OM_Table,Assm!$G70)*G$12/12*G$25)</f>
        <v>466.86044679914056</v>
      </c>
      <c r="H84" s="37">
        <f ca="1">IF(H$7&lt;YEAR(Startops1),0,HLOOKUP(H$7,OM_Table,Assm!$G70)*H$12/12*H$25)</f>
        <v>555.13538810698776</v>
      </c>
      <c r="I84" s="37">
        <f ca="1">IF(I$7&lt;YEAR(Startops1),0,HLOOKUP(I$7,OM_Table,Assm!$G70)*I$12/12*I$25)</f>
        <v>571.85351447317248</v>
      </c>
      <c r="J84" s="37">
        <f ca="1">IF(J$7&lt;YEAR(Startops1),0,HLOOKUP(J$7,OM_Table,Assm!$G70)*J$12/12*J$25)</f>
        <v>588.55492548459142</v>
      </c>
      <c r="K84" s="37">
        <f ca="1">IF(K$7&lt;YEAR(Startops1),0,HLOOKUP(K$7,OM_Table,Assm!$G70)*K$12/12*K$25)</f>
        <v>605.35995139735496</v>
      </c>
      <c r="L84" s="37">
        <f ca="1">IF(L$7&lt;YEAR(Startops1),0,HLOOKUP(L$7,OM_Table,Assm!$G70)*L$12/12*L$25)</f>
        <v>622.30932892983981</v>
      </c>
      <c r="M84" s="37">
        <f ca="1">IF(M$7&lt;YEAR(Startops1),0,HLOOKUP(M$7,OM_Table,Assm!$G70)*M$12/12*M$25)</f>
        <v>639.32617802772131</v>
      </c>
      <c r="N84" s="37">
        <f ca="1">IF(N$7&lt;YEAR(Startops1),0,HLOOKUP(N$7,OM_Table,Assm!$G70)*N$12/12*N$25)</f>
        <v>656.43010038452633</v>
      </c>
      <c r="O84" s="37">
        <f ca="1">IF(O$7&lt;YEAR(Startops1),0,HLOOKUP(O$7,OM_Table,Assm!$G70)*O$12/12*O$25)</f>
        <v>673.67524924123131</v>
      </c>
      <c r="P84" s="37">
        <f ca="1">IF(P$7&lt;YEAR(Startops1),0,HLOOKUP(P$7,OM_Table,Assm!$G70)*P$12/12*P$25)</f>
        <v>691.08339982895109</v>
      </c>
      <c r="Q84" s="37">
        <f ca="1">IF(Q$7&lt;YEAR(Startops1),0,HLOOKUP(Q$7,OM_Table,Assm!$G70)*Q$12/12*Q$25)</f>
        <v>708.68991836003249</v>
      </c>
      <c r="R84" s="37">
        <f ca="1">IF(R$7&lt;YEAR(Startops1),0,HLOOKUP(R$7,OM_Table,Assm!$G70)*R$12/12*R$25)</f>
        <v>726.55995336315675</v>
      </c>
      <c r="S84" s="37">
        <f ca="1">IF(S$7&lt;YEAR(Startops1),0,HLOOKUP(S$7,OM_Table,Assm!$G70)*S$12/12*S$25)</f>
        <v>744.8008750813126</v>
      </c>
      <c r="T84" s="37">
        <f ca="1">IF(T$7&lt;YEAR(Startops1),0,HLOOKUP(T$7,OM_Table,Assm!$G70)*T$12/12*T$25)</f>
        <v>763.6228375417935</v>
      </c>
      <c r="U84" s="37">
        <f ca="1">IF(U$7&lt;YEAR(Startops1),0,HLOOKUP(U$7,OM_Table,Assm!$G70)*U$12/12*U$25)</f>
        <v>783.20256166665683</v>
      </c>
      <c r="V84" s="37">
        <f ca="1">IF(V$7&lt;YEAR(Startops1),0,HLOOKUP(V$7,OM_Table,Assm!$G70)*V$12/12*V$25)</f>
        <v>803.62587082688867</v>
      </c>
      <c r="W84" s="37">
        <f ca="1">IF(W$7&lt;YEAR(Startops1),0,HLOOKUP(W$7,OM_Table,Assm!$G70)*W$12/12*W$25)</f>
        <v>824.98579256029916</v>
      </c>
      <c r="X84" s="37">
        <f ca="1">IF(X$7&lt;YEAR(Startops1),0,HLOOKUP(X$7,OM_Table,Assm!$G70)*X$12/12*X$25)</f>
        <v>847.278976255815</v>
      </c>
      <c r="Y84" s="37">
        <f ca="1">IF(Y$7&lt;YEAR(Startops1),0,HLOOKUP(Y$7,OM_Table,Assm!$G70)*Y$12/12*Y$25)</f>
        <v>290.17703802156285</v>
      </c>
      <c r="Z84" s="435">
        <f t="shared" ca="1" si="35"/>
        <v>12721.625901396301</v>
      </c>
      <c r="AA84" s="34">
        <f t="shared" si="33"/>
        <v>78</v>
      </c>
    </row>
    <row r="85" spans="1:30">
      <c r="A85" s="20" t="str">
        <f>Assm!A72</f>
        <v>Major Maintenance (Avg)</v>
      </c>
      <c r="B85" s="219" t="s">
        <v>1280</v>
      </c>
      <c r="C85" s="15"/>
      <c r="D85" s="226">
        <f ca="1">Trapped!F70</f>
        <v>0</v>
      </c>
      <c r="E85" s="226">
        <f ca="1">Trapped!G70</f>
        <v>6980.6776802610484</v>
      </c>
      <c r="F85" s="226">
        <f ca="1">Trapped!H70</f>
        <v>6980.6776802610484</v>
      </c>
      <c r="G85" s="226">
        <f ca="1">Trapped!I70</f>
        <v>6980.6776802610484</v>
      </c>
      <c r="H85" s="226">
        <f ca="1">Trapped!J70</f>
        <v>6980.6776802610484</v>
      </c>
      <c r="I85" s="226">
        <f ca="1">Trapped!K70</f>
        <v>6980.6776802610484</v>
      </c>
      <c r="J85" s="226">
        <f ca="1">Trapped!L70</f>
        <v>6980.6776802610484</v>
      </c>
      <c r="K85" s="226">
        <f ca="1">Trapped!M70</f>
        <v>6980.6776802610484</v>
      </c>
      <c r="L85" s="226">
        <f ca="1">Trapped!N70</f>
        <v>6980.6776802610484</v>
      </c>
      <c r="M85" s="226">
        <f ca="1">Trapped!O70</f>
        <v>6980.6776802610484</v>
      </c>
      <c r="N85" s="226">
        <f ca="1">Trapped!P70</f>
        <v>6980.6776802610484</v>
      </c>
      <c r="O85" s="226">
        <f ca="1">Trapped!Q70</f>
        <v>6980.6776802610484</v>
      </c>
      <c r="P85" s="226">
        <f ca="1">Trapped!R70</f>
        <v>6980.6776802610484</v>
      </c>
      <c r="Q85" s="226">
        <f ca="1">Trapped!S70</f>
        <v>6980.6776802610484</v>
      </c>
      <c r="R85" s="226">
        <f ca="1">Trapped!T70</f>
        <v>6980.6776802610484</v>
      </c>
      <c r="S85" s="226">
        <f ca="1">Trapped!U70</f>
        <v>6980.6776802610484</v>
      </c>
      <c r="T85" s="226">
        <f ca="1">Trapped!V70</f>
        <v>6980.6776802610484</v>
      </c>
      <c r="U85" s="226">
        <f ca="1">Trapped!W70</f>
        <v>6980.6776802610484</v>
      </c>
      <c r="V85" s="226">
        <f ca="1">Trapped!X70</f>
        <v>6980.6776802610484</v>
      </c>
      <c r="W85" s="226">
        <f ca="1">Trapped!Y70</f>
        <v>6980.6776802610484</v>
      </c>
      <c r="X85" s="226">
        <f ca="1">Trapped!Z70</f>
        <v>331.77142215363671</v>
      </c>
      <c r="Y85" s="226">
        <f ca="1">Trapped!AA70</f>
        <v>340.87632743885075</v>
      </c>
      <c r="Z85" s="435">
        <f t="shared" ca="1" si="35"/>
        <v>133305.52367455247</v>
      </c>
      <c r="AA85" s="34">
        <f t="shared" si="33"/>
        <v>79</v>
      </c>
    </row>
    <row r="86" spans="1:30">
      <c r="A86" s="20" t="s">
        <v>1955</v>
      </c>
      <c r="B86" s="220">
        <f>Wh_Serv/(1-Wh_Serv)</f>
        <v>0.17647058823529413</v>
      </c>
      <c r="C86" s="15"/>
      <c r="D86" s="142">
        <f t="shared" ref="D86:Y86" ca="1" si="36">D81*$B86</f>
        <v>0</v>
      </c>
      <c r="E86" s="142">
        <f t="shared" ca="1" si="36"/>
        <v>61.789491077329814</v>
      </c>
      <c r="F86" s="142">
        <f t="shared" ca="1" si="36"/>
        <v>84.341646664462161</v>
      </c>
      <c r="G86" s="142">
        <f t="shared" ca="1" si="36"/>
        <v>174.25809807024831</v>
      </c>
      <c r="H86" s="142">
        <f t="shared" ca="1" si="36"/>
        <v>179.81851767432872</v>
      </c>
      <c r="I86" s="142">
        <f t="shared" ca="1" si="36"/>
        <v>185.2338249414635</v>
      </c>
      <c r="J86" s="142">
        <f t="shared" ca="1" si="36"/>
        <v>190.64371779910326</v>
      </c>
      <c r="K86" s="142">
        <f t="shared" ca="1" si="36"/>
        <v>196.08717342065233</v>
      </c>
      <c r="L86" s="142">
        <f t="shared" ca="1" si="36"/>
        <v>201.5773871751511</v>
      </c>
      <c r="M86" s="142">
        <f t="shared" ca="1" si="36"/>
        <v>207.08945620520015</v>
      </c>
      <c r="N86" s="142">
        <f t="shared" ca="1" si="36"/>
        <v>212.62972985827298</v>
      </c>
      <c r="O86" s="142">
        <f t="shared" ca="1" si="36"/>
        <v>218.21574936075908</v>
      </c>
      <c r="P86" s="142">
        <f t="shared" ca="1" si="36"/>
        <v>223.85456810875786</v>
      </c>
      <c r="Q86" s="142">
        <f t="shared" ca="1" si="36"/>
        <v>229.55764186606351</v>
      </c>
      <c r="R86" s="142">
        <f t="shared" ca="1" si="36"/>
        <v>235.3460734340955</v>
      </c>
      <c r="S86" s="142">
        <f t="shared" ca="1" si="36"/>
        <v>241.25464200068834</v>
      </c>
      <c r="T86" s="142">
        <f t="shared" ca="1" si="36"/>
        <v>247.35142030355752</v>
      </c>
      <c r="U86" s="142">
        <f t="shared" ca="1" si="36"/>
        <v>253.69365148541593</v>
      </c>
      <c r="V86" s="142">
        <f t="shared" ca="1" si="36"/>
        <v>260.30913530769686</v>
      </c>
      <c r="W86" s="142">
        <f t="shared" ca="1" si="36"/>
        <v>267.22800509338833</v>
      </c>
      <c r="X86" s="142">
        <f t="shared" ca="1" si="36"/>
        <v>274.44917551820839</v>
      </c>
      <c r="Y86" s="142">
        <f t="shared" ca="1" si="36"/>
        <v>93.993656246804775</v>
      </c>
      <c r="Z86" s="436">
        <f t="shared" ca="1" si="35"/>
        <v>4238.7227616116479</v>
      </c>
      <c r="AA86" s="34">
        <f t="shared" si="33"/>
        <v>80</v>
      </c>
    </row>
    <row r="87" spans="1:30">
      <c r="A87" s="20" t="s">
        <v>1957</v>
      </c>
      <c r="B87" s="15"/>
      <c r="C87" s="143"/>
      <c r="D87" s="37">
        <f ca="1">SUM(D81:D86)</f>
        <v>0</v>
      </c>
      <c r="E87" s="37">
        <f t="shared" ref="E87:Y87" ca="1" si="37">SUM(E81:E86)</f>
        <v>7517.812009821525</v>
      </c>
      <c r="F87" s="37">
        <f t="shared" ca="1" si="37"/>
        <v>7713.8572718916994</v>
      </c>
      <c r="G87" s="37">
        <f t="shared" ca="1" si="37"/>
        <v>10298.919126141263</v>
      </c>
      <c r="H87" s="37">
        <f t="shared" ca="1" si="37"/>
        <v>10478.17907750931</v>
      </c>
      <c r="I87" s="37">
        <f t="shared" ca="1" si="37"/>
        <v>10583.507744313445</v>
      </c>
      <c r="J87" s="37">
        <f t="shared" ca="1" si="37"/>
        <v>10688.731099912597</v>
      </c>
      <c r="K87" s="37">
        <f t="shared" ca="1" si="37"/>
        <v>10794.60725709852</v>
      </c>
      <c r="L87" s="37">
        <f t="shared" ca="1" si="37"/>
        <v>10901.392868090645</v>
      </c>
      <c r="M87" s="37">
        <f t="shared" ca="1" si="37"/>
        <v>11008.603567987751</v>
      </c>
      <c r="N87" s="37">
        <f t="shared" ca="1" si="37"/>
        <v>11116.362852700875</v>
      </c>
      <c r="O87" s="37">
        <f t="shared" ca="1" si="37"/>
        <v>11225.011902129618</v>
      </c>
      <c r="P87" s="37">
        <f t="shared" ca="1" si="37"/>
        <v>11334.68790605305</v>
      </c>
      <c r="Q87" s="37">
        <f t="shared" ca="1" si="37"/>
        <v>11445.613681066454</v>
      </c>
      <c r="R87" s="37">
        <f t="shared" ca="1" si="37"/>
        <v>11558.199680322292</v>
      </c>
      <c r="S87" s="37">
        <f t="shared" ca="1" si="37"/>
        <v>11673.122365063929</v>
      </c>
      <c r="T87" s="37">
        <f t="shared" ca="1" si="37"/>
        <v>11791.705761861902</v>
      </c>
      <c r="U87" s="37">
        <f t="shared" ca="1" si="37"/>
        <v>11915.063259783195</v>
      </c>
      <c r="V87" s="37">
        <f t="shared" ca="1" si="37"/>
        <v>12043.735569015582</v>
      </c>
      <c r="W87" s="37">
        <f t="shared" ca="1" si="37"/>
        <v>12178.308787924336</v>
      </c>
      <c r="X87" s="37">
        <f t="shared" ca="1" si="37"/>
        <v>5669.8555486562709</v>
      </c>
      <c r="Y87" s="37">
        <f t="shared" ca="1" si="37"/>
        <v>2169.0692650041719</v>
      </c>
      <c r="Z87" s="435">
        <f t="shared" ca="1" si="35"/>
        <v>214106.34660234841</v>
      </c>
      <c r="AA87" s="34">
        <f t="shared" si="33"/>
        <v>81</v>
      </c>
    </row>
    <row r="88" spans="1:30">
      <c r="A88" s="20"/>
      <c r="B88" s="15"/>
      <c r="C88" s="143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431"/>
      <c r="AA88" s="34">
        <f t="shared" si="33"/>
        <v>82</v>
      </c>
    </row>
    <row r="89" spans="1:30">
      <c r="A89" s="345" t="s">
        <v>456</v>
      </c>
      <c r="B89" s="15"/>
      <c r="C89" s="1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431"/>
      <c r="AA89" s="34">
        <f t="shared" si="33"/>
        <v>83</v>
      </c>
    </row>
    <row r="90" spans="1:30">
      <c r="A90" s="20" t="str">
        <f>Assm!A75</f>
        <v>Chemicals (Includes WTF)</v>
      </c>
      <c r="B90" s="15"/>
      <c r="C90" s="15"/>
      <c r="D90" s="142">
        <f ca="1">IF(D$7&lt;YEAR(Startops1),0,HLOOKUP(D$7,OM_Table,Assm!$G76)*Exch/D$27*D$26*D$16)</f>
        <v>0</v>
      </c>
      <c r="E90" s="142">
        <f ca="1">IF(E$7&lt;YEAR(Startops1),0,HLOOKUP(E$7,OM_Table,Assm!$G76)*Exch/E$27*E$26*E$16)</f>
        <v>17.520067487526156</v>
      </c>
      <c r="F90" s="142">
        <f ca="1">IF(F$7&lt;YEAR(Startops1),0,HLOOKUP(F$7,OM_Table,Assm!$G76)*Exch/F$27*F$26*F$16)</f>
        <v>80.807066899901884</v>
      </c>
      <c r="G90" s="142">
        <f ca="1">IF(G$7&lt;YEAR(Startops1),0,HLOOKUP(G$7,OM_Table,Assm!$G76)*Exch/G$27*G$26*G$16)</f>
        <v>414.78081784711952</v>
      </c>
      <c r="H90" s="142">
        <f ca="1">IF(H$7&lt;YEAR(Startops1),0,HLOOKUP(H$7,OM_Table,Assm!$G76)*Exch/H$27*H$26*H$16)</f>
        <v>630.89995053670509</v>
      </c>
      <c r="I90" s="142">
        <f ca="1">IF(I$7&lt;YEAR(Startops1),0,HLOOKUP(I$7,OM_Table,Assm!$G76)*Exch/I$27*I$26*I$16)</f>
        <v>630.79411152707576</v>
      </c>
      <c r="J90" s="142">
        <f ca="1">IF(J$7&lt;YEAR(Startops1),0,HLOOKUP(J$7,OM_Table,Assm!$G76)*Exch/J$27*J$26*J$16)</f>
        <v>651.06448839699146</v>
      </c>
      <c r="K90" s="142">
        <f ca="1">IF(K$7&lt;YEAR(Startops1),0,HLOOKUP(K$7,OM_Table,Assm!$G76)*Exch/K$27*K$26*K$16)</f>
        <v>677.78229753534777</v>
      </c>
      <c r="L90" s="142">
        <f ca="1">IF(L$7&lt;YEAR(Startops1),0,HLOOKUP(L$7,OM_Table,Assm!$G76)*Exch/L$27*L$26*L$16)</f>
        <v>707.51863018170116</v>
      </c>
      <c r="M90" s="142">
        <f ca="1">IF(M$7&lt;YEAR(Startops1),0,HLOOKUP(M$7,OM_Table,Assm!$G76)*Exch/M$27*M$26*M$16)</f>
        <v>739.71890183063795</v>
      </c>
      <c r="N90" s="142">
        <f ca="1">IF(N$7&lt;YEAR(Startops1),0,HLOOKUP(N$7,OM_Table,Assm!$G76)*Exch/N$27*N$26*N$16)</f>
        <v>775.99778957127853</v>
      </c>
      <c r="O90" s="142">
        <f ca="1">IF(O$7&lt;YEAR(Startops1),0,HLOOKUP(O$7,OM_Table,Assm!$G76)*Exch/O$27*O$26*O$16)</f>
        <v>809.79934362604149</v>
      </c>
      <c r="P90" s="142">
        <f ca="1">IF(P$7&lt;YEAR(Startops1),0,HLOOKUP(P$7,OM_Table,Assm!$G76)*Exch/P$27*P$26*P$16)</f>
        <v>846.6773928099492</v>
      </c>
      <c r="Q90" s="142">
        <f ca="1">IF(Q$7&lt;YEAR(Startops1),0,HLOOKUP(Q$7,OM_Table,Assm!$G76)*Exch/Q$27*Q$26*Q$16)</f>
        <v>886.14784791766067</v>
      </c>
      <c r="R90" s="142">
        <f ca="1">IF(R$7&lt;YEAR(Startops1),0,HLOOKUP(R$7,OM_Table,Assm!$G76)*Exch/R$27*R$26*R$16)</f>
        <v>931.85921985642051</v>
      </c>
      <c r="S90" s="142">
        <f ca="1">IF(S$7&lt;YEAR(Startops1),0,HLOOKUP(S$7,OM_Table,Assm!$G76)*Exch/S$27*S$26*S$16)</f>
        <v>975.64311138812343</v>
      </c>
      <c r="T90" s="142">
        <f ca="1">IF(T$7&lt;YEAR(Startops1),0,HLOOKUP(T$7,OM_Table,Assm!$G76)*Exch/T$27*T$26*T$16)</f>
        <v>1023.4041836991644</v>
      </c>
      <c r="U90" s="142">
        <f ca="1">IF(U$7&lt;YEAR(Startops1),0,HLOOKUP(U$7,OM_Table,Assm!$G76)*Exch/U$27*U$26*U$16)</f>
        <v>1073.177680216477</v>
      </c>
      <c r="V90" s="142">
        <f ca="1">IF(V$7&lt;YEAR(Startops1),0,HLOOKUP(V$7,OM_Table,Assm!$G76)*Exch/V$27*V$26*V$16)</f>
        <v>1127.8331852669703</v>
      </c>
      <c r="W90" s="142">
        <f ca="1">IF(W$7&lt;YEAR(Startops1),0,HLOOKUP(W$7,OM_Table,Assm!$G76)*Exch/W$27*W$26*W$16)</f>
        <v>1178.4257829303415</v>
      </c>
      <c r="X90" s="142">
        <f ca="1">IF(X$7&lt;YEAR(Startops1),0,HLOOKUP(X$7,OM_Table,Assm!$G76)*Exch/X$27*X$26*X$16)</f>
        <v>1233.9046477686547</v>
      </c>
      <c r="Y90" s="142">
        <f ca="1">IF(Y$7&lt;YEAR(Startops1),0,HLOOKUP(Y$7,OM_Table,Assm!$G76)*Exch/Y$27*Y$26*Y$16)</f>
        <v>424.76778143200988</v>
      </c>
      <c r="Z90" s="436">
        <f ca="1">SUM(D90:Y90)</f>
        <v>15838.524298726097</v>
      </c>
      <c r="AA90" s="34">
        <f t="shared" si="33"/>
        <v>84</v>
      </c>
    </row>
    <row r="91" spans="1:30">
      <c r="A91" s="20" t="s">
        <v>457</v>
      </c>
      <c r="B91" s="15"/>
      <c r="C91" s="15"/>
      <c r="D91" s="37">
        <f ca="1">SUM(D90:D90)</f>
        <v>0</v>
      </c>
      <c r="E91" s="37">
        <f t="shared" ref="E91:Y91" ca="1" si="38">SUM(E90:E90)</f>
        <v>17.520067487526156</v>
      </c>
      <c r="F91" s="37">
        <f t="shared" ca="1" si="38"/>
        <v>80.807066899901884</v>
      </c>
      <c r="G91" s="37">
        <f t="shared" ca="1" si="38"/>
        <v>414.78081784711952</v>
      </c>
      <c r="H91" s="37">
        <f t="shared" ca="1" si="38"/>
        <v>630.89995053670509</v>
      </c>
      <c r="I91" s="37">
        <f t="shared" ca="1" si="38"/>
        <v>630.79411152707576</v>
      </c>
      <c r="J91" s="37">
        <f t="shared" ca="1" si="38"/>
        <v>651.06448839699146</v>
      </c>
      <c r="K91" s="37">
        <f t="shared" ca="1" si="38"/>
        <v>677.78229753534777</v>
      </c>
      <c r="L91" s="37">
        <f t="shared" ca="1" si="38"/>
        <v>707.51863018170116</v>
      </c>
      <c r="M91" s="37">
        <f t="shared" ca="1" si="38"/>
        <v>739.71890183063795</v>
      </c>
      <c r="N91" s="37">
        <f t="shared" ca="1" si="38"/>
        <v>775.99778957127853</v>
      </c>
      <c r="O91" s="37">
        <f t="shared" ca="1" si="38"/>
        <v>809.79934362604149</v>
      </c>
      <c r="P91" s="37">
        <f t="shared" ca="1" si="38"/>
        <v>846.6773928099492</v>
      </c>
      <c r="Q91" s="37">
        <f t="shared" ca="1" si="38"/>
        <v>886.14784791766067</v>
      </c>
      <c r="R91" s="37">
        <f t="shared" ca="1" si="38"/>
        <v>931.85921985642051</v>
      </c>
      <c r="S91" s="37">
        <f t="shared" ca="1" si="38"/>
        <v>975.64311138812343</v>
      </c>
      <c r="T91" s="37">
        <f t="shared" ca="1" si="38"/>
        <v>1023.4041836991644</v>
      </c>
      <c r="U91" s="37">
        <f t="shared" ca="1" si="38"/>
        <v>1073.177680216477</v>
      </c>
      <c r="V91" s="37">
        <f t="shared" ca="1" si="38"/>
        <v>1127.8331852669703</v>
      </c>
      <c r="W91" s="37">
        <f t="shared" ca="1" si="38"/>
        <v>1178.4257829303415</v>
      </c>
      <c r="X91" s="37">
        <f t="shared" ca="1" si="38"/>
        <v>1233.9046477686547</v>
      </c>
      <c r="Y91" s="37">
        <f t="shared" ca="1" si="38"/>
        <v>424.76778143200988</v>
      </c>
      <c r="Z91" s="435">
        <f ca="1">SUM(D91:Y91)</f>
        <v>15838.524298726097</v>
      </c>
      <c r="AA91" s="34">
        <f t="shared" si="33"/>
        <v>85</v>
      </c>
    </row>
    <row r="92" spans="1:30">
      <c r="A92" s="20"/>
      <c r="B92" s="15"/>
      <c r="C92" s="1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431"/>
      <c r="AA92" s="34">
        <f t="shared" si="33"/>
        <v>86</v>
      </c>
    </row>
    <row r="93" spans="1:30" s="9" customFormat="1">
      <c r="A93" s="420" t="s">
        <v>1114</v>
      </c>
      <c r="B93" s="407"/>
      <c r="C93" s="491"/>
      <c r="D93" s="408">
        <f t="shared" ref="D93:Y93" ca="1" si="39">SUM(D61,D69,D78,D87,D91)</f>
        <v>0</v>
      </c>
      <c r="E93" s="408">
        <f t="shared" ca="1" si="39"/>
        <v>10458.104630295045</v>
      </c>
      <c r="F93" s="408">
        <f t="shared" ca="1" si="39"/>
        <v>10609.715389046836</v>
      </c>
      <c r="G93" s="408">
        <f t="shared" ca="1" si="39"/>
        <v>70083.576120426937</v>
      </c>
      <c r="H93" s="408">
        <f t="shared" ca="1" si="39"/>
        <v>98838.624827750275</v>
      </c>
      <c r="I93" s="408">
        <f t="shared" ca="1" si="39"/>
        <v>101244.93384653219</v>
      </c>
      <c r="J93" s="408">
        <f t="shared" ca="1" si="39"/>
        <v>103894.78733849034</v>
      </c>
      <c r="K93" s="408">
        <f t="shared" ca="1" si="39"/>
        <v>106325.69739172085</v>
      </c>
      <c r="L93" s="408">
        <f t="shared" ca="1" si="39"/>
        <v>108948.44163627217</v>
      </c>
      <c r="M93" s="408">
        <f t="shared" ca="1" si="39"/>
        <v>111622.43654313406</v>
      </c>
      <c r="N93" s="408">
        <f t="shared" ca="1" si="39"/>
        <v>114373.25882955153</v>
      </c>
      <c r="O93" s="408">
        <f t="shared" ca="1" si="39"/>
        <v>116947.5337458484</v>
      </c>
      <c r="P93" s="408">
        <f t="shared" ca="1" si="39"/>
        <v>119690.85120921899</v>
      </c>
      <c r="Q93" s="408">
        <f t="shared" ca="1" si="39"/>
        <v>122380.65294414852</v>
      </c>
      <c r="R93" s="408">
        <f t="shared" ca="1" si="39"/>
        <v>125335.84696112057</v>
      </c>
      <c r="S93" s="408">
        <f t="shared" ca="1" si="39"/>
        <v>128124.67278647902</v>
      </c>
      <c r="T93" s="408">
        <f t="shared" ca="1" si="39"/>
        <v>131048.1140413598</v>
      </c>
      <c r="U93" s="408">
        <f t="shared" ca="1" si="39"/>
        <v>134134.97029577664</v>
      </c>
      <c r="V93" s="408">
        <f t="shared" ca="1" si="39"/>
        <v>137517.62852785992</v>
      </c>
      <c r="W93" s="408">
        <f t="shared" ca="1" si="39"/>
        <v>140638.94711447999</v>
      </c>
      <c r="X93" s="408">
        <f t="shared" ca="1" si="39"/>
        <v>137310.48482530864</v>
      </c>
      <c r="Y93" s="408">
        <f t="shared" ca="1" si="39"/>
        <v>46351.63649456203</v>
      </c>
      <c r="Z93" s="439">
        <f ca="1">SUM(D93:Y93)</f>
        <v>2175880.9154993827</v>
      </c>
      <c r="AA93" s="34">
        <f t="shared" si="33"/>
        <v>87</v>
      </c>
    </row>
    <row r="94" spans="1:30" ht="13.5" thickBot="1">
      <c r="A94" s="48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43"/>
    </row>
  </sheetData>
  <printOptions horizontalCentered="1"/>
  <pageMargins left="0.25" right="0.25" top="0.5" bottom="0.5" header="0.25" footer="0.25"/>
  <pageSetup scale="37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AB81"/>
  <sheetViews>
    <sheetView showGridLines="0" topLeftCell="A7" zoomScale="80" workbookViewId="0">
      <pane ySplit="1" topLeftCell="A8" activePane="bottomLeft" state="frozen"/>
      <selection activeCell="A7" sqref="A7"/>
      <selection pane="bottomLeft" activeCell="H15" sqref="H15"/>
    </sheetView>
  </sheetViews>
  <sheetFormatPr defaultColWidth="13.28515625" defaultRowHeight="12.75"/>
  <cols>
    <col min="1" max="1" width="32.7109375" style="15" customWidth="1"/>
    <col min="2" max="3" width="17.7109375" style="7" customWidth="1"/>
    <col min="4" max="7" width="10.7109375" style="7" customWidth="1"/>
    <col min="8" max="24" width="11.42578125" style="7" bestFit="1" customWidth="1"/>
    <col min="25" max="25" width="10.140625" style="7" bestFit="1" customWidth="1"/>
    <col min="26" max="26" width="13.140625" style="15" bestFit="1" customWidth="1"/>
    <col min="27" max="16384" width="13.28515625" style="7"/>
  </cols>
  <sheetData>
    <row r="1" spans="1:28" s="1" customFormat="1" ht="15.75">
      <c r="A1" s="1137" t="str">
        <f>CONCATENATE(TOC!B2," ",TOC!B6)</f>
        <v>EMPRESSA PRODUTORA DE ENERGÍA LTDA (EPE) *** DRAFT COPY ***</v>
      </c>
    </row>
    <row r="2" spans="1:28" s="1" customFormat="1" ht="15.75">
      <c r="A2" s="1137" t="str">
        <f>TOC!B3</f>
        <v>480 MW POWER PLANT (CUIABA, BRAZIL)</v>
      </c>
    </row>
    <row r="3" spans="1:28" s="1" customFormat="1" ht="15">
      <c r="A3" s="118" t="str">
        <f>TOC!B4</f>
        <v>ENRON INTERNATIONAL</v>
      </c>
    </row>
    <row r="4" spans="1:28" s="1" customFormat="1" ht="15">
      <c r="A4" s="932" t="s">
        <v>442</v>
      </c>
    </row>
    <row r="5" spans="1:28" customFormat="1" ht="13.5" thickBot="1">
      <c r="A5" s="1"/>
      <c r="Z5" s="1"/>
      <c r="AB5" s="1309" t="s">
        <v>628</v>
      </c>
    </row>
    <row r="6" spans="1:28" s="15" customFormat="1">
      <c r="A6" s="412" t="s">
        <v>443</v>
      </c>
      <c r="B6" s="11"/>
      <c r="C6" s="11"/>
      <c r="D6" s="413">
        <f>Rev_Exp!D6</f>
        <v>1</v>
      </c>
      <c r="E6" s="413">
        <f>Rev_Exp!E6</f>
        <v>2</v>
      </c>
      <c r="F6" s="413">
        <f>Rev_Exp!F6</f>
        <v>3</v>
      </c>
      <c r="G6" s="413">
        <f>Rev_Exp!G6</f>
        <v>4</v>
      </c>
      <c r="H6" s="413">
        <f>Rev_Exp!H6</f>
        <v>5</v>
      </c>
      <c r="I6" s="413">
        <f>Rev_Exp!I6</f>
        <v>6</v>
      </c>
      <c r="J6" s="413">
        <f>Rev_Exp!J6</f>
        <v>7</v>
      </c>
      <c r="K6" s="413">
        <f>Rev_Exp!K6</f>
        <v>8</v>
      </c>
      <c r="L6" s="413">
        <f>Rev_Exp!L6</f>
        <v>9</v>
      </c>
      <c r="M6" s="413">
        <f>Rev_Exp!M6</f>
        <v>10</v>
      </c>
      <c r="N6" s="413">
        <f>Rev_Exp!N6</f>
        <v>11</v>
      </c>
      <c r="O6" s="413">
        <f>Rev_Exp!O6</f>
        <v>12</v>
      </c>
      <c r="P6" s="413">
        <f>Rev_Exp!P6</f>
        <v>13</v>
      </c>
      <c r="Q6" s="413">
        <f>Rev_Exp!Q6</f>
        <v>14</v>
      </c>
      <c r="R6" s="413">
        <f>Rev_Exp!R6</f>
        <v>15</v>
      </c>
      <c r="S6" s="413">
        <f>Rev_Exp!S6</f>
        <v>16</v>
      </c>
      <c r="T6" s="413">
        <f>Rev_Exp!T6</f>
        <v>17</v>
      </c>
      <c r="U6" s="413">
        <f>Rev_Exp!U6</f>
        <v>18</v>
      </c>
      <c r="V6" s="413">
        <f>Rev_Exp!V6</f>
        <v>19</v>
      </c>
      <c r="W6" s="413">
        <f>Rev_Exp!W6</f>
        <v>20</v>
      </c>
      <c r="X6" s="413">
        <f>Rev_Exp!X6</f>
        <v>21</v>
      </c>
      <c r="Y6" s="413">
        <f>Rev_Exp!Y6</f>
        <v>22</v>
      </c>
      <c r="Z6" s="424"/>
      <c r="AB6" s="1310" t="s">
        <v>1900</v>
      </c>
    </row>
    <row r="7" spans="1:28" s="15" customFormat="1" ht="13.5" thickBot="1">
      <c r="A7" s="415" t="s">
        <v>444</v>
      </c>
      <c r="B7" s="49"/>
      <c r="C7" s="49"/>
      <c r="D7" s="231">
        <f>Rev_Exp!D7</f>
        <v>1998</v>
      </c>
      <c r="E7" s="231">
        <f>Rev_Exp!E7</f>
        <v>1999</v>
      </c>
      <c r="F7" s="231">
        <f>Rev_Exp!F7</f>
        <v>2000</v>
      </c>
      <c r="G7" s="231">
        <f>Rev_Exp!G7</f>
        <v>2001</v>
      </c>
      <c r="H7" s="231">
        <f>Rev_Exp!H7</f>
        <v>2002</v>
      </c>
      <c r="I7" s="231">
        <f>Rev_Exp!I7</f>
        <v>2003</v>
      </c>
      <c r="J7" s="231">
        <f>Rev_Exp!J7</f>
        <v>2004</v>
      </c>
      <c r="K7" s="231">
        <f>Rev_Exp!K7</f>
        <v>2005</v>
      </c>
      <c r="L7" s="231">
        <f>Rev_Exp!L7</f>
        <v>2006</v>
      </c>
      <c r="M7" s="231">
        <f>Rev_Exp!M7</f>
        <v>2007</v>
      </c>
      <c r="N7" s="231">
        <f>Rev_Exp!N7</f>
        <v>2008</v>
      </c>
      <c r="O7" s="231">
        <f>Rev_Exp!O7</f>
        <v>2009</v>
      </c>
      <c r="P7" s="231">
        <f>Rev_Exp!P7</f>
        <v>2010</v>
      </c>
      <c r="Q7" s="231">
        <f>Rev_Exp!Q7</f>
        <v>2011</v>
      </c>
      <c r="R7" s="231">
        <f>Rev_Exp!R7</f>
        <v>2012</v>
      </c>
      <c r="S7" s="231">
        <f>Rev_Exp!S7</f>
        <v>2013</v>
      </c>
      <c r="T7" s="231">
        <f>Rev_Exp!T7</f>
        <v>2014</v>
      </c>
      <c r="U7" s="231">
        <f>Rev_Exp!U7</f>
        <v>2015</v>
      </c>
      <c r="V7" s="231">
        <f>Rev_Exp!V7</f>
        <v>2016</v>
      </c>
      <c r="W7" s="231">
        <f>Rev_Exp!W7</f>
        <v>2017</v>
      </c>
      <c r="X7" s="231">
        <f>Rev_Exp!X7</f>
        <v>2018</v>
      </c>
      <c r="Y7" s="231">
        <f>Rev_Exp!Y7</f>
        <v>2019</v>
      </c>
      <c r="Z7" s="425" t="s">
        <v>441</v>
      </c>
      <c r="AB7" s="787">
        <v>1</v>
      </c>
    </row>
    <row r="8" spans="1:28" customFormat="1">
      <c r="A8" s="416"/>
      <c r="B8" s="1"/>
      <c r="C8" s="1"/>
      <c r="D8" s="447"/>
      <c r="E8" s="447"/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47"/>
      <c r="R8" s="447"/>
      <c r="S8" s="447"/>
      <c r="T8" s="447"/>
      <c r="U8" s="447"/>
      <c r="V8" s="447"/>
      <c r="W8" s="447"/>
      <c r="X8" s="447"/>
      <c r="Y8" s="447"/>
      <c r="Z8" s="426"/>
      <c r="AB8" s="34">
        <f t="shared" ref="AB8:AB75" si="0">AB7+1</f>
        <v>2</v>
      </c>
    </row>
    <row r="9" spans="1:28" s="15" customFormat="1">
      <c r="A9" s="20" t="s">
        <v>785</v>
      </c>
      <c r="D9" s="218">
        <f ca="1">Rev_Exp!D9</f>
        <v>0</v>
      </c>
      <c r="E9" s="218">
        <f ca="1">Rev_Exp!E9</f>
        <v>9</v>
      </c>
      <c r="F9" s="218">
        <f ca="1">Rev_Exp!F9</f>
        <v>12</v>
      </c>
      <c r="G9" s="218">
        <f>Rev_Exp!G9</f>
        <v>0</v>
      </c>
      <c r="H9" s="218">
        <f ca="1">Rev_Exp!H9</f>
        <v>0</v>
      </c>
      <c r="I9" s="218">
        <f ca="1">Rev_Exp!I9</f>
        <v>0</v>
      </c>
      <c r="J9" s="218">
        <f ca="1">Rev_Exp!J9</f>
        <v>0</v>
      </c>
      <c r="K9" s="218">
        <f ca="1">Rev_Exp!K9</f>
        <v>0</v>
      </c>
      <c r="L9" s="218">
        <f ca="1">Rev_Exp!L9</f>
        <v>0</v>
      </c>
      <c r="M9" s="218">
        <f ca="1">Rev_Exp!M9</f>
        <v>0</v>
      </c>
      <c r="N9" s="218">
        <f ca="1">Rev_Exp!N9</f>
        <v>0</v>
      </c>
      <c r="O9" s="218">
        <f ca="1">Rev_Exp!O9</f>
        <v>0</v>
      </c>
      <c r="P9" s="218">
        <f ca="1">Rev_Exp!P9</f>
        <v>0</v>
      </c>
      <c r="Q9" s="218">
        <f ca="1">Rev_Exp!Q9</f>
        <v>0</v>
      </c>
      <c r="R9" s="218">
        <f ca="1">Rev_Exp!R9</f>
        <v>0</v>
      </c>
      <c r="S9" s="218">
        <f ca="1">Rev_Exp!S9</f>
        <v>0</v>
      </c>
      <c r="T9" s="218">
        <f ca="1">Rev_Exp!T9</f>
        <v>0</v>
      </c>
      <c r="U9" s="218">
        <f ca="1">Rev_Exp!U9</f>
        <v>0</v>
      </c>
      <c r="V9" s="218">
        <f ca="1">Rev_Exp!V9</f>
        <v>0</v>
      </c>
      <c r="W9" s="218">
        <f ca="1">Rev_Exp!W9</f>
        <v>0</v>
      </c>
      <c r="X9" s="218">
        <f ca="1">Rev_Exp!X9</f>
        <v>0</v>
      </c>
      <c r="Y9" s="218">
        <f ca="1">Rev_Exp!Y9</f>
        <v>0</v>
      </c>
      <c r="Z9" s="427">
        <f ca="1">SUM(D9:Y9)</f>
        <v>21</v>
      </c>
      <c r="AB9" s="34">
        <f t="shared" si="0"/>
        <v>3</v>
      </c>
    </row>
    <row r="10" spans="1:28" s="15" customFormat="1">
      <c r="A10" s="20" t="s">
        <v>788</v>
      </c>
      <c r="D10" s="218">
        <f ca="1">Rev_Exp!D10</f>
        <v>0</v>
      </c>
      <c r="E10" s="218">
        <f ca="1">Rev_Exp!E10</f>
        <v>0</v>
      </c>
      <c r="F10" s="218">
        <f ca="1">Rev_Exp!F10</f>
        <v>0</v>
      </c>
      <c r="G10" s="218">
        <f ca="1">Rev_Exp!G10</f>
        <v>7</v>
      </c>
      <c r="H10" s="218">
        <f ca="1">Rev_Exp!H10</f>
        <v>0</v>
      </c>
      <c r="I10" s="218">
        <f ca="1">Rev_Exp!I10</f>
        <v>0</v>
      </c>
      <c r="J10" s="218">
        <f ca="1">Rev_Exp!J10</f>
        <v>0</v>
      </c>
      <c r="K10" s="218">
        <f ca="1">Rev_Exp!K10</f>
        <v>0</v>
      </c>
      <c r="L10" s="218">
        <f ca="1">Rev_Exp!L10</f>
        <v>0</v>
      </c>
      <c r="M10" s="218">
        <f ca="1">Rev_Exp!M10</f>
        <v>0</v>
      </c>
      <c r="N10" s="218">
        <f ca="1">Rev_Exp!N10</f>
        <v>0</v>
      </c>
      <c r="O10" s="218">
        <f ca="1">Rev_Exp!O10</f>
        <v>0</v>
      </c>
      <c r="P10" s="218">
        <f ca="1">Rev_Exp!P10</f>
        <v>0</v>
      </c>
      <c r="Q10" s="218">
        <f ca="1">Rev_Exp!Q10</f>
        <v>0</v>
      </c>
      <c r="R10" s="218">
        <f ca="1">Rev_Exp!R10</f>
        <v>0</v>
      </c>
      <c r="S10" s="218">
        <f ca="1">Rev_Exp!S10</f>
        <v>0</v>
      </c>
      <c r="T10" s="218">
        <f ca="1">Rev_Exp!T10</f>
        <v>0</v>
      </c>
      <c r="U10" s="218">
        <f ca="1">Rev_Exp!U10</f>
        <v>0</v>
      </c>
      <c r="V10" s="218">
        <f ca="1">Rev_Exp!V10</f>
        <v>0</v>
      </c>
      <c r="W10" s="218">
        <f ca="1">Rev_Exp!W10</f>
        <v>0</v>
      </c>
      <c r="X10" s="218">
        <f ca="1">Rev_Exp!X10</f>
        <v>0</v>
      </c>
      <c r="Y10" s="218">
        <f ca="1">Rev_Exp!Y10</f>
        <v>0</v>
      </c>
      <c r="Z10" s="427">
        <f ca="1">SUM(D10:Y10)</f>
        <v>7</v>
      </c>
      <c r="AB10" s="34">
        <f t="shared" si="0"/>
        <v>4</v>
      </c>
    </row>
    <row r="11" spans="1:28" s="15" customFormat="1">
      <c r="A11" s="20" t="s">
        <v>789</v>
      </c>
      <c r="D11" s="228">
        <f>Rev_Exp!D11</f>
        <v>0</v>
      </c>
      <c r="E11" s="228">
        <f>Rev_Exp!E11</f>
        <v>0</v>
      </c>
      <c r="F11" s="228">
        <f>Rev_Exp!F11</f>
        <v>0</v>
      </c>
      <c r="G11" s="228">
        <f>Rev_Exp!G11</f>
        <v>5</v>
      </c>
      <c r="H11" s="228">
        <f>Rev_Exp!H11</f>
        <v>12</v>
      </c>
      <c r="I11" s="228">
        <f>Rev_Exp!I11</f>
        <v>12</v>
      </c>
      <c r="J11" s="228">
        <f>Rev_Exp!J11</f>
        <v>12</v>
      </c>
      <c r="K11" s="228">
        <f>Rev_Exp!K11</f>
        <v>12</v>
      </c>
      <c r="L11" s="228">
        <f>Rev_Exp!L11</f>
        <v>12</v>
      </c>
      <c r="M11" s="228">
        <f>Rev_Exp!M11</f>
        <v>12</v>
      </c>
      <c r="N11" s="228">
        <f>Rev_Exp!N11</f>
        <v>12</v>
      </c>
      <c r="O11" s="228">
        <f>Rev_Exp!O11</f>
        <v>12</v>
      </c>
      <c r="P11" s="228">
        <f>Rev_Exp!P11</f>
        <v>12</v>
      </c>
      <c r="Q11" s="228">
        <f>Rev_Exp!Q11</f>
        <v>12</v>
      </c>
      <c r="R11" s="228">
        <f>Rev_Exp!R11</f>
        <v>12</v>
      </c>
      <c r="S11" s="228">
        <f>Rev_Exp!S11</f>
        <v>12</v>
      </c>
      <c r="T11" s="228">
        <f>Rev_Exp!T11</f>
        <v>12</v>
      </c>
      <c r="U11" s="228">
        <f>Rev_Exp!U11</f>
        <v>12</v>
      </c>
      <c r="V11" s="228">
        <f>Rev_Exp!V11</f>
        <v>12</v>
      </c>
      <c r="W11" s="228">
        <f>Rev_Exp!W11</f>
        <v>12</v>
      </c>
      <c r="X11" s="228">
        <f>Rev_Exp!X11</f>
        <v>12</v>
      </c>
      <c r="Y11" s="228">
        <f>Rev_Exp!Y11</f>
        <v>4</v>
      </c>
      <c r="Z11" s="428">
        <f>SUM(D11:Y11)</f>
        <v>213</v>
      </c>
      <c r="AB11" s="34">
        <f t="shared" si="0"/>
        <v>5</v>
      </c>
    </row>
    <row r="12" spans="1:28" s="15" customFormat="1">
      <c r="A12" s="27" t="s">
        <v>790</v>
      </c>
      <c r="B12" s="3"/>
      <c r="C12" s="3"/>
      <c r="D12" s="229">
        <f ca="1">Rev_Exp!D12</f>
        <v>0</v>
      </c>
      <c r="E12" s="229">
        <f ca="1">Rev_Exp!E12</f>
        <v>9</v>
      </c>
      <c r="F12" s="229">
        <f ca="1">Rev_Exp!F12</f>
        <v>12</v>
      </c>
      <c r="G12" s="229">
        <f ca="1">Rev_Exp!G12</f>
        <v>12</v>
      </c>
      <c r="H12" s="229">
        <f ca="1">Rev_Exp!H12</f>
        <v>12</v>
      </c>
      <c r="I12" s="229">
        <f ca="1">Rev_Exp!I12</f>
        <v>12</v>
      </c>
      <c r="J12" s="229">
        <f ca="1">Rev_Exp!J12</f>
        <v>12</v>
      </c>
      <c r="K12" s="229">
        <f ca="1">Rev_Exp!K12</f>
        <v>12</v>
      </c>
      <c r="L12" s="229">
        <f ca="1">Rev_Exp!L12</f>
        <v>12</v>
      </c>
      <c r="M12" s="229">
        <f ca="1">Rev_Exp!M12</f>
        <v>12</v>
      </c>
      <c r="N12" s="229">
        <f ca="1">Rev_Exp!N12</f>
        <v>12</v>
      </c>
      <c r="O12" s="229">
        <f ca="1">Rev_Exp!O12</f>
        <v>12</v>
      </c>
      <c r="P12" s="229">
        <f ca="1">Rev_Exp!P12</f>
        <v>12</v>
      </c>
      <c r="Q12" s="229">
        <f ca="1">Rev_Exp!Q12</f>
        <v>12</v>
      </c>
      <c r="R12" s="229">
        <f ca="1">Rev_Exp!R12</f>
        <v>12</v>
      </c>
      <c r="S12" s="229">
        <f ca="1">Rev_Exp!S12</f>
        <v>12</v>
      </c>
      <c r="T12" s="229">
        <f ca="1">Rev_Exp!T12</f>
        <v>12</v>
      </c>
      <c r="U12" s="229">
        <f ca="1">Rev_Exp!U12</f>
        <v>12</v>
      </c>
      <c r="V12" s="229">
        <f ca="1">Rev_Exp!V12</f>
        <v>12</v>
      </c>
      <c r="W12" s="229">
        <f ca="1">Rev_Exp!W12</f>
        <v>12</v>
      </c>
      <c r="X12" s="229">
        <f ca="1">Rev_Exp!X12</f>
        <v>12</v>
      </c>
      <c r="Y12" s="229">
        <f ca="1">Rev_Exp!Y12</f>
        <v>4</v>
      </c>
      <c r="Z12" s="429">
        <f ca="1">SUM(D12:Y12)</f>
        <v>241</v>
      </c>
      <c r="AB12" s="34">
        <f t="shared" si="0"/>
        <v>6</v>
      </c>
    </row>
    <row r="13" spans="1:28" s="15" customFormat="1">
      <c r="A13" s="20"/>
      <c r="Z13" s="430"/>
      <c r="AB13" s="34">
        <f t="shared" si="0"/>
        <v>7</v>
      </c>
    </row>
    <row r="14" spans="1:28" s="15" customFormat="1">
      <c r="A14" s="27" t="s">
        <v>800</v>
      </c>
      <c r="Z14" s="430"/>
      <c r="AB14" s="34">
        <f t="shared" si="0"/>
        <v>8</v>
      </c>
    </row>
    <row r="15" spans="1:28">
      <c r="A15" s="345" t="s">
        <v>898</v>
      </c>
      <c r="B15" s="15"/>
      <c r="C15" s="55"/>
      <c r="D15" s="37">
        <f ca="1">Rev_Exp!D35</f>
        <v>0</v>
      </c>
      <c r="E15" s="37">
        <f ca="1">Rev_Exp!E35</f>
        <v>8934.5434162791098</v>
      </c>
      <c r="F15" s="37">
        <f ca="1">Rev_Exp!F35</f>
        <v>14716.753348715603</v>
      </c>
      <c r="G15" s="37">
        <f ca="1">Rev_Exp!G35</f>
        <v>95619.208408259001</v>
      </c>
      <c r="H15" s="37">
        <f ca="1">Rev_Exp!H35</f>
        <v>136319.32099070668</v>
      </c>
      <c r="I15" s="37">
        <f ca="1">Rev_Exp!I35</f>
        <v>142971.14941784073</v>
      </c>
      <c r="J15" s="37">
        <f ca="1">Rev_Exp!J35</f>
        <v>148564.01691072457</v>
      </c>
      <c r="K15" s="37">
        <f ca="1">Rev_Exp!K35</f>
        <v>152129.33351212542</v>
      </c>
      <c r="L15" s="37">
        <f ca="1">Rev_Exp!L35</f>
        <v>155154.97913994663</v>
      </c>
      <c r="M15" s="37">
        <f ca="1">Rev_Exp!M35</f>
        <v>154743.26372565186</v>
      </c>
      <c r="N15" s="37">
        <f ca="1">Rev_Exp!N35</f>
        <v>152906.7298094749</v>
      </c>
      <c r="O15" s="37">
        <f ca="1">Rev_Exp!O35</f>
        <v>154096.53294340943</v>
      </c>
      <c r="P15" s="37">
        <f ca="1">Rev_Exp!P35</f>
        <v>157574.54664061684</v>
      </c>
      <c r="Q15" s="37">
        <f ca="1">Rev_Exp!Q35</f>
        <v>158815.712578715</v>
      </c>
      <c r="R15" s="37">
        <f ca="1">Rev_Exp!R35</f>
        <v>153914.06394941488</v>
      </c>
      <c r="S15" s="37">
        <f ca="1">Rev_Exp!S35</f>
        <v>159853.32217265543</v>
      </c>
      <c r="T15" s="37">
        <f ca="1">Rev_Exp!T35</f>
        <v>149649.72596858308</v>
      </c>
      <c r="U15" s="37">
        <f ca="1">Rev_Exp!U35</f>
        <v>135704.12528122295</v>
      </c>
      <c r="V15" s="37">
        <f ca="1">Rev_Exp!V35</f>
        <v>133710.18915121461</v>
      </c>
      <c r="W15" s="37">
        <f ca="1">Rev_Exp!W35</f>
        <v>135577.60788599198</v>
      </c>
      <c r="X15" s="37">
        <f ca="1">Rev_Exp!X35</f>
        <v>133593.75627532203</v>
      </c>
      <c r="Y15" s="37">
        <f ca="1">Rev_Exp!Y35</f>
        <v>44129.735696587333</v>
      </c>
      <c r="Z15" s="435">
        <f ca="1">SUM(D15:Y15)</f>
        <v>2678678.6172234579</v>
      </c>
      <c r="AB15" s="34">
        <f t="shared" si="0"/>
        <v>9</v>
      </c>
    </row>
    <row r="16" spans="1:28">
      <c r="A16" s="345" t="s">
        <v>822</v>
      </c>
      <c r="B16" s="43" t="s">
        <v>791</v>
      </c>
      <c r="C16" s="15"/>
      <c r="D16" s="142">
        <f ca="1">Rev_Exp!D40</f>
        <v>0</v>
      </c>
      <c r="E16" s="142">
        <f ca="1">Rev_Exp!E40</f>
        <v>11.225117330992536</v>
      </c>
      <c r="F16" s="142">
        <f ca="1">Rev_Exp!F40</f>
        <v>85.874749017426893</v>
      </c>
      <c r="G16" s="142">
        <f ca="1">Rev_Exp!G40</f>
        <v>6351.5379731078456</v>
      </c>
      <c r="H16" s="142">
        <f ca="1">Rev_Exp!H40</f>
        <v>8896.9626470911171</v>
      </c>
      <c r="I16" s="142">
        <f ca="1">Rev_Exp!I40</f>
        <v>9066.7446313915698</v>
      </c>
      <c r="J16" s="142">
        <f ca="1">Rev_Exp!J40</f>
        <v>9323.4954318815562</v>
      </c>
      <c r="K16" s="142">
        <f ca="1">Rev_Exp!K40</f>
        <v>9493.3533915750722</v>
      </c>
      <c r="L16" s="142">
        <f ca="1">Rev_Exp!L40</f>
        <v>9729.1497260807828</v>
      </c>
      <c r="M16" s="142">
        <f ca="1">Rev_Exp!M40</f>
        <v>9992.9553970546785</v>
      </c>
      <c r="N16" s="142">
        <f ca="1">Rev_Exp!N40</f>
        <v>10232.131734580918</v>
      </c>
      <c r="O16" s="142">
        <f ca="1">Rev_Exp!O40</f>
        <v>10418.818117389095</v>
      </c>
      <c r="P16" s="142">
        <f ca="1">Rev_Exp!P40</f>
        <v>10677.654935997718</v>
      </c>
      <c r="Q16" s="142">
        <f ca="1">Rev_Exp!Q40</f>
        <v>10866.680893564451</v>
      </c>
      <c r="R16" s="142">
        <f ca="1">Rev_Exp!R40</f>
        <v>11073.296670040701</v>
      </c>
      <c r="S16" s="142">
        <f ca="1">Rev_Exp!S40</f>
        <v>11395.045864830961</v>
      </c>
      <c r="T16" s="142">
        <f ca="1">Rev_Exp!T40</f>
        <v>11629.229788334829</v>
      </c>
      <c r="U16" s="142">
        <f ca="1">Rev_Exp!U40</f>
        <v>11873.177410681983</v>
      </c>
      <c r="V16" s="142">
        <f ca="1">Rev_Exp!V40</f>
        <v>12208.347503546549</v>
      </c>
      <c r="W16" s="142">
        <f ca="1">Rev_Exp!W40</f>
        <v>12406.732773976586</v>
      </c>
      <c r="X16" s="142">
        <f ca="1">Rev_Exp!X40</f>
        <v>12701.085460668179</v>
      </c>
      <c r="Y16" s="142">
        <f ca="1">Rev_Exp!Y40</f>
        <v>4210.9218239327611</v>
      </c>
      <c r="Z16" s="436">
        <f ca="1">SUM(D16:Y16)</f>
        <v>192644.42204207575</v>
      </c>
      <c r="AB16" s="34">
        <f t="shared" si="0"/>
        <v>10</v>
      </c>
    </row>
    <row r="17" spans="1:28">
      <c r="A17" s="20" t="s">
        <v>792</v>
      </c>
      <c r="B17" s="15"/>
      <c r="C17" s="15"/>
      <c r="D17" s="37">
        <f ca="1">SUM(D15:D16)</f>
        <v>0</v>
      </c>
      <c r="E17" s="37">
        <f t="shared" ref="E17:Y17" ca="1" si="1">SUM(E15:E16)</f>
        <v>8945.7685336101022</v>
      </c>
      <c r="F17" s="37">
        <f t="shared" ca="1" si="1"/>
        <v>14802.62809773303</v>
      </c>
      <c r="G17" s="37">
        <f t="shared" ca="1" si="1"/>
        <v>101970.74638136684</v>
      </c>
      <c r="H17" s="1867">
        <f ca="1">SUM(H15:H16)</f>
        <v>145216.28363779781</v>
      </c>
      <c r="I17" s="37">
        <f ca="1">SUM(I15:I16)</f>
        <v>152037.8940492323</v>
      </c>
      <c r="J17" s="37">
        <f t="shared" ca="1" si="1"/>
        <v>157887.51234260612</v>
      </c>
      <c r="K17" s="37">
        <f t="shared" ca="1" si="1"/>
        <v>161622.68690370049</v>
      </c>
      <c r="L17" s="37">
        <f t="shared" ca="1" si="1"/>
        <v>164884.12886602743</v>
      </c>
      <c r="M17" s="37">
        <f t="shared" ca="1" si="1"/>
        <v>164736.21912270653</v>
      </c>
      <c r="N17" s="37">
        <f t="shared" ca="1" si="1"/>
        <v>163138.86154405581</v>
      </c>
      <c r="O17" s="37">
        <f t="shared" ca="1" si="1"/>
        <v>164515.35106079854</v>
      </c>
      <c r="P17" s="37">
        <f t="shared" ca="1" si="1"/>
        <v>168252.20157661455</v>
      </c>
      <c r="Q17" s="37">
        <f t="shared" ca="1" si="1"/>
        <v>169682.39347227945</v>
      </c>
      <c r="R17" s="37">
        <f t="shared" ca="1" si="1"/>
        <v>164987.36061945558</v>
      </c>
      <c r="S17" s="37">
        <f t="shared" ca="1" si="1"/>
        <v>171248.36803748639</v>
      </c>
      <c r="T17" s="37">
        <f t="shared" ca="1" si="1"/>
        <v>161278.95575691792</v>
      </c>
      <c r="U17" s="37">
        <f t="shared" ca="1" si="1"/>
        <v>147577.30269190494</v>
      </c>
      <c r="V17" s="37">
        <f t="shared" ca="1" si="1"/>
        <v>145918.53665476115</v>
      </c>
      <c r="W17" s="37">
        <f t="shared" ca="1" si="1"/>
        <v>147984.34065996855</v>
      </c>
      <c r="X17" s="37">
        <f t="shared" ca="1" si="1"/>
        <v>146294.84173599019</v>
      </c>
      <c r="Y17" s="37">
        <f t="shared" ca="1" si="1"/>
        <v>48340.657520520093</v>
      </c>
      <c r="Z17" s="435">
        <f ca="1">SUM(D17:Y17)</f>
        <v>2871323.0392655339</v>
      </c>
      <c r="AB17" s="34">
        <f t="shared" si="0"/>
        <v>11</v>
      </c>
    </row>
    <row r="18" spans="1:28">
      <c r="A18" s="20" t="s">
        <v>666</v>
      </c>
      <c r="B18" s="69">
        <f>Pis+Cofins</f>
        <v>2.6499999999999999E-2</v>
      </c>
      <c r="C18" s="15"/>
      <c r="D18" s="142">
        <f ca="1">Rev_Exp!D43</f>
        <v>0</v>
      </c>
      <c r="E18" s="142">
        <f ca="1">Rev_Exp!E43</f>
        <v>-237.06286614066769</v>
      </c>
      <c r="F18" s="142">
        <f ca="1">Rev_Exp!F43</f>
        <v>-392.26964458992529</v>
      </c>
      <c r="G18" s="142">
        <f ca="1">Rev_Exp!G43</f>
        <v>-2702.2247791062214</v>
      </c>
      <c r="H18" s="142">
        <f ca="1">Rev_Exp!H43</f>
        <v>-3848.2315164016418</v>
      </c>
      <c r="I18" s="142">
        <f ca="1">Rev_Exp!I43</f>
        <v>-4029.004192304656</v>
      </c>
      <c r="J18" s="142">
        <f ca="1">Rev_Exp!J43</f>
        <v>-4184.0190770790623</v>
      </c>
      <c r="K18" s="142">
        <f ca="1">Rev_Exp!K43</f>
        <v>-4283.0012029480631</v>
      </c>
      <c r="L18" s="142">
        <f ca="1">Rev_Exp!L43</f>
        <v>-4369.4294149497264</v>
      </c>
      <c r="M18" s="142">
        <f ca="1">Rev_Exp!M43</f>
        <v>-4365.5098067517229</v>
      </c>
      <c r="N18" s="142">
        <f ca="1">Rev_Exp!N43</f>
        <v>-4323.1798309174783</v>
      </c>
      <c r="O18" s="142">
        <f ca="1">Rev_Exp!O43</f>
        <v>-4359.656803111161</v>
      </c>
      <c r="P18" s="142">
        <f ca="1">Rev_Exp!P43</f>
        <v>-4458.6833417802854</v>
      </c>
      <c r="Q18" s="142">
        <f ca="1">Rev_Exp!Q43</f>
        <v>-4496.5834270154055</v>
      </c>
      <c r="R18" s="142">
        <f ca="1">Rev_Exp!R43</f>
        <v>-4372.1650564155725</v>
      </c>
      <c r="S18" s="142">
        <f ca="1">Rev_Exp!S43</f>
        <v>-4538.0817529933893</v>
      </c>
      <c r="T18" s="142">
        <f ca="1">Rev_Exp!T43</f>
        <v>-4273.8923275583247</v>
      </c>
      <c r="U18" s="142">
        <f ca="1">Rev_Exp!U43</f>
        <v>-3910.7985213354809</v>
      </c>
      <c r="V18" s="142">
        <f ca="1">Rev_Exp!V43</f>
        <v>-3866.8412213511701</v>
      </c>
      <c r="W18" s="142">
        <f ca="1">Rev_Exp!W43</f>
        <v>-3921.5850274891668</v>
      </c>
      <c r="X18" s="142">
        <f ca="1">Rev_Exp!X43</f>
        <v>-3876.8133060037399</v>
      </c>
      <c r="Y18" s="142">
        <f ca="1">Rev_Exp!Y43</f>
        <v>-1281.0274242937824</v>
      </c>
      <c r="Z18" s="436">
        <f ca="1">SUM(D18:Y18)</f>
        <v>-76090.060540536651</v>
      </c>
      <c r="AB18" s="34">
        <f t="shared" si="0"/>
        <v>12</v>
      </c>
    </row>
    <row r="19" spans="1:28">
      <c r="A19" s="27" t="s">
        <v>944</v>
      </c>
      <c r="B19" s="15"/>
      <c r="C19" s="15"/>
      <c r="D19" s="224">
        <f ca="1">SUM(D17:D18)</f>
        <v>0</v>
      </c>
      <c r="E19" s="224">
        <f t="shared" ref="E19:Y19" ca="1" si="2">SUM(E17:E18)</f>
        <v>8708.705667469434</v>
      </c>
      <c r="F19" s="224">
        <f t="shared" ca="1" si="2"/>
        <v>14410.358453143104</v>
      </c>
      <c r="G19" s="224">
        <f t="shared" ca="1" si="2"/>
        <v>99268.521602260618</v>
      </c>
      <c r="H19" s="224">
        <f ca="1">SUM(H17:H18)</f>
        <v>141368.05212139618</v>
      </c>
      <c r="I19" s="224">
        <f t="shared" ca="1" si="2"/>
        <v>148008.88985692765</v>
      </c>
      <c r="J19" s="224">
        <f t="shared" ca="1" si="2"/>
        <v>153703.49326552707</v>
      </c>
      <c r="K19" s="224">
        <f t="shared" ca="1" si="2"/>
        <v>157339.68570075242</v>
      </c>
      <c r="L19" s="224">
        <f t="shared" ca="1" si="2"/>
        <v>160514.6994510777</v>
      </c>
      <c r="M19" s="224">
        <f t="shared" ca="1" si="2"/>
        <v>160370.70931595482</v>
      </c>
      <c r="N19" s="224">
        <f t="shared" ca="1" si="2"/>
        <v>158815.68171313833</v>
      </c>
      <c r="O19" s="224">
        <f t="shared" ca="1" si="2"/>
        <v>160155.69425768737</v>
      </c>
      <c r="P19" s="224">
        <f t="shared" ca="1" si="2"/>
        <v>163793.51823483425</v>
      </c>
      <c r="Q19" s="224">
        <f t="shared" ca="1" si="2"/>
        <v>165185.81004526405</v>
      </c>
      <c r="R19" s="224">
        <f t="shared" ca="1" si="2"/>
        <v>160615.19556304</v>
      </c>
      <c r="S19" s="224">
        <f t="shared" ca="1" si="2"/>
        <v>166710.28628449299</v>
      </c>
      <c r="T19" s="224">
        <f t="shared" ca="1" si="2"/>
        <v>157005.06342935958</v>
      </c>
      <c r="U19" s="224">
        <f t="shared" ca="1" si="2"/>
        <v>143666.50417056947</v>
      </c>
      <c r="V19" s="224">
        <f t="shared" ca="1" si="2"/>
        <v>142051.69543340997</v>
      </c>
      <c r="W19" s="224">
        <f t="shared" ca="1" si="2"/>
        <v>144062.75563247938</v>
      </c>
      <c r="X19" s="224">
        <f t="shared" ca="1" si="2"/>
        <v>142418.02842998644</v>
      </c>
      <c r="Y19" s="224">
        <f t="shared" ca="1" si="2"/>
        <v>47059.630096226312</v>
      </c>
      <c r="Z19" s="437">
        <f ca="1">SUM(D19:Y19)</f>
        <v>2795232.978724997</v>
      </c>
      <c r="AB19" s="34">
        <f t="shared" si="0"/>
        <v>13</v>
      </c>
    </row>
    <row r="20" spans="1:28">
      <c r="A20" s="20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430"/>
      <c r="AB20" s="34">
        <f t="shared" si="0"/>
        <v>14</v>
      </c>
    </row>
    <row r="21" spans="1:28">
      <c r="A21" s="27" t="s">
        <v>1112</v>
      </c>
      <c r="B21" s="15"/>
      <c r="C21" s="143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430"/>
      <c r="AB21" s="34">
        <f t="shared" si="0"/>
        <v>15</v>
      </c>
    </row>
    <row r="22" spans="1:28">
      <c r="A22" s="345" t="s">
        <v>900</v>
      </c>
      <c r="B22" s="15"/>
      <c r="C22" s="143"/>
      <c r="D22" s="37">
        <f ca="1">Rev_Exp!D61</f>
        <v>0</v>
      </c>
      <c r="E22" s="37">
        <f ca="1">Rev_Exp!E61</f>
        <v>0</v>
      </c>
      <c r="F22" s="37">
        <f ca="1">Rev_Exp!F61</f>
        <v>0</v>
      </c>
      <c r="G22" s="37">
        <f ca="1">Rev_Exp!G61</f>
        <v>27315.127313939403</v>
      </c>
      <c r="H22" s="37">
        <f ca="1">Rev_Exp!H61</f>
        <v>39461.510170493224</v>
      </c>
      <c r="I22" s="37">
        <f ca="1">Rev_Exp!I61</f>
        <v>40400.390114087357</v>
      </c>
      <c r="J22" s="37">
        <f ca="1">Rev_Exp!J61</f>
        <v>41436.369109676125</v>
      </c>
      <c r="K22" s="37">
        <f ca="1">Rev_Exp!K61</f>
        <v>42248.399071166699</v>
      </c>
      <c r="L22" s="37">
        <f ca="1">Rev_Exp!L61</f>
        <v>43175.062077009061</v>
      </c>
      <c r="M22" s="37">
        <f ca="1">Rev_Exp!M61</f>
        <v>44102.50485224228</v>
      </c>
      <c r="N22" s="37">
        <f ca="1">Rev_Exp!N61</f>
        <v>45151.638155327622</v>
      </c>
      <c r="O22" s="37">
        <f ca="1">Rev_Exp!O61</f>
        <v>45960.005967279969</v>
      </c>
      <c r="P22" s="37">
        <f ca="1">Rev_Exp!P61</f>
        <v>46894.495233378933</v>
      </c>
      <c r="Q22" s="37">
        <f ca="1">Rev_Exp!Q61</f>
        <v>47835.22662676758</v>
      </c>
      <c r="R22" s="37">
        <f ca="1">Rev_Exp!R61</f>
        <v>48917.321634956534</v>
      </c>
      <c r="S22" s="37">
        <f ca="1">Rev_Exp!S61</f>
        <v>49750.505807509238</v>
      </c>
      <c r="T22" s="37">
        <f ca="1">Rev_Exp!T61</f>
        <v>50740.767787139906</v>
      </c>
      <c r="U22" s="37">
        <f ca="1">Rev_Exp!U61</f>
        <v>51767.048523066689</v>
      </c>
      <c r="V22" s="37">
        <f ca="1">Rev_Exp!V61</f>
        <v>52978.624695289735</v>
      </c>
      <c r="W22" s="37">
        <f ca="1">Rev_Exp!W61</f>
        <v>53952.18356457437</v>
      </c>
      <c r="X22" s="37">
        <f ca="1">Rev_Exp!X61</f>
        <v>55117.305630723211</v>
      </c>
      <c r="Y22" s="37">
        <f ca="1">Rev_Exp!Y61</f>
        <v>18248.420909313816</v>
      </c>
      <c r="Z22" s="435">
        <f t="shared" ref="Z22:Z27" ca="1" si="3">SUM(D22:Y22)</f>
        <v>845452.90724394179</v>
      </c>
      <c r="AB22" s="34">
        <f t="shared" si="0"/>
        <v>16</v>
      </c>
    </row>
    <row r="23" spans="1:28">
      <c r="A23" s="345" t="s">
        <v>901</v>
      </c>
      <c r="B23" s="15"/>
      <c r="C23" s="143"/>
      <c r="D23" s="37">
        <f ca="1">Rev_Exp!D69</f>
        <v>0</v>
      </c>
      <c r="E23" s="37">
        <f ca="1">Rev_Exp!E69</f>
        <v>0</v>
      </c>
      <c r="F23" s="37">
        <f ca="1">Rev_Exp!F69</f>
        <v>0</v>
      </c>
      <c r="G23" s="37">
        <f ca="1">Rev_Exp!G69</f>
        <v>27484.721862367773</v>
      </c>
      <c r="H23" s="37">
        <f ca="1">Rev_Exp!H69</f>
        <v>43789.99746682329</v>
      </c>
      <c r="I23" s="37">
        <f ca="1">Rev_Exp!I69</f>
        <v>45152.907480765716</v>
      </c>
      <c r="J23" s="37">
        <f ca="1">Rev_Exp!J69</f>
        <v>46518.330672235417</v>
      </c>
      <c r="K23" s="37">
        <f ca="1">Rev_Exp!K69</f>
        <v>47815.130842564657</v>
      </c>
      <c r="L23" s="37">
        <f ca="1">Rev_Exp!L69</f>
        <v>49176.961187941022</v>
      </c>
      <c r="M23" s="37">
        <f ca="1">Rev_Exp!M69</f>
        <v>50569.989667461137</v>
      </c>
      <c r="N23" s="37">
        <f ca="1">Rev_Exp!N69</f>
        <v>51900.505577384261</v>
      </c>
      <c r="O23" s="37">
        <f ca="1">Rev_Exp!O69</f>
        <v>53285.103666739931</v>
      </c>
      <c r="P23" s="37">
        <f ca="1">Rev_Exp!P69</f>
        <v>54702.160688180251</v>
      </c>
      <c r="Q23" s="37">
        <f ca="1">Rev_Exp!Q69</f>
        <v>56038.379717286647</v>
      </c>
      <c r="R23" s="37">
        <f ca="1">Rev_Exp!R69</f>
        <v>57466.157692147623</v>
      </c>
      <c r="S23" s="37">
        <f ca="1">Rev_Exp!S69</f>
        <v>58955.026086573715</v>
      </c>
      <c r="T23" s="37">
        <f ca="1">Rev_Exp!T69</f>
        <v>60404.278130353428</v>
      </c>
      <c r="U23" s="37">
        <f ca="1">Rev_Exp!U69</f>
        <v>61960.758466385618</v>
      </c>
      <c r="V23" s="37">
        <f ca="1">Rev_Exp!V69</f>
        <v>63605.576287677912</v>
      </c>
      <c r="W23" s="37">
        <f ca="1">Rev_Exp!W69</f>
        <v>65211.269243592535</v>
      </c>
      <c r="X23" s="37">
        <f ca="1">Rev_Exp!X69</f>
        <v>66975.625319171741</v>
      </c>
      <c r="Y23" s="37">
        <f ca="1">Rev_Exp!Y69</f>
        <v>22531.500870964843</v>
      </c>
      <c r="Z23" s="435">
        <f t="shared" ca="1" si="3"/>
        <v>983544.38092661742</v>
      </c>
      <c r="AB23" s="34">
        <f t="shared" si="0"/>
        <v>17</v>
      </c>
    </row>
    <row r="24" spans="1:28">
      <c r="A24" s="345" t="s">
        <v>6</v>
      </c>
      <c r="B24" s="15"/>
      <c r="C24" s="15"/>
      <c r="D24" s="37">
        <f ca="1">Rev_Exp!D78</f>
        <v>0</v>
      </c>
      <c r="E24" s="37">
        <f ca="1">Rev_Exp!E78</f>
        <v>2922.7725529859931</v>
      </c>
      <c r="F24" s="37">
        <f ca="1">Rev_Exp!F78</f>
        <v>2815.0510502552343</v>
      </c>
      <c r="G24" s="37">
        <f ca="1">Rev_Exp!G78</f>
        <v>4570.0270001313702</v>
      </c>
      <c r="H24" s="37">
        <f ca="1">Rev_Exp!H78</f>
        <v>4478.038162387742</v>
      </c>
      <c r="I24" s="37">
        <f ca="1">Rev_Exp!I78</f>
        <v>4477.3343958385985</v>
      </c>
      <c r="J24" s="37">
        <f ca="1">Rev_Exp!J78</f>
        <v>4600.2919682692127</v>
      </c>
      <c r="K24" s="37">
        <f ca="1">Rev_Exp!K78</f>
        <v>4789.777923355643</v>
      </c>
      <c r="L24" s="37">
        <f ca="1">Rev_Exp!L78</f>
        <v>4987.5068730497487</v>
      </c>
      <c r="M24" s="37">
        <f ca="1">Rev_Exp!M78</f>
        <v>5201.6195536122577</v>
      </c>
      <c r="N24" s="37">
        <f ca="1">Rev_Exp!N78</f>
        <v>5428.7544545675091</v>
      </c>
      <c r="O24" s="37">
        <f ca="1">Rev_Exp!O78</f>
        <v>5667.6128660728427</v>
      </c>
      <c r="P24" s="37">
        <f ca="1">Rev_Exp!P78</f>
        <v>5912.8299887968142</v>
      </c>
      <c r="Q24" s="37">
        <f ca="1">Rev_Exp!Q78</f>
        <v>6175.2850711101737</v>
      </c>
      <c r="R24" s="37">
        <f ca="1">Rev_Exp!R78</f>
        <v>6462.3087338377109</v>
      </c>
      <c r="S24" s="37">
        <f ca="1">Rev_Exp!S78</f>
        <v>6770.3754159440032</v>
      </c>
      <c r="T24" s="37">
        <f ca="1">Rev_Exp!T78</f>
        <v>7087.9581783054018</v>
      </c>
      <c r="U24" s="37">
        <f ca="1">Rev_Exp!U78</f>
        <v>7418.9223663246785</v>
      </c>
      <c r="V24" s="37">
        <f ca="1">Rev_Exp!V78</f>
        <v>7761.8587906097309</v>
      </c>
      <c r="W24" s="37">
        <f ca="1">Rev_Exp!W78</f>
        <v>8118.7597354584213</v>
      </c>
      <c r="X24" s="37">
        <f ca="1">Rev_Exp!X78</f>
        <v>8313.7936789887699</v>
      </c>
      <c r="Y24" s="37">
        <f ca="1">Rev_Exp!Y78</f>
        <v>2977.8776678471809</v>
      </c>
      <c r="Z24" s="435">
        <f t="shared" ca="1" si="3"/>
        <v>116938.75642774902</v>
      </c>
      <c r="AB24" s="34">
        <f t="shared" si="0"/>
        <v>18</v>
      </c>
    </row>
    <row r="25" spans="1:28">
      <c r="A25" s="345" t="s">
        <v>7</v>
      </c>
      <c r="B25" s="15"/>
      <c r="C25" s="15"/>
      <c r="D25" s="37">
        <f ca="1">Rev_Exp!D87</f>
        <v>0</v>
      </c>
      <c r="E25" s="37">
        <f ca="1">Rev_Exp!E87</f>
        <v>7517.812009821525</v>
      </c>
      <c r="F25" s="37">
        <f ca="1">Rev_Exp!F87</f>
        <v>7713.8572718916994</v>
      </c>
      <c r="G25" s="37">
        <f ca="1">Rev_Exp!G87</f>
        <v>10298.919126141263</v>
      </c>
      <c r="H25" s="37">
        <f ca="1">Rev_Exp!H87</f>
        <v>10478.17907750931</v>
      </c>
      <c r="I25" s="37">
        <f ca="1">Rev_Exp!I87</f>
        <v>10583.507744313445</v>
      </c>
      <c r="J25" s="37">
        <f ca="1">Rev_Exp!J87</f>
        <v>10688.731099912597</v>
      </c>
      <c r="K25" s="37">
        <f ca="1">Rev_Exp!K87</f>
        <v>10794.60725709852</v>
      </c>
      <c r="L25" s="37">
        <f ca="1">Rev_Exp!L87</f>
        <v>10901.392868090645</v>
      </c>
      <c r="M25" s="37">
        <f ca="1">Rev_Exp!M87</f>
        <v>11008.603567987751</v>
      </c>
      <c r="N25" s="37">
        <f ca="1">Rev_Exp!N87</f>
        <v>11116.362852700875</v>
      </c>
      <c r="O25" s="37">
        <f ca="1">Rev_Exp!O87</f>
        <v>11225.011902129618</v>
      </c>
      <c r="P25" s="37">
        <f ca="1">Rev_Exp!P87</f>
        <v>11334.68790605305</v>
      </c>
      <c r="Q25" s="37">
        <f ca="1">Rev_Exp!Q87</f>
        <v>11445.613681066454</v>
      </c>
      <c r="R25" s="37">
        <f ca="1">Rev_Exp!R87</f>
        <v>11558.199680322292</v>
      </c>
      <c r="S25" s="37">
        <f ca="1">Rev_Exp!S87</f>
        <v>11673.122365063929</v>
      </c>
      <c r="T25" s="37">
        <f ca="1">Rev_Exp!T87</f>
        <v>11791.705761861902</v>
      </c>
      <c r="U25" s="37">
        <f ca="1">Rev_Exp!U87</f>
        <v>11915.063259783195</v>
      </c>
      <c r="V25" s="37">
        <f ca="1">Rev_Exp!V87</f>
        <v>12043.735569015582</v>
      </c>
      <c r="W25" s="37">
        <f ca="1">Rev_Exp!W87</f>
        <v>12178.308787924336</v>
      </c>
      <c r="X25" s="37">
        <f ca="1">Rev_Exp!X87</f>
        <v>5669.8555486562709</v>
      </c>
      <c r="Y25" s="37">
        <f ca="1">Rev_Exp!Y87</f>
        <v>2169.0692650041719</v>
      </c>
      <c r="Z25" s="435">
        <f t="shared" ca="1" si="3"/>
        <v>214106.34660234841</v>
      </c>
      <c r="AB25" s="34">
        <f t="shared" si="0"/>
        <v>19</v>
      </c>
    </row>
    <row r="26" spans="1:28">
      <c r="A26" s="345" t="s">
        <v>457</v>
      </c>
      <c r="B26" s="220">
        <f>Wh_Serv/(1-Wh_Serv)</f>
        <v>0.17647058823529413</v>
      </c>
      <c r="C26" s="43" t="s">
        <v>452</v>
      </c>
      <c r="D26" s="142">
        <f ca="1">Rev_Exp!D91</f>
        <v>0</v>
      </c>
      <c r="E26" s="142">
        <f ca="1">Rev_Exp!E91</f>
        <v>17.520067487526156</v>
      </c>
      <c r="F26" s="142">
        <f ca="1">Rev_Exp!F91</f>
        <v>80.807066899901884</v>
      </c>
      <c r="G26" s="142">
        <f ca="1">Rev_Exp!G91</f>
        <v>414.78081784711952</v>
      </c>
      <c r="H26" s="142">
        <f ca="1">Rev_Exp!H91</f>
        <v>630.89995053670509</v>
      </c>
      <c r="I26" s="142">
        <f ca="1">Rev_Exp!I91</f>
        <v>630.79411152707576</v>
      </c>
      <c r="J26" s="142">
        <f ca="1">Rev_Exp!J91</f>
        <v>651.06448839699146</v>
      </c>
      <c r="K26" s="142">
        <f ca="1">Rev_Exp!K91</f>
        <v>677.78229753534777</v>
      </c>
      <c r="L26" s="142">
        <f ca="1">Rev_Exp!L91</f>
        <v>707.51863018170116</v>
      </c>
      <c r="M26" s="142">
        <f ca="1">Rev_Exp!M91</f>
        <v>739.71890183063795</v>
      </c>
      <c r="N26" s="142">
        <f ca="1">Rev_Exp!N91</f>
        <v>775.99778957127853</v>
      </c>
      <c r="O26" s="142">
        <f ca="1">Rev_Exp!O91</f>
        <v>809.79934362604149</v>
      </c>
      <c r="P26" s="142">
        <f ca="1">Rev_Exp!P91</f>
        <v>846.6773928099492</v>
      </c>
      <c r="Q26" s="142">
        <f ca="1">Rev_Exp!Q91</f>
        <v>886.14784791766067</v>
      </c>
      <c r="R26" s="142">
        <f ca="1">Rev_Exp!R91</f>
        <v>931.85921985642051</v>
      </c>
      <c r="S26" s="142">
        <f ca="1">Rev_Exp!S91</f>
        <v>975.64311138812343</v>
      </c>
      <c r="T26" s="142">
        <f ca="1">Rev_Exp!T91</f>
        <v>1023.4041836991644</v>
      </c>
      <c r="U26" s="142">
        <f ca="1">Rev_Exp!U91</f>
        <v>1073.177680216477</v>
      </c>
      <c r="V26" s="142">
        <f ca="1">Rev_Exp!V91</f>
        <v>1127.8331852669703</v>
      </c>
      <c r="W26" s="142">
        <f ca="1">Rev_Exp!W91</f>
        <v>1178.4257829303415</v>
      </c>
      <c r="X26" s="142">
        <f ca="1">Rev_Exp!X91</f>
        <v>1233.9046477686547</v>
      </c>
      <c r="Y26" s="142">
        <f ca="1">Rev_Exp!Y91</f>
        <v>424.76778143200988</v>
      </c>
      <c r="Z26" s="436">
        <f t="shared" ca="1" si="3"/>
        <v>15838.524298726097</v>
      </c>
      <c r="AB26" s="34">
        <f t="shared" si="0"/>
        <v>20</v>
      </c>
    </row>
    <row r="27" spans="1:28" s="9" customFormat="1">
      <c r="A27" s="27" t="s">
        <v>1113</v>
      </c>
      <c r="B27" s="3"/>
      <c r="C27" s="3"/>
      <c r="D27" s="224">
        <f ca="1">SUM(D22:D26)*RAROC!C83</f>
        <v>0</v>
      </c>
      <c r="E27" s="224">
        <f ca="1">SUM(E22:E26)*RAROC!D83</f>
        <v>10458.104630295045</v>
      </c>
      <c r="F27" s="224">
        <f ca="1">SUM(F22:F26)*RAROC!E83</f>
        <v>10609.715389046836</v>
      </c>
      <c r="G27" s="224">
        <f ca="1">SUM(G22:G26)*RAROC!F83</f>
        <v>70083.576120426937</v>
      </c>
      <c r="H27" s="224">
        <f ca="1">SUM(H22:H26)*RAROC!G83</f>
        <v>98838.624827750275</v>
      </c>
      <c r="I27" s="224">
        <f ca="1">SUM(I22:I26)*RAROC!H83</f>
        <v>101244.93384653219</v>
      </c>
      <c r="J27" s="224">
        <f ca="1">SUM(J22:J26)*RAROC!I83</f>
        <v>124673.74480618839</v>
      </c>
      <c r="K27" s="224">
        <f ca="1">SUM(K22:K26)*RAROC!J83</f>
        <v>106325.69739172085</v>
      </c>
      <c r="L27" s="224">
        <f ca="1">SUM(L22:L26)*RAROC!K83</f>
        <v>108948.44163627217</v>
      </c>
      <c r="M27" s="224">
        <f ca="1">SUM(M22:M26)*RAROC!L83</f>
        <v>111622.43654313406</v>
      </c>
      <c r="N27" s="224">
        <f ca="1">SUM(N22:N26)*RAROC!M83</f>
        <v>114373.25882955153</v>
      </c>
      <c r="O27" s="224">
        <f ca="1">SUM(O22:O26)*RAROC!N83</f>
        <v>116947.5337458484</v>
      </c>
      <c r="P27" s="224">
        <f ca="1">SUM(P22:P26)*RAROC!O83</f>
        <v>119690.85120921899</v>
      </c>
      <c r="Q27" s="224">
        <f ca="1">SUM(Q22:Q26)*RAROC!P83</f>
        <v>122380.65294414852</v>
      </c>
      <c r="R27" s="224">
        <f ca="1">SUM(R22:R26)*RAROC!Q83</f>
        <v>125335.84696112057</v>
      </c>
      <c r="S27" s="224">
        <f ca="1">SUM(S22:S26)*RAROC!R83</f>
        <v>128124.67278647902</v>
      </c>
      <c r="T27" s="224">
        <f ca="1">SUM(T22:T26)*RAROC!S83</f>
        <v>131048.1140413598</v>
      </c>
      <c r="U27" s="224">
        <f ca="1">SUM(U22:U26)*RAROC!T83</f>
        <v>134134.97029577664</v>
      </c>
      <c r="V27" s="224">
        <f ca="1">SUM(V22:V26)*RAROC!U83</f>
        <v>137517.62852785992</v>
      </c>
      <c r="W27" s="224">
        <f ca="1">SUM(W22:W26)*RAROC!V83</f>
        <v>140638.94711447999</v>
      </c>
      <c r="X27" s="224">
        <f ca="1">SUM(X22:X26)*RAROC!W83</f>
        <v>137310.48482530864</v>
      </c>
      <c r="Y27" s="224">
        <f ca="1">SUM(Y22:Y26)*RAROC!X83</f>
        <v>46351.63649456203</v>
      </c>
      <c r="Z27" s="437">
        <f t="shared" ca="1" si="3"/>
        <v>2196659.8729670807</v>
      </c>
      <c r="AB27" s="34">
        <f t="shared" si="0"/>
        <v>21</v>
      </c>
    </row>
    <row r="28" spans="1:28">
      <c r="A28" s="2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430"/>
      <c r="AB28" s="34">
        <f t="shared" si="0"/>
        <v>22</v>
      </c>
    </row>
    <row r="29" spans="1:28">
      <c r="A29" s="27" t="s">
        <v>799</v>
      </c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430"/>
      <c r="AB29" s="34">
        <f t="shared" si="0"/>
        <v>23</v>
      </c>
    </row>
    <row r="30" spans="1:28">
      <c r="A30" s="20" t="s">
        <v>1844</v>
      </c>
      <c r="B30" s="15"/>
      <c r="C30" s="15"/>
      <c r="D30" s="37">
        <f>Trapped!F39</f>
        <v>0</v>
      </c>
      <c r="E30" s="37">
        <f ca="1">Trapped!G39</f>
        <v>0</v>
      </c>
      <c r="F30" s="37">
        <f ca="1">Trapped!H39</f>
        <v>0</v>
      </c>
      <c r="G30" s="37">
        <f ca="1">Trapped!I39</f>
        <v>68.991536227878314</v>
      </c>
      <c r="H30" s="37">
        <f ca="1">Trapped!J39</f>
        <v>833.59650136568916</v>
      </c>
      <c r="I30" s="37">
        <f ca="1">Trapped!K39</f>
        <v>921.81261389145368</v>
      </c>
      <c r="J30" s="37">
        <f ca="1">Trapped!L39</f>
        <v>1151.8861637799871</v>
      </c>
      <c r="K30" s="37">
        <f ca="1">Trapped!M39</f>
        <v>1151.8861637799871</v>
      </c>
      <c r="L30" s="37">
        <f ca="1">Trapped!N39</f>
        <v>1091.8752042747954</v>
      </c>
      <c r="M30" s="37">
        <f ca="1">Trapped!O39</f>
        <v>1414.0429185676003</v>
      </c>
      <c r="N30" s="37">
        <f ca="1">Trapped!P39</f>
        <v>1503.9883583509816</v>
      </c>
      <c r="O30" s="37">
        <f ca="1">Trapped!Q39</f>
        <v>1503.9883583509816</v>
      </c>
      <c r="P30" s="37">
        <f ca="1">Trapped!R39</f>
        <v>1378.0475240567675</v>
      </c>
      <c r="Q30" s="37">
        <f ca="1">Trapped!S39</f>
        <v>1320.7784138359664</v>
      </c>
      <c r="R30" s="37">
        <f ca="1">Trapped!T39</f>
        <v>1205.9662200969942</v>
      </c>
      <c r="S30" s="37">
        <f ca="1">Trapped!U39</f>
        <v>830.27134982957216</v>
      </c>
      <c r="T30" s="37">
        <f ca="1">Trapped!V39</f>
        <v>930.29096063008228</v>
      </c>
      <c r="U30" s="37">
        <f ca="1">Trapped!W39</f>
        <v>1100.2541314882799</v>
      </c>
      <c r="V30" s="37">
        <f ca="1">Trapped!X39</f>
        <v>1100.2541314882799</v>
      </c>
      <c r="W30" s="37">
        <f ca="1">Trapped!Y39</f>
        <v>1305.066006004203</v>
      </c>
      <c r="X30" s="37">
        <f ca="1">Trapped!Z39</f>
        <v>1539.5616879296335</v>
      </c>
      <c r="Y30" s="37">
        <f ca="1">Trapped!AA39</f>
        <v>1850.7919525600055</v>
      </c>
      <c r="Z30" s="435">
        <f ca="1">SUM(D30:Y30)</f>
        <v>22203.350196509135</v>
      </c>
      <c r="AB30" s="34">
        <f t="shared" si="0"/>
        <v>24</v>
      </c>
    </row>
    <row r="31" spans="1:28">
      <c r="A31" s="20" t="s">
        <v>1869</v>
      </c>
      <c r="B31" s="15"/>
      <c r="C31" s="15"/>
      <c r="D31" s="37">
        <f ca="1">-(Land1+Land2+Land3)*Prop*D$12/12</f>
        <v>0</v>
      </c>
      <c r="E31" s="37">
        <f t="shared" ref="E31:Y31" ca="1" si="4">-(Land1+Land2+Land3)*Prop*E$12/12</f>
        <v>0</v>
      </c>
      <c r="F31" s="37">
        <f t="shared" ca="1" si="4"/>
        <v>0</v>
      </c>
      <c r="G31" s="37">
        <f t="shared" ca="1" si="4"/>
        <v>0</v>
      </c>
      <c r="H31" s="37">
        <f t="shared" ca="1" si="4"/>
        <v>0</v>
      </c>
      <c r="I31" s="37">
        <f t="shared" ca="1" si="4"/>
        <v>0</v>
      </c>
      <c r="J31" s="37">
        <f t="shared" ca="1" si="4"/>
        <v>0</v>
      </c>
      <c r="K31" s="37">
        <f t="shared" ca="1" si="4"/>
        <v>0</v>
      </c>
      <c r="L31" s="37">
        <f t="shared" ca="1" si="4"/>
        <v>0</v>
      </c>
      <c r="M31" s="37">
        <f t="shared" ca="1" si="4"/>
        <v>0</v>
      </c>
      <c r="N31" s="37">
        <f t="shared" ca="1" si="4"/>
        <v>0</v>
      </c>
      <c r="O31" s="37">
        <f t="shared" ca="1" si="4"/>
        <v>0</v>
      </c>
      <c r="P31" s="37">
        <f t="shared" ca="1" si="4"/>
        <v>0</v>
      </c>
      <c r="Q31" s="37">
        <f t="shared" ca="1" si="4"/>
        <v>0</v>
      </c>
      <c r="R31" s="37">
        <f t="shared" ca="1" si="4"/>
        <v>0</v>
      </c>
      <c r="S31" s="37">
        <f t="shared" ca="1" si="4"/>
        <v>0</v>
      </c>
      <c r="T31" s="37">
        <f t="shared" ca="1" si="4"/>
        <v>0</v>
      </c>
      <c r="U31" s="37">
        <f t="shared" ca="1" si="4"/>
        <v>0</v>
      </c>
      <c r="V31" s="37">
        <f t="shared" ca="1" si="4"/>
        <v>0</v>
      </c>
      <c r="W31" s="37">
        <f t="shared" ca="1" si="4"/>
        <v>0</v>
      </c>
      <c r="X31" s="37">
        <f t="shared" ca="1" si="4"/>
        <v>0</v>
      </c>
      <c r="Y31" s="37">
        <f t="shared" ca="1" si="4"/>
        <v>0</v>
      </c>
      <c r="Z31" s="435">
        <f t="shared" ref="Z31:Z37" ca="1" si="5">SUM(D31:Y31)</f>
        <v>0</v>
      </c>
      <c r="AA31" s="6"/>
      <c r="AB31" s="34">
        <f t="shared" si="0"/>
        <v>25</v>
      </c>
    </row>
    <row r="32" spans="1:28">
      <c r="A32" s="20" t="s">
        <v>1870</v>
      </c>
      <c r="B32" s="15"/>
      <c r="C32" s="15"/>
      <c r="D32" s="37">
        <f ca="1">Trapped!F100</f>
        <v>0</v>
      </c>
      <c r="E32" s="37">
        <f ca="1">Trapped!G100</f>
        <v>181.59014763530828</v>
      </c>
      <c r="F32" s="37">
        <f ca="1">Trapped!H100</f>
        <v>541.43080152641403</v>
      </c>
      <c r="G32" s="37">
        <f ca="1">Trapped!I100</f>
        <v>574.10653798986891</v>
      </c>
      <c r="H32" s="37">
        <f ca="1">Trapped!J100</f>
        <v>397.49487901212376</v>
      </c>
      <c r="I32" s="37">
        <f ca="1">Trapped!K100</f>
        <v>334.60534081449305</v>
      </c>
      <c r="J32" s="37">
        <f ca="1">Trapped!L100</f>
        <v>456.35076135540453</v>
      </c>
      <c r="K32" s="37">
        <f ca="1">Trapped!M100</f>
        <v>568.90692501537001</v>
      </c>
      <c r="L32" s="37">
        <f ca="1">Trapped!N100</f>
        <v>435.27629836406231</v>
      </c>
      <c r="M32" s="37">
        <f ca="1">Trapped!O100</f>
        <v>516.38462483262958</v>
      </c>
      <c r="N32" s="37">
        <f ca="1">Trapped!P100</f>
        <v>863.53580425392363</v>
      </c>
      <c r="O32" s="37">
        <f ca="1">Trapped!Q100</f>
        <v>884.68930655798749</v>
      </c>
      <c r="P32" s="37">
        <f ca="1">Trapped!R100</f>
        <v>577.79779781250261</v>
      </c>
      <c r="Q32" s="37">
        <f ca="1">Trapped!S100</f>
        <v>595.90138327387115</v>
      </c>
      <c r="R32" s="37">
        <f ca="1">Trapped!T100</f>
        <v>941.0199955035946</v>
      </c>
      <c r="S32" s="37">
        <f ca="1">Trapped!U100</f>
        <v>703.60720349397184</v>
      </c>
      <c r="T32" s="37">
        <f ca="1">Trapped!V100</f>
        <v>465.62368131415462</v>
      </c>
      <c r="U32" s="37">
        <f ca="1">Trapped!W100</f>
        <v>809.02886181638485</v>
      </c>
      <c r="V32" s="37">
        <f ca="1">Trapped!X100</f>
        <v>873.82942679271696</v>
      </c>
      <c r="W32" s="37">
        <f ca="1">Trapped!Y100</f>
        <v>383.53911450501192</v>
      </c>
      <c r="X32" s="37">
        <f ca="1">Trapped!Z100</f>
        <v>0</v>
      </c>
      <c r="Y32" s="37">
        <f ca="1">Trapped!AA100</f>
        <v>0</v>
      </c>
      <c r="Z32" s="435">
        <f t="shared" ca="1" si="5"/>
        <v>11104.718891869794</v>
      </c>
      <c r="AA32" s="6"/>
      <c r="AB32" s="34">
        <f t="shared" si="0"/>
        <v>26</v>
      </c>
    </row>
    <row r="33" spans="1:28">
      <c r="A33" s="20" t="s">
        <v>684</v>
      </c>
      <c r="B33" s="15"/>
      <c r="C33" s="15"/>
      <c r="D33" s="37">
        <f ca="1">IF(AND(D$7&gt;YEAR(Fin_Close),D$7&lt;=Assm!$AA$65),-Assm!$AB$64,0)</f>
        <v>0</v>
      </c>
      <c r="E33" s="37">
        <f ca="1">IF(AND(E$7&gt;YEAR(Fin_Close),E$7&lt;=Assm!$AA$65),-Assm!$AB$64,0)</f>
        <v>0</v>
      </c>
      <c r="F33" s="37">
        <f ca="1">IF(AND(F$7&gt;YEAR(Fin_Close),F$7&lt;=Assm!$AA$65),-Assm!$AB$64,0)</f>
        <v>0</v>
      </c>
      <c r="G33" s="37">
        <f ca="1">IF(AND(G$7&gt;YEAR(Fin_Close),G$7&lt;=Assm!$AA$65),-Assm!$AB$64,0)</f>
        <v>-12.5</v>
      </c>
      <c r="H33" s="37">
        <f ca="1">IF(AND(H$7&gt;YEAR(Fin_Close),H$7&lt;=Assm!$AA$65),-Assm!$AB$64,0)</f>
        <v>-12.5</v>
      </c>
      <c r="I33" s="37">
        <f ca="1">IF(AND(I$7&gt;YEAR(Fin_Close),I$7&lt;=Assm!$AA$65),-Assm!$AB$64,0)</f>
        <v>-12.5</v>
      </c>
      <c r="J33" s="37">
        <f ca="1">IF(AND(J$7&gt;YEAR(Fin_Close),J$7&lt;=Assm!$AA$65),-Assm!$AB$64,0)</f>
        <v>-12.5</v>
      </c>
      <c r="K33" s="37">
        <f ca="1">IF(AND(K$7&gt;YEAR(Fin_Close),K$7&lt;=Assm!$AA$65),-Assm!$AB$64,0)</f>
        <v>-12.5</v>
      </c>
      <c r="L33" s="37">
        <f ca="1">IF(AND(L$7&gt;YEAR(Fin_Close),L$7&lt;=Assm!$AA$65),-Assm!$AB$64,0)</f>
        <v>-12.5</v>
      </c>
      <c r="M33" s="37">
        <f ca="1">IF(AND(M$7&gt;YEAR(Fin_Close),M$7&lt;=Assm!$AA$65),-Assm!$AB$64,0)</f>
        <v>-12.5</v>
      </c>
      <c r="N33" s="37">
        <f ca="1">IF(AND(N$7&gt;YEAR(Fin_Close),N$7&lt;=Assm!$AA$65),-Assm!$AB$64,0)</f>
        <v>-12.5</v>
      </c>
      <c r="O33" s="37">
        <f ca="1">IF(AND(O$7&gt;YEAR(Fin_Close),O$7&lt;=Assm!$AA$65),-Assm!$AB$64,0)</f>
        <v>-12.5</v>
      </c>
      <c r="P33" s="37">
        <f ca="1">IF(AND(P$7&gt;YEAR(Fin_Close),P$7&lt;=Assm!$AA$65),-Assm!$AB$64,0)</f>
        <v>-12.5</v>
      </c>
      <c r="Q33" s="37">
        <f ca="1">IF(AND(Q$7&gt;YEAR(Fin_Close),Q$7&lt;=Assm!$AA$65),-Assm!$AB$64,0)</f>
        <v>-12.5</v>
      </c>
      <c r="R33" s="37">
        <f ca="1">IF(AND(R$7&gt;YEAR(Fin_Close),R$7&lt;=Assm!$AA$65),-Assm!$AB$64,0)</f>
        <v>-12.5</v>
      </c>
      <c r="S33" s="37">
        <f ca="1">IF(AND(S$7&gt;YEAR(Fin_Close),S$7&lt;=Assm!$AA$65),-Assm!$AB$64,0)</f>
        <v>-12.5</v>
      </c>
      <c r="T33" s="37">
        <f ca="1">IF(AND(T$7&gt;YEAR(Fin_Close),T$7&lt;=Assm!$AA$65),-Assm!$AB$64,0)</f>
        <v>-12.5</v>
      </c>
      <c r="U33" s="37">
        <f ca="1">IF(AND(U$7&gt;YEAR(Fin_Close),U$7&lt;=Assm!$AA$65),-Assm!$AB$64,0)</f>
        <v>-12.5</v>
      </c>
      <c r="V33" s="37">
        <f ca="1">IF(AND(V$7&gt;YEAR(Fin_Close),V$7&lt;=Assm!$AA$65),-Assm!$AB$64,0)</f>
        <v>0</v>
      </c>
      <c r="W33" s="37">
        <f ca="1">IF(AND(W$7&gt;YEAR(Fin_Close),W$7&lt;=Assm!$AA$65),-Assm!$AB$64,0)</f>
        <v>0</v>
      </c>
      <c r="X33" s="37">
        <f ca="1">IF(AND(X$7&gt;YEAR(Fin_Close),X$7&lt;=Assm!$AA$65),-Assm!$AB$64,0)</f>
        <v>0</v>
      </c>
      <c r="Y33" s="37">
        <f ca="1">IF(AND(Y$7&gt;YEAR(Fin_Close),Y$7&lt;=Assm!$AA$65),-Assm!$AB$64,0)</f>
        <v>0</v>
      </c>
      <c r="Z33" s="435">
        <f ca="1">SUM(D33:Y33)</f>
        <v>-187.5</v>
      </c>
      <c r="AA33" s="6"/>
      <c r="AB33" s="34">
        <f t="shared" si="0"/>
        <v>27</v>
      </c>
    </row>
    <row r="34" spans="1:28">
      <c r="A34" s="20" t="s">
        <v>683</v>
      </c>
      <c r="B34" s="15"/>
      <c r="C34" s="15"/>
      <c r="D34" s="37">
        <f ca="1">-'Debt Amort'!D16*Assm!$Y$84</f>
        <v>0</v>
      </c>
      <c r="E34" s="37">
        <f ca="1">-'Debt Amort'!E16*Assm!$Y$84</f>
        <v>0</v>
      </c>
      <c r="F34" s="37">
        <f ca="1">-'Debt Amort'!F16*Assm!$Y$84</f>
        <v>-85.826735948997523</v>
      </c>
      <c r="G34" s="37">
        <f ca="1">-'Debt Amort'!G16*Assm!$Y$84</f>
        <v>-355.00828620403485</v>
      </c>
      <c r="H34" s="37">
        <f ca="1">-'Debt Amort'!H16*Assm!$Y$84</f>
        <v>-349.7755575359929</v>
      </c>
      <c r="I34" s="37">
        <f ca="1">-'Debt Amort'!I16*Assm!$Y$84</f>
        <v>-359.73877510785042</v>
      </c>
      <c r="J34" s="37">
        <f ca="1">-'Debt Amort'!J16*Assm!$Y$84</f>
        <v>-355.63768016580747</v>
      </c>
      <c r="K34" s="37">
        <f ca="1">-'Debt Amort'!K16*Assm!$Y$84</f>
        <v>-347.37151206221256</v>
      </c>
      <c r="L34" s="37">
        <f ca="1">-'Debt Amort'!L16*Assm!$Y$84</f>
        <v>-336.36124221945937</v>
      </c>
      <c r="M34" s="37">
        <f ca="1">-'Debt Amort'!M16*Assm!$Y$84</f>
        <v>-309.66870165670139</v>
      </c>
      <c r="N34" s="37">
        <f ca="1">-'Debt Amort'!N16*Assm!$Y$84</f>
        <v>-284.97228742216959</v>
      </c>
      <c r="O34" s="37">
        <f ca="1">-'Debt Amort'!O16*Assm!$Y$84</f>
        <v>-273.02799600080664</v>
      </c>
      <c r="P34" s="37">
        <f ca="1">-'Debt Amort'!P16*Assm!$Y$84</f>
        <v>-267.12707826465697</v>
      </c>
      <c r="Q34" s="37">
        <f ca="1">-'Debt Amort'!Q16*Assm!$Y$84</f>
        <v>-212.10292574987326</v>
      </c>
      <c r="R34" s="37">
        <f ca="1">-'Debt Amort'!R16*Assm!$Y$84</f>
        <v>-198.82788344302628</v>
      </c>
      <c r="S34" s="37">
        <f ca="1">-'Debt Amort'!S16*Assm!$Y$84</f>
        <v>-186.91600813284398</v>
      </c>
      <c r="T34" s="37">
        <f ca="1">-'Debt Amort'!T16*Assm!$Y$84</f>
        <v>-162.44037302012597</v>
      </c>
      <c r="U34" s="37">
        <f ca="1">-'Debt Amort'!U16*Assm!$Y$84</f>
        <v>0</v>
      </c>
      <c r="V34" s="37">
        <f ca="1">-'Debt Amort'!V16*Assm!$Y$84</f>
        <v>0</v>
      </c>
      <c r="W34" s="37">
        <f ca="1">-'Debt Amort'!W16*Assm!$Y$84</f>
        <v>0</v>
      </c>
      <c r="X34" s="37">
        <f ca="1">-'Debt Amort'!X16*Assm!$Y$84</f>
        <v>0</v>
      </c>
      <c r="Y34" s="37">
        <f ca="1">-'Debt Amort'!Y16*Assm!$Y$84</f>
        <v>0</v>
      </c>
      <c r="Z34" s="435">
        <f t="shared" ca="1" si="5"/>
        <v>-4084.8030429345595</v>
      </c>
      <c r="AA34" s="6"/>
      <c r="AB34" s="34">
        <f t="shared" si="0"/>
        <v>28</v>
      </c>
    </row>
    <row r="35" spans="1:28">
      <c r="A35" s="20" t="s">
        <v>810</v>
      </c>
      <c r="B35" s="15"/>
      <c r="C35" s="15"/>
      <c r="D35" s="37">
        <f ca="1">-Assm!$F$86</f>
        <v>0</v>
      </c>
      <c r="E35" s="37">
        <f ca="1">-Assm!$F$86</f>
        <v>0</v>
      </c>
      <c r="F35" s="37">
        <f ca="1">-Assm!$F$86</f>
        <v>0</v>
      </c>
      <c r="G35" s="37">
        <f ca="1">-Assm!$F$86</f>
        <v>0</v>
      </c>
      <c r="H35" s="37">
        <f ca="1">-Assm!$F$86</f>
        <v>0</v>
      </c>
      <c r="I35" s="37">
        <f ca="1">-Assm!$F$86</f>
        <v>0</v>
      </c>
      <c r="J35" s="37">
        <f ca="1">-Assm!$F$86</f>
        <v>0</v>
      </c>
      <c r="K35" s="37">
        <f ca="1">-Assm!$F$86</f>
        <v>0</v>
      </c>
      <c r="L35" s="37">
        <f ca="1">-Assm!$F$86</f>
        <v>0</v>
      </c>
      <c r="M35" s="37">
        <f ca="1">-Assm!$F$86</f>
        <v>0</v>
      </c>
      <c r="N35" s="37">
        <f ca="1">-Assm!$F$86</f>
        <v>0</v>
      </c>
      <c r="O35" s="37">
        <f ca="1">-Assm!$F$86</f>
        <v>0</v>
      </c>
      <c r="P35" s="37">
        <f ca="1">-Assm!$F$86</f>
        <v>0</v>
      </c>
      <c r="Q35" s="37">
        <f ca="1">-Assm!$F$86</f>
        <v>0</v>
      </c>
      <c r="R35" s="37">
        <f ca="1">-Assm!$F$86</f>
        <v>0</v>
      </c>
      <c r="S35" s="37">
        <f ca="1">-Assm!$F$86</f>
        <v>0</v>
      </c>
      <c r="T35" s="37">
        <f ca="1">-Assm!$F$86</f>
        <v>0</v>
      </c>
      <c r="U35" s="37">
        <f ca="1">-Assm!$F$86</f>
        <v>0</v>
      </c>
      <c r="V35" s="37">
        <f ca="1">-Assm!$F$86</f>
        <v>0</v>
      </c>
      <c r="W35" s="37">
        <f ca="1">-Assm!$F$86</f>
        <v>0</v>
      </c>
      <c r="X35" s="37">
        <f ca="1">-Assm!$F$86</f>
        <v>0</v>
      </c>
      <c r="Y35" s="37">
        <f ca="1">-Assm!$F$86</f>
        <v>0</v>
      </c>
      <c r="Z35" s="435">
        <f t="shared" ca="1" si="5"/>
        <v>0</v>
      </c>
      <c r="AA35" s="6"/>
      <c r="AB35" s="34">
        <f t="shared" si="0"/>
        <v>29</v>
      </c>
    </row>
    <row r="36" spans="1:28" s="1600" customFormat="1">
      <c r="A36" s="1602" t="s">
        <v>206</v>
      </c>
      <c r="B36" s="1597"/>
      <c r="C36" s="1597"/>
      <c r="D36" s="1598">
        <f ca="1">(-Assm!$D$93*Assm!$D$94*D$12/12)+(-'Debt Amort'!D23)</f>
        <v>0</v>
      </c>
      <c r="E36" s="1598">
        <f ca="1">(-Assm!$D$93*Assm!$D$94*E$12/12)+(-'Debt Amort'!E23)</f>
        <v>-234.375</v>
      </c>
      <c r="F36" s="1598">
        <f ca="1">(-Assm!$D$93*Assm!$D$94*F$12/12)+(-'Debt Amort'!F23)</f>
        <v>-312.5</v>
      </c>
      <c r="G36" s="1598">
        <f ca="1">(-Assm!$D$93*Assm!$D$94*G$12/12)+(-'Debt Amort'!G23)</f>
        <v>-4497.515549730284</v>
      </c>
      <c r="H36" s="1598">
        <f ca="1">(-Assm!$D$93*Assm!$D$94*H$12/12)+(-'Debt Amort'!H23)</f>
        <v>-4497.515549730284</v>
      </c>
      <c r="I36" s="1598">
        <f ca="1">(-Assm!$D$93*Assm!$D$94*I$12/12)+(-'Debt Amort'!I23)</f>
        <v>-4257.7951461354933</v>
      </c>
      <c r="J36" s="1598">
        <f ca="1">(-Assm!$D$93*Assm!$D$94*J$12/12)+(-'Debt Amort'!J23)</f>
        <v>-312.5</v>
      </c>
      <c r="K36" s="1598">
        <f ca="1">(-Assm!$D$93*Assm!$D$94*K$12/12)+(-'Debt Amort'!K23)</f>
        <v>-312.5</v>
      </c>
      <c r="L36" s="1598">
        <f ca="1">(-Assm!$D$93*Assm!$D$94*L$12/12)+(-'Debt Amort'!L23)</f>
        <v>-312.5</v>
      </c>
      <c r="M36" s="1598">
        <f ca="1">(-Assm!$D$93*Assm!$D$94*M$12/12)+(-'Debt Amort'!M23)</f>
        <v>-312.5</v>
      </c>
      <c r="N36" s="1598">
        <f ca="1">(-Assm!$D$93*Assm!$D$94*N$12/12)+(-'Debt Amort'!N23)</f>
        <v>-312.5</v>
      </c>
      <c r="O36" s="1598">
        <f ca="1">(-Assm!$D$93*Assm!$D$94*O$12/12)+(-'Debt Amort'!O23)</f>
        <v>-312.5</v>
      </c>
      <c r="P36" s="1598">
        <f ca="1">(-Assm!$D$93*Assm!$D$94*P$12/12)+(-'Debt Amort'!P23)</f>
        <v>-312.5</v>
      </c>
      <c r="Q36" s="1598">
        <f ca="1">(-Assm!$D$93*Assm!$D$94*Q$12/12)+(-'Debt Amort'!Q23)</f>
        <v>-312.5</v>
      </c>
      <c r="R36" s="1598">
        <f ca="1">(-Assm!$D$93*Assm!$D$94*R$12/12)+(-'Debt Amort'!R23)</f>
        <v>-312.5</v>
      </c>
      <c r="S36" s="1598">
        <f ca="1">(-Assm!$D$93*Assm!$D$94*S$12/12)+(-'Debt Amort'!S23)</f>
        <v>-312.5</v>
      </c>
      <c r="T36" s="1598">
        <f ca="1">(-Assm!$D$93*Assm!$D$94*T$12/12)+(-'Debt Amort'!T23)</f>
        <v>-312.5</v>
      </c>
      <c r="U36" s="1598">
        <f ca="1">(-Assm!$D$93*Assm!$D$94*U$12/12)+(-'Debt Amort'!U23)</f>
        <v>-312.5</v>
      </c>
      <c r="V36" s="1598">
        <f ca="1">(-Assm!$D$93*Assm!$D$94*V$12/12)+(-'Debt Amort'!V23)</f>
        <v>-312.5</v>
      </c>
      <c r="W36" s="1598">
        <f ca="1">(-Assm!$D$93*Assm!$D$94*W$12/12)+(-'Debt Amort'!W23)</f>
        <v>-312.5</v>
      </c>
      <c r="X36" s="1598">
        <f ca="1">(-Assm!$D$93*Assm!$D$94*X$12/12)+(-'Debt Amort'!X23)</f>
        <v>-312.5</v>
      </c>
      <c r="Y36" s="1598">
        <f ca="1">(-Assm!$D$93*Assm!$D$94*Y$12/12)+(-'Debt Amort'!Y23)</f>
        <v>-104.16666666666667</v>
      </c>
      <c r="Z36" s="1599">
        <f t="shared" ca="1" si="5"/>
        <v>-18591.367912262729</v>
      </c>
      <c r="AB36" s="1601">
        <f t="shared" si="0"/>
        <v>30</v>
      </c>
    </row>
    <row r="37" spans="1:28">
      <c r="A37" s="20" t="s">
        <v>1871</v>
      </c>
      <c r="B37" s="15"/>
      <c r="C37" s="15"/>
      <c r="D37" s="142">
        <f ca="1">-Assm!$F$91*D$12/12</f>
        <v>0</v>
      </c>
      <c r="E37" s="142">
        <f ca="1">-Assm!$F$91*E$12/12</f>
        <v>-82.5</v>
      </c>
      <c r="F37" s="142">
        <f ca="1">-Assm!$F$91*F$12/12</f>
        <v>-110</v>
      </c>
      <c r="G37" s="142">
        <f ca="1">-Assm!$F$91*G$12/12</f>
        <v>-110</v>
      </c>
      <c r="H37" s="142">
        <f ca="1">-Assm!$F$91*H$12/12</f>
        <v>-110</v>
      </c>
      <c r="I37" s="142">
        <f ca="1">-Assm!$F$91*I$12/12</f>
        <v>-110</v>
      </c>
      <c r="J37" s="142">
        <f ca="1">-Assm!$F$91*J$12/12</f>
        <v>-110</v>
      </c>
      <c r="K37" s="142">
        <f ca="1">-Assm!$F$91*K$12/12</f>
        <v>-110</v>
      </c>
      <c r="L37" s="142">
        <f ca="1">-Assm!$F$91*L$12/12</f>
        <v>-110</v>
      </c>
      <c r="M37" s="142">
        <f ca="1">-Assm!$F$91*M$12/12</f>
        <v>-110</v>
      </c>
      <c r="N37" s="142">
        <f ca="1">-Assm!$F$91*N$12/12</f>
        <v>-110</v>
      </c>
      <c r="O37" s="142">
        <f ca="1">-Assm!$F$91*O$12/12</f>
        <v>-110</v>
      </c>
      <c r="P37" s="142">
        <f ca="1">-Assm!$F$91*P$12/12</f>
        <v>-110</v>
      </c>
      <c r="Q37" s="142">
        <f ca="1">-Assm!$F$91*Q$12/12</f>
        <v>-110</v>
      </c>
      <c r="R37" s="142">
        <f ca="1">-Assm!$F$91*R$12/12</f>
        <v>-110</v>
      </c>
      <c r="S37" s="142">
        <f ca="1">-Assm!$F$91*S$12/12</f>
        <v>-110</v>
      </c>
      <c r="T37" s="142">
        <f ca="1">-Assm!$F$91*T$12/12</f>
        <v>-110</v>
      </c>
      <c r="U37" s="142">
        <f ca="1">-Assm!$F$91*U$12/12</f>
        <v>-110</v>
      </c>
      <c r="V37" s="142">
        <f ca="1">-Assm!$F$91*V$12/12</f>
        <v>-110</v>
      </c>
      <c r="W37" s="142">
        <f ca="1">-Assm!$F$91*W$12/12</f>
        <v>-110</v>
      </c>
      <c r="X37" s="142">
        <f ca="1">-Assm!$F$91*X$12/12</f>
        <v>-110</v>
      </c>
      <c r="Y37" s="142">
        <f ca="1">-Assm!$F$91*Y$12/12</f>
        <v>-36.666666666666664</v>
      </c>
      <c r="Z37" s="436">
        <f t="shared" ca="1" si="5"/>
        <v>-2209.1666666666665</v>
      </c>
      <c r="AA37" s="6"/>
      <c r="AB37" s="34">
        <f t="shared" si="0"/>
        <v>31</v>
      </c>
    </row>
    <row r="38" spans="1:28">
      <c r="A38" s="27" t="s">
        <v>943</v>
      </c>
      <c r="B38" s="15"/>
      <c r="C38" s="15"/>
      <c r="D38" s="224">
        <f t="shared" ref="D38:Y38" ca="1" si="6">SUM(D30:D37)</f>
        <v>0</v>
      </c>
      <c r="E38" s="224">
        <f t="shared" ca="1" si="6"/>
        <v>-135.28485236469172</v>
      </c>
      <c r="F38" s="224">
        <f t="shared" ca="1" si="6"/>
        <v>33.10406557741652</v>
      </c>
      <c r="G38" s="224">
        <f t="shared" ca="1" si="6"/>
        <v>-4331.9257617165713</v>
      </c>
      <c r="H38" s="224">
        <f t="shared" ca="1" si="6"/>
        <v>-3738.6997268884638</v>
      </c>
      <c r="I38" s="224">
        <f t="shared" ca="1" si="6"/>
        <v>-3483.6159665373971</v>
      </c>
      <c r="J38" s="224">
        <f t="shared" ca="1" si="6"/>
        <v>817.59924496958411</v>
      </c>
      <c r="K38" s="224">
        <f t="shared" ca="1" si="6"/>
        <v>938.42157673314455</v>
      </c>
      <c r="L38" s="224">
        <f t="shared" ca="1" si="6"/>
        <v>755.79026041939824</v>
      </c>
      <c r="M38" s="224">
        <f t="shared" ca="1" si="6"/>
        <v>1185.7588417435284</v>
      </c>
      <c r="N38" s="224">
        <f t="shared" ca="1" si="6"/>
        <v>1647.5518751827353</v>
      </c>
      <c r="O38" s="224">
        <f t="shared" ca="1" si="6"/>
        <v>1680.6496689081623</v>
      </c>
      <c r="P38" s="224">
        <f t="shared" ca="1" si="6"/>
        <v>1253.7182436046132</v>
      </c>
      <c r="Q38" s="224">
        <f t="shared" ca="1" si="6"/>
        <v>1269.5768713599643</v>
      </c>
      <c r="R38" s="224">
        <f t="shared" ca="1" si="6"/>
        <v>1513.1583321575627</v>
      </c>
      <c r="S38" s="224">
        <f t="shared" ca="1" si="6"/>
        <v>911.96254519070021</v>
      </c>
      <c r="T38" s="224">
        <f t="shared" ca="1" si="6"/>
        <v>798.4742689241109</v>
      </c>
      <c r="U38" s="224">
        <f t="shared" ca="1" si="6"/>
        <v>1474.2829933046646</v>
      </c>
      <c r="V38" s="224">
        <f t="shared" ca="1" si="6"/>
        <v>1551.5835582809968</v>
      </c>
      <c r="W38" s="224">
        <f t="shared" ca="1" si="6"/>
        <v>1266.1051205092149</v>
      </c>
      <c r="X38" s="224">
        <f t="shared" ca="1" si="6"/>
        <v>1117.0616879296335</v>
      </c>
      <c r="Y38" s="224">
        <f t="shared" ca="1" si="6"/>
        <v>1709.958619226672</v>
      </c>
      <c r="Z38" s="437">
        <f ca="1">SUM(D38:Y38)</f>
        <v>8235.2314665149806</v>
      </c>
      <c r="AB38" s="34">
        <f t="shared" si="0"/>
        <v>32</v>
      </c>
    </row>
    <row r="39" spans="1:28">
      <c r="A39" s="20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430"/>
      <c r="AB39" s="34">
        <f t="shared" si="0"/>
        <v>33</v>
      </c>
    </row>
    <row r="40" spans="1:28" s="9" customFormat="1">
      <c r="A40" s="27" t="s">
        <v>458</v>
      </c>
      <c r="B40" s="3"/>
      <c r="C40" s="3"/>
      <c r="D40" s="224">
        <f t="shared" ref="D40:Y40" ca="1" si="7">SUM(D19,-D27,D38)</f>
        <v>0</v>
      </c>
      <c r="E40" s="224">
        <f t="shared" ca="1" si="7"/>
        <v>-1884.683815190303</v>
      </c>
      <c r="F40" s="224">
        <f t="shared" ca="1" si="7"/>
        <v>3833.7471296736844</v>
      </c>
      <c r="G40" s="224">
        <f t="shared" ca="1" si="7"/>
        <v>24853.01972011711</v>
      </c>
      <c r="H40" s="224">
        <f t="shared" ca="1" si="7"/>
        <v>38790.727566757436</v>
      </c>
      <c r="I40" s="224">
        <f t="shared" ca="1" si="7"/>
        <v>43280.340043858057</v>
      </c>
      <c r="J40" s="224">
        <f t="shared" ca="1" si="7"/>
        <v>29847.34770430826</v>
      </c>
      <c r="K40" s="224">
        <f t="shared" ca="1" si="7"/>
        <v>51952.409885764719</v>
      </c>
      <c r="L40" s="224">
        <f t="shared" ca="1" si="7"/>
        <v>52322.048075224928</v>
      </c>
      <c r="M40" s="224">
        <f t="shared" ca="1" si="7"/>
        <v>49934.031614564294</v>
      </c>
      <c r="N40" s="224">
        <f t="shared" ca="1" si="7"/>
        <v>46089.974758769531</v>
      </c>
      <c r="O40" s="224">
        <f t="shared" ca="1" si="7"/>
        <v>44888.810180747132</v>
      </c>
      <c r="P40" s="224">
        <f t="shared" ca="1" si="7"/>
        <v>45356.385269219871</v>
      </c>
      <c r="Q40" s="224">
        <f t="shared" ca="1" si="7"/>
        <v>44074.733972475493</v>
      </c>
      <c r="R40" s="224">
        <f t="shared" ca="1" si="7"/>
        <v>36792.506934076999</v>
      </c>
      <c r="S40" s="224">
        <f t="shared" ca="1" si="7"/>
        <v>39497.576043204674</v>
      </c>
      <c r="T40" s="224">
        <f t="shared" ca="1" si="7"/>
        <v>26755.423656923886</v>
      </c>
      <c r="U40" s="224">
        <f t="shared" ca="1" si="7"/>
        <v>11005.816868097498</v>
      </c>
      <c r="V40" s="224">
        <f t="shared" ca="1" si="7"/>
        <v>6085.6504638310444</v>
      </c>
      <c r="W40" s="224">
        <f t="shared" ca="1" si="7"/>
        <v>4689.9136385086094</v>
      </c>
      <c r="X40" s="224">
        <f t="shared" ca="1" si="7"/>
        <v>6224.605292607439</v>
      </c>
      <c r="Y40" s="224">
        <f t="shared" ca="1" si="7"/>
        <v>2417.9522208909543</v>
      </c>
      <c r="Z40" s="437">
        <f ca="1">SUM(D40:Y40)</f>
        <v>606808.33722443145</v>
      </c>
      <c r="AB40" s="34">
        <f t="shared" si="0"/>
        <v>34</v>
      </c>
    </row>
    <row r="41" spans="1:28">
      <c r="A41" s="20" t="s">
        <v>1872</v>
      </c>
      <c r="B41" s="15"/>
      <c r="C41" s="15"/>
      <c r="D41" s="142">
        <f ca="1">-Depr!G43</f>
        <v>0</v>
      </c>
      <c r="E41" s="142">
        <f ca="1">-Depr!H43</f>
        <v>-3704.810550000906</v>
      </c>
      <c r="F41" s="142">
        <f ca="1">-Depr!I43</f>
        <v>-4939.747400001208</v>
      </c>
      <c r="G41" s="142">
        <f ca="1">-Depr!J43</f>
        <v>-12563.799394949307</v>
      </c>
      <c r="H41" s="142">
        <f ca="1">-Depr!K43</f>
        <v>-17799.218169526688</v>
      </c>
      <c r="I41" s="142">
        <f ca="1">-Depr!L43</f>
        <v>-17799.218169526688</v>
      </c>
      <c r="J41" s="142">
        <f ca="1">-Depr!M43</f>
        <v>-17799.218169526688</v>
      </c>
      <c r="K41" s="142">
        <f ca="1">-Depr!N43</f>
        <v>-17799.218169526688</v>
      </c>
      <c r="L41" s="142">
        <f ca="1">-Depr!O43</f>
        <v>-17799.218169526688</v>
      </c>
      <c r="M41" s="142">
        <f ca="1">-Depr!P43</f>
        <v>-17799.218169526688</v>
      </c>
      <c r="N41" s="142">
        <f ca="1">-Depr!Q43</f>
        <v>-17799.218169526688</v>
      </c>
      <c r="O41" s="142">
        <f ca="1">-Depr!R43</f>
        <v>-17799.218169526688</v>
      </c>
      <c r="P41" s="142">
        <f ca="1">-Depr!S43</f>
        <v>-17799.218169526688</v>
      </c>
      <c r="Q41" s="142">
        <f ca="1">-Depr!T43</f>
        <v>-17799.218169526688</v>
      </c>
      <c r="R41" s="142">
        <f ca="1">-Depr!U43</f>
        <v>-17799.218169526688</v>
      </c>
      <c r="S41" s="142">
        <f ca="1">-Depr!V43</f>
        <v>-17799.218169526688</v>
      </c>
      <c r="T41" s="142">
        <f ca="1">-Depr!W43</f>
        <v>-17799.218169526688</v>
      </c>
      <c r="U41" s="142">
        <f ca="1">-Depr!X43</f>
        <v>-17799.218169526688</v>
      </c>
      <c r="V41" s="142">
        <f ca="1">-Depr!Y43</f>
        <v>-17799.218169526688</v>
      </c>
      <c r="W41" s="142">
        <f ca="1">-Depr!Z43</f>
        <v>-17799.218169526688</v>
      </c>
      <c r="X41" s="142">
        <f ca="1">-Depr!AA43</f>
        <v>-17799.218169526688</v>
      </c>
      <c r="Y41" s="142">
        <f ca="1">-Depr!AB43</f>
        <v>-5521.4271065087542</v>
      </c>
      <c r="Z41" s="436">
        <f ca="1">SUM(D41:Y41)</f>
        <v>-329316.49333341385</v>
      </c>
      <c r="AA41" s="119" t="str">
        <f ca="1">IF(ABS(-$Z$41-Assm!$J$54-Assm!$J$55-Assm!$J$56)&lt;0.1," ","WARNING: CHECK DEPRECIATION")</f>
        <v xml:space="preserve"> </v>
      </c>
      <c r="AB41" s="34">
        <f t="shared" si="0"/>
        <v>35</v>
      </c>
    </row>
    <row r="42" spans="1:28">
      <c r="A42" s="20"/>
      <c r="B42" s="15"/>
      <c r="C42" s="1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431"/>
      <c r="AB42" s="34">
        <f t="shared" si="0"/>
        <v>36</v>
      </c>
    </row>
    <row r="43" spans="1:28" s="9" customFormat="1">
      <c r="A43" s="27" t="s">
        <v>459</v>
      </c>
      <c r="B43" s="3"/>
      <c r="C43" s="3"/>
      <c r="D43" s="224">
        <f ca="1">SUM(D40:D41)</f>
        <v>0</v>
      </c>
      <c r="E43" s="224">
        <f t="shared" ref="E43:Y43" ca="1" si="8">SUM(E40:E41)</f>
        <v>-5589.494365191209</v>
      </c>
      <c r="F43" s="224">
        <f t="shared" ca="1" si="8"/>
        <v>-1106.0002703275236</v>
      </c>
      <c r="G43" s="224">
        <f t="shared" ca="1" si="8"/>
        <v>12289.220325167804</v>
      </c>
      <c r="H43" s="224">
        <f t="shared" ca="1" si="8"/>
        <v>20991.509397230748</v>
      </c>
      <c r="I43" s="224">
        <f t="shared" ca="1" si="8"/>
        <v>25481.121874331369</v>
      </c>
      <c r="J43" s="224">
        <f t="shared" ca="1" si="8"/>
        <v>12048.129534781572</v>
      </c>
      <c r="K43" s="224">
        <f t="shared" ca="1" si="8"/>
        <v>34153.191716238027</v>
      </c>
      <c r="L43" s="224">
        <f t="shared" ca="1" si="8"/>
        <v>34522.829905698236</v>
      </c>
      <c r="M43" s="224">
        <f t="shared" ca="1" si="8"/>
        <v>32134.813445037606</v>
      </c>
      <c r="N43" s="224">
        <f t="shared" ca="1" si="8"/>
        <v>28290.756589242843</v>
      </c>
      <c r="O43" s="224">
        <f t="shared" ca="1" si="8"/>
        <v>27089.592011220444</v>
      </c>
      <c r="P43" s="224">
        <f t="shared" ca="1" si="8"/>
        <v>27557.167099693183</v>
      </c>
      <c r="Q43" s="224">
        <f t="shared" ca="1" si="8"/>
        <v>26275.515802948805</v>
      </c>
      <c r="R43" s="224">
        <f t="shared" ca="1" si="8"/>
        <v>18993.288764550311</v>
      </c>
      <c r="S43" s="224">
        <f t="shared" ca="1" si="8"/>
        <v>21698.357873677985</v>
      </c>
      <c r="T43" s="224">
        <f t="shared" ca="1" si="8"/>
        <v>8956.2054873971974</v>
      </c>
      <c r="U43" s="224">
        <f t="shared" ca="1" si="8"/>
        <v>-6793.4013014291904</v>
      </c>
      <c r="V43" s="224">
        <f t="shared" ca="1" si="8"/>
        <v>-11713.567705695645</v>
      </c>
      <c r="W43" s="224">
        <f t="shared" ca="1" si="8"/>
        <v>-13109.304531018079</v>
      </c>
      <c r="X43" s="224">
        <f t="shared" ca="1" si="8"/>
        <v>-11574.612876919249</v>
      </c>
      <c r="Y43" s="224">
        <f t="shared" ca="1" si="8"/>
        <v>-3103.4748856177998</v>
      </c>
      <c r="Z43" s="437">
        <f ca="1">SUM(D43:Y43)</f>
        <v>277491.84389101743</v>
      </c>
      <c r="AB43" s="34">
        <f t="shared" si="0"/>
        <v>37</v>
      </c>
    </row>
    <row r="44" spans="1:28">
      <c r="A44" s="20" t="s">
        <v>118</v>
      </c>
      <c r="B44" s="15"/>
      <c r="C44" s="15"/>
      <c r="D44" s="37">
        <f ca="1">-'Debt Amort'!D12</f>
        <v>0</v>
      </c>
      <c r="E44" s="37">
        <f ca="1">IF(E$12=0,0,-'Debt Amort'!E12)</f>
        <v>0</v>
      </c>
      <c r="F44" s="37">
        <f ca="1">IF(F$12=0,0,-'Debt Amort'!F12)</f>
        <v>0</v>
      </c>
      <c r="G44" s="37">
        <f ca="1">IF(G$12=0,0,-'Debt Amort'!G12)</f>
        <v>-6866.1388759198016</v>
      </c>
      <c r="H44" s="37">
        <f ca="1">IF(H$12=0,0,-'Debt Amort'!H12)</f>
        <v>-16245.84906951103</v>
      </c>
      <c r="I44" s="37">
        <f ca="1">IF(I$12=0,0,-'Debt Amort'!I12)</f>
        <v>-15297.114554345853</v>
      </c>
      <c r="J44" s="37">
        <f ca="1">IF(J$12=0,0,-'Debt Amort'!J12)</f>
        <v>-14256.726768601686</v>
      </c>
      <c r="K44" s="37">
        <f ca="1">IF(K$12=0,0,-'Debt Amort'!K12)</f>
        <v>-13047.87399140309</v>
      </c>
      <c r="L44" s="37">
        <f ca="1">IF(L$12=0,0,-'Debt Amort'!L12)</f>
        <v>-11750.413201233227</v>
      </c>
      <c r="M44" s="37">
        <f ca="1">IF(M$12=0,0,-'Debt Amort'!M12)</f>
        <v>-10380.028967391143</v>
      </c>
      <c r="N44" s="37">
        <f ca="1">IF(N$12=0,0,-'Debt Amort'!N12)</f>
        <v>-8974.0608897282127</v>
      </c>
      <c r="O44" s="37">
        <f ca="1">IF(O$12=0,0,-'Debt Amort'!O12)</f>
        <v>-7705.2560033144437</v>
      </c>
      <c r="P44" s="37">
        <f ca="1">IF(P$12=0,0,-'Debt Amort'!P12)</f>
        <v>-6465.0175972114193</v>
      </c>
      <c r="Q44" s="37">
        <f ca="1">IF(Q$12=0,0,-'Debt Amort'!Q12)</f>
        <v>-5197.776339170844</v>
      </c>
      <c r="R44" s="37">
        <f ca="1">IF(R$12=0,0,-'Debt Amort'!R12)</f>
        <v>-3910.3500690280061</v>
      </c>
      <c r="S44" s="37">
        <f ca="1">IF(S$12=0,0,-'Debt Amort'!S12)</f>
        <v>-2848.3466844802488</v>
      </c>
      <c r="T44" s="37">
        <f ca="1">IF(T$12=0,0,-'Debt Amort'!T12)</f>
        <v>-1786.3432999324914</v>
      </c>
      <c r="U44" s="37">
        <f ca="1">IF(U$12=0,0,-'Debt Amort'!U12)</f>
        <v>-701.82721243481615</v>
      </c>
      <c r="V44" s="37">
        <f ca="1">IF(V$12=0,0,-'Debt Amort'!V12)</f>
        <v>0</v>
      </c>
      <c r="W44" s="37">
        <f ca="1">IF(W$12=0,0,-'Debt Amort'!W12)</f>
        <v>0</v>
      </c>
      <c r="X44" s="37">
        <f ca="1">IF(X$12=0,0,-'Debt Amort'!X12)</f>
        <v>0</v>
      </c>
      <c r="Y44" s="37">
        <f ca="1">IF(Y$12=0,0,-'Debt Amort'!Y12)</f>
        <v>0</v>
      </c>
      <c r="Z44" s="435">
        <f ca="1">SUM(D44:Y44)</f>
        <v>-125433.12352370631</v>
      </c>
      <c r="AA44" s="119" t="str">
        <f ca="1">IF(ABS(-$Z$44-'Debt Amort'!$Z$12)&lt;0.01," ","CHECK: DOES NOT EQUAL INTEREST PAYMENTS MADE")</f>
        <v xml:space="preserve"> </v>
      </c>
      <c r="AB44" s="34">
        <f t="shared" si="0"/>
        <v>38</v>
      </c>
    </row>
    <row r="45" spans="1:28">
      <c r="A45" s="20" t="s">
        <v>119</v>
      </c>
      <c r="B45" s="15"/>
      <c r="C45" s="15"/>
      <c r="D45" s="37">
        <f ca="1">-'Debt Amort'!D19</f>
        <v>0</v>
      </c>
      <c r="E45" s="37">
        <f ca="1">-'Debt Amort'!E19</f>
        <v>0</v>
      </c>
      <c r="F45" s="37">
        <f ca="1">-'Debt Amort'!F19</f>
        <v>0</v>
      </c>
      <c r="G45" s="37">
        <f ca="1">-'Debt Amort'!G19</f>
        <v>-2694.7815414410948</v>
      </c>
      <c r="H45" s="37">
        <f ca="1">-'Debt Amort'!H19</f>
        <v>-6397.3320310436538</v>
      </c>
      <c r="I45" s="37">
        <f ca="1">-'Debt Amort'!I19</f>
        <v>-6098.2236465968126</v>
      </c>
      <c r="J45" s="37">
        <f ca="1">-'Debt Amort'!J19</f>
        <v>-5758.9674392475936</v>
      </c>
      <c r="K45" s="37">
        <f ca="1">-'Debt Amort'!K19</f>
        <v>-5374.1745674669255</v>
      </c>
      <c r="L45" s="37">
        <f ca="1">-'Debt Amort'!L19</f>
        <v>-4937.732872471498</v>
      </c>
      <c r="M45" s="37">
        <f ca="1">-'Debt Amort'!M19</f>
        <v>-4442.7097909653094</v>
      </c>
      <c r="N45" s="37">
        <f ca="1">-'Debt Amort'!N19</f>
        <v>-3881.2422363439537</v>
      </c>
      <c r="O45" s="37">
        <f ca="1">-'Debt Amort'!O19</f>
        <v>-3244.4116992035456</v>
      </c>
      <c r="P45" s="37">
        <f ca="1">-'Debt Amort'!P19</f>
        <v>-2522.1025832154669</v>
      </c>
      <c r="Q45" s="37">
        <f ca="1">-'Debt Amort'!Q19</f>
        <v>-1702.8415261338889</v>
      </c>
      <c r="R45" s="37">
        <f ca="1">-'Debt Amort'!R19</f>
        <v>-773.61515366553658</v>
      </c>
      <c r="S45" s="37">
        <f ca="1">-'Debt Amort'!S19</f>
        <v>0</v>
      </c>
      <c r="T45" s="37">
        <f ca="1">-'Debt Amort'!T19</f>
        <v>0</v>
      </c>
      <c r="U45" s="37">
        <f ca="1">-'Debt Amort'!U19</f>
        <v>0</v>
      </c>
      <c r="V45" s="37">
        <f ca="1">-'Debt Amort'!V19</f>
        <v>0</v>
      </c>
      <c r="W45" s="37">
        <f ca="1">-'Debt Amort'!W19</f>
        <v>0</v>
      </c>
      <c r="X45" s="37">
        <f ca="1">-'Debt Amort'!X19</f>
        <v>0</v>
      </c>
      <c r="Y45" s="37">
        <f ca="1">-'Debt Amort'!Y19</f>
        <v>0</v>
      </c>
      <c r="Z45" s="435">
        <f ca="1">SUM(D45:Y45)</f>
        <v>-47828.135087795286</v>
      </c>
      <c r="AA45" s="6"/>
      <c r="AB45" s="34">
        <f t="shared" si="0"/>
        <v>39</v>
      </c>
    </row>
    <row r="46" spans="1:28">
      <c r="A46" s="20" t="s">
        <v>83</v>
      </c>
      <c r="B46" s="15"/>
      <c r="C46" s="65"/>
      <c r="D46" s="142">
        <f ca="1">-HLOOKUP(DATE(D$7,12,31),Idc_Table,IDC!$BB$63)-SUM($C46:C46)</f>
        <v>0</v>
      </c>
      <c r="E46" s="142">
        <f ca="1">-HLOOKUP(DATE(E$7,12,31),Idc_Table,IDC!$BB$63)-SUM($C46:D46)</f>
        <v>-988.56658274453355</v>
      </c>
      <c r="F46" s="142">
        <f ca="1">-HLOOKUP(DATE(F$7,12,31),Idc_Table,IDC!$BB$63)-SUM($C46:E46)</f>
        <v>-2665.1326018667478</v>
      </c>
      <c r="G46" s="142">
        <f ca="1">-HLOOKUP(DATE(G$7,12,31),Idc_Table,IDC!$BB$63)-SUM($C46:F46)</f>
        <v>-5739.8166707109303</v>
      </c>
      <c r="H46" s="142">
        <f ca="1">-HLOOKUP(DATE(H$7,12,31),Idc_Table,IDC!$BB$63)-SUM($C46:G46)</f>
        <v>0</v>
      </c>
      <c r="I46" s="142">
        <f ca="1">-HLOOKUP(DATE(I$7,12,31),Idc_Table,IDC!$BB$63)-SUM($C46:H46)</f>
        <v>0</v>
      </c>
      <c r="J46" s="142">
        <f ca="1">-HLOOKUP(DATE(J$7,12,31),Idc_Table,IDC!$BB$63)-SUM($C46:I46)</f>
        <v>0</v>
      </c>
      <c r="K46" s="142">
        <f ca="1">-HLOOKUP(DATE(K$7,12,31),Idc_Table,IDC!$BB$63)-SUM($C46:J46)</f>
        <v>0</v>
      </c>
      <c r="L46" s="142">
        <f ca="1">-HLOOKUP(DATE(L$7,12,31),Idc_Table,IDC!$BB$63)-SUM($C46:K46)</f>
        <v>0</v>
      </c>
      <c r="M46" s="142">
        <f ca="1">-HLOOKUP(DATE(M$7,12,31),Idc_Table,IDC!$BB$63)-SUM($C46:L46)</f>
        <v>0</v>
      </c>
      <c r="N46" s="142">
        <f ca="1">-HLOOKUP(DATE(N$7,12,31),Idc_Table,IDC!$BB$63)-SUM($C46:M46)</f>
        <v>0</v>
      </c>
      <c r="O46" s="142">
        <f ca="1">-HLOOKUP(DATE(O$7,12,31),Idc_Table,IDC!$BB$63)-SUM($C46:N46)</f>
        <v>0</v>
      </c>
      <c r="P46" s="142">
        <f ca="1">-HLOOKUP(DATE(P$7,12,31),Idc_Table,IDC!$BB$63)-SUM($C46:O46)</f>
        <v>0</v>
      </c>
      <c r="Q46" s="142">
        <f ca="1">-HLOOKUP(DATE(Q$7,12,31),Idc_Table,IDC!$BB$63)-SUM($C46:P46)</f>
        <v>0</v>
      </c>
      <c r="R46" s="142">
        <f ca="1">-HLOOKUP(DATE(R$7,12,31),Idc_Table,IDC!$BB$63)-SUM($C46:Q46)</f>
        <v>0</v>
      </c>
      <c r="S46" s="142">
        <f ca="1">-HLOOKUP(DATE(S$7,12,31),Idc_Table,IDC!$BB$63)-SUM($C46:R46)</f>
        <v>0</v>
      </c>
      <c r="T46" s="142">
        <f ca="1">-HLOOKUP(DATE(T$7,12,31),Idc_Table,IDC!$BB$63)-SUM($C46:S46)</f>
        <v>0</v>
      </c>
      <c r="U46" s="142">
        <f ca="1">-HLOOKUP(DATE(U$7,12,31),Idc_Table,IDC!$BB$63)-SUM($C46:T46)</f>
        <v>0</v>
      </c>
      <c r="V46" s="142">
        <f ca="1">-HLOOKUP(DATE(V$7,12,31),Idc_Table,IDC!$BB$63)-SUM($C46:U46)</f>
        <v>0</v>
      </c>
      <c r="W46" s="142">
        <f ca="1">-HLOOKUP(DATE(W$7,12,31),Idc_Table,IDC!$BB$63)-SUM($C46:V46)</f>
        <v>0</v>
      </c>
      <c r="X46" s="142">
        <f ca="1">-HLOOKUP(DATE(X$7,12,31),Idc_Table,IDC!$BB$63)-SUM($C46:W46)</f>
        <v>0</v>
      </c>
      <c r="Y46" s="142">
        <f ca="1">-HLOOKUP(DATE(Y$7,12,31),Idc_Table,IDC!$BB$63)-SUM($C46:X46)</f>
        <v>0</v>
      </c>
      <c r="Z46" s="436">
        <f ca="1">SUM(D46:Y46)</f>
        <v>-9393.5158553222118</v>
      </c>
      <c r="AB46" s="34">
        <f t="shared" si="0"/>
        <v>40</v>
      </c>
    </row>
    <row r="47" spans="1:28">
      <c r="A47" s="20"/>
      <c r="B47" s="15"/>
      <c r="C47" s="15"/>
      <c r="D47" s="72"/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X47" s="72"/>
      <c r="Y47" s="72"/>
      <c r="Z47" s="432"/>
      <c r="AB47" s="34">
        <f t="shared" si="0"/>
        <v>41</v>
      </c>
    </row>
    <row r="48" spans="1:28" s="9" customFormat="1">
      <c r="A48" s="27" t="s">
        <v>68</v>
      </c>
      <c r="B48" s="3"/>
      <c r="C48" s="3"/>
      <c r="D48" s="224">
        <f t="shared" ref="D48:Y48" ca="1" si="9">SUM(D43:D46)</f>
        <v>0</v>
      </c>
      <c r="E48" s="224">
        <f t="shared" ca="1" si="9"/>
        <v>-6578.0609479357427</v>
      </c>
      <c r="F48" s="224">
        <f t="shared" ca="1" si="9"/>
        <v>-3771.1328721942714</v>
      </c>
      <c r="G48" s="224">
        <f t="shared" ca="1" si="9"/>
        <v>-3011.5167629040229</v>
      </c>
      <c r="H48" s="224">
        <f t="shared" ca="1" si="9"/>
        <v>-1651.6717033239365</v>
      </c>
      <c r="I48" s="224">
        <f t="shared" ca="1" si="9"/>
        <v>4085.7836733887034</v>
      </c>
      <c r="J48" s="224">
        <f t="shared" ca="1" si="9"/>
        <v>-7967.5646730677072</v>
      </c>
      <c r="K48" s="224">
        <f t="shared" ca="1" si="9"/>
        <v>15731.143157368013</v>
      </c>
      <c r="L48" s="224">
        <f t="shared" ca="1" si="9"/>
        <v>17834.683831993512</v>
      </c>
      <c r="M48" s="224">
        <f t="shared" ca="1" si="9"/>
        <v>17312.074686681153</v>
      </c>
      <c r="N48" s="224">
        <f t="shared" ca="1" si="9"/>
        <v>15435.453463170677</v>
      </c>
      <c r="O48" s="224">
        <f t="shared" ca="1" si="9"/>
        <v>16139.924308702455</v>
      </c>
      <c r="P48" s="224">
        <f t="shared" ca="1" si="9"/>
        <v>18570.046919266297</v>
      </c>
      <c r="Q48" s="224">
        <f t="shared" ca="1" si="9"/>
        <v>19374.897937644073</v>
      </c>
      <c r="R48" s="224">
        <f t="shared" ca="1" si="9"/>
        <v>14309.323541856769</v>
      </c>
      <c r="S48" s="224">
        <f t="shared" ca="1" si="9"/>
        <v>18850.011189197736</v>
      </c>
      <c r="T48" s="224">
        <f t="shared" ca="1" si="9"/>
        <v>7169.862187464706</v>
      </c>
      <c r="U48" s="224">
        <f t="shared" ca="1" si="9"/>
        <v>-7495.2285138640063</v>
      </c>
      <c r="V48" s="224">
        <f t="shared" ca="1" si="9"/>
        <v>-11713.567705695645</v>
      </c>
      <c r="W48" s="224">
        <f t="shared" ca="1" si="9"/>
        <v>-13109.304531018079</v>
      </c>
      <c r="X48" s="224">
        <f t="shared" ca="1" si="9"/>
        <v>-11574.612876919249</v>
      </c>
      <c r="Y48" s="224">
        <f t="shared" ca="1" si="9"/>
        <v>-3103.4748856177998</v>
      </c>
      <c r="Z48" s="437">
        <f ca="1">SUM(D48:Y48)</f>
        <v>94837.069424193614</v>
      </c>
      <c r="AB48" s="34">
        <f t="shared" si="0"/>
        <v>42</v>
      </c>
    </row>
    <row r="49" spans="1:28" s="9" customFormat="1">
      <c r="A49" s="20" t="s">
        <v>667</v>
      </c>
      <c r="B49" s="15"/>
      <c r="C49" s="15"/>
      <c r="D49" s="37">
        <f ca="1">-Sudam!D64</f>
        <v>0</v>
      </c>
      <c r="E49" s="37">
        <f ca="1">-Sudam!E64</f>
        <v>0</v>
      </c>
      <c r="F49" s="37">
        <f ca="1">-Sudam!F64</f>
        <v>0</v>
      </c>
      <c r="G49" s="37">
        <f ca="1">-Sudam!G64</f>
        <v>0</v>
      </c>
      <c r="H49" s="37">
        <f ca="1">-Sudam!H64</f>
        <v>0</v>
      </c>
      <c r="I49" s="37">
        <f ca="1">-Sudam!I64</f>
        <v>-2042.8918366943517</v>
      </c>
      <c r="J49" s="37">
        <f ca="1">-Sudam!J64</f>
        <v>0</v>
      </c>
      <c r="K49" s="37">
        <f ca="1">-Sudam!K64</f>
        <v>-7865.5715786840065</v>
      </c>
      <c r="L49" s="37">
        <f ca="1">-Sudam!L64</f>
        <v>-8917.3419159967561</v>
      </c>
      <c r="M49" s="37">
        <f ca="1">-Sudam!M64</f>
        <v>-8656.0373433405766</v>
      </c>
      <c r="N49" s="37">
        <f ca="1">-Sudam!N64</f>
        <v>-7717.7267315853387</v>
      </c>
      <c r="O49" s="37">
        <f ca="1">-Sudam!O64</f>
        <v>-8069.9621543512276</v>
      </c>
      <c r="P49" s="37">
        <f ca="1">-Sudam!P64</f>
        <v>-9279.3570204919088</v>
      </c>
      <c r="Q49" s="37">
        <f ca="1">-Sudam!Q64</f>
        <v>-9279.3570204919088</v>
      </c>
      <c r="R49" s="37">
        <f ca="1">-Sudam!R64</f>
        <v>-7154.6617709283846</v>
      </c>
      <c r="S49" s="37">
        <f ca="1">-Sudam!S64</f>
        <v>-9279.3570204919088</v>
      </c>
      <c r="T49" s="37">
        <f ca="1">-Sudam!T64</f>
        <v>-3584.931093732353</v>
      </c>
      <c r="U49" s="37">
        <f ca="1">-Sudam!U64</f>
        <v>0</v>
      </c>
      <c r="V49" s="37">
        <f ca="1">-Sudam!V64</f>
        <v>0</v>
      </c>
      <c r="W49" s="37">
        <f ca="1">-Sudam!W64</f>
        <v>0</v>
      </c>
      <c r="X49" s="37">
        <f ca="1">-Sudam!X64</f>
        <v>0</v>
      </c>
      <c r="Y49" s="37">
        <f ca="1">-Sudam!Y64</f>
        <v>0</v>
      </c>
      <c r="Z49" s="435">
        <f ca="1">SUM(D49:Y49)</f>
        <v>-81847.195486788711</v>
      </c>
      <c r="AB49" s="34">
        <f t="shared" si="0"/>
        <v>43</v>
      </c>
    </row>
    <row r="50" spans="1:28">
      <c r="A50" s="20"/>
      <c r="B50" s="15"/>
      <c r="C50" s="15"/>
      <c r="D50" s="72"/>
      <c r="E50" s="72"/>
      <c r="F50" s="72"/>
      <c r="G50" s="72"/>
      <c r="H50" s="72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X50" s="72"/>
      <c r="Y50" s="72"/>
      <c r="Z50" s="432"/>
      <c r="AB50" s="34">
        <f t="shared" si="0"/>
        <v>44</v>
      </c>
    </row>
    <row r="51" spans="1:28" s="9" customFormat="1">
      <c r="A51" s="27" t="s">
        <v>460</v>
      </c>
      <c r="B51" s="3"/>
      <c r="C51" s="3"/>
      <c r="D51" s="224">
        <f t="shared" ref="D51:Y51" ca="1" si="10">SUM(D48:D49)</f>
        <v>0</v>
      </c>
      <c r="E51" s="224">
        <f t="shared" ca="1" si="10"/>
        <v>-6578.0609479357427</v>
      </c>
      <c r="F51" s="224">
        <f t="shared" ca="1" si="10"/>
        <v>-3771.1328721942714</v>
      </c>
      <c r="G51" s="224">
        <f t="shared" ca="1" si="10"/>
        <v>-3011.5167629040229</v>
      </c>
      <c r="H51" s="224">
        <f t="shared" ca="1" si="10"/>
        <v>-1651.6717033239365</v>
      </c>
      <c r="I51" s="224">
        <f t="shared" ca="1" si="10"/>
        <v>2042.8918366943517</v>
      </c>
      <c r="J51" s="224">
        <f t="shared" ca="1" si="10"/>
        <v>-7967.5646730677072</v>
      </c>
      <c r="K51" s="224">
        <f t="shared" ca="1" si="10"/>
        <v>7865.5715786840065</v>
      </c>
      <c r="L51" s="224">
        <f t="shared" ca="1" si="10"/>
        <v>8917.3419159967561</v>
      </c>
      <c r="M51" s="224">
        <f t="shared" ca="1" si="10"/>
        <v>8656.0373433405766</v>
      </c>
      <c r="N51" s="224">
        <f t="shared" ca="1" si="10"/>
        <v>7717.7267315853387</v>
      </c>
      <c r="O51" s="224">
        <f t="shared" ca="1" si="10"/>
        <v>8069.9621543512276</v>
      </c>
      <c r="P51" s="224">
        <f t="shared" ca="1" si="10"/>
        <v>9290.689898774388</v>
      </c>
      <c r="Q51" s="224">
        <f t="shared" ca="1" si="10"/>
        <v>10095.540917152164</v>
      </c>
      <c r="R51" s="224">
        <f t="shared" ca="1" si="10"/>
        <v>7154.6617709283846</v>
      </c>
      <c r="S51" s="224">
        <f t="shared" ca="1" si="10"/>
        <v>9570.654168705827</v>
      </c>
      <c r="T51" s="224">
        <f t="shared" ca="1" si="10"/>
        <v>3584.931093732353</v>
      </c>
      <c r="U51" s="224">
        <f t="shared" ca="1" si="10"/>
        <v>-7495.2285138640063</v>
      </c>
      <c r="V51" s="224">
        <f t="shared" ca="1" si="10"/>
        <v>-11713.567705695645</v>
      </c>
      <c r="W51" s="224">
        <f t="shared" ca="1" si="10"/>
        <v>-13109.304531018079</v>
      </c>
      <c r="X51" s="224">
        <f t="shared" ca="1" si="10"/>
        <v>-11574.612876919249</v>
      </c>
      <c r="Y51" s="224">
        <f t="shared" ca="1" si="10"/>
        <v>-3103.4748856177998</v>
      </c>
      <c r="Z51" s="437">
        <f ca="1">SUM(D51:Y51)</f>
        <v>12989.873937404915</v>
      </c>
      <c r="AB51" s="34">
        <f t="shared" si="0"/>
        <v>45</v>
      </c>
    </row>
    <row r="52" spans="1:28">
      <c r="A52" s="20" t="s">
        <v>1873</v>
      </c>
      <c r="B52" s="15"/>
      <c r="C52" s="15"/>
      <c r="D52" s="142">
        <f ca="1">-Taxes!D84</f>
        <v>0</v>
      </c>
      <c r="E52" s="142">
        <f ca="1">-Taxes!E84</f>
        <v>0</v>
      </c>
      <c r="F52" s="142">
        <f ca="1">-Taxes!F84</f>
        <v>0</v>
      </c>
      <c r="G52" s="142">
        <f ca="1">-Taxes!G84</f>
        <v>0</v>
      </c>
      <c r="H52" s="142">
        <f ca="1">-Taxes!H84</f>
        <v>0</v>
      </c>
      <c r="I52" s="142">
        <f ca="1">-Taxes!I84</f>
        <v>-460.27501819366915</v>
      </c>
      <c r="J52" s="142">
        <f ca="1">-Taxes!J84</f>
        <v>0</v>
      </c>
      <c r="K52" s="142">
        <f ca="1">-Taxes!K84</f>
        <v>-1806.2141014920358</v>
      </c>
      <c r="L52" s="142">
        <f ca="1">-Taxes!L84</f>
        <v>-2049.4838253843509</v>
      </c>
      <c r="M52" s="142">
        <f ca="1">-Taxes!M84</f>
        <v>-1989.4083604778421</v>
      </c>
      <c r="N52" s="142">
        <f ca="1">-Taxes!N84</f>
        <v>-1772.9303750547012</v>
      </c>
      <c r="O52" s="142">
        <f ca="1">-Taxes!O84</f>
        <v>-1854.5500861475216</v>
      </c>
      <c r="P52" s="142">
        <f ca="1">-Taxes!P84</f>
        <v>-2136.7754284350249</v>
      </c>
      <c r="Q52" s="142">
        <f ca="1">-Taxes!Q84</f>
        <v>-2322.917962153208</v>
      </c>
      <c r="R52" s="142">
        <f ca="1">-Taxes!R84</f>
        <v>-1643.7737030964945</v>
      </c>
      <c r="S52" s="142">
        <f ca="1">-Taxes!S84</f>
        <v>-2477.391703943561</v>
      </c>
      <c r="T52" s="142">
        <f ca="1">-Taxes!T84</f>
        <v>-1174.4261705458111</v>
      </c>
      <c r="U52" s="142">
        <f ca="1">-Taxes!U84</f>
        <v>0</v>
      </c>
      <c r="V52" s="142">
        <f ca="1">-Taxes!V84</f>
        <v>0</v>
      </c>
      <c r="W52" s="142">
        <f ca="1">-Taxes!W84</f>
        <v>0</v>
      </c>
      <c r="X52" s="142">
        <f ca="1">-Taxes!X84</f>
        <v>0</v>
      </c>
      <c r="Y52" s="142">
        <f ca="1">-Taxes!Y84</f>
        <v>0</v>
      </c>
      <c r="Z52" s="449">
        <f ca="1">SUM(D52:Y52)</f>
        <v>-19688.146734924223</v>
      </c>
      <c r="AB52" s="34">
        <f t="shared" si="0"/>
        <v>46</v>
      </c>
    </row>
    <row r="53" spans="1:28">
      <c r="A53" s="20"/>
      <c r="B53" s="15"/>
      <c r="C53" s="1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431"/>
      <c r="AB53" s="34">
        <f t="shared" si="0"/>
        <v>47</v>
      </c>
    </row>
    <row r="54" spans="1:28" s="9" customFormat="1">
      <c r="A54" s="27" t="s">
        <v>69</v>
      </c>
      <c r="B54" s="3"/>
      <c r="C54" s="3"/>
      <c r="D54" s="224">
        <f t="shared" ref="D54:Y54" ca="1" si="11">SUM(D51:D52)</f>
        <v>0</v>
      </c>
      <c r="E54" s="224">
        <f t="shared" ca="1" si="11"/>
        <v>-6578.0609479357427</v>
      </c>
      <c r="F54" s="224">
        <f t="shared" ca="1" si="11"/>
        <v>-3771.1328721942714</v>
      </c>
      <c r="G54" s="224">
        <f t="shared" ca="1" si="11"/>
        <v>-3011.5167629040229</v>
      </c>
      <c r="H54" s="224">
        <f t="shared" ca="1" si="11"/>
        <v>-1651.6717033239365</v>
      </c>
      <c r="I54" s="224">
        <f t="shared" ca="1" si="11"/>
        <v>1582.6168185006825</v>
      </c>
      <c r="J54" s="224">
        <f t="shared" ca="1" si="11"/>
        <v>-7967.5646730677072</v>
      </c>
      <c r="K54" s="224">
        <f t="shared" ca="1" si="11"/>
        <v>6059.3574771919702</v>
      </c>
      <c r="L54" s="224">
        <f t="shared" ca="1" si="11"/>
        <v>6867.8580906124052</v>
      </c>
      <c r="M54" s="224">
        <f t="shared" ca="1" si="11"/>
        <v>6666.6289828627341</v>
      </c>
      <c r="N54" s="224">
        <f t="shared" ca="1" si="11"/>
        <v>5944.7963565306372</v>
      </c>
      <c r="O54" s="224">
        <f t="shared" ca="1" si="11"/>
        <v>6215.4120682037064</v>
      </c>
      <c r="P54" s="224">
        <f t="shared" ca="1" si="11"/>
        <v>7153.9144703393631</v>
      </c>
      <c r="Q54" s="224">
        <f t="shared" ca="1" si="11"/>
        <v>7772.6229549989566</v>
      </c>
      <c r="R54" s="224">
        <f t="shared" ca="1" si="11"/>
        <v>5510.8880678318901</v>
      </c>
      <c r="S54" s="224">
        <f t="shared" ca="1" si="11"/>
        <v>7093.2624647622661</v>
      </c>
      <c r="T54" s="224">
        <f t="shared" ca="1" si="11"/>
        <v>2410.5049231865419</v>
      </c>
      <c r="U54" s="224">
        <f t="shared" ca="1" si="11"/>
        <v>-7495.2285138640063</v>
      </c>
      <c r="V54" s="224">
        <f t="shared" ca="1" si="11"/>
        <v>-11713.567705695645</v>
      </c>
      <c r="W54" s="224">
        <f t="shared" ca="1" si="11"/>
        <v>-13109.304531018079</v>
      </c>
      <c r="X54" s="224">
        <f t="shared" ca="1" si="11"/>
        <v>-11574.612876919249</v>
      </c>
      <c r="Y54" s="224">
        <f t="shared" ca="1" si="11"/>
        <v>-3103.4748856177998</v>
      </c>
      <c r="Z54" s="437">
        <f ca="1">SUM(D54:Y54)</f>
        <v>-6698.2727975193047</v>
      </c>
      <c r="AB54" s="34">
        <f t="shared" si="0"/>
        <v>48</v>
      </c>
    </row>
    <row r="55" spans="1:28">
      <c r="A55" s="20" t="s">
        <v>70</v>
      </c>
      <c r="B55" s="15"/>
      <c r="C55" s="15"/>
      <c r="D55" s="142">
        <f ca="1">Trapped!F52</f>
        <v>0</v>
      </c>
      <c r="E55" s="142">
        <f ca="1">Trapped!G52</f>
        <v>116.9419904737901</v>
      </c>
      <c r="F55" s="142">
        <f ca="1">Trapped!H52</f>
        <v>620.0920187802451</v>
      </c>
      <c r="G55" s="142">
        <f ca="1">Trapped!I52</f>
        <v>0</v>
      </c>
      <c r="H55" s="142">
        <f ca="1">Trapped!J52</f>
        <v>0</v>
      </c>
      <c r="I55" s="142">
        <f ca="1">Trapped!K52</f>
        <v>137.76635472643693</v>
      </c>
      <c r="J55" s="142">
        <f ca="1">Trapped!L52</f>
        <v>0</v>
      </c>
      <c r="K55" s="142">
        <f ca="1">Trapped!M52</f>
        <v>774.18295127764623</v>
      </c>
      <c r="L55" s="142">
        <f ca="1">Trapped!N52</f>
        <v>648.07555710347629</v>
      </c>
      <c r="M55" s="142">
        <f ca="1">Trapped!O52</f>
        <v>1803.4855902578893</v>
      </c>
      <c r="N55" s="142">
        <f ca="1">Trapped!P52</f>
        <v>0</v>
      </c>
      <c r="O55" s="142">
        <f ca="1">Trapped!Q52</f>
        <v>0</v>
      </c>
      <c r="P55" s="142">
        <f ca="1">Trapped!R52</f>
        <v>0</v>
      </c>
      <c r="Q55" s="142">
        <f ca="1">Trapped!S52</f>
        <v>0</v>
      </c>
      <c r="R55" s="142">
        <f ca="1">Trapped!T52</f>
        <v>0</v>
      </c>
      <c r="S55" s="142">
        <f ca="1">Trapped!U52</f>
        <v>0</v>
      </c>
      <c r="T55" s="142">
        <f ca="1">Trapped!V52</f>
        <v>0</v>
      </c>
      <c r="U55" s="142">
        <f ca="1">Trapped!W52</f>
        <v>0</v>
      </c>
      <c r="V55" s="142">
        <f ca="1">Trapped!X52</f>
        <v>0</v>
      </c>
      <c r="W55" s="142">
        <f ca="1">Trapped!Y52</f>
        <v>0</v>
      </c>
      <c r="X55" s="142">
        <f ca="1">Trapped!Z52</f>
        <v>3594.7979119015054</v>
      </c>
      <c r="Y55" s="142">
        <f ca="1">Trapped!AA52</f>
        <v>629.91613511453215</v>
      </c>
      <c r="Z55" s="449">
        <f ca="1">SUM(D55:Y55)</f>
        <v>8325.2585096355215</v>
      </c>
      <c r="AB55" s="34">
        <f t="shared" si="0"/>
        <v>49</v>
      </c>
    </row>
    <row r="56" spans="1:28">
      <c r="A56" s="20"/>
      <c r="B56" s="15"/>
      <c r="C56" s="1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431"/>
      <c r="AB56" s="34">
        <f t="shared" si="0"/>
        <v>50</v>
      </c>
    </row>
    <row r="57" spans="1:28" s="9" customFormat="1">
      <c r="A57" s="448" t="s">
        <v>802</v>
      </c>
      <c r="B57" s="445"/>
      <c r="C57" s="445"/>
      <c r="D57" s="446">
        <f t="shared" ref="D57:Y57" ca="1" si="12">SUM(D54:D55)</f>
        <v>0</v>
      </c>
      <c r="E57" s="446">
        <f t="shared" ca="1" si="12"/>
        <v>-6461.118957461953</v>
      </c>
      <c r="F57" s="446">
        <f t="shared" ca="1" si="12"/>
        <v>-3151.0408534140261</v>
      </c>
      <c r="G57" s="446">
        <f t="shared" ca="1" si="12"/>
        <v>-3011.5167629040229</v>
      </c>
      <c r="H57" s="446">
        <f t="shared" ca="1" si="12"/>
        <v>-1651.6717033239365</v>
      </c>
      <c r="I57" s="446">
        <f t="shared" ca="1" si="12"/>
        <v>1720.3831732271194</v>
      </c>
      <c r="J57" s="446">
        <f t="shared" ca="1" si="12"/>
        <v>-7967.5646730677072</v>
      </c>
      <c r="K57" s="446">
        <f t="shared" ca="1" si="12"/>
        <v>6833.540428469616</v>
      </c>
      <c r="L57" s="446">
        <f t="shared" ca="1" si="12"/>
        <v>7515.9336477158813</v>
      </c>
      <c r="M57" s="446">
        <f t="shared" ca="1" si="12"/>
        <v>8470.1145731206234</v>
      </c>
      <c r="N57" s="446">
        <f t="shared" ca="1" si="12"/>
        <v>5944.7963565306372</v>
      </c>
      <c r="O57" s="446">
        <f t="shared" ca="1" si="12"/>
        <v>6215.4120682037064</v>
      </c>
      <c r="P57" s="446">
        <f t="shared" ca="1" si="12"/>
        <v>7153.9144703393631</v>
      </c>
      <c r="Q57" s="446">
        <f t="shared" ca="1" si="12"/>
        <v>7772.6229549989566</v>
      </c>
      <c r="R57" s="446">
        <f t="shared" ca="1" si="12"/>
        <v>5510.8880678318901</v>
      </c>
      <c r="S57" s="446">
        <f t="shared" ca="1" si="12"/>
        <v>7093.2624647622661</v>
      </c>
      <c r="T57" s="446">
        <f t="shared" ca="1" si="12"/>
        <v>2410.5049231865419</v>
      </c>
      <c r="U57" s="446">
        <f t="shared" ca="1" si="12"/>
        <v>-7495.2285138640063</v>
      </c>
      <c r="V57" s="446">
        <f t="shared" ca="1" si="12"/>
        <v>-11713.567705695645</v>
      </c>
      <c r="W57" s="446">
        <f t="shared" ca="1" si="12"/>
        <v>-13109.304531018079</v>
      </c>
      <c r="X57" s="446">
        <f t="shared" ca="1" si="12"/>
        <v>-7979.8149650177438</v>
      </c>
      <c r="Y57" s="446">
        <f t="shared" ca="1" si="12"/>
        <v>-2473.5587505032677</v>
      </c>
      <c r="Z57" s="450">
        <f ca="1">SUM(D57:Y57)</f>
        <v>1626.9857121162127</v>
      </c>
      <c r="AB57" s="34">
        <f t="shared" si="0"/>
        <v>51</v>
      </c>
    </row>
    <row r="58" spans="1:28">
      <c r="A58" s="20"/>
      <c r="B58" s="15"/>
      <c r="C58" s="1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431"/>
      <c r="AB58" s="34">
        <f t="shared" si="0"/>
        <v>52</v>
      </c>
    </row>
    <row r="59" spans="1:28">
      <c r="A59" s="20" t="s">
        <v>805</v>
      </c>
      <c r="B59" s="15"/>
      <c r="C59" s="15"/>
      <c r="D59" s="65">
        <f ca="1">-D41</f>
        <v>0</v>
      </c>
      <c r="E59" s="65">
        <f t="shared" ref="E59:T59" ca="1" si="13">-E41</f>
        <v>3704.810550000906</v>
      </c>
      <c r="F59" s="65">
        <f t="shared" ca="1" si="13"/>
        <v>4939.747400001208</v>
      </c>
      <c r="G59" s="65">
        <f t="shared" ca="1" si="13"/>
        <v>12563.799394949307</v>
      </c>
      <c r="H59" s="65">
        <f t="shared" ca="1" si="13"/>
        <v>17799.218169526688</v>
      </c>
      <c r="I59" s="65">
        <f t="shared" ca="1" si="13"/>
        <v>17799.218169526688</v>
      </c>
      <c r="J59" s="65">
        <f t="shared" ca="1" si="13"/>
        <v>17799.218169526688</v>
      </c>
      <c r="K59" s="65">
        <f t="shared" ca="1" si="13"/>
        <v>17799.218169526688</v>
      </c>
      <c r="L59" s="65">
        <f t="shared" ca="1" si="13"/>
        <v>17799.218169526688</v>
      </c>
      <c r="M59" s="65">
        <f t="shared" ca="1" si="13"/>
        <v>17799.218169526688</v>
      </c>
      <c r="N59" s="65">
        <f t="shared" ca="1" si="13"/>
        <v>17799.218169526688</v>
      </c>
      <c r="O59" s="65">
        <f t="shared" ca="1" si="13"/>
        <v>17799.218169526688</v>
      </c>
      <c r="P59" s="65">
        <f t="shared" ca="1" si="13"/>
        <v>17799.218169526688</v>
      </c>
      <c r="Q59" s="65">
        <f t="shared" ca="1" si="13"/>
        <v>17799.218169526688</v>
      </c>
      <c r="R59" s="65">
        <f t="shared" ca="1" si="13"/>
        <v>17799.218169526688</v>
      </c>
      <c r="S59" s="65">
        <f t="shared" ca="1" si="13"/>
        <v>17799.218169526688</v>
      </c>
      <c r="T59" s="65">
        <f t="shared" ca="1" si="13"/>
        <v>17799.218169526688</v>
      </c>
      <c r="U59" s="65">
        <f ca="1">-U41</f>
        <v>17799.218169526688</v>
      </c>
      <c r="V59" s="65">
        <f ca="1">-V41</f>
        <v>17799.218169526688</v>
      </c>
      <c r="W59" s="65">
        <f ca="1">-W41</f>
        <v>17799.218169526688</v>
      </c>
      <c r="X59" s="65">
        <f ca="1">-X41</f>
        <v>17799.218169526688</v>
      </c>
      <c r="Y59" s="65">
        <f ca="1">-Y41</f>
        <v>5521.4271065087542</v>
      </c>
      <c r="Z59" s="431">
        <f t="shared" ref="Z59:Z67" ca="1" si="14">SUM(D59:Y59)</f>
        <v>329316.49333341385</v>
      </c>
      <c r="AB59" s="34">
        <f t="shared" si="0"/>
        <v>53</v>
      </c>
    </row>
    <row r="60" spans="1:28">
      <c r="A60" s="20" t="s">
        <v>86</v>
      </c>
      <c r="B60" s="15"/>
      <c r="C60" s="15"/>
      <c r="D60" s="65">
        <f t="shared" ref="D60:Y60" ca="1" si="15">-D46</f>
        <v>0</v>
      </c>
      <c r="E60" s="65">
        <f t="shared" ca="1" si="15"/>
        <v>988.56658274453355</v>
      </c>
      <c r="F60" s="65">
        <f t="shared" ca="1" si="15"/>
        <v>2665.1326018667478</v>
      </c>
      <c r="G60" s="65">
        <f t="shared" ca="1" si="15"/>
        <v>5739.8166707109303</v>
      </c>
      <c r="H60" s="65">
        <f t="shared" ca="1" si="15"/>
        <v>0</v>
      </c>
      <c r="I60" s="65">
        <f t="shared" ca="1" si="15"/>
        <v>0</v>
      </c>
      <c r="J60" s="65">
        <f t="shared" ca="1" si="15"/>
        <v>0</v>
      </c>
      <c r="K60" s="65">
        <f t="shared" ca="1" si="15"/>
        <v>0</v>
      </c>
      <c r="L60" s="65">
        <f t="shared" ca="1" si="15"/>
        <v>0</v>
      </c>
      <c r="M60" s="65">
        <f t="shared" ca="1" si="15"/>
        <v>0</v>
      </c>
      <c r="N60" s="65">
        <f t="shared" ca="1" si="15"/>
        <v>0</v>
      </c>
      <c r="O60" s="65">
        <f t="shared" ca="1" si="15"/>
        <v>0</v>
      </c>
      <c r="P60" s="65">
        <f t="shared" ca="1" si="15"/>
        <v>0</v>
      </c>
      <c r="Q60" s="65">
        <f t="shared" ca="1" si="15"/>
        <v>0</v>
      </c>
      <c r="R60" s="65">
        <f t="shared" ca="1" si="15"/>
        <v>0</v>
      </c>
      <c r="S60" s="65">
        <f t="shared" ca="1" si="15"/>
        <v>0</v>
      </c>
      <c r="T60" s="65">
        <f t="shared" ca="1" si="15"/>
        <v>0</v>
      </c>
      <c r="U60" s="65">
        <f t="shared" ca="1" si="15"/>
        <v>0</v>
      </c>
      <c r="V60" s="65">
        <f t="shared" ca="1" si="15"/>
        <v>0</v>
      </c>
      <c r="W60" s="65">
        <f t="shared" ca="1" si="15"/>
        <v>0</v>
      </c>
      <c r="X60" s="65">
        <f t="shared" ca="1" si="15"/>
        <v>0</v>
      </c>
      <c r="Y60" s="65">
        <f t="shared" ca="1" si="15"/>
        <v>0</v>
      </c>
      <c r="Z60" s="431">
        <f t="shared" ca="1" si="14"/>
        <v>9393.5158553222118</v>
      </c>
      <c r="AB60" s="34">
        <f t="shared" si="0"/>
        <v>54</v>
      </c>
    </row>
    <row r="61" spans="1:28">
      <c r="A61" s="20" t="s">
        <v>1251</v>
      </c>
      <c r="B61" s="15"/>
      <c r="C61" s="15"/>
      <c r="D61" s="65">
        <f>IF(D$7=YEAR(Endyr),Land1+Land2+Land3,0)</f>
        <v>0</v>
      </c>
      <c r="E61" s="65">
        <f t="shared" ref="E61:Y61" si="16">IF(E$7=YEAR(Endyr),Land1+Land2+Land3,0)</f>
        <v>0</v>
      </c>
      <c r="F61" s="65">
        <f t="shared" si="16"/>
        <v>0</v>
      </c>
      <c r="G61" s="65">
        <f t="shared" si="16"/>
        <v>0</v>
      </c>
      <c r="H61" s="65">
        <f t="shared" si="16"/>
        <v>0</v>
      </c>
      <c r="I61" s="65">
        <f t="shared" si="16"/>
        <v>0</v>
      </c>
      <c r="J61" s="65">
        <f t="shared" si="16"/>
        <v>0</v>
      </c>
      <c r="K61" s="65">
        <f t="shared" si="16"/>
        <v>0</v>
      </c>
      <c r="L61" s="65">
        <f t="shared" si="16"/>
        <v>0</v>
      </c>
      <c r="M61" s="65">
        <f t="shared" si="16"/>
        <v>0</v>
      </c>
      <c r="N61" s="65">
        <f t="shared" si="16"/>
        <v>0</v>
      </c>
      <c r="O61" s="65">
        <f t="shared" si="16"/>
        <v>0</v>
      </c>
      <c r="P61" s="65">
        <f t="shared" si="16"/>
        <v>0</v>
      </c>
      <c r="Q61" s="65">
        <f t="shared" si="16"/>
        <v>0</v>
      </c>
      <c r="R61" s="65">
        <f t="shared" si="16"/>
        <v>0</v>
      </c>
      <c r="S61" s="65">
        <f t="shared" si="16"/>
        <v>0</v>
      </c>
      <c r="T61" s="65">
        <f t="shared" si="16"/>
        <v>0</v>
      </c>
      <c r="U61" s="65">
        <f t="shared" si="16"/>
        <v>0</v>
      </c>
      <c r="V61" s="65">
        <f t="shared" si="16"/>
        <v>0</v>
      </c>
      <c r="W61" s="65">
        <f t="shared" si="16"/>
        <v>0</v>
      </c>
      <c r="X61" s="65">
        <f t="shared" si="16"/>
        <v>0</v>
      </c>
      <c r="Y61" s="65">
        <f t="shared" si="16"/>
        <v>540</v>
      </c>
      <c r="Z61" s="431">
        <f t="shared" si="14"/>
        <v>540</v>
      </c>
      <c r="AB61" s="34">
        <f t="shared" si="0"/>
        <v>55</v>
      </c>
    </row>
    <row r="62" spans="1:28">
      <c r="A62" s="20" t="s">
        <v>11</v>
      </c>
      <c r="B62" s="15"/>
      <c r="C62" s="15"/>
      <c r="D62" s="65">
        <f ca="1">IF(D$7=YEAR(Endyr),Wcap1+Wcap2+Wcap3,0)</f>
        <v>0</v>
      </c>
      <c r="E62" s="65">
        <f t="shared" ref="E62:Y62" ca="1" si="17">IF(E$7=YEAR(Endyr),Wcap1+Wcap2+Wcap3,0)</f>
        <v>0</v>
      </c>
      <c r="F62" s="65">
        <f t="shared" ca="1" si="17"/>
        <v>0</v>
      </c>
      <c r="G62" s="65">
        <f t="shared" ca="1" si="17"/>
        <v>0</v>
      </c>
      <c r="H62" s="65">
        <f t="shared" ca="1" si="17"/>
        <v>0</v>
      </c>
      <c r="I62" s="65">
        <f t="shared" ca="1" si="17"/>
        <v>0</v>
      </c>
      <c r="J62" s="65">
        <f t="shared" ca="1" si="17"/>
        <v>0</v>
      </c>
      <c r="K62" s="65">
        <f t="shared" ca="1" si="17"/>
        <v>0</v>
      </c>
      <c r="L62" s="65">
        <f t="shared" ca="1" si="17"/>
        <v>0</v>
      </c>
      <c r="M62" s="65">
        <f t="shared" ca="1" si="17"/>
        <v>0</v>
      </c>
      <c r="N62" s="65">
        <f t="shared" ca="1" si="17"/>
        <v>0</v>
      </c>
      <c r="O62" s="65">
        <f t="shared" ca="1" si="17"/>
        <v>0</v>
      </c>
      <c r="P62" s="65">
        <f t="shared" ca="1" si="17"/>
        <v>0</v>
      </c>
      <c r="Q62" s="65">
        <f t="shared" ca="1" si="17"/>
        <v>0</v>
      </c>
      <c r="R62" s="65">
        <f t="shared" ca="1" si="17"/>
        <v>0</v>
      </c>
      <c r="S62" s="65">
        <f t="shared" ca="1" si="17"/>
        <v>0</v>
      </c>
      <c r="T62" s="65">
        <f t="shared" ca="1" si="17"/>
        <v>0</v>
      </c>
      <c r="U62" s="65">
        <f t="shared" ca="1" si="17"/>
        <v>0</v>
      </c>
      <c r="V62" s="65">
        <f t="shared" ca="1" si="17"/>
        <v>0</v>
      </c>
      <c r="W62" s="65">
        <f t="shared" ca="1" si="17"/>
        <v>0</v>
      </c>
      <c r="X62" s="65">
        <f t="shared" ca="1" si="17"/>
        <v>0</v>
      </c>
      <c r="Y62" s="65">
        <f t="shared" ca="1" si="17"/>
        <v>0</v>
      </c>
      <c r="Z62" s="431">
        <f t="shared" ca="1" si="14"/>
        <v>0</v>
      </c>
      <c r="AB62" s="34">
        <f t="shared" si="0"/>
        <v>56</v>
      </c>
    </row>
    <row r="63" spans="1:28">
      <c r="A63" s="20" t="s">
        <v>1250</v>
      </c>
      <c r="B63" s="15"/>
      <c r="C63" s="15"/>
      <c r="D63" s="65">
        <f t="shared" ref="D63:X63" si="18">IF(D$7=YEAR(Endyr),Spares1+Spares2+Spares3+Spares_WTF,0)</f>
        <v>0</v>
      </c>
      <c r="E63" s="65">
        <f t="shared" si="18"/>
        <v>0</v>
      </c>
      <c r="F63" s="65">
        <f t="shared" si="18"/>
        <v>0</v>
      </c>
      <c r="G63" s="65">
        <f t="shared" si="18"/>
        <v>0</v>
      </c>
      <c r="H63" s="65">
        <f t="shared" si="18"/>
        <v>0</v>
      </c>
      <c r="I63" s="65">
        <f t="shared" si="18"/>
        <v>0</v>
      </c>
      <c r="J63" s="65">
        <f t="shared" si="18"/>
        <v>0</v>
      </c>
      <c r="K63" s="65">
        <f t="shared" si="18"/>
        <v>0</v>
      </c>
      <c r="L63" s="65">
        <f t="shared" si="18"/>
        <v>0</v>
      </c>
      <c r="M63" s="65">
        <f t="shared" si="18"/>
        <v>0</v>
      </c>
      <c r="N63" s="65">
        <f t="shared" si="18"/>
        <v>0</v>
      </c>
      <c r="O63" s="65">
        <f t="shared" si="18"/>
        <v>0</v>
      </c>
      <c r="P63" s="65">
        <f t="shared" si="18"/>
        <v>0</v>
      </c>
      <c r="Q63" s="65">
        <f t="shared" si="18"/>
        <v>0</v>
      </c>
      <c r="R63" s="65">
        <f t="shared" si="18"/>
        <v>0</v>
      </c>
      <c r="S63" s="65">
        <f t="shared" si="18"/>
        <v>0</v>
      </c>
      <c r="T63" s="65">
        <f t="shared" si="18"/>
        <v>0</v>
      </c>
      <c r="U63" s="65">
        <f t="shared" si="18"/>
        <v>0</v>
      </c>
      <c r="V63" s="65">
        <f t="shared" si="18"/>
        <v>0</v>
      </c>
      <c r="W63" s="65">
        <f t="shared" si="18"/>
        <v>0</v>
      </c>
      <c r="X63" s="65">
        <f t="shared" si="18"/>
        <v>0</v>
      </c>
      <c r="Y63" s="65">
        <f>IF(Y$7=YEAR(Endyr),Spares1+Spares2+Spares3+Spares_WTF,0)</f>
        <v>4644.4939999999997</v>
      </c>
      <c r="Z63" s="431">
        <f t="shared" si="14"/>
        <v>4644.4939999999997</v>
      </c>
      <c r="AB63" s="34">
        <f t="shared" si="0"/>
        <v>57</v>
      </c>
    </row>
    <row r="64" spans="1:28">
      <c r="A64" s="20" t="s">
        <v>806</v>
      </c>
      <c r="B64" s="15"/>
      <c r="C64" s="15"/>
      <c r="D64" s="65">
        <f t="shared" ref="D64:Y64" ca="1" si="19">-D52</f>
        <v>0</v>
      </c>
      <c r="E64" s="65">
        <f t="shared" ca="1" si="19"/>
        <v>0</v>
      </c>
      <c r="F64" s="65">
        <f t="shared" ca="1" si="19"/>
        <v>0</v>
      </c>
      <c r="G64" s="65">
        <f t="shared" ca="1" si="19"/>
        <v>0</v>
      </c>
      <c r="H64" s="65">
        <f t="shared" ca="1" si="19"/>
        <v>0</v>
      </c>
      <c r="I64" s="65">
        <f t="shared" ca="1" si="19"/>
        <v>460.27501819366915</v>
      </c>
      <c r="J64" s="65">
        <f t="shared" ca="1" si="19"/>
        <v>0</v>
      </c>
      <c r="K64" s="65">
        <f t="shared" ca="1" si="19"/>
        <v>1806.2141014920358</v>
      </c>
      <c r="L64" s="65">
        <f t="shared" ca="1" si="19"/>
        <v>2049.4838253843509</v>
      </c>
      <c r="M64" s="65">
        <f t="shared" ca="1" si="19"/>
        <v>1989.4083604778421</v>
      </c>
      <c r="N64" s="65">
        <f t="shared" ca="1" si="19"/>
        <v>1772.9303750547012</v>
      </c>
      <c r="O64" s="65">
        <f t="shared" ca="1" si="19"/>
        <v>1854.5500861475216</v>
      </c>
      <c r="P64" s="65">
        <f t="shared" ca="1" si="19"/>
        <v>2136.7754284350249</v>
      </c>
      <c r="Q64" s="65">
        <f t="shared" ca="1" si="19"/>
        <v>2322.917962153208</v>
      </c>
      <c r="R64" s="65">
        <f t="shared" ca="1" si="19"/>
        <v>1643.7737030964945</v>
      </c>
      <c r="S64" s="65">
        <f t="shared" ca="1" si="19"/>
        <v>2477.391703943561</v>
      </c>
      <c r="T64" s="65">
        <f t="shared" ca="1" si="19"/>
        <v>1174.4261705458111</v>
      </c>
      <c r="U64" s="65">
        <f t="shared" ca="1" si="19"/>
        <v>0</v>
      </c>
      <c r="V64" s="65">
        <f t="shared" ca="1" si="19"/>
        <v>0</v>
      </c>
      <c r="W64" s="65">
        <f t="shared" ca="1" si="19"/>
        <v>0</v>
      </c>
      <c r="X64" s="65">
        <f t="shared" ca="1" si="19"/>
        <v>0</v>
      </c>
      <c r="Y64" s="65">
        <f t="shared" ca="1" si="19"/>
        <v>0</v>
      </c>
      <c r="Z64" s="431">
        <f t="shared" ca="1" si="14"/>
        <v>19688.146734924223</v>
      </c>
      <c r="AB64" s="34">
        <f t="shared" si="0"/>
        <v>58</v>
      </c>
    </row>
    <row r="65" spans="1:28">
      <c r="A65" s="20" t="s">
        <v>71</v>
      </c>
      <c r="B65" s="15"/>
      <c r="C65" s="15"/>
      <c r="D65" s="65">
        <f t="shared" ref="D65:Y65" ca="1" si="20">-D55</f>
        <v>0</v>
      </c>
      <c r="E65" s="65">
        <f t="shared" ca="1" si="20"/>
        <v>-116.9419904737901</v>
      </c>
      <c r="F65" s="65">
        <f t="shared" ca="1" si="20"/>
        <v>-620.0920187802451</v>
      </c>
      <c r="G65" s="65">
        <f t="shared" ca="1" si="20"/>
        <v>0</v>
      </c>
      <c r="H65" s="65">
        <f t="shared" ca="1" si="20"/>
        <v>0</v>
      </c>
      <c r="I65" s="65">
        <f t="shared" ca="1" si="20"/>
        <v>-137.76635472643693</v>
      </c>
      <c r="J65" s="65">
        <f t="shared" ca="1" si="20"/>
        <v>0</v>
      </c>
      <c r="K65" s="65">
        <f t="shared" ca="1" si="20"/>
        <v>-774.18295127764623</v>
      </c>
      <c r="L65" s="65">
        <f t="shared" ca="1" si="20"/>
        <v>-648.07555710347629</v>
      </c>
      <c r="M65" s="65">
        <f t="shared" ca="1" si="20"/>
        <v>-1803.4855902578893</v>
      </c>
      <c r="N65" s="65">
        <f t="shared" ca="1" si="20"/>
        <v>0</v>
      </c>
      <c r="O65" s="65">
        <f t="shared" ca="1" si="20"/>
        <v>0</v>
      </c>
      <c r="P65" s="65">
        <f t="shared" ca="1" si="20"/>
        <v>0</v>
      </c>
      <c r="Q65" s="65">
        <f t="shared" ca="1" si="20"/>
        <v>0</v>
      </c>
      <c r="R65" s="65">
        <f t="shared" ca="1" si="20"/>
        <v>0</v>
      </c>
      <c r="S65" s="65">
        <f t="shared" ca="1" si="20"/>
        <v>0</v>
      </c>
      <c r="T65" s="65">
        <f t="shared" ca="1" si="20"/>
        <v>0</v>
      </c>
      <c r="U65" s="65">
        <f t="shared" ca="1" si="20"/>
        <v>0</v>
      </c>
      <c r="V65" s="65">
        <f t="shared" ca="1" si="20"/>
        <v>0</v>
      </c>
      <c r="W65" s="65">
        <f t="shared" ca="1" si="20"/>
        <v>0</v>
      </c>
      <c r="X65" s="65">
        <f t="shared" ca="1" si="20"/>
        <v>-3594.7979119015054</v>
      </c>
      <c r="Y65" s="65">
        <f t="shared" ca="1" si="20"/>
        <v>-629.91613511453215</v>
      </c>
      <c r="Z65" s="431">
        <f t="shared" ca="1" si="14"/>
        <v>-8325.2585096355215</v>
      </c>
      <c r="AB65" s="34">
        <f t="shared" si="0"/>
        <v>59</v>
      </c>
    </row>
    <row r="66" spans="1:28">
      <c r="A66" s="20" t="s">
        <v>803</v>
      </c>
      <c r="B66" s="15"/>
      <c r="C66" s="15"/>
      <c r="D66" s="74">
        <f ca="1">-Taxes!D54</f>
        <v>0</v>
      </c>
      <c r="E66" s="74">
        <f ca="1">-Taxes!E54</f>
        <v>-93.824260089390435</v>
      </c>
      <c r="F66" s="74">
        <f ca="1">-Taxes!F54</f>
        <v>-475.40832983642508</v>
      </c>
      <c r="G66" s="74">
        <f ca="1">-Taxes!G54</f>
        <v>0</v>
      </c>
      <c r="H66" s="74">
        <f ca="1">-Taxes!H54</f>
        <v>0</v>
      </c>
      <c r="I66" s="74">
        <f ca="1">-Taxes!I54</f>
        <v>-28.190186594245574</v>
      </c>
      <c r="J66" s="74">
        <f ca="1">-Taxes!J54</f>
        <v>0</v>
      </c>
      <c r="K66" s="74">
        <f ca="1">-Taxes!K54</f>
        <v>-652.80393976146297</v>
      </c>
      <c r="L66" s="74">
        <f ca="1">-Taxes!L54</f>
        <v>-545.88848847571899</v>
      </c>
      <c r="M66" s="74">
        <f ca="1">-Taxes!M54</f>
        <v>-1647.3848057183986</v>
      </c>
      <c r="N66" s="74">
        <f ca="1">-Taxes!N54</f>
        <v>-1547.0298040823643</v>
      </c>
      <c r="O66" s="74">
        <f ca="1">-Taxes!O54</f>
        <v>-325.29274891530639</v>
      </c>
      <c r="P66" s="74">
        <f ca="1">-Taxes!P54</f>
        <v>-751.37555318416423</v>
      </c>
      <c r="Q66" s="74">
        <f ca="1">-Taxes!Q54</f>
        <v>-4540.7427212411676</v>
      </c>
      <c r="R66" s="74">
        <f ca="1">-Taxes!R54</f>
        <v>-3751.3142819057398</v>
      </c>
      <c r="S66" s="74">
        <f ca="1">-Taxes!S54</f>
        <v>0</v>
      </c>
      <c r="T66" s="74">
        <f ca="1">-Taxes!T54</f>
        <v>-2407.4435722135208</v>
      </c>
      <c r="U66" s="74">
        <f ca="1">-Taxes!U54</f>
        <v>0</v>
      </c>
      <c r="V66" s="74">
        <f ca="1">-Taxes!V54</f>
        <v>0</v>
      </c>
      <c r="W66" s="74">
        <f ca="1">-Taxes!W54</f>
        <v>0</v>
      </c>
      <c r="X66" s="74">
        <f ca="1">-Taxes!X54</f>
        <v>0</v>
      </c>
      <c r="Y66" s="74">
        <f ca="1">-Taxes!Y54</f>
        <v>0</v>
      </c>
      <c r="Z66" s="431">
        <f t="shared" ca="1" si="14"/>
        <v>-16766.698692017904</v>
      </c>
      <c r="AA66" s="248" t="str">
        <f ca="1">IF(ABS(-Z66-Taxes!Z54)&lt;0.01," ","CHECK: TOTAL CASH TAXES DOES NOT MATCH TOTAL CASH TAXES CALC'D")</f>
        <v xml:space="preserve"> </v>
      </c>
      <c r="AB66" s="34">
        <f t="shared" si="0"/>
        <v>60</v>
      </c>
    </row>
    <row r="67" spans="1:28">
      <c r="A67" s="20" t="s">
        <v>144</v>
      </c>
      <c r="B67" s="15"/>
      <c r="C67" s="15"/>
      <c r="D67" s="74">
        <f ca="1">-'Debt Amort'!D13</f>
        <v>0</v>
      </c>
      <c r="E67" s="74">
        <f ca="1">-'Debt Amort'!E13</f>
        <v>0</v>
      </c>
      <c r="F67" s="74">
        <f ca="1">-'Debt Amort'!F13</f>
        <v>0</v>
      </c>
      <c r="G67" s="74">
        <f ca="1">-'Debt Amort'!G13</f>
        <v>0</v>
      </c>
      <c r="H67" s="74">
        <f ca="1">-'Debt Amort'!H13</f>
        <v>-12154.813826811755</v>
      </c>
      <c r="I67" s="74">
        <f ca="1">-'Debt Amort'!I13</f>
        <v>-12684.930048533581</v>
      </c>
      <c r="J67" s="74">
        <f ca="1">-'Debt Amort'!J13</f>
        <v>-14522.375240026344</v>
      </c>
      <c r="K67" s="74">
        <f ca="1">-'Debt Amort'!K13</f>
        <v>-15403.140421861506</v>
      </c>
      <c r="L67" s="74">
        <f ca="1">-'Debt Amort'!L13</f>
        <v>-16039.307763743778</v>
      </c>
      <c r="M67" s="74">
        <f ca="1">-'Debt Amort'!M13</f>
        <v>-16528.870410165604</v>
      </c>
      <c r="N67" s="74">
        <f ca="1">-'Debt Amort'!N13</f>
        <v>-15799.435242807904</v>
      </c>
      <c r="O67" s="74">
        <f ca="1">-'Debt Amort'!O13</f>
        <v>-15092.526990459122</v>
      </c>
      <c r="P67" s="74">
        <f ca="1">-'Debt Amort'!P13</f>
        <v>-15377.222082853108</v>
      </c>
      <c r="Q67" s="74">
        <f ca="1">-'Debt Amort'!Q13</f>
        <v>-16172.389922001716</v>
      </c>
      <c r="R67" s="74">
        <f ca="1">-'Debt Amort'!R13</f>
        <v>-13057.883990961853</v>
      </c>
      <c r="S67" s="74">
        <f ca="1">-'Debt Amort'!S13</f>
        <v>-13057.883990961853</v>
      </c>
      <c r="T67" s="74">
        <f ca="1">-'Debt Amort'!T13</f>
        <v>-13166.937350695027</v>
      </c>
      <c r="U67" s="74">
        <f ca="1">-'Debt Amort'!U13</f>
        <v>-12293.40262917526</v>
      </c>
      <c r="V67" s="74">
        <f ca="1">-'Debt Amort'!V13</f>
        <v>0</v>
      </c>
      <c r="W67" s="74">
        <f ca="1">-'Debt Amort'!W13</f>
        <v>0</v>
      </c>
      <c r="X67" s="74">
        <f ca="1">-'Debt Amort'!X13</f>
        <v>0</v>
      </c>
      <c r="Y67" s="74">
        <f ca="1">-'Debt Amort'!Y13</f>
        <v>0</v>
      </c>
      <c r="Z67" s="431">
        <f t="shared" ca="1" si="14"/>
        <v>-201351.1199110584</v>
      </c>
      <c r="AA67" s="248" t="str">
        <f ca="1">IF(ABS(-$Z$67-Tot_Debt)&lt;0.1," ","CHECK: DOES NOT EQUAL PRINCIPAL PAYMENTS MADE")</f>
        <v xml:space="preserve"> </v>
      </c>
      <c r="AB67" s="34">
        <f t="shared" si="0"/>
        <v>61</v>
      </c>
    </row>
    <row r="68" spans="1:28">
      <c r="A68" s="20"/>
      <c r="B68" s="15"/>
      <c r="C68" s="1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431"/>
      <c r="AB68" s="34">
        <f t="shared" si="0"/>
        <v>62</v>
      </c>
    </row>
    <row r="69" spans="1:28" s="9" customFormat="1">
      <c r="A69" s="448" t="s">
        <v>239</v>
      </c>
      <c r="B69" s="445"/>
      <c r="C69" s="445"/>
      <c r="D69" s="446">
        <f ca="1">SUM(D57:D68)</f>
        <v>0</v>
      </c>
      <c r="E69" s="446">
        <f t="shared" ref="E69:Y69" ca="1" si="21">SUM(E57:E68)</f>
        <v>-1978.5080752796939</v>
      </c>
      <c r="F69" s="446">
        <f t="shared" ca="1" si="21"/>
        <v>3358.33879983726</v>
      </c>
      <c r="G69" s="446">
        <f t="shared" ca="1" si="21"/>
        <v>15292.099302756214</v>
      </c>
      <c r="H69" s="446">
        <f t="shared" ca="1" si="21"/>
        <v>3992.7326393909971</v>
      </c>
      <c r="I69" s="446">
        <f t="shared" ca="1" si="21"/>
        <v>7128.9897710932128</v>
      </c>
      <c r="J69" s="446">
        <f t="shared" ca="1" si="21"/>
        <v>-4690.7217435673629</v>
      </c>
      <c r="K69" s="446">
        <f t="shared" ca="1" si="21"/>
        <v>9608.8453865877236</v>
      </c>
      <c r="L69" s="446">
        <f t="shared" ca="1" si="21"/>
        <v>10131.363833303953</v>
      </c>
      <c r="M69" s="446">
        <f t="shared" ca="1" si="21"/>
        <v>8279.000296983264</v>
      </c>
      <c r="N69" s="446">
        <f t="shared" ca="1" si="21"/>
        <v>8170.4798542217577</v>
      </c>
      <c r="O69" s="446">
        <f t="shared" ca="1" si="21"/>
        <v>10451.360584503487</v>
      </c>
      <c r="P69" s="446">
        <f t="shared" ca="1" si="21"/>
        <v>10961.310432263805</v>
      </c>
      <c r="Q69" s="446">
        <f t="shared" ca="1" si="21"/>
        <v>7181.6264434359691</v>
      </c>
      <c r="R69" s="446">
        <f t="shared" ca="1" si="21"/>
        <v>8144.6816675874816</v>
      </c>
      <c r="S69" s="446">
        <f t="shared" ca="1" si="21"/>
        <v>14311.988347270662</v>
      </c>
      <c r="T69" s="446">
        <f t="shared" ca="1" si="21"/>
        <v>5809.7683403504943</v>
      </c>
      <c r="U69" s="446">
        <f t="shared" ca="1" si="21"/>
        <v>-1989.4129735125789</v>
      </c>
      <c r="V69" s="446">
        <f t="shared" ca="1" si="21"/>
        <v>6085.6504638310435</v>
      </c>
      <c r="W69" s="446">
        <f t="shared" ca="1" si="21"/>
        <v>4689.9136385086094</v>
      </c>
      <c r="X69" s="446">
        <f t="shared" ca="1" si="21"/>
        <v>6224.605292607439</v>
      </c>
      <c r="Y69" s="446">
        <f t="shared" ca="1" si="21"/>
        <v>7602.4462208909536</v>
      </c>
      <c r="Z69" s="450">
        <f ca="1">SUM(D69:Y69)</f>
        <v>138766.55852306471</v>
      </c>
      <c r="AB69" s="34">
        <f t="shared" si="0"/>
        <v>63</v>
      </c>
    </row>
    <row r="70" spans="1:28">
      <c r="A70" s="20"/>
      <c r="B70" s="15"/>
      <c r="C70" s="1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431"/>
      <c r="AB70" s="34">
        <f t="shared" si="0"/>
        <v>64</v>
      </c>
    </row>
    <row r="71" spans="1:28">
      <c r="A71" s="20" t="s">
        <v>145</v>
      </c>
      <c r="B71" s="15"/>
      <c r="C71" s="15"/>
      <c r="D71" s="74">
        <f ca="1">-'Debt Amort'!D20</f>
        <v>0</v>
      </c>
      <c r="E71" s="74">
        <f ca="1">-'Debt Amort'!E20</f>
        <v>0</v>
      </c>
      <c r="F71" s="74">
        <f ca="1">-'Debt Amort'!F20</f>
        <v>0</v>
      </c>
      <c r="G71" s="74">
        <f ca="1">-'Debt Amort'!G20</f>
        <v>0</v>
      </c>
      <c r="H71" s="74">
        <f ca="1">-'Debt Amort'!H20</f>
        <v>-2228.4103888757058</v>
      </c>
      <c r="I71" s="74">
        <f ca="1">-'Debt Amort'!I20</f>
        <v>-2527.5187733225443</v>
      </c>
      <c r="J71" s="74">
        <f ca="1">-'Debt Amort'!J20</f>
        <v>-2866.7749806717629</v>
      </c>
      <c r="K71" s="74">
        <f ca="1">-'Debt Amort'!K20</f>
        <v>-3251.5678524524315</v>
      </c>
      <c r="L71" s="74">
        <f ca="1">-'Debt Amort'!L20</f>
        <v>-3688.0095474478567</v>
      </c>
      <c r="M71" s="74">
        <f ca="1">-'Debt Amort'!M20</f>
        <v>-4183.0326289540444</v>
      </c>
      <c r="N71" s="74">
        <f ca="1">-'Debt Amort'!N20</f>
        <v>-4744.5001835753974</v>
      </c>
      <c r="O71" s="74">
        <f ca="1">-'Debt Amort'!O20</f>
        <v>-5381.330720715805</v>
      </c>
      <c r="P71" s="74">
        <f ca="1">-'Debt Amort'!P20</f>
        <v>-6103.6398367038801</v>
      </c>
      <c r="Q71" s="74">
        <f ca="1">-'Debt Amort'!Q20</f>
        <v>-6922.9008937854551</v>
      </c>
      <c r="R71" s="74">
        <f ca="1">-'Debt Amort'!R20</f>
        <v>-7852.1272662537895</v>
      </c>
      <c r="S71" s="74">
        <f ca="1">-'Debt Amort'!S20</f>
        <v>0</v>
      </c>
      <c r="T71" s="74">
        <f ca="1">-'Debt Amort'!T20</f>
        <v>0</v>
      </c>
      <c r="U71" s="74">
        <f ca="1">-'Debt Amort'!U20</f>
        <v>0</v>
      </c>
      <c r="V71" s="74">
        <f ca="1">-'Debt Amort'!V20</f>
        <v>0</v>
      </c>
      <c r="W71" s="74">
        <f ca="1">-'Debt Amort'!W20</f>
        <v>0</v>
      </c>
      <c r="X71" s="74">
        <f ca="1">-'Debt Amort'!X20</f>
        <v>0</v>
      </c>
      <c r="Y71" s="74">
        <f ca="1">-'Debt Amort'!Y20</f>
        <v>0</v>
      </c>
      <c r="Z71" s="431">
        <f ca="1">SUM(D71:Y71)</f>
        <v>-49749.813072758669</v>
      </c>
      <c r="AA71" s="248" t="str">
        <f ca="1">IF(ABS(-$Z$67-Tot_Debt)&lt;0.1," ","CHECK: DOES NOT EQUAL PRINCIPAL PAYMENTS MADE")</f>
        <v xml:space="preserve"> </v>
      </c>
      <c r="AB71" s="34">
        <f t="shared" si="0"/>
        <v>65</v>
      </c>
    </row>
    <row r="72" spans="1:28">
      <c r="A72" s="20"/>
      <c r="B72" s="15"/>
      <c r="C72" s="1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431"/>
      <c r="AB72" s="34">
        <f t="shared" si="0"/>
        <v>66</v>
      </c>
    </row>
    <row r="73" spans="1:28" s="9" customFormat="1">
      <c r="A73" s="448" t="s">
        <v>508</v>
      </c>
      <c r="B73" s="445"/>
      <c r="C73" s="445"/>
      <c r="D73" s="446">
        <f ca="1">SUM(D69:D72)</f>
        <v>0</v>
      </c>
      <c r="E73" s="446">
        <f t="shared" ref="E73:Y73" ca="1" si="22">SUM(E69:E72)</f>
        <v>-1978.5080752796939</v>
      </c>
      <c r="F73" s="446">
        <f t="shared" ca="1" si="22"/>
        <v>3358.33879983726</v>
      </c>
      <c r="G73" s="446">
        <f t="shared" ca="1" si="22"/>
        <v>15292.099302756214</v>
      </c>
      <c r="H73" s="446">
        <f t="shared" ca="1" si="22"/>
        <v>1764.3222505152912</v>
      </c>
      <c r="I73" s="446">
        <f t="shared" ca="1" si="22"/>
        <v>4601.470997770668</v>
      </c>
      <c r="J73" s="446">
        <f t="shared" ca="1" si="22"/>
        <v>-7557.4967242391258</v>
      </c>
      <c r="K73" s="446">
        <f t="shared" ca="1" si="22"/>
        <v>6357.2775341352917</v>
      </c>
      <c r="L73" s="446">
        <f t="shared" ca="1" si="22"/>
        <v>6443.3542858560959</v>
      </c>
      <c r="M73" s="446">
        <f t="shared" ca="1" si="22"/>
        <v>4095.9676680292196</v>
      </c>
      <c r="N73" s="446">
        <f t="shared" ca="1" si="22"/>
        <v>3425.9796706463603</v>
      </c>
      <c r="O73" s="446">
        <f t="shared" ca="1" si="22"/>
        <v>5070.0298637876822</v>
      </c>
      <c r="P73" s="446">
        <f t="shared" ca="1" si="22"/>
        <v>4857.6705955599245</v>
      </c>
      <c r="Q73" s="446">
        <f t="shared" ca="1" si="22"/>
        <v>258.72554965051404</v>
      </c>
      <c r="R73" s="446">
        <f t="shared" ca="1" si="22"/>
        <v>292.55440133369211</v>
      </c>
      <c r="S73" s="446">
        <f t="shared" ca="1" si="22"/>
        <v>14311.988347270662</v>
      </c>
      <c r="T73" s="446">
        <f t="shared" ca="1" si="22"/>
        <v>5809.7683403504943</v>
      </c>
      <c r="U73" s="446">
        <f t="shared" ca="1" si="22"/>
        <v>-1989.4129735125789</v>
      </c>
      <c r="V73" s="446">
        <f t="shared" ca="1" si="22"/>
        <v>6085.6504638310435</v>
      </c>
      <c r="W73" s="446">
        <f t="shared" ca="1" si="22"/>
        <v>4689.9136385086094</v>
      </c>
      <c r="X73" s="446">
        <f t="shared" ca="1" si="22"/>
        <v>6224.605292607439</v>
      </c>
      <c r="Y73" s="446">
        <f t="shared" ca="1" si="22"/>
        <v>7602.4462208909536</v>
      </c>
      <c r="Z73" s="450">
        <f ca="1">SUM(D73:Y73)</f>
        <v>89016.745450306014</v>
      </c>
      <c r="AB73" s="34">
        <f t="shared" si="0"/>
        <v>67</v>
      </c>
    </row>
    <row r="74" spans="1:28">
      <c r="A74" s="20"/>
      <c r="B74" s="15"/>
      <c r="C74" s="1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431"/>
      <c r="AB74" s="34">
        <f t="shared" si="0"/>
        <v>68</v>
      </c>
    </row>
    <row r="75" spans="1:28">
      <c r="A75" s="150" t="s">
        <v>1903</v>
      </c>
      <c r="B75" s="36"/>
      <c r="C75" s="36"/>
      <c r="D75" s="222">
        <f ca="1">-Trapped!F29</f>
        <v>0</v>
      </c>
      <c r="E75" s="222">
        <f ca="1">-Trapped!G29</f>
        <v>0</v>
      </c>
      <c r="F75" s="222">
        <f ca="1">-Trapped!H29</f>
        <v>-3358.33879983726</v>
      </c>
      <c r="G75" s="222">
        <f ca="1">-Trapped!I29</f>
        <v>-15292.099302756214</v>
      </c>
      <c r="H75" s="222">
        <f ca="1">-Trapped!J29</f>
        <v>-1764.3222505152917</v>
      </c>
      <c r="I75" s="222">
        <f ca="1">-Trapped!K29</f>
        <v>-4601.4709977706661</v>
      </c>
      <c r="J75" s="222">
        <f ca="1">-Trapped!L29</f>
        <v>0</v>
      </c>
      <c r="K75" s="222">
        <f ca="1">-Trapped!M29</f>
        <v>-6357.2775341352935</v>
      </c>
      <c r="L75" s="222">
        <f ca="1">-Trapped!N29</f>
        <v>-6443.3542858560977</v>
      </c>
      <c r="M75" s="222">
        <f ca="1">-Trapped!O29</f>
        <v>-1798.9087956676231</v>
      </c>
      <c r="N75" s="222">
        <f ca="1">-Trapped!P29</f>
        <v>0</v>
      </c>
      <c r="O75" s="222">
        <f ca="1">-Trapped!Q29</f>
        <v>0</v>
      </c>
      <c r="P75" s="222">
        <f ca="1">-Trapped!R29</f>
        <v>0</v>
      </c>
      <c r="Q75" s="222">
        <f ca="1">-Trapped!S29</f>
        <v>0</v>
      </c>
      <c r="R75" s="222">
        <f ca="1">-Trapped!T29</f>
        <v>0</v>
      </c>
      <c r="S75" s="222">
        <f ca="1">-Trapped!U29</f>
        <v>-7218.7258825083991</v>
      </c>
      <c r="T75" s="222">
        <f ca="1">-Trapped!V29</f>
        <v>-3399.2634171639511</v>
      </c>
      <c r="U75" s="222">
        <f ca="1">-Trapped!W29</f>
        <v>0</v>
      </c>
      <c r="V75" s="222">
        <f ca="1">-Trapped!X29</f>
        <v>-6085.6504638310435</v>
      </c>
      <c r="W75" s="222">
        <f ca="1">-Trapped!Y29</f>
        <v>-4689.9136385086094</v>
      </c>
      <c r="X75" s="222">
        <f ca="1">-Trapped!Z29</f>
        <v>-6224.6052926074371</v>
      </c>
      <c r="Y75" s="222">
        <f ca="1">-Trapped!AA29</f>
        <v>0</v>
      </c>
      <c r="Z75" s="451">
        <f ca="1">SUM(D75:Y75)</f>
        <v>-67233.930661157894</v>
      </c>
      <c r="AB75" s="34">
        <f t="shared" si="0"/>
        <v>69</v>
      </c>
    </row>
    <row r="76" spans="1:28">
      <c r="A76" s="150" t="s">
        <v>1904</v>
      </c>
      <c r="B76" s="36"/>
      <c r="C76" s="36"/>
      <c r="D76" s="222">
        <f ca="1">-Trapped!F30</f>
        <v>0</v>
      </c>
      <c r="E76" s="222">
        <f ca="1">-Trapped!G30</f>
        <v>1978.5080752796939</v>
      </c>
      <c r="F76" s="222">
        <f ca="1">-Trapped!H30</f>
        <v>0</v>
      </c>
      <c r="G76" s="222">
        <f ca="1">-Trapped!I30</f>
        <v>0</v>
      </c>
      <c r="H76" s="222">
        <f ca="1">-Trapped!J30</f>
        <v>0</v>
      </c>
      <c r="I76" s="222">
        <f ca="1">-Trapped!K30</f>
        <v>0</v>
      </c>
      <c r="J76" s="222">
        <f ca="1">-Trapped!L30</f>
        <v>7557.4967242391249</v>
      </c>
      <c r="K76" s="222">
        <f ca="1">-Trapped!M30</f>
        <v>0</v>
      </c>
      <c r="L76" s="222">
        <f ca="1">-Trapped!N30</f>
        <v>0</v>
      </c>
      <c r="M76" s="222">
        <f ca="1">-Trapped!O30</f>
        <v>0</v>
      </c>
      <c r="N76" s="222">
        <f ca="1">-Trapped!P30</f>
        <v>2518.8166858842778</v>
      </c>
      <c r="O76" s="222">
        <f ca="1">-Trapped!Q30</f>
        <v>1145.3822044160261</v>
      </c>
      <c r="P76" s="222">
        <f ca="1">-Trapped!R30</f>
        <v>2296.2438747794404</v>
      </c>
      <c r="Q76" s="222">
        <f ca="1">-Trapped!S30</f>
        <v>7513.8974053484417</v>
      </c>
      <c r="R76" s="222">
        <f ca="1">-Trapped!T30</f>
        <v>5218.333666498198</v>
      </c>
      <c r="S76" s="222">
        <f ca="1">-Trapped!U30</f>
        <v>0</v>
      </c>
      <c r="T76" s="222">
        <f ca="1">-Trapped!V30</f>
        <v>0</v>
      </c>
      <c r="U76" s="222">
        <f ca="1">-Trapped!W30</f>
        <v>1989.4129735125789</v>
      </c>
      <c r="V76" s="222">
        <f ca="1">-Trapped!X30</f>
        <v>0</v>
      </c>
      <c r="W76" s="222">
        <f ca="1">-Trapped!Y30</f>
        <v>0</v>
      </c>
      <c r="X76" s="222">
        <f ca="1">-Trapped!Z30</f>
        <v>0</v>
      </c>
      <c r="Y76" s="222">
        <f ca="1">-Trapped!AA30</f>
        <v>37015.839051200106</v>
      </c>
      <c r="Z76" s="451">
        <f ca="1">SUM(D76:Y76)</f>
        <v>67233.93066115788</v>
      </c>
      <c r="AB76" s="34">
        <f>AB75+1</f>
        <v>70</v>
      </c>
    </row>
    <row r="77" spans="1:28">
      <c r="A77" s="20"/>
      <c r="B77" s="15"/>
      <c r="C77" s="1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431"/>
      <c r="AB77" s="34">
        <f>AB76+1</f>
        <v>71</v>
      </c>
    </row>
    <row r="78" spans="1:28" s="9" customFormat="1">
      <c r="A78" s="448" t="s">
        <v>811</v>
      </c>
      <c r="B78" s="445"/>
      <c r="C78" s="445"/>
      <c r="D78" s="446">
        <f t="shared" ref="D78:Y78" ca="1" si="23">SUM(D73:D77)</f>
        <v>0</v>
      </c>
      <c r="E78" s="446">
        <f t="shared" ca="1" si="23"/>
        <v>0</v>
      </c>
      <c r="F78" s="446">
        <f t="shared" ca="1" si="23"/>
        <v>0</v>
      </c>
      <c r="G78" s="446">
        <f t="shared" ca="1" si="23"/>
        <v>0</v>
      </c>
      <c r="H78" s="446">
        <f t="shared" ca="1" si="23"/>
        <v>-4.5474735088646412E-13</v>
      </c>
      <c r="I78" s="446">
        <f t="shared" ca="1" si="23"/>
        <v>1.8189894035458565E-12</v>
      </c>
      <c r="J78" s="446">
        <f t="shared" ca="1" si="23"/>
        <v>0</v>
      </c>
      <c r="K78" s="446">
        <f t="shared" ca="1" si="23"/>
        <v>-1.8189894035458565E-12</v>
      </c>
      <c r="L78" s="446">
        <f t="shared" ca="1" si="23"/>
        <v>-1.8189894035458565E-12</v>
      </c>
      <c r="M78" s="446">
        <f t="shared" ca="1" si="23"/>
        <v>2297.0588723615965</v>
      </c>
      <c r="N78" s="446">
        <f t="shared" ca="1" si="23"/>
        <v>5944.7963565306381</v>
      </c>
      <c r="O78" s="446">
        <f t="shared" ca="1" si="23"/>
        <v>6215.4120682037083</v>
      </c>
      <c r="P78" s="446">
        <f t="shared" ca="1" si="23"/>
        <v>7153.9144703393649</v>
      </c>
      <c r="Q78" s="446">
        <f t="shared" ca="1" si="23"/>
        <v>7772.6229549989557</v>
      </c>
      <c r="R78" s="446">
        <f t="shared" ca="1" si="23"/>
        <v>5510.8880678318901</v>
      </c>
      <c r="S78" s="446">
        <f t="shared" ca="1" si="23"/>
        <v>7093.2624647622633</v>
      </c>
      <c r="T78" s="446">
        <f t="shared" ca="1" si="23"/>
        <v>2410.5049231865432</v>
      </c>
      <c r="U78" s="446">
        <f t="shared" ca="1" si="23"/>
        <v>0</v>
      </c>
      <c r="V78" s="446">
        <f t="shared" ca="1" si="23"/>
        <v>0</v>
      </c>
      <c r="W78" s="446">
        <f t="shared" ca="1" si="23"/>
        <v>0</v>
      </c>
      <c r="X78" s="446">
        <f t="shared" ca="1" si="23"/>
        <v>1.8189894035458565E-12</v>
      </c>
      <c r="Y78" s="446">
        <f t="shared" ca="1" si="23"/>
        <v>44618.28527209106</v>
      </c>
      <c r="Z78" s="450">
        <f ca="1">SUM(D78:Y78)</f>
        <v>89016.745450306014</v>
      </c>
      <c r="AB78" s="34">
        <f>AB77+1</f>
        <v>72</v>
      </c>
    </row>
    <row r="79" spans="1:28" ht="13.5" thickBot="1">
      <c r="A79" s="48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43"/>
      <c r="AB79" s="34">
        <f>AB78+1</f>
        <v>73</v>
      </c>
    </row>
    <row r="80" spans="1:28"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AB80" s="34"/>
    </row>
    <row r="81" spans="9:9">
      <c r="I81" s="1560">
        <f ca="1">-I75</f>
        <v>4601.4709977706661</v>
      </c>
    </row>
  </sheetData>
  <printOptions horizontalCentered="1"/>
  <pageMargins left="0.25" right="0.25" top="0.5" bottom="0.5" header="0.25" footer="0.25"/>
  <pageSetup scale="41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autoPageBreaks="0" fitToPage="1"/>
  </sheetPr>
  <dimension ref="A1:AG58"/>
  <sheetViews>
    <sheetView showGridLines="0" topLeftCell="A31" zoomScale="80" workbookViewId="0">
      <selection activeCell="D71" sqref="D71"/>
    </sheetView>
  </sheetViews>
  <sheetFormatPr defaultRowHeight="12.75"/>
  <cols>
    <col min="1" max="1" width="8.7109375" style="15" customWidth="1"/>
    <col min="2" max="2" width="35.7109375" style="15" customWidth="1"/>
    <col min="3" max="3" width="10.28515625" style="15" customWidth="1"/>
    <col min="4" max="4" width="9.7109375" style="15" customWidth="1"/>
    <col min="5" max="6" width="10.7109375" style="15" customWidth="1"/>
    <col min="7" max="7" width="10.5703125" style="15" bestFit="1" customWidth="1"/>
    <col min="8" max="8" width="10.7109375" style="15" bestFit="1" customWidth="1"/>
    <col min="9" max="27" width="9.7109375" style="15" customWidth="1"/>
    <col min="28" max="29" width="12.140625" style="15" bestFit="1" customWidth="1"/>
    <col min="30" max="30" width="9.140625" style="15"/>
    <col min="31" max="16384" width="9.140625" style="7"/>
  </cols>
  <sheetData>
    <row r="1" spans="1:30" s="1" customFormat="1" ht="15.75">
      <c r="A1" s="1137" t="str">
        <f>CONCATENATE(TOC!B2," ",TOC!B6)</f>
        <v>EMPRESSA PRODUTORA DE ENERGÍA LTDA (EPE) *** DRAFT COPY ***</v>
      </c>
      <c r="AC1" s="15"/>
      <c r="AD1" s="15"/>
    </row>
    <row r="2" spans="1:30" s="1" customFormat="1" ht="15.75">
      <c r="A2" s="1137" t="str">
        <f>TOC!B3</f>
        <v>480 MW POWER PLANT (CUIABA, BRAZIL)</v>
      </c>
      <c r="AC2" s="15"/>
      <c r="AD2" s="15"/>
    </row>
    <row r="3" spans="1:30" s="1" customFormat="1" ht="15">
      <c r="A3" s="118" t="str">
        <f>TOC!B4</f>
        <v>ENRON INTERNATIONAL</v>
      </c>
      <c r="F3" s="1006" t="s">
        <v>1912</v>
      </c>
      <c r="I3" s="1370">
        <v>0</v>
      </c>
      <c r="AC3" s="15"/>
      <c r="AD3" s="15"/>
    </row>
    <row r="4" spans="1:30" s="1" customFormat="1" ht="15">
      <c r="A4" s="932" t="s">
        <v>1070</v>
      </c>
      <c r="B4" s="933"/>
      <c r="C4" s="933"/>
      <c r="AC4" s="15"/>
      <c r="AD4" s="15"/>
    </row>
    <row r="5" spans="1:30" customFormat="1" ht="13.5" thickBo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5"/>
      <c r="AD5" s="15"/>
    </row>
    <row r="6" spans="1:30" s="15" customFormat="1">
      <c r="A6" s="412" t="s">
        <v>471</v>
      </c>
      <c r="B6" s="11"/>
      <c r="C6" s="11"/>
      <c r="D6" s="11"/>
      <c r="E6" s="11">
        <f ca="1">IF(E$7&lt;YEAR(Startops1),0,D6+1)</f>
        <v>0</v>
      </c>
      <c r="F6" s="11">
        <f t="shared" ref="F6:AA6" ca="1" si="0">IF(F$7&lt;YEAR(Startops1),0,E6+1)</f>
        <v>0</v>
      </c>
      <c r="G6" s="11">
        <f t="shared" ca="1" si="0"/>
        <v>1</v>
      </c>
      <c r="H6" s="11">
        <f t="shared" ca="1" si="0"/>
        <v>2</v>
      </c>
      <c r="I6" s="11">
        <f t="shared" ca="1" si="0"/>
        <v>3</v>
      </c>
      <c r="J6" s="11">
        <f t="shared" ca="1" si="0"/>
        <v>4</v>
      </c>
      <c r="K6" s="11">
        <f t="shared" ca="1" si="0"/>
        <v>5</v>
      </c>
      <c r="L6" s="11">
        <f t="shared" ca="1" si="0"/>
        <v>6</v>
      </c>
      <c r="M6" s="11">
        <f t="shared" ca="1" si="0"/>
        <v>7</v>
      </c>
      <c r="N6" s="11">
        <f t="shared" ca="1" si="0"/>
        <v>8</v>
      </c>
      <c r="O6" s="11">
        <f t="shared" ca="1" si="0"/>
        <v>9</v>
      </c>
      <c r="P6" s="11">
        <f t="shared" ca="1" si="0"/>
        <v>10</v>
      </c>
      <c r="Q6" s="11">
        <f t="shared" ca="1" si="0"/>
        <v>11</v>
      </c>
      <c r="R6" s="11">
        <f t="shared" ca="1" si="0"/>
        <v>12</v>
      </c>
      <c r="S6" s="11">
        <f t="shared" ca="1" si="0"/>
        <v>13</v>
      </c>
      <c r="T6" s="11">
        <f t="shared" ca="1" si="0"/>
        <v>14</v>
      </c>
      <c r="U6" s="11">
        <f t="shared" ca="1" si="0"/>
        <v>15</v>
      </c>
      <c r="V6" s="11">
        <f t="shared" ca="1" si="0"/>
        <v>16</v>
      </c>
      <c r="W6" s="11">
        <f t="shared" ca="1" si="0"/>
        <v>17</v>
      </c>
      <c r="X6" s="11">
        <f t="shared" ca="1" si="0"/>
        <v>18</v>
      </c>
      <c r="Y6" s="11">
        <f t="shared" ca="1" si="0"/>
        <v>19</v>
      </c>
      <c r="Z6" s="11">
        <f t="shared" ca="1" si="0"/>
        <v>20</v>
      </c>
      <c r="AA6" s="11">
        <f t="shared" ca="1" si="0"/>
        <v>21</v>
      </c>
      <c r="AB6" s="424"/>
      <c r="AC6" s="470" t="s">
        <v>414</v>
      </c>
    </row>
    <row r="7" spans="1:30" s="15" customFormat="1" ht="13.5" thickBot="1">
      <c r="A7" s="455" t="s">
        <v>444</v>
      </c>
      <c r="B7" s="49"/>
      <c r="C7" s="49"/>
      <c r="D7" s="49"/>
      <c r="E7" s="320">
        <f>YEAR(Startconst)</f>
        <v>1997</v>
      </c>
      <c r="F7" s="83">
        <f>E7+1</f>
        <v>1998</v>
      </c>
      <c r="G7" s="83">
        <f t="shared" ref="G7:AA7" si="1">F7+1</f>
        <v>1999</v>
      </c>
      <c r="H7" s="83">
        <f t="shared" si="1"/>
        <v>2000</v>
      </c>
      <c r="I7" s="83">
        <f t="shared" si="1"/>
        <v>2001</v>
      </c>
      <c r="J7" s="83">
        <f t="shared" si="1"/>
        <v>2002</v>
      </c>
      <c r="K7" s="83">
        <f t="shared" si="1"/>
        <v>2003</v>
      </c>
      <c r="L7" s="83">
        <f t="shared" si="1"/>
        <v>2004</v>
      </c>
      <c r="M7" s="83">
        <f t="shared" si="1"/>
        <v>2005</v>
      </c>
      <c r="N7" s="83">
        <f t="shared" si="1"/>
        <v>2006</v>
      </c>
      <c r="O7" s="83">
        <f t="shared" si="1"/>
        <v>2007</v>
      </c>
      <c r="P7" s="83">
        <f t="shared" si="1"/>
        <v>2008</v>
      </c>
      <c r="Q7" s="83">
        <f t="shared" si="1"/>
        <v>2009</v>
      </c>
      <c r="R7" s="83">
        <f t="shared" si="1"/>
        <v>2010</v>
      </c>
      <c r="S7" s="83">
        <f t="shared" si="1"/>
        <v>2011</v>
      </c>
      <c r="T7" s="83">
        <f t="shared" si="1"/>
        <v>2012</v>
      </c>
      <c r="U7" s="83">
        <f t="shared" si="1"/>
        <v>2013</v>
      </c>
      <c r="V7" s="83">
        <f t="shared" si="1"/>
        <v>2014</v>
      </c>
      <c r="W7" s="83">
        <f t="shared" si="1"/>
        <v>2015</v>
      </c>
      <c r="X7" s="83">
        <f t="shared" si="1"/>
        <v>2016</v>
      </c>
      <c r="Y7" s="83">
        <f t="shared" si="1"/>
        <v>2017</v>
      </c>
      <c r="Z7" s="83">
        <f t="shared" si="1"/>
        <v>2018</v>
      </c>
      <c r="AA7" s="83">
        <f t="shared" si="1"/>
        <v>2019</v>
      </c>
      <c r="AB7" s="425" t="s">
        <v>441</v>
      </c>
      <c r="AC7" s="425" t="s">
        <v>1508</v>
      </c>
    </row>
    <row r="8" spans="1:30" s="15" customFormat="1">
      <c r="A8" s="412"/>
      <c r="AB8" s="430"/>
      <c r="AC8" s="430"/>
    </row>
    <row r="9" spans="1:30">
      <c r="A9" s="27" t="s">
        <v>27</v>
      </c>
      <c r="AB9" s="430"/>
      <c r="AC9" s="430"/>
    </row>
    <row r="10" spans="1:30">
      <c r="A10" s="20"/>
      <c r="B10" s="15" t="s">
        <v>1072</v>
      </c>
      <c r="E10" s="1342">
        <f>IF(I$3=0,0,SUM($E13:E13)/SUM($E13:E13,#REF!)*I3)</f>
        <v>0</v>
      </c>
      <c r="F10" s="77">
        <f>Assm!$K$88</f>
        <v>1</v>
      </c>
      <c r="G10" s="77">
        <f>Assm!$K$88</f>
        <v>1</v>
      </c>
      <c r="H10" s="77">
        <f>Assm!$K$88</f>
        <v>1</v>
      </c>
      <c r="I10" s="77">
        <f>Assm!$K$88</f>
        <v>1</v>
      </c>
      <c r="J10" s="77">
        <f>Assm!$K$88</f>
        <v>1</v>
      </c>
      <c r="K10" s="77">
        <f>Assm!$K$88</f>
        <v>1</v>
      </c>
      <c r="L10" s="77">
        <f>Assm!$K$88</f>
        <v>1</v>
      </c>
      <c r="M10" s="77">
        <f>Assm!$K$88</f>
        <v>1</v>
      </c>
      <c r="N10" s="77">
        <f>Assm!$K$88</f>
        <v>1</v>
      </c>
      <c r="O10" s="77">
        <f>Assm!$K$88</f>
        <v>1</v>
      </c>
      <c r="P10" s="77">
        <f>Assm!$K$88</f>
        <v>1</v>
      </c>
      <c r="Q10" s="77">
        <f>Assm!$K$88</f>
        <v>1</v>
      </c>
      <c r="R10" s="77">
        <f>Assm!$K$88</f>
        <v>1</v>
      </c>
      <c r="S10" s="77">
        <f>Assm!$K$88</f>
        <v>1</v>
      </c>
      <c r="T10" s="77">
        <f>Assm!$K$88</f>
        <v>1</v>
      </c>
      <c r="U10" s="77">
        <f>Assm!$K$88</f>
        <v>1</v>
      </c>
      <c r="V10" s="77">
        <f>Assm!$K$88</f>
        <v>1</v>
      </c>
      <c r="W10" s="77">
        <f>Assm!$K$88</f>
        <v>1</v>
      </c>
      <c r="X10" s="77">
        <f>Assm!$K$88</f>
        <v>1</v>
      </c>
      <c r="Y10" s="77">
        <f>Assm!$K$88</f>
        <v>1</v>
      </c>
      <c r="Z10" s="77">
        <f>Assm!$K$88</f>
        <v>1</v>
      </c>
      <c r="AA10" s="77">
        <f>Assm!$K$88</f>
        <v>1</v>
      </c>
      <c r="AB10" s="465"/>
      <c r="AC10" s="430"/>
    </row>
    <row r="11" spans="1:30">
      <c r="A11" s="20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465"/>
      <c r="AC11" s="430"/>
    </row>
    <row r="12" spans="1:30" s="15" customFormat="1">
      <c r="A12" s="20"/>
      <c r="B12" s="1328" t="s">
        <v>1612</v>
      </c>
      <c r="AB12" s="430"/>
      <c r="AC12" s="430"/>
    </row>
    <row r="13" spans="1:30">
      <c r="A13" s="20"/>
      <c r="B13" s="15" t="s">
        <v>781</v>
      </c>
      <c r="E13" s="222">
        <f ca="1">-HLOOKUP(DATE(E$7,12,31),Idc_Table,IDC!$BB$84)*I3-SUM($D13:D13)</f>
        <v>0</v>
      </c>
      <c r="F13" s="222">
        <f ca="1">-HLOOKUP(DATE(F$7,12,31),Idc_Table,IDC!$BB$84)-SUM($D13:E13)</f>
        <v>-92793.570204919088</v>
      </c>
      <c r="G13" s="222">
        <f ca="1">-HLOOKUP(DATE(G$7,12,31),Idc_Table,IDC!$BB$84)-SUM($D13:F13)</f>
        <v>0</v>
      </c>
      <c r="H13" s="222">
        <f ca="1">-HLOOKUP(DATE(H$7,12,31),Idc_Table,IDC!$BB$84)-SUM($D13:G13)</f>
        <v>0</v>
      </c>
      <c r="I13" s="222">
        <f ca="1">-HLOOKUP(DATE(I$7,12,31),Idc_Table,IDC!$BB$84)-SUM($D13:H13)</f>
        <v>0</v>
      </c>
      <c r="J13" s="222">
        <f ca="1">-HLOOKUP(DATE(J$7,12,31),Idc_Table,IDC!$BB$84)-SUM($D13:I13)</f>
        <v>0</v>
      </c>
      <c r="K13" s="222">
        <f ca="1">-HLOOKUP(DATE(K$7,12,31),Idc_Table,IDC!$BB$84)-SUM($D13:J13)</f>
        <v>0</v>
      </c>
      <c r="L13" s="222">
        <f ca="1">-HLOOKUP(DATE(L$7,12,31),Idc_Table,IDC!$BB$84)-SUM($D13:K13)</f>
        <v>0</v>
      </c>
      <c r="M13" s="222">
        <f ca="1">-HLOOKUP(DATE(M$7,12,31),Idc_Table,IDC!$BB$84)-SUM($D13:L13)</f>
        <v>0</v>
      </c>
      <c r="N13" s="222">
        <f ca="1">-HLOOKUP(DATE(N$7,12,31),Idc_Table,IDC!$BB$84)-SUM($D13:M13)</f>
        <v>0</v>
      </c>
      <c r="O13" s="222">
        <f ca="1">-HLOOKUP(DATE(O$7,12,31),Idc_Table,IDC!$BB$84)-SUM($D13:N13)</f>
        <v>0</v>
      </c>
      <c r="P13" s="222">
        <f ca="1">-HLOOKUP(DATE(P$7,12,31),Idc_Table,IDC!$BB$84)-SUM($D13:O13)</f>
        <v>0</v>
      </c>
      <c r="Q13" s="222">
        <f ca="1">-HLOOKUP(DATE(Q$7,12,31),Idc_Table,IDC!$BB$84)-SUM($D13:P13)</f>
        <v>0</v>
      </c>
      <c r="R13" s="222">
        <f ca="1">-HLOOKUP(DATE(R$7,12,31),Idc_Table,IDC!$BB$84)-SUM($D13:Q13)</f>
        <v>0</v>
      </c>
      <c r="S13" s="222">
        <f ca="1">-HLOOKUP(DATE(S$7,12,31),Idc_Table,IDC!$BB$84)-SUM($D13:R13)</f>
        <v>0</v>
      </c>
      <c r="T13" s="222">
        <f ca="1">-HLOOKUP(DATE(T$7,12,31),Idc_Table,IDC!$BB$84)-SUM($D13:S13)</f>
        <v>0</v>
      </c>
      <c r="U13" s="222">
        <f ca="1">-HLOOKUP(DATE(U$7,12,31),Idc_Table,IDC!$BB$84)-SUM($D13:T13)</f>
        <v>0</v>
      </c>
      <c r="V13" s="222">
        <f ca="1">-HLOOKUP(DATE(V$7,12,31),Idc_Table,IDC!$BB$84)-SUM($D13:U13)</f>
        <v>0</v>
      </c>
      <c r="W13" s="222">
        <f ca="1">-HLOOKUP(DATE(W$7,12,31),Idc_Table,IDC!$BB$84)-SUM($D13:V13)</f>
        <v>0</v>
      </c>
      <c r="X13" s="222">
        <f ca="1">-HLOOKUP(DATE(X$7,12,31),Idc_Table,IDC!$BB$84)-SUM($D13:W13)</f>
        <v>0</v>
      </c>
      <c r="Y13" s="222">
        <f ca="1">-HLOOKUP(DATE(Y$7,12,31),Idc_Table,IDC!$BB$84)-SUM($D13:X13)</f>
        <v>0</v>
      </c>
      <c r="Z13" s="222">
        <f ca="1">-HLOOKUP(DATE(Z$7,12,31),Idc_Table,IDC!$BB$84)-SUM($D13:Y13)</f>
        <v>0</v>
      </c>
      <c r="AA13" s="222">
        <f ca="1">-HLOOKUP(DATE(AA$7,12,31),Idc_Table,IDC!$BB$84)-SUM($D13:Z13)</f>
        <v>0</v>
      </c>
      <c r="AB13" s="466">
        <f ca="1">SUM(E13:AA13)</f>
        <v>-92793.570204919088</v>
      </c>
      <c r="AC13" s="463">
        <f ca="1">IF($I$3=0,F13+NPV(Disc,G13:AA13),E13+NPV(Disc,F13:AA13))</f>
        <v>-92793.570204919088</v>
      </c>
    </row>
    <row r="14" spans="1:30">
      <c r="A14" s="20"/>
      <c r="B14" s="15" t="s">
        <v>1613</v>
      </c>
      <c r="E14" s="37">
        <f ca="1">IF(E$7&lt;YEAR(Startops1),0,HLOOKUP(E$7,CF_Table,CF!$AB$78))*E$10</f>
        <v>0</v>
      </c>
      <c r="F14" s="37">
        <f ca="1">IF(F$7&lt;YEAR(Startops1),0,HLOOKUP(F$7,CF_Table,CF!$AB$78))*F$10</f>
        <v>0</v>
      </c>
      <c r="G14" s="37">
        <f ca="1">IF(G$7&lt;YEAR(Startops1),0,HLOOKUP(G$7,CF_Table,CF!$AB$78))*G$10</f>
        <v>0</v>
      </c>
      <c r="H14" s="37">
        <f ca="1">IF(H$7&lt;YEAR(Startops1),0,HLOOKUP(H$7,CF_Table,CF!$AB$78))*H$10</f>
        <v>0</v>
      </c>
      <c r="I14" s="37">
        <f ca="1">IF(I$7&lt;YEAR(Startops1),0,HLOOKUP(I$7,CF_Table,CF!$AB$78))*I$10</f>
        <v>0</v>
      </c>
      <c r="J14" s="37">
        <f ca="1">IF(J$7&lt;YEAR(Startops1),0,HLOOKUP(J$7,CF_Table,CF!$AB$78))*J$10</f>
        <v>-4.5474735088646412E-13</v>
      </c>
      <c r="K14" s="37">
        <f ca="1">IF(K$7&lt;YEAR(Startops1),0,HLOOKUP(K$7,CF_Table,CF!$AB$78))*K$10</f>
        <v>1.8189894035458565E-12</v>
      </c>
      <c r="L14" s="37">
        <f ca="1">IF(L$7&lt;YEAR(Startops1),0,HLOOKUP(L$7,CF_Table,CF!$AB$78))*L$10</f>
        <v>0</v>
      </c>
      <c r="M14" s="37">
        <f ca="1">IF(M$7&lt;YEAR(Startops1),0,HLOOKUP(M$7,CF_Table,CF!$AB$78))*M$10</f>
        <v>-1.8189894035458565E-12</v>
      </c>
      <c r="N14" s="37">
        <f ca="1">IF(N$7&lt;YEAR(Startops1),0,HLOOKUP(N$7,CF_Table,CF!$AB$78))*N$10</f>
        <v>-1.8189894035458565E-12</v>
      </c>
      <c r="O14" s="37">
        <f ca="1">IF(O$7&lt;YEAR(Startops1),0,HLOOKUP(O$7,CF_Table,CF!$AB$78))*O$10</f>
        <v>2297.0588723615965</v>
      </c>
      <c r="P14" s="37">
        <f ca="1">IF(P$7&lt;YEAR(Startops1),0,HLOOKUP(P$7,CF_Table,CF!$AB$78))*P$10</f>
        <v>5944.7963565306381</v>
      </c>
      <c r="Q14" s="37">
        <f ca="1">IF(Q$7&lt;YEAR(Startops1),0,HLOOKUP(Q$7,CF_Table,CF!$AB$78))*Q$10</f>
        <v>6215.4120682037083</v>
      </c>
      <c r="R14" s="37">
        <f ca="1">IF(R$7&lt;YEAR(Startops1),0,HLOOKUP(R$7,CF_Table,CF!$AB$78))*R$10</f>
        <v>7153.9144703393649</v>
      </c>
      <c r="S14" s="37">
        <f ca="1">IF(S$7&lt;YEAR(Startops1),0,HLOOKUP(S$7,CF_Table,CF!$AB$78))*S$10</f>
        <v>7772.6229549989557</v>
      </c>
      <c r="T14" s="37">
        <f ca="1">IF(T$7&lt;YEAR(Startops1),0,HLOOKUP(T$7,CF_Table,CF!$AB$78))*T$10</f>
        <v>5510.8880678318901</v>
      </c>
      <c r="U14" s="37">
        <f ca="1">IF(U$7&lt;YEAR(Startops1),0,HLOOKUP(U$7,CF_Table,CF!$AB$78))*U$10</f>
        <v>7093.2624647622633</v>
      </c>
      <c r="V14" s="37">
        <f ca="1">IF(V$7&lt;YEAR(Startops1),0,HLOOKUP(V$7,CF_Table,CF!$AB$78))*V$10</f>
        <v>2410.5049231865432</v>
      </c>
      <c r="W14" s="37">
        <f ca="1">IF(W$7&lt;YEAR(Startops1),0,HLOOKUP(W$7,CF_Table,CF!$AB$78))*W$10</f>
        <v>0</v>
      </c>
      <c r="X14" s="37">
        <f ca="1">IF(X$7&lt;YEAR(Startops1),0,HLOOKUP(X$7,CF_Table,CF!$AB$78))*X$10</f>
        <v>0</v>
      </c>
      <c r="Y14" s="37">
        <f ca="1">IF(Y$7&lt;YEAR(Startops1),0,HLOOKUP(Y$7,CF_Table,CF!$AB$78))*Y$10</f>
        <v>0</v>
      </c>
      <c r="Z14" s="37">
        <f ca="1">IF(Z$7&lt;YEAR(Startops1),0,HLOOKUP(Z$7,CF_Table,CF!$AB$78))*Z$10</f>
        <v>1.8189894035458565E-12</v>
      </c>
      <c r="AA14" s="37">
        <f ca="1">IF(AA$7&lt;YEAR(Startops1),0,HLOOKUP(AA$7,CF_Table,CF!$AB$78))*AA$10</f>
        <v>44618.28527209106</v>
      </c>
      <c r="AB14" s="466">
        <f ca="1">SUM(E14:AA14)</f>
        <v>89016.745450306014</v>
      </c>
      <c r="AC14" s="463">
        <f ca="1">IF($I$3=0,F14+NPV(Disc,G14:AA14),E14+NPV(Disc,F14:AA14))</f>
        <v>6447.9516494297604</v>
      </c>
    </row>
    <row r="15" spans="1:30">
      <c r="A15" s="20"/>
      <c r="B15" s="15" t="s">
        <v>476</v>
      </c>
      <c r="E15" s="37">
        <f ca="1">IF(E$7&lt;YEAR(Startops1),0,-HLOOKUP(E$7,CF_Table,CF!$AB$75)-HLOOKUP(E$7,CF_Table,CF!$AB$76))*E$10</f>
        <v>0</v>
      </c>
      <c r="F15" s="37">
        <f ca="1">IF(F$7&lt;YEAR(Startops1),0,-HLOOKUP(F$7,CF_Table,CF!$AB$75)-HLOOKUP(F$7,CF_Table,CF!$AB$76))*F$10</f>
        <v>0</v>
      </c>
      <c r="G15" s="37">
        <f ca="1">IF(G$7&lt;YEAR(Startops1),0,-HLOOKUP(G$7,CF_Table,CF!$AB$75)-HLOOKUP(G$7,CF_Table,CF!$AB$76))*G$10</f>
        <v>-1978.5080752796939</v>
      </c>
      <c r="H15" s="37">
        <f ca="1">IF(H$7&lt;YEAR(Startops1),0,-HLOOKUP(H$7,CF_Table,CF!$AB$75)-HLOOKUP(H$7,CF_Table,CF!$AB$76))*H$10</f>
        <v>3358.33879983726</v>
      </c>
      <c r="I15" s="37">
        <f ca="1">IF(I$7&lt;YEAR(Startops1),0,-HLOOKUP(I$7,CF_Table,CF!$AB$75)-HLOOKUP(I$7,CF_Table,CF!$AB$76))*I$10</f>
        <v>15292.099302756214</v>
      </c>
      <c r="J15" s="37">
        <f ca="1">IF(J$7&lt;YEAR(Startops1),0,-HLOOKUP(J$7,CF_Table,CF!$AB$75)-HLOOKUP(J$7,CF_Table,CF!$AB$76))*J$10</f>
        <v>1764.3222505152917</v>
      </c>
      <c r="K15" s="37">
        <f ca="1">IF(K$7&lt;YEAR(Startops1),0,-HLOOKUP(K$7,CF_Table,CF!$AB$75)-HLOOKUP(K$7,CF_Table,CF!$AB$76))*K$10</f>
        <v>4601.4709977706661</v>
      </c>
      <c r="L15" s="37">
        <f ca="1">IF(L$7&lt;YEAR(Startops1),0,-HLOOKUP(L$7,CF_Table,CF!$AB$75)-HLOOKUP(L$7,CF_Table,CF!$AB$76))*L$10</f>
        <v>-7557.4967242391249</v>
      </c>
      <c r="M15" s="37">
        <f ca="1">IF(M$7&lt;YEAR(Startops1),0,-HLOOKUP(M$7,CF_Table,CF!$AB$75)-HLOOKUP(M$7,CF_Table,CF!$AB$76))*M$10</f>
        <v>6357.2775341352935</v>
      </c>
      <c r="N15" s="37">
        <f ca="1">IF(N$7&lt;YEAR(Startops1),0,-HLOOKUP(N$7,CF_Table,CF!$AB$75)-HLOOKUP(N$7,CF_Table,CF!$AB$76))*N$10</f>
        <v>6443.3542858560977</v>
      </c>
      <c r="O15" s="37">
        <f ca="1">IF(O$7&lt;YEAR(Startops1),0,-HLOOKUP(O$7,CF_Table,CF!$AB$75)-HLOOKUP(O$7,CF_Table,CF!$AB$76))*O$10</f>
        <v>1798.9087956676231</v>
      </c>
      <c r="P15" s="37">
        <f ca="1">IF(P$7&lt;YEAR(Startops1),0,-HLOOKUP(P$7,CF_Table,CF!$AB$75)-HLOOKUP(P$7,CF_Table,CF!$AB$76))*P$10</f>
        <v>-2518.8166858842778</v>
      </c>
      <c r="Q15" s="37">
        <f ca="1">IF(Q$7&lt;YEAR(Startops1),0,-HLOOKUP(Q$7,CF_Table,CF!$AB$75)-HLOOKUP(Q$7,CF_Table,CF!$AB$76))*Q$10</f>
        <v>-1145.3822044160261</v>
      </c>
      <c r="R15" s="37">
        <f ca="1">IF(R$7&lt;YEAR(Startops1),0,-HLOOKUP(R$7,CF_Table,CF!$AB$75)-HLOOKUP(R$7,CF_Table,CF!$AB$76))*R$10</f>
        <v>-2296.2438747794404</v>
      </c>
      <c r="S15" s="37">
        <f ca="1">IF(S$7&lt;YEAR(Startops1),0,-HLOOKUP(S$7,CF_Table,CF!$AB$75)-HLOOKUP(S$7,CF_Table,CF!$AB$76))*S$10</f>
        <v>-7513.8974053484417</v>
      </c>
      <c r="T15" s="37">
        <f ca="1">IF(T$7&lt;YEAR(Startops1),0,-HLOOKUP(T$7,CF_Table,CF!$AB$75)-HLOOKUP(T$7,CF_Table,CF!$AB$76))*T$10</f>
        <v>-5218.333666498198</v>
      </c>
      <c r="U15" s="37">
        <f ca="1">IF(U$7&lt;YEAR(Startops1),0,-HLOOKUP(U$7,CF_Table,CF!$AB$75)-HLOOKUP(U$7,CF_Table,CF!$AB$76))*U$10</f>
        <v>7218.7258825083991</v>
      </c>
      <c r="V15" s="37">
        <f ca="1">IF(V$7&lt;YEAR(Startops1),0,-HLOOKUP(V$7,CF_Table,CF!$AB$75)-HLOOKUP(V$7,CF_Table,CF!$AB$76))*V$10</f>
        <v>3399.2634171639511</v>
      </c>
      <c r="W15" s="37">
        <f ca="1">IF(W$7&lt;YEAR(Startops1),0,-HLOOKUP(W$7,CF_Table,CF!$AB$75)-HLOOKUP(W$7,CF_Table,CF!$AB$76))*W$10</f>
        <v>-1989.4129735125789</v>
      </c>
      <c r="X15" s="37">
        <f ca="1">IF(X$7&lt;YEAR(Startops1),0,-HLOOKUP(X$7,CF_Table,CF!$AB$75)-HLOOKUP(X$7,CF_Table,CF!$AB$76))*X$10</f>
        <v>6085.6504638310435</v>
      </c>
      <c r="Y15" s="37">
        <f ca="1">IF(Y$7&lt;YEAR(Startops1),0,-HLOOKUP(Y$7,CF_Table,CF!$AB$75)-HLOOKUP(Y$7,CF_Table,CF!$AB$76))*Y$10</f>
        <v>4689.9136385086094</v>
      </c>
      <c r="Z15" s="37">
        <f ca="1">IF(Z$7&lt;YEAR(Startops1),0,-HLOOKUP(Z$7,CF_Table,CF!$AB$75)-HLOOKUP(Z$7,CF_Table,CF!$AB$76))*Z$10</f>
        <v>6224.6052926074371</v>
      </c>
      <c r="AA15" s="37">
        <f ca="1">IF(AA$7&lt;YEAR(Startops1),0,-HLOOKUP(AA$7,CF_Table,CF!$AB$75)-HLOOKUP(AA$7,CF_Table,CF!$AB$76))*AA$10</f>
        <v>-37015.839051200106</v>
      </c>
      <c r="AB15" s="466">
        <f ca="1">SUM(E15:AA15)</f>
        <v>0</v>
      </c>
      <c r="AC15" s="463">
        <f ca="1">IF($I$3=0,F15+NPV(Disc,G15:AA15),E15+NPV(Disc,F15:AA15))</f>
        <v>11962.265161141695</v>
      </c>
    </row>
    <row r="16" spans="1:30">
      <c r="A16" s="20"/>
      <c r="B16" s="15" t="s">
        <v>1589</v>
      </c>
      <c r="E16" s="142">
        <f ca="1">IF(E$7&lt;YEAR(Startops1),0,-HLOOKUP(E$7,CF_Table,CF!$AB$49))*E$10</f>
        <v>0</v>
      </c>
      <c r="F16" s="142">
        <f ca="1">IF(F$7&lt;YEAR(Startops1),0,-HLOOKUP(F$7,CF_Table,CF!$AB$49))*F$10</f>
        <v>0</v>
      </c>
      <c r="G16" s="142">
        <f ca="1">IF(G$7&lt;YEAR(Startops1),0,-HLOOKUP(G$7,CF_Table,CF!$AB$49))*G$10</f>
        <v>0</v>
      </c>
      <c r="H16" s="142">
        <f ca="1">IF(H$7&lt;YEAR(Startops1),0,-HLOOKUP(H$7,CF_Table,CF!$AB$49))*H$10</f>
        <v>0</v>
      </c>
      <c r="I16" s="142">
        <f ca="1">IF(I$7&lt;YEAR(Startops1),0,-HLOOKUP(I$7,CF_Table,CF!$AB$49))*I$10</f>
        <v>0</v>
      </c>
      <c r="J16" s="142">
        <f ca="1">IF(J$7&lt;YEAR(Startops1),0,-HLOOKUP(J$7,CF_Table,CF!$AB$49))*J$10</f>
        <v>0</v>
      </c>
      <c r="K16" s="142">
        <f ca="1">IF(K$7&lt;YEAR(Startops1),0,-HLOOKUP(K$7,CF_Table,CF!$AB$49))*K$10</f>
        <v>2042.8918366943517</v>
      </c>
      <c r="L16" s="142">
        <f ca="1">IF(L$7&lt;YEAR(Startops1),0,-HLOOKUP(L$7,CF_Table,CF!$AB$49))*L$10</f>
        <v>0</v>
      </c>
      <c r="M16" s="142">
        <f ca="1">IF(M$7&lt;YEAR(Startops1),0,-HLOOKUP(M$7,CF_Table,CF!$AB$49))*M$10</f>
        <v>7865.5715786840065</v>
      </c>
      <c r="N16" s="142">
        <f ca="1">IF(N$7&lt;YEAR(Startops1),0,-HLOOKUP(N$7,CF_Table,CF!$AB$49))*N$10</f>
        <v>8917.3419159967561</v>
      </c>
      <c r="O16" s="142">
        <f ca="1">IF(O$7&lt;YEAR(Startops1),0,-HLOOKUP(O$7,CF_Table,CF!$AB$49))*O$10</f>
        <v>8656.0373433405766</v>
      </c>
      <c r="P16" s="142">
        <f ca="1">IF(P$7&lt;YEAR(Startops1),0,-HLOOKUP(P$7,CF_Table,CF!$AB$49))*P$10</f>
        <v>7717.7267315853387</v>
      </c>
      <c r="Q16" s="142">
        <f ca="1">IF(Q$7&lt;YEAR(Startops1),0,-HLOOKUP(Q$7,CF_Table,CF!$AB$49))*Q$10</f>
        <v>8069.9621543512276</v>
      </c>
      <c r="R16" s="142">
        <f ca="1">IF(R$7&lt;YEAR(Startops1),0,-HLOOKUP(R$7,CF_Table,CF!$AB$49))*R$10</f>
        <v>9279.3570204919088</v>
      </c>
      <c r="S16" s="142">
        <f ca="1">IF(S$7&lt;YEAR(Startops1),0,-HLOOKUP(S$7,CF_Table,CF!$AB$49))*S$10</f>
        <v>9279.3570204919088</v>
      </c>
      <c r="T16" s="142">
        <f ca="1">IF(T$7&lt;YEAR(Startops1),0,-HLOOKUP(T$7,CF_Table,CF!$AB$49))*T$10</f>
        <v>7154.6617709283846</v>
      </c>
      <c r="U16" s="142">
        <f ca="1">IF(U$7&lt;YEAR(Startops1),0,-HLOOKUP(U$7,CF_Table,CF!$AB$49))*U$10</f>
        <v>9279.3570204919088</v>
      </c>
      <c r="V16" s="142">
        <f ca="1">IF(V$7&lt;YEAR(Startops1),0,-HLOOKUP(V$7,CF_Table,CF!$AB$49))*V$10</f>
        <v>3584.931093732353</v>
      </c>
      <c r="W16" s="142">
        <f ca="1">IF(W$7&lt;YEAR(Startops1),0,-HLOOKUP(W$7,CF_Table,CF!$AB$49))*W$10</f>
        <v>0</v>
      </c>
      <c r="X16" s="142">
        <f ca="1">IF(X$7&lt;YEAR(Startops1),0,-HLOOKUP(X$7,CF_Table,CF!$AB$49))*X$10</f>
        <v>0</v>
      </c>
      <c r="Y16" s="142">
        <f ca="1">IF(Y$7&lt;YEAR(Startops1),0,-HLOOKUP(Y$7,CF_Table,CF!$AB$49))*Y$10</f>
        <v>0</v>
      </c>
      <c r="Z16" s="142">
        <f ca="1">IF(Z$7&lt;YEAR(Startops1),0,-HLOOKUP(Z$7,CF_Table,CF!$AB$49))*Z$10</f>
        <v>0</v>
      </c>
      <c r="AA16" s="142">
        <f ca="1">IF(AA$7&lt;YEAR(Startops1),0,-HLOOKUP(AA$7,CF_Table,CF!$AB$49))*AA$10</f>
        <v>0</v>
      </c>
      <c r="AB16" s="467">
        <f ca="1">SUM(E16:AA16)</f>
        <v>81847.195486788711</v>
      </c>
      <c r="AC16" s="464">
        <f ca="1">IF($I$3=0,F16+NPV(Disc,G16:AA16),E16+NPV(Disc,F16:AA16))</f>
        <v>13404.701199925892</v>
      </c>
    </row>
    <row r="17" spans="1:29">
      <c r="A17" s="20"/>
      <c r="B17" s="15" t="s">
        <v>1614</v>
      </c>
      <c r="E17" s="250">
        <f t="shared" ref="E17:AA17" ca="1" si="2">SUM(E13:E16)</f>
        <v>0</v>
      </c>
      <c r="F17" s="250">
        <f t="shared" ca="1" si="2"/>
        <v>-92793.570204919088</v>
      </c>
      <c r="G17" s="250">
        <f t="shared" ca="1" si="2"/>
        <v>-1978.5080752796939</v>
      </c>
      <c r="H17" s="250">
        <f t="shared" ca="1" si="2"/>
        <v>3358.33879983726</v>
      </c>
      <c r="I17" s="250">
        <f t="shared" ca="1" si="2"/>
        <v>15292.099302756214</v>
      </c>
      <c r="J17" s="250">
        <f t="shared" ca="1" si="2"/>
        <v>1764.3222505152912</v>
      </c>
      <c r="K17" s="250">
        <f t="shared" ca="1" si="2"/>
        <v>6644.3628344650197</v>
      </c>
      <c r="L17" s="250">
        <f t="shared" ca="1" si="2"/>
        <v>-7557.4967242391249</v>
      </c>
      <c r="M17" s="250">
        <f t="shared" ca="1" si="2"/>
        <v>14222.849112819298</v>
      </c>
      <c r="N17" s="250">
        <f t="shared" ca="1" si="2"/>
        <v>15360.696201852852</v>
      </c>
      <c r="O17" s="250">
        <f t="shared" ca="1" si="2"/>
        <v>12752.005011369796</v>
      </c>
      <c r="P17" s="250">
        <f t="shared" ca="1" si="2"/>
        <v>11143.706402231699</v>
      </c>
      <c r="Q17" s="250">
        <f t="shared" ca="1" si="2"/>
        <v>13139.99201813891</v>
      </c>
      <c r="R17" s="250">
        <f t="shared" ca="1" si="2"/>
        <v>14137.027616051833</v>
      </c>
      <c r="S17" s="250">
        <f t="shared" ca="1" si="2"/>
        <v>9538.0825701424219</v>
      </c>
      <c r="T17" s="250">
        <f t="shared" ca="1" si="2"/>
        <v>7447.2161722620767</v>
      </c>
      <c r="U17" s="250">
        <f t="shared" ca="1" si="2"/>
        <v>23591.345367762573</v>
      </c>
      <c r="V17" s="250">
        <f t="shared" ca="1" si="2"/>
        <v>9394.6994340828478</v>
      </c>
      <c r="W17" s="250">
        <f t="shared" ca="1" si="2"/>
        <v>-1989.4129735125789</v>
      </c>
      <c r="X17" s="250">
        <f t="shared" ca="1" si="2"/>
        <v>6085.6504638310435</v>
      </c>
      <c r="Y17" s="250">
        <f t="shared" ca="1" si="2"/>
        <v>4689.9136385086094</v>
      </c>
      <c r="Z17" s="250">
        <f t="shared" ca="1" si="2"/>
        <v>6224.605292607439</v>
      </c>
      <c r="AA17" s="250">
        <f t="shared" ca="1" si="2"/>
        <v>7602.4462208909536</v>
      </c>
      <c r="AB17" s="466">
        <f ca="1">SUM(E17:AA17)</f>
        <v>78070.370732175666</v>
      </c>
      <c r="AC17" s="435">
        <f ca="1">SUM(AC13:AC16)</f>
        <v>-60978.652194421746</v>
      </c>
    </row>
    <row r="18" spans="1:29">
      <c r="A18" s="20"/>
      <c r="E18" s="250"/>
      <c r="F18" s="250"/>
      <c r="G18" s="250"/>
      <c r="H18" s="250"/>
      <c r="I18" s="250"/>
      <c r="J18" s="250"/>
      <c r="K18" s="250"/>
      <c r="L18" s="250"/>
      <c r="M18" s="250"/>
      <c r="N18" s="250"/>
      <c r="O18" s="250"/>
      <c r="P18" s="250"/>
      <c r="Q18" s="250"/>
      <c r="R18" s="250"/>
      <c r="S18" s="250"/>
      <c r="T18" s="250"/>
      <c r="U18" s="250"/>
      <c r="V18" s="250"/>
      <c r="W18" s="250"/>
      <c r="X18" s="250"/>
      <c r="Y18" s="250"/>
      <c r="Z18" s="250"/>
      <c r="AA18" s="250"/>
      <c r="AB18" s="466"/>
      <c r="AC18" s="435"/>
    </row>
    <row r="19" spans="1:29">
      <c r="A19" s="20"/>
      <c r="B19" s="15" t="s">
        <v>1615</v>
      </c>
      <c r="E19" s="221">
        <f ca="1">$E17</f>
        <v>0</v>
      </c>
      <c r="F19" s="221">
        <f ca="1">IF($I$3=0,$F17,$E17+NPV(Disc,$F17:F17))</f>
        <v>-92793.570204919088</v>
      </c>
      <c r="G19" s="37">
        <f ca="1">IF($I$3=0,$F17+NPV(Disc, $G17:G17),$E17+NPV(Disc,$F17:G17))</f>
        <v>-94456.182032885219</v>
      </c>
      <c r="H19" s="37">
        <f ca="1">IF($I$3=0,$F17+NPV(Disc, $G17:H17),$E17+NPV(Disc,$F17:H17))</f>
        <v>-92084.641322598327</v>
      </c>
      <c r="I19" s="37">
        <f ca="1">IF($I$3=0,$F17+NPV(Disc, $G17:I17),$E17+NPV(Disc,$F17:I17))</f>
        <v>-83010.067764402207</v>
      </c>
      <c r="J19" s="37">
        <f ca="1">IF($I$3=0,$F17+NPV(Disc, $G17:J17),$E17+NPV(Disc,$F17:J17))</f>
        <v>-82130.255390656574</v>
      </c>
      <c r="K19" s="37">
        <f ca="1">IF($I$3=0,$F17+NPV(Disc, $G17:K17),$E17+NPV(Disc,$F17:K17))</f>
        <v>-79345.939324636653</v>
      </c>
      <c r="L19" s="37">
        <f ca="1">IF($I$3=0,$F17+NPV(Disc, $G17:L17),$E17+NPV(Disc,$F17:L17))</f>
        <v>-82007.25381884299</v>
      </c>
      <c r="M19" s="37">
        <f ca="1">IF($I$3=0,$F17+NPV(Disc, $G17:M17),$E17+NPV(Disc,$F17:M17))</f>
        <v>-77798.4578485206</v>
      </c>
      <c r="N19" s="37">
        <f ca="1">IF($I$3=0,$F17+NPV(Disc, $G17:N17),$E17+NPV(Disc,$F17:N17))</f>
        <v>-73978.705480673554</v>
      </c>
      <c r="O19" s="37">
        <f ca="1">IF($I$3=0,$F17+NPV(Disc, $G17:O17),$E17+NPV(Disc,$F17:O17))</f>
        <v>-71313.959460909871</v>
      </c>
      <c r="P19" s="37">
        <f ca="1">IF($I$3=0,$F17+NPV(Disc, $G17:P17),$E17+NPV(Disc,$F17:P17))</f>
        <v>-69357.09814728098</v>
      </c>
      <c r="Q19" s="37">
        <f ca="1">IF($I$3=0,$F17+NPV(Disc, $G17:Q17),$E17+NPV(Disc,$F17:Q17))</f>
        <v>-67418.094946008001</v>
      </c>
      <c r="R19" s="37">
        <f ca="1">IF($I$3=0,$F17+NPV(Disc, $G17:R17),$E17+NPV(Disc,$F17:R17))</f>
        <v>-65665.043869993067</v>
      </c>
      <c r="S19" s="37">
        <f ca="1">IF($I$3=0,$F17+NPV(Disc, $G17:S17),$E17+NPV(Disc,$F17:S17))</f>
        <v>-64671.125815428735</v>
      </c>
      <c r="T19" s="37">
        <f ca="1">IF($I$3=0,$F17+NPV(Disc, $G17:T17),$E17+NPV(Disc,$F17:T17))</f>
        <v>-64018.992329715104</v>
      </c>
      <c r="U19" s="37">
        <f ca="1">IF($I$3=0,$F17+NPV(Disc, $G17:U17),$E17+NPV(Disc,$F17:U17))</f>
        <v>-62282.998058543824</v>
      </c>
      <c r="V19" s="37">
        <f ca="1">IF($I$3=0,$F17+NPV(Disc, $G17:V17),$E17+NPV(Disc,$F17:V17))</f>
        <v>-61702.05775415981</v>
      </c>
      <c r="W19" s="37">
        <f ca="1">IF($I$3=0,$F17+NPV(Disc, $G17:W17),$E17+NPV(Disc,$F17:W17))</f>
        <v>-61805.435391452411</v>
      </c>
      <c r="X19" s="37">
        <f ca="1">IF($I$3=0,$F17+NPV(Disc, $G17:X17),$E17+NPV(Disc,$F17:X17))</f>
        <v>-61539.692473452233</v>
      </c>
      <c r="Y19" s="37">
        <f ca="1">IF($I$3=0,$F17+NPV(Disc, $G17:Y17),$E17+NPV(Disc,$F17:Y17))</f>
        <v>-61367.595759026037</v>
      </c>
      <c r="Z19" s="37">
        <f ca="1">IF($I$3=0,$F17+NPV(Disc, $G17:Z17),$E17+NPV(Disc,$F17:Z17))</f>
        <v>-61175.652621385176</v>
      </c>
      <c r="AA19" s="37">
        <f ca="1">IF($I$3=0,$F17+NPV(Disc, $G17:AA17),$E17+NPV(Disc,$F17:AA17))</f>
        <v>-60978.652194421746</v>
      </c>
      <c r="AB19" s="466"/>
      <c r="AC19" s="435">
        <f ca="1">AC17</f>
        <v>-60978.652194421746</v>
      </c>
    </row>
    <row r="20" spans="1:29">
      <c r="A20" s="20"/>
      <c r="B20" s="15" t="s">
        <v>1616</v>
      </c>
      <c r="E20" s="32" t="e">
        <f ca="1">IRR($E17:E17,-0.9)</f>
        <v>#NUM!</v>
      </c>
      <c r="F20" s="32" t="e">
        <f ca="1">IRR($E17:F17,-0.9)</f>
        <v>#NUM!</v>
      </c>
      <c r="G20" s="32" t="e">
        <f ca="1">IRR($E17:G17,-0.9)</f>
        <v>#NUM!</v>
      </c>
      <c r="H20" s="32">
        <f ca="1">IRR($E17:H17,-0.9)</f>
        <v>-0.82012168434396027</v>
      </c>
      <c r="I20" s="32">
        <f ca="1">IRR($E17:I17,-0.9)</f>
        <v>-0.43704160026245226</v>
      </c>
      <c r="J20" s="32">
        <f ca="1">IRR($E17:J17,-0.9)</f>
        <v>-0.40491587208392776</v>
      </c>
      <c r="K20" s="32">
        <f ca="1">IRR($E17:K17,-0.9)</f>
        <v>-0.2948209513375869</v>
      </c>
      <c r="L20" s="32" t="e">
        <f ca="1">IRR($E17:L17,-0.9)</f>
        <v>#NUM!</v>
      </c>
      <c r="M20" s="32">
        <f ca="1">IRR($E17:M17,-0.9)</f>
        <v>-0.19458669065906986</v>
      </c>
      <c r="N20" s="32">
        <f ca="1">IRR($E17:N17,-0.9)</f>
        <v>-0.10755985059705069</v>
      </c>
      <c r="O20" s="32">
        <f ca="1">IRR($E17:O17,-0.9)</f>
        <v>-6.4479560880112391E-2</v>
      </c>
      <c r="P20" s="32">
        <f ca="1">IRR($E17:P17,-0.9)</f>
        <v>-3.7098068801971473E-2</v>
      </c>
      <c r="Q20" s="32">
        <f ca="1">IRR($E17:Q17,-0.9)</f>
        <v>-1.2728868393833503E-2</v>
      </c>
      <c r="R20" s="32">
        <f ca="1">IRR($E17:R17,-0.9)</f>
        <v>7.0342401648459682E-3</v>
      </c>
      <c r="S20" s="32">
        <f ca="1">IRR($E17:S17,-0.9)</f>
        <v>1.7685902314885763E-2</v>
      </c>
      <c r="T20" s="32">
        <f ca="1">IRR($E17:T17,-0.9)</f>
        <v>2.4786804590526589E-2</v>
      </c>
      <c r="U20" s="32">
        <f ca="1">IRR($E17:U17,-0.9)</f>
        <v>4.2372203640220769E-2</v>
      </c>
      <c r="V20" s="32">
        <f ca="1">IRR($E17:V17,-0.9)</f>
        <v>4.7852115810720221E-2</v>
      </c>
      <c r="W20" s="32">
        <f ca="1">IRR($E17:W17,-0.9)</f>
        <v>4.6788471164254011E-2</v>
      </c>
      <c r="X20" s="32">
        <f ca="1">IRR($E17:X17,-0.9)</f>
        <v>4.9824869869693582E-2</v>
      </c>
      <c r="Y20" s="32">
        <f ca="1">IRR($E17:Y17,-0.9)</f>
        <v>5.1925429661699711E-2</v>
      </c>
      <c r="Z20" s="32">
        <f ca="1">IRR($E17:Z17,-0.9)</f>
        <v>5.4427696574170452E-2</v>
      </c>
      <c r="AA20" s="32">
        <f ca="1">IRR($E17:AA17,-0.9)</f>
        <v>5.7133246458342335E-2</v>
      </c>
      <c r="AB20" s="465"/>
      <c r="AC20" s="471">
        <f ca="1">IRR(E17:AA17,-0.9)</f>
        <v>5.7133246458342335E-2</v>
      </c>
    </row>
    <row r="21" spans="1:29">
      <c r="A21" s="20"/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465"/>
      <c r="AC21" s="430"/>
    </row>
    <row r="22" spans="1:29">
      <c r="A22" s="20"/>
      <c r="B22" s="243" t="str">
        <f ca="1">CONCATENATE("Project NPV @ ",TEXT(Disc,"0.0%")," w/o TC")</f>
        <v>Project NPV @ 19.0% w/o TC</v>
      </c>
      <c r="C22" s="452">
        <f ca="1">AC19</f>
        <v>-60978.652194421746</v>
      </c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465"/>
      <c r="AC22" s="430"/>
    </row>
    <row r="23" spans="1:29">
      <c r="A23" s="20"/>
      <c r="B23" s="249" t="s">
        <v>477</v>
      </c>
      <c r="C23" s="453">
        <f ca="1">AC20</f>
        <v>5.7133246458342335E-2</v>
      </c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465"/>
      <c r="AC23" s="430"/>
    </row>
    <row r="24" spans="1:29" ht="13.5" thickBot="1">
      <c r="A24" s="48"/>
      <c r="B24" s="462" t="s">
        <v>474</v>
      </c>
      <c r="C24" s="712">
        <f ca="1">MAX(E24:AA24)</f>
        <v>0</v>
      </c>
      <c r="D24" s="49"/>
      <c r="E24" s="713">
        <f ca="1">IF(AND(E19&gt;0,D19&lt;0),E$6,0)</f>
        <v>0</v>
      </c>
      <c r="F24" s="713">
        <f t="shared" ref="F24:AA24" ca="1" si="3">IF(AND(F19&gt;0,E19&lt;0),F$6,0)</f>
        <v>0</v>
      </c>
      <c r="G24" s="713">
        <f t="shared" ca="1" si="3"/>
        <v>0</v>
      </c>
      <c r="H24" s="713">
        <f t="shared" ca="1" si="3"/>
        <v>0</v>
      </c>
      <c r="I24" s="713">
        <f t="shared" ca="1" si="3"/>
        <v>0</v>
      </c>
      <c r="J24" s="713">
        <f t="shared" ca="1" si="3"/>
        <v>0</v>
      </c>
      <c r="K24" s="713">
        <f t="shared" ca="1" si="3"/>
        <v>0</v>
      </c>
      <c r="L24" s="713">
        <f t="shared" ca="1" si="3"/>
        <v>0</v>
      </c>
      <c r="M24" s="713">
        <f t="shared" ca="1" si="3"/>
        <v>0</v>
      </c>
      <c r="N24" s="713">
        <f t="shared" ca="1" si="3"/>
        <v>0</v>
      </c>
      <c r="O24" s="713">
        <f t="shared" ca="1" si="3"/>
        <v>0</v>
      </c>
      <c r="P24" s="713">
        <f t="shared" ca="1" si="3"/>
        <v>0</v>
      </c>
      <c r="Q24" s="713">
        <f t="shared" ca="1" si="3"/>
        <v>0</v>
      </c>
      <c r="R24" s="713">
        <f t="shared" ca="1" si="3"/>
        <v>0</v>
      </c>
      <c r="S24" s="713">
        <f t="shared" ca="1" si="3"/>
        <v>0</v>
      </c>
      <c r="T24" s="713">
        <f t="shared" ca="1" si="3"/>
        <v>0</v>
      </c>
      <c r="U24" s="713">
        <f t="shared" ca="1" si="3"/>
        <v>0</v>
      </c>
      <c r="V24" s="713">
        <f t="shared" ca="1" si="3"/>
        <v>0</v>
      </c>
      <c r="W24" s="713">
        <f t="shared" ca="1" si="3"/>
        <v>0</v>
      </c>
      <c r="X24" s="713">
        <f t="shared" ca="1" si="3"/>
        <v>0</v>
      </c>
      <c r="Y24" s="713">
        <f t="shared" ca="1" si="3"/>
        <v>0</v>
      </c>
      <c r="Z24" s="713">
        <f t="shared" ca="1" si="3"/>
        <v>0</v>
      </c>
      <c r="AA24" s="713">
        <f t="shared" ca="1" si="3"/>
        <v>0</v>
      </c>
      <c r="AB24" s="714"/>
      <c r="AC24" s="443"/>
    </row>
    <row r="25" spans="1:29" ht="13.5" thickBot="1">
      <c r="AB25" s="111"/>
    </row>
    <row r="26" spans="1:29">
      <c r="A26" s="715" t="str">
        <f>CONCATENATE(Assm!$H$98," Returns")</f>
        <v>New Investor Equity % (LJM) Returns</v>
      </c>
      <c r="B26" s="11"/>
      <c r="C26" s="11"/>
      <c r="D26" s="82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424"/>
      <c r="AC26" s="716"/>
    </row>
    <row r="27" spans="1:29">
      <c r="A27" s="20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465"/>
      <c r="AC27" s="430"/>
    </row>
    <row r="28" spans="1:29">
      <c r="A28" s="20"/>
      <c r="B28" s="15" t="s">
        <v>1617</v>
      </c>
      <c r="E28" s="77">
        <f>Assm!$K$85-'Enron Returns'!E$10</f>
        <v>0</v>
      </c>
      <c r="F28" s="77">
        <f>Assm!$K$85-'Enron Returns'!F$10</f>
        <v>0</v>
      </c>
      <c r="G28" s="77">
        <f>Assm!$K$85-'Enron Returns'!G$10</f>
        <v>0</v>
      </c>
      <c r="H28" s="77">
        <f>Assm!$K$85-'Enron Returns'!H$10</f>
        <v>0.13</v>
      </c>
      <c r="I28" s="77">
        <f>Assm!$K$85-'Enron Returns'!I$10</f>
        <v>0.13</v>
      </c>
      <c r="J28" s="77">
        <f>Assm!$K$85-'Enron Returns'!J$10</f>
        <v>0.13</v>
      </c>
      <c r="K28" s="77">
        <f>Assm!$K$85-'Enron Returns'!K$10</f>
        <v>0.13</v>
      </c>
      <c r="L28" s="77">
        <f>Assm!$K$85-'Enron Returns'!L$10</f>
        <v>0.13</v>
      </c>
      <c r="M28" s="77">
        <f>Assm!$K$85-'Enron Returns'!M$10</f>
        <v>0.13</v>
      </c>
      <c r="N28" s="77">
        <f>Assm!$K$85-'Enron Returns'!N$10</f>
        <v>0.13</v>
      </c>
      <c r="O28" s="77">
        <f>Assm!$K$85-'Enron Returns'!O$10</f>
        <v>0.13</v>
      </c>
      <c r="P28" s="77">
        <f>Assm!$K$85-'Enron Returns'!P$10</f>
        <v>0.13</v>
      </c>
      <c r="Q28" s="77">
        <f>Assm!$K$85-'Enron Returns'!Q$10</f>
        <v>0.13</v>
      </c>
      <c r="R28" s="77">
        <f>Assm!$K$85-'Enron Returns'!R$10</f>
        <v>0.13</v>
      </c>
      <c r="S28" s="77">
        <f>Assm!$K$85-'Enron Returns'!S$10</f>
        <v>0.13</v>
      </c>
      <c r="T28" s="77">
        <f>Assm!$K$85-'Enron Returns'!T$10</f>
        <v>0.13</v>
      </c>
      <c r="U28" s="77">
        <f>Assm!$K$85-'Enron Returns'!U$10</f>
        <v>0.13</v>
      </c>
      <c r="V28" s="77">
        <f>Assm!$K$85-'Enron Returns'!V$10</f>
        <v>0.13</v>
      </c>
      <c r="W28" s="77">
        <f>Assm!$K$85-'Enron Returns'!W$10</f>
        <v>0.13</v>
      </c>
      <c r="X28" s="77">
        <f>Assm!$K$85-'Enron Returns'!X$10</f>
        <v>0.13</v>
      </c>
      <c r="Y28" s="77">
        <f>Assm!$K$85-'Enron Returns'!Y$10</f>
        <v>0.13</v>
      </c>
      <c r="Z28" s="77">
        <f>Assm!$K$85-'Enron Returns'!Z$10</f>
        <v>0.13</v>
      </c>
      <c r="AA28" s="77">
        <f>Assm!$K$85-'Enron Returns'!AA$10</f>
        <v>0.13</v>
      </c>
      <c r="AB28" s="465"/>
      <c r="AC28" s="430"/>
    </row>
    <row r="29" spans="1:29">
      <c r="A29" s="20"/>
      <c r="B29" s="15" t="s">
        <v>1618</v>
      </c>
      <c r="E29" s="77">
        <f>Assm!$L$85-'Enron Returns'!E$11</f>
        <v>0</v>
      </c>
      <c r="F29" s="77">
        <f>Assm!$L$85-'Enron Returns'!F$11</f>
        <v>0</v>
      </c>
      <c r="G29" s="77">
        <f>Assm!$L$85-'Enron Returns'!G$11</f>
        <v>0</v>
      </c>
      <c r="H29" s="77">
        <f>Assm!$L$85-'Enron Returns'!H$11</f>
        <v>0.13</v>
      </c>
      <c r="I29" s="77">
        <f>Assm!$L$85-'Enron Returns'!I$11</f>
        <v>0.13</v>
      </c>
      <c r="J29" s="77">
        <f>Assm!$L$85-'Enron Returns'!J$11</f>
        <v>0.13</v>
      </c>
      <c r="K29" s="77">
        <f>Assm!$L$85-'Enron Returns'!K$11</f>
        <v>0.13</v>
      </c>
      <c r="L29" s="77">
        <f>Assm!$L$85-'Enron Returns'!L$11</f>
        <v>0.13</v>
      </c>
      <c r="M29" s="77">
        <f>Assm!$L$85-'Enron Returns'!M$11</f>
        <v>0.13</v>
      </c>
      <c r="N29" s="77">
        <f>Assm!$L$85-'Enron Returns'!N$11</f>
        <v>0.13</v>
      </c>
      <c r="O29" s="77">
        <f>Assm!$L$85-'Enron Returns'!O$11</f>
        <v>0.13</v>
      </c>
      <c r="P29" s="77">
        <f>Assm!$L$85-'Enron Returns'!P$11</f>
        <v>0.13</v>
      </c>
      <c r="Q29" s="77">
        <f>Assm!$L$85-'Enron Returns'!Q$11</f>
        <v>0.13</v>
      </c>
      <c r="R29" s="77">
        <f>Assm!$L$85-'Enron Returns'!R$11</f>
        <v>0.13</v>
      </c>
      <c r="S29" s="77">
        <f>Assm!$L$85-'Enron Returns'!S$11</f>
        <v>0.13</v>
      </c>
      <c r="T29" s="77">
        <f>Assm!$L$85-'Enron Returns'!T$11</f>
        <v>0.13</v>
      </c>
      <c r="U29" s="77">
        <f>Assm!$L$85-'Enron Returns'!U$11</f>
        <v>0.13</v>
      </c>
      <c r="V29" s="77">
        <f>Assm!$L$85-'Enron Returns'!V$11</f>
        <v>0.13</v>
      </c>
      <c r="W29" s="77">
        <f>Assm!$L$85-'Enron Returns'!W$11</f>
        <v>0.13</v>
      </c>
      <c r="X29" s="77">
        <f>Assm!$L$85-'Enron Returns'!X$11</f>
        <v>0.13</v>
      </c>
      <c r="Y29" s="77">
        <f>Assm!$L$85-'Enron Returns'!Y$11</f>
        <v>0.13</v>
      </c>
      <c r="Z29" s="77">
        <f>Assm!$L$85-'Enron Returns'!Z$11</f>
        <v>0.13</v>
      </c>
      <c r="AA29" s="77">
        <f>Assm!$L$85-'Enron Returns'!AA$11</f>
        <v>0.13</v>
      </c>
      <c r="AB29" s="465"/>
      <c r="AC29" s="430"/>
    </row>
    <row r="30" spans="1:29">
      <c r="A30" s="20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465"/>
      <c r="AC30" s="430"/>
    </row>
    <row r="31" spans="1:29">
      <c r="A31" s="20"/>
      <c r="B31" s="15" t="s">
        <v>497</v>
      </c>
      <c r="E31" s="37">
        <f>-'Enron Returns'!E15</f>
        <v>0</v>
      </c>
      <c r="F31" s="37">
        <f>-'Enron Returns'!F15</f>
        <v>0</v>
      </c>
      <c r="G31" s="37">
        <f>-'Enron Returns'!G15</f>
        <v>-11300</v>
      </c>
      <c r="H31" s="37">
        <f>-'Enron Returns'!H15</f>
        <v>0</v>
      </c>
      <c r="I31" s="37">
        <f>-'Enron Returns'!I15</f>
        <v>0</v>
      </c>
      <c r="J31" s="37">
        <f>-'Enron Returns'!J15</f>
        <v>0</v>
      </c>
      <c r="K31" s="37">
        <f>-'Enron Returns'!K15</f>
        <v>0</v>
      </c>
      <c r="L31" s="37">
        <f>-'Enron Returns'!L15</f>
        <v>0</v>
      </c>
      <c r="M31" s="37">
        <f>-'Enron Returns'!M15</f>
        <v>0</v>
      </c>
      <c r="N31" s="37">
        <f>-'Enron Returns'!N15</f>
        <v>0</v>
      </c>
      <c r="O31" s="37">
        <f>-'Enron Returns'!O15</f>
        <v>0</v>
      </c>
      <c r="P31" s="37">
        <f>-'Enron Returns'!P15</f>
        <v>0</v>
      </c>
      <c r="Q31" s="37">
        <f>-'Enron Returns'!Q15</f>
        <v>0</v>
      </c>
      <c r="R31" s="37">
        <f>-'Enron Returns'!R15</f>
        <v>0</v>
      </c>
      <c r="S31" s="37">
        <f>-'Enron Returns'!S15</f>
        <v>0</v>
      </c>
      <c r="T31" s="37">
        <f>-'Enron Returns'!T15</f>
        <v>0</v>
      </c>
      <c r="U31" s="37">
        <f>-'Enron Returns'!U15</f>
        <v>0</v>
      </c>
      <c r="V31" s="37">
        <f>-'Enron Returns'!V15</f>
        <v>0</v>
      </c>
      <c r="W31" s="37">
        <f>-'Enron Returns'!W15</f>
        <v>0</v>
      </c>
      <c r="X31" s="37">
        <f>-'Enron Returns'!X15</f>
        <v>0</v>
      </c>
      <c r="Y31" s="37">
        <f>-'Enron Returns'!Y15</f>
        <v>0</v>
      </c>
      <c r="Z31" s="37">
        <f>-'Enron Returns'!Z15</f>
        <v>0</v>
      </c>
      <c r="AA31" s="37">
        <f>-'Enron Returns'!AA15</f>
        <v>0</v>
      </c>
      <c r="AB31" s="435">
        <f t="shared" ref="AB31:AB38" si="4">SUM(E31:AA31)</f>
        <v>-11300</v>
      </c>
      <c r="AC31" s="435">
        <f t="shared" ref="AC31:AC37" ca="1" si="5">IF($I$3=0,F31+NPV(Disc,G31:AA31),E31+NPV(Disc,F31:AA31))</f>
        <v>-9495.7983193277323</v>
      </c>
    </row>
    <row r="32" spans="1:29">
      <c r="A32" s="20"/>
      <c r="B32" s="15" t="s">
        <v>1613</v>
      </c>
      <c r="E32" s="37">
        <f t="shared" ref="E32:AA32" ca="1" si="6">E14*E$29</f>
        <v>0</v>
      </c>
      <c r="F32" s="37">
        <f t="shared" ca="1" si="6"/>
        <v>0</v>
      </c>
      <c r="G32" s="37">
        <f t="shared" ca="1" si="6"/>
        <v>0</v>
      </c>
      <c r="H32" s="37">
        <f t="shared" ca="1" si="6"/>
        <v>0</v>
      </c>
      <c r="I32" s="37">
        <f t="shared" ca="1" si="6"/>
        <v>0</v>
      </c>
      <c r="J32" s="37">
        <f t="shared" ca="1" si="6"/>
        <v>-5.9117155615240337E-14</v>
      </c>
      <c r="K32" s="37">
        <f t="shared" ca="1" si="6"/>
        <v>2.3646862246096135E-13</v>
      </c>
      <c r="L32" s="37">
        <f t="shared" ca="1" si="6"/>
        <v>0</v>
      </c>
      <c r="M32" s="37">
        <f t="shared" ca="1" si="6"/>
        <v>-2.3646862246096135E-13</v>
      </c>
      <c r="N32" s="37">
        <f t="shared" ca="1" si="6"/>
        <v>-2.3646862246096135E-13</v>
      </c>
      <c r="O32" s="37">
        <f t="shared" ca="1" si="6"/>
        <v>298.61765340700754</v>
      </c>
      <c r="P32" s="37">
        <f t="shared" ca="1" si="6"/>
        <v>772.82352634898302</v>
      </c>
      <c r="Q32" s="37">
        <f t="shared" ca="1" si="6"/>
        <v>808.00356886648206</v>
      </c>
      <c r="R32" s="37">
        <f t="shared" ca="1" si="6"/>
        <v>930.00888114411748</v>
      </c>
      <c r="S32" s="37">
        <f t="shared" ca="1" si="6"/>
        <v>1010.4409841498643</v>
      </c>
      <c r="T32" s="37">
        <f t="shared" ca="1" si="6"/>
        <v>716.41544881814571</v>
      </c>
      <c r="U32" s="37">
        <f t="shared" ca="1" si="6"/>
        <v>922.12412041909431</v>
      </c>
      <c r="V32" s="37">
        <f t="shared" ca="1" si="6"/>
        <v>313.36564001425063</v>
      </c>
      <c r="W32" s="37">
        <f t="shared" ca="1" si="6"/>
        <v>0</v>
      </c>
      <c r="X32" s="37">
        <f t="shared" ca="1" si="6"/>
        <v>0</v>
      </c>
      <c r="Y32" s="37">
        <f t="shared" ca="1" si="6"/>
        <v>0</v>
      </c>
      <c r="Z32" s="37">
        <f t="shared" ca="1" si="6"/>
        <v>2.3646862246096135E-13</v>
      </c>
      <c r="AA32" s="37">
        <f t="shared" ca="1" si="6"/>
        <v>5800.3770853718379</v>
      </c>
      <c r="AB32" s="435">
        <f t="shared" ca="1" si="4"/>
        <v>11572.176908539783</v>
      </c>
      <c r="AC32" s="435">
        <f t="shared" ca="1" si="5"/>
        <v>838.23371442586881</v>
      </c>
    </row>
    <row r="33" spans="1:30">
      <c r="A33" s="457"/>
      <c r="B33" s="15" t="s">
        <v>906</v>
      </c>
      <c r="E33" s="37">
        <f t="shared" ref="E33:AA33" ca="1" si="7">E15*E$29</f>
        <v>0</v>
      </c>
      <c r="F33" s="37">
        <f t="shared" ca="1" si="7"/>
        <v>0</v>
      </c>
      <c r="G33" s="37">
        <f t="shared" ca="1" si="7"/>
        <v>0</v>
      </c>
      <c r="H33" s="37">
        <f t="shared" ca="1" si="7"/>
        <v>436.58404397884379</v>
      </c>
      <c r="I33" s="37">
        <f t="shared" ca="1" si="7"/>
        <v>1987.972909358308</v>
      </c>
      <c r="J33" s="37">
        <f t="shared" ca="1" si="7"/>
        <v>229.36189256698793</v>
      </c>
      <c r="K33" s="37">
        <f t="shared" ca="1" si="7"/>
        <v>598.19122971018658</v>
      </c>
      <c r="L33" s="37">
        <f t="shared" ca="1" si="7"/>
        <v>-982.47457415108624</v>
      </c>
      <c r="M33" s="37">
        <f t="shared" ca="1" si="7"/>
        <v>826.4460794375882</v>
      </c>
      <c r="N33" s="37">
        <f t="shared" ca="1" si="7"/>
        <v>837.63605716129268</v>
      </c>
      <c r="O33" s="37">
        <f t="shared" ca="1" si="7"/>
        <v>233.85814343679101</v>
      </c>
      <c r="P33" s="37">
        <f t="shared" ca="1" si="7"/>
        <v>-327.44616916495613</v>
      </c>
      <c r="Q33" s="37">
        <f t="shared" ca="1" si="7"/>
        <v>-148.8996865740834</v>
      </c>
      <c r="R33" s="37">
        <f t="shared" ca="1" si="7"/>
        <v>-298.51170372132725</v>
      </c>
      <c r="S33" s="37">
        <f t="shared" ca="1" si="7"/>
        <v>-976.8066626952974</v>
      </c>
      <c r="T33" s="37">
        <f t="shared" ca="1" si="7"/>
        <v>-678.3833766447658</v>
      </c>
      <c r="U33" s="37">
        <f t="shared" ca="1" si="7"/>
        <v>938.43436472609187</v>
      </c>
      <c r="V33" s="37">
        <f t="shared" ca="1" si="7"/>
        <v>441.90424423131367</v>
      </c>
      <c r="W33" s="37">
        <f t="shared" ca="1" si="7"/>
        <v>-258.62368655663528</v>
      </c>
      <c r="X33" s="37">
        <f t="shared" ca="1" si="7"/>
        <v>791.13456029803569</v>
      </c>
      <c r="Y33" s="37">
        <f t="shared" ca="1" si="7"/>
        <v>609.68877300611928</v>
      </c>
      <c r="Z33" s="37">
        <f t="shared" ca="1" si="7"/>
        <v>809.19868803896691</v>
      </c>
      <c r="AA33" s="37">
        <f t="shared" ca="1" si="7"/>
        <v>-4812.0590766560135</v>
      </c>
      <c r="AB33" s="435">
        <f t="shared" ca="1" si="4"/>
        <v>257.20604978636038</v>
      </c>
      <c r="AC33" s="435">
        <f t="shared" ca="1" si="5"/>
        <v>1771.234008584016</v>
      </c>
    </row>
    <row r="34" spans="1:30">
      <c r="A34" s="461"/>
      <c r="B34" s="15" t="s">
        <v>908</v>
      </c>
      <c r="D34" s="79" t="s">
        <v>478</v>
      </c>
      <c r="E34" s="37">
        <f>-Trapped!E$40*E$10*E$29</f>
        <v>0</v>
      </c>
      <c r="F34" s="37">
        <f>-Trapped!F$40*F$10*F$29</f>
        <v>0</v>
      </c>
      <c r="G34" s="37">
        <f ca="1">-Trapped!G$40*G$10*G$29</f>
        <v>0</v>
      </c>
      <c r="H34" s="37">
        <f ca="1">-Trapped!H$40*H$10*H$29</f>
        <v>0</v>
      </c>
      <c r="I34" s="37">
        <f ca="1">-Trapped!I$40*I$10*I$29</f>
        <v>-10.762679651549014</v>
      </c>
      <c r="J34" s="37">
        <f ca="1">-Trapped!J$40*J$10*J$29</f>
        <v>-130.04105421304749</v>
      </c>
      <c r="K34" s="37">
        <f ca="1">-Trapped!K$40*K$10*K$29</f>
        <v>-143.8027677670668</v>
      </c>
      <c r="L34" s="37">
        <f ca="1">-Trapped!L$40*L$10*L$29</f>
        <v>-179.69424154967797</v>
      </c>
      <c r="M34" s="37">
        <f ca="1">-Trapped!M$40*M$10*M$29</f>
        <v>-179.69424154967797</v>
      </c>
      <c r="N34" s="37">
        <f ca="1">-Trapped!N$40*N$10*N$29</f>
        <v>-170.33253186686807</v>
      </c>
      <c r="O34" s="37">
        <f ca="1">-Trapped!O$40*O$10*O$29</f>
        <v>-220.59069529654565</v>
      </c>
      <c r="P34" s="37">
        <f ca="1">-Trapped!P$40*P$10*P$29</f>
        <v>-234.62218390275308</v>
      </c>
      <c r="Q34" s="37">
        <f ca="1">-Trapped!Q$40*Q$10*Q$29</f>
        <v>-234.62218390275308</v>
      </c>
      <c r="R34" s="37">
        <f ca="1">-Trapped!R$40*R$10*R$29</f>
        <v>-214.97541375285573</v>
      </c>
      <c r="S34" s="37">
        <f ca="1">-Trapped!S$40*S$10*S$29</f>
        <v>-206.04143255841072</v>
      </c>
      <c r="T34" s="37">
        <f ca="1">-Trapped!T$40*T$10*T$29</f>
        <v>-188.13073033513112</v>
      </c>
      <c r="U34" s="37">
        <f ca="1">-Trapped!U$40*U$10*U$29</f>
        <v>-129.52233057341326</v>
      </c>
      <c r="V34" s="37">
        <f ca="1">-Trapped!V$40*V$10*V$29</f>
        <v>-145.12538985829283</v>
      </c>
      <c r="W34" s="37">
        <f ca="1">-Trapped!W$40*W$10*W$29</f>
        <v>-171.63964451217163</v>
      </c>
      <c r="X34" s="37">
        <f ca="1">-Trapped!X$40*X$10*X$29</f>
        <v>-171.63964451217163</v>
      </c>
      <c r="Y34" s="37">
        <f ca="1">-Trapped!Y$40*Y$10*Y$29</f>
        <v>-203.59029693665568</v>
      </c>
      <c r="Z34" s="37">
        <f ca="1">-Trapped!Z$40*Z$10*Z$29</f>
        <v>-240.17162331702281</v>
      </c>
      <c r="AA34" s="37">
        <f ca="1">-Trapped!AA$40*AA$10*AA$29</f>
        <v>-288.72354459936088</v>
      </c>
      <c r="AB34" s="435">
        <f t="shared" ca="1" si="4"/>
        <v>-3463.7226306554257</v>
      </c>
      <c r="AC34" s="435">
        <f t="shared" ca="1" si="5"/>
        <v>-534.10254396083462</v>
      </c>
    </row>
    <row r="35" spans="1:30">
      <c r="A35" s="461"/>
      <c r="B35" s="15" t="s">
        <v>1589</v>
      </c>
      <c r="E35" s="37">
        <f t="shared" ref="E35:AA35" ca="1" si="8">E16*E$29</f>
        <v>0</v>
      </c>
      <c r="F35" s="37">
        <f t="shared" ca="1" si="8"/>
        <v>0</v>
      </c>
      <c r="G35" s="37">
        <f t="shared" ca="1" si="8"/>
        <v>0</v>
      </c>
      <c r="H35" s="37">
        <f t="shared" ca="1" si="8"/>
        <v>0</v>
      </c>
      <c r="I35" s="37">
        <f t="shared" ca="1" si="8"/>
        <v>0</v>
      </c>
      <c r="J35" s="37">
        <f t="shared" ca="1" si="8"/>
        <v>0</v>
      </c>
      <c r="K35" s="37">
        <f t="shared" ca="1" si="8"/>
        <v>265.57593877026574</v>
      </c>
      <c r="L35" s="37">
        <f t="shared" ca="1" si="8"/>
        <v>0</v>
      </c>
      <c r="M35" s="37">
        <f t="shared" ca="1" si="8"/>
        <v>1022.5243052289209</v>
      </c>
      <c r="N35" s="37">
        <f t="shared" ca="1" si="8"/>
        <v>1159.2544490795783</v>
      </c>
      <c r="O35" s="37">
        <f t="shared" ca="1" si="8"/>
        <v>1125.284854634275</v>
      </c>
      <c r="P35" s="37">
        <f t="shared" ca="1" si="8"/>
        <v>1003.3044751060941</v>
      </c>
      <c r="Q35" s="37">
        <f t="shared" ca="1" si="8"/>
        <v>1049.0950800656597</v>
      </c>
      <c r="R35" s="37">
        <f t="shared" ca="1" si="8"/>
        <v>1206.3164126639481</v>
      </c>
      <c r="S35" s="37">
        <f t="shared" ca="1" si="8"/>
        <v>1206.3164126639481</v>
      </c>
      <c r="T35" s="37">
        <f t="shared" ca="1" si="8"/>
        <v>930.10603022069006</v>
      </c>
      <c r="U35" s="37">
        <f t="shared" ca="1" si="8"/>
        <v>1206.3164126639481</v>
      </c>
      <c r="V35" s="37">
        <f t="shared" ca="1" si="8"/>
        <v>466.04104218520592</v>
      </c>
      <c r="W35" s="37">
        <f t="shared" ca="1" si="8"/>
        <v>0</v>
      </c>
      <c r="X35" s="37">
        <f t="shared" ca="1" si="8"/>
        <v>0</v>
      </c>
      <c r="Y35" s="37">
        <f t="shared" ca="1" si="8"/>
        <v>0</v>
      </c>
      <c r="Z35" s="37">
        <f t="shared" ca="1" si="8"/>
        <v>0</v>
      </c>
      <c r="AA35" s="37">
        <f t="shared" ca="1" si="8"/>
        <v>0</v>
      </c>
      <c r="AB35" s="435">
        <f t="shared" ca="1" si="4"/>
        <v>10640.135413282533</v>
      </c>
      <c r="AC35" s="435">
        <f t="shared" ca="1" si="5"/>
        <v>1742.6111559903661</v>
      </c>
    </row>
    <row r="36" spans="1:30">
      <c r="A36" s="461"/>
      <c r="B36" s="15" t="s">
        <v>1590</v>
      </c>
      <c r="C36" s="212">
        <f>IF(A37=0,0,Wh_Int)</f>
        <v>0</v>
      </c>
      <c r="E36" s="37">
        <f t="shared" ref="E36:AA36" ca="1" si="9">-E35*$C36</f>
        <v>0</v>
      </c>
      <c r="F36" s="37">
        <f t="shared" ca="1" si="9"/>
        <v>0</v>
      </c>
      <c r="G36" s="37">
        <f t="shared" ca="1" si="9"/>
        <v>0</v>
      </c>
      <c r="H36" s="37">
        <f t="shared" ca="1" si="9"/>
        <v>0</v>
      </c>
      <c r="I36" s="37">
        <f t="shared" ca="1" si="9"/>
        <v>0</v>
      </c>
      <c r="J36" s="37">
        <f t="shared" ca="1" si="9"/>
        <v>0</v>
      </c>
      <c r="K36" s="37">
        <f t="shared" ca="1" si="9"/>
        <v>0</v>
      </c>
      <c r="L36" s="37">
        <f t="shared" ca="1" si="9"/>
        <v>0</v>
      </c>
      <c r="M36" s="37">
        <f t="shared" ca="1" si="9"/>
        <v>0</v>
      </c>
      <c r="N36" s="37">
        <f t="shared" ca="1" si="9"/>
        <v>0</v>
      </c>
      <c r="O36" s="37">
        <f t="shared" ca="1" si="9"/>
        <v>0</v>
      </c>
      <c r="P36" s="37">
        <f t="shared" ca="1" si="9"/>
        <v>0</v>
      </c>
      <c r="Q36" s="37">
        <f t="shared" ca="1" si="9"/>
        <v>0</v>
      </c>
      <c r="R36" s="37">
        <f t="shared" ca="1" si="9"/>
        <v>0</v>
      </c>
      <c r="S36" s="37">
        <f t="shared" ca="1" si="9"/>
        <v>0</v>
      </c>
      <c r="T36" s="37">
        <f t="shared" ca="1" si="9"/>
        <v>0</v>
      </c>
      <c r="U36" s="37">
        <f t="shared" ca="1" si="9"/>
        <v>0</v>
      </c>
      <c r="V36" s="37">
        <f t="shared" ca="1" si="9"/>
        <v>0</v>
      </c>
      <c r="W36" s="37">
        <f t="shared" ca="1" si="9"/>
        <v>0</v>
      </c>
      <c r="X36" s="37">
        <f t="shared" ca="1" si="9"/>
        <v>0</v>
      </c>
      <c r="Y36" s="37">
        <f t="shared" ca="1" si="9"/>
        <v>0</v>
      </c>
      <c r="Z36" s="37">
        <f t="shared" ca="1" si="9"/>
        <v>0</v>
      </c>
      <c r="AA36" s="37">
        <f t="shared" ca="1" si="9"/>
        <v>0</v>
      </c>
      <c r="AB36" s="435">
        <f t="shared" ca="1" si="4"/>
        <v>0</v>
      </c>
      <c r="AC36" s="435">
        <f t="shared" ca="1" si="5"/>
        <v>0</v>
      </c>
    </row>
    <row r="37" spans="1:30">
      <c r="A37" s="899">
        <v>0</v>
      </c>
      <c r="B37" s="15" t="s">
        <v>577</v>
      </c>
      <c r="C37" s="796">
        <v>0</v>
      </c>
      <c r="E37" s="142">
        <f>-SUM(E34:E34)*$C37</f>
        <v>0</v>
      </c>
      <c r="F37" s="142">
        <f t="shared" ref="F37:AA37" si="10">-SUM(F34:F34)*$C37</f>
        <v>0</v>
      </c>
      <c r="G37" s="142">
        <f t="shared" ca="1" si="10"/>
        <v>0</v>
      </c>
      <c r="H37" s="142">
        <f t="shared" ca="1" si="10"/>
        <v>0</v>
      </c>
      <c r="I37" s="142">
        <f t="shared" ca="1" si="10"/>
        <v>0</v>
      </c>
      <c r="J37" s="142">
        <f t="shared" ca="1" si="10"/>
        <v>0</v>
      </c>
      <c r="K37" s="142">
        <f t="shared" ca="1" si="10"/>
        <v>0</v>
      </c>
      <c r="L37" s="142">
        <f t="shared" ca="1" si="10"/>
        <v>0</v>
      </c>
      <c r="M37" s="142">
        <f t="shared" ca="1" si="10"/>
        <v>0</v>
      </c>
      <c r="N37" s="142">
        <f t="shared" ca="1" si="10"/>
        <v>0</v>
      </c>
      <c r="O37" s="142">
        <f t="shared" ca="1" si="10"/>
        <v>0</v>
      </c>
      <c r="P37" s="142">
        <f t="shared" ca="1" si="10"/>
        <v>0</v>
      </c>
      <c r="Q37" s="142">
        <f t="shared" ca="1" si="10"/>
        <v>0</v>
      </c>
      <c r="R37" s="142">
        <f t="shared" ca="1" si="10"/>
        <v>0</v>
      </c>
      <c r="S37" s="142">
        <f t="shared" ca="1" si="10"/>
        <v>0</v>
      </c>
      <c r="T37" s="142">
        <f t="shared" ca="1" si="10"/>
        <v>0</v>
      </c>
      <c r="U37" s="142">
        <f t="shared" ca="1" si="10"/>
        <v>0</v>
      </c>
      <c r="V37" s="142">
        <f t="shared" ca="1" si="10"/>
        <v>0</v>
      </c>
      <c r="W37" s="142">
        <f t="shared" ca="1" si="10"/>
        <v>0</v>
      </c>
      <c r="X37" s="142">
        <f t="shared" ca="1" si="10"/>
        <v>0</v>
      </c>
      <c r="Y37" s="142">
        <f t="shared" ca="1" si="10"/>
        <v>0</v>
      </c>
      <c r="Z37" s="142">
        <f t="shared" ca="1" si="10"/>
        <v>0</v>
      </c>
      <c r="AA37" s="142">
        <f t="shared" ca="1" si="10"/>
        <v>0</v>
      </c>
      <c r="AB37" s="436">
        <f t="shared" ca="1" si="4"/>
        <v>0</v>
      </c>
      <c r="AC37" s="436">
        <f t="shared" ca="1" si="5"/>
        <v>0</v>
      </c>
    </row>
    <row r="38" spans="1:30">
      <c r="A38" s="461"/>
      <c r="B38" s="15" t="s">
        <v>480</v>
      </c>
      <c r="E38" s="37">
        <f t="shared" ref="E38:AA38" ca="1" si="11">SUM(E31:E37)</f>
        <v>0</v>
      </c>
      <c r="F38" s="37">
        <f t="shared" ca="1" si="11"/>
        <v>0</v>
      </c>
      <c r="G38" s="37">
        <f t="shared" ca="1" si="11"/>
        <v>-11300</v>
      </c>
      <c r="H38" s="37">
        <f t="shared" ca="1" si="11"/>
        <v>436.58404397884379</v>
      </c>
      <c r="I38" s="37">
        <f t="shared" ca="1" si="11"/>
        <v>1977.210229706759</v>
      </c>
      <c r="J38" s="37">
        <f t="shared" ca="1" si="11"/>
        <v>99.320838353940388</v>
      </c>
      <c r="K38" s="37">
        <f t="shared" ca="1" si="11"/>
        <v>719.96440071338566</v>
      </c>
      <c r="L38" s="37">
        <f t="shared" ca="1" si="11"/>
        <v>-1162.1688157007643</v>
      </c>
      <c r="M38" s="37">
        <f t="shared" ca="1" si="11"/>
        <v>1669.276143116831</v>
      </c>
      <c r="N38" s="37">
        <f t="shared" ca="1" si="11"/>
        <v>1826.5579743740027</v>
      </c>
      <c r="O38" s="37">
        <f t="shared" ca="1" si="11"/>
        <v>1437.1699561815281</v>
      </c>
      <c r="P38" s="37">
        <f t="shared" ca="1" si="11"/>
        <v>1214.0596483873678</v>
      </c>
      <c r="Q38" s="37">
        <f t="shared" ca="1" si="11"/>
        <v>1473.5767784553052</v>
      </c>
      <c r="R38" s="37">
        <f t="shared" ca="1" si="11"/>
        <v>1622.8381763338825</v>
      </c>
      <c r="S38" s="37">
        <f t="shared" ca="1" si="11"/>
        <v>1033.9093015601043</v>
      </c>
      <c r="T38" s="37">
        <f t="shared" ca="1" si="11"/>
        <v>780.00737205893881</v>
      </c>
      <c r="U38" s="37">
        <f t="shared" ca="1" si="11"/>
        <v>2937.3525672357209</v>
      </c>
      <c r="V38" s="37">
        <f t="shared" ca="1" si="11"/>
        <v>1076.1855365724773</v>
      </c>
      <c r="W38" s="37">
        <f t="shared" ca="1" si="11"/>
        <v>-430.26333106880691</v>
      </c>
      <c r="X38" s="37">
        <f t="shared" ca="1" si="11"/>
        <v>619.49491578586412</v>
      </c>
      <c r="Y38" s="37">
        <f t="shared" ca="1" si="11"/>
        <v>406.09847606946357</v>
      </c>
      <c r="Z38" s="37">
        <f t="shared" ca="1" si="11"/>
        <v>569.02706472194427</v>
      </c>
      <c r="AA38" s="37">
        <f t="shared" ca="1" si="11"/>
        <v>699.59446411646354</v>
      </c>
      <c r="AB38" s="435">
        <f t="shared" ca="1" si="4"/>
        <v>7705.7957409532537</v>
      </c>
      <c r="AC38" s="435">
        <f ca="1">SUM(AC31:AC37)</f>
        <v>-5677.8219842883154</v>
      </c>
    </row>
    <row r="39" spans="1:30">
      <c r="A39" s="461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435"/>
      <c r="AC39" s="435"/>
    </row>
    <row r="40" spans="1:30">
      <c r="A40" s="461"/>
      <c r="B40" s="15" t="s">
        <v>472</v>
      </c>
      <c r="E40" s="221">
        <f ca="1">$E38</f>
        <v>0</v>
      </c>
      <c r="F40" s="221">
        <f ca="1">IF($I$3=0,$F38,$E38+NPV(Disc,$F38:F38))</f>
        <v>0</v>
      </c>
      <c r="G40" s="37">
        <f ca="1">IF($I$3=0,$F38+NPV(Disc, $G38:G38),$E38+NPV(Disc,$F38:G38))</f>
        <v>-9495.7983193277323</v>
      </c>
      <c r="H40" s="37">
        <f ca="1">IF($I$3=0,$F38+NPV(Disc, $G38:H38),$E38+NPV(Disc,$F38:H38))</f>
        <v>-9187.4980269904354</v>
      </c>
      <c r="I40" s="37">
        <f ca="1">IF($I$3=0,$F38+NPV(Disc, $G38:I38),$E38+NPV(Disc,$F38:I38))</f>
        <v>-8014.1902087330727</v>
      </c>
      <c r="J40" s="37">
        <f ca="1">IF($I$3=0,$F38+NPV(Disc, $G38:J38),$E38+NPV(Disc,$F38:J38))</f>
        <v>-7964.6620102823272</v>
      </c>
      <c r="K40" s="37">
        <f ca="1">IF($I$3=0,$F38+NPV(Disc, $G38:K38),$E38+NPV(Disc,$F38:K38))</f>
        <v>-7662.9613810706642</v>
      </c>
      <c r="L40" s="37">
        <f ca="1">IF($I$3=0,$F38+NPV(Disc, $G38:L38),$E38+NPV(Disc,$F38:L38))</f>
        <v>-8072.2102139572507</v>
      </c>
      <c r="M40" s="37">
        <f ca="1">IF($I$3=0,$F38+NPV(Disc, $G38:M38),$E38+NPV(Disc,$F38:M38))</f>
        <v>-7578.241484571442</v>
      </c>
      <c r="N40" s="37">
        <f ca="1">IF($I$3=0,$F38+NPV(Disc, $G38:N38),$E38+NPV(Disc,$F38:N38))</f>
        <v>-7124.0303566420052</v>
      </c>
      <c r="O40" s="37">
        <f ca="1">IF($I$3=0,$F38+NPV(Disc, $G38:O38),$E38+NPV(Disc,$F38:O38))</f>
        <v>-6823.709511642016</v>
      </c>
      <c r="P40" s="37">
        <f ca="1">IF($I$3=0,$F38+NPV(Disc, $G38:P38),$E38+NPV(Disc,$F38:P38))</f>
        <v>-6610.5177536564179</v>
      </c>
      <c r="Q40" s="37">
        <f ca="1">IF($I$3=0,$F38+NPV(Disc, $G38:Q38),$E38+NPV(Disc,$F38:Q38))</f>
        <v>-6393.0693650423245</v>
      </c>
      <c r="R40" s="37">
        <f ca="1">IF($I$3=0,$F38+NPV(Disc, $G38:R38),$E38+NPV(Disc,$F38:R38))</f>
        <v>-6191.8305835611327</v>
      </c>
      <c r="S40" s="37">
        <f ca="1">IF($I$3=0,$F38+NPV(Disc, $G38:S38),$E38+NPV(Disc,$F38:S38))</f>
        <v>-6084.0918306151889</v>
      </c>
      <c r="T40" s="37">
        <f ca="1">IF($I$3=0,$F38+NPV(Disc, $G38:T38),$E38+NPV(Disc,$F38:T38))</f>
        <v>-6015.7885996283248</v>
      </c>
      <c r="U40" s="37">
        <f ca="1">IF($I$3=0,$F38+NPV(Disc, $G38:U38),$E38+NPV(Disc,$F38:U38))</f>
        <v>-5799.6403829988685</v>
      </c>
      <c r="V40" s="37">
        <f ca="1">IF($I$3=0,$F38+NPV(Disc, $G38:V38),$E38+NPV(Disc,$F38:V38))</f>
        <v>-5733.092266417093</v>
      </c>
      <c r="W40" s="37">
        <f ca="1">IF($I$3=0,$F38+NPV(Disc, $G38:W38),$E38+NPV(Disc,$F38:W38))</f>
        <v>-5755.4504229043323</v>
      </c>
      <c r="X40" s="37">
        <f ca="1">IF($I$3=0,$F38+NPV(Disc, $G38:X38),$E38+NPV(Disc,$F38:X38))</f>
        <v>-5728.3988550258218</v>
      </c>
      <c r="Y40" s="37">
        <f ca="1">IF($I$3=0,$F38+NPV(Disc, $G38:Y38),$E38+NPV(Disc,$F38:Y38))</f>
        <v>-5713.4970425721367</v>
      </c>
      <c r="Z40" s="37">
        <f ca="1">IF($I$3=0,$F38+NPV(Disc, $G38:Z38),$E38+NPV(Disc,$F38:Z38))</f>
        <v>-5695.9504134975159</v>
      </c>
      <c r="AA40" s="37">
        <f ca="1">IF($I$3=0,$F38+NPV(Disc, $G38:AA38),$E38+NPV(Disc,$F38:AA38))</f>
        <v>-5677.8219842883127</v>
      </c>
      <c r="AB40" s="466"/>
      <c r="AC40" s="435">
        <f ca="1">AC38</f>
        <v>-5677.8219842883154</v>
      </c>
    </row>
    <row r="41" spans="1:30">
      <c r="A41" s="461"/>
      <c r="B41" s="15" t="s">
        <v>473</v>
      </c>
      <c r="E41" s="32" t="e">
        <f ca="1">IRR($E38:E38,-0.9)</f>
        <v>#NUM!</v>
      </c>
      <c r="F41" s="32" t="e">
        <f ca="1">IRR($E38:F38,-0.9)</f>
        <v>#NUM!</v>
      </c>
      <c r="G41" s="32" t="e">
        <f ca="1">IRR($E38:G38,-0.9)</f>
        <v>#NUM!</v>
      </c>
      <c r="H41" s="32" t="e">
        <f ca="1">IRR($E38:H38,-0.9)</f>
        <v>#NUM!</v>
      </c>
      <c r="I41" s="32">
        <f ca="1">IRR($E38:I38,-0.9)</f>
        <v>-0.56193692851434351</v>
      </c>
      <c r="J41" s="32">
        <f ca="1">IRR($E38:J38,-0.9)</f>
        <v>-0.53972451511077202</v>
      </c>
      <c r="K41" s="32">
        <f ca="1">IRR($E38:K38,-0.9)</f>
        <v>-0.38315152252036855</v>
      </c>
      <c r="L41" s="32" t="e">
        <f ca="1">IRR($E38:L38,-0.9)</f>
        <v>#NUM!</v>
      </c>
      <c r="M41" s="32">
        <f ca="1">IRR($E38:M38,-0.9)</f>
        <v>-0.25316117848265557</v>
      </c>
      <c r="N41" s="32">
        <f ca="1">IRR($E38:N38,-0.9)</f>
        <v>-0.13627854997596861</v>
      </c>
      <c r="O41" s="32">
        <f ca="1">IRR($E38:O38,-0.9)</f>
        <v>-8.422635568026772E-2</v>
      </c>
      <c r="P41" s="32">
        <f ca="1">IRR($E38:P38,-0.9)</f>
        <v>-5.2394823805082841E-2</v>
      </c>
      <c r="Q41" s="32">
        <f ca="1">IRR($E38:Q38,-0.9)</f>
        <v>-2.3445460101349028E-2</v>
      </c>
      <c r="R41" s="32">
        <f ca="1">IRR($E38:R38,-0.9)</f>
        <v>1.8099350503208108E-4</v>
      </c>
      <c r="S41" s="32">
        <f ca="1">IRR($E38:S38,-0.9)</f>
        <v>1.20930240240275E-2</v>
      </c>
      <c r="T41" s="32">
        <f ca="1">IRR($E38:T38,-0.9)</f>
        <v>1.9780383881364751E-2</v>
      </c>
      <c r="U41" s="32">
        <f ca="1">IRR($E38:U38,-0.9)</f>
        <v>4.1847677718127405E-2</v>
      </c>
      <c r="V41" s="32">
        <f ca="1">IRR($E38:V38,-0.9)</f>
        <v>4.8004998090151775E-2</v>
      </c>
      <c r="W41" s="32">
        <f ca="1">IRR($E38:W38,-0.9)</f>
        <v>4.5729543095440459E-2</v>
      </c>
      <c r="X41" s="32">
        <f ca="1">IRR($E38:X38,-0.9)</f>
        <v>4.8828069287071334E-2</v>
      </c>
      <c r="Y41" s="32">
        <f ca="1">IRR($E38:Y38,-0.9)</f>
        <v>5.0662760274647473E-2</v>
      </c>
      <c r="Z41" s="32">
        <f ca="1">IRR($E38:Z38,-0.9)</f>
        <v>5.2990588467392151E-2</v>
      </c>
      <c r="AA41" s="32">
        <f ca="1">IRR($E38:AA38,-0.9)</f>
        <v>5.5544846984273463E-2</v>
      </c>
      <c r="AB41" s="465"/>
      <c r="AC41" s="471">
        <f ca="1">IRR(E38:AA38,-0.9)</f>
        <v>5.5544846984273463E-2</v>
      </c>
    </row>
    <row r="42" spans="1:30">
      <c r="A42" s="20"/>
      <c r="AB42" s="430"/>
      <c r="AC42" s="431"/>
    </row>
    <row r="43" spans="1:30">
      <c r="A43" s="461"/>
      <c r="B43" s="243" t="str">
        <f ca="1">CONCATENATE(Assm!$H$98," NPV @ ",TEXT(Disc,"0.0%"))</f>
        <v>New Investor Equity % (LJM) NPV @ 19.0%</v>
      </c>
      <c r="C43" s="452">
        <f ca="1">AC40</f>
        <v>-5677.8219842883154</v>
      </c>
      <c r="D43" s="3"/>
      <c r="AB43" s="430"/>
      <c r="AC43" s="431"/>
    </row>
    <row r="44" spans="1:30">
      <c r="A44" s="1318"/>
      <c r="B44" s="253" t="str">
        <f>CONCATENATE(Assm!$H$98," IRR")</f>
        <v>New Investor Equity % (LJM) IRR</v>
      </c>
      <c r="C44" s="1319">
        <f ca="1">AC41</f>
        <v>5.5544846984273463E-2</v>
      </c>
      <c r="D44" s="4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469"/>
      <c r="AC44" s="434"/>
    </row>
    <row r="45" spans="1:30">
      <c r="A45" s="20"/>
      <c r="AB45" s="430"/>
      <c r="AC45" s="430"/>
    </row>
    <row r="46" spans="1:30" s="81" customFormat="1">
      <c r="A46" s="20"/>
      <c r="B46" s="15" t="s">
        <v>233</v>
      </c>
      <c r="C46" s="15"/>
      <c r="D46" s="15"/>
      <c r="E46" s="37">
        <f ca="1">E38</f>
        <v>0</v>
      </c>
      <c r="F46" s="37">
        <f t="shared" ref="F46:AA46" ca="1" si="12">F38</f>
        <v>0</v>
      </c>
      <c r="G46" s="37">
        <f t="shared" ca="1" si="12"/>
        <v>-11300</v>
      </c>
      <c r="H46" s="37">
        <f t="shared" ca="1" si="12"/>
        <v>436.58404397884379</v>
      </c>
      <c r="I46" s="37">
        <f t="shared" ca="1" si="12"/>
        <v>1977.210229706759</v>
      </c>
      <c r="J46" s="37">
        <f t="shared" ca="1" si="12"/>
        <v>99.320838353940388</v>
      </c>
      <c r="K46" s="37">
        <f t="shared" ca="1" si="12"/>
        <v>719.96440071338566</v>
      </c>
      <c r="L46" s="37">
        <f t="shared" ca="1" si="12"/>
        <v>-1162.1688157007643</v>
      </c>
      <c r="M46" s="37">
        <f t="shared" ca="1" si="12"/>
        <v>1669.276143116831</v>
      </c>
      <c r="N46" s="37">
        <f t="shared" ca="1" si="12"/>
        <v>1826.5579743740027</v>
      </c>
      <c r="O46" s="37">
        <f t="shared" ca="1" si="12"/>
        <v>1437.1699561815281</v>
      </c>
      <c r="P46" s="37">
        <f t="shared" ca="1" si="12"/>
        <v>1214.0596483873678</v>
      </c>
      <c r="Q46" s="37">
        <f t="shared" ca="1" si="12"/>
        <v>1473.5767784553052</v>
      </c>
      <c r="R46" s="37">
        <f t="shared" ca="1" si="12"/>
        <v>1622.8381763338825</v>
      </c>
      <c r="S46" s="37">
        <f t="shared" ca="1" si="12"/>
        <v>1033.9093015601043</v>
      </c>
      <c r="T46" s="37">
        <f t="shared" ca="1" si="12"/>
        <v>780.00737205893881</v>
      </c>
      <c r="U46" s="37">
        <f t="shared" ca="1" si="12"/>
        <v>2937.3525672357209</v>
      </c>
      <c r="V46" s="37">
        <f t="shared" ca="1" si="12"/>
        <v>1076.1855365724773</v>
      </c>
      <c r="W46" s="37">
        <f t="shared" ca="1" si="12"/>
        <v>-430.26333106880691</v>
      </c>
      <c r="X46" s="37">
        <f t="shared" ca="1" si="12"/>
        <v>619.49491578586412</v>
      </c>
      <c r="Y46" s="37">
        <f t="shared" ca="1" si="12"/>
        <v>406.09847606946357</v>
      </c>
      <c r="Z46" s="37">
        <f t="shared" ca="1" si="12"/>
        <v>569.02706472194427</v>
      </c>
      <c r="AA46" s="37">
        <f t="shared" ca="1" si="12"/>
        <v>699.59446411646354</v>
      </c>
      <c r="AB46" s="435">
        <f t="shared" ref="AB46:AB52" ca="1" si="13">SUM(E46:AA46)</f>
        <v>7705.7957409532537</v>
      </c>
      <c r="AC46" s="463">
        <f t="shared" ref="AC46:AC51" ca="1" si="14">IF($I$3=0,F46+NPV(Disc,G46:AA46),E46+NPV(Disc,F46:AA46))</f>
        <v>-5677.8219842883127</v>
      </c>
      <c r="AD46" s="15"/>
    </row>
    <row r="47" spans="1:30">
      <c r="A47" s="457">
        <f>IF(Assm!$L$110=0,0,Assm!K98)</f>
        <v>0</v>
      </c>
      <c r="B47" s="15" t="s">
        <v>1380</v>
      </c>
      <c r="E47" s="37">
        <f>-'Enron Returns'!E66</f>
        <v>0</v>
      </c>
      <c r="F47" s="37">
        <f>-'Enron Returns'!F66</f>
        <v>0</v>
      </c>
      <c r="G47" s="37">
        <f>-'Enron Returns'!G66</f>
        <v>0</v>
      </c>
      <c r="H47" s="37">
        <f>-'Enron Returns'!H66</f>
        <v>0</v>
      </c>
      <c r="I47" s="37">
        <f>-'Enron Returns'!I66</f>
        <v>0</v>
      </c>
      <c r="J47" s="37">
        <f>-'Enron Returns'!J66</f>
        <v>0</v>
      </c>
      <c r="K47" s="37">
        <f>-'Enron Returns'!K66</f>
        <v>0</v>
      </c>
      <c r="L47" s="37">
        <f>-'Enron Returns'!L66</f>
        <v>0</v>
      </c>
      <c r="M47" s="37">
        <f>-'Enron Returns'!M66</f>
        <v>0</v>
      </c>
      <c r="N47" s="37">
        <f>-'Enron Returns'!N66</f>
        <v>0</v>
      </c>
      <c r="O47" s="37">
        <f>-'Enron Returns'!O66</f>
        <v>0</v>
      </c>
      <c r="P47" s="37">
        <f>-'Enron Returns'!P66</f>
        <v>0</v>
      </c>
      <c r="Q47" s="37">
        <f>-'Enron Returns'!Q66</f>
        <v>0</v>
      </c>
      <c r="R47" s="37">
        <f>-'Enron Returns'!R66</f>
        <v>0</v>
      </c>
      <c r="S47" s="37">
        <f>-'Enron Returns'!S66</f>
        <v>0</v>
      </c>
      <c r="T47" s="37">
        <f>-'Enron Returns'!T66</f>
        <v>0</v>
      </c>
      <c r="U47" s="37">
        <f>-'Enron Returns'!U66</f>
        <v>0</v>
      </c>
      <c r="V47" s="37">
        <f>-'Enron Returns'!V66</f>
        <v>0</v>
      </c>
      <c r="W47" s="37">
        <f>-'Enron Returns'!W66</f>
        <v>0</v>
      </c>
      <c r="X47" s="37">
        <f>-'Enron Returns'!X66</f>
        <v>0</v>
      </c>
      <c r="Y47" s="37">
        <f>-'Enron Returns'!Y66</f>
        <v>0</v>
      </c>
      <c r="Z47" s="37">
        <f>-'Enron Returns'!Z66</f>
        <v>0</v>
      </c>
      <c r="AA47" s="37">
        <f>-'Enron Returns'!AA66</f>
        <v>0</v>
      </c>
      <c r="AB47" s="435">
        <f>SUM(E47:AA47)</f>
        <v>0</v>
      </c>
      <c r="AC47" s="463">
        <f t="shared" ca="1" si="14"/>
        <v>0</v>
      </c>
    </row>
    <row r="48" spans="1:30">
      <c r="A48" s="457"/>
      <c r="B48" s="15" t="s">
        <v>152</v>
      </c>
      <c r="E48" s="226">
        <f ca="1">IF(E$7&lt;YEAR(Startops1),0,-HLOOKUP(E$7,CF_Table,CF!$AB$71)*$A47)</f>
        <v>0</v>
      </c>
      <c r="F48" s="226">
        <f ca="1">IF(F$7&lt;YEAR(Startops1),0,-HLOOKUP(F$7,CF_Table,CF!$AB$71)*$A47)</f>
        <v>0</v>
      </c>
      <c r="G48" s="226">
        <f ca="1">IF(G$7&lt;YEAR(Startops1),0,-HLOOKUP(G$7,CF_Table,CF!$AB$71)*$A47)</f>
        <v>0</v>
      </c>
      <c r="H48" s="226">
        <f ca="1">IF(H$7&lt;YEAR(Startops1),0,-HLOOKUP(H$7,CF_Table,CF!$AB$71)*$A47)</f>
        <v>0</v>
      </c>
      <c r="I48" s="226">
        <f ca="1">IF(I$7&lt;YEAR(Startops1),0,-HLOOKUP(I$7,CF_Table,CF!$AB$71)*$A47)</f>
        <v>0</v>
      </c>
      <c r="J48" s="226">
        <f ca="1">IF(J$7&lt;YEAR(Startops1),0,-HLOOKUP(J$7,CF_Table,CF!$AB$71)*$A47)</f>
        <v>0</v>
      </c>
      <c r="K48" s="226">
        <f ca="1">IF(K$7&lt;YEAR(Startops1),0,-HLOOKUP(K$7,CF_Table,CF!$AB$71)*$A47)</f>
        <v>0</v>
      </c>
      <c r="L48" s="226">
        <f ca="1">IF(L$7&lt;YEAR(Startops1),0,-HLOOKUP(L$7,CF_Table,CF!$AB$71)*$A47)</f>
        <v>0</v>
      </c>
      <c r="M48" s="226">
        <f ca="1">IF(M$7&lt;YEAR(Startops1),0,-HLOOKUP(M$7,CF_Table,CF!$AB$71)*$A47)</f>
        <v>0</v>
      </c>
      <c r="N48" s="226">
        <f ca="1">IF(N$7&lt;YEAR(Startops1),0,-HLOOKUP(N$7,CF_Table,CF!$AB$71)*$A47)</f>
        <v>0</v>
      </c>
      <c r="O48" s="226">
        <f ca="1">IF(O$7&lt;YEAR(Startops1),0,-HLOOKUP(O$7,CF_Table,CF!$AB$71)*$A47)</f>
        <v>0</v>
      </c>
      <c r="P48" s="226">
        <f ca="1">IF(P$7&lt;YEAR(Startops1),0,-HLOOKUP(P$7,CF_Table,CF!$AB$71)*$A47)</f>
        <v>0</v>
      </c>
      <c r="Q48" s="226">
        <f ca="1">IF(Q$7&lt;YEAR(Startops1),0,-HLOOKUP(Q$7,CF_Table,CF!$AB$71)*$A47)</f>
        <v>0</v>
      </c>
      <c r="R48" s="226">
        <f ca="1">IF(R$7&lt;YEAR(Startops1),0,-HLOOKUP(R$7,CF_Table,CF!$AB$71)*$A47)</f>
        <v>0</v>
      </c>
      <c r="S48" s="226">
        <f ca="1">IF(S$7&lt;YEAR(Startops1),0,-HLOOKUP(S$7,CF_Table,CF!$AB$71)*$A47)</f>
        <v>0</v>
      </c>
      <c r="T48" s="226">
        <f ca="1">IF(T$7&lt;YEAR(Startops1),0,-HLOOKUP(T$7,CF_Table,CF!$AB$71)*$A47)</f>
        <v>0</v>
      </c>
      <c r="U48" s="226">
        <f ca="1">IF(U$7&lt;YEAR(Startops1),0,-HLOOKUP(U$7,CF_Table,CF!$AB$71)*$A47)</f>
        <v>0</v>
      </c>
      <c r="V48" s="226">
        <f ca="1">IF(V$7&lt;YEAR(Startops1),0,-HLOOKUP(V$7,CF_Table,CF!$AB$71)*$A47)</f>
        <v>0</v>
      </c>
      <c r="W48" s="226">
        <f ca="1">IF(W$7&lt;YEAR(Startops1),0,-HLOOKUP(W$7,CF_Table,CF!$AB$71)*$A47)</f>
        <v>0</v>
      </c>
      <c r="X48" s="226">
        <f ca="1">IF(X$7&lt;YEAR(Startops1),0,-HLOOKUP(X$7,CF_Table,CF!$AB$71)*$A47)</f>
        <v>0</v>
      </c>
      <c r="Y48" s="226">
        <f ca="1">IF(Y$7&lt;YEAR(Startops1),0,-HLOOKUP(Y$7,CF_Table,CF!$AB$71)*$A47)</f>
        <v>0</v>
      </c>
      <c r="Z48" s="226">
        <f ca="1">IF(Z$7&lt;YEAR(Startops1),0,-HLOOKUP(Z$7,CF_Table,CF!$AB$71)*$A47)</f>
        <v>0</v>
      </c>
      <c r="AA48" s="226">
        <f ca="1">IF(AA$7&lt;YEAR(Startops1),0,-HLOOKUP(AA$7,CF_Table,CF!$AB$71)*$A47)</f>
        <v>0</v>
      </c>
      <c r="AB48" s="435">
        <f t="shared" ca="1" si="13"/>
        <v>0</v>
      </c>
      <c r="AC48" s="463">
        <f t="shared" ca="1" si="14"/>
        <v>0</v>
      </c>
    </row>
    <row r="49" spans="1:33">
      <c r="A49" s="20"/>
      <c r="B49" s="15" t="s">
        <v>153</v>
      </c>
      <c r="D49" s="161" t="s">
        <v>36</v>
      </c>
      <c r="E49" s="226">
        <f ca="1">IF(E$7&lt;YEAR(Startops1),0,-HLOOKUP(E$7,CF_Table,CF!$AB$45)*$A47)</f>
        <v>0</v>
      </c>
      <c r="F49" s="226">
        <f ca="1">IF(F$7&lt;YEAR(Startops1),0,-HLOOKUP(F$7,CF_Table,CF!$AB$45)*$A47)</f>
        <v>0</v>
      </c>
      <c r="G49" s="226">
        <f ca="1">IF(G$7&lt;YEAR(Startops1),0,-HLOOKUP(G$7,CF_Table,CF!$AB$45)*$A47)</f>
        <v>0</v>
      </c>
      <c r="H49" s="226">
        <f ca="1">IF(H$7&lt;YEAR(Startops1),0,-HLOOKUP(H$7,CF_Table,CF!$AB$45)*$A47)</f>
        <v>0</v>
      </c>
      <c r="I49" s="226">
        <f ca="1">IF(I$7&lt;YEAR(Startops1),0,-HLOOKUP(I$7,CF_Table,CF!$AB$45)*$A47)</f>
        <v>0</v>
      </c>
      <c r="J49" s="226">
        <f ca="1">IF(J$7&lt;YEAR(Startops1),0,-HLOOKUP(J$7,CF_Table,CF!$AB$45)*$A47)</f>
        <v>0</v>
      </c>
      <c r="K49" s="226">
        <f ca="1">IF(K$7&lt;YEAR(Startops1),0,-HLOOKUP(K$7,CF_Table,CF!$AB$45)*$A47)</f>
        <v>0</v>
      </c>
      <c r="L49" s="226">
        <f ca="1">IF(L$7&lt;YEAR(Startops1),0,-HLOOKUP(L$7,CF_Table,CF!$AB$45)*$A47)</f>
        <v>0</v>
      </c>
      <c r="M49" s="226">
        <f ca="1">IF(M$7&lt;YEAR(Startops1),0,-HLOOKUP(M$7,CF_Table,CF!$AB$45)*$A47)</f>
        <v>0</v>
      </c>
      <c r="N49" s="226">
        <f ca="1">IF(N$7&lt;YEAR(Startops1),0,-HLOOKUP(N$7,CF_Table,CF!$AB$45)*$A47)</f>
        <v>0</v>
      </c>
      <c r="O49" s="226">
        <f ca="1">IF(O$7&lt;YEAR(Startops1),0,-HLOOKUP(O$7,CF_Table,CF!$AB$45)*$A47)</f>
        <v>0</v>
      </c>
      <c r="P49" s="226">
        <f ca="1">IF(P$7&lt;YEAR(Startops1),0,-HLOOKUP(P$7,CF_Table,CF!$AB$45)*$A47)</f>
        <v>0</v>
      </c>
      <c r="Q49" s="226">
        <f ca="1">IF(Q$7&lt;YEAR(Startops1),0,-HLOOKUP(Q$7,CF_Table,CF!$AB$45)*$A47)</f>
        <v>0</v>
      </c>
      <c r="R49" s="226">
        <f ca="1">IF(R$7&lt;YEAR(Startops1),0,-HLOOKUP(R$7,CF_Table,CF!$AB$45)*$A47)</f>
        <v>0</v>
      </c>
      <c r="S49" s="226">
        <f ca="1">IF(S$7&lt;YEAR(Startops1),0,-HLOOKUP(S$7,CF_Table,CF!$AB$45)*$A47)</f>
        <v>0</v>
      </c>
      <c r="T49" s="226">
        <f ca="1">IF(T$7&lt;YEAR(Startops1),0,-HLOOKUP(T$7,CF_Table,CF!$AB$45)*$A47)</f>
        <v>0</v>
      </c>
      <c r="U49" s="226">
        <f ca="1">IF(U$7&lt;YEAR(Startops1),0,-HLOOKUP(U$7,CF_Table,CF!$AB$45)*$A47)</f>
        <v>0</v>
      </c>
      <c r="V49" s="226">
        <f ca="1">IF(V$7&lt;YEAR(Startops1),0,-HLOOKUP(V$7,CF_Table,CF!$AB$45)*$A47)</f>
        <v>0</v>
      </c>
      <c r="W49" s="226">
        <f ca="1">IF(W$7&lt;YEAR(Startops1),0,-HLOOKUP(W$7,CF_Table,CF!$AB$45)*$A47)</f>
        <v>0</v>
      </c>
      <c r="X49" s="226">
        <f ca="1">IF(X$7&lt;YEAR(Startops1),0,-HLOOKUP(X$7,CF_Table,CF!$AB$45)*$A47)</f>
        <v>0</v>
      </c>
      <c r="Y49" s="226">
        <f ca="1">IF(Y$7&lt;YEAR(Startops1),0,-HLOOKUP(Y$7,CF_Table,CF!$AB$45)*$A47)</f>
        <v>0</v>
      </c>
      <c r="Z49" s="226">
        <f ca="1">IF(Z$7&lt;YEAR(Startops1),0,-HLOOKUP(Z$7,CF_Table,CF!$AB$45)*$A47)</f>
        <v>0</v>
      </c>
      <c r="AA49" s="226">
        <f ca="1">IF(AA$7&lt;YEAR(Startops1),0,-HLOOKUP(AA$7,CF_Table,CF!$AB$45)*$A47)</f>
        <v>0</v>
      </c>
      <c r="AB49" s="435">
        <f t="shared" ca="1" si="13"/>
        <v>0</v>
      </c>
      <c r="AC49" s="463">
        <f t="shared" ca="1" si="14"/>
        <v>0</v>
      </c>
      <c r="AG49" s="80"/>
    </row>
    <row r="50" spans="1:33">
      <c r="A50" s="20"/>
      <c r="B50" s="15" t="s">
        <v>1071</v>
      </c>
      <c r="D50" s="161"/>
      <c r="E50" s="37">
        <f>IF(E7=YEAR(Assm!$AB$94),-Assm!$AB$102,0)</f>
        <v>0</v>
      </c>
      <c r="F50" s="226">
        <f>IF(F7=YEAR(Assm!$AB$94),-Assm!$AB$102,0)</f>
        <v>0</v>
      </c>
      <c r="G50" s="226">
        <f>IF(G7=YEAR(Assm!$AB$94),-Assm!$AB$102,0)</f>
        <v>0</v>
      </c>
      <c r="H50" s="226">
        <f>IF(H7=YEAR(Assm!$AB$94),-Assm!$AB$102,0)</f>
        <v>0</v>
      </c>
      <c r="I50" s="226">
        <f>IF(I7=YEAR(Assm!$AB$94),-Assm!$AB$102,0)</f>
        <v>0</v>
      </c>
      <c r="J50" s="226">
        <f>IF(J7=YEAR(Assm!$AB$94),-Assm!$AB$102,0)</f>
        <v>0</v>
      </c>
      <c r="K50" s="226">
        <f>IF(K7=YEAR(Assm!$AB$94),-Assm!$AB$102,0)</f>
        <v>0</v>
      </c>
      <c r="L50" s="226">
        <f>IF(L7=YEAR(Assm!$AB$94),-Assm!$AB$102,0)</f>
        <v>0</v>
      </c>
      <c r="M50" s="226">
        <f>IF(M7=YEAR(Assm!$AB$94),-Assm!$AB$102,0)</f>
        <v>0</v>
      </c>
      <c r="N50" s="226">
        <f>IF(N7=YEAR(Assm!$AB$94),-Assm!$AB$102,0)</f>
        <v>0</v>
      </c>
      <c r="O50" s="226">
        <f>IF(O7=YEAR(Assm!$AB$94),-Assm!$AB$102,0)</f>
        <v>0</v>
      </c>
      <c r="P50" s="226">
        <f>IF(P7=YEAR(Assm!$AB$94),-Assm!$AB$102,0)</f>
        <v>0</v>
      </c>
      <c r="Q50" s="226">
        <f>IF(Q7=YEAR(Assm!$AB$94),-Assm!$AB$102,0)</f>
        <v>0</v>
      </c>
      <c r="R50" s="226">
        <f>IF(R7=YEAR(Assm!$AB$94),-Assm!$AB$102,0)</f>
        <v>0</v>
      </c>
      <c r="S50" s="226">
        <f>IF(S7=YEAR(Assm!$AB$94),-Assm!$AB$102,0)</f>
        <v>0</v>
      </c>
      <c r="T50" s="226">
        <f>IF(T7=YEAR(Assm!$AB$94),-Assm!$AB$102,0)</f>
        <v>0</v>
      </c>
      <c r="U50" s="226">
        <f>IF(U7=YEAR(Assm!$AB$94),-Assm!$AB$102,0)</f>
        <v>0</v>
      </c>
      <c r="V50" s="226">
        <f>IF(V7=YEAR(Assm!$AB$94),-Assm!$AB$102,0)</f>
        <v>0</v>
      </c>
      <c r="W50" s="226">
        <f>IF(W7=YEAR(Assm!$AB$94),-Assm!$AB$102,0)</f>
        <v>0</v>
      </c>
      <c r="X50" s="226">
        <f>IF(X7=YEAR(Assm!$AB$94),-Assm!$AB$102,0)</f>
        <v>0</v>
      </c>
      <c r="Y50" s="226">
        <f>IF(Y7=YEAR(Assm!$AB$94),-Assm!$AB$102,0)</f>
        <v>0</v>
      </c>
      <c r="Z50" s="226">
        <f>IF(Z7=YEAR(Assm!$AB$94),-Assm!$AB$102,0)</f>
        <v>0</v>
      </c>
      <c r="AA50" s="226">
        <f>IF(AA7=YEAR(Assm!$AB$94),-Assm!$AB$102,0)</f>
        <v>0</v>
      </c>
      <c r="AB50" s="435">
        <f>SUM(E50:AA50)</f>
        <v>0</v>
      </c>
      <c r="AC50" s="463">
        <f t="shared" ca="1" si="14"/>
        <v>0</v>
      </c>
      <c r="AG50" s="80"/>
    </row>
    <row r="51" spans="1:33" s="75" customFormat="1">
      <c r="A51" s="20"/>
      <c r="B51" s="15" t="s">
        <v>169</v>
      </c>
      <c r="C51" s="212">
        <f>C37</f>
        <v>0</v>
      </c>
      <c r="D51" s="79"/>
      <c r="E51" s="142">
        <f t="shared" ref="E51:AA51" ca="1" si="15">-SUM(E49:E49)*USTax</f>
        <v>0</v>
      </c>
      <c r="F51" s="142">
        <f t="shared" ca="1" si="15"/>
        <v>0</v>
      </c>
      <c r="G51" s="142">
        <f t="shared" ca="1" si="15"/>
        <v>0</v>
      </c>
      <c r="H51" s="142">
        <f t="shared" ca="1" si="15"/>
        <v>0</v>
      </c>
      <c r="I51" s="142">
        <f t="shared" ca="1" si="15"/>
        <v>0</v>
      </c>
      <c r="J51" s="142">
        <f t="shared" ca="1" si="15"/>
        <v>0</v>
      </c>
      <c r="K51" s="142">
        <f t="shared" ca="1" si="15"/>
        <v>0</v>
      </c>
      <c r="L51" s="142">
        <f t="shared" ca="1" si="15"/>
        <v>0</v>
      </c>
      <c r="M51" s="142">
        <f t="shared" ca="1" si="15"/>
        <v>0</v>
      </c>
      <c r="N51" s="142">
        <f t="shared" ca="1" si="15"/>
        <v>0</v>
      </c>
      <c r="O51" s="142">
        <f t="shared" ca="1" si="15"/>
        <v>0</v>
      </c>
      <c r="P51" s="142">
        <f t="shared" ca="1" si="15"/>
        <v>0</v>
      </c>
      <c r="Q51" s="142">
        <f t="shared" ca="1" si="15"/>
        <v>0</v>
      </c>
      <c r="R51" s="142">
        <f t="shared" ca="1" si="15"/>
        <v>0</v>
      </c>
      <c r="S51" s="142">
        <f t="shared" ca="1" si="15"/>
        <v>0</v>
      </c>
      <c r="T51" s="142">
        <f t="shared" ca="1" si="15"/>
        <v>0</v>
      </c>
      <c r="U51" s="142">
        <f t="shared" ca="1" si="15"/>
        <v>0</v>
      </c>
      <c r="V51" s="142">
        <f t="shared" ca="1" si="15"/>
        <v>0</v>
      </c>
      <c r="W51" s="142">
        <f t="shared" ca="1" si="15"/>
        <v>0</v>
      </c>
      <c r="X51" s="142">
        <f t="shared" ca="1" si="15"/>
        <v>0</v>
      </c>
      <c r="Y51" s="142">
        <f t="shared" ca="1" si="15"/>
        <v>0</v>
      </c>
      <c r="Z51" s="142">
        <f t="shared" ca="1" si="15"/>
        <v>0</v>
      </c>
      <c r="AA51" s="142">
        <f t="shared" ca="1" si="15"/>
        <v>0</v>
      </c>
      <c r="AB51" s="436">
        <f t="shared" ca="1" si="13"/>
        <v>0</v>
      </c>
      <c r="AC51" s="464">
        <f t="shared" ca="1" si="14"/>
        <v>0</v>
      </c>
      <c r="AD51" s="15"/>
      <c r="AG51" s="80"/>
    </row>
    <row r="52" spans="1:33" s="81" customFormat="1">
      <c r="A52" s="20"/>
      <c r="B52" s="15" t="s">
        <v>170</v>
      </c>
      <c r="C52" s="15"/>
      <c r="D52" s="15"/>
      <c r="E52" s="37">
        <f t="shared" ref="E52:AA52" ca="1" si="16">SUM(E46:E51)</f>
        <v>0</v>
      </c>
      <c r="F52" s="37">
        <f t="shared" ca="1" si="16"/>
        <v>0</v>
      </c>
      <c r="G52" s="37">
        <f t="shared" ca="1" si="16"/>
        <v>-11300</v>
      </c>
      <c r="H52" s="37">
        <f t="shared" ca="1" si="16"/>
        <v>436.58404397884379</v>
      </c>
      <c r="I52" s="37">
        <f t="shared" ca="1" si="16"/>
        <v>1977.210229706759</v>
      </c>
      <c r="J52" s="37">
        <f t="shared" ca="1" si="16"/>
        <v>99.320838353940388</v>
      </c>
      <c r="K52" s="37">
        <f t="shared" ca="1" si="16"/>
        <v>719.96440071338566</v>
      </c>
      <c r="L52" s="37">
        <f t="shared" ca="1" si="16"/>
        <v>-1162.1688157007643</v>
      </c>
      <c r="M52" s="37">
        <f t="shared" ca="1" si="16"/>
        <v>1669.276143116831</v>
      </c>
      <c r="N52" s="37">
        <f t="shared" ca="1" si="16"/>
        <v>1826.5579743740027</v>
      </c>
      <c r="O52" s="37">
        <f t="shared" ca="1" si="16"/>
        <v>1437.1699561815281</v>
      </c>
      <c r="P52" s="37">
        <f t="shared" ca="1" si="16"/>
        <v>1214.0596483873678</v>
      </c>
      <c r="Q52" s="37">
        <f t="shared" ca="1" si="16"/>
        <v>1473.5767784553052</v>
      </c>
      <c r="R52" s="37">
        <f t="shared" ca="1" si="16"/>
        <v>1622.8381763338825</v>
      </c>
      <c r="S52" s="37">
        <f t="shared" ca="1" si="16"/>
        <v>1033.9093015601043</v>
      </c>
      <c r="T52" s="37">
        <f t="shared" ca="1" si="16"/>
        <v>780.00737205893881</v>
      </c>
      <c r="U52" s="37">
        <f t="shared" ca="1" si="16"/>
        <v>2937.3525672357209</v>
      </c>
      <c r="V52" s="37">
        <f t="shared" ca="1" si="16"/>
        <v>1076.1855365724773</v>
      </c>
      <c r="W52" s="37">
        <f t="shared" ca="1" si="16"/>
        <v>-430.26333106880691</v>
      </c>
      <c r="X52" s="37">
        <f t="shared" ca="1" si="16"/>
        <v>619.49491578586412</v>
      </c>
      <c r="Y52" s="37">
        <f t="shared" ca="1" si="16"/>
        <v>406.09847606946357</v>
      </c>
      <c r="Z52" s="37">
        <f t="shared" ca="1" si="16"/>
        <v>569.02706472194427</v>
      </c>
      <c r="AA52" s="37">
        <f t="shared" ca="1" si="16"/>
        <v>699.59446411646354</v>
      </c>
      <c r="AB52" s="435">
        <f t="shared" ca="1" si="13"/>
        <v>7705.7957409532537</v>
      </c>
      <c r="AC52" s="435">
        <f ca="1">SUM(AC46:AC51)</f>
        <v>-5677.8219842883127</v>
      </c>
      <c r="AD52" s="15"/>
    </row>
    <row r="53" spans="1:33" s="81" customFormat="1">
      <c r="A53" s="20"/>
      <c r="B53" s="15"/>
      <c r="C53" s="15"/>
      <c r="D53" s="15"/>
      <c r="E53" s="1331">
        <f t="shared" ref="E53:AC53" ca="1" si="17">SUM(E47:E51)</f>
        <v>0</v>
      </c>
      <c r="F53" s="1331">
        <f t="shared" ca="1" si="17"/>
        <v>0</v>
      </c>
      <c r="G53" s="1331">
        <f t="shared" ca="1" si="17"/>
        <v>0</v>
      </c>
      <c r="H53" s="1331">
        <f t="shared" ca="1" si="17"/>
        <v>0</v>
      </c>
      <c r="I53" s="1331">
        <f t="shared" ca="1" si="17"/>
        <v>0</v>
      </c>
      <c r="J53" s="1331">
        <f t="shared" ca="1" si="17"/>
        <v>0</v>
      </c>
      <c r="K53" s="1331">
        <f t="shared" ca="1" si="17"/>
        <v>0</v>
      </c>
      <c r="L53" s="1331">
        <f t="shared" ca="1" si="17"/>
        <v>0</v>
      </c>
      <c r="M53" s="1331">
        <f t="shared" ca="1" si="17"/>
        <v>0</v>
      </c>
      <c r="N53" s="1331">
        <f t="shared" ca="1" si="17"/>
        <v>0</v>
      </c>
      <c r="O53" s="1331">
        <f t="shared" ca="1" si="17"/>
        <v>0</v>
      </c>
      <c r="P53" s="1331">
        <f t="shared" ca="1" si="17"/>
        <v>0</v>
      </c>
      <c r="Q53" s="1331">
        <f t="shared" ca="1" si="17"/>
        <v>0</v>
      </c>
      <c r="R53" s="1331">
        <f t="shared" ca="1" si="17"/>
        <v>0</v>
      </c>
      <c r="S53" s="1331">
        <f t="shared" ca="1" si="17"/>
        <v>0</v>
      </c>
      <c r="T53" s="1331">
        <f t="shared" ca="1" si="17"/>
        <v>0</v>
      </c>
      <c r="U53" s="1331">
        <f t="shared" ca="1" si="17"/>
        <v>0</v>
      </c>
      <c r="V53" s="1331">
        <f t="shared" ca="1" si="17"/>
        <v>0</v>
      </c>
      <c r="W53" s="1331">
        <f t="shared" ca="1" si="17"/>
        <v>0</v>
      </c>
      <c r="X53" s="1331">
        <f t="shared" ca="1" si="17"/>
        <v>0</v>
      </c>
      <c r="Y53" s="1331">
        <f t="shared" ca="1" si="17"/>
        <v>0</v>
      </c>
      <c r="Z53" s="1331">
        <f t="shared" ca="1" si="17"/>
        <v>0</v>
      </c>
      <c r="AA53" s="1331">
        <f t="shared" ca="1" si="17"/>
        <v>0</v>
      </c>
      <c r="AB53" s="1333">
        <f t="shared" ca="1" si="17"/>
        <v>0</v>
      </c>
      <c r="AC53" s="1333">
        <f t="shared" ca="1" si="17"/>
        <v>0</v>
      </c>
      <c r="AD53" s="15"/>
    </row>
    <row r="54" spans="1:33">
      <c r="A54" s="20"/>
      <c r="B54" s="15" t="s">
        <v>472</v>
      </c>
      <c r="E54" s="221">
        <f ca="1">$E52</f>
        <v>0</v>
      </c>
      <c r="F54" s="221">
        <f ca="1">IF($I$3=0,$F52,$E52+NPV(Disc,$F52:F52))</f>
        <v>0</v>
      </c>
      <c r="G54" s="37">
        <f ca="1">IF($I$3=0,$F52+NPV(Disc, $G52:G52),$E52+NPV(Disc,$F52:G52))</f>
        <v>-9495.7983193277323</v>
      </c>
      <c r="H54" s="37">
        <f ca="1">IF($I$3=0,$F52+NPV(Disc, $G52:H52),$E52+NPV(Disc,$F52:H52))</f>
        <v>-9187.4980269904354</v>
      </c>
      <c r="I54" s="37">
        <f ca="1">IF($I$3=0,$F52+NPV(Disc, $G52:I52),$E52+NPV(Disc,$F52:I52))</f>
        <v>-8014.1902087330727</v>
      </c>
      <c r="J54" s="37">
        <f ca="1">IF($I$3=0,$F52+NPV(Disc, $G52:J52),$E52+NPV(Disc,$F52:J52))</f>
        <v>-7964.6620102823272</v>
      </c>
      <c r="K54" s="37">
        <f ca="1">IF($I$3=0,$F52+NPV(Disc, $G52:K52),$E52+NPV(Disc,$F52:K52))</f>
        <v>-7662.9613810706642</v>
      </c>
      <c r="L54" s="37">
        <f ca="1">IF($I$3=0,$F52+NPV(Disc, $G52:L52),$E52+NPV(Disc,$F52:L52))</f>
        <v>-8072.2102139572507</v>
      </c>
      <c r="M54" s="37">
        <f ca="1">IF($I$3=0,$F52+NPV(Disc, $G52:M52),$E52+NPV(Disc,$F52:M52))</f>
        <v>-7578.241484571442</v>
      </c>
      <c r="N54" s="37">
        <f ca="1">IF($I$3=0,$F52+NPV(Disc, $G52:N52),$E52+NPV(Disc,$F52:N52))</f>
        <v>-7124.0303566420052</v>
      </c>
      <c r="O54" s="37">
        <f ca="1">IF($I$3=0,$F52+NPV(Disc, $G52:O52),$E52+NPV(Disc,$F52:O52))</f>
        <v>-6823.709511642016</v>
      </c>
      <c r="P54" s="37">
        <f ca="1">IF($I$3=0,$F52+NPV(Disc, $G52:P52),$E52+NPV(Disc,$F52:P52))</f>
        <v>-6610.5177536564179</v>
      </c>
      <c r="Q54" s="37">
        <f ca="1">IF($I$3=0,$F52+NPV(Disc, $G52:Q52),$E52+NPV(Disc,$F52:Q52))</f>
        <v>-6393.0693650423245</v>
      </c>
      <c r="R54" s="37">
        <f ca="1">IF($I$3=0,$F52+NPV(Disc, $G52:R52),$E52+NPV(Disc,$F52:R52))</f>
        <v>-6191.8305835611327</v>
      </c>
      <c r="S54" s="37">
        <f ca="1">IF($I$3=0,$F52+NPV(Disc, $G52:S52),$E52+NPV(Disc,$F52:S52))</f>
        <v>-6084.0918306151889</v>
      </c>
      <c r="T54" s="37">
        <f ca="1">IF($I$3=0,$F52+NPV(Disc, $G52:T52),$E52+NPV(Disc,$F52:T52))</f>
        <v>-6015.7885996283248</v>
      </c>
      <c r="U54" s="37">
        <f ca="1">IF($I$3=0,$F52+NPV(Disc, $G52:U52),$E52+NPV(Disc,$F52:U52))</f>
        <v>-5799.6403829988685</v>
      </c>
      <c r="V54" s="37">
        <f ca="1">IF($I$3=0,$F52+NPV(Disc, $G52:V52),$E52+NPV(Disc,$F52:V52))</f>
        <v>-5733.092266417093</v>
      </c>
      <c r="W54" s="37">
        <f ca="1">IF($I$3=0,$F52+NPV(Disc, $G52:W52),$E52+NPV(Disc,$F52:W52))</f>
        <v>-5755.4504229043323</v>
      </c>
      <c r="X54" s="37">
        <f ca="1">IF($I$3=0,$F52+NPV(Disc, $G52:X52),$E52+NPV(Disc,$F52:X52))</f>
        <v>-5728.3988550258218</v>
      </c>
      <c r="Y54" s="37">
        <f ca="1">IF($I$3=0,$F52+NPV(Disc, $G52:Y52),$E52+NPV(Disc,$F52:Y52))</f>
        <v>-5713.4970425721367</v>
      </c>
      <c r="Z54" s="37">
        <f ca="1">IF($I$3=0,$F52+NPV(Disc, $G52:Z52),$E52+NPV(Disc,$F52:Z52))</f>
        <v>-5695.9504134975159</v>
      </c>
      <c r="AA54" s="37">
        <f ca="1">IF($I$3=0,$F52+NPV(Disc, $G52:AA52),$E52+NPV(Disc,$F52:AA52))</f>
        <v>-5677.8219842883127</v>
      </c>
      <c r="AB54" s="466"/>
      <c r="AC54" s="435">
        <f ca="1">AC52</f>
        <v>-5677.8219842883127</v>
      </c>
      <c r="AD54" s="1331">
        <f ca="1">NPV(Disc,F53:AA53)+E53</f>
        <v>0</v>
      </c>
    </row>
    <row r="55" spans="1:33">
      <c r="A55" s="20"/>
      <c r="B55" s="15" t="s">
        <v>473</v>
      </c>
      <c r="E55" s="32" t="e">
        <f ca="1">IRR($E52:E52,-0.9)</f>
        <v>#NUM!</v>
      </c>
      <c r="F55" s="32" t="e">
        <f ca="1">IRR($E52:F52,-0.9)</f>
        <v>#NUM!</v>
      </c>
      <c r="G55" s="32" t="e">
        <f ca="1">IRR($E52:G52,-0.9)</f>
        <v>#NUM!</v>
      </c>
      <c r="H55" s="32" t="e">
        <f ca="1">IRR($E52:H52,-0.9)</f>
        <v>#NUM!</v>
      </c>
      <c r="I55" s="32">
        <f ca="1">IRR($E52:I52,-0.9)</f>
        <v>-0.56193692851434351</v>
      </c>
      <c r="J55" s="32">
        <f ca="1">IRR($E52:J52,-0.9)</f>
        <v>-0.53972451511077202</v>
      </c>
      <c r="K55" s="32">
        <f ca="1">IRR($E52:K52,-0.9)</f>
        <v>-0.38315152252036855</v>
      </c>
      <c r="L55" s="32" t="e">
        <f ca="1">IRR($E52:L52,-0.9)</f>
        <v>#NUM!</v>
      </c>
      <c r="M55" s="32">
        <f ca="1">IRR($E52:M52,-0.9)</f>
        <v>-0.25316117848265557</v>
      </c>
      <c r="N55" s="32">
        <f ca="1">IRR($E52:N52,-0.9)</f>
        <v>-0.13627854997596861</v>
      </c>
      <c r="O55" s="32">
        <f ca="1">IRR($E52:O52,-0.9)</f>
        <v>-8.422635568026772E-2</v>
      </c>
      <c r="P55" s="32">
        <f ca="1">IRR($E52:P52,-0.9)</f>
        <v>-5.2394823805082841E-2</v>
      </c>
      <c r="Q55" s="32">
        <f ca="1">IRR($E52:Q52,-0.9)</f>
        <v>-2.3445460101349028E-2</v>
      </c>
      <c r="R55" s="32">
        <f ca="1">IRR($E52:R52,-0.9)</f>
        <v>1.8099350503208108E-4</v>
      </c>
      <c r="S55" s="32">
        <f ca="1">IRR($E52:S52,-0.9)</f>
        <v>1.20930240240275E-2</v>
      </c>
      <c r="T55" s="32">
        <f ca="1">IRR($E52:T52,-0.9)</f>
        <v>1.9780383881364751E-2</v>
      </c>
      <c r="U55" s="32">
        <f ca="1">IRR($E52:U52,-0.9)</f>
        <v>4.1847677718127405E-2</v>
      </c>
      <c r="V55" s="32">
        <f ca="1">IRR($E52:V52,-0.9)</f>
        <v>4.8004998090151775E-2</v>
      </c>
      <c r="W55" s="32">
        <f ca="1">IRR($E52:W52,-0.9)</f>
        <v>4.5729543095440459E-2</v>
      </c>
      <c r="X55" s="32">
        <f ca="1">IRR($E52:X52,-0.9)</f>
        <v>4.8828069287071334E-2</v>
      </c>
      <c r="Y55" s="32">
        <f ca="1">IRR($E52:Y52,-0.9)</f>
        <v>5.0662760274647473E-2</v>
      </c>
      <c r="Z55" s="32">
        <f ca="1">IRR($E52:Z52,-0.9)</f>
        <v>5.2990588467392151E-2</v>
      </c>
      <c r="AA55" s="32">
        <f ca="1">IRR($E52:AA52,-0.9)</f>
        <v>5.5544846984273463E-2</v>
      </c>
      <c r="AB55" s="465"/>
      <c r="AC55" s="471">
        <f ca="1">IRR(E52:AA52,-0.9)</f>
        <v>5.5544846984273463E-2</v>
      </c>
      <c r="AD55" s="1337" t="str">
        <f ca="1">IF(ISERROR(IRR(E53:AA53,-0.9)),"Infinite",IRR(E53:AA53,-0.9))</f>
        <v>Infinite</v>
      </c>
    </row>
    <row r="56" spans="1:33" ht="12.75" customHeight="1">
      <c r="A56" s="20"/>
      <c r="C56" s="833" t="s">
        <v>498</v>
      </c>
      <c r="D56" s="833" t="s">
        <v>499</v>
      </c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465"/>
      <c r="AC56" s="430"/>
    </row>
    <row r="57" spans="1:33">
      <c r="A57" s="20"/>
      <c r="B57" s="243" t="str">
        <f ca="1">CONCATENATE(Assm!$H$98," NPV @ ",TEXT(Disc,"0.0%"))</f>
        <v>New Investor Equity % (LJM) NPV @ 19.0%</v>
      </c>
      <c r="C57" s="1329">
        <f ca="1">AC54</f>
        <v>-5677.8219842883127</v>
      </c>
      <c r="D57" s="452">
        <f ca="1">AD54</f>
        <v>0</v>
      </c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465"/>
      <c r="AC57" s="430"/>
    </row>
    <row r="58" spans="1:33" ht="13.5" thickBot="1">
      <c r="A58" s="48"/>
      <c r="B58" s="462" t="str">
        <f>CONCATENATE(Assm!$H$98," IRR")</f>
        <v>New Investor Equity % (LJM) IRR</v>
      </c>
      <c r="C58" s="1332">
        <f ca="1">AC55</f>
        <v>5.5544846984273463E-2</v>
      </c>
      <c r="D58" s="1340" t="str">
        <f ca="1">AD55</f>
        <v>Infinite</v>
      </c>
      <c r="E58" s="49"/>
      <c r="F58" s="713"/>
      <c r="G58" s="713"/>
      <c r="H58" s="713"/>
      <c r="I58" s="713"/>
      <c r="J58" s="713"/>
      <c r="K58" s="713"/>
      <c r="L58" s="713"/>
      <c r="M58" s="713"/>
      <c r="N58" s="713"/>
      <c r="O58" s="713"/>
      <c r="P58" s="713"/>
      <c r="Q58" s="713"/>
      <c r="R58" s="713"/>
      <c r="S58" s="713"/>
      <c r="T58" s="713"/>
      <c r="U58" s="713"/>
      <c r="V58" s="713"/>
      <c r="W58" s="713"/>
      <c r="X58" s="713"/>
      <c r="Y58" s="713"/>
      <c r="Z58" s="713"/>
      <c r="AA58" s="713"/>
      <c r="AB58" s="714"/>
      <c r="AC58" s="443"/>
    </row>
  </sheetData>
  <printOptions horizontalCentered="1"/>
  <pageMargins left="0.25" right="0.25" top="0.5" bottom="0.5" header="0.25" footer="0.25"/>
  <pageSetup scale="43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autoPageBreaks="0" fitToPage="1"/>
  </sheetPr>
  <dimension ref="A1:AG83"/>
  <sheetViews>
    <sheetView showGridLines="0" topLeftCell="A7" zoomScale="75" workbookViewId="0">
      <pane ySplit="1" topLeftCell="A8" activePane="bottomLeft" state="frozen"/>
      <selection activeCell="A7" sqref="A7"/>
      <selection pane="bottomLeft" activeCell="G16" sqref="G16:G22"/>
    </sheetView>
  </sheetViews>
  <sheetFormatPr defaultRowHeight="12.75"/>
  <cols>
    <col min="1" max="1" width="8.7109375" style="15" customWidth="1"/>
    <col min="2" max="2" width="35.7109375" style="15" customWidth="1"/>
    <col min="3" max="3" width="12" style="15" customWidth="1"/>
    <col min="4" max="4" width="11.28515625" style="15" customWidth="1"/>
    <col min="5" max="6" width="9.7109375" style="15" customWidth="1"/>
    <col min="7" max="7" width="10.5703125" style="15" bestFit="1" customWidth="1"/>
    <col min="8" max="27" width="9.7109375" style="15" customWidth="1"/>
    <col min="28" max="29" width="10.7109375" style="15" customWidth="1"/>
    <col min="30" max="30" width="9.140625" style="15"/>
    <col min="31" max="16384" width="9.140625" style="7"/>
  </cols>
  <sheetData>
    <row r="1" spans="1:30" s="1" customFormat="1" ht="15.75">
      <c r="A1" s="1137" t="str">
        <f>CONCATENATE(TOC!B2," ",TOC!B6)</f>
        <v>EMPRESSA PRODUTORA DE ENERGÍA LTDA (EPE) *** DRAFT COPY ***</v>
      </c>
      <c r="AC1" s="15"/>
      <c r="AD1" s="15"/>
    </row>
    <row r="2" spans="1:30" s="1" customFormat="1" ht="15.75">
      <c r="A2" s="1137" t="str">
        <f>TOC!B3</f>
        <v>480 MW POWER PLANT (CUIABA, BRAZIL)</v>
      </c>
      <c r="AC2" s="15"/>
      <c r="AD2" s="15"/>
    </row>
    <row r="3" spans="1:30" s="1" customFormat="1" ht="15">
      <c r="A3" s="118" t="str">
        <f>TOC!B4</f>
        <v>ENRON INTERNATIONAL</v>
      </c>
      <c r="AC3" s="15"/>
      <c r="AD3" s="15"/>
    </row>
    <row r="4" spans="1:30" s="1" customFormat="1" ht="15">
      <c r="A4" s="932" t="s">
        <v>264</v>
      </c>
      <c r="B4" s="933"/>
      <c r="AC4" s="15"/>
      <c r="AD4" s="15"/>
    </row>
    <row r="5" spans="1:30" customFormat="1" ht="13.5" thickBo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5"/>
      <c r="AD5" s="15"/>
    </row>
    <row r="6" spans="1:30" s="15" customFormat="1">
      <c r="A6" s="412" t="s">
        <v>471</v>
      </c>
      <c r="B6" s="11"/>
      <c r="C6" s="11"/>
      <c r="D6" s="11"/>
      <c r="E6" s="11">
        <f t="shared" ref="E6:AA6" ca="1" si="0">IF(E$7&lt;YEAR(Startops1),0,D6+1)</f>
        <v>0</v>
      </c>
      <c r="F6" s="11">
        <f t="shared" ca="1" si="0"/>
        <v>0</v>
      </c>
      <c r="G6" s="11">
        <f t="shared" ca="1" si="0"/>
        <v>1</v>
      </c>
      <c r="H6" s="11">
        <f t="shared" ca="1" si="0"/>
        <v>2</v>
      </c>
      <c r="I6" s="11">
        <f t="shared" ca="1" si="0"/>
        <v>3</v>
      </c>
      <c r="J6" s="11">
        <f t="shared" ca="1" si="0"/>
        <v>4</v>
      </c>
      <c r="K6" s="11">
        <f t="shared" ca="1" si="0"/>
        <v>5</v>
      </c>
      <c r="L6" s="11">
        <f t="shared" ca="1" si="0"/>
        <v>6</v>
      </c>
      <c r="M6" s="11">
        <f t="shared" ca="1" si="0"/>
        <v>7</v>
      </c>
      <c r="N6" s="11">
        <f t="shared" ca="1" si="0"/>
        <v>8</v>
      </c>
      <c r="O6" s="11">
        <f t="shared" ca="1" si="0"/>
        <v>9</v>
      </c>
      <c r="P6" s="11">
        <f t="shared" ca="1" si="0"/>
        <v>10</v>
      </c>
      <c r="Q6" s="11">
        <f t="shared" ca="1" si="0"/>
        <v>11</v>
      </c>
      <c r="R6" s="11">
        <f t="shared" ca="1" si="0"/>
        <v>12</v>
      </c>
      <c r="S6" s="11">
        <f t="shared" ca="1" si="0"/>
        <v>13</v>
      </c>
      <c r="T6" s="11">
        <f t="shared" ca="1" si="0"/>
        <v>14</v>
      </c>
      <c r="U6" s="11">
        <f t="shared" ca="1" si="0"/>
        <v>15</v>
      </c>
      <c r="V6" s="11">
        <f t="shared" ca="1" si="0"/>
        <v>16</v>
      </c>
      <c r="W6" s="11">
        <f t="shared" ca="1" si="0"/>
        <v>17</v>
      </c>
      <c r="X6" s="11">
        <f t="shared" ca="1" si="0"/>
        <v>18</v>
      </c>
      <c r="Y6" s="11">
        <f t="shared" ca="1" si="0"/>
        <v>19</v>
      </c>
      <c r="Z6" s="11">
        <f t="shared" ca="1" si="0"/>
        <v>20</v>
      </c>
      <c r="AA6" s="11">
        <f t="shared" ca="1" si="0"/>
        <v>21</v>
      </c>
      <c r="AB6" s="424"/>
      <c r="AC6" s="470" t="s">
        <v>414</v>
      </c>
    </row>
    <row r="7" spans="1:30" s="15" customFormat="1" ht="13.5" thickBot="1">
      <c r="A7" s="455" t="s">
        <v>444</v>
      </c>
      <c r="B7" s="49"/>
      <c r="C7" s="49"/>
      <c r="D7" s="49"/>
      <c r="E7" s="83">
        <f>'Project &amp; Investor Returns'!E7</f>
        <v>1997</v>
      </c>
      <c r="F7" s="83">
        <f>'Project &amp; Investor Returns'!F7</f>
        <v>1998</v>
      </c>
      <c r="G7" s="83">
        <f>'Project &amp; Investor Returns'!G7</f>
        <v>1999</v>
      </c>
      <c r="H7" s="83">
        <f>'Project &amp; Investor Returns'!H7</f>
        <v>2000</v>
      </c>
      <c r="I7" s="83">
        <f>'Project &amp; Investor Returns'!I7</f>
        <v>2001</v>
      </c>
      <c r="J7" s="83">
        <f>'Project &amp; Investor Returns'!J7</f>
        <v>2002</v>
      </c>
      <c r="K7" s="83">
        <f>'Project &amp; Investor Returns'!K7</f>
        <v>2003</v>
      </c>
      <c r="L7" s="83">
        <f>'Project &amp; Investor Returns'!L7</f>
        <v>2004</v>
      </c>
      <c r="M7" s="83">
        <f>'Project &amp; Investor Returns'!M7</f>
        <v>2005</v>
      </c>
      <c r="N7" s="83">
        <f>'Project &amp; Investor Returns'!N7</f>
        <v>2006</v>
      </c>
      <c r="O7" s="83">
        <f>'Project &amp; Investor Returns'!O7</f>
        <v>2007</v>
      </c>
      <c r="P7" s="83">
        <f>'Project &amp; Investor Returns'!P7</f>
        <v>2008</v>
      </c>
      <c r="Q7" s="83">
        <f>'Project &amp; Investor Returns'!Q7</f>
        <v>2009</v>
      </c>
      <c r="R7" s="83">
        <f>'Project &amp; Investor Returns'!R7</f>
        <v>2010</v>
      </c>
      <c r="S7" s="83">
        <f>'Project &amp; Investor Returns'!S7</f>
        <v>2011</v>
      </c>
      <c r="T7" s="83">
        <f>'Project &amp; Investor Returns'!T7</f>
        <v>2012</v>
      </c>
      <c r="U7" s="83">
        <f>'Project &amp; Investor Returns'!U7</f>
        <v>2013</v>
      </c>
      <c r="V7" s="83">
        <f>'Project &amp; Investor Returns'!V7</f>
        <v>2014</v>
      </c>
      <c r="W7" s="83">
        <f>'Project &amp; Investor Returns'!W7</f>
        <v>2015</v>
      </c>
      <c r="X7" s="83">
        <f>'Project &amp; Investor Returns'!X7</f>
        <v>2016</v>
      </c>
      <c r="Y7" s="83">
        <f>'Project &amp; Investor Returns'!Y7</f>
        <v>2017</v>
      </c>
      <c r="Z7" s="83">
        <f>'Project &amp; Investor Returns'!Z7</f>
        <v>2018</v>
      </c>
      <c r="AA7" s="83">
        <f>'Project &amp; Investor Returns'!AA7</f>
        <v>2019</v>
      </c>
      <c r="AB7" s="425" t="s">
        <v>441</v>
      </c>
      <c r="AC7" s="425" t="s">
        <v>1508</v>
      </c>
    </row>
    <row r="8" spans="1:30" s="15" customFormat="1">
      <c r="A8" s="412"/>
      <c r="AB8" s="430"/>
      <c r="AC8" s="430"/>
    </row>
    <row r="9" spans="1:30" s="15" customFormat="1">
      <c r="A9" s="27" t="s">
        <v>745</v>
      </c>
      <c r="AB9" s="430"/>
      <c r="AC9" s="430"/>
    </row>
    <row r="10" spans="1:30">
      <c r="A10" s="20"/>
      <c r="B10" s="15" t="s">
        <v>767</v>
      </c>
      <c r="E10" s="77">
        <f>IF(E$7&gt;=YEAR(Assm!$L$105),Assm!$L$109,Assm!$K$85)</f>
        <v>0.65625</v>
      </c>
      <c r="F10" s="77">
        <f>IF(F$7&gt;=YEAR(Assm!$L$105),Assm!$L$109,Assm!$K$85)</f>
        <v>0.65625</v>
      </c>
      <c r="G10" s="77">
        <f>IF(G$7&gt;=YEAR(Assm!$L$105),Assm!$L$109,Assm!$K$85)</f>
        <v>0.65625</v>
      </c>
      <c r="H10" s="77">
        <f>IF(H$7&gt;=YEAR(Assm!$L$105),Assm!$L$109,Assm!$K$85)</f>
        <v>0.52625</v>
      </c>
      <c r="I10" s="77">
        <f>IF(I$7&gt;=YEAR(Assm!$L$105),Assm!$L$109,Assm!$K$85)</f>
        <v>0.52625</v>
      </c>
      <c r="J10" s="77">
        <f>IF(J$7&gt;=YEAR(Assm!$L$105),Assm!$L$109,Assm!$K$85)</f>
        <v>0.52625</v>
      </c>
      <c r="K10" s="77">
        <f>IF(K$7&gt;=YEAR(Assm!$L$105),Assm!$L$109,Assm!$K$85)</f>
        <v>0.52625</v>
      </c>
      <c r="L10" s="77">
        <f>IF(L$7&gt;=YEAR(Assm!$L$105),Assm!$L$109,Assm!$K$85)</f>
        <v>0.52625</v>
      </c>
      <c r="M10" s="77">
        <f>IF(M$7&gt;=YEAR(Assm!$L$105),Assm!$L$109,Assm!$K$85)</f>
        <v>0.52625</v>
      </c>
      <c r="N10" s="77">
        <f>IF(N$7&gt;=YEAR(Assm!$L$105),Assm!$L$109,Assm!$K$85)</f>
        <v>0.52625</v>
      </c>
      <c r="O10" s="77">
        <f>IF(O$7&gt;=YEAR(Assm!$L$105),Assm!$L$109,Assm!$K$85)</f>
        <v>0.52625</v>
      </c>
      <c r="P10" s="77">
        <f>IF(P$7&gt;=YEAR(Assm!$L$105),Assm!$L$109,Assm!$K$85)</f>
        <v>0.52625</v>
      </c>
      <c r="Q10" s="77">
        <f>IF(Q$7&gt;=YEAR(Assm!$L$105),Assm!$L$109,Assm!$K$85)</f>
        <v>0.52625</v>
      </c>
      <c r="R10" s="77">
        <f>IF(R$7&gt;=YEAR(Assm!$L$105),Assm!$L$109,Assm!$K$85)</f>
        <v>0.52625</v>
      </c>
      <c r="S10" s="77">
        <f>IF(S$7&gt;=YEAR(Assm!$L$105),Assm!$L$109,Assm!$K$85)</f>
        <v>0.52625</v>
      </c>
      <c r="T10" s="77">
        <f>IF(T$7&gt;=YEAR(Assm!$L$105),Assm!$L$109,Assm!$K$85)</f>
        <v>0.52625</v>
      </c>
      <c r="U10" s="77">
        <f>IF(U$7&gt;=YEAR(Assm!$L$105),Assm!$L$109,Assm!$K$85)</f>
        <v>0.52625</v>
      </c>
      <c r="V10" s="77">
        <f>IF(V$7&gt;=YEAR(Assm!$L$105),Assm!$L$109,Assm!$K$85)</f>
        <v>0.52625</v>
      </c>
      <c r="W10" s="77">
        <f>IF(W$7&gt;=YEAR(Assm!$L$105),Assm!$L$109,Assm!$K$85)</f>
        <v>0.52625</v>
      </c>
      <c r="X10" s="77">
        <f>IF(X$7&gt;=YEAR(Assm!$L$105),Assm!$L$109,Assm!$K$85)</f>
        <v>0.52625</v>
      </c>
      <c r="Y10" s="77">
        <f>IF(Y$7&gt;=YEAR(Assm!$L$105),Assm!$L$109,Assm!$K$85)</f>
        <v>0.52625</v>
      </c>
      <c r="Z10" s="77">
        <f>IF(Z$7&gt;=YEAR(Assm!$L$105),Assm!$L$109,Assm!$K$85)</f>
        <v>0.52625</v>
      </c>
      <c r="AA10" s="77">
        <f>IF(AA$7&gt;=YEAR(Assm!$L$105),Assm!$L$109,Assm!$K$85)</f>
        <v>0.52625</v>
      </c>
      <c r="AB10" s="465"/>
      <c r="AC10" s="430"/>
    </row>
    <row r="11" spans="1:30">
      <c r="A11" s="20"/>
      <c r="B11" s="15" t="s">
        <v>1628</v>
      </c>
      <c r="E11" s="77">
        <f>IF(E$7&gt;=YEAR(Assm!$L$105),Assm!$L$109,Assm!$L$85)</f>
        <v>0.65625</v>
      </c>
      <c r="F11" s="77">
        <f>IF(F$7&gt;=YEAR(Assm!$L$105),Assm!$L$109,Assm!$L$85)</f>
        <v>0.65625</v>
      </c>
      <c r="G11" s="77">
        <f>IF(G$7&gt;=YEAR(Assm!$L$105),Assm!$L$109,Assm!$L$85)</f>
        <v>0.65625</v>
      </c>
      <c r="H11" s="77">
        <f>IF(H$7&gt;=YEAR(Assm!$L$105),Assm!$L$109,Assm!$L$85)</f>
        <v>0.52625</v>
      </c>
      <c r="I11" s="77">
        <f>IF(I$7&gt;=YEAR(Assm!$L$105),Assm!$L$109,Assm!$L$85)</f>
        <v>0.52625</v>
      </c>
      <c r="J11" s="77">
        <f>IF(J$7&gt;=YEAR(Assm!$L$105),Assm!$L$109,Assm!$L$85)</f>
        <v>0.52625</v>
      </c>
      <c r="K11" s="77">
        <f>IF(K$7&gt;=YEAR(Assm!$L$105),Assm!$L$109,Assm!$L$85)</f>
        <v>0.52625</v>
      </c>
      <c r="L11" s="77">
        <f>IF(L$7&gt;=YEAR(Assm!$L$105),Assm!$L$109,Assm!$L$85)</f>
        <v>0.52625</v>
      </c>
      <c r="M11" s="77">
        <f>IF(M$7&gt;=YEAR(Assm!$L$105),Assm!$L$109,Assm!$L$85)</f>
        <v>0.52625</v>
      </c>
      <c r="N11" s="77">
        <f>IF(N$7&gt;=YEAR(Assm!$L$105),Assm!$L$109,Assm!$L$85)</f>
        <v>0.52625</v>
      </c>
      <c r="O11" s="77">
        <f>IF(O$7&gt;=YEAR(Assm!$L$105),Assm!$L$109,Assm!$L$85)</f>
        <v>0.52625</v>
      </c>
      <c r="P11" s="77">
        <f>IF(P$7&gt;=YEAR(Assm!$L$105),Assm!$L$109,Assm!$L$85)</f>
        <v>0.52625</v>
      </c>
      <c r="Q11" s="77">
        <f>IF(Q$7&gt;=YEAR(Assm!$L$105),Assm!$L$109,Assm!$L$85)</f>
        <v>0.52625</v>
      </c>
      <c r="R11" s="77">
        <f>IF(R$7&gt;=YEAR(Assm!$L$105),Assm!$L$109,Assm!$L$85)</f>
        <v>0.52625</v>
      </c>
      <c r="S11" s="77">
        <f>IF(S$7&gt;=YEAR(Assm!$L$105),Assm!$L$109,Assm!$L$85)</f>
        <v>0.52625</v>
      </c>
      <c r="T11" s="77">
        <f>IF(T$7&gt;=YEAR(Assm!$L$105),Assm!$L$109,Assm!$L$85)</f>
        <v>0.52625</v>
      </c>
      <c r="U11" s="77">
        <f>IF(U$7&gt;=YEAR(Assm!$L$105),Assm!$L$109,Assm!$L$85)</f>
        <v>0.52625</v>
      </c>
      <c r="V11" s="77">
        <f>IF(V$7&gt;=YEAR(Assm!$L$105),Assm!$L$109,Assm!$L$85)</f>
        <v>0.52625</v>
      </c>
      <c r="W11" s="77">
        <f>IF(W$7&gt;=YEAR(Assm!$L$105),Assm!$L$109,Assm!$L$85)</f>
        <v>0.52625</v>
      </c>
      <c r="X11" s="77">
        <f>IF(X$7&gt;=YEAR(Assm!$L$105),Assm!$L$109,Assm!$L$85)</f>
        <v>0.52625</v>
      </c>
      <c r="Y11" s="77">
        <f>IF(Y$7&gt;=YEAR(Assm!$L$105),Assm!$L$109,Assm!$L$85)</f>
        <v>0.52625</v>
      </c>
      <c r="Z11" s="77">
        <f>IF(Z$7&gt;=YEAR(Assm!$L$105),Assm!$L$109,Assm!$L$85)</f>
        <v>0.52625</v>
      </c>
      <c r="AA11" s="77">
        <f>IF(AA$7&gt;=YEAR(Assm!$L$105),Assm!$L$109,Assm!$L$85)</f>
        <v>0.52625</v>
      </c>
      <c r="AB11" s="465"/>
      <c r="AC11" s="430"/>
    </row>
    <row r="12" spans="1:30">
      <c r="A12" s="20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465"/>
      <c r="AC12" s="430"/>
    </row>
    <row r="13" spans="1:30" s="1814" customFormat="1">
      <c r="A13" s="1809"/>
      <c r="B13" s="1810" t="s">
        <v>1629</v>
      </c>
      <c r="C13" s="1810"/>
      <c r="D13" s="1810"/>
      <c r="E13" s="1811">
        <f ca="1">'Project &amp; Investor Returns'!E13*E$10</f>
        <v>0</v>
      </c>
      <c r="F13" s="1811">
        <f ca="1">'Project &amp; Investor Returns'!F13*F$10</f>
        <v>-60895.780446978155</v>
      </c>
      <c r="G13" s="1811">
        <f ca="1">'Project &amp; Investor Returns'!G13*G$10</f>
        <v>0</v>
      </c>
      <c r="H13" s="1811">
        <f ca="1">'Project &amp; Investor Returns'!H13*H$10</f>
        <v>0</v>
      </c>
      <c r="I13" s="1811">
        <f ca="1">'Project &amp; Investor Returns'!I13*I$10</f>
        <v>0</v>
      </c>
      <c r="J13" s="1811">
        <f ca="1">'Project &amp; Investor Returns'!J13*J$10</f>
        <v>0</v>
      </c>
      <c r="K13" s="1811">
        <f ca="1">'Project &amp; Investor Returns'!K13*K$10</f>
        <v>0</v>
      </c>
      <c r="L13" s="1811">
        <f ca="1">'Project &amp; Investor Returns'!L13*L$10</f>
        <v>0</v>
      </c>
      <c r="M13" s="1811">
        <f ca="1">'Project &amp; Investor Returns'!M13*M$10</f>
        <v>0</v>
      </c>
      <c r="N13" s="1811">
        <f ca="1">'Project &amp; Investor Returns'!N13*N$10</f>
        <v>0</v>
      </c>
      <c r="O13" s="1811">
        <f ca="1">'Project &amp; Investor Returns'!O13*O$10</f>
        <v>0</v>
      </c>
      <c r="P13" s="1811">
        <f ca="1">'Project &amp; Investor Returns'!P13*P$10</f>
        <v>0</v>
      </c>
      <c r="Q13" s="1811">
        <f ca="1">'Project &amp; Investor Returns'!Q13*Q$10</f>
        <v>0</v>
      </c>
      <c r="R13" s="1811">
        <f ca="1">'Project &amp; Investor Returns'!R13*R$10</f>
        <v>0</v>
      </c>
      <c r="S13" s="1811">
        <f ca="1">'Project &amp; Investor Returns'!S13*S$10</f>
        <v>0</v>
      </c>
      <c r="T13" s="1811">
        <f ca="1">'Project &amp; Investor Returns'!T13*T$10</f>
        <v>0</v>
      </c>
      <c r="U13" s="1811">
        <f ca="1">'Project &amp; Investor Returns'!U13*U$10</f>
        <v>0</v>
      </c>
      <c r="V13" s="1811">
        <f ca="1">'Project &amp; Investor Returns'!V13*V$10</f>
        <v>0</v>
      </c>
      <c r="W13" s="1811">
        <f ca="1">'Project &amp; Investor Returns'!W13*W$10</f>
        <v>0</v>
      </c>
      <c r="X13" s="1811">
        <f ca="1">'Project &amp; Investor Returns'!X13*X$10</f>
        <v>0</v>
      </c>
      <c r="Y13" s="1811">
        <f ca="1">'Project &amp; Investor Returns'!Y13*Y$10</f>
        <v>0</v>
      </c>
      <c r="Z13" s="1811">
        <f ca="1">'Project &amp; Investor Returns'!Z13*Z$10</f>
        <v>0</v>
      </c>
      <c r="AA13" s="1811">
        <f ca="1">'Project &amp; Investor Returns'!AA13*AA$10</f>
        <v>0</v>
      </c>
      <c r="AB13" s="1812">
        <f t="shared" ref="AB13:AB23" ca="1" si="1">SUM(E13:AA13)</f>
        <v>-60895.780446978155</v>
      </c>
      <c r="AC13" s="1813">
        <f ca="1">IF('Project &amp; Investor Returns'!$I$3=0,F13+NPV(Disc,G13:AA13),E13+NPV(Disc,F13:AA13))</f>
        <v>-60895.780446978155</v>
      </c>
      <c r="AD13" s="1810"/>
    </row>
    <row r="14" spans="1:30">
      <c r="A14" s="20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435"/>
      <c r="AC14" s="463"/>
    </row>
    <row r="15" spans="1:30" s="1814" customFormat="1">
      <c r="A15" s="1809"/>
      <c r="B15" s="1810" t="s">
        <v>1619</v>
      </c>
      <c r="C15" s="1810"/>
      <c r="D15" s="1810"/>
      <c r="E15" s="1811">
        <f>IF(E$7=YEAR(Assm!$L$102),Assm!$L$101,0)</f>
        <v>0</v>
      </c>
      <c r="F15" s="1811">
        <f>IF(F$7=YEAR(Assm!$L$102),Assm!$L$101,0)</f>
        <v>0</v>
      </c>
      <c r="G15" s="1811">
        <f>IF(G$7=YEAR(Assm!$L$102),Assm!$L$101,0)</f>
        <v>11300</v>
      </c>
      <c r="H15" s="1811">
        <f>IF(H$7=YEAR(Assm!$L$102),Assm!$L$101,0)</f>
        <v>0</v>
      </c>
      <c r="I15" s="1811">
        <f>IF(I$7=YEAR(Assm!$L$102),Assm!$L$101,0)</f>
        <v>0</v>
      </c>
      <c r="J15" s="1811">
        <f>IF(J$7=YEAR(Assm!$L$102),Assm!$L$101,0)</f>
        <v>0</v>
      </c>
      <c r="K15" s="1811">
        <f>IF(K$7=YEAR(Assm!$L$102),Assm!$L$101,0)</f>
        <v>0</v>
      </c>
      <c r="L15" s="1811">
        <f>IF(L$7=YEAR(Assm!$L$102),Assm!$L$101,0)</f>
        <v>0</v>
      </c>
      <c r="M15" s="1811">
        <f>IF(M$7=YEAR(Assm!$L$102),Assm!$L$101,0)</f>
        <v>0</v>
      </c>
      <c r="N15" s="1811">
        <f>IF(N$7=YEAR(Assm!$L$102),Assm!$L$101,0)</f>
        <v>0</v>
      </c>
      <c r="O15" s="1811">
        <f>IF(O$7=YEAR(Assm!$L$102),Assm!$L$101,0)</f>
        <v>0</v>
      </c>
      <c r="P15" s="1811">
        <f>IF(P$7=YEAR(Assm!$L$102),Assm!$L$101,0)</f>
        <v>0</v>
      </c>
      <c r="Q15" s="1811">
        <f>IF(Q$7=YEAR(Assm!$L$102),Assm!$L$101,0)</f>
        <v>0</v>
      </c>
      <c r="R15" s="1811">
        <f>IF(R$7=YEAR(Assm!$L$102),Assm!$L$101,0)</f>
        <v>0</v>
      </c>
      <c r="S15" s="1811">
        <f>IF(S$7=YEAR(Assm!$L$102),Assm!$L$101,0)</f>
        <v>0</v>
      </c>
      <c r="T15" s="1811">
        <f>IF(T$7=YEAR(Assm!$L$102),Assm!$L$101,0)</f>
        <v>0</v>
      </c>
      <c r="U15" s="1811">
        <f>IF(U$7=YEAR(Assm!$L$102),Assm!$L$101,0)</f>
        <v>0</v>
      </c>
      <c r="V15" s="1811">
        <f>IF(V$7=YEAR(Assm!$L$102),Assm!$L$101,0)</f>
        <v>0</v>
      </c>
      <c r="W15" s="1811">
        <f>IF(W$7=YEAR(Assm!$L$102),Assm!$L$101,0)</f>
        <v>0</v>
      </c>
      <c r="X15" s="1811">
        <f>IF(X$7=YEAR(Assm!$L$102),Assm!$L$101,0)</f>
        <v>0</v>
      </c>
      <c r="Y15" s="1811">
        <f>IF(Y$7=YEAR(Assm!$L$102),Assm!$L$101,0)</f>
        <v>0</v>
      </c>
      <c r="Z15" s="1811">
        <f>IF(Z$7=YEAR(Assm!$L$102),Assm!$L$101,0)</f>
        <v>0</v>
      </c>
      <c r="AA15" s="1811">
        <f>IF(AA$7=YEAR(Assm!$L$102),Assm!$L$101,0)</f>
        <v>0</v>
      </c>
      <c r="AB15" s="1812">
        <f>SUM(E15:AA15)</f>
        <v>11300</v>
      </c>
      <c r="AC15" s="1813">
        <f ca="1">IF('Project &amp; Investor Returns'!$I$3=0,F15+NPV(Disc,G15:AA15),E15+NPV(Disc,F15:AA15))</f>
        <v>9495.7983193277323</v>
      </c>
      <c r="AD15" s="1810"/>
    </row>
    <row r="16" spans="1:30" s="1798" customFormat="1">
      <c r="A16" s="1829"/>
      <c r="B16" s="1793" t="s">
        <v>763</v>
      </c>
      <c r="C16" s="1793"/>
      <c r="D16" s="1793"/>
      <c r="E16" s="1795">
        <f>IF(E$7=YEAR(Assm!$L$105),-Assm!$L$104,0)</f>
        <v>0</v>
      </c>
      <c r="F16" s="1795">
        <f>IF(F$7=YEAR(Assm!$L$105),-Assm!$L$104,0)</f>
        <v>0</v>
      </c>
      <c r="G16" s="1795">
        <f>IF(G$7=YEAR(Assm!$L$105),-Assm!$L$104,0)</f>
        <v>0</v>
      </c>
      <c r="H16" s="1795">
        <f>IF(H$7=YEAR(Assm!$L$105),-Assm!$L$104,0)</f>
        <v>-611.74794520547948</v>
      </c>
      <c r="I16" s="1795">
        <f>IF(I$7=YEAR(Assm!$L$105),-Assm!$L$104,0)</f>
        <v>0</v>
      </c>
      <c r="J16" s="1795">
        <f>IF(J$7=YEAR(Assm!$L$105),-Assm!$L$104,0)</f>
        <v>0</v>
      </c>
      <c r="K16" s="1795">
        <f>IF(K$7=YEAR(Assm!$L$105),-Assm!$L$104,0)</f>
        <v>0</v>
      </c>
      <c r="L16" s="1795">
        <f>IF(L$7=YEAR(Assm!$L$105),-Assm!$L$104,0)</f>
        <v>0</v>
      </c>
      <c r="M16" s="1795">
        <f>IF(M$7=YEAR(Assm!$L$105),-Assm!$L$104,0)</f>
        <v>0</v>
      </c>
      <c r="N16" s="1795">
        <f>IF(N$7=YEAR(Assm!$L$105),-Assm!$L$104,0)</f>
        <v>0</v>
      </c>
      <c r="O16" s="1795">
        <f>IF(O$7=YEAR(Assm!$L$105),-Assm!$L$104,0)</f>
        <v>0</v>
      </c>
      <c r="P16" s="1795">
        <f>IF(P$7=YEAR(Assm!$L$105),-Assm!$L$104,0)</f>
        <v>0</v>
      </c>
      <c r="Q16" s="1795">
        <f>IF(Q$7=YEAR(Assm!$L$105),-Assm!$L$104,0)</f>
        <v>0</v>
      </c>
      <c r="R16" s="1795">
        <f>IF(R$7=YEAR(Assm!$L$105),-Assm!$L$104,0)</f>
        <v>0</v>
      </c>
      <c r="S16" s="1795">
        <f>IF(S$7=YEAR(Assm!$L$105),-Assm!$L$104,0)</f>
        <v>0</v>
      </c>
      <c r="T16" s="1795">
        <f>IF(T$7=YEAR(Assm!$L$105),-Assm!$L$104,0)</f>
        <v>0</v>
      </c>
      <c r="U16" s="1795">
        <f>IF(U$7=YEAR(Assm!$L$105),-Assm!$L$104,0)</f>
        <v>0</v>
      </c>
      <c r="V16" s="1795">
        <f>IF(V$7=YEAR(Assm!$L$105),-Assm!$L$104,0)</f>
        <v>0</v>
      </c>
      <c r="W16" s="1795">
        <f>IF(W$7=YEAR(Assm!$L$105),-Assm!$L$104,0)</f>
        <v>0</v>
      </c>
      <c r="X16" s="1795">
        <f>IF(X$7=YEAR(Assm!$L$105),-Assm!$L$104,0)</f>
        <v>0</v>
      </c>
      <c r="Y16" s="1795">
        <f>IF(Y$7=YEAR(Assm!$L$105),-Assm!$L$104,0)</f>
        <v>0</v>
      </c>
      <c r="Z16" s="1795">
        <f>IF(Z$7=YEAR(Assm!$L$105),-Assm!$L$104,0)</f>
        <v>0</v>
      </c>
      <c r="AA16" s="1795">
        <f>IF(AA$7=YEAR(Assm!$L$105),-Assm!$L$104,0)</f>
        <v>0</v>
      </c>
      <c r="AB16" s="1796">
        <f>SUM(E16:AA16)</f>
        <v>-611.74794520547948</v>
      </c>
      <c r="AC16" s="1797">
        <f ca="1">IF('Project &amp; Investor Returns'!$I$3=0,F16+NPV(Disc,G16:AA16),E16+NPV(Disc,F16:AA16))</f>
        <v>-431.99487691934149</v>
      </c>
      <c r="AD16" s="1793"/>
    </row>
    <row r="17" spans="1:33" s="1798" customFormat="1">
      <c r="A17" s="1792"/>
      <c r="B17" s="1793" t="s">
        <v>1613</v>
      </c>
      <c r="C17" s="1793"/>
      <c r="D17" s="1793"/>
      <c r="E17" s="1795">
        <f ca="1">'Project &amp; Investor Returns'!E14*E$11</f>
        <v>0</v>
      </c>
      <c r="F17" s="1795">
        <f ca="1">'Project &amp; Investor Returns'!F14*F$11</f>
        <v>0</v>
      </c>
      <c r="G17" s="1795">
        <f ca="1">'Project &amp; Investor Returns'!G14*G$11</f>
        <v>0</v>
      </c>
      <c r="H17" s="1795">
        <f ca="1">'Project &amp; Investor Returns'!H14*H$11</f>
        <v>0</v>
      </c>
      <c r="I17" s="1795">
        <f ca="1">'Project &amp; Investor Returns'!I14*I$11</f>
        <v>0</v>
      </c>
      <c r="J17" s="1795">
        <f ca="1">'Project &amp; Investor Returns'!J14*J$11</f>
        <v>-2.3931079340400174E-13</v>
      </c>
      <c r="K17" s="1795">
        <f ca="1">'Project &amp; Investor Returns'!K14*K$11</f>
        <v>9.5724317361600696E-13</v>
      </c>
      <c r="L17" s="1795">
        <f ca="1">'Project &amp; Investor Returns'!L14*L$11</f>
        <v>0</v>
      </c>
      <c r="M17" s="1795">
        <f ca="1">'Project &amp; Investor Returns'!M14*M$11</f>
        <v>-9.5724317361600696E-13</v>
      </c>
      <c r="N17" s="1795">
        <f ca="1">'Project &amp; Investor Returns'!N14*N$11</f>
        <v>-9.5724317361600696E-13</v>
      </c>
      <c r="O17" s="1795">
        <f ca="1">'Project &amp; Investor Returns'!O14*O$11</f>
        <v>1208.8272315802901</v>
      </c>
      <c r="P17" s="1795">
        <f ca="1">'Project &amp; Investor Returns'!P14*P$11</f>
        <v>3128.4490826242481</v>
      </c>
      <c r="Q17" s="1795">
        <f ca="1">'Project &amp; Investor Returns'!Q14*Q$11</f>
        <v>3270.8606008922015</v>
      </c>
      <c r="R17" s="1795">
        <f ca="1">'Project &amp; Investor Returns'!R14*R$11</f>
        <v>3764.747490016091</v>
      </c>
      <c r="S17" s="1795">
        <f ca="1">'Project &amp; Investor Returns'!S14*S$11</f>
        <v>4090.3428300682003</v>
      </c>
      <c r="T17" s="1795">
        <f ca="1">'Project &amp; Investor Returns'!T14*T$11</f>
        <v>2900.1048456965323</v>
      </c>
      <c r="U17" s="1795">
        <f ca="1">'Project &amp; Investor Returns'!U14*U$11</f>
        <v>3732.8293720811412</v>
      </c>
      <c r="V17" s="1795">
        <f ca="1">'Project &amp; Investor Returns'!V14*V$11</f>
        <v>1268.5282158269183</v>
      </c>
      <c r="W17" s="1795">
        <f ca="1">'Project &amp; Investor Returns'!W14*W$11</f>
        <v>0</v>
      </c>
      <c r="X17" s="1795">
        <f ca="1">'Project &amp; Investor Returns'!X14*X$11</f>
        <v>0</v>
      </c>
      <c r="Y17" s="1795">
        <f ca="1">'Project &amp; Investor Returns'!Y14*Y$11</f>
        <v>0</v>
      </c>
      <c r="Z17" s="1795">
        <f ca="1">'Project &amp; Investor Returns'!Z14*Z$11</f>
        <v>9.5724317361600696E-13</v>
      </c>
      <c r="AA17" s="1795">
        <f ca="1">'Project &amp; Investor Returns'!AA14*AA$11</f>
        <v>23480.372624437921</v>
      </c>
      <c r="AB17" s="1796">
        <f t="shared" ca="1" si="1"/>
        <v>46845.062293223542</v>
      </c>
      <c r="AC17" s="1797">
        <f ca="1">IF('Project &amp; Investor Returns'!$I$3=0,F17+NPV(Disc,G17:AA17),E17+NPV(Disc,F17:AA17))</f>
        <v>3393.2345555124111</v>
      </c>
      <c r="AD17" s="1793"/>
    </row>
    <row r="18" spans="1:33" s="1798" customFormat="1">
      <c r="A18" s="1808"/>
      <c r="B18" s="1793" t="s">
        <v>906</v>
      </c>
      <c r="C18" s="1793"/>
      <c r="D18" s="1793"/>
      <c r="E18" s="1795">
        <f ca="1">'Project &amp; Investor Returns'!E15*E$11</f>
        <v>0</v>
      </c>
      <c r="F18" s="1795">
        <f ca="1">'Project &amp; Investor Returns'!F15*F$11</f>
        <v>0</v>
      </c>
      <c r="G18" s="1795">
        <f ca="1">'Project &amp; Investor Returns'!G15*G$11</f>
        <v>-1298.3959244022992</v>
      </c>
      <c r="H18" s="1795">
        <f ca="1">'Project &amp; Investor Returns'!H15*H$11</f>
        <v>1767.325793414358</v>
      </c>
      <c r="I18" s="1795">
        <f ca="1">'Project &amp; Investor Returns'!I15*I$11</f>
        <v>8047.4672580754577</v>
      </c>
      <c r="J18" s="1795">
        <f ca="1">'Project &amp; Investor Returns'!J15*J$11</f>
        <v>928.47458433367228</v>
      </c>
      <c r="K18" s="1795">
        <f ca="1">'Project &amp; Investor Returns'!K15*K$11</f>
        <v>2421.524112576813</v>
      </c>
      <c r="L18" s="1795">
        <f ca="1">'Project &amp; Investor Returns'!L15*L$11</f>
        <v>-3977.1326511308393</v>
      </c>
      <c r="M18" s="1795">
        <f ca="1">'Project &amp; Investor Returns'!M15*M$11</f>
        <v>3345.5173023386983</v>
      </c>
      <c r="N18" s="1795">
        <f ca="1">'Project &amp; Investor Returns'!N15*N$11</f>
        <v>3390.8151929317714</v>
      </c>
      <c r="O18" s="1795">
        <f ca="1">'Project &amp; Investor Returns'!O15*O$11</f>
        <v>946.67575372008662</v>
      </c>
      <c r="P18" s="1795">
        <f ca="1">'Project &amp; Investor Returns'!P15*P$11</f>
        <v>-1325.5272809466012</v>
      </c>
      <c r="Q18" s="1795">
        <f ca="1">'Project &amp; Investor Returns'!Q15*Q$11</f>
        <v>-602.75738507393373</v>
      </c>
      <c r="R18" s="1795">
        <f ca="1">'Project &amp; Investor Returns'!R15*R$11</f>
        <v>-1208.3983391026804</v>
      </c>
      <c r="S18" s="1795">
        <f ca="1">'Project &amp; Investor Returns'!S15*S$11</f>
        <v>-3954.1885095646176</v>
      </c>
      <c r="T18" s="1795">
        <f ca="1">'Project &amp; Investor Returns'!T15*T$11</f>
        <v>-2746.1480919946766</v>
      </c>
      <c r="U18" s="1795">
        <f ca="1">'Project &amp; Investor Returns'!U15*U$11</f>
        <v>3798.8544956700448</v>
      </c>
      <c r="V18" s="1795">
        <f ca="1">'Project &amp; Investor Returns'!V15*V$11</f>
        <v>1788.8623732825292</v>
      </c>
      <c r="W18" s="1795">
        <f ca="1">'Project &amp; Investor Returns'!W15*W$11</f>
        <v>-1046.9285773109946</v>
      </c>
      <c r="X18" s="1795">
        <f ca="1">'Project &amp; Investor Returns'!X15*X$11</f>
        <v>3202.5735565910868</v>
      </c>
      <c r="Y18" s="1795">
        <f ca="1">'Project &amp; Investor Returns'!Y15*Y$11</f>
        <v>2468.0670522651558</v>
      </c>
      <c r="Z18" s="1795">
        <f ca="1">'Project &amp; Investor Returns'!Z15*Z$11</f>
        <v>3275.6985352346637</v>
      </c>
      <c r="AA18" s="1795">
        <f ca="1">'Project &amp; Investor Returns'!AA15*AA$11</f>
        <v>-19479.585300694056</v>
      </c>
      <c r="AB18" s="1796">
        <f t="shared" ca="1" si="1"/>
        <v>-257.20604978636038</v>
      </c>
      <c r="AC18" s="1797">
        <f ca="1">IF('Project &amp; Investor Returns'!$I$3=0,F18+NPV(Disc,G18:AA18),E18+NPV(Disc,F18:AA18))</f>
        <v>6079.0025034152195</v>
      </c>
      <c r="AD18" s="1793"/>
    </row>
    <row r="19" spans="1:33" s="1798" customFormat="1">
      <c r="A19" s="1792"/>
      <c r="B19" s="1793" t="s">
        <v>908</v>
      </c>
      <c r="C19" s="1793"/>
      <c r="D19" s="1794" t="s">
        <v>478</v>
      </c>
      <c r="E19" s="1795">
        <f>-Trapped!E$40*'Project &amp; Investor Returns'!E$10*E$11</f>
        <v>0</v>
      </c>
      <c r="F19" s="1795">
        <f>-Trapped!F$40*'Project &amp; Investor Returns'!F$10*F$11</f>
        <v>0</v>
      </c>
      <c r="G19" s="1795">
        <f ca="1">-Trapped!G$40*'Project &amp; Investor Returns'!G$10*G$11</f>
        <v>0</v>
      </c>
      <c r="H19" s="1795">
        <f ca="1">-Trapped!H$40*'Project &amp; Investor Returns'!H$10*H$11</f>
        <v>0</v>
      </c>
      <c r="I19" s="1795">
        <f ca="1">-Trapped!I$40*'Project &amp; Investor Returns'!I$10*I$11</f>
        <v>-43.568155127905143</v>
      </c>
      <c r="J19" s="1795">
        <f ca="1">-Trapped!J$40*'Project &amp; Investor Returns'!J$10*J$11</f>
        <v>-526.41619061243262</v>
      </c>
      <c r="K19" s="1795">
        <f ca="1">-Trapped!K$40*'Project &amp; Investor Returns'!K$10*K$11</f>
        <v>-582.12466567245303</v>
      </c>
      <c r="L19" s="1795">
        <f ca="1">-Trapped!L$40*'Project &amp; Investor Returns'!L$10*L$11</f>
        <v>-727.41611242706176</v>
      </c>
      <c r="M19" s="1795">
        <f ca="1">-Trapped!M$40*'Project &amp; Investor Returns'!M$10*M$11</f>
        <v>-727.41611242706176</v>
      </c>
      <c r="N19" s="1795">
        <f ca="1">-Trapped!N$40*'Project &amp; Investor Returns'!N$10*N$11</f>
        <v>-689.51919149953324</v>
      </c>
      <c r="O19" s="1795">
        <f ca="1">-Trapped!O$40*'Project &amp; Investor Returns'!O$10*O$11</f>
        <v>-892.96810307543956</v>
      </c>
      <c r="P19" s="1795">
        <f ca="1">-Trapped!P$40*'Project &amp; Investor Returns'!P$10*P$11</f>
        <v>-949.76864829864473</v>
      </c>
      <c r="Q19" s="1795">
        <f ca="1">-Trapped!Q$40*'Project &amp; Investor Returns'!Q$10*Q$11</f>
        <v>-949.76864829864473</v>
      </c>
      <c r="R19" s="1795">
        <f ca="1">-Trapped!R$40*'Project &amp; Investor Returns'!R$10*R$11</f>
        <v>-870.23701144184861</v>
      </c>
      <c r="S19" s="1795">
        <f ca="1">-Trapped!S$40*'Project &amp; Investor Returns'!S$10*S$11</f>
        <v>-834.0715683374126</v>
      </c>
      <c r="T19" s="1795">
        <f ca="1">-Trapped!T$40*'Project &amp; Investor Returns'!T$10*T$11</f>
        <v>-761.56766799125182</v>
      </c>
      <c r="U19" s="1795">
        <f ca="1">-Trapped!U$40*'Project &amp; Investor Returns'!U$10*U$11</f>
        <v>-524.31635741737477</v>
      </c>
      <c r="V19" s="1795">
        <f ca="1">-Trapped!V$40*'Project &amp; Investor Returns'!V$10*V$11</f>
        <v>-587.47874163789686</v>
      </c>
      <c r="W19" s="1795">
        <f ca="1">-Trapped!W$40*'Project &amp; Investor Returns'!W$10*W$11</f>
        <v>-694.81048403484863</v>
      </c>
      <c r="X19" s="1795">
        <f ca="1">-Trapped!X$40*'Project &amp; Investor Returns'!X$10*X$11</f>
        <v>-694.81048403484863</v>
      </c>
      <c r="Y19" s="1795">
        <f ca="1">-Trapped!Y$40*'Project &amp; Investor Returns'!Y$10*Y$11</f>
        <v>-824.1491827916542</v>
      </c>
      <c r="Z19" s="1795">
        <f ca="1">-Trapped!Z$40*'Project &amp; Investor Returns'!Z$10*Z$11</f>
        <v>-972.2332059275634</v>
      </c>
      <c r="AA19" s="1795">
        <f ca="1">-Trapped!AA$40*'Project &amp; Investor Returns'!AA$10*AA$11</f>
        <v>-1168.7751180416435</v>
      </c>
      <c r="AB19" s="1796">
        <f t="shared" ca="1" si="1"/>
        <v>-14021.415649095517</v>
      </c>
      <c r="AC19" s="1797">
        <f ca="1">IF('Project &amp; Investor Returns'!$I$3=0,F19+NPV(Disc,G19:AA19),E19+NPV(Disc,F19:AA19))</f>
        <v>-2162.0881827645317</v>
      </c>
      <c r="AD19" s="1793"/>
      <c r="AG19" s="1799"/>
    </row>
    <row r="20" spans="1:33" s="1798" customFormat="1">
      <c r="A20" s="1792"/>
      <c r="B20" s="1793" t="s">
        <v>1589</v>
      </c>
      <c r="C20" s="1793"/>
      <c r="D20" s="1793"/>
      <c r="E20" s="1795">
        <f ca="1">'Project &amp; Investor Returns'!E16*E$11</f>
        <v>0</v>
      </c>
      <c r="F20" s="1795">
        <f ca="1">'Project &amp; Investor Returns'!F16*F$11</f>
        <v>0</v>
      </c>
      <c r="G20" s="1795">
        <f ca="1">'Project &amp; Investor Returns'!G16*G$11</f>
        <v>0</v>
      </c>
      <c r="H20" s="1795">
        <f ca="1">'Project &amp; Investor Returns'!H16*H$11</f>
        <v>0</v>
      </c>
      <c r="I20" s="1795">
        <f ca="1">'Project &amp; Investor Returns'!I16*I$11</f>
        <v>0</v>
      </c>
      <c r="J20" s="1795">
        <f ca="1">'Project &amp; Investor Returns'!J16*J$11</f>
        <v>0</v>
      </c>
      <c r="K20" s="1795">
        <f ca="1">'Project &amp; Investor Returns'!K16*K$11</f>
        <v>1075.0718290604025</v>
      </c>
      <c r="L20" s="1795">
        <f ca="1">'Project &amp; Investor Returns'!L16*L$11</f>
        <v>0</v>
      </c>
      <c r="M20" s="1795">
        <f ca="1">'Project &amp; Investor Returns'!M16*M$11</f>
        <v>4139.2570432824587</v>
      </c>
      <c r="N20" s="1795">
        <f ca="1">'Project &amp; Investor Returns'!N16*N$11</f>
        <v>4692.7511832932933</v>
      </c>
      <c r="O20" s="1795">
        <f ca="1">'Project &amp; Investor Returns'!O16*O$11</f>
        <v>4555.2396519329786</v>
      </c>
      <c r="P20" s="1795">
        <f ca="1">'Project &amp; Investor Returns'!P16*P$11</f>
        <v>4061.4536924967842</v>
      </c>
      <c r="Q20" s="1795">
        <f ca="1">'Project &amp; Investor Returns'!Q16*Q$11</f>
        <v>4246.8175837273338</v>
      </c>
      <c r="R20" s="1795">
        <f ca="1">'Project &amp; Investor Returns'!R16*R$11</f>
        <v>4883.2616320338666</v>
      </c>
      <c r="S20" s="1795">
        <f ca="1">'Project &amp; Investor Returns'!S16*S$11</f>
        <v>4883.2616320338666</v>
      </c>
      <c r="T20" s="1795">
        <f ca="1">'Project &amp; Investor Returns'!T16*T$11</f>
        <v>3765.1407569510625</v>
      </c>
      <c r="U20" s="1795">
        <f ca="1">'Project &amp; Investor Returns'!U16*U$11</f>
        <v>4883.2616320338666</v>
      </c>
      <c r="V20" s="1795">
        <f ca="1">'Project &amp; Investor Returns'!V16*V$11</f>
        <v>1886.5699880766508</v>
      </c>
      <c r="W20" s="1795">
        <f ca="1">'Project &amp; Investor Returns'!W16*W$11</f>
        <v>0</v>
      </c>
      <c r="X20" s="1795">
        <f ca="1">'Project &amp; Investor Returns'!X16*X$11</f>
        <v>0</v>
      </c>
      <c r="Y20" s="1795">
        <f ca="1">'Project &amp; Investor Returns'!Y16*Y$11</f>
        <v>0</v>
      </c>
      <c r="Z20" s="1795">
        <f ca="1">'Project &amp; Investor Returns'!Z16*Z$11</f>
        <v>0</v>
      </c>
      <c r="AA20" s="1795">
        <f ca="1">'Project &amp; Investor Returns'!AA16*AA$11</f>
        <v>0</v>
      </c>
      <c r="AB20" s="1796">
        <f t="shared" ca="1" si="1"/>
        <v>43072.086624922558</v>
      </c>
      <c r="AC20" s="1797">
        <f ca="1">IF('Project &amp; Investor Returns'!$I$3=0,F20+NPV(Disc,G20:AA20),E20+NPV(Disc,F20:AA20))</f>
        <v>7054.2240064609987</v>
      </c>
      <c r="AD20" s="1793"/>
      <c r="AG20" s="1799"/>
    </row>
    <row r="21" spans="1:33" s="1798" customFormat="1">
      <c r="A21" s="1792"/>
      <c r="B21" s="1793" t="s">
        <v>1590</v>
      </c>
      <c r="C21" s="1802">
        <f>Wh_Int</f>
        <v>0.15</v>
      </c>
      <c r="D21" s="1793"/>
      <c r="E21" s="1795">
        <f t="shared" ref="E21:AA21" ca="1" si="2">-E20*$C21</f>
        <v>0</v>
      </c>
      <c r="F21" s="1795">
        <f t="shared" ca="1" si="2"/>
        <v>0</v>
      </c>
      <c r="G21" s="1795">
        <f t="shared" ca="1" si="2"/>
        <v>0</v>
      </c>
      <c r="H21" s="1795">
        <f t="shared" ca="1" si="2"/>
        <v>0</v>
      </c>
      <c r="I21" s="1795">
        <f t="shared" ca="1" si="2"/>
        <v>0</v>
      </c>
      <c r="J21" s="1795">
        <f t="shared" ca="1" si="2"/>
        <v>0</v>
      </c>
      <c r="K21" s="1795">
        <f t="shared" ca="1" si="2"/>
        <v>-161.26077435906038</v>
      </c>
      <c r="L21" s="1795">
        <f t="shared" ca="1" si="2"/>
        <v>0</v>
      </c>
      <c r="M21" s="1795">
        <f t="shared" ca="1" si="2"/>
        <v>-620.88855649236882</v>
      </c>
      <c r="N21" s="1795">
        <f t="shared" ca="1" si="2"/>
        <v>-703.91267749399401</v>
      </c>
      <c r="O21" s="1795">
        <f t="shared" ca="1" si="2"/>
        <v>-683.28594778994682</v>
      </c>
      <c r="P21" s="1795">
        <f t="shared" ca="1" si="2"/>
        <v>-609.21805387451764</v>
      </c>
      <c r="Q21" s="1795">
        <f t="shared" ca="1" si="2"/>
        <v>-637.02263755910008</v>
      </c>
      <c r="R21" s="1795">
        <f t="shared" ca="1" si="2"/>
        <v>-732.48924480507992</v>
      </c>
      <c r="S21" s="1795">
        <f t="shared" ca="1" si="2"/>
        <v>-732.48924480507992</v>
      </c>
      <c r="T21" s="1795">
        <f t="shared" ca="1" si="2"/>
        <v>-564.77111354265935</v>
      </c>
      <c r="U21" s="1795">
        <f t="shared" ca="1" si="2"/>
        <v>-732.48924480507992</v>
      </c>
      <c r="V21" s="1795">
        <f t="shared" ca="1" si="2"/>
        <v>-282.9854982114976</v>
      </c>
      <c r="W21" s="1795">
        <f t="shared" ca="1" si="2"/>
        <v>0</v>
      </c>
      <c r="X21" s="1795">
        <f t="shared" ca="1" si="2"/>
        <v>0</v>
      </c>
      <c r="Y21" s="1795">
        <f t="shared" ca="1" si="2"/>
        <v>0</v>
      </c>
      <c r="Z21" s="1795">
        <f t="shared" ca="1" si="2"/>
        <v>0</v>
      </c>
      <c r="AA21" s="1795">
        <f t="shared" ca="1" si="2"/>
        <v>0</v>
      </c>
      <c r="AB21" s="1796">
        <f t="shared" ca="1" si="1"/>
        <v>-6460.8129937383837</v>
      </c>
      <c r="AC21" s="1797">
        <f ca="1">IF('Project &amp; Investor Returns'!$I$3=0,F21+NPV(Disc,G21:AA21),E21+NPV(Disc,F21:AA21))</f>
        <v>-1058.1336009691499</v>
      </c>
      <c r="AD21" s="1793"/>
      <c r="AG21" s="1799"/>
    </row>
    <row r="22" spans="1:33" s="1807" customFormat="1">
      <c r="A22" s="1801"/>
      <c r="B22" s="1793" t="s">
        <v>577</v>
      </c>
      <c r="C22" s="1802">
        <f>USTax</f>
        <v>0.37</v>
      </c>
      <c r="D22" s="1803"/>
      <c r="E22" s="1804">
        <f>-E19*$C22</f>
        <v>0</v>
      </c>
      <c r="F22" s="1804">
        <f t="shared" ref="F22:AA22" si="3">-F19*$C22</f>
        <v>0</v>
      </c>
      <c r="G22" s="1804">
        <f t="shared" ca="1" si="3"/>
        <v>0</v>
      </c>
      <c r="H22" s="1804">
        <f t="shared" ca="1" si="3"/>
        <v>0</v>
      </c>
      <c r="I22" s="1804">
        <f t="shared" ca="1" si="3"/>
        <v>16.120217397324904</v>
      </c>
      <c r="J22" s="1804">
        <f t="shared" ca="1" si="3"/>
        <v>194.77399052660007</v>
      </c>
      <c r="K22" s="1804">
        <f t="shared" ca="1" si="3"/>
        <v>215.38612629880762</v>
      </c>
      <c r="L22" s="1804">
        <f t="shared" ca="1" si="3"/>
        <v>269.14396159801282</v>
      </c>
      <c r="M22" s="1804">
        <f t="shared" ca="1" si="3"/>
        <v>269.14396159801282</v>
      </c>
      <c r="N22" s="1804">
        <f t="shared" ca="1" si="3"/>
        <v>255.12210085482729</v>
      </c>
      <c r="O22" s="1804">
        <f t="shared" ca="1" si="3"/>
        <v>330.39819813791263</v>
      </c>
      <c r="P22" s="1804">
        <f t="shared" ca="1" si="3"/>
        <v>351.41439987049853</v>
      </c>
      <c r="Q22" s="1804">
        <f t="shared" ca="1" si="3"/>
        <v>351.41439987049853</v>
      </c>
      <c r="R22" s="1804">
        <f t="shared" ca="1" si="3"/>
        <v>321.98769423348398</v>
      </c>
      <c r="S22" s="1804">
        <f t="shared" ca="1" si="3"/>
        <v>308.60648028484263</v>
      </c>
      <c r="T22" s="1804">
        <f t="shared" ca="1" si="3"/>
        <v>281.78003715676317</v>
      </c>
      <c r="U22" s="1804">
        <f t="shared" ca="1" si="3"/>
        <v>193.99705224442866</v>
      </c>
      <c r="V22" s="1804">
        <f t="shared" ca="1" si="3"/>
        <v>217.36713440602185</v>
      </c>
      <c r="W22" s="1804">
        <f t="shared" ca="1" si="3"/>
        <v>257.07987909289398</v>
      </c>
      <c r="X22" s="1804">
        <f t="shared" ca="1" si="3"/>
        <v>257.07987909289398</v>
      </c>
      <c r="Y22" s="1804">
        <f t="shared" ca="1" si="3"/>
        <v>304.93519763291204</v>
      </c>
      <c r="Z22" s="1804">
        <f t="shared" ca="1" si="3"/>
        <v>359.72628619319846</v>
      </c>
      <c r="AA22" s="1804">
        <f t="shared" ca="1" si="3"/>
        <v>432.44679367540812</v>
      </c>
      <c r="AB22" s="1805">
        <f t="shared" ca="1" si="1"/>
        <v>5187.9237901653414</v>
      </c>
      <c r="AC22" s="1806">
        <f ca="1">IF('Project &amp; Investor Returns'!$I$3=0,F22+NPV(Disc,G22:AA22),E22+NPV(Disc,F22:AA22))</f>
        <v>799.97262762287676</v>
      </c>
      <c r="AD22" s="1793"/>
      <c r="AG22" s="1799"/>
    </row>
    <row r="23" spans="1:33" s="81" customFormat="1">
      <c r="A23" s="458"/>
      <c r="B23" s="15" t="s">
        <v>480</v>
      </c>
      <c r="C23" s="15"/>
      <c r="D23" s="15"/>
      <c r="E23" s="37">
        <f t="shared" ref="E23:AA23" ca="1" si="4">SUM(E13:E22)</f>
        <v>0</v>
      </c>
      <c r="F23" s="37">
        <f t="shared" ca="1" si="4"/>
        <v>-60895.780446978155</v>
      </c>
      <c r="G23" s="37">
        <f t="shared" ca="1" si="4"/>
        <v>10001.604075597701</v>
      </c>
      <c r="H23" s="37">
        <f t="shared" ca="1" si="4"/>
        <v>1155.5778482088785</v>
      </c>
      <c r="I23" s="37">
        <f t="shared" ca="1" si="4"/>
        <v>8020.019320344878</v>
      </c>
      <c r="J23" s="37">
        <f t="shared" ca="1" si="4"/>
        <v>596.83238424783951</v>
      </c>
      <c r="K23" s="37">
        <f t="shared" ca="1" si="4"/>
        <v>2968.596627904511</v>
      </c>
      <c r="L23" s="37">
        <f t="shared" ca="1" si="4"/>
        <v>-4435.4048019598886</v>
      </c>
      <c r="M23" s="37">
        <f t="shared" ca="1" si="4"/>
        <v>6405.6136382997383</v>
      </c>
      <c r="N23" s="37">
        <f t="shared" ca="1" si="4"/>
        <v>6945.2566080863635</v>
      </c>
      <c r="O23" s="37">
        <f t="shared" ca="1" si="4"/>
        <v>5464.8867845058821</v>
      </c>
      <c r="P23" s="37">
        <f t="shared" ca="1" si="4"/>
        <v>4656.803191871767</v>
      </c>
      <c r="Q23" s="37">
        <f t="shared" ca="1" si="4"/>
        <v>5679.5439135583556</v>
      </c>
      <c r="R23" s="37">
        <f t="shared" ca="1" si="4"/>
        <v>6158.872220933833</v>
      </c>
      <c r="S23" s="37">
        <f t="shared" ca="1" si="4"/>
        <v>3761.4616196797997</v>
      </c>
      <c r="T23" s="37">
        <f t="shared" ca="1" si="4"/>
        <v>2874.5387662757703</v>
      </c>
      <c r="U23" s="37">
        <f t="shared" ca="1" si="4"/>
        <v>11352.136949807027</v>
      </c>
      <c r="V23" s="37">
        <f t="shared" ca="1" si="4"/>
        <v>4290.8634717427258</v>
      </c>
      <c r="W23" s="37">
        <f t="shared" ca="1" si="4"/>
        <v>-1484.6591822529494</v>
      </c>
      <c r="X23" s="37">
        <f t="shared" ca="1" si="4"/>
        <v>2764.8429516491319</v>
      </c>
      <c r="Y23" s="37">
        <f t="shared" ca="1" si="4"/>
        <v>1948.8530671064136</v>
      </c>
      <c r="Z23" s="37">
        <f t="shared" ca="1" si="4"/>
        <v>2663.1916155003</v>
      </c>
      <c r="AA23" s="37">
        <f t="shared" ca="1" si="4"/>
        <v>3264.4589993776299</v>
      </c>
      <c r="AB23" s="435">
        <f t="shared" ca="1" si="1"/>
        <v>24158.109623507553</v>
      </c>
      <c r="AC23" s="435">
        <f ca="1">SUM(AC13:AC22)</f>
        <v>-37725.765095291936</v>
      </c>
      <c r="AD23" s="15"/>
    </row>
    <row r="24" spans="1:33" s="81" customFormat="1">
      <c r="A24" s="458"/>
      <c r="B24" s="15"/>
      <c r="C24" s="15"/>
      <c r="D24" s="15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435"/>
      <c r="AC24" s="435"/>
      <c r="AD24" s="15"/>
    </row>
    <row r="25" spans="1:33">
      <c r="A25" s="20"/>
      <c r="B25" s="15" t="s">
        <v>472</v>
      </c>
      <c r="E25" s="221">
        <f ca="1">$E23</f>
        <v>0</v>
      </c>
      <c r="F25" s="221">
        <f ca="1">IF('Project &amp; Investor Returns'!$I$3=0,$F23,$E23+NPV(Disc,$F23:F23))</f>
        <v>-60895.780446978155</v>
      </c>
      <c r="G25" s="37">
        <f ca="1">IF('Project &amp; Investor Returns'!$I$3=0,$F23+NPV(Disc, $G23:G23),$E23+NPV(Disc,$F23:G23))</f>
        <v>-52491.0711397532</v>
      </c>
      <c r="H25" s="37">
        <f ca="1">IF('Project &amp; Investor Returns'!$I$3=0,$F23+NPV(Disc, $G23:H23),$E23+NPV(Disc,$F23:H23))</f>
        <v>-51675.042717884062</v>
      </c>
      <c r="I25" s="37">
        <f ca="1">IF('Project &amp; Investor Returns'!$I$3=0,$F23+NPV(Disc, $G23:I23),$E23+NPV(Disc,$F23:I23))</f>
        <v>-46915.83642319918</v>
      </c>
      <c r="J25" s="37">
        <f ca="1">IF('Project &amp; Investor Returns'!$I$3=0,$F23+NPV(Disc, $G23:J23),$E23+NPV(Disc,$F23:J23))</f>
        <v>-46618.214763346514</v>
      </c>
      <c r="K25" s="37">
        <f ca="1">IF('Project &amp; Investor Returns'!$I$3=0,$F23+NPV(Disc, $G23:K23),$E23+NPV(Disc,$F23:K23))</f>
        <v>-45374.226213875219</v>
      </c>
      <c r="L25" s="37">
        <f ca="1">IF('Project &amp; Investor Returns'!$I$3=0,$F23+NPV(Disc, $G23:L23),$E23+NPV(Disc,$F23:L23))</f>
        <v>-46936.119988737119</v>
      </c>
      <c r="M25" s="37">
        <f ca="1">IF('Project &amp; Investor Returns'!$I$3=0,$F23+NPV(Disc, $G23:M23),$E23+NPV(Disc,$F23:M23))</f>
        <v>-45040.584104578811</v>
      </c>
      <c r="N25" s="37">
        <f ca="1">IF('Project &amp; Investor Returns'!$I$3=0,$F23+NPV(Disc, $G23:N23),$E23+NPV(Disc,$F23:N23))</f>
        <v>-43313.503507096313</v>
      </c>
      <c r="O25" s="37">
        <f ca="1">IF('Project &amp; Investor Returns'!$I$3=0,$F23+NPV(Disc, $G23:O23),$E23+NPV(Disc,$F23:O23))</f>
        <v>-42171.52345811679</v>
      </c>
      <c r="P25" s="37">
        <f ca="1">IF('Project &amp; Investor Returns'!$I$3=0,$F23+NPV(Disc, $G23:P23),$E23+NPV(Disc,$F23:P23))</f>
        <v>-41353.777756423457</v>
      </c>
      <c r="Q25" s="37">
        <f ca="1">IF('Project &amp; Investor Returns'!$I$3=0,$F23+NPV(Disc, $G23:Q23),$E23+NPV(Disc,$F23:Q23))</f>
        <v>-40515.675738175822</v>
      </c>
      <c r="R25" s="37">
        <f ca="1">IF('Project &amp; Investor Returns'!$I$3=0,$F23+NPV(Disc, $G23:R23),$E23+NPV(Disc,$F23:R23))</f>
        <v>-39751.949595228529</v>
      </c>
      <c r="S25" s="37">
        <f ca="1">IF('Project &amp; Investor Returns'!$I$3=0,$F23+NPV(Disc, $G23:S23),$E23+NPV(Disc,$F23:S23))</f>
        <v>-39359.985635191777</v>
      </c>
      <c r="T25" s="37">
        <f ca="1">IF('Project &amp; Investor Returns'!$I$3=0,$F23+NPV(Disc, $G23:T23),$E23+NPV(Disc,$F23:T23))</f>
        <v>-39108.26969971881</v>
      </c>
      <c r="U25" s="37">
        <f ca="1">IF('Project &amp; Investor Returns'!$I$3=0,$F23+NPV(Disc, $G23:U23),$E23+NPV(Disc,$F23:U23))</f>
        <v>-38272.910613443608</v>
      </c>
      <c r="V25" s="37">
        <f ca="1">IF('Project &amp; Investor Returns'!$I$3=0,$F23+NPV(Disc, $G23:V23),$E23+NPV(Disc,$F23:V23))</f>
        <v>-38007.576363121443</v>
      </c>
      <c r="W25" s="37">
        <f ca="1">IF('Project &amp; Investor Returns'!$I$3=0,$F23+NPV(Disc, $G23:W23),$E23+NPV(Disc,$F23:W23))</f>
        <v>-38084.725029833455</v>
      </c>
      <c r="X25" s="37">
        <f ca="1">IF('Project &amp; Investor Returns'!$I$3=0,$F23+NPV(Disc, $G23:X23),$E23+NPV(Disc,$F23:X23))</f>
        <v>-37963.992260485255</v>
      </c>
      <c r="Y25" s="37">
        <f ca="1">IF('Project &amp; Investor Returns'!$I$3=0,$F23+NPV(Disc, $G23:Y23),$E23+NPV(Disc,$F23:Y23))</f>
        <v>-37892.478958620901</v>
      </c>
      <c r="Z25" s="37">
        <f ca="1">IF('Project &amp; Investor Returns'!$I$3=0,$F23+NPV(Disc, $G23:Z23),$E23+NPV(Disc,$F23:Z23))</f>
        <v>-37810.356264765105</v>
      </c>
      <c r="AA25" s="37">
        <f ca="1">IF('Project &amp; Investor Returns'!$I$3=0,$F23+NPV(Disc, $G23:AA23),$E23+NPV(Disc,$F23:AA23))</f>
        <v>-37725.765095291943</v>
      </c>
      <c r="AB25" s="466"/>
      <c r="AC25" s="435">
        <f ca="1">AC23</f>
        <v>-37725.765095291936</v>
      </c>
    </row>
    <row r="26" spans="1:33">
      <c r="A26" s="20"/>
      <c r="B26" s="15" t="s">
        <v>473</v>
      </c>
      <c r="E26" s="32" t="e">
        <f ca="1">IRR($E23:E23,-0.9)</f>
        <v>#NUM!</v>
      </c>
      <c r="F26" s="32" t="e">
        <f ca="1">IRR($E23:F23,-0.9)</f>
        <v>#NUM!</v>
      </c>
      <c r="G26" s="32">
        <f ca="1">IRR($E23:G23,-0.9)</f>
        <v>-0.83575866829876533</v>
      </c>
      <c r="H26" s="32">
        <f ca="1">IRR($E23:H23,-0.9)</f>
        <v>-0.7575043851021338</v>
      </c>
      <c r="I26" s="32">
        <f ca="1">IRR($E23:I23,-0.9)</f>
        <v>-0.41646610802327</v>
      </c>
      <c r="J26" s="32">
        <f ca="1">IRR($E23:J23,-0.9)</f>
        <v>-0.39715503189486318</v>
      </c>
      <c r="K26" s="32">
        <f ca="1">IRR($E23:K23,-0.9)</f>
        <v>-0.302660466619256</v>
      </c>
      <c r="L26" s="32" t="e">
        <f ca="1">IRR($E23:L23,-0.9)</f>
        <v>#NUM!</v>
      </c>
      <c r="M26" s="32">
        <f ca="1">IRR($E23:M23,-0.9)</f>
        <v>-0.22179335149532589</v>
      </c>
      <c r="N26" s="32">
        <f ca="1">IRR($E23:N23,-0.9)</f>
        <v>-0.13216692780629263</v>
      </c>
      <c r="O26" s="32">
        <f ca="1">IRR($E23:O23,-0.9)</f>
        <v>-9.0300986274389747E-2</v>
      </c>
      <c r="P26" s="32">
        <f ca="1">IRR($E23:P23,-0.9)</f>
        <v>-6.3742627107839928E-2</v>
      </c>
      <c r="Q26" s="32">
        <f ca="1">IRR($E23:Q23,-0.9)</f>
        <v>-3.8886092405379186E-2</v>
      </c>
      <c r="R26" s="32">
        <f ca="1">IRR($E23:R23,-0.9)</f>
        <v>-1.8408654959956625E-2</v>
      </c>
      <c r="S26" s="32">
        <f ca="1">IRR($E23:S23,-0.9)</f>
        <v>-8.2394907453616148E-3</v>
      </c>
      <c r="T26" s="32">
        <f ca="1">IRR($E23:T23,-0.9)</f>
        <v>-1.4189025325759051E-3</v>
      </c>
      <c r="U26" s="32">
        <f ca="1">IRR($E23:U23,-0.9)</f>
        <v>1.9429658966070532E-2</v>
      </c>
      <c r="V26" s="32">
        <f ca="1">IRR($E23:V23,-0.9)</f>
        <v>2.5501549129946375E-2</v>
      </c>
      <c r="W26" s="32">
        <f ca="1">IRR($E23:W23,-0.9)</f>
        <v>2.352739358476378E-2</v>
      </c>
      <c r="X26" s="32">
        <f ca="1">IRR($E23:X23,-0.9)</f>
        <v>2.7048677123915801E-2</v>
      </c>
      <c r="Y26" s="32">
        <f ca="1">IRR($E23:Y23,-0.9)</f>
        <v>2.9306728340243858E-2</v>
      </c>
      <c r="Z26" s="32">
        <f ca="1">IRR($E23:Z23,-0.9)</f>
        <v>3.2117319299227225E-2</v>
      </c>
      <c r="AA26" s="32">
        <f ca="1">IRR($E23:AA23,-0.9)</f>
        <v>3.520093713650059E-2</v>
      </c>
      <c r="AB26" s="465"/>
      <c r="AC26" s="471">
        <f ca="1">IRR(E23:AA23,-0.9)</f>
        <v>3.520093713650059E-2</v>
      </c>
    </row>
    <row r="27" spans="1:33" ht="12.75" customHeight="1">
      <c r="A27" s="20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465"/>
      <c r="AC27" s="430"/>
    </row>
    <row r="28" spans="1:33">
      <c r="A28" s="20"/>
      <c r="B28" s="243" t="str">
        <f ca="1">CONCATENATE("Enron NPV @ ",TEXT(Disc,"0.0%"))</f>
        <v>Enron NPV @ 19.0%</v>
      </c>
      <c r="C28" s="452">
        <f ca="1">AC25</f>
        <v>-37725.765095291936</v>
      </c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465"/>
      <c r="AC28" s="430"/>
    </row>
    <row r="29" spans="1:33">
      <c r="A29" s="20"/>
      <c r="B29" s="249" t="s">
        <v>481</v>
      </c>
      <c r="C29" s="453">
        <f ca="1">AC26</f>
        <v>3.520093713650059E-2</v>
      </c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465"/>
      <c r="AC29" s="430"/>
    </row>
    <row r="30" spans="1:33">
      <c r="A30" s="417"/>
      <c r="B30" s="253" t="s">
        <v>474</v>
      </c>
      <c r="C30" s="454">
        <f ca="1">MAX(E30:AA30)</f>
        <v>0</v>
      </c>
      <c r="D30" s="31"/>
      <c r="E30" s="78">
        <f t="shared" ref="E30:AA30" ca="1" si="5">IF(AND(E25&gt;0,D25&lt;0),E$6,0)</f>
        <v>0</v>
      </c>
      <c r="F30" s="78">
        <f t="shared" ca="1" si="5"/>
        <v>0</v>
      </c>
      <c r="G30" s="78">
        <f t="shared" ca="1" si="5"/>
        <v>0</v>
      </c>
      <c r="H30" s="78">
        <f t="shared" ca="1" si="5"/>
        <v>0</v>
      </c>
      <c r="I30" s="78">
        <f t="shared" ca="1" si="5"/>
        <v>0</v>
      </c>
      <c r="J30" s="78">
        <f t="shared" ca="1" si="5"/>
        <v>0</v>
      </c>
      <c r="K30" s="78">
        <f t="shared" ca="1" si="5"/>
        <v>0</v>
      </c>
      <c r="L30" s="78">
        <f t="shared" ca="1" si="5"/>
        <v>0</v>
      </c>
      <c r="M30" s="78">
        <f t="shared" ca="1" si="5"/>
        <v>0</v>
      </c>
      <c r="N30" s="78">
        <f t="shared" ca="1" si="5"/>
        <v>0</v>
      </c>
      <c r="O30" s="78">
        <f t="shared" ca="1" si="5"/>
        <v>0</v>
      </c>
      <c r="P30" s="78">
        <f t="shared" ca="1" si="5"/>
        <v>0</v>
      </c>
      <c r="Q30" s="78">
        <f t="shared" ca="1" si="5"/>
        <v>0</v>
      </c>
      <c r="R30" s="78">
        <f t="shared" ca="1" si="5"/>
        <v>0</v>
      </c>
      <c r="S30" s="78">
        <f t="shared" ca="1" si="5"/>
        <v>0</v>
      </c>
      <c r="T30" s="78">
        <f t="shared" ca="1" si="5"/>
        <v>0</v>
      </c>
      <c r="U30" s="78">
        <f t="shared" ca="1" si="5"/>
        <v>0</v>
      </c>
      <c r="V30" s="78">
        <f t="shared" ca="1" si="5"/>
        <v>0</v>
      </c>
      <c r="W30" s="78">
        <f t="shared" ca="1" si="5"/>
        <v>0</v>
      </c>
      <c r="X30" s="78">
        <f t="shared" ca="1" si="5"/>
        <v>0</v>
      </c>
      <c r="Y30" s="78">
        <f t="shared" ca="1" si="5"/>
        <v>0</v>
      </c>
      <c r="Z30" s="78">
        <f t="shared" ca="1" si="5"/>
        <v>0</v>
      </c>
      <c r="AA30" s="78">
        <f t="shared" ca="1" si="5"/>
        <v>0</v>
      </c>
      <c r="AB30" s="468"/>
      <c r="AC30" s="469"/>
    </row>
    <row r="31" spans="1:33">
      <c r="A31" s="20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465"/>
      <c r="AC31" s="430"/>
    </row>
    <row r="32" spans="1:33" s="81" customFormat="1">
      <c r="A32" s="458"/>
      <c r="B32" s="15" t="s">
        <v>231</v>
      </c>
      <c r="C32" s="15"/>
      <c r="D32" s="15"/>
      <c r="E32" s="37">
        <f ca="1">E23</f>
        <v>0</v>
      </c>
      <c r="F32" s="37">
        <f t="shared" ref="F32:AA32" ca="1" si="6">F23</f>
        <v>-60895.780446978155</v>
      </c>
      <c r="G32" s="37">
        <f t="shared" ca="1" si="6"/>
        <v>10001.604075597701</v>
      </c>
      <c r="H32" s="37">
        <f t="shared" ca="1" si="6"/>
        <v>1155.5778482088785</v>
      </c>
      <c r="I32" s="37">
        <f t="shared" ca="1" si="6"/>
        <v>8020.019320344878</v>
      </c>
      <c r="J32" s="37">
        <f t="shared" ca="1" si="6"/>
        <v>596.83238424783951</v>
      </c>
      <c r="K32" s="37">
        <f t="shared" ca="1" si="6"/>
        <v>2968.596627904511</v>
      </c>
      <c r="L32" s="37">
        <f t="shared" ca="1" si="6"/>
        <v>-4435.4048019598886</v>
      </c>
      <c r="M32" s="37">
        <f t="shared" ca="1" si="6"/>
        <v>6405.6136382997383</v>
      </c>
      <c r="N32" s="37">
        <f t="shared" ca="1" si="6"/>
        <v>6945.2566080863635</v>
      </c>
      <c r="O32" s="37">
        <f t="shared" ca="1" si="6"/>
        <v>5464.8867845058821</v>
      </c>
      <c r="P32" s="37">
        <f t="shared" ca="1" si="6"/>
        <v>4656.803191871767</v>
      </c>
      <c r="Q32" s="37">
        <f t="shared" ca="1" si="6"/>
        <v>5679.5439135583556</v>
      </c>
      <c r="R32" s="37">
        <f t="shared" ca="1" si="6"/>
        <v>6158.872220933833</v>
      </c>
      <c r="S32" s="37">
        <f t="shared" ca="1" si="6"/>
        <v>3761.4616196797997</v>
      </c>
      <c r="T32" s="37">
        <f t="shared" ca="1" si="6"/>
        <v>2874.5387662757703</v>
      </c>
      <c r="U32" s="37">
        <f t="shared" ca="1" si="6"/>
        <v>11352.136949807027</v>
      </c>
      <c r="V32" s="37">
        <f t="shared" ca="1" si="6"/>
        <v>4290.8634717427258</v>
      </c>
      <c r="W32" s="37">
        <f t="shared" ca="1" si="6"/>
        <v>-1484.6591822529494</v>
      </c>
      <c r="X32" s="37">
        <f t="shared" ca="1" si="6"/>
        <v>2764.8429516491319</v>
      </c>
      <c r="Y32" s="37">
        <f t="shared" ca="1" si="6"/>
        <v>1948.8530671064136</v>
      </c>
      <c r="Z32" s="37">
        <f t="shared" ca="1" si="6"/>
        <v>2663.1916155003</v>
      </c>
      <c r="AA32" s="37">
        <f t="shared" ca="1" si="6"/>
        <v>3264.4589993776299</v>
      </c>
      <c r="AB32" s="435">
        <f t="shared" ref="AB32:AB40" ca="1" si="7">SUM(E32:AA32)</f>
        <v>24158.109623507553</v>
      </c>
      <c r="AC32" s="463">
        <f ca="1">IF('Project &amp; Investor Returns'!$I$3=0,F32+NPV(Disc,G32:AA32),E32+NPV(Disc,F32:AA32))</f>
        <v>-37725.765095291943</v>
      </c>
      <c r="AD32" s="15"/>
    </row>
    <row r="33" spans="1:33" s="1798" customFormat="1">
      <c r="A33" s="1792"/>
      <c r="B33" s="1793" t="s">
        <v>1073</v>
      </c>
      <c r="C33" s="1793"/>
      <c r="D33" s="1794" t="s">
        <v>478</v>
      </c>
      <c r="E33" s="1795">
        <f ca="1">-PLRisk!E35</f>
        <v>0</v>
      </c>
      <c r="F33" s="1795">
        <f ca="1">-PLRisk!F35</f>
        <v>-405.97186964652104</v>
      </c>
      <c r="G33" s="1795">
        <f ca="1">-PLRisk!G35</f>
        <v>-594.8241067503335</v>
      </c>
      <c r="H33" s="1795">
        <f ca="1">-PLRisk!H35</f>
        <v>-448.7970738593794</v>
      </c>
      <c r="I33" s="1795">
        <f ca="1">-PLRisk!I35</f>
        <v>-432.4594698770577</v>
      </c>
      <c r="J33" s="1795">
        <f ca="1">-PLRisk!J35</f>
        <v>-418.99675778762207</v>
      </c>
      <c r="K33" s="1795">
        <f ca="1">-PLRisk!K35</f>
        <v>-419.23782052786595</v>
      </c>
      <c r="L33" s="1795">
        <f ca="1">-PLRisk!L35</f>
        <v>-467.20229573206336</v>
      </c>
      <c r="M33" s="1795">
        <f ca="1">-PLRisk!M35</f>
        <v>-513.64995159585828</v>
      </c>
      <c r="N33" s="1795">
        <f ca="1">-PLRisk!N35</f>
        <v>-552.00552097820173</v>
      </c>
      <c r="O33" s="1795">
        <f ca="1">-PLRisk!O35</f>
        <v>-586.84685833539959</v>
      </c>
      <c r="P33" s="1795">
        <f ca="1">-PLRisk!P35</f>
        <v>-597.67542687714774</v>
      </c>
      <c r="Q33" s="1795">
        <f ca="1">-PLRisk!Q35</f>
        <v>-597.67542687714763</v>
      </c>
      <c r="R33" s="1795">
        <f ca="1">-PLRisk!R35</f>
        <v>-597.67542687714763</v>
      </c>
      <c r="S33" s="1795">
        <f ca="1">-PLRisk!S35</f>
        <v>-597.67542687714763</v>
      </c>
      <c r="T33" s="1795">
        <f ca="1">-PLRisk!T35</f>
        <v>-597.67542687714763</v>
      </c>
      <c r="U33" s="1795">
        <f ca="1">-PLRisk!U35</f>
        <v>-597.67542687714752</v>
      </c>
      <c r="V33" s="1795">
        <f ca="1">-PLRisk!V35</f>
        <v>-597.67542687714763</v>
      </c>
      <c r="W33" s="1795">
        <f ca="1">-PLRisk!W35</f>
        <v>-584.52754685907769</v>
      </c>
      <c r="X33" s="1795">
        <f ca="1">-PLRisk!X35</f>
        <v>-537.68423680586363</v>
      </c>
      <c r="Y33" s="1795">
        <f ca="1">-PLRisk!Y35</f>
        <v>-473.59323174022052</v>
      </c>
      <c r="Z33" s="1795">
        <f ca="1">-PLRisk!Z35</f>
        <v>-413.60349625943002</v>
      </c>
      <c r="AA33" s="1795">
        <f ca="1">-PLRisk!AA35</f>
        <v>-303.00070236752521</v>
      </c>
      <c r="AB33" s="1796">
        <f ca="1">SUM(E33:AA33)</f>
        <v>-11336.128927262451</v>
      </c>
      <c r="AC33" s="1797">
        <f ca="1">IF('Project &amp; Investor Returns'!$I$3=0,F33+NPV(Disc,G33:AA33),E33+NPV(Disc,F33:AA33))</f>
        <v>-2995.0758228878917</v>
      </c>
      <c r="AD33" s="1793"/>
      <c r="AG33" s="1799"/>
    </row>
    <row r="34" spans="1:33" s="1825" customFormat="1">
      <c r="A34" s="1602"/>
      <c r="B34" s="1818" t="s">
        <v>479</v>
      </c>
      <c r="C34" s="1818"/>
      <c r="D34" s="1819" t="s">
        <v>478</v>
      </c>
      <c r="E34" s="1820">
        <v>0</v>
      </c>
      <c r="F34" s="1821">
        <f>Turnkey!$K$33*HLOOKUP(DATE(F$7,12,31),Draw_Table,Drawdown!$BB$55)-SUM($D34:E34)</f>
        <v>4068.8243958886765</v>
      </c>
      <c r="G34" s="1821">
        <f>Turnkey!$K$33*HLOOKUP(DATE(G$7,12,31),Draw_Table,Drawdown!$BB$55)-SUM($D34:F34)</f>
        <v>2813.1876017377613</v>
      </c>
      <c r="H34" s="1821">
        <f>Turnkey!$K$33*HLOOKUP(DATE(H$7,12,31),Draw_Table,Drawdown!$BB$55)-SUM($D34:G34)</f>
        <v>999.12200237356228</v>
      </c>
      <c r="I34" s="1821">
        <f>Turnkey!$K$33*HLOOKUP(DATE(I$7,12,31),Draw_Table,Drawdown!$BB$55)-SUM($D34:H34)</f>
        <v>0</v>
      </c>
      <c r="J34" s="1821">
        <f>Turnkey!$K$33*HLOOKUP(DATE(J$7,12,31),Draw_Table,Drawdown!$BB$55)-SUM($D34:I34)</f>
        <v>0</v>
      </c>
      <c r="K34" s="1821">
        <f>Turnkey!$K$33*HLOOKUP(DATE(K$7,12,31),Draw_Table,Drawdown!$BB$55)-SUM($D34:J34)</f>
        <v>0</v>
      </c>
      <c r="L34" s="1821">
        <f>Turnkey!$K$33*HLOOKUP(DATE(L$7,12,31),Draw_Table,Drawdown!$BB$55)-SUM($D34:K34)</f>
        <v>0</v>
      </c>
      <c r="M34" s="1821">
        <f>Turnkey!$K$33*HLOOKUP(DATE(M$7,12,31),Draw_Table,Drawdown!$BB$55)-SUM($D34:L34)</f>
        <v>0</v>
      </c>
      <c r="N34" s="1821">
        <f>Turnkey!$K$33*HLOOKUP(DATE(N$7,12,31),Draw_Table,Drawdown!$BB$55)-SUM($D34:M34)</f>
        <v>0</v>
      </c>
      <c r="O34" s="1821">
        <f>Turnkey!$K$33*HLOOKUP(DATE(O$7,12,31),Draw_Table,Drawdown!$BB$55)-SUM($D34:N34)</f>
        <v>0</v>
      </c>
      <c r="P34" s="1821">
        <f>Turnkey!$K$33*HLOOKUP(DATE(P$7,12,31),Draw_Table,Drawdown!$BB$55)-SUM($D34:O34)</f>
        <v>0</v>
      </c>
      <c r="Q34" s="1821">
        <f>Turnkey!$K$33*HLOOKUP(DATE(Q$7,12,31),Draw_Table,Drawdown!$BB$55)-SUM($D34:P34)</f>
        <v>0</v>
      </c>
      <c r="R34" s="1821">
        <f>Turnkey!$K$33*HLOOKUP(DATE(R$7,12,31),Draw_Table,Drawdown!$BB$55)-SUM($D34:Q34)</f>
        <v>0</v>
      </c>
      <c r="S34" s="1821">
        <f>Turnkey!$K$33*HLOOKUP(DATE(S$7,12,31),Draw_Table,Drawdown!$BB$55)-SUM($D34:R34)</f>
        <v>0</v>
      </c>
      <c r="T34" s="1821">
        <f>Turnkey!$K$33*HLOOKUP(DATE(T$7,12,31),Draw_Table,Drawdown!$BB$55)-SUM($D34:S34)</f>
        <v>0</v>
      </c>
      <c r="U34" s="1821">
        <f>Turnkey!$K$33*HLOOKUP(DATE(U$7,12,31),Draw_Table,Drawdown!$BB$55)-SUM($D34:T34)</f>
        <v>0</v>
      </c>
      <c r="V34" s="1821">
        <f>Turnkey!$K$33*HLOOKUP(DATE(V$7,12,31),Draw_Table,Drawdown!$BB$55)-SUM($D34:U34)</f>
        <v>0</v>
      </c>
      <c r="W34" s="1821">
        <f>Turnkey!$K$33*HLOOKUP(DATE(W$7,12,31),Draw_Table,Drawdown!$BB$55)-SUM($D34:V34)</f>
        <v>0</v>
      </c>
      <c r="X34" s="1821">
        <f>Turnkey!$K$33*HLOOKUP(DATE(X$7,12,31),Draw_Table,Drawdown!$BB$55)-SUM($D34:W34)</f>
        <v>0</v>
      </c>
      <c r="Y34" s="1821">
        <f>Turnkey!$K$33*HLOOKUP(DATE(Y$7,12,31),Draw_Table,Drawdown!$BB$55)-SUM($D34:X34)</f>
        <v>0</v>
      </c>
      <c r="Z34" s="1821">
        <f>Turnkey!$K$33*HLOOKUP(DATE(Z$7,12,31),Draw_Table,Drawdown!$BB$55)-SUM($D34:Y34)</f>
        <v>0</v>
      </c>
      <c r="AA34" s="1821">
        <f>Turnkey!$K$33*HLOOKUP(DATE(AA$7,12,31),Draw_Table,Drawdown!$BB$55)-SUM($D34:Z34)</f>
        <v>0</v>
      </c>
      <c r="AB34" s="1822">
        <f t="shared" si="7"/>
        <v>7881.134</v>
      </c>
      <c r="AC34" s="1823">
        <f ca="1">IF('Project &amp; Investor Returns'!$I$3=0,F34+NPV(Disc,G34:AA34),E34+NPV(Disc,F34:AA34))</f>
        <v>7138.3923984601752</v>
      </c>
      <c r="AD34" s="1824"/>
      <c r="AG34" s="1826"/>
    </row>
    <row r="35" spans="1:33" s="1825" customFormat="1">
      <c r="A35" s="1602"/>
      <c r="B35" s="1818" t="s">
        <v>910</v>
      </c>
      <c r="C35" s="1827">
        <f>Wh_Int*0+17.65%</f>
        <v>0.17649999999999999</v>
      </c>
      <c r="D35" s="1819" t="s">
        <v>478</v>
      </c>
      <c r="E35" s="1821">
        <f t="shared" ref="E35:AA35" si="8">-E34*$C35</f>
        <v>0</v>
      </c>
      <c r="F35" s="1821">
        <f t="shared" si="8"/>
        <v>-718.1475058743514</v>
      </c>
      <c r="G35" s="1821">
        <f t="shared" si="8"/>
        <v>-496.52761170671482</v>
      </c>
      <c r="H35" s="1821">
        <f t="shared" si="8"/>
        <v>-176.34503341893372</v>
      </c>
      <c r="I35" s="1821">
        <f t="shared" si="8"/>
        <v>0</v>
      </c>
      <c r="J35" s="1821">
        <f t="shared" si="8"/>
        <v>0</v>
      </c>
      <c r="K35" s="1821">
        <f t="shared" si="8"/>
        <v>0</v>
      </c>
      <c r="L35" s="1821">
        <f t="shared" si="8"/>
        <v>0</v>
      </c>
      <c r="M35" s="1821">
        <f t="shared" si="8"/>
        <v>0</v>
      </c>
      <c r="N35" s="1821">
        <f t="shared" si="8"/>
        <v>0</v>
      </c>
      <c r="O35" s="1821">
        <f t="shared" si="8"/>
        <v>0</v>
      </c>
      <c r="P35" s="1821">
        <f t="shared" si="8"/>
        <v>0</v>
      </c>
      <c r="Q35" s="1821">
        <f t="shared" si="8"/>
        <v>0</v>
      </c>
      <c r="R35" s="1821">
        <f t="shared" si="8"/>
        <v>0</v>
      </c>
      <c r="S35" s="1821">
        <f t="shared" si="8"/>
        <v>0</v>
      </c>
      <c r="T35" s="1821">
        <f t="shared" si="8"/>
        <v>0</v>
      </c>
      <c r="U35" s="1821">
        <f t="shared" si="8"/>
        <v>0</v>
      </c>
      <c r="V35" s="1821">
        <f t="shared" si="8"/>
        <v>0</v>
      </c>
      <c r="W35" s="1821">
        <f t="shared" si="8"/>
        <v>0</v>
      </c>
      <c r="X35" s="1821">
        <f t="shared" si="8"/>
        <v>0</v>
      </c>
      <c r="Y35" s="1821">
        <f t="shared" si="8"/>
        <v>0</v>
      </c>
      <c r="Z35" s="1821">
        <f t="shared" si="8"/>
        <v>0</v>
      </c>
      <c r="AA35" s="1821">
        <f t="shared" si="8"/>
        <v>0</v>
      </c>
      <c r="AB35" s="1822">
        <f t="shared" si="7"/>
        <v>-1391.0201509999999</v>
      </c>
      <c r="AC35" s="1823">
        <f ca="1">IF('Project &amp; Investor Returns'!$I$3=0,F35+NPV(Disc,G35:AA35),E35+NPV(Disc,F35:AA35))</f>
        <v>-1259.9262583282207</v>
      </c>
      <c r="AD35" s="1824"/>
      <c r="AG35" s="1826"/>
    </row>
    <row r="36" spans="1:33" s="1825" customFormat="1" ht="12.75" customHeight="1">
      <c r="A36" s="1602"/>
      <c r="B36" s="1818" t="s">
        <v>911</v>
      </c>
      <c r="C36" s="1818"/>
      <c r="D36" s="1819" t="s">
        <v>478</v>
      </c>
      <c r="E36" s="1828">
        <f ca="1">IF(E$7&lt;YEAR(Startops1),0,HLOOKUP(E$7,Rev_Exp_Table,Rev_Exp!$AA$81))</f>
        <v>0</v>
      </c>
      <c r="F36" s="1828">
        <f ca="1">IF(F$7&lt;YEAR(Startops1),0,HLOOKUP(F$7,Rev_Exp_Table,Rev_Exp!$AA$81))</f>
        <v>0</v>
      </c>
      <c r="G36" s="1828">
        <f ca="1">IF(G$7&lt;YEAR(Startops1),0,HLOOKUP(G$7,Rev_Exp_Table,Rev_Exp!$AA$81))</f>
        <v>350.14044943820227</v>
      </c>
      <c r="H36" s="1828">
        <f ca="1">IF(H$7&lt;YEAR(Startops1),0,HLOOKUP(H$7,Rev_Exp_Table,Rev_Exp!$AA$81))</f>
        <v>477.93599776528555</v>
      </c>
      <c r="I36" s="1828">
        <f ca="1">IF(I$7&lt;YEAR(Startops1),0,HLOOKUP(I$7,Rev_Exp_Table,Rev_Exp!$AA$81))</f>
        <v>987.46255573140695</v>
      </c>
      <c r="J36" s="1828">
        <f ca="1">IF(J$7&lt;YEAR(Startops1),0,HLOOKUP(J$7,Rev_Exp_Table,Rev_Exp!$AA$81))</f>
        <v>1018.9716001545293</v>
      </c>
      <c r="K36" s="1828">
        <f ca="1">IF(K$7&lt;YEAR(Startops1),0,HLOOKUP(K$7,Rev_Exp_Table,Rev_Exp!$AA$81))</f>
        <v>1049.6583413349597</v>
      </c>
      <c r="L36" s="1828">
        <f ca="1">IF(L$7&lt;YEAR(Startops1),0,HLOOKUP(L$7,Rev_Exp_Table,Rev_Exp!$AA$81))</f>
        <v>1080.314400861585</v>
      </c>
      <c r="M36" s="1828">
        <f ca="1">IF(M$7&lt;YEAR(Startops1),0,HLOOKUP(M$7,Rev_Exp_Table,Rev_Exp!$AA$81))</f>
        <v>1111.1606493836964</v>
      </c>
      <c r="N36" s="1828">
        <f ca="1">IF(N$7&lt;YEAR(Startops1),0,HLOOKUP(N$7,Rev_Exp_Table,Rev_Exp!$AA$81))</f>
        <v>1142.2718606591895</v>
      </c>
      <c r="O36" s="1828">
        <f ca="1">IF(O$7&lt;YEAR(Startops1),0,HLOOKUP(O$7,Rev_Exp_Table,Rev_Exp!$AA$81))</f>
        <v>1173.5069184961342</v>
      </c>
      <c r="P36" s="1828">
        <f ca="1">IF(P$7&lt;YEAR(Startops1),0,HLOOKUP(P$7,Rev_Exp_Table,Rev_Exp!$AA$81))</f>
        <v>1204.9018025302134</v>
      </c>
      <c r="Q36" s="1828">
        <f ca="1">IF(Q$7&lt;YEAR(Startops1),0,HLOOKUP(Q$7,Rev_Exp_Table,Rev_Exp!$AA$81))</f>
        <v>1236.5559130443014</v>
      </c>
      <c r="R36" s="1828">
        <f ca="1">IF(R$7&lt;YEAR(Startops1),0,HLOOKUP(R$7,Rev_Exp_Table,Rev_Exp!$AA$81))</f>
        <v>1268.5092192829611</v>
      </c>
      <c r="S36" s="1828">
        <f ca="1">IF(S$7&lt;YEAR(Startops1),0,HLOOKUP(S$7,Rev_Exp_Table,Rev_Exp!$AA$81))</f>
        <v>1300.8266372410264</v>
      </c>
      <c r="T36" s="1828">
        <f ca="1">IF(T$7&lt;YEAR(Startops1),0,HLOOKUP(T$7,Rev_Exp_Table,Rev_Exp!$AA$81))</f>
        <v>1333.6277494598744</v>
      </c>
      <c r="U36" s="1828">
        <f ca="1">IF(U$7&lt;YEAR(Startops1),0,HLOOKUP(U$7,Rev_Exp_Table,Rev_Exp!$AA$81))</f>
        <v>1367.1096380039005</v>
      </c>
      <c r="V36" s="1828">
        <f ca="1">IF(V$7&lt;YEAR(Startops1),0,HLOOKUP(V$7,Rev_Exp_Table,Rev_Exp!$AA$81))</f>
        <v>1401.6580483868258</v>
      </c>
      <c r="W36" s="1828">
        <f ca="1">IF(W$7&lt;YEAR(Startops1),0,HLOOKUP(W$7,Rev_Exp_Table,Rev_Exp!$AA$81))</f>
        <v>1437.5973584173569</v>
      </c>
      <c r="X36" s="1828">
        <f ca="1">IF(X$7&lt;YEAR(Startops1),0,HLOOKUP(X$7,Rev_Exp_Table,Rev_Exp!$AA$81))</f>
        <v>1475.0851000769489</v>
      </c>
      <c r="Y36" s="1828">
        <f ca="1">IF(Y$7&lt;YEAR(Startops1),0,HLOOKUP(Y$7,Rev_Exp_Table,Rev_Exp!$AA$81))</f>
        <v>1514.2920288625339</v>
      </c>
      <c r="Z36" s="1828">
        <f ca="1">IF(Z$7&lt;YEAR(Startops1),0,HLOOKUP(Z$7,Rev_Exp_Table,Rev_Exp!$AA$81))</f>
        <v>1555.2119946031808</v>
      </c>
      <c r="AA36" s="1828">
        <f ca="1">IF(AA$7&lt;YEAR(Startops1),0,HLOOKUP(AA$7,Rev_Exp_Table,Rev_Exp!$AA$81))</f>
        <v>532.63071873189369</v>
      </c>
      <c r="AB36" s="1822">
        <f t="shared" ca="1" si="7"/>
        <v>24019.428982466008</v>
      </c>
      <c r="AC36" s="1823">
        <f ca="1">IF('Project &amp; Investor Returns'!$I$3=0,F36+NPV(Disc,G36:AA36),E36+NPV(Disc,F36:AA36))</f>
        <v>4651.6193315858009</v>
      </c>
      <c r="AD36" s="1818"/>
      <c r="AG36" s="1826"/>
    </row>
    <row r="37" spans="1:33" s="1825" customFormat="1" ht="12.75" customHeight="1">
      <c r="A37" s="1602"/>
      <c r="B37" s="1818" t="s">
        <v>545</v>
      </c>
      <c r="C37" s="1818"/>
      <c r="D37" s="1819" t="s">
        <v>478</v>
      </c>
      <c r="E37" s="1828">
        <f ca="1">-EINC!E38+IF(E$7=YEAR(Startops1),-Assm!$V$107,0)</f>
        <v>0</v>
      </c>
      <c r="F37" s="1828">
        <f ca="1">-EINC!F38+IF(F$7=YEAR(Startops1),-Assm!$V$107,0)</f>
        <v>0</v>
      </c>
      <c r="G37" s="1828">
        <f ca="1">-EINC!G38+IF(G$7=YEAR(Startops1),-Assm!$V$107,0)</f>
        <v>-473.83895068129408</v>
      </c>
      <c r="H37" s="1828">
        <f ca="1">-EINC!H38+IF(H$7=YEAR(Startops1),-Assm!$V$107,0)</f>
        <v>24.508911242135902</v>
      </c>
      <c r="I37" s="1828">
        <f ca="1">-EINC!I38+IF(I$7=YEAR(Startops1),-Assm!$V$107,0)</f>
        <v>24.508911242135902</v>
      </c>
      <c r="J37" s="1828">
        <f ca="1">-EINC!J38+IF(J$7=YEAR(Startops1),-Assm!$V$107,0)</f>
        <v>24.508911242135902</v>
      </c>
      <c r="K37" s="1828">
        <f ca="1">-EINC!K38+IF(K$7=YEAR(Startops1),-Assm!$V$107,0)</f>
        <v>24.508911242135902</v>
      </c>
      <c r="L37" s="1828">
        <f ca="1">-EINC!L38+IF(L$7=YEAR(Startops1),-Assm!$V$107,0)</f>
        <v>24.508911242135902</v>
      </c>
      <c r="M37" s="1828">
        <f ca="1">-EINC!M38+IF(M$7=YEAR(Startops1),-Assm!$V$107,0)</f>
        <v>24.508911242135902</v>
      </c>
      <c r="N37" s="1828">
        <f ca="1">-EINC!N38+IF(N$7=YEAR(Startops1),-Assm!$V$107,0)</f>
        <v>24.508911242135902</v>
      </c>
      <c r="O37" s="1828">
        <f ca="1">-EINC!O38+IF(O$7=YEAR(Startops1),-Assm!$V$107,0)</f>
        <v>24.508911242135902</v>
      </c>
      <c r="P37" s="1828">
        <f ca="1">-EINC!P38+IF(P$7=YEAR(Startops1),-Assm!$V$107,0)</f>
        <v>24.508911242135902</v>
      </c>
      <c r="Q37" s="1828">
        <f ca="1">-EINC!Q38+IF(Q$7=YEAR(Startops1),-Assm!$V$107,0)</f>
        <v>24.508911242135902</v>
      </c>
      <c r="R37" s="1828">
        <f ca="1">-EINC!R38+IF(R$7=YEAR(Startops1),-Assm!$V$107,0)</f>
        <v>24.508911242135902</v>
      </c>
      <c r="S37" s="1828">
        <f ca="1">-EINC!S38+IF(S$7=YEAR(Startops1),-Assm!$V$107,0)</f>
        <v>24.508911242135902</v>
      </c>
      <c r="T37" s="1828">
        <f ca="1">-EINC!T38+IF(T$7=YEAR(Startops1),-Assm!$V$107,0)</f>
        <v>24.508911242135902</v>
      </c>
      <c r="U37" s="1828">
        <f ca="1">-EINC!U38+IF(U$7=YEAR(Startops1),-Assm!$V$107,0)</f>
        <v>24.508911242135902</v>
      </c>
      <c r="V37" s="1828">
        <f ca="1">-EINC!V38+IF(V$7=YEAR(Startops1),-Assm!$V$107,0)</f>
        <v>24.508911242135902</v>
      </c>
      <c r="W37" s="1828">
        <f ca="1">-EINC!W38+IF(W$7=YEAR(Startops1),-Assm!$V$107,0)</f>
        <v>24.508911242135902</v>
      </c>
      <c r="X37" s="1828">
        <f ca="1">-EINC!X38+IF(X$7=YEAR(Startops1),-Assm!$V$107,0)</f>
        <v>24.508911242135902</v>
      </c>
      <c r="Y37" s="1828">
        <f ca="1">-EINC!Y38+IF(Y$7=YEAR(Startops1),-Assm!$V$107,0)</f>
        <v>24.508911242135902</v>
      </c>
      <c r="Z37" s="1828">
        <f ca="1">-EINC!Z38+IF(Z$7=YEAR(Startops1),-Assm!$V$107,0)</f>
        <v>24.508911242135902</v>
      </c>
      <c r="AA37" s="1828">
        <f ca="1">-EINC!AA38+IF(AA$7=YEAR(Startops1),-Assm!$V$107,0)</f>
        <v>8.1696370807119667</v>
      </c>
      <c r="AB37" s="1822">
        <f ca="1">SUM(E37:AA37)</f>
        <v>1.3677947663381929E-13</v>
      </c>
      <c r="AC37" s="1823">
        <f ca="1">IF('Project &amp; Investor Returns'!$I$3=0,F37+NPV(Disc,G37:AA37),E37+NPV(Disc,F37:AA37))</f>
        <v>-293.55144064575296</v>
      </c>
      <c r="AD37" s="1818"/>
      <c r="AG37" s="1826"/>
    </row>
    <row r="38" spans="1:33" s="1825" customFormat="1" ht="12.75" customHeight="1">
      <c r="A38" s="1602"/>
      <c r="B38" s="1818" t="s">
        <v>546</v>
      </c>
      <c r="C38" s="1818"/>
      <c r="D38" s="1819" t="s">
        <v>478</v>
      </c>
      <c r="E38" s="1828">
        <f ca="1">-EINC!E39+IF(E$7=YEAR(Startops1),-Assm!$V$108,0)</f>
        <v>0</v>
      </c>
      <c r="F38" s="1828">
        <f ca="1">-EINC!F39+IF(F$7=YEAR(Startops1),-Assm!$V$108,0)</f>
        <v>0</v>
      </c>
      <c r="G38" s="1828">
        <f ca="1">-EINC!G39+IF(G$7=YEAR(Startops1),-Assm!$V$108,0)</f>
        <v>-2174.6390041493778</v>
      </c>
      <c r="H38" s="1828">
        <f ca="1">-EINC!H39+IF(H$7=YEAR(Startops1),-Assm!$V$108,0)</f>
        <v>112.48132780082989</v>
      </c>
      <c r="I38" s="1828">
        <f ca="1">-EINC!I39+IF(I$7=YEAR(Startops1),-Assm!$V$108,0)</f>
        <v>112.48132780082989</v>
      </c>
      <c r="J38" s="1828">
        <f ca="1">-EINC!J39+IF(J$7=YEAR(Startops1),-Assm!$V$108,0)</f>
        <v>112.48132780082989</v>
      </c>
      <c r="K38" s="1828">
        <f ca="1">-EINC!K39+IF(K$7=YEAR(Startops1),-Assm!$V$108,0)</f>
        <v>112.48132780082989</v>
      </c>
      <c r="L38" s="1828">
        <f ca="1">-EINC!L39+IF(L$7=YEAR(Startops1),-Assm!$V$108,0)</f>
        <v>112.48132780082989</v>
      </c>
      <c r="M38" s="1828">
        <f ca="1">-EINC!M39+IF(M$7=YEAR(Startops1),-Assm!$V$108,0)</f>
        <v>112.48132780082989</v>
      </c>
      <c r="N38" s="1828">
        <f ca="1">-EINC!N39+IF(N$7=YEAR(Startops1),-Assm!$V$108,0)</f>
        <v>112.48132780082989</v>
      </c>
      <c r="O38" s="1828">
        <f ca="1">-EINC!O39+IF(O$7=YEAR(Startops1),-Assm!$V$108,0)</f>
        <v>112.48132780082989</v>
      </c>
      <c r="P38" s="1828">
        <f ca="1">-EINC!P39+IF(P$7=YEAR(Startops1),-Assm!$V$108,0)</f>
        <v>112.48132780082989</v>
      </c>
      <c r="Q38" s="1828">
        <f ca="1">-EINC!Q39+IF(Q$7=YEAR(Startops1),-Assm!$V$108,0)</f>
        <v>112.48132780082989</v>
      </c>
      <c r="R38" s="1828">
        <f ca="1">-EINC!R39+IF(R$7=YEAR(Startops1),-Assm!$V$108,0)</f>
        <v>112.48132780082989</v>
      </c>
      <c r="S38" s="1828">
        <f ca="1">-EINC!S39+IF(S$7=YEAR(Startops1),-Assm!$V$108,0)</f>
        <v>112.48132780082989</v>
      </c>
      <c r="T38" s="1828">
        <f ca="1">-EINC!T39+IF(T$7=YEAR(Startops1),-Assm!$V$108,0)</f>
        <v>112.48132780082989</v>
      </c>
      <c r="U38" s="1828">
        <f ca="1">-EINC!U39+IF(U$7=YEAR(Startops1),-Assm!$V$108,0)</f>
        <v>112.48132780082989</v>
      </c>
      <c r="V38" s="1828">
        <f ca="1">-EINC!V39+IF(V$7=YEAR(Startops1),-Assm!$V$108,0)</f>
        <v>112.48132780082989</v>
      </c>
      <c r="W38" s="1828">
        <f ca="1">-EINC!W39+IF(W$7=YEAR(Startops1),-Assm!$V$108,0)</f>
        <v>112.48132780082989</v>
      </c>
      <c r="X38" s="1828">
        <f ca="1">-EINC!X39+IF(X$7=YEAR(Startops1),-Assm!$V$108,0)</f>
        <v>112.48132780082989</v>
      </c>
      <c r="Y38" s="1828">
        <f ca="1">-EINC!Y39+IF(Y$7=YEAR(Startops1),-Assm!$V$108,0)</f>
        <v>112.48132780082989</v>
      </c>
      <c r="Z38" s="1828">
        <f ca="1">-EINC!Z39+IF(Z$7=YEAR(Startops1),-Assm!$V$108,0)</f>
        <v>112.48132780082989</v>
      </c>
      <c r="AA38" s="1828">
        <f ca="1">-EINC!AA39+IF(AA$7=YEAR(Startops1),-Assm!$V$108,0)</f>
        <v>37.49377593360996</v>
      </c>
      <c r="AB38" s="1822">
        <f ca="1">SUM(E38:AA38)</f>
        <v>-5.3290705182007514E-13</v>
      </c>
      <c r="AC38" s="1823">
        <f ca="1">IF('Project &amp; Investor Returns'!$I$3=0,F38+NPV(Disc,G38:AA38),E38+NPV(Disc,F38:AA38))</f>
        <v>-1347.2265452948473</v>
      </c>
      <c r="AD38" s="1818"/>
      <c r="AG38" s="1826"/>
    </row>
    <row r="39" spans="1:33" s="1807" customFormat="1">
      <c r="A39" s="1801"/>
      <c r="B39" s="1793" t="s">
        <v>577</v>
      </c>
      <c r="C39" s="1802">
        <f>USTax</f>
        <v>0.37</v>
      </c>
      <c r="D39" s="1803"/>
      <c r="E39" s="1804">
        <f ca="1">-SUM(E33:E38)*USTax</f>
        <v>0</v>
      </c>
      <c r="F39" s="1804">
        <f t="shared" ref="F39:AA39" ca="1" si="9">-SUM(F33:F38)*USTax</f>
        <v>-1089.5408575360875</v>
      </c>
      <c r="G39" s="1804">
        <f t="shared" ca="1" si="9"/>
        <v>213.30560018135014</v>
      </c>
      <c r="H39" s="1804">
        <f t="shared" ca="1" si="9"/>
        <v>-365.89526880429514</v>
      </c>
      <c r="I39" s="1804">
        <f t="shared" ca="1" si="9"/>
        <v>-256.03753021200657</v>
      </c>
      <c r="J39" s="1804">
        <f t="shared" ca="1" si="9"/>
        <v>-272.67708012165298</v>
      </c>
      <c r="K39" s="1804">
        <f t="shared" ca="1" si="9"/>
        <v>-283.941981144522</v>
      </c>
      <c r="L39" s="1804">
        <f t="shared" ca="1" si="9"/>
        <v>-277.53786734382032</v>
      </c>
      <c r="M39" s="1804">
        <f t="shared" ca="1" si="9"/>
        <v>-271.76534662739749</v>
      </c>
      <c r="N39" s="1804">
        <f t="shared" ca="1" si="9"/>
        <v>-269.08493412786288</v>
      </c>
      <c r="O39" s="1804">
        <f t="shared" ca="1" si="9"/>
        <v>-267.75061070536913</v>
      </c>
      <c r="P39" s="1804">
        <f t="shared" ca="1" si="9"/>
        <v>-275.36014743753162</v>
      </c>
      <c r="Q39" s="1804">
        <f t="shared" ca="1" si="9"/>
        <v>-287.07216832774424</v>
      </c>
      <c r="R39" s="1804">
        <f t="shared" ca="1" si="9"/>
        <v>-298.89489163604833</v>
      </c>
      <c r="S39" s="1804">
        <f t="shared" ca="1" si="9"/>
        <v>-310.85233628053254</v>
      </c>
      <c r="T39" s="1804">
        <f t="shared" ca="1" si="9"/>
        <v>-322.98874780150629</v>
      </c>
      <c r="U39" s="1804">
        <f t="shared" ca="1" si="9"/>
        <v>-335.37704656279595</v>
      </c>
      <c r="V39" s="1804">
        <f t="shared" ca="1" si="9"/>
        <v>-348.15995840447829</v>
      </c>
      <c r="W39" s="1804">
        <f t="shared" ca="1" si="9"/>
        <v>-366.3222187224606</v>
      </c>
      <c r="X39" s="1804">
        <f t="shared" ca="1" si="9"/>
        <v>-397.52470785619892</v>
      </c>
      <c r="Y39" s="1804">
        <f t="shared" ca="1" si="9"/>
        <v>-435.74494338115323</v>
      </c>
      <c r="Z39" s="1804">
        <f t="shared" ca="1" si="9"/>
        <v>-473.08153283308508</v>
      </c>
      <c r="AA39" s="1804">
        <f t="shared" ca="1" si="9"/>
        <v>-101.85856887011545</v>
      </c>
      <c r="AB39" s="1805">
        <f t="shared" ca="1" si="7"/>
        <v>-7094.163144555313</v>
      </c>
      <c r="AC39" s="1806">
        <f ca="1">IF('Project &amp; Investor Returns'!$I$3=0,F39+NPV(Disc,G39:AA39),E39+NPV(Disc,F39:AA39))</f>
        <v>-2180.8657152690266</v>
      </c>
      <c r="AD39" s="1793"/>
      <c r="AG39" s="1799"/>
    </row>
    <row r="40" spans="1:33" s="81" customFormat="1">
      <c r="A40" s="458"/>
      <c r="B40" s="15" t="s">
        <v>480</v>
      </c>
      <c r="C40" s="15"/>
      <c r="D40" s="15"/>
      <c r="E40" s="37">
        <f t="shared" ref="E40:AA40" ca="1" si="10">SUM(E32:E39)</f>
        <v>0</v>
      </c>
      <c r="F40" s="37">
        <f t="shared" ca="1" si="10"/>
        <v>-59040.616284146439</v>
      </c>
      <c r="G40" s="37">
        <f t="shared" ca="1" si="10"/>
        <v>9638.4080536672936</v>
      </c>
      <c r="H40" s="37">
        <f t="shared" ca="1" si="10"/>
        <v>1778.5887113080839</v>
      </c>
      <c r="I40" s="37">
        <f t="shared" ca="1" si="10"/>
        <v>8455.9751150301854</v>
      </c>
      <c r="J40" s="37">
        <f t="shared" ca="1" si="10"/>
        <v>1061.1203855360593</v>
      </c>
      <c r="K40" s="37">
        <f t="shared" ca="1" si="10"/>
        <v>3452.0654066100492</v>
      </c>
      <c r="L40" s="37">
        <f t="shared" ca="1" si="10"/>
        <v>-3962.8403251312211</v>
      </c>
      <c r="M40" s="37">
        <f t="shared" ca="1" si="10"/>
        <v>6868.3492285031434</v>
      </c>
      <c r="N40" s="37">
        <f t="shared" ca="1" si="10"/>
        <v>7403.4282526824536</v>
      </c>
      <c r="O40" s="37">
        <f t="shared" ca="1" si="10"/>
        <v>5920.7864730042129</v>
      </c>
      <c r="P40" s="37">
        <f t="shared" ca="1" si="10"/>
        <v>5125.6596591302659</v>
      </c>
      <c r="Q40" s="37">
        <f t="shared" ca="1" si="10"/>
        <v>6168.3424704407307</v>
      </c>
      <c r="R40" s="37">
        <f t="shared" ca="1" si="10"/>
        <v>6667.8013607465628</v>
      </c>
      <c r="S40" s="37">
        <f t="shared" ca="1" si="10"/>
        <v>4290.750732806111</v>
      </c>
      <c r="T40" s="37">
        <f t="shared" ca="1" si="10"/>
        <v>3424.4925800999572</v>
      </c>
      <c r="U40" s="37">
        <f t="shared" ca="1" si="10"/>
        <v>11923.184353413948</v>
      </c>
      <c r="V40" s="37">
        <f t="shared" ca="1" si="10"/>
        <v>4883.6763738908912</v>
      </c>
      <c r="W40" s="37">
        <f t="shared" ca="1" si="10"/>
        <v>-860.92135037416494</v>
      </c>
      <c r="X40" s="37">
        <f t="shared" ca="1" si="10"/>
        <v>3441.7093461069844</v>
      </c>
      <c r="Y40" s="37">
        <f t="shared" ca="1" si="10"/>
        <v>2690.7971598905397</v>
      </c>
      <c r="Z40" s="37">
        <f t="shared" ca="1" si="10"/>
        <v>3468.708820053932</v>
      </c>
      <c r="AA40" s="37">
        <f t="shared" ca="1" si="10"/>
        <v>3437.8938598862046</v>
      </c>
      <c r="AB40" s="435">
        <f t="shared" ca="1" si="7"/>
        <v>36237.360383155778</v>
      </c>
      <c r="AC40" s="435">
        <f ca="1">SUM(AC32:AC39)</f>
        <v>-34012.399147671706</v>
      </c>
      <c r="AD40" s="15"/>
    </row>
    <row r="41" spans="1:33" s="81" customFormat="1">
      <c r="A41" s="458"/>
      <c r="B41" s="15"/>
      <c r="C41" s="15"/>
      <c r="D41" s="15"/>
      <c r="E41" s="1331">
        <f ca="1">SUM(E33:E39)</f>
        <v>0</v>
      </c>
      <c r="F41" s="1331">
        <f t="shared" ref="F41:AC41" ca="1" si="11">SUM(F33:F39)</f>
        <v>1855.1641628317166</v>
      </c>
      <c r="G41" s="1331">
        <f t="shared" ca="1" si="11"/>
        <v>-363.19602193040697</v>
      </c>
      <c r="H41" s="1331">
        <f t="shared" ca="1" si="11"/>
        <v>623.01086309920527</v>
      </c>
      <c r="I41" s="1331">
        <f t="shared" ca="1" si="11"/>
        <v>435.95579468530843</v>
      </c>
      <c r="J41" s="1331">
        <f t="shared" ca="1" si="11"/>
        <v>464.28800128821996</v>
      </c>
      <c r="K41" s="1331">
        <f t="shared" ca="1" si="11"/>
        <v>483.46877870553755</v>
      </c>
      <c r="L41" s="1331">
        <f t="shared" ca="1" si="11"/>
        <v>472.56447682866707</v>
      </c>
      <c r="M41" s="1331">
        <f t="shared" ca="1" si="11"/>
        <v>462.7355902034065</v>
      </c>
      <c r="N41" s="1331">
        <f t="shared" ca="1" si="11"/>
        <v>458.1716445960908</v>
      </c>
      <c r="O41" s="1331">
        <f t="shared" ca="1" si="11"/>
        <v>455.89968849833122</v>
      </c>
      <c r="P41" s="1331">
        <f t="shared" ca="1" si="11"/>
        <v>468.85646725849983</v>
      </c>
      <c r="Q41" s="1331">
        <f t="shared" ca="1" si="11"/>
        <v>488.79855688237541</v>
      </c>
      <c r="R41" s="1331">
        <f t="shared" ca="1" si="11"/>
        <v>508.92913981273102</v>
      </c>
      <c r="S41" s="1331">
        <f t="shared" ca="1" si="11"/>
        <v>529.28911312631215</v>
      </c>
      <c r="T41" s="1331">
        <f t="shared" ca="1" si="11"/>
        <v>549.95381382418634</v>
      </c>
      <c r="U41" s="1331">
        <f t="shared" ca="1" si="11"/>
        <v>571.04740360692279</v>
      </c>
      <c r="V41" s="1331">
        <f t="shared" ca="1" si="11"/>
        <v>592.81290214816579</v>
      </c>
      <c r="W41" s="1331">
        <f t="shared" ca="1" si="11"/>
        <v>623.73783187878439</v>
      </c>
      <c r="X41" s="1331">
        <f t="shared" ca="1" si="11"/>
        <v>676.86639445785215</v>
      </c>
      <c r="Y41" s="1331">
        <f t="shared" ca="1" si="11"/>
        <v>741.94409278412581</v>
      </c>
      <c r="Z41" s="1331">
        <f t="shared" ca="1" si="11"/>
        <v>805.51720455363147</v>
      </c>
      <c r="AA41" s="1331">
        <f t="shared" ca="1" si="11"/>
        <v>173.43486050857496</v>
      </c>
      <c r="AB41" s="1333">
        <f t="shared" ca="1" si="11"/>
        <v>12079.250759648243</v>
      </c>
      <c r="AC41" s="1333">
        <f t="shared" ca="1" si="11"/>
        <v>3713.3659476202374</v>
      </c>
      <c r="AD41" s="15"/>
    </row>
    <row r="42" spans="1:33">
      <c r="A42" s="20"/>
      <c r="B42" s="15" t="s">
        <v>472</v>
      </c>
      <c r="C42" s="1818"/>
      <c r="E42" s="221">
        <f ca="1">$E40</f>
        <v>0</v>
      </c>
      <c r="F42" s="221">
        <f ca="1">IF($I$3=0,$F40,$E40+NPV(Disc,$F40:F40))</f>
        <v>-59040.616284146439</v>
      </c>
      <c r="G42" s="37">
        <f ca="1">IF($I$3=0,$F40+NPV(Disc, $G40:G40),$E40+NPV(Disc,$F40:G40))</f>
        <v>-50941.113718039473</v>
      </c>
      <c r="H42" s="37">
        <f ca="1">IF($I$3=0,$F40+NPV(Disc, $G40:H40),$E40+NPV(Disc,$F40:H40))</f>
        <v>-49685.136942876641</v>
      </c>
      <c r="I42" s="37">
        <f ca="1">IF($I$3=0,$F40+NPV(Disc, $G40:I40),$E40+NPV(Disc,$F40:I40))</f>
        <v>-44667.227585344095</v>
      </c>
      <c r="J42" s="37">
        <f ca="1">IF($I$3=0,$F40+NPV(Disc, $G40:J40),$E40+NPV(Disc,$F40:J40))</f>
        <v>-44138.080007595359</v>
      </c>
      <c r="K42" s="37">
        <f ca="1">IF($I$3=0,$F40+NPV(Disc, $G40:K40),$E40+NPV(Disc,$F40:K40))</f>
        <v>-42691.494170542734</v>
      </c>
      <c r="L42" s="37">
        <f ca="1">IF($I$3=0,$F40+NPV(Disc, $G40:L40),$E40+NPV(Disc,$F40:L40))</f>
        <v>-44086.977990161438</v>
      </c>
      <c r="M42" s="37">
        <f ca="1">IF($I$3=0,$F40+NPV(Disc, $G40:M40),$E40+NPV(Disc,$F40:M40))</f>
        <v>-42054.510351196179</v>
      </c>
      <c r="N42" s="37">
        <f ca="1">IF($I$3=0,$F40+NPV(Disc, $G40:N40),$E40+NPV(Disc,$F40:N40))</f>
        <v>-40213.495970939228</v>
      </c>
      <c r="O42" s="37">
        <f ca="1">IF($I$3=0,$F40+NPV(Disc, $G40:O40),$E40+NPV(Disc,$F40:O40))</f>
        <v>-38976.248010815194</v>
      </c>
      <c r="P42" s="37">
        <f ca="1">IF($I$3=0,$F40+NPV(Disc, $G40:P40),$E40+NPV(Disc,$F40:P40))</f>
        <v>-38076.169999806982</v>
      </c>
      <c r="Q42" s="37">
        <f ca="1">IF($I$3=0,$F40+NPV(Disc, $G40:Q40),$E40+NPV(Disc,$F40:Q40))</f>
        <v>-37165.938412130054</v>
      </c>
      <c r="R42" s="37">
        <f ca="1">IF($I$3=0,$F40+NPV(Disc, $G40:R40),$E40+NPV(Disc,$F40:R40))</f>
        <v>-36339.102908403773</v>
      </c>
      <c r="S42" s="37">
        <f ca="1">IF($I$3=0,$F40+NPV(Disc, $G40:S40),$E40+NPV(Disc,$F40:S40))</f>
        <v>-35891.984256451542</v>
      </c>
      <c r="T42" s="37">
        <f ca="1">IF($I$3=0,$F40+NPV(Disc, $G40:T40),$E40+NPV(Disc,$F40:T40))</f>
        <v>-35592.110285909512</v>
      </c>
      <c r="U42" s="37">
        <f ca="1">IF($I$3=0,$F40+NPV(Disc, $G40:U40),$E40+NPV(Disc,$F40:U40))</f>
        <v>-34714.730068334888</v>
      </c>
      <c r="V42" s="37">
        <f ca="1">IF($I$3=0,$F40+NPV(Disc, $G40:V40),$E40+NPV(Disc,$F40:V40))</f>
        <v>-34412.738029199667</v>
      </c>
      <c r="W42" s="37">
        <f ca="1">IF($I$3=0,$F40+NPV(Disc, $G40:W40),$E40+NPV(Disc,$F40:W40))</f>
        <v>-34457.474851710329</v>
      </c>
      <c r="X42" s="37">
        <f ca="1">IF($I$3=0,$F40+NPV(Disc, $G40:X40),$E40+NPV(Disc,$F40:X40))</f>
        <v>-34307.185266401604</v>
      </c>
      <c r="Y42" s="37">
        <f ca="1">IF($I$3=0,$F40+NPV(Disc, $G40:Y40),$E40+NPV(Disc,$F40:Y40))</f>
        <v>-34208.446273299007</v>
      </c>
      <c r="Z42" s="37">
        <f ca="1">IF($I$3=0,$F40+NPV(Disc, $G40:Z40),$E40+NPV(Disc,$F40:Z40))</f>
        <v>-34101.48449448961</v>
      </c>
      <c r="AA42" s="37">
        <f ca="1">IF($I$3=0,$F40+NPV(Disc, $G40:AA40),$E40+NPV(Disc,$F40:AA40))</f>
        <v>-34012.399147671706</v>
      </c>
      <c r="AB42" s="466"/>
      <c r="AC42" s="435">
        <f ca="1">AC40</f>
        <v>-34012.399147671706</v>
      </c>
      <c r="AD42" s="1331">
        <f ca="1">NPV(Disc,F41:AA41)+E41</f>
        <v>3120.4755862354914</v>
      </c>
    </row>
    <row r="43" spans="1:33">
      <c r="A43" s="20"/>
      <c r="B43" s="15" t="s">
        <v>473</v>
      </c>
      <c r="E43" s="32" t="e">
        <f ca="1">IRR($E40:E40,-0.9)</f>
        <v>#NUM!</v>
      </c>
      <c r="F43" s="32" t="e">
        <f ca="1">IRR($E40:F40,-0.9)</f>
        <v>#NUM!</v>
      </c>
      <c r="G43" s="32">
        <f ca="1">IRR($E40:G40,-0.9)</f>
        <v>-0.83674953514576722</v>
      </c>
      <c r="H43" s="32">
        <f ca="1">IRR($E40:H40,-0.9)</f>
        <v>-0.72657405938215869</v>
      </c>
      <c r="I43" s="32">
        <f ca="1">IRR($E40:I40,-0.9)</f>
        <v>-0.39527913344026144</v>
      </c>
      <c r="J43" s="32">
        <f ca="1">IRR($E40:J40,-0.9)</f>
        <v>-0.36457290545705834</v>
      </c>
      <c r="K43" s="32">
        <f ca="1">IRR($E40:K40,-0.9)</f>
        <v>-0.27148410183767302</v>
      </c>
      <c r="L43" s="32" t="e">
        <f ca="1">IRR($E40:L40,-0.9)</f>
        <v>#NUM!</v>
      </c>
      <c r="M43" s="32">
        <f ca="1">IRR($E40:M40,-0.9)</f>
        <v>-0.1905218121597852</v>
      </c>
      <c r="N43" s="32">
        <f ca="1">IRR($E40:N40,-0.9)</f>
        <v>-0.10921596160302055</v>
      </c>
      <c r="O43" s="32">
        <f ca="1">IRR($E40:O40,-0.9)</f>
        <v>-6.9516065887909234E-2</v>
      </c>
      <c r="P43" s="32">
        <f ca="1">IRR($E40:P40,-0.9)</f>
        <v>-4.3984319314298644E-2</v>
      </c>
      <c r="Q43" s="32">
        <f ca="1">IRR($E40:Q40,-0.9)</f>
        <v>-2.0475013922251935E-2</v>
      </c>
      <c r="R43" s="32">
        <f ca="1">IRR($E40:R40,-0.9)</f>
        <v>-1.1622184804490391E-3</v>
      </c>
      <c r="S43" s="32">
        <f ca="1">IRR($E40:S40,-0.9)</f>
        <v>8.8707974972773735E-3</v>
      </c>
      <c r="T43" s="32">
        <f ca="1">IRR($E40:T40,-0.9)</f>
        <v>1.5786831966943818E-2</v>
      </c>
      <c r="U43" s="32">
        <f ca="1">IRR($E40:U40,-0.9)</f>
        <v>3.4507803651922075E-2</v>
      </c>
      <c r="V43" s="32">
        <f ca="1">IRR($E40:V40,-0.9)</f>
        <v>4.0447239279075016E-2</v>
      </c>
      <c r="W43" s="32">
        <f ca="1">IRR($E40:W40,-0.9)</f>
        <v>3.9486489299344736E-2</v>
      </c>
      <c r="X43" s="32">
        <f ca="1">IRR($E40:X40,-0.9)</f>
        <v>4.3068449510441024E-2</v>
      </c>
      <c r="Y43" s="32">
        <f ca="1">IRR($E40:Y40,-0.9)</f>
        <v>4.5569399290165583E-2</v>
      </c>
      <c r="Z43" s="32">
        <f ca="1">IRR($E40:Z40,-0.9)</f>
        <v>4.8451104351421595E-2</v>
      </c>
      <c r="AA43" s="32">
        <f ca="1">IRR($E40:AA40,-0.9)</f>
        <v>5.0986672504466576E-2</v>
      </c>
      <c r="AB43" s="465"/>
      <c r="AC43" s="471">
        <f ca="1">IRR(E40:AA40,-0.9)</f>
        <v>5.0986672504466576E-2</v>
      </c>
      <c r="AD43" s="1337" t="str">
        <f ca="1">IF(ISERROR(IRR(E41:AA41,-0.9)),"Infinite",IRR(E41:AA41,-0.9))</f>
        <v>Infinite</v>
      </c>
    </row>
    <row r="44" spans="1:33" ht="12.75" customHeight="1">
      <c r="A44" s="20"/>
      <c r="C44" s="833" t="s">
        <v>498</v>
      </c>
      <c r="D44" s="833" t="s">
        <v>499</v>
      </c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465"/>
      <c r="AC44" s="430"/>
    </row>
    <row r="45" spans="1:33">
      <c r="A45" s="20"/>
      <c r="B45" s="243" t="str">
        <f ca="1">CONCATENATE("Enron NPV @ ",TEXT(Disc,"0.0%"))</f>
        <v>Enron NPV @ 19.0%</v>
      </c>
      <c r="C45" s="1329">
        <f ca="1">AC42</f>
        <v>-34012.399147671706</v>
      </c>
      <c r="D45" s="452">
        <f ca="1">AD42</f>
        <v>3120.4755862354914</v>
      </c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465"/>
      <c r="AC45" s="430"/>
    </row>
    <row r="46" spans="1:33">
      <c r="A46" s="20"/>
      <c r="B46" s="249" t="s">
        <v>481</v>
      </c>
      <c r="C46" s="1334">
        <f ca="1">AC43</f>
        <v>5.0986672504466576E-2</v>
      </c>
      <c r="D46" s="1338" t="str">
        <f ca="1">AD43</f>
        <v>Infinite</v>
      </c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465"/>
      <c r="AC46" s="430"/>
    </row>
    <row r="47" spans="1:33">
      <c r="A47" s="417"/>
      <c r="B47" s="253" t="s">
        <v>474</v>
      </c>
      <c r="C47" s="1336">
        <f ca="1">MAX(E47:AA47)</f>
        <v>0</v>
      </c>
      <c r="D47" s="1335"/>
      <c r="E47" s="78">
        <f t="shared" ref="E47:AA47" ca="1" si="12">IF(AND(E42&gt;0,D42&lt;0),E$6,0)</f>
        <v>0</v>
      </c>
      <c r="F47" s="78">
        <f t="shared" ca="1" si="12"/>
        <v>0</v>
      </c>
      <c r="G47" s="78">
        <f t="shared" ca="1" si="12"/>
        <v>0</v>
      </c>
      <c r="H47" s="78">
        <f t="shared" ca="1" si="12"/>
        <v>0</v>
      </c>
      <c r="I47" s="78">
        <f t="shared" ca="1" si="12"/>
        <v>0</v>
      </c>
      <c r="J47" s="78">
        <f t="shared" ca="1" si="12"/>
        <v>0</v>
      </c>
      <c r="K47" s="78">
        <f t="shared" ca="1" si="12"/>
        <v>0</v>
      </c>
      <c r="L47" s="78">
        <f t="shared" ca="1" si="12"/>
        <v>0</v>
      </c>
      <c r="M47" s="78">
        <f t="shared" ca="1" si="12"/>
        <v>0</v>
      </c>
      <c r="N47" s="78">
        <f t="shared" ca="1" si="12"/>
        <v>0</v>
      </c>
      <c r="O47" s="78">
        <f t="shared" ca="1" si="12"/>
        <v>0</v>
      </c>
      <c r="P47" s="78">
        <f t="shared" ca="1" si="12"/>
        <v>0</v>
      </c>
      <c r="Q47" s="78">
        <f t="shared" ca="1" si="12"/>
        <v>0</v>
      </c>
      <c r="R47" s="78">
        <f t="shared" ca="1" si="12"/>
        <v>0</v>
      </c>
      <c r="S47" s="78">
        <f t="shared" ca="1" si="12"/>
        <v>0</v>
      </c>
      <c r="T47" s="78">
        <f t="shared" ca="1" si="12"/>
        <v>0</v>
      </c>
      <c r="U47" s="78">
        <f t="shared" ca="1" si="12"/>
        <v>0</v>
      </c>
      <c r="V47" s="78">
        <f t="shared" ca="1" si="12"/>
        <v>0</v>
      </c>
      <c r="W47" s="78">
        <f t="shared" ca="1" si="12"/>
        <v>0</v>
      </c>
      <c r="X47" s="78">
        <f t="shared" ca="1" si="12"/>
        <v>0</v>
      </c>
      <c r="Y47" s="78">
        <f t="shared" ca="1" si="12"/>
        <v>0</v>
      </c>
      <c r="Z47" s="78">
        <f t="shared" ca="1" si="12"/>
        <v>0</v>
      </c>
      <c r="AA47" s="78">
        <f t="shared" ca="1" si="12"/>
        <v>0</v>
      </c>
      <c r="AB47" s="468"/>
      <c r="AC47" s="469"/>
    </row>
    <row r="48" spans="1:33">
      <c r="A48" s="20"/>
      <c r="AB48" s="430"/>
      <c r="AC48" s="430"/>
    </row>
    <row r="49" spans="1:33" s="81" customFormat="1">
      <c r="A49" s="458"/>
      <c r="B49" s="15" t="s">
        <v>232</v>
      </c>
      <c r="C49" s="15"/>
      <c r="D49" s="15"/>
      <c r="E49" s="37">
        <f t="shared" ref="E49:AA49" ca="1" si="13">E40</f>
        <v>0</v>
      </c>
      <c r="F49" s="37">
        <f t="shared" ca="1" si="13"/>
        <v>-59040.616284146439</v>
      </c>
      <c r="G49" s="37">
        <f ca="1">G40</f>
        <v>9638.4080536672936</v>
      </c>
      <c r="H49" s="37">
        <f t="shared" ca="1" si="13"/>
        <v>1778.5887113080839</v>
      </c>
      <c r="I49" s="37">
        <f t="shared" ca="1" si="13"/>
        <v>8455.9751150301854</v>
      </c>
      <c r="J49" s="37">
        <f t="shared" ca="1" si="13"/>
        <v>1061.1203855360593</v>
      </c>
      <c r="K49" s="37">
        <f t="shared" ca="1" si="13"/>
        <v>3452.0654066100492</v>
      </c>
      <c r="L49" s="37">
        <f t="shared" ca="1" si="13"/>
        <v>-3962.8403251312211</v>
      </c>
      <c r="M49" s="37">
        <f t="shared" ca="1" si="13"/>
        <v>6868.3492285031434</v>
      </c>
      <c r="N49" s="37">
        <f t="shared" ca="1" si="13"/>
        <v>7403.4282526824536</v>
      </c>
      <c r="O49" s="37">
        <f t="shared" ca="1" si="13"/>
        <v>5920.7864730042129</v>
      </c>
      <c r="P49" s="37">
        <f t="shared" ca="1" si="13"/>
        <v>5125.6596591302659</v>
      </c>
      <c r="Q49" s="37">
        <f t="shared" ca="1" si="13"/>
        <v>6168.3424704407307</v>
      </c>
      <c r="R49" s="37">
        <f t="shared" ca="1" si="13"/>
        <v>6667.8013607465628</v>
      </c>
      <c r="S49" s="37">
        <f t="shared" ca="1" si="13"/>
        <v>4290.750732806111</v>
      </c>
      <c r="T49" s="37">
        <f t="shared" ca="1" si="13"/>
        <v>3424.4925800999572</v>
      </c>
      <c r="U49" s="37">
        <f t="shared" ca="1" si="13"/>
        <v>11923.184353413948</v>
      </c>
      <c r="V49" s="37">
        <f t="shared" ca="1" si="13"/>
        <v>4883.6763738908912</v>
      </c>
      <c r="W49" s="37">
        <f t="shared" ca="1" si="13"/>
        <v>-860.92135037416494</v>
      </c>
      <c r="X49" s="37">
        <f t="shared" ca="1" si="13"/>
        <v>3441.7093461069844</v>
      </c>
      <c r="Y49" s="37">
        <f t="shared" ca="1" si="13"/>
        <v>2690.7971598905397</v>
      </c>
      <c r="Z49" s="37">
        <f t="shared" ca="1" si="13"/>
        <v>3468.708820053932</v>
      </c>
      <c r="AA49" s="37">
        <f t="shared" ca="1" si="13"/>
        <v>3437.8938598862046</v>
      </c>
      <c r="AB49" s="435">
        <f t="shared" ref="AB49:AB56" ca="1" si="14">SUM(E49:AA49)</f>
        <v>36237.360383155778</v>
      </c>
      <c r="AC49" s="463">
        <f ca="1">IF('Project &amp; Investor Returns'!$I$3=0,F49+NPV(Disc,G49:AA49),E49+NPV(Disc,F49:AA49))</f>
        <v>-34012.399147671706</v>
      </c>
      <c r="AD49" s="15"/>
    </row>
    <row r="50" spans="1:33" s="1851" customFormat="1">
      <c r="A50" s="1846">
        <f>Assm!$K$85</f>
        <v>0.65625</v>
      </c>
      <c r="B50" s="1847" t="s">
        <v>30</v>
      </c>
      <c r="C50" s="1847"/>
      <c r="D50" s="1847"/>
      <c r="E50" s="1848">
        <f ca="1">-HLOOKUP(DATE(E$7,12,31),Idc_Table,IDC!$BB$89)*$A50-SUM($D50:D50)</f>
        <v>0</v>
      </c>
      <c r="F50" s="1848">
        <f ca="1">-HLOOKUP(DATE(F$7,12,31),Idc_Table,IDC!$BB$89)*$A50-SUM($D50:E50)</f>
        <v>-17275.700890842803</v>
      </c>
      <c r="G50" s="1848">
        <f ca="1">-HLOOKUP(DATE(G$7,12,31),Idc_Table,IDC!$BB$89)*$A50-SUM($D50:F50)</f>
        <v>-36106.819553851339</v>
      </c>
      <c r="H50" s="1848">
        <f ca="1">-HLOOKUP(DATE(H$7,12,31),Idc_Table,IDC!$BB$89)*$A50-SUM($D50:G50)</f>
        <v>-26214.133725323794</v>
      </c>
      <c r="I50" s="1848">
        <f ca="1">-HLOOKUP(DATE(I$7,12,31),Idc_Table,IDC!$BB$89)*$A50-SUM($D50:H50)</f>
        <v>0</v>
      </c>
      <c r="J50" s="1848">
        <f ca="1">-HLOOKUP(DATE(J$7,12,31),Idc_Table,IDC!$BB$89)*$A50-SUM($D50:I50)</f>
        <v>0</v>
      </c>
      <c r="K50" s="1848">
        <f ca="1">-HLOOKUP(DATE(K$7,12,31),Idc_Table,IDC!$BB$89)*$A50-SUM($D50:J50)</f>
        <v>0</v>
      </c>
      <c r="L50" s="1848">
        <f ca="1">-HLOOKUP(DATE(L$7,12,31),Idc_Table,IDC!$BB$89)*$A50-SUM($D50:K50)</f>
        <v>0</v>
      </c>
      <c r="M50" s="1848">
        <f ca="1">-HLOOKUP(DATE(M$7,12,31),Idc_Table,IDC!$BB$89)*$A50-SUM($D50:L50)</f>
        <v>0</v>
      </c>
      <c r="N50" s="1848">
        <f ca="1">-HLOOKUP(DATE(N$7,12,31),Idc_Table,IDC!$BB$89)*$A50-SUM($D50:M50)</f>
        <v>0</v>
      </c>
      <c r="O50" s="1848">
        <f ca="1">-HLOOKUP(DATE(O$7,12,31),Idc_Table,IDC!$BB$89)*$A50-SUM($D50:N50)</f>
        <v>0</v>
      </c>
      <c r="P50" s="1848">
        <f ca="1">-HLOOKUP(DATE(P$7,12,31),Idc_Table,IDC!$BB$89)*$A50-SUM($D50:O50)</f>
        <v>0</v>
      </c>
      <c r="Q50" s="1848">
        <f ca="1">-HLOOKUP(DATE(Q$7,12,31),Idc_Table,IDC!$BB$89)*$A50-SUM($D50:P50)</f>
        <v>0</v>
      </c>
      <c r="R50" s="1848">
        <f ca="1">-HLOOKUP(DATE(R$7,12,31),Idc_Table,IDC!$BB$89)*$A50-SUM($D50:Q50)</f>
        <v>0</v>
      </c>
      <c r="S50" s="1848">
        <f ca="1">-HLOOKUP(DATE(S$7,12,31),Idc_Table,IDC!$BB$89)*$A50-SUM($D50:R50)</f>
        <v>0</v>
      </c>
      <c r="T50" s="1848">
        <f ca="1">-HLOOKUP(DATE(T$7,12,31),Idc_Table,IDC!$BB$89)*$A50-SUM($D50:S50)</f>
        <v>0</v>
      </c>
      <c r="U50" s="1848">
        <f ca="1">-HLOOKUP(DATE(U$7,12,31),Idc_Table,IDC!$BB$89)*$A50-SUM($D50:T50)</f>
        <v>0</v>
      </c>
      <c r="V50" s="1848">
        <f ca="1">-HLOOKUP(DATE(V$7,12,31),Idc_Table,IDC!$BB$89)*$A50-SUM($D50:U50)</f>
        <v>0</v>
      </c>
      <c r="W50" s="1848">
        <f ca="1">-HLOOKUP(DATE(W$7,12,31),Idc_Table,IDC!$BB$89)*$A50-SUM($D50:V50)</f>
        <v>0</v>
      </c>
      <c r="X50" s="1848">
        <f ca="1">-HLOOKUP(DATE(X$7,12,31),Idc_Table,IDC!$BB$89)*$A50-SUM($D50:W50)</f>
        <v>0</v>
      </c>
      <c r="Y50" s="1848">
        <f ca="1">-HLOOKUP(DATE(Y$7,12,31),Idc_Table,IDC!$BB$89)*$A50-SUM($D50:X50)</f>
        <v>0</v>
      </c>
      <c r="Z50" s="1848">
        <f ca="1">-HLOOKUP(DATE(Z$7,12,31),Idc_Table,IDC!$BB$89)*$A50-SUM($D50:Y50)</f>
        <v>0</v>
      </c>
      <c r="AA50" s="1848">
        <f ca="1">-HLOOKUP(DATE(AA$7,12,31),Idc_Table,IDC!$BB$89)*$A50-SUM($D50:Z50)</f>
        <v>0</v>
      </c>
      <c r="AB50" s="1849">
        <f t="shared" ca="1" si="14"/>
        <v>-79596.654170017937</v>
      </c>
      <c r="AC50" s="1850">
        <f ca="1">IF('Project &amp; Investor Returns'!$I$3=0,F50+NPV(Disc,G50:AA50),E50+NPV(Disc,F50:AA50))</f>
        <v>-66129.065056090243</v>
      </c>
      <c r="AD50" s="1847"/>
    </row>
    <row r="51" spans="1:33" s="1798" customFormat="1">
      <c r="A51" s="1808"/>
      <c r="B51" s="1793" t="s">
        <v>31</v>
      </c>
      <c r="C51" s="1793"/>
      <c r="D51" s="1793"/>
      <c r="E51" s="1795">
        <f ca="1">IF(E$7=YEAR(Fin_Close),-SUM($D50:E50),0)</f>
        <v>0</v>
      </c>
      <c r="F51" s="1795">
        <f ca="1">IF(F$7=YEAR(Fin_Close),-SUM($D50:F50),0)</f>
        <v>0</v>
      </c>
      <c r="G51" s="1795">
        <f ca="1">IF(G$7=YEAR(Fin_Close),-SUM($D50:G50),0)</f>
        <v>0</v>
      </c>
      <c r="H51" s="1795">
        <f ca="1">IF(H$7=YEAR(Fin_Close),-SUM($D50:H50),0)</f>
        <v>79596.654170017937</v>
      </c>
      <c r="I51" s="1795">
        <f ca="1">IF(I$7=YEAR(Fin_Close),-SUM($D50:I50),0)</f>
        <v>0</v>
      </c>
      <c r="J51" s="1795">
        <f ca="1">IF(J$7=YEAR(Fin_Close),-SUM($D50:J50),0)</f>
        <v>0</v>
      </c>
      <c r="K51" s="1795">
        <f ca="1">IF(K$7=YEAR(Fin_Close),-SUM($D50:K50),0)</f>
        <v>0</v>
      </c>
      <c r="L51" s="1795">
        <f ca="1">IF(L$7=YEAR(Fin_Close),-SUM($D50:L50),0)</f>
        <v>0</v>
      </c>
      <c r="M51" s="1795">
        <f ca="1">IF(M$7=YEAR(Fin_Close),-SUM($D50:M50),0)</f>
        <v>0</v>
      </c>
      <c r="N51" s="1795">
        <f ca="1">IF(N$7=YEAR(Fin_Close),-SUM($D50:N50),0)</f>
        <v>0</v>
      </c>
      <c r="O51" s="1795">
        <f ca="1">IF(O$7=YEAR(Fin_Close),-SUM($D50:O50),0)</f>
        <v>0</v>
      </c>
      <c r="P51" s="1795">
        <f ca="1">IF(P$7=YEAR(Fin_Close),-SUM($D50:P50),0)</f>
        <v>0</v>
      </c>
      <c r="Q51" s="1795">
        <f ca="1">IF(Q$7=YEAR(Fin_Close),-SUM($D50:Q50),0)</f>
        <v>0</v>
      </c>
      <c r="R51" s="1795">
        <f ca="1">IF(R$7=YEAR(Fin_Close),-SUM($D50:R50),0)</f>
        <v>0</v>
      </c>
      <c r="S51" s="1795">
        <f ca="1">IF(S$7=YEAR(Fin_Close),-SUM($D50:S50),0)</f>
        <v>0</v>
      </c>
      <c r="T51" s="1795">
        <f ca="1">IF(T$7=YEAR(Fin_Close),-SUM($D50:T50),0)</f>
        <v>0</v>
      </c>
      <c r="U51" s="1795">
        <f ca="1">IF(U$7=YEAR(Fin_Close),-SUM($D50:U50),0)</f>
        <v>0</v>
      </c>
      <c r="V51" s="1795">
        <f ca="1">IF(V$7=YEAR(Fin_Close),-SUM($D50:V50),0)</f>
        <v>0</v>
      </c>
      <c r="W51" s="1795">
        <f ca="1">IF(W$7=YEAR(Fin_Close),-SUM($D50:W50),0)</f>
        <v>0</v>
      </c>
      <c r="X51" s="1795">
        <f ca="1">IF(X$7=YEAR(Fin_Close),-SUM($D50:X50),0)</f>
        <v>0</v>
      </c>
      <c r="Y51" s="1795">
        <f ca="1">IF(Y$7=YEAR(Fin_Close),-SUM($D50:Y50),0)</f>
        <v>0</v>
      </c>
      <c r="Z51" s="1795">
        <f ca="1">IF(Z$7=YEAR(Fin_Close),-SUM($D50:Z50),0)</f>
        <v>0</v>
      </c>
      <c r="AA51" s="1795">
        <f ca="1">IF(AA$7=YEAR(Fin_Close),-SUM($D50:AA50),0)</f>
        <v>0</v>
      </c>
      <c r="AB51" s="1796">
        <f t="shared" ca="1" si="14"/>
        <v>79596.654170017937</v>
      </c>
      <c r="AC51" s="1797">
        <f ca="1">IF('Project &amp; Investor Returns'!$I$3=0,F51+NPV(Disc,G51:AA51),E51+NPV(Disc,F51:AA51))</f>
        <v>56208.356874527184</v>
      </c>
      <c r="AD51" s="1793"/>
    </row>
    <row r="52" spans="1:33" s="1798" customFormat="1">
      <c r="A52" s="1792"/>
      <c r="B52" s="1793" t="s">
        <v>32</v>
      </c>
      <c r="C52" s="1793"/>
      <c r="D52" s="1794" t="s">
        <v>486</v>
      </c>
      <c r="E52" s="1795">
        <f ca="1">HLOOKUP(DATE(E$7,12,31),Idc_Table,IDC!$BB$90)*$A50-SUM($D52:D52)</f>
        <v>0</v>
      </c>
      <c r="F52" s="1795">
        <f ca="1">HLOOKUP(DATE(F$7,12,31),Idc_Table,IDC!$BB$90)*$A50-SUM($D52:E52)</f>
        <v>90.770523693469599</v>
      </c>
      <c r="G52" s="1795">
        <f ca="1">HLOOKUP(DATE(G$7,12,31),Idc_Table,IDC!$BB$90)*$A50-SUM($D52:F52)</f>
        <v>2440.476691943556</v>
      </c>
      <c r="H52" s="1795">
        <f ca="1">HLOOKUP(DATE(H$7,12,31),Idc_Table,IDC!$BB$90)*$A50-SUM($D52:G52)</f>
        <v>2577.3833879337049</v>
      </c>
      <c r="I52" s="1795">
        <f ca="1">HLOOKUP(DATE(I$7,12,31),Idc_Table,IDC!$BB$90)*$A50-SUM($D52:H52)</f>
        <v>0</v>
      </c>
      <c r="J52" s="1795">
        <f ca="1">HLOOKUP(DATE(J$7,12,31),Idc_Table,IDC!$BB$90)*$A50-SUM($D52:I52)</f>
        <v>0</v>
      </c>
      <c r="K52" s="1795">
        <f ca="1">HLOOKUP(DATE(K$7,12,31),Idc_Table,IDC!$BB$90)*$A50-SUM($D52:J52)</f>
        <v>0</v>
      </c>
      <c r="L52" s="1795">
        <f ca="1">HLOOKUP(DATE(L$7,12,31),Idc_Table,IDC!$BB$90)*$A50-SUM($D52:K52)</f>
        <v>0</v>
      </c>
      <c r="M52" s="1795">
        <f ca="1">HLOOKUP(DATE(M$7,12,31),Idc_Table,IDC!$BB$90)*$A50-SUM($D52:L52)</f>
        <v>0</v>
      </c>
      <c r="N52" s="1795">
        <f ca="1">HLOOKUP(DATE(N$7,12,31),Idc_Table,IDC!$BB$90)*$A50-SUM($D52:M52)</f>
        <v>0</v>
      </c>
      <c r="O52" s="1795">
        <f ca="1">HLOOKUP(DATE(O$7,12,31),Idc_Table,IDC!$BB$90)*$A50-SUM($D52:N52)</f>
        <v>0</v>
      </c>
      <c r="P52" s="1795">
        <f ca="1">HLOOKUP(DATE(P$7,12,31),Idc_Table,IDC!$BB$90)*$A50-SUM($D52:O52)</f>
        <v>0</v>
      </c>
      <c r="Q52" s="1795">
        <f ca="1">HLOOKUP(DATE(Q$7,12,31),Idc_Table,IDC!$BB$90)*$A50-SUM($D52:P52)</f>
        <v>0</v>
      </c>
      <c r="R52" s="1795">
        <f ca="1">HLOOKUP(DATE(R$7,12,31),Idc_Table,IDC!$BB$90)*$A50-SUM($D52:Q52)</f>
        <v>0</v>
      </c>
      <c r="S52" s="1795">
        <f ca="1">HLOOKUP(DATE(S$7,12,31),Idc_Table,IDC!$BB$90)*$A50-SUM($D52:R52)</f>
        <v>0</v>
      </c>
      <c r="T52" s="1795">
        <f ca="1">HLOOKUP(DATE(T$7,12,31),Idc_Table,IDC!$BB$90)*$A50-SUM($D52:S52)</f>
        <v>0</v>
      </c>
      <c r="U52" s="1795">
        <f ca="1">HLOOKUP(DATE(U$7,12,31),Idc_Table,IDC!$BB$90)*$A50-SUM($D52:T52)</f>
        <v>0</v>
      </c>
      <c r="V52" s="1795">
        <f ca="1">HLOOKUP(DATE(V$7,12,31),Idc_Table,IDC!$BB$90)*$A50-SUM($D52:U52)</f>
        <v>0</v>
      </c>
      <c r="W52" s="1795">
        <f ca="1">HLOOKUP(DATE(W$7,12,31),Idc_Table,IDC!$BB$90)*$A50-SUM($D52:V52)</f>
        <v>0</v>
      </c>
      <c r="X52" s="1795">
        <f ca="1">HLOOKUP(DATE(X$7,12,31),Idc_Table,IDC!$BB$90)*$A50-SUM($D52:W52)</f>
        <v>0</v>
      </c>
      <c r="Y52" s="1795">
        <f ca="1">HLOOKUP(DATE(Y$7,12,31),Idc_Table,IDC!$BB$90)*$A50-SUM($D52:X52)</f>
        <v>0</v>
      </c>
      <c r="Z52" s="1795">
        <f ca="1">HLOOKUP(DATE(Z$7,12,31),Idc_Table,IDC!$BB$90)*$A50-SUM($D52:Y52)</f>
        <v>0</v>
      </c>
      <c r="AA52" s="1795">
        <f ca="1">HLOOKUP(DATE(AA$7,12,31),Idc_Table,IDC!$BB$90)*$A50-SUM($D52:Z52)</f>
        <v>0</v>
      </c>
      <c r="AB52" s="1796">
        <f t="shared" ca="1" si="14"/>
        <v>5108.6306035707303</v>
      </c>
      <c r="AC52" s="1797">
        <f ca="1">IF('Project &amp; Investor Returns'!$I$3=0,F52+NPV(Disc,G52:AA52),E52+NPV(Disc,F52:AA52))</f>
        <v>3961.6487465213327</v>
      </c>
      <c r="AD52" s="1793"/>
      <c r="AG52" s="1799"/>
    </row>
    <row r="53" spans="1:33" s="1798" customFormat="1">
      <c r="A53" s="1792"/>
      <c r="B53" s="1793" t="s">
        <v>1949</v>
      </c>
      <c r="C53" s="1802">
        <f>Wh_Int_2</f>
        <v>0.25</v>
      </c>
      <c r="D53" s="1794" t="s">
        <v>486</v>
      </c>
      <c r="E53" s="1795">
        <f ca="1">$C$53*-E52</f>
        <v>0</v>
      </c>
      <c r="F53" s="1795">
        <f t="shared" ref="F53:AA53" ca="1" si="15">$C$53*-F52</f>
        <v>-22.6926309233674</v>
      </c>
      <c r="G53" s="1795">
        <f t="shared" ca="1" si="15"/>
        <v>-610.11917298588901</v>
      </c>
      <c r="H53" s="1795">
        <f t="shared" ca="1" si="15"/>
        <v>-644.34584698342621</v>
      </c>
      <c r="I53" s="1795">
        <f t="shared" ca="1" si="15"/>
        <v>0</v>
      </c>
      <c r="J53" s="1795">
        <f t="shared" ca="1" si="15"/>
        <v>0</v>
      </c>
      <c r="K53" s="1795">
        <f t="shared" ca="1" si="15"/>
        <v>0</v>
      </c>
      <c r="L53" s="1795">
        <f t="shared" ca="1" si="15"/>
        <v>0</v>
      </c>
      <c r="M53" s="1795">
        <f t="shared" ca="1" si="15"/>
        <v>0</v>
      </c>
      <c r="N53" s="1795">
        <f t="shared" ca="1" si="15"/>
        <v>0</v>
      </c>
      <c r="O53" s="1795">
        <f t="shared" ca="1" si="15"/>
        <v>0</v>
      </c>
      <c r="P53" s="1795">
        <f t="shared" ca="1" si="15"/>
        <v>0</v>
      </c>
      <c r="Q53" s="1795">
        <f t="shared" ca="1" si="15"/>
        <v>0</v>
      </c>
      <c r="R53" s="1795">
        <f t="shared" ca="1" si="15"/>
        <v>0</v>
      </c>
      <c r="S53" s="1795">
        <f t="shared" ca="1" si="15"/>
        <v>0</v>
      </c>
      <c r="T53" s="1795">
        <f t="shared" ca="1" si="15"/>
        <v>0</v>
      </c>
      <c r="U53" s="1795">
        <f t="shared" ca="1" si="15"/>
        <v>0</v>
      </c>
      <c r="V53" s="1795">
        <f t="shared" ca="1" si="15"/>
        <v>0</v>
      </c>
      <c r="W53" s="1795">
        <f t="shared" ca="1" si="15"/>
        <v>0</v>
      </c>
      <c r="X53" s="1795">
        <f t="shared" ca="1" si="15"/>
        <v>0</v>
      </c>
      <c r="Y53" s="1795">
        <f t="shared" ca="1" si="15"/>
        <v>0</v>
      </c>
      <c r="Z53" s="1795">
        <f t="shared" ca="1" si="15"/>
        <v>0</v>
      </c>
      <c r="AA53" s="1795">
        <f t="shared" ca="1" si="15"/>
        <v>0</v>
      </c>
      <c r="AB53" s="1796">
        <f ca="1">SUM(E53:AA53)</f>
        <v>-1277.1576508926826</v>
      </c>
      <c r="AC53" s="1797">
        <f ca="1">IF('Project &amp; Investor Returns'!$I$3=0,F53+NPV(Disc,G53:AA53),E53+NPV(Disc,F53:AA53))</f>
        <v>-990.41218663033317</v>
      </c>
      <c r="AD53" s="1793"/>
      <c r="AG53" s="1799"/>
    </row>
    <row r="54" spans="1:33" s="1798" customFormat="1">
      <c r="A54" s="1792"/>
      <c r="B54" s="1793" t="s">
        <v>33</v>
      </c>
      <c r="C54" s="1793"/>
      <c r="D54" s="1794" t="s">
        <v>486</v>
      </c>
      <c r="E54" s="1795">
        <f ca="1">-PLRisk!E67</f>
        <v>0</v>
      </c>
      <c r="F54" s="1795">
        <f ca="1">-PLRisk!F67</f>
        <v>-115.17133927228535</v>
      </c>
      <c r="G54" s="1795">
        <f ca="1">-PLRisk!G67</f>
        <v>-413.46913926743701</v>
      </c>
      <c r="H54" s="1795">
        <f ca="1">-PLRisk!H67</f>
        <v>-355.8834696312943</v>
      </c>
      <c r="I54" s="1795">
        <f ca="1">-PLRisk!I67</f>
        <v>0</v>
      </c>
      <c r="J54" s="1795">
        <f ca="1">-PLRisk!J67</f>
        <v>0</v>
      </c>
      <c r="K54" s="1795">
        <f ca="1">-PLRisk!K67</f>
        <v>0</v>
      </c>
      <c r="L54" s="1795">
        <f ca="1">-PLRisk!L67</f>
        <v>0</v>
      </c>
      <c r="M54" s="1795">
        <f ca="1">-PLRisk!M67</f>
        <v>0</v>
      </c>
      <c r="N54" s="1795">
        <f ca="1">-PLRisk!N67</f>
        <v>0</v>
      </c>
      <c r="O54" s="1795">
        <f ca="1">-PLRisk!O67</f>
        <v>0</v>
      </c>
      <c r="P54" s="1795">
        <f ca="1">-PLRisk!P67</f>
        <v>0</v>
      </c>
      <c r="Q54" s="1795">
        <f ca="1">-PLRisk!Q67</f>
        <v>0</v>
      </c>
      <c r="R54" s="1795">
        <f ca="1">-PLRisk!R67</f>
        <v>0</v>
      </c>
      <c r="S54" s="1795">
        <f ca="1">-PLRisk!S67</f>
        <v>0</v>
      </c>
      <c r="T54" s="1795">
        <f ca="1">-PLRisk!T67</f>
        <v>0</v>
      </c>
      <c r="U54" s="1795">
        <f ca="1">-PLRisk!U67</f>
        <v>0</v>
      </c>
      <c r="V54" s="1795">
        <f ca="1">-PLRisk!V67</f>
        <v>0</v>
      </c>
      <c r="W54" s="1795">
        <f ca="1">-PLRisk!W67</f>
        <v>0</v>
      </c>
      <c r="X54" s="1795">
        <f ca="1">-PLRisk!X67</f>
        <v>0</v>
      </c>
      <c r="Y54" s="1795">
        <f ca="1">-PLRisk!Y67</f>
        <v>0</v>
      </c>
      <c r="Z54" s="1795">
        <f ca="1">-PLRisk!Z67</f>
        <v>0</v>
      </c>
      <c r="AA54" s="1795">
        <f ca="1">-PLRisk!AA67</f>
        <v>0</v>
      </c>
      <c r="AB54" s="1796">
        <f t="shared" ca="1" si="14"/>
        <v>-884.52394817101663</v>
      </c>
      <c r="AC54" s="1797">
        <f ca="1">IF('Project &amp; Investor Returns'!$I$3=0,F54+NPV(Disc,G54:AA54),E54+NPV(Disc,F54:AA54))</f>
        <v>-713.93678335077152</v>
      </c>
      <c r="AD54" s="1793"/>
      <c r="AG54" s="1799"/>
    </row>
    <row r="55" spans="1:33" s="1807" customFormat="1">
      <c r="A55" s="1801"/>
      <c r="B55" s="1793" t="s">
        <v>581</v>
      </c>
      <c r="C55" s="1802">
        <f>USTax</f>
        <v>0.37</v>
      </c>
      <c r="D55" s="1803"/>
      <c r="E55" s="1804">
        <f t="shared" ref="E55:AA55" ca="1" si="16">-SUM(E52:E54)*USTax</f>
        <v>0</v>
      </c>
      <c r="F55" s="1804">
        <f t="shared" ca="1" si="16"/>
        <v>17.424575205807766</v>
      </c>
      <c r="G55" s="1804">
        <f t="shared" ca="1" si="16"/>
        <v>-524.24870048538514</v>
      </c>
      <c r="H55" s="1804">
        <f t="shared" ca="1" si="16"/>
        <v>-583.54700638802422</v>
      </c>
      <c r="I55" s="1804">
        <f t="shared" ca="1" si="16"/>
        <v>0</v>
      </c>
      <c r="J55" s="1804">
        <f t="shared" ca="1" si="16"/>
        <v>0</v>
      </c>
      <c r="K55" s="1804">
        <f t="shared" ca="1" si="16"/>
        <v>0</v>
      </c>
      <c r="L55" s="1804">
        <f t="shared" ca="1" si="16"/>
        <v>0</v>
      </c>
      <c r="M55" s="1804">
        <f t="shared" ca="1" si="16"/>
        <v>0</v>
      </c>
      <c r="N55" s="1804">
        <f t="shared" ca="1" si="16"/>
        <v>0</v>
      </c>
      <c r="O55" s="1804">
        <f t="shared" ca="1" si="16"/>
        <v>0</v>
      </c>
      <c r="P55" s="1804">
        <f t="shared" ca="1" si="16"/>
        <v>0</v>
      </c>
      <c r="Q55" s="1804">
        <f t="shared" ca="1" si="16"/>
        <v>0</v>
      </c>
      <c r="R55" s="1804">
        <f t="shared" ca="1" si="16"/>
        <v>0</v>
      </c>
      <c r="S55" s="1804">
        <f t="shared" ca="1" si="16"/>
        <v>0</v>
      </c>
      <c r="T55" s="1804">
        <f t="shared" ca="1" si="16"/>
        <v>0</v>
      </c>
      <c r="U55" s="1804">
        <f t="shared" ca="1" si="16"/>
        <v>0</v>
      </c>
      <c r="V55" s="1804">
        <f t="shared" ca="1" si="16"/>
        <v>0</v>
      </c>
      <c r="W55" s="1804">
        <f t="shared" ca="1" si="16"/>
        <v>0</v>
      </c>
      <c r="X55" s="1804">
        <f t="shared" ca="1" si="16"/>
        <v>0</v>
      </c>
      <c r="Y55" s="1804">
        <f t="shared" ca="1" si="16"/>
        <v>0</v>
      </c>
      <c r="Z55" s="1804">
        <f t="shared" ca="1" si="16"/>
        <v>0</v>
      </c>
      <c r="AA55" s="1804">
        <f t="shared" ca="1" si="16"/>
        <v>0</v>
      </c>
      <c r="AB55" s="1805">
        <f t="shared" ca="1" si="14"/>
        <v>-1090.3711316676017</v>
      </c>
      <c r="AC55" s="1806">
        <f ca="1">IF('Project &amp; Investor Returns'!$I$3=0,F55+NPV(Disc,G55:AA55),E55+NPV(Disc,F55:AA55))</f>
        <v>-835.2009173198843</v>
      </c>
      <c r="AD55" s="1793"/>
      <c r="AG55" s="1799"/>
    </row>
    <row r="56" spans="1:33" s="81" customFormat="1">
      <c r="A56" s="458"/>
      <c r="B56" s="15" t="s">
        <v>171</v>
      </c>
      <c r="C56" s="15"/>
      <c r="D56" s="15"/>
      <c r="E56" s="37">
        <f t="shared" ref="E56:AA56" ca="1" si="17">SUM(E49:E55)</f>
        <v>0</v>
      </c>
      <c r="F56" s="37">
        <f t="shared" ca="1" si="17"/>
        <v>-76345.986046285616</v>
      </c>
      <c r="G56" s="37">
        <f t="shared" ca="1" si="17"/>
        <v>-25575.7718209792</v>
      </c>
      <c r="H56" s="37">
        <f t="shared" ca="1" si="17"/>
        <v>56154.71622093318</v>
      </c>
      <c r="I56" s="37">
        <f t="shared" ca="1" si="17"/>
        <v>8455.9751150301854</v>
      </c>
      <c r="J56" s="37">
        <f t="shared" ca="1" si="17"/>
        <v>1061.1203855360593</v>
      </c>
      <c r="K56" s="37">
        <f t="shared" ca="1" si="17"/>
        <v>3452.0654066100492</v>
      </c>
      <c r="L56" s="37">
        <f t="shared" ca="1" si="17"/>
        <v>-3962.8403251312211</v>
      </c>
      <c r="M56" s="37">
        <f t="shared" ca="1" si="17"/>
        <v>6868.3492285031434</v>
      </c>
      <c r="N56" s="37">
        <f t="shared" ca="1" si="17"/>
        <v>7403.4282526824536</v>
      </c>
      <c r="O56" s="37">
        <f t="shared" ca="1" si="17"/>
        <v>5920.7864730042129</v>
      </c>
      <c r="P56" s="37">
        <f t="shared" ca="1" si="17"/>
        <v>5125.6596591302659</v>
      </c>
      <c r="Q56" s="37">
        <f t="shared" ca="1" si="17"/>
        <v>6168.3424704407307</v>
      </c>
      <c r="R56" s="37">
        <f t="shared" ca="1" si="17"/>
        <v>6667.8013607465628</v>
      </c>
      <c r="S56" s="37">
        <f t="shared" ca="1" si="17"/>
        <v>4290.750732806111</v>
      </c>
      <c r="T56" s="37">
        <f t="shared" ca="1" si="17"/>
        <v>3424.4925800999572</v>
      </c>
      <c r="U56" s="37">
        <f t="shared" ca="1" si="17"/>
        <v>11923.184353413948</v>
      </c>
      <c r="V56" s="37">
        <f t="shared" ca="1" si="17"/>
        <v>4883.6763738908912</v>
      </c>
      <c r="W56" s="37">
        <f t="shared" ca="1" si="17"/>
        <v>-860.92135037416494</v>
      </c>
      <c r="X56" s="37">
        <f t="shared" ca="1" si="17"/>
        <v>3441.7093461069844</v>
      </c>
      <c r="Y56" s="37">
        <f t="shared" ca="1" si="17"/>
        <v>2690.7971598905397</v>
      </c>
      <c r="Z56" s="37">
        <f t="shared" ca="1" si="17"/>
        <v>3468.708820053932</v>
      </c>
      <c r="AA56" s="37">
        <f t="shared" ca="1" si="17"/>
        <v>3437.8938598862046</v>
      </c>
      <c r="AB56" s="435">
        <f t="shared" ca="1" si="14"/>
        <v>38093.938255995199</v>
      </c>
      <c r="AC56" s="435">
        <f ca="1">SUM(AC49:AC55)</f>
        <v>-42511.008470014414</v>
      </c>
      <c r="AD56" s="15"/>
    </row>
    <row r="57" spans="1:33" s="81" customFormat="1">
      <c r="A57" s="458"/>
      <c r="B57" s="15"/>
      <c r="C57" s="15"/>
      <c r="D57" s="15"/>
      <c r="E57" s="1331">
        <f ca="1">SUM(E50:E55)</f>
        <v>0</v>
      </c>
      <c r="F57" s="1331">
        <f t="shared" ref="F57:AA57" ca="1" si="18">SUM(F50:F55)</f>
        <v>-17305.369762139177</v>
      </c>
      <c r="G57" s="1331">
        <f t="shared" ca="1" si="18"/>
        <v>-35214.179874646492</v>
      </c>
      <c r="H57" s="1331">
        <f t="shared" ca="1" si="18"/>
        <v>54376.127509625097</v>
      </c>
      <c r="I57" s="1331">
        <f t="shared" ca="1" si="18"/>
        <v>0</v>
      </c>
      <c r="J57" s="1331">
        <f t="shared" ca="1" si="18"/>
        <v>0</v>
      </c>
      <c r="K57" s="1331">
        <f t="shared" ca="1" si="18"/>
        <v>0</v>
      </c>
      <c r="L57" s="1331">
        <f t="shared" ca="1" si="18"/>
        <v>0</v>
      </c>
      <c r="M57" s="1331">
        <f t="shared" ca="1" si="18"/>
        <v>0</v>
      </c>
      <c r="N57" s="1331">
        <f t="shared" ca="1" si="18"/>
        <v>0</v>
      </c>
      <c r="O57" s="1331">
        <f t="shared" ca="1" si="18"/>
        <v>0</v>
      </c>
      <c r="P57" s="1331">
        <f t="shared" ca="1" si="18"/>
        <v>0</v>
      </c>
      <c r="Q57" s="1331">
        <f t="shared" ca="1" si="18"/>
        <v>0</v>
      </c>
      <c r="R57" s="1331">
        <f t="shared" ca="1" si="18"/>
        <v>0</v>
      </c>
      <c r="S57" s="1331">
        <f t="shared" ca="1" si="18"/>
        <v>0</v>
      </c>
      <c r="T57" s="1331">
        <f t="shared" ca="1" si="18"/>
        <v>0</v>
      </c>
      <c r="U57" s="1331">
        <f t="shared" ca="1" si="18"/>
        <v>0</v>
      </c>
      <c r="V57" s="1331">
        <f t="shared" ca="1" si="18"/>
        <v>0</v>
      </c>
      <c r="W57" s="1331">
        <f t="shared" ca="1" si="18"/>
        <v>0</v>
      </c>
      <c r="X57" s="1331">
        <f t="shared" ca="1" si="18"/>
        <v>0</v>
      </c>
      <c r="Y57" s="1331">
        <f t="shared" ca="1" si="18"/>
        <v>0</v>
      </c>
      <c r="Z57" s="1331">
        <f t="shared" ca="1" si="18"/>
        <v>0</v>
      </c>
      <c r="AA57" s="1331">
        <f t="shared" ca="1" si="18"/>
        <v>0</v>
      </c>
      <c r="AB57" s="1333">
        <f ca="1">SUM(AB50:AB55)</f>
        <v>1856.5778728394289</v>
      </c>
      <c r="AC57" s="1333">
        <f ca="1">SUM(AC50:AC55)</f>
        <v>-8498.609322342716</v>
      </c>
      <c r="AD57" s="15"/>
    </row>
    <row r="58" spans="1:33">
      <c r="A58" s="20"/>
      <c r="B58" s="15" t="s">
        <v>472</v>
      </c>
      <c r="E58" s="221">
        <f ca="1">$E56</f>
        <v>0</v>
      </c>
      <c r="F58" s="221">
        <f ca="1">IF($I$3=0,$F56,$E56+NPV(Disc,$F56:F56))</f>
        <v>-76345.986046285616</v>
      </c>
      <c r="G58" s="37">
        <f ca="1">IF($I$3=0,$F56+NPV(Disc, $G56:G56),$E56+NPV(Disc,$F56:G56))</f>
        <v>-97838.231273999234</v>
      </c>
      <c r="H58" s="37">
        <f ca="1">IF($I$3=0,$F56+NPV(Disc, $G56:H56),$E56+NPV(Disc,$F56:H56))</f>
        <v>-58183.746265219357</v>
      </c>
      <c r="I58" s="37">
        <f ca="1">IF($I$3=0,$F56+NPV(Disc, $G56:I56),$E56+NPV(Disc,$F56:I56))</f>
        <v>-53165.836907686811</v>
      </c>
      <c r="J58" s="37">
        <f ca="1">IF($I$3=0,$F56+NPV(Disc, $G56:J56),$E56+NPV(Disc,$F56:J56))</f>
        <v>-52636.689329938075</v>
      </c>
      <c r="K58" s="37">
        <f ca="1">IF($I$3=0,$F56+NPV(Disc, $G56:K56),$E56+NPV(Disc,$F56:K56))</f>
        <v>-51190.103492885442</v>
      </c>
      <c r="L58" s="37">
        <f ca="1">IF($I$3=0,$F56+NPV(Disc, $G56:L56),$E56+NPV(Disc,$F56:L56))</f>
        <v>-52585.587312504154</v>
      </c>
      <c r="M58" s="37">
        <f ca="1">IF($I$3=0,$F56+NPV(Disc, $G56:M56),$E56+NPV(Disc,$F56:M56))</f>
        <v>-50553.119673538895</v>
      </c>
      <c r="N58" s="37">
        <f ca="1">IF($I$3=0,$F56+NPV(Disc, $G56:N56),$E56+NPV(Disc,$F56:N56))</f>
        <v>-48712.105293281944</v>
      </c>
      <c r="O58" s="37">
        <f ca="1">IF($I$3=0,$F56+NPV(Disc, $G56:O56),$E56+NPV(Disc,$F56:O56))</f>
        <v>-47474.85733315791</v>
      </c>
      <c r="P58" s="37">
        <f ca="1">IF($I$3=0,$F56+NPV(Disc, $G56:P56),$E56+NPV(Disc,$F56:P56))</f>
        <v>-46574.779322149698</v>
      </c>
      <c r="Q58" s="37">
        <f ca="1">IF($I$3=0,$F56+NPV(Disc, $G56:Q56),$E56+NPV(Disc,$F56:Q56))</f>
        <v>-45664.54773447277</v>
      </c>
      <c r="R58" s="37">
        <f ca="1">IF($I$3=0,$F56+NPV(Disc, $G56:R56),$E56+NPV(Disc,$F56:R56))</f>
        <v>-44837.712230746489</v>
      </c>
      <c r="S58" s="37">
        <f ca="1">IF($I$3=0,$F56+NPV(Disc, $G56:S56),$E56+NPV(Disc,$F56:S56))</f>
        <v>-44390.593578794258</v>
      </c>
      <c r="T58" s="37">
        <f ca="1">IF($I$3=0,$F56+NPV(Disc, $G56:T56),$E56+NPV(Disc,$F56:T56))</f>
        <v>-44090.719608252228</v>
      </c>
      <c r="U58" s="37">
        <f ca="1">IF($I$3=0,$F56+NPV(Disc, $G56:U56),$E56+NPV(Disc,$F56:U56))</f>
        <v>-43213.339390677604</v>
      </c>
      <c r="V58" s="37">
        <f ca="1">IF($I$3=0,$F56+NPV(Disc, $G56:V56),$E56+NPV(Disc,$F56:V56))</f>
        <v>-42911.347351542383</v>
      </c>
      <c r="W58" s="37">
        <f ca="1">IF($I$3=0,$F56+NPV(Disc, $G56:W56),$E56+NPV(Disc,$F56:W56))</f>
        <v>-42956.084174053038</v>
      </c>
      <c r="X58" s="37">
        <f ca="1">IF($I$3=0,$F56+NPV(Disc, $G56:X56),$E56+NPV(Disc,$F56:X56))</f>
        <v>-42805.79458874432</v>
      </c>
      <c r="Y58" s="37">
        <f ca="1">IF($I$3=0,$F56+NPV(Disc, $G56:Y56),$E56+NPV(Disc,$F56:Y56))</f>
        <v>-42707.055595641723</v>
      </c>
      <c r="Z58" s="37">
        <f ca="1">IF($I$3=0,$F56+NPV(Disc, $G56:Z56),$E56+NPV(Disc,$F56:Z56))</f>
        <v>-42600.093816832326</v>
      </c>
      <c r="AA58" s="37">
        <f ca="1">IF($I$3=0,$F56+NPV(Disc, $G56:AA56),$E56+NPV(Disc,$F56:AA56))</f>
        <v>-42511.008470014422</v>
      </c>
      <c r="AB58" s="466"/>
      <c r="AC58" s="435">
        <f ca="1">AC56</f>
        <v>-42511.008470014414</v>
      </c>
      <c r="AD58" s="1331">
        <f ca="1">NPV(Disc,F57:AA57)+E57</f>
        <v>-7141.6885061703497</v>
      </c>
    </row>
    <row r="59" spans="1:33">
      <c r="A59" s="20"/>
      <c r="B59" s="15" t="s">
        <v>473</v>
      </c>
      <c r="E59" s="32" t="e">
        <f ca="1">IRR($E56:E56,-0.9)</f>
        <v>#NUM!</v>
      </c>
      <c r="F59" s="32" t="e">
        <f ca="1">IRR($E56:F56,-0.9)</f>
        <v>#NUM!</v>
      </c>
      <c r="G59" s="32" t="e">
        <f ca="1">IRR($E56:G56,-0.9)</f>
        <v>#NUM!</v>
      </c>
      <c r="H59" s="32">
        <f ca="1">IRR($E56:H56,-0.9)</f>
        <v>-0.29366542131859169</v>
      </c>
      <c r="I59" s="32">
        <f ca="1">IRR($E56:I56,-0.9)</f>
        <v>-0.21623596065603259</v>
      </c>
      <c r="J59" s="32">
        <f ca="1">IRR($E56:J56,-0.9)</f>
        <v>-0.20570032274753972</v>
      </c>
      <c r="K59" s="32">
        <f ca="1">IRR($E56:K56,-0.9)</f>
        <v>-0.16948644634753662</v>
      </c>
      <c r="L59" s="32">
        <f ca="1">IRR($E56:L56,-0.9)</f>
        <v>-0.53618376162463099</v>
      </c>
      <c r="M59" s="32">
        <f ca="1">IRR($E56:M56,-0.9)</f>
        <v>-0.13274655762996168</v>
      </c>
      <c r="N59" s="32">
        <f ca="1">IRR($E56:N56,-0.9)</f>
        <v>-8.0055425389455911E-2</v>
      </c>
      <c r="O59" s="32">
        <f ca="1">IRR($E56:O56,-0.9)</f>
        <v>-5.1093199934790674E-2</v>
      </c>
      <c r="P59" s="32">
        <f ca="1">IRR($E56:P56,-0.9)</f>
        <v>-3.1523117982424902E-2</v>
      </c>
      <c r="Q59" s="32">
        <f ca="1">IRR($E56:Q56,-0.9)</f>
        <v>-1.2837063944242215E-2</v>
      </c>
      <c r="R59" s="32">
        <f ca="1">IRR($E56:R56,-0.9)</f>
        <v>3.0082371690293925E-3</v>
      </c>
      <c r="S59" s="32">
        <f ca="1">IRR($E56:S56,-0.9)</f>
        <v>1.1413037730898705E-2</v>
      </c>
      <c r="T59" s="32">
        <f ca="1">IRR($E56:T56,-0.9)</f>
        <v>1.7276845320693419E-2</v>
      </c>
      <c r="U59" s="32">
        <f ca="1">IRR($E56:U56,-0.9)</f>
        <v>3.3475255318611966E-2</v>
      </c>
      <c r="V59" s="32">
        <f ca="1">IRR($E56:V56,-0.9)</f>
        <v>3.8712135557499923E-2</v>
      </c>
      <c r="W59" s="32">
        <f ca="1">IRR($E56:W56,-0.9)</f>
        <v>3.7860824568026925E-2</v>
      </c>
      <c r="X59" s="32">
        <f ca="1">IRR($E56:X56,-0.9)</f>
        <v>4.1046751000550261E-2</v>
      </c>
      <c r="Y59" s="32">
        <f ca="1">IRR($E56:Y56,-0.9)</f>
        <v>4.3286355702446822E-2</v>
      </c>
      <c r="Z59" s="32">
        <f ca="1">IRR($E56:Z56,-0.9)</f>
        <v>4.5883803934825204E-2</v>
      </c>
      <c r="AA59" s="32">
        <f ca="1">IRR($E56:AA56,-0.9)</f>
        <v>4.818470772114463E-2</v>
      </c>
      <c r="AB59" s="465"/>
      <c r="AC59" s="471">
        <f ca="1">IRR(E56:AA56,-0.9)</f>
        <v>4.818470772114463E-2</v>
      </c>
      <c r="AD59" s="1337">
        <f ca="1">IF(ISERROR(IRR(E57:AA57,-0.9)),"Infinite",IRR(E57:AA57,-0.9))</f>
        <v>2.6416099343065172E-2</v>
      </c>
    </row>
    <row r="60" spans="1:33" ht="12.75" customHeight="1">
      <c r="A60" s="20"/>
      <c r="C60" s="833" t="s">
        <v>498</v>
      </c>
      <c r="D60" s="833" t="s">
        <v>499</v>
      </c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465"/>
      <c r="AC60" s="430"/>
    </row>
    <row r="61" spans="1:33">
      <c r="A61" s="20"/>
      <c r="B61" s="243" t="str">
        <f ca="1">CONCATENATE("Enron NPV (w/ Bridge Loan) @ ",TEXT(Disc,"0.0%"))</f>
        <v>Enron NPV (w/ Bridge Loan) @ 19.0%</v>
      </c>
      <c r="C61" s="1329">
        <f ca="1">AC58</f>
        <v>-42511.008470014414</v>
      </c>
      <c r="D61" s="452">
        <f ca="1">AD58</f>
        <v>-7141.6885061703497</v>
      </c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465"/>
      <c r="AC61" s="430"/>
    </row>
    <row r="62" spans="1:33">
      <c r="A62" s="417"/>
      <c r="B62" s="253" t="s">
        <v>977</v>
      </c>
      <c r="C62" s="1330">
        <f ca="1">AC59</f>
        <v>4.818470772114463E-2</v>
      </c>
      <c r="D62" s="1339">
        <f ca="1">AD59</f>
        <v>2.6416099343065172E-2</v>
      </c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468"/>
      <c r="AC62" s="469"/>
    </row>
    <row r="63" spans="1:33">
      <c r="A63" s="20"/>
      <c r="AB63" s="430"/>
      <c r="AC63" s="430"/>
    </row>
    <row r="64" spans="1:33" s="81" customFormat="1">
      <c r="A64" s="458"/>
      <c r="B64" s="15" t="s">
        <v>233</v>
      </c>
      <c r="C64" s="15"/>
      <c r="D64" s="15"/>
      <c r="E64" s="37">
        <f t="shared" ref="E64:AA64" ca="1" si="19">E56</f>
        <v>0</v>
      </c>
      <c r="F64" s="37">
        <f t="shared" ca="1" si="19"/>
        <v>-76345.986046285616</v>
      </c>
      <c r="G64" s="37">
        <f t="shared" ca="1" si="19"/>
        <v>-25575.7718209792</v>
      </c>
      <c r="H64" s="37">
        <f t="shared" ca="1" si="19"/>
        <v>56154.71622093318</v>
      </c>
      <c r="I64" s="37">
        <f t="shared" ca="1" si="19"/>
        <v>8455.9751150301854</v>
      </c>
      <c r="J64" s="37">
        <f t="shared" ca="1" si="19"/>
        <v>1061.1203855360593</v>
      </c>
      <c r="K64" s="37">
        <f t="shared" ca="1" si="19"/>
        <v>3452.0654066100492</v>
      </c>
      <c r="L64" s="37">
        <f t="shared" ca="1" si="19"/>
        <v>-3962.8403251312211</v>
      </c>
      <c r="M64" s="37">
        <f t="shared" ca="1" si="19"/>
        <v>6868.3492285031434</v>
      </c>
      <c r="N64" s="37">
        <f t="shared" ca="1" si="19"/>
        <v>7403.4282526824536</v>
      </c>
      <c r="O64" s="37">
        <f t="shared" ca="1" si="19"/>
        <v>5920.7864730042129</v>
      </c>
      <c r="P64" s="37">
        <f t="shared" ca="1" si="19"/>
        <v>5125.6596591302659</v>
      </c>
      <c r="Q64" s="37">
        <f t="shared" ca="1" si="19"/>
        <v>6168.3424704407307</v>
      </c>
      <c r="R64" s="37">
        <f t="shared" ca="1" si="19"/>
        <v>6667.8013607465628</v>
      </c>
      <c r="S64" s="37">
        <f t="shared" ca="1" si="19"/>
        <v>4290.750732806111</v>
      </c>
      <c r="T64" s="37">
        <f t="shared" ca="1" si="19"/>
        <v>3424.4925800999572</v>
      </c>
      <c r="U64" s="37">
        <f t="shared" ca="1" si="19"/>
        <v>11923.184353413948</v>
      </c>
      <c r="V64" s="37">
        <f t="shared" ca="1" si="19"/>
        <v>4883.6763738908912</v>
      </c>
      <c r="W64" s="37">
        <f t="shared" ca="1" si="19"/>
        <v>-860.92135037416494</v>
      </c>
      <c r="X64" s="37">
        <f t="shared" ca="1" si="19"/>
        <v>3441.7093461069844</v>
      </c>
      <c r="Y64" s="37">
        <f t="shared" ca="1" si="19"/>
        <v>2690.7971598905397</v>
      </c>
      <c r="Z64" s="37">
        <f t="shared" ca="1" si="19"/>
        <v>3468.708820053932</v>
      </c>
      <c r="AA64" s="37">
        <f t="shared" ca="1" si="19"/>
        <v>3437.8938598862046</v>
      </c>
      <c r="AB64" s="435">
        <f t="shared" ref="AB64:AB75" ca="1" si="20">SUM(E64:AA64)</f>
        <v>38093.938255995199</v>
      </c>
      <c r="AC64" s="463">
        <f ca="1">IF('Project &amp; Investor Returns'!$I$3=0,F64+NPV(Disc,G64:AA64),E64+NPV(Disc,F64:AA64))</f>
        <v>-42511.008470014422</v>
      </c>
      <c r="AD64" s="15"/>
    </row>
    <row r="65" spans="1:33" s="1851" customFormat="1">
      <c r="A65" s="1846">
        <f>A50</f>
        <v>0.65625</v>
      </c>
      <c r="B65" s="1847" t="s">
        <v>1625</v>
      </c>
      <c r="C65" s="1847"/>
      <c r="D65" s="1847"/>
      <c r="E65" s="1848">
        <f ca="1">-HLOOKUP(DATE(E$7,12,31),Idc_Table,IDC!$BB$49)*$A65-SUM($D65:D65)</f>
        <v>0</v>
      </c>
      <c r="F65" s="1848">
        <f ca="1">-HLOOKUP(DATE(F$7,12,31),Idc_Table,IDC!$BB$49)*$A65-SUM($D65:E65)</f>
        <v>0</v>
      </c>
      <c r="G65" s="1848">
        <f ca="1">-HLOOKUP(DATE(G$7,12,31),Idc_Table,IDC!$BB$49)*$A65-SUM($D65:F65)</f>
        <v>0</v>
      </c>
      <c r="H65" s="1848">
        <f ca="1">-HLOOKUP(DATE(H$7,12,31),Idc_Table,IDC!$BB$49)*$A65-SUM($D65:G65)</f>
        <v>-24523.248426277434</v>
      </c>
      <c r="I65" s="1848">
        <f ca="1">-HLOOKUP(DATE(I$7,12,31),Idc_Table,IDC!$BB$49)*$A65-SUM($D65:H65)</f>
        <v>-8125.0664027204439</v>
      </c>
      <c r="J65" s="1848">
        <f ca="1">-HLOOKUP(DATE(J$7,12,31),Idc_Table,IDC!$BB$49)*$A65-SUM($D65:I65)</f>
        <v>0</v>
      </c>
      <c r="K65" s="1848">
        <f ca="1">-HLOOKUP(DATE(K$7,12,31),Idc_Table,IDC!$BB$49)*$A65-SUM($D65:J65)</f>
        <v>0</v>
      </c>
      <c r="L65" s="1848">
        <f ca="1">-HLOOKUP(DATE(L$7,12,31),Idc_Table,IDC!$BB$49)*$A65-SUM($D65:K65)</f>
        <v>0</v>
      </c>
      <c r="M65" s="1848">
        <f ca="1">-HLOOKUP(DATE(M$7,12,31),Idc_Table,IDC!$BB$49)*$A65-SUM($D65:L65)</f>
        <v>0</v>
      </c>
      <c r="N65" s="1848">
        <f ca="1">-HLOOKUP(DATE(N$7,12,31),Idc_Table,IDC!$BB$49)*$A65-SUM($D65:M65)</f>
        <v>0</v>
      </c>
      <c r="O65" s="1848">
        <f ca="1">-HLOOKUP(DATE(O$7,12,31),Idc_Table,IDC!$BB$49)*$A65-SUM($D65:N65)</f>
        <v>0</v>
      </c>
      <c r="P65" s="1848">
        <f ca="1">-HLOOKUP(DATE(P$7,12,31),Idc_Table,IDC!$BB$49)*$A65-SUM($D65:O65)</f>
        <v>0</v>
      </c>
      <c r="Q65" s="1848">
        <f ca="1">-HLOOKUP(DATE(Q$7,12,31),Idc_Table,IDC!$BB$49)*$A65-SUM($D65:P65)</f>
        <v>0</v>
      </c>
      <c r="R65" s="1848">
        <f ca="1">-HLOOKUP(DATE(R$7,12,31),Idc_Table,IDC!$BB$49)*$A65-SUM($D65:Q65)</f>
        <v>0</v>
      </c>
      <c r="S65" s="1848">
        <f ca="1">-HLOOKUP(DATE(S$7,12,31),Idc_Table,IDC!$BB$49)*$A65-SUM($D65:R65)</f>
        <v>0</v>
      </c>
      <c r="T65" s="1848">
        <f ca="1">-HLOOKUP(DATE(T$7,12,31),Idc_Table,IDC!$BB$49)*$A65-SUM($D65:S65)</f>
        <v>0</v>
      </c>
      <c r="U65" s="1848">
        <f ca="1">-HLOOKUP(DATE(U$7,12,31),Idc_Table,IDC!$BB$49)*$A65-SUM($D65:T65)</f>
        <v>0</v>
      </c>
      <c r="V65" s="1848">
        <f ca="1">-HLOOKUP(DATE(V$7,12,31),Idc_Table,IDC!$BB$49)*$A65-SUM($D65:U65)</f>
        <v>0</v>
      </c>
      <c r="W65" s="1848">
        <f ca="1">-HLOOKUP(DATE(W$7,12,31),Idc_Table,IDC!$BB$49)*$A65-SUM($D65:V65)</f>
        <v>0</v>
      </c>
      <c r="X65" s="1848">
        <f ca="1">-HLOOKUP(DATE(X$7,12,31),Idc_Table,IDC!$BB$49)*$A65-SUM($D65:W65)</f>
        <v>0</v>
      </c>
      <c r="Y65" s="1848">
        <f ca="1">-HLOOKUP(DATE(Y$7,12,31),Idc_Table,IDC!$BB$49)*$A65-SUM($D65:X65)</f>
        <v>0</v>
      </c>
      <c r="Z65" s="1848">
        <f ca="1">-HLOOKUP(DATE(Z$7,12,31),Idc_Table,IDC!$BB$49)*$A65-SUM($D65:Y65)</f>
        <v>0</v>
      </c>
      <c r="AA65" s="1848">
        <f ca="1">-HLOOKUP(DATE(AA$7,12,31),Idc_Table,IDC!$BB$49)*$A65-SUM($D65:Z65)</f>
        <v>0</v>
      </c>
      <c r="AB65" s="1849">
        <f t="shared" ca="1" si="20"/>
        <v>-32648.314828997878</v>
      </c>
      <c r="AC65" s="1850">
        <f ca="1">IF('Project &amp; Investor Returns'!$I$3=0,F65+NPV(Disc,G65:AA65),E65+NPV(Disc,F65:AA65))</f>
        <v>-22138.998177614452</v>
      </c>
      <c r="AD65" s="1847"/>
    </row>
    <row r="66" spans="1:33" s="1798" customFormat="1">
      <c r="A66" s="1808">
        <f>IF(Assm!$L$110=0,0,Assm!$L$108)</f>
        <v>0</v>
      </c>
      <c r="B66" s="1793" t="s">
        <v>1379</v>
      </c>
      <c r="C66" s="1793"/>
      <c r="D66" s="1793"/>
      <c r="E66" s="1795">
        <f>IF(AND(E$7=YEAR(Assm!$L$105),Assm!$L$110=1),Assm!$L$111,0)</f>
        <v>0</v>
      </c>
      <c r="F66" s="1795">
        <f>IF(AND(F$7=YEAR(Assm!$L$105),Assm!$L$110=1),Assm!$L$111,0)</f>
        <v>0</v>
      </c>
      <c r="G66" s="1795">
        <f>IF(AND(G$7=YEAR(Assm!$L$105),Assm!$L$110=1),Assm!$L$111,0)</f>
        <v>0</v>
      </c>
      <c r="H66" s="1795">
        <f>IF(AND(H$7=YEAR(Assm!$L$105),Assm!$L$110=1),Assm!$L$111,0)</f>
        <v>0</v>
      </c>
      <c r="I66" s="1795">
        <f>IF(AND(I$7=YEAR(Assm!$L$105),Assm!$L$110=1),Assm!$L$111,0)</f>
        <v>0</v>
      </c>
      <c r="J66" s="1795">
        <f>IF(AND(J$7=YEAR(Assm!$L$105),Assm!$L$110=1),Assm!$L$111,0)</f>
        <v>0</v>
      </c>
      <c r="K66" s="1795">
        <f>IF(AND(K$7=YEAR(Assm!$L$105),Assm!$L$110=1),Assm!$L$111,0)</f>
        <v>0</v>
      </c>
      <c r="L66" s="1795">
        <f>IF(AND(L$7=YEAR(Assm!$L$105),Assm!$L$110=1),Assm!$L$111,0)</f>
        <v>0</v>
      </c>
      <c r="M66" s="1795">
        <f>IF(AND(M$7=YEAR(Assm!$L$105),Assm!$L$110=1),Assm!$L$111,0)</f>
        <v>0</v>
      </c>
      <c r="N66" s="1795">
        <f>IF(AND(N$7=YEAR(Assm!$L$105),Assm!$L$110=1),Assm!$L$111,0)</f>
        <v>0</v>
      </c>
      <c r="O66" s="1795">
        <f>IF(AND(O$7=YEAR(Assm!$L$105),Assm!$L$110=1),Assm!$L$111,0)</f>
        <v>0</v>
      </c>
      <c r="P66" s="1795">
        <f>IF(AND(P$7=YEAR(Assm!$L$105),Assm!$L$110=1),Assm!$L$111,0)</f>
        <v>0</v>
      </c>
      <c r="Q66" s="1795">
        <f>IF(AND(Q$7=YEAR(Assm!$L$105),Assm!$L$110=1),Assm!$L$111,0)</f>
        <v>0</v>
      </c>
      <c r="R66" s="1795">
        <f>IF(AND(R$7=YEAR(Assm!$L$105),Assm!$L$110=1),Assm!$L$111,0)</f>
        <v>0</v>
      </c>
      <c r="S66" s="1795">
        <f>IF(AND(S$7=YEAR(Assm!$L$105),Assm!$L$110=1),Assm!$L$111,0)</f>
        <v>0</v>
      </c>
      <c r="T66" s="1795">
        <f>IF(AND(T$7=YEAR(Assm!$L$105),Assm!$L$110=1),Assm!$L$111,0)</f>
        <v>0</v>
      </c>
      <c r="U66" s="1795">
        <f>IF(AND(U$7=YEAR(Assm!$L$105),Assm!$L$110=1),Assm!$L$111,0)</f>
        <v>0</v>
      </c>
      <c r="V66" s="1795">
        <f>IF(AND(V$7=YEAR(Assm!$L$105),Assm!$L$110=1),Assm!$L$111,0)</f>
        <v>0</v>
      </c>
      <c r="W66" s="1795">
        <f>IF(AND(W$7=YEAR(Assm!$L$105),Assm!$L$110=1),Assm!$L$111,0)</f>
        <v>0</v>
      </c>
      <c r="X66" s="1795">
        <f>IF(AND(X$7=YEAR(Assm!$L$105),Assm!$L$110=1),Assm!$L$111,0)</f>
        <v>0</v>
      </c>
      <c r="Y66" s="1795">
        <f>IF(AND(Y$7=YEAR(Assm!$L$105),Assm!$L$110=1),Assm!$L$111,0)</f>
        <v>0</v>
      </c>
      <c r="Z66" s="1795">
        <f>IF(AND(Z$7=YEAR(Assm!$L$105),Assm!$L$110=1),Assm!$L$111,0)</f>
        <v>0</v>
      </c>
      <c r="AA66" s="1795">
        <f>IF(AND(AA$7=YEAR(Assm!$L$105),Assm!$L$110=1),Assm!$L$111,0)</f>
        <v>0</v>
      </c>
      <c r="AB66" s="1796">
        <f>SUM(E66:AA66)</f>
        <v>0</v>
      </c>
      <c r="AC66" s="1797">
        <f ca="1">IF('Project &amp; Investor Returns'!$I$3=0,F66+NPV(Disc,G66:AA66),E66+NPV(Disc,F66:AA66))</f>
        <v>0</v>
      </c>
      <c r="AD66" s="1793"/>
    </row>
    <row r="67" spans="1:33" s="1798" customFormat="1">
      <c r="A67" s="1808"/>
      <c r="B67" s="1793" t="s">
        <v>152</v>
      </c>
      <c r="C67" s="1793"/>
      <c r="D67" s="1793"/>
      <c r="E67" s="1800">
        <f ca="1">IF(E$7&lt;YEAR(Startops1),0,-HLOOKUP(E$7,CF_Table,CF!$AB$71)*($A65-$A66))</f>
        <v>0</v>
      </c>
      <c r="F67" s="1800">
        <f ca="1">IF(F$7&lt;YEAR(Startops1),0,-HLOOKUP(F$7,CF_Table,CF!$AB$71)*($A65-$A66))</f>
        <v>0</v>
      </c>
      <c r="G67" s="1800">
        <f ca="1">IF(G$7&lt;YEAR(Startops1),0,-HLOOKUP(G$7,CF_Table,CF!$AB$71)*($A65-$A66))</f>
        <v>0</v>
      </c>
      <c r="H67" s="1800">
        <f ca="1">IF(H$7&lt;YEAR(Startops1),0,-HLOOKUP(H$7,CF_Table,CF!$AB$71)*($A65-$A66))</f>
        <v>0</v>
      </c>
      <c r="I67" s="1800">
        <f ca="1">IF(I$7&lt;YEAR(Startops1),0,-HLOOKUP(I$7,CF_Table,CF!$AB$71)*($A65-$A66))</f>
        <v>0</v>
      </c>
      <c r="J67" s="1800">
        <f ca="1">IF(J$7&lt;YEAR(Startops1),0,-HLOOKUP(J$7,CF_Table,CF!$AB$71)*($A65-$A66))</f>
        <v>1462.394317699682</v>
      </c>
      <c r="K67" s="1800">
        <f ca="1">IF(K$7&lt;YEAR(Startops1),0,-HLOOKUP(K$7,CF_Table,CF!$AB$71)*($A65-$A66))</f>
        <v>1658.6841949929196</v>
      </c>
      <c r="L67" s="1800">
        <f ca="1">IF(L$7&lt;YEAR(Startops1),0,-HLOOKUP(L$7,CF_Table,CF!$AB$71)*($A65-$A66))</f>
        <v>1881.3210810658445</v>
      </c>
      <c r="M67" s="1800">
        <f ca="1">IF(M$7&lt;YEAR(Startops1),0,-HLOOKUP(M$7,CF_Table,CF!$AB$71)*($A65-$A66))</f>
        <v>2133.841403171908</v>
      </c>
      <c r="N67" s="1800">
        <f ca="1">IF(N$7&lt;YEAR(Startops1),0,-HLOOKUP(N$7,CF_Table,CF!$AB$71)*($A65-$A66))</f>
        <v>2420.2562655126558</v>
      </c>
      <c r="O67" s="1800">
        <f ca="1">IF(O$7&lt;YEAR(Startops1),0,-HLOOKUP(O$7,CF_Table,CF!$AB$71)*($A65-$A66))</f>
        <v>2745.1151627510917</v>
      </c>
      <c r="P67" s="1800">
        <f ca="1">IF(P$7&lt;YEAR(Startops1),0,-HLOOKUP(P$7,CF_Table,CF!$AB$71)*($A65-$A66))</f>
        <v>3113.5782454713544</v>
      </c>
      <c r="Q67" s="1800">
        <f ca="1">IF(Q$7&lt;YEAR(Startops1),0,-HLOOKUP(Q$7,CF_Table,CF!$AB$71)*($A65-$A66))</f>
        <v>3531.4982854697469</v>
      </c>
      <c r="R67" s="1800">
        <f ca="1">IF(R$7&lt;YEAR(Startops1),0,-HLOOKUP(R$7,CF_Table,CF!$AB$71)*($A65-$A66))</f>
        <v>4005.5136428369215</v>
      </c>
      <c r="S67" s="1800">
        <f ca="1">IF(S$7&lt;YEAR(Startops1),0,-HLOOKUP(S$7,CF_Table,CF!$AB$71)*($A65-$A66))</f>
        <v>4543.1537115467045</v>
      </c>
      <c r="T67" s="1800">
        <f ca="1">IF(T$7&lt;YEAR(Startops1),0,-HLOOKUP(T$7,CF_Table,CF!$AB$71)*($A65-$A66))</f>
        <v>5152.9585184790494</v>
      </c>
      <c r="U67" s="1800">
        <f ca="1">IF(U$7&lt;YEAR(Startops1),0,-HLOOKUP(U$7,CF_Table,CF!$AB$71)*($A65-$A66))</f>
        <v>0</v>
      </c>
      <c r="V67" s="1800">
        <f ca="1">IF(V$7&lt;YEAR(Startops1),0,-HLOOKUP(V$7,CF_Table,CF!$AB$71)*($A65-$A66))</f>
        <v>0</v>
      </c>
      <c r="W67" s="1800">
        <f ca="1">IF(W$7&lt;YEAR(Startops1),0,-HLOOKUP(W$7,CF_Table,CF!$AB$71)*($A65-$A66))</f>
        <v>0</v>
      </c>
      <c r="X67" s="1800">
        <f ca="1">IF(X$7&lt;YEAR(Startops1),0,-HLOOKUP(X$7,CF_Table,CF!$AB$71)*($A65-$A66))</f>
        <v>0</v>
      </c>
      <c r="Y67" s="1800">
        <f ca="1">IF(Y$7&lt;YEAR(Startops1),0,-HLOOKUP(Y$7,CF_Table,CF!$AB$71)*($A65-$A66))</f>
        <v>0</v>
      </c>
      <c r="Z67" s="1800">
        <f ca="1">IF(Z$7&lt;YEAR(Startops1),0,-HLOOKUP(Z$7,CF_Table,CF!$AB$71)*($A65-$A66))</f>
        <v>0</v>
      </c>
      <c r="AA67" s="1800">
        <f ca="1">IF(AA$7&lt;YEAR(Startops1),0,-HLOOKUP(AA$7,CF_Table,CF!$AB$71)*($A65-$A66))</f>
        <v>0</v>
      </c>
      <c r="AB67" s="1796">
        <f t="shared" ca="1" si="20"/>
        <v>32648.314828997878</v>
      </c>
      <c r="AC67" s="1797">
        <f ca="1">IF('Project &amp; Investor Returns'!$I$3=0,F67+NPV(Disc,G67:AA67),E67+NPV(Disc,F67:AA67))</f>
        <v>6382.9695946192223</v>
      </c>
      <c r="AD67" s="1793"/>
    </row>
    <row r="68" spans="1:33" s="1798" customFormat="1">
      <c r="A68" s="1792"/>
      <c r="B68" s="1793" t="s">
        <v>153</v>
      </c>
      <c r="C68" s="1793"/>
      <c r="D68" s="1794" t="s">
        <v>36</v>
      </c>
      <c r="E68" s="1800">
        <f ca="1">IF(E$7&lt;YEAR(Startops1),0,-HLOOKUP(E$7,CF_Table,CF!$AB$45)*($A65-$A66))</f>
        <v>0</v>
      </c>
      <c r="F68" s="1800">
        <f ca="1">IF(F$7&lt;YEAR(Startops1),0,-HLOOKUP(F$7,CF_Table,CF!$AB$45)*($A65-$A66))</f>
        <v>0</v>
      </c>
      <c r="G68" s="1800">
        <f ca="1">IF(G$7&lt;YEAR(Startops1),0,-HLOOKUP(G$7,CF_Table,CF!$AB$45)*($A65-$A66))</f>
        <v>0</v>
      </c>
      <c r="H68" s="1800">
        <f ca="1">IF(H$7&lt;YEAR(Startops1),0,-HLOOKUP(H$7,CF_Table,CF!$AB$45)*($A65-$A66))</f>
        <v>0</v>
      </c>
      <c r="I68" s="1800">
        <f ca="1">IF(I$7&lt;YEAR(Startops1),0,-HLOOKUP(I$7,CF_Table,CF!$AB$45)*($A65-$A66))</f>
        <v>1768.4503865707184</v>
      </c>
      <c r="J68" s="1800">
        <f ca="1">IF(J$7&lt;YEAR(Startops1),0,-HLOOKUP(J$7,CF_Table,CF!$AB$45)*($A65-$A66))</f>
        <v>4198.2491453723978</v>
      </c>
      <c r="K68" s="1800">
        <f ca="1">IF(K$7&lt;YEAR(Startops1),0,-HLOOKUP(K$7,CF_Table,CF!$AB$45)*($A65-$A66))</f>
        <v>4001.9592680791584</v>
      </c>
      <c r="L68" s="1800">
        <f ca="1">IF(L$7&lt;YEAR(Startops1),0,-HLOOKUP(L$7,CF_Table,CF!$AB$45)*($A65-$A66))</f>
        <v>3779.3223820062331</v>
      </c>
      <c r="M68" s="1800">
        <f ca="1">IF(M$7&lt;YEAR(Startops1),0,-HLOOKUP(M$7,CF_Table,CF!$AB$45)*($A65-$A66))</f>
        <v>3526.8020599001698</v>
      </c>
      <c r="N68" s="1800">
        <f ca="1">IF(N$7&lt;YEAR(Startops1),0,-HLOOKUP(N$7,CF_Table,CF!$AB$45)*($A65-$A66))</f>
        <v>3240.3871975594207</v>
      </c>
      <c r="O68" s="1800">
        <f ca="1">IF(O$7&lt;YEAR(Startops1),0,-HLOOKUP(O$7,CF_Table,CF!$AB$45)*($A65-$A66))</f>
        <v>2915.5283003209843</v>
      </c>
      <c r="P68" s="1800">
        <f ca="1">IF(P$7&lt;YEAR(Startops1),0,-HLOOKUP(P$7,CF_Table,CF!$AB$45)*($A65-$A66))</f>
        <v>2547.0652176007197</v>
      </c>
      <c r="Q68" s="1800">
        <f ca="1">IF(Q$7&lt;YEAR(Startops1),0,-HLOOKUP(Q$7,CF_Table,CF!$AB$45)*($A65-$A66))</f>
        <v>2129.1451776023268</v>
      </c>
      <c r="R68" s="1800">
        <f ca="1">IF(R$7&lt;YEAR(Startops1),0,-HLOOKUP(R$7,CF_Table,CF!$AB$45)*($A65-$A66))</f>
        <v>1655.1298202351502</v>
      </c>
      <c r="S68" s="1800">
        <f ca="1">IF(S$7&lt;YEAR(Startops1),0,-HLOOKUP(S$7,CF_Table,CF!$AB$45)*($A65-$A66))</f>
        <v>1117.4897515253647</v>
      </c>
      <c r="T68" s="1800">
        <f ca="1">IF(T$7&lt;YEAR(Startops1),0,-HLOOKUP(T$7,CF_Table,CF!$AB$45)*($A65-$A66))</f>
        <v>507.68494459300837</v>
      </c>
      <c r="U68" s="1800">
        <f ca="1">IF(U$7&lt;YEAR(Startops1),0,-HLOOKUP(U$7,CF_Table,CF!$AB$45)*($A65-$A66))</f>
        <v>0</v>
      </c>
      <c r="V68" s="1800">
        <f ca="1">IF(V$7&lt;YEAR(Startops1),0,-HLOOKUP(V$7,CF_Table,CF!$AB$45)*($A65-$A66))</f>
        <v>0</v>
      </c>
      <c r="W68" s="1800">
        <f ca="1">IF(W$7&lt;YEAR(Startops1),0,-HLOOKUP(W$7,CF_Table,CF!$AB$45)*($A65-$A66))</f>
        <v>0</v>
      </c>
      <c r="X68" s="1800">
        <f ca="1">IF(X$7&lt;YEAR(Startops1),0,-HLOOKUP(X$7,CF_Table,CF!$AB$45)*($A65-$A66))</f>
        <v>0</v>
      </c>
      <c r="Y68" s="1800">
        <f ca="1">IF(Y$7&lt;YEAR(Startops1),0,-HLOOKUP(Y$7,CF_Table,CF!$AB$45)*($A65-$A66))</f>
        <v>0</v>
      </c>
      <c r="Z68" s="1800">
        <f ca="1">IF(Z$7&lt;YEAR(Startops1),0,-HLOOKUP(Z$7,CF_Table,CF!$AB$45)*($A65-$A66))</f>
        <v>0</v>
      </c>
      <c r="AA68" s="1800">
        <f ca="1">IF(AA$7&lt;YEAR(Startops1),0,-HLOOKUP(AA$7,CF_Table,CF!$AB$45)*($A65-$A66))</f>
        <v>0</v>
      </c>
      <c r="AB68" s="1796">
        <f t="shared" ca="1" si="20"/>
        <v>31387.213651365651</v>
      </c>
      <c r="AC68" s="1797">
        <f ca="1">IF('Project &amp; Investor Returns'!$I$3=0,F68+NPV(Disc,G68:AA68),E68+NPV(Disc,F68:AA68))</f>
        <v>9737.127470875108</v>
      </c>
      <c r="AD68" s="1793"/>
      <c r="AG68" s="1799"/>
    </row>
    <row r="69" spans="1:33" s="1798" customFormat="1">
      <c r="A69" s="1792"/>
      <c r="B69" s="1793" t="s">
        <v>1953</v>
      </c>
      <c r="C69" s="1802">
        <f>Wh_Int</f>
        <v>0.15</v>
      </c>
      <c r="D69" s="1794" t="s">
        <v>36</v>
      </c>
      <c r="E69" s="1800">
        <f ca="1">$C$69*-E68</f>
        <v>0</v>
      </c>
      <c r="F69" s="1800">
        <f t="shared" ref="F69:AA69" ca="1" si="21">$C$69*-F68</f>
        <v>0</v>
      </c>
      <c r="G69" s="1800">
        <f t="shared" ca="1" si="21"/>
        <v>0</v>
      </c>
      <c r="H69" s="1800">
        <f t="shared" ca="1" si="21"/>
        <v>0</v>
      </c>
      <c r="I69" s="1800">
        <f t="shared" ca="1" si="21"/>
        <v>-265.26755798560777</v>
      </c>
      <c r="J69" s="1800">
        <f t="shared" ca="1" si="21"/>
        <v>-629.73737180585965</v>
      </c>
      <c r="K69" s="1800">
        <f t="shared" ca="1" si="21"/>
        <v>-600.29389021187376</v>
      </c>
      <c r="L69" s="1800">
        <f t="shared" ca="1" si="21"/>
        <v>-566.89835730093489</v>
      </c>
      <c r="M69" s="1800">
        <f t="shared" ca="1" si="21"/>
        <v>-529.02030898502539</v>
      </c>
      <c r="N69" s="1800">
        <f t="shared" ca="1" si="21"/>
        <v>-486.05807963391305</v>
      </c>
      <c r="O69" s="1800">
        <f t="shared" ca="1" si="21"/>
        <v>-437.32924504814764</v>
      </c>
      <c r="P69" s="1800">
        <f t="shared" ca="1" si="21"/>
        <v>-382.05978264010793</v>
      </c>
      <c r="Q69" s="1800">
        <f t="shared" ca="1" si="21"/>
        <v>-319.37177664034903</v>
      </c>
      <c r="R69" s="1800">
        <f t="shared" ca="1" si="21"/>
        <v>-248.26947303527251</v>
      </c>
      <c r="S69" s="1800">
        <f t="shared" ca="1" si="21"/>
        <v>-167.6234627288047</v>
      </c>
      <c r="T69" s="1800">
        <f t="shared" ca="1" si="21"/>
        <v>-76.152741688951252</v>
      </c>
      <c r="U69" s="1800">
        <f t="shared" ca="1" si="21"/>
        <v>0</v>
      </c>
      <c r="V69" s="1800">
        <f t="shared" ca="1" si="21"/>
        <v>0</v>
      </c>
      <c r="W69" s="1800">
        <f t="shared" ca="1" si="21"/>
        <v>0</v>
      </c>
      <c r="X69" s="1800">
        <f t="shared" ca="1" si="21"/>
        <v>0</v>
      </c>
      <c r="Y69" s="1800">
        <f t="shared" ca="1" si="21"/>
        <v>0</v>
      </c>
      <c r="Z69" s="1800">
        <f t="shared" ca="1" si="21"/>
        <v>0</v>
      </c>
      <c r="AA69" s="1800">
        <f t="shared" ca="1" si="21"/>
        <v>0</v>
      </c>
      <c r="AB69" s="1796">
        <f t="shared" ca="1" si="20"/>
        <v>-4708.0820477048483</v>
      </c>
      <c r="AC69" s="1797">
        <f ca="1">IF('Project &amp; Investor Returns'!$I$3=0,F69+NPV(Disc,G69:AA69),E69+NPV(Disc,F69:AA69))</f>
        <v>-1460.5691206312661</v>
      </c>
      <c r="AD69" s="1793"/>
      <c r="AG69" s="1799"/>
    </row>
    <row r="70" spans="1:33" s="1798" customFormat="1">
      <c r="A70" s="1792"/>
      <c r="B70" s="1793" t="s">
        <v>166</v>
      </c>
      <c r="C70" s="1793"/>
      <c r="D70" s="1794" t="s">
        <v>36</v>
      </c>
      <c r="E70" s="1795">
        <f ca="1">-PLRisk!E78</f>
        <v>0</v>
      </c>
      <c r="F70" s="1795">
        <f ca="1">-PLRisk!F78</f>
        <v>0</v>
      </c>
      <c r="G70" s="1795">
        <f ca="1">-PLRisk!G78</f>
        <v>0</v>
      </c>
      <c r="H70" s="1795">
        <f ca="1">-PLRisk!H78</f>
        <v>-163.48832284184957</v>
      </c>
      <c r="I70" s="1795">
        <f ca="1">-PLRisk!I78</f>
        <v>-299.399593614244</v>
      </c>
      <c r="J70" s="1795">
        <f ca="1">-PLRisk!J78</f>
        <v>-326.48314828997877</v>
      </c>
      <c r="K70" s="1795">
        <f ca="1">-PLRisk!K78</f>
        <v>-311.8592051129819</v>
      </c>
      <c r="L70" s="1795">
        <f ca="1">-PLRisk!L78</f>
        <v>-295.27236316305277</v>
      </c>
      <c r="M70" s="1795">
        <f ca="1">-PLRisk!M78</f>
        <v>-276.45915235239431</v>
      </c>
      <c r="N70" s="1795">
        <f ca="1">-PLRisk!N78</f>
        <v>-255.12073832067526</v>
      </c>
      <c r="O70" s="1795">
        <f ca="1">-PLRisk!O78</f>
        <v>-230.91817566554866</v>
      </c>
      <c r="P70" s="1795">
        <f ca="1">-PLRisk!P78</f>
        <v>-203.46702403803775</v>
      </c>
      <c r="Q70" s="1795">
        <f ca="1">-PLRisk!Q78</f>
        <v>-172.33124158332419</v>
      </c>
      <c r="R70" s="1795">
        <f ca="1">-PLRisk!R78</f>
        <v>-137.01625872862672</v>
      </c>
      <c r="S70" s="1795">
        <f ca="1">-PLRisk!S78</f>
        <v>-96.961122300257529</v>
      </c>
      <c r="T70" s="1795">
        <f ca="1">-PLRisk!T78</f>
        <v>-51.529585184790477</v>
      </c>
      <c r="U70" s="1795">
        <f ca="1">-PLRisk!U78</f>
        <v>0</v>
      </c>
      <c r="V70" s="1795">
        <f ca="1">-PLRisk!V78</f>
        <v>0</v>
      </c>
      <c r="W70" s="1795">
        <f ca="1">-PLRisk!W78</f>
        <v>0</v>
      </c>
      <c r="X70" s="1795">
        <f ca="1">-PLRisk!X78</f>
        <v>0</v>
      </c>
      <c r="Y70" s="1795">
        <f ca="1">-PLRisk!Y78</f>
        <v>0</v>
      </c>
      <c r="Z70" s="1795">
        <f ca="1">-PLRisk!Z78</f>
        <v>0</v>
      </c>
      <c r="AA70" s="1795">
        <f ca="1">-PLRisk!AA78</f>
        <v>0</v>
      </c>
      <c r="AB70" s="1796">
        <f t="shared" ca="1" si="20"/>
        <v>-2820.3059311957622</v>
      </c>
      <c r="AC70" s="1797">
        <f ca="1">IF('Project &amp; Investor Returns'!$I$3=0,F70+NPV(Disc,G70:AA70),E70+NPV(Disc,F70:AA70))</f>
        <v>-976.85798344700322</v>
      </c>
      <c r="AD70" s="1793"/>
      <c r="AG70" s="1799"/>
    </row>
    <row r="71" spans="1:33" s="1798" customFormat="1">
      <c r="A71" s="1792"/>
      <c r="B71" s="1793" t="s">
        <v>1071</v>
      </c>
      <c r="C71" s="1793"/>
      <c r="D71" s="1794"/>
      <c r="E71" s="1795">
        <f>IF(E7=YEAR(Assm!$AB$94),-Assm!$AB$99,0)</f>
        <v>0</v>
      </c>
      <c r="F71" s="1795">
        <f>IF(F7=YEAR(Assm!$AB$94),-Assm!$AB$99,0)</f>
        <v>0</v>
      </c>
      <c r="G71" s="1795">
        <f>IF(G7=YEAR(Assm!$AB$94),-Assm!$AB$99,0)</f>
        <v>0</v>
      </c>
      <c r="H71" s="1795">
        <f>IF(H7=YEAR(Assm!$AB$94),-Assm!$AB$99,0)</f>
        <v>0</v>
      </c>
      <c r="I71" s="1795">
        <f>IF(I7=YEAR(Assm!$AB$94),-Assm!$AB$99,0)</f>
        <v>0</v>
      </c>
      <c r="J71" s="1795">
        <f>IF(J7=YEAR(Assm!$AB$94),-Assm!$AB$99,0)</f>
        <v>0</v>
      </c>
      <c r="K71" s="1795">
        <f>IF(K7=YEAR(Assm!$AB$94),-Assm!$AB$99,0)</f>
        <v>0</v>
      </c>
      <c r="L71" s="1795">
        <f>IF(L7=YEAR(Assm!$AB$94),-Assm!$AB$99,0)</f>
        <v>0</v>
      </c>
      <c r="M71" s="1795">
        <f>IF(M7=YEAR(Assm!$AB$94),-Assm!$AB$99,0)</f>
        <v>0</v>
      </c>
      <c r="N71" s="1795">
        <f>IF(N7=YEAR(Assm!$AB$94),-Assm!$AB$99,0)</f>
        <v>0</v>
      </c>
      <c r="O71" s="1795">
        <f>IF(O7=YEAR(Assm!$AB$94),-Assm!$AB$99,0)</f>
        <v>0</v>
      </c>
      <c r="P71" s="1795">
        <f>IF(P7=YEAR(Assm!$AB$94),-Assm!$AB$99,0)</f>
        <v>0</v>
      </c>
      <c r="Q71" s="1795">
        <f>IF(Q7=YEAR(Assm!$AB$94),-Assm!$AB$99,0)</f>
        <v>0</v>
      </c>
      <c r="R71" s="1795">
        <f>IF(R7=YEAR(Assm!$AB$94),-Assm!$AB$99,0)</f>
        <v>0</v>
      </c>
      <c r="S71" s="1795">
        <f>IF(S7=YEAR(Assm!$AB$94),-Assm!$AB$99,0)</f>
        <v>0</v>
      </c>
      <c r="T71" s="1795">
        <f>IF(T7=YEAR(Assm!$AB$94),-Assm!$AB$99,0)</f>
        <v>0</v>
      </c>
      <c r="U71" s="1795">
        <f>IF(U7=YEAR(Assm!$AB$94),-Assm!$AB$99,0)</f>
        <v>0</v>
      </c>
      <c r="V71" s="1795">
        <f>IF(V7=YEAR(Assm!$AB$94),-Assm!$AB$99,0)</f>
        <v>0</v>
      </c>
      <c r="W71" s="1795">
        <f>IF(W7=YEAR(Assm!$AB$94),-Assm!$AB$99,0)</f>
        <v>0</v>
      </c>
      <c r="X71" s="1795">
        <f>IF(X7=YEAR(Assm!$AB$94),-Assm!$AB$99,0)</f>
        <v>0</v>
      </c>
      <c r="Y71" s="1795">
        <f>IF(Y7=YEAR(Assm!$AB$94),-Assm!$AB$99,0)</f>
        <v>0</v>
      </c>
      <c r="Z71" s="1795">
        <f>IF(Z7=YEAR(Assm!$AB$94),-Assm!$AB$99,0)</f>
        <v>0</v>
      </c>
      <c r="AA71" s="1795">
        <f>IF(AA7=YEAR(Assm!$AB$94),-Assm!$AB$99,0)</f>
        <v>0</v>
      </c>
      <c r="AB71" s="1796">
        <f>SUM(E71:AA71)</f>
        <v>0</v>
      </c>
      <c r="AC71" s="1797">
        <f ca="1">IF('Project &amp; Investor Returns'!$I$3=0,F71+NPV(Disc,G71:AA71),E71+NPV(Disc,F71:AA71))</f>
        <v>0</v>
      </c>
      <c r="AD71" s="1793"/>
      <c r="AG71" s="1799"/>
    </row>
    <row r="72" spans="1:33" s="1798" customFormat="1">
      <c r="A72" s="1792"/>
      <c r="B72" s="1793" t="s">
        <v>1074</v>
      </c>
      <c r="C72" s="1793"/>
      <c r="D72" s="1794" t="s">
        <v>1077</v>
      </c>
      <c r="E72" s="1795">
        <f>-PLRisk!E56</f>
        <v>0</v>
      </c>
      <c r="F72" s="1795">
        <f>-PLRisk!F56</f>
        <v>0</v>
      </c>
      <c r="G72" s="1795">
        <f>-PLRisk!G56</f>
        <v>0</v>
      </c>
      <c r="H72" s="1795">
        <f>-PLRisk!H56</f>
        <v>0</v>
      </c>
      <c r="I72" s="1795">
        <f>-PLRisk!I56</f>
        <v>0</v>
      </c>
      <c r="J72" s="1795">
        <f>-PLRisk!J56</f>
        <v>0</v>
      </c>
      <c r="K72" s="1795">
        <f>-PLRisk!K56</f>
        <v>0</v>
      </c>
      <c r="L72" s="1795">
        <f>-PLRisk!L56</f>
        <v>0</v>
      </c>
      <c r="M72" s="1795">
        <f>-PLRisk!M56</f>
        <v>0</v>
      </c>
      <c r="N72" s="1795">
        <f>-PLRisk!N56</f>
        <v>0</v>
      </c>
      <c r="O72" s="1795">
        <f>-PLRisk!O56</f>
        <v>0</v>
      </c>
      <c r="P72" s="1795">
        <f>-PLRisk!P56</f>
        <v>0</v>
      </c>
      <c r="Q72" s="1795">
        <f>-PLRisk!Q56</f>
        <v>0</v>
      </c>
      <c r="R72" s="1795">
        <f>-PLRisk!R56</f>
        <v>0</v>
      </c>
      <c r="S72" s="1795">
        <f>-PLRisk!S56</f>
        <v>0</v>
      </c>
      <c r="T72" s="1795">
        <f>-PLRisk!T56</f>
        <v>0</v>
      </c>
      <c r="U72" s="1795">
        <f>-PLRisk!U56</f>
        <v>0</v>
      </c>
      <c r="V72" s="1795">
        <f>-PLRisk!V56</f>
        <v>0</v>
      </c>
      <c r="W72" s="1795">
        <f>-PLRisk!W56</f>
        <v>0</v>
      </c>
      <c r="X72" s="1795">
        <f>-PLRisk!X56</f>
        <v>0</v>
      </c>
      <c r="Y72" s="1795">
        <f>-PLRisk!Y56</f>
        <v>0</v>
      </c>
      <c r="Z72" s="1795">
        <f>-PLRisk!Z56</f>
        <v>0</v>
      </c>
      <c r="AA72" s="1795">
        <f>-PLRisk!AA56</f>
        <v>0</v>
      </c>
      <c r="AB72" s="1796">
        <f>SUM(E72:AA72)</f>
        <v>0</v>
      </c>
      <c r="AC72" s="1797">
        <f ca="1">IF('Project &amp; Investor Returns'!$I$3=0,F72+NPV(Disc,G72:AA72),E72+NPV(Disc,F72:AA72))</f>
        <v>0</v>
      </c>
      <c r="AD72" s="1793"/>
      <c r="AG72" s="1799"/>
    </row>
    <row r="73" spans="1:33" s="1807" customFormat="1">
      <c r="A73" s="1801"/>
      <c r="B73" s="1793" t="s">
        <v>169</v>
      </c>
      <c r="C73" s="1802">
        <f>USTax</f>
        <v>0.37</v>
      </c>
      <c r="D73" s="1803"/>
      <c r="E73" s="1795">
        <f t="shared" ref="E73:AA73" ca="1" si="22">-SUM(E68:E70)*USTax</f>
        <v>0</v>
      </c>
      <c r="F73" s="1795">
        <f t="shared" ca="1" si="22"/>
        <v>0</v>
      </c>
      <c r="G73" s="1795">
        <f t="shared" ca="1" si="22"/>
        <v>0</v>
      </c>
      <c r="H73" s="1795">
        <f t="shared" ca="1" si="22"/>
        <v>60.49067945148434</v>
      </c>
      <c r="I73" s="1795">
        <f t="shared" ca="1" si="22"/>
        <v>-445.39979693922066</v>
      </c>
      <c r="J73" s="1795">
        <f t="shared" ca="1" si="22"/>
        <v>-1199.5505913523268</v>
      </c>
      <c r="K73" s="1795">
        <f t="shared" ca="1" si="22"/>
        <v>-1143.2282839190921</v>
      </c>
      <c r="L73" s="1795">
        <f t="shared" ca="1" si="22"/>
        <v>-1079.3461147706307</v>
      </c>
      <c r="M73" s="1795">
        <f t="shared" ca="1" si="22"/>
        <v>-1006.8893614682177</v>
      </c>
      <c r="N73" s="1795">
        <f t="shared" ca="1" si="22"/>
        <v>-924.70710045378792</v>
      </c>
      <c r="O73" s="1795">
        <f t="shared" ca="1" si="22"/>
        <v>-831.49392545469664</v>
      </c>
      <c r="P73" s="1795">
        <f t="shared" ca="1" si="22"/>
        <v>-725.76921204135226</v>
      </c>
      <c r="Q73" s="1795">
        <f t="shared" ca="1" si="22"/>
        <v>-605.85359897010187</v>
      </c>
      <c r="R73" s="1795">
        <f t="shared" ca="1" si="22"/>
        <v>-469.84231273436279</v>
      </c>
      <c r="S73" s="1795">
        <f t="shared" ca="1" si="22"/>
        <v>-315.5749116036319</v>
      </c>
      <c r="T73" s="1795">
        <f t="shared" ca="1" si="22"/>
        <v>-140.60096855612863</v>
      </c>
      <c r="U73" s="1795">
        <f t="shared" ca="1" si="22"/>
        <v>0</v>
      </c>
      <c r="V73" s="1795">
        <f t="shared" ca="1" si="22"/>
        <v>0</v>
      </c>
      <c r="W73" s="1795">
        <f t="shared" ca="1" si="22"/>
        <v>0</v>
      </c>
      <c r="X73" s="1795">
        <f t="shared" ca="1" si="22"/>
        <v>0</v>
      </c>
      <c r="Y73" s="1795">
        <f t="shared" ca="1" si="22"/>
        <v>0</v>
      </c>
      <c r="Z73" s="1795">
        <f t="shared" ca="1" si="22"/>
        <v>0</v>
      </c>
      <c r="AA73" s="1795">
        <f t="shared" ca="1" si="22"/>
        <v>0</v>
      </c>
      <c r="AB73" s="1796">
        <f t="shared" ca="1" si="20"/>
        <v>-8827.7654988120667</v>
      </c>
      <c r="AC73" s="1797">
        <f ca="1">IF('Project &amp; Investor Returns'!$I$3=0,F73+NPV(Disc,G73:AA73),E73+NPV(Disc,F73:AA73))</f>
        <v>-2700.8891357148304</v>
      </c>
      <c r="AD73" s="1793"/>
      <c r="AG73" s="1799"/>
    </row>
    <row r="74" spans="1:33" s="1807" customFormat="1">
      <c r="A74" s="1801"/>
      <c r="B74" s="1793" t="s">
        <v>1078</v>
      </c>
      <c r="C74" s="1802">
        <f>USTax</f>
        <v>0.37</v>
      </c>
      <c r="D74" s="1803"/>
      <c r="E74" s="1795">
        <f>-E72*USTax</f>
        <v>0</v>
      </c>
      <c r="F74" s="1795">
        <f t="shared" ref="F74:AA74" si="23">-F72*USTax</f>
        <v>0</v>
      </c>
      <c r="G74" s="1795">
        <f t="shared" si="23"/>
        <v>0</v>
      </c>
      <c r="H74" s="1795">
        <f t="shared" si="23"/>
        <v>0</v>
      </c>
      <c r="I74" s="1795">
        <f t="shared" si="23"/>
        <v>0</v>
      </c>
      <c r="J74" s="1795">
        <f t="shared" si="23"/>
        <v>0</v>
      </c>
      <c r="K74" s="1795">
        <f t="shared" si="23"/>
        <v>0</v>
      </c>
      <c r="L74" s="1795">
        <f t="shared" si="23"/>
        <v>0</v>
      </c>
      <c r="M74" s="1795">
        <f t="shared" si="23"/>
        <v>0</v>
      </c>
      <c r="N74" s="1795">
        <f t="shared" si="23"/>
        <v>0</v>
      </c>
      <c r="O74" s="1795">
        <f t="shared" si="23"/>
        <v>0</v>
      </c>
      <c r="P74" s="1795">
        <f t="shared" si="23"/>
        <v>0</v>
      </c>
      <c r="Q74" s="1795">
        <f t="shared" si="23"/>
        <v>0</v>
      </c>
      <c r="R74" s="1795">
        <f t="shared" si="23"/>
        <v>0</v>
      </c>
      <c r="S74" s="1795">
        <f t="shared" si="23"/>
        <v>0</v>
      </c>
      <c r="T74" s="1795">
        <f t="shared" si="23"/>
        <v>0</v>
      </c>
      <c r="U74" s="1795">
        <f t="shared" si="23"/>
        <v>0</v>
      </c>
      <c r="V74" s="1795">
        <f t="shared" si="23"/>
        <v>0</v>
      </c>
      <c r="W74" s="1795">
        <f t="shared" si="23"/>
        <v>0</v>
      </c>
      <c r="X74" s="1795">
        <f t="shared" si="23"/>
        <v>0</v>
      </c>
      <c r="Y74" s="1795">
        <f t="shared" si="23"/>
        <v>0</v>
      </c>
      <c r="Z74" s="1795">
        <f t="shared" si="23"/>
        <v>0</v>
      </c>
      <c r="AA74" s="1795">
        <f t="shared" si="23"/>
        <v>0</v>
      </c>
      <c r="AB74" s="1805">
        <f>SUM(E74:AA74)</f>
        <v>0</v>
      </c>
      <c r="AC74" s="1806">
        <f ca="1">IF('Project &amp; Investor Returns'!$I$3=0,F74+NPV(Disc,G74:AA74),E74+NPV(Disc,F74:AA74))</f>
        <v>0</v>
      </c>
      <c r="AD74" s="1793"/>
      <c r="AG74" s="1799"/>
    </row>
    <row r="75" spans="1:33" s="1845" customFormat="1">
      <c r="A75" s="1842"/>
      <c r="B75" s="769" t="s">
        <v>170</v>
      </c>
      <c r="C75" s="769"/>
      <c r="D75" s="769"/>
      <c r="E75" s="1843">
        <f ca="1">SUM(E64:E74)</f>
        <v>0</v>
      </c>
      <c r="F75" s="1843">
        <f t="shared" ref="F75:AA75" ca="1" si="24">SUM(F64:F74)</f>
        <v>-76345.986046285616</v>
      </c>
      <c r="G75" s="1843">
        <f t="shared" ca="1" si="24"/>
        <v>-25575.7718209792</v>
      </c>
      <c r="H75" s="1843">
        <f t="shared" ca="1" si="24"/>
        <v>31528.470151265377</v>
      </c>
      <c r="I75" s="1843">
        <f t="shared" ca="1" si="24"/>
        <v>1089.2921503413877</v>
      </c>
      <c r="J75" s="1843">
        <f t="shared" ca="1" si="24"/>
        <v>4565.9927371599742</v>
      </c>
      <c r="K75" s="1843">
        <f t="shared" ca="1" si="24"/>
        <v>7057.3274904381797</v>
      </c>
      <c r="L75" s="1843">
        <f t="shared" ca="1" si="24"/>
        <v>-243.71369729376181</v>
      </c>
      <c r="M75" s="1843">
        <f t="shared" ca="1" si="24"/>
        <v>10716.623868769584</v>
      </c>
      <c r="N75" s="1843">
        <f t="shared" ca="1" si="24"/>
        <v>11398.185797346156</v>
      </c>
      <c r="O75" s="1843">
        <f t="shared" ca="1" si="24"/>
        <v>10081.688589907895</v>
      </c>
      <c r="P75" s="1843">
        <f t="shared" ca="1" si="24"/>
        <v>9475.0071034828434</v>
      </c>
      <c r="Q75" s="1843">
        <f t="shared" ca="1" si="24"/>
        <v>10731.42931631903</v>
      </c>
      <c r="R75" s="1843">
        <f t="shared" ca="1" si="24"/>
        <v>11473.316779320372</v>
      </c>
      <c r="S75" s="1843">
        <f t="shared" ca="1" si="24"/>
        <v>9371.2346992454859</v>
      </c>
      <c r="T75" s="1843">
        <f t="shared" ca="1" si="24"/>
        <v>8816.8527477421449</v>
      </c>
      <c r="U75" s="1843">
        <f t="shared" ca="1" si="24"/>
        <v>11923.184353413948</v>
      </c>
      <c r="V75" s="1843">
        <f t="shared" ca="1" si="24"/>
        <v>4883.6763738908912</v>
      </c>
      <c r="W75" s="1843">
        <f t="shared" ca="1" si="24"/>
        <v>-860.92135037416494</v>
      </c>
      <c r="X75" s="1843">
        <f t="shared" ca="1" si="24"/>
        <v>3441.7093461069844</v>
      </c>
      <c r="Y75" s="1843">
        <f t="shared" ca="1" si="24"/>
        <v>2690.7971598905397</v>
      </c>
      <c r="Z75" s="1843">
        <f t="shared" ca="1" si="24"/>
        <v>3468.708820053932</v>
      </c>
      <c r="AA75" s="1843">
        <f t="shared" ca="1" si="24"/>
        <v>3437.8938598862046</v>
      </c>
      <c r="AB75" s="1844">
        <f t="shared" ca="1" si="20"/>
        <v>53124.9984296482</v>
      </c>
      <c r="AC75" s="1844">
        <f ca="1">SUM(AC64:AC74)</f>
        <v>-53668.225821927648</v>
      </c>
      <c r="AD75" s="769"/>
    </row>
    <row r="76" spans="1:33" s="1705" customFormat="1">
      <c r="A76" s="1703"/>
      <c r="B76" s="1704"/>
      <c r="C76" s="1704"/>
      <c r="D76" s="1704"/>
      <c r="E76" s="1331">
        <f t="shared" ref="E76:AC76" ca="1" si="25">SUM(E65:E73)</f>
        <v>0</v>
      </c>
      <c r="F76" s="1331">
        <f t="shared" ca="1" si="25"/>
        <v>0</v>
      </c>
      <c r="G76" s="1331">
        <f t="shared" ca="1" si="25"/>
        <v>0</v>
      </c>
      <c r="H76" s="1331">
        <f t="shared" ca="1" si="25"/>
        <v>-24626.246069667803</v>
      </c>
      <c r="I76" s="1331">
        <f t="shared" ca="1" si="25"/>
        <v>-7366.6829646887973</v>
      </c>
      <c r="J76" s="1331">
        <f t="shared" ca="1" si="25"/>
        <v>3504.8723516239143</v>
      </c>
      <c r="K76" s="1331">
        <f t="shared" ca="1" si="25"/>
        <v>3605.26208382813</v>
      </c>
      <c r="L76" s="1331">
        <f t="shared" ca="1" si="25"/>
        <v>3719.1266278374601</v>
      </c>
      <c r="M76" s="1331">
        <f t="shared" ca="1" si="25"/>
        <v>3848.2746402664407</v>
      </c>
      <c r="N76" s="1331">
        <f t="shared" ca="1" si="25"/>
        <v>3994.7575446636997</v>
      </c>
      <c r="O76" s="1331">
        <f t="shared" ca="1" si="25"/>
        <v>4160.9021169036823</v>
      </c>
      <c r="P76" s="1331">
        <f t="shared" ca="1" si="25"/>
        <v>4349.3474443525765</v>
      </c>
      <c r="Q76" s="1331">
        <f t="shared" ca="1" si="25"/>
        <v>4563.0868458782988</v>
      </c>
      <c r="R76" s="1331">
        <f t="shared" ca="1" si="25"/>
        <v>4805.5154185738093</v>
      </c>
      <c r="S76" s="1331">
        <f t="shared" ca="1" si="25"/>
        <v>5080.4839664393739</v>
      </c>
      <c r="T76" s="1331">
        <f t="shared" ca="1" si="25"/>
        <v>5392.3601676421877</v>
      </c>
      <c r="U76" s="1331">
        <f t="shared" ca="1" si="25"/>
        <v>0</v>
      </c>
      <c r="V76" s="1331">
        <f t="shared" ca="1" si="25"/>
        <v>0</v>
      </c>
      <c r="W76" s="1331">
        <f t="shared" ca="1" si="25"/>
        <v>0</v>
      </c>
      <c r="X76" s="1331">
        <f t="shared" ca="1" si="25"/>
        <v>0</v>
      </c>
      <c r="Y76" s="1331">
        <f t="shared" ca="1" si="25"/>
        <v>0</v>
      </c>
      <c r="Z76" s="1331">
        <f t="shared" ca="1" si="25"/>
        <v>0</v>
      </c>
      <c r="AA76" s="1331">
        <f t="shared" ca="1" si="25"/>
        <v>0</v>
      </c>
      <c r="AB76" s="1333">
        <f t="shared" ca="1" si="25"/>
        <v>15031.060173652975</v>
      </c>
      <c r="AC76" s="1333">
        <f t="shared" ca="1" si="25"/>
        <v>-11157.217351913223</v>
      </c>
      <c r="AD76" s="1704"/>
    </row>
    <row r="77" spans="1:33">
      <c r="A77" s="20"/>
      <c r="B77" s="15" t="s">
        <v>472</v>
      </c>
      <c r="E77" s="221">
        <f ca="1">$E75</f>
        <v>0</v>
      </c>
      <c r="F77" s="221">
        <f ca="1">IF($I$3=0,$F75,$E75+NPV(Disc,$F75:F75))</f>
        <v>-76345.986046285616</v>
      </c>
      <c r="G77" s="37">
        <f ca="1">IF($I$3=0,$F75+NPV(Disc, $G75:G75),$E75+NPV(Disc,$F75:G75))</f>
        <v>-97838.231273999234</v>
      </c>
      <c r="H77" s="37">
        <f ca="1">IF($I$3=0,$F75+NPV(Disc, $G75:H75),$E75+NPV(Disc,$F75:H75))</f>
        <v>-75573.934860422945</v>
      </c>
      <c r="I77" s="37">
        <f ca="1">IF($I$3=0,$F75+NPV(Disc, $G75:I75),$E75+NPV(Disc,$F75:I75))</f>
        <v>-74927.531672153244</v>
      </c>
      <c r="J77" s="37">
        <f ca="1">IF($I$3=0,$F75+NPV(Disc, $G75:J75),$E75+NPV(Disc,$F75:J75))</f>
        <v>-72650.61377497614</v>
      </c>
      <c r="K77" s="37">
        <f ca="1">IF($I$3=0,$F75+NPV(Disc, $G75:K75),$E75+NPV(Disc,$F75:K75))</f>
        <v>-69693.245129653922</v>
      </c>
      <c r="L77" s="37">
        <f ca="1">IF($I$3=0,$F75+NPV(Disc, $G75:L75),$E75+NPV(Disc,$F75:L75))</f>
        <v>-69779.067038509573</v>
      </c>
      <c r="M77" s="37">
        <f ca="1">IF($I$3=0,$F75+NPV(Disc, $G75:M75),$E75+NPV(Disc,$F75:M75))</f>
        <v>-66607.82596039919</v>
      </c>
      <c r="N77" s="37">
        <f ca="1">IF($I$3=0,$F75+NPV(Disc, $G75:N75),$E75+NPV(Disc,$F75:N75))</f>
        <v>-63773.433129732985</v>
      </c>
      <c r="O77" s="37">
        <f ca="1">IF($I$3=0,$F75+NPV(Disc, $G75:O75),$E75+NPV(Disc,$F75:O75))</f>
        <v>-61666.694658527806</v>
      </c>
      <c r="P77" s="37">
        <f ca="1">IF($I$3=0,$F75+NPV(Disc, $G75:P75),$E75+NPV(Disc,$F75:P75))</f>
        <v>-60002.860905383393</v>
      </c>
      <c r="Q77" s="37">
        <f ca="1">IF($I$3=0,$F75+NPV(Disc, $G75:Q75),$E75+NPV(Disc,$F75:Q75))</f>
        <v>-58419.277310366531</v>
      </c>
      <c r="R77" s="37">
        <f ca="1">IF($I$3=0,$F75+NPV(Disc, $G75:R75),$E75+NPV(Disc,$F75:R75))</f>
        <v>-56996.537617716414</v>
      </c>
      <c r="S77" s="37">
        <f ca="1">IF($I$3=0,$F75+NPV(Disc, $G75:S75),$E75+NPV(Disc,$F75:S75))</f>
        <v>-56020.005983329364</v>
      </c>
      <c r="T77" s="37">
        <f ca="1">IF($I$3=0,$F75+NPV(Disc, $G75:T75),$E75+NPV(Disc,$F75:T75))</f>
        <v>-55247.936960165447</v>
      </c>
      <c r="U77" s="37">
        <f ca="1">IF($I$3=0,$F75+NPV(Disc, $G75:U75),$E75+NPV(Disc,$F75:U75))</f>
        <v>-54370.556742590823</v>
      </c>
      <c r="V77" s="37">
        <f ca="1">IF($I$3=0,$F75+NPV(Disc, $G75:V75),$E75+NPV(Disc,$F75:V75))</f>
        <v>-54068.564703455595</v>
      </c>
      <c r="W77" s="37">
        <f ca="1">IF($I$3=0,$F75+NPV(Disc, $G75:W75),$E75+NPV(Disc,$F75:W75))</f>
        <v>-54113.301525966264</v>
      </c>
      <c r="X77" s="37">
        <f ca="1">IF($I$3=0,$F75+NPV(Disc, $G75:X75),$E75+NPV(Disc,$F75:X75))</f>
        <v>-53963.01194065754</v>
      </c>
      <c r="Y77" s="37">
        <f ca="1">IF($I$3=0,$F75+NPV(Disc, $G75:Y75),$E75+NPV(Disc,$F75:Y75))</f>
        <v>-53864.272947554942</v>
      </c>
      <c r="Z77" s="37">
        <f ca="1">IF($I$3=0,$F75+NPV(Disc, $G75:Z75),$E75+NPV(Disc,$F75:Z75))</f>
        <v>-53757.311168745538</v>
      </c>
      <c r="AA77" s="37">
        <f ca="1">IF($I$3=0,$F75+NPV(Disc, $G75:AA75),$E75+NPV(Disc,$F75:AA75))</f>
        <v>-53668.225821927641</v>
      </c>
      <c r="AB77" s="466"/>
      <c r="AC77" s="435">
        <f ca="1">AC75</f>
        <v>-53668.225821927648</v>
      </c>
      <c r="AD77" s="1331">
        <f ca="1">NPV(Disc,F76:AA76)+E76</f>
        <v>-9375.8129007674142</v>
      </c>
    </row>
    <row r="78" spans="1:33">
      <c r="A78" s="20"/>
      <c r="B78" s="15" t="s">
        <v>473</v>
      </c>
      <c r="E78" s="32" t="e">
        <f ca="1">IRR($E75:E75,-0.9)</f>
        <v>#NUM!</v>
      </c>
      <c r="F78" s="32" t="e">
        <f ca="1">IRR($E75:F75,-0.9)</f>
        <v>#NUM!</v>
      </c>
      <c r="G78" s="32" t="e">
        <f ca="1">IRR($E75:G75,-0.9)</f>
        <v>#NUM!</v>
      </c>
      <c r="H78" s="32">
        <f ca="1">IRR($E75:H75,-0.9)</f>
        <v>-0.50340257246005093</v>
      </c>
      <c r="I78" s="32">
        <f ca="1">IRR($E75:I75,-0.9)</f>
        <v>-0.48294196955871593</v>
      </c>
      <c r="J78" s="32">
        <f ca="1">IRR($E75:J75,-0.9)</f>
        <v>-0.38025247510813137</v>
      </c>
      <c r="K78" s="32">
        <f ca="1">IRR($E75:K75,-0.9)</f>
        <v>-0.26841576208977191</v>
      </c>
      <c r="L78" s="32">
        <f ca="1">IRR($E75:L75,-0.9)</f>
        <v>-0.27207519111592898</v>
      </c>
      <c r="M78" s="32">
        <f ca="1">IRR($E75:M75,-0.9)</f>
        <v>-0.15727750932440115</v>
      </c>
      <c r="N78" s="32">
        <f ca="1">IRR($E75:N75,-0.9)</f>
        <v>-9.4572574218228067E-2</v>
      </c>
      <c r="O78" s="32">
        <f ca="1">IRR($E75:O75,-0.9)</f>
        <v>-5.7595903228623672E-2</v>
      </c>
      <c r="P78" s="32">
        <f ca="1">IRR($E75:P75,-0.9)</f>
        <v>-3.1732491579535546E-2</v>
      </c>
      <c r="Q78" s="32">
        <f ca="1">IRR($E75:Q75,-0.9)</f>
        <v>-9.3903191360246718E-3</v>
      </c>
      <c r="R78" s="32">
        <f ca="1">IRR($E75:R75,-0.9)</f>
        <v>8.8817617219739443E-3</v>
      </c>
      <c r="S78" s="32">
        <f ca="1">IRR($E75:S75,-0.9)</f>
        <v>2.0740875996383593E-2</v>
      </c>
      <c r="T78" s="32">
        <f ca="1">IRR($E75:T75,-0.9)</f>
        <v>2.9967251512141562E-2</v>
      </c>
      <c r="U78" s="32">
        <f ca="1">IRR($E75:U75,-0.9)</f>
        <v>4.0176337077042448E-2</v>
      </c>
      <c r="V78" s="32">
        <f ca="1">IRR($E75:V75,-0.9)</f>
        <v>4.3722440823516825E-2</v>
      </c>
      <c r="W78" s="32">
        <f ca="1">IRR($E75:W75,-0.9)</f>
        <v>4.3140125371940778E-2</v>
      </c>
      <c r="X78" s="32">
        <f ca="1">IRR($E75:X75,-0.9)</f>
        <v>4.5329196715334773E-2</v>
      </c>
      <c r="Y78" s="32">
        <f ca="1">IRR($E75:Y75,-0.9)</f>
        <v>4.6894909279168159E-2</v>
      </c>
      <c r="Z78" s="32">
        <f ca="1">IRR($E75:Z75,-0.9)</f>
        <v>4.874013741081766E-2</v>
      </c>
      <c r="AA78" s="32">
        <f ca="1">IRR($E75:AA75,-0.9)</f>
        <v>5.0402789410165377E-2</v>
      </c>
      <c r="AB78" s="465"/>
      <c r="AC78" s="471">
        <f ca="1">IRR(E75:AA75,-0.9)</f>
        <v>5.0402789410165377E-2</v>
      </c>
      <c r="AD78" s="1337">
        <f ca="1">IF(ISERROR(IRR(E76:AA76,-0.9)),"Infinite",IRR(E76:AA76,-0.9))</f>
        <v>5.7170003629370053E-2</v>
      </c>
    </row>
    <row r="79" spans="1:33" ht="12.75" customHeight="1">
      <c r="A79" s="20"/>
      <c r="C79" s="833" t="s">
        <v>498</v>
      </c>
      <c r="D79" s="833" t="s">
        <v>499</v>
      </c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465"/>
      <c r="AC79" s="430"/>
    </row>
    <row r="80" spans="1:33">
      <c r="A80" s="20"/>
      <c r="B80" s="243" t="str">
        <f ca="1">CONCATENATE("Enron NPV (w/ Subdebt) @ ",TEXT(Disc,"0.0%"))</f>
        <v>Enron NPV (w/ Subdebt) @ 19.0%</v>
      </c>
      <c r="C80" s="1329">
        <f ca="1">AC77</f>
        <v>-53668.225821927648</v>
      </c>
      <c r="D80" s="452">
        <f ca="1">AD77</f>
        <v>-9375.8129007674142</v>
      </c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465"/>
      <c r="AC80" s="430"/>
    </row>
    <row r="81" spans="1:29" ht="13.5" thickBot="1">
      <c r="A81" s="48"/>
      <c r="B81" s="462" t="s">
        <v>151</v>
      </c>
      <c r="C81" s="1332">
        <f ca="1">AC78</f>
        <v>5.0402789410165377E-2</v>
      </c>
      <c r="D81" s="1340">
        <f ca="1">AD78</f>
        <v>5.7170003629370053E-2</v>
      </c>
      <c r="E81" s="49"/>
      <c r="F81" s="713"/>
      <c r="G81" s="713"/>
      <c r="H81" s="713"/>
      <c r="I81" s="713"/>
      <c r="J81" s="713"/>
      <c r="K81" s="713"/>
      <c r="L81" s="713"/>
      <c r="M81" s="713"/>
      <c r="N81" s="713"/>
      <c r="O81" s="713"/>
      <c r="P81" s="713"/>
      <c r="Q81" s="713"/>
      <c r="R81" s="713"/>
      <c r="S81" s="713"/>
      <c r="T81" s="713"/>
      <c r="U81" s="713"/>
      <c r="V81" s="713"/>
      <c r="W81" s="713"/>
      <c r="X81" s="713"/>
      <c r="Y81" s="713"/>
      <c r="Z81" s="713"/>
      <c r="AA81" s="713"/>
      <c r="AB81" s="714"/>
      <c r="AC81" s="443"/>
    </row>
    <row r="83" spans="1:29">
      <c r="F83" s="37">
        <f ca="1">F75-RAROC!C33</f>
        <v>0</v>
      </c>
      <c r="G83" s="37">
        <f ca="1">G75-RAROC!D33</f>
        <v>0</v>
      </c>
      <c r="H83" s="37">
        <f ca="1">H75-RAROC!E33</f>
        <v>0</v>
      </c>
      <c r="I83" s="37">
        <f ca="1">I75-RAROC!F33</f>
        <v>0</v>
      </c>
      <c r="J83" s="37">
        <f ca="1">J75-RAROC!G33</f>
        <v>0</v>
      </c>
      <c r="K83" s="37">
        <f ca="1">K75-RAROC!H33</f>
        <v>0</v>
      </c>
      <c r="L83" s="37">
        <f ca="1">L75-RAROC!I33</f>
        <v>-7.9580786405131221E-13</v>
      </c>
      <c r="M83" s="37">
        <f ca="1">M75-RAROC!J33</f>
        <v>0</v>
      </c>
      <c r="N83" s="37">
        <f ca="1">N75-RAROC!K33</f>
        <v>0</v>
      </c>
      <c r="O83" s="37">
        <f ca="1">O75-RAROC!L33</f>
        <v>0</v>
      </c>
      <c r="P83" s="37">
        <f ca="1">P75-RAROC!M33</f>
        <v>0</v>
      </c>
      <c r="Q83" s="37">
        <f ca="1">Q75-RAROC!N33</f>
        <v>0</v>
      </c>
      <c r="R83" s="37">
        <f ca="1">R75-RAROC!O33</f>
        <v>0</v>
      </c>
      <c r="S83" s="37">
        <f ca="1">S75-RAROC!P33</f>
        <v>0</v>
      </c>
      <c r="T83" s="37">
        <f ca="1">T75-RAROC!Q33</f>
        <v>0</v>
      </c>
      <c r="U83" s="37">
        <f ca="1">U75-RAROC!R33</f>
        <v>0</v>
      </c>
      <c r="V83" s="37">
        <f ca="1">V75-RAROC!S33</f>
        <v>0</v>
      </c>
      <c r="W83" s="37">
        <f ca="1">W75-RAROC!T33</f>
        <v>0</v>
      </c>
      <c r="X83" s="37">
        <f ca="1">X75-RAROC!U33</f>
        <v>0</v>
      </c>
      <c r="Y83" s="37">
        <f ca="1">Y75-RAROC!V33</f>
        <v>0</v>
      </c>
      <c r="Z83" s="37">
        <f ca="1">Z75-RAROC!W33</f>
        <v>0</v>
      </c>
      <c r="AA83" s="37">
        <f ca="1">AA75-RAROC!X33</f>
        <v>0</v>
      </c>
    </row>
  </sheetData>
  <printOptions horizontalCentered="1"/>
  <pageMargins left="0.25" right="0.25" top="0.5" bottom="0.5" header="0.25" footer="0.25"/>
  <pageSetup scale="87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autoPageBreaks="0" fitToPage="1"/>
  </sheetPr>
  <dimension ref="A1:AG97"/>
  <sheetViews>
    <sheetView showGridLines="0" zoomScale="90" workbookViewId="0"/>
  </sheetViews>
  <sheetFormatPr defaultRowHeight="12.75"/>
  <cols>
    <col min="1" max="1" width="8.7109375" style="15" customWidth="1"/>
    <col min="2" max="2" width="35.7109375" style="15" customWidth="1"/>
    <col min="3" max="27" width="9.7109375" style="15" customWidth="1"/>
    <col min="28" max="29" width="10.7109375" style="15" customWidth="1"/>
    <col min="30" max="30" width="9.140625" style="15"/>
    <col min="31" max="16384" width="9.140625" style="7"/>
  </cols>
  <sheetData>
    <row r="1" spans="1:33" s="1" customFormat="1" ht="15.75">
      <c r="A1" s="1137" t="str">
        <f>CONCATENATE(TOC!B2," ",TOC!B6)</f>
        <v>EMPRESSA PRODUTORA DE ENERGÍA LTDA (EPE) *** DRAFT COPY ***</v>
      </c>
      <c r="AC1" s="15"/>
      <c r="AD1" s="15"/>
    </row>
    <row r="2" spans="1:33" s="1" customFormat="1" ht="15.75">
      <c r="A2" s="1137" t="str">
        <f>TOC!B3</f>
        <v>480 MW POWER PLANT (CUIABA, BRAZIL)</v>
      </c>
      <c r="AC2" s="15"/>
      <c r="AD2" s="15"/>
    </row>
    <row r="3" spans="1:33" s="1" customFormat="1" ht="15">
      <c r="A3" s="118" t="str">
        <f>TOC!B4</f>
        <v>ENRON INTERNATIONAL</v>
      </c>
      <c r="AC3" s="15"/>
      <c r="AD3" s="15"/>
    </row>
    <row r="4" spans="1:33" s="1" customFormat="1" ht="15">
      <c r="A4" s="932" t="s">
        <v>263</v>
      </c>
      <c r="B4" s="933"/>
      <c r="AC4" s="15"/>
      <c r="AD4" s="15"/>
    </row>
    <row r="5" spans="1:33" customFormat="1" ht="13.5" thickBo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5"/>
      <c r="AD5" s="15"/>
    </row>
    <row r="6" spans="1:33" s="15" customFormat="1">
      <c r="A6" s="412" t="s">
        <v>471</v>
      </c>
      <c r="B6" s="11"/>
      <c r="C6" s="11"/>
      <c r="D6" s="11"/>
      <c r="E6" s="11">
        <f t="shared" ref="E6:AA6" ca="1" si="0">IF(E$7&lt;YEAR(Startops1),0,D6+1)</f>
        <v>0</v>
      </c>
      <c r="F6" s="11">
        <f t="shared" ca="1" si="0"/>
        <v>0</v>
      </c>
      <c r="G6" s="11">
        <f t="shared" ca="1" si="0"/>
        <v>1</v>
      </c>
      <c r="H6" s="11">
        <f t="shared" ca="1" si="0"/>
        <v>2</v>
      </c>
      <c r="I6" s="11">
        <f t="shared" ca="1" si="0"/>
        <v>3</v>
      </c>
      <c r="J6" s="11">
        <f t="shared" ca="1" si="0"/>
        <v>4</v>
      </c>
      <c r="K6" s="11">
        <f t="shared" ca="1" si="0"/>
        <v>5</v>
      </c>
      <c r="L6" s="11">
        <f t="shared" ca="1" si="0"/>
        <v>6</v>
      </c>
      <c r="M6" s="11">
        <f t="shared" ca="1" si="0"/>
        <v>7</v>
      </c>
      <c r="N6" s="11">
        <f t="shared" ca="1" si="0"/>
        <v>8</v>
      </c>
      <c r="O6" s="11">
        <f t="shared" ca="1" si="0"/>
        <v>9</v>
      </c>
      <c r="P6" s="11">
        <f t="shared" ca="1" si="0"/>
        <v>10</v>
      </c>
      <c r="Q6" s="11">
        <f t="shared" ca="1" si="0"/>
        <v>11</v>
      </c>
      <c r="R6" s="11">
        <f t="shared" ca="1" si="0"/>
        <v>12</v>
      </c>
      <c r="S6" s="11">
        <f t="shared" ca="1" si="0"/>
        <v>13</v>
      </c>
      <c r="T6" s="11">
        <f t="shared" ca="1" si="0"/>
        <v>14</v>
      </c>
      <c r="U6" s="11">
        <f t="shared" ca="1" si="0"/>
        <v>15</v>
      </c>
      <c r="V6" s="11">
        <f t="shared" ca="1" si="0"/>
        <v>16</v>
      </c>
      <c r="W6" s="11">
        <f t="shared" ca="1" si="0"/>
        <v>17</v>
      </c>
      <c r="X6" s="11">
        <f t="shared" ca="1" si="0"/>
        <v>18</v>
      </c>
      <c r="Y6" s="11">
        <f t="shared" ca="1" si="0"/>
        <v>19</v>
      </c>
      <c r="Z6" s="11">
        <f t="shared" ca="1" si="0"/>
        <v>20</v>
      </c>
      <c r="AA6" s="11">
        <f t="shared" ca="1" si="0"/>
        <v>21</v>
      </c>
      <c r="AB6" s="424"/>
      <c r="AC6" s="470" t="s">
        <v>414</v>
      </c>
    </row>
    <row r="7" spans="1:33" s="15" customFormat="1" ht="13.5" thickBot="1">
      <c r="A7" s="455" t="s">
        <v>444</v>
      </c>
      <c r="B7" s="49"/>
      <c r="C7" s="49"/>
      <c r="D7" s="49"/>
      <c r="E7" s="83">
        <f>'Project &amp; Investor Returns'!E7</f>
        <v>1997</v>
      </c>
      <c r="F7" s="83">
        <f>'Project &amp; Investor Returns'!F7</f>
        <v>1998</v>
      </c>
      <c r="G7" s="83">
        <f>'Project &amp; Investor Returns'!G7</f>
        <v>1999</v>
      </c>
      <c r="H7" s="83">
        <f>'Project &amp; Investor Returns'!H7</f>
        <v>2000</v>
      </c>
      <c r="I7" s="83">
        <f>'Project &amp; Investor Returns'!I7</f>
        <v>2001</v>
      </c>
      <c r="J7" s="83">
        <f>'Project &amp; Investor Returns'!J7</f>
        <v>2002</v>
      </c>
      <c r="K7" s="83">
        <f>'Project &amp; Investor Returns'!K7</f>
        <v>2003</v>
      </c>
      <c r="L7" s="83">
        <f>'Project &amp; Investor Returns'!L7</f>
        <v>2004</v>
      </c>
      <c r="M7" s="83">
        <f>'Project &amp; Investor Returns'!M7</f>
        <v>2005</v>
      </c>
      <c r="N7" s="83">
        <f>'Project &amp; Investor Returns'!N7</f>
        <v>2006</v>
      </c>
      <c r="O7" s="83">
        <f>'Project &amp; Investor Returns'!O7</f>
        <v>2007</v>
      </c>
      <c r="P7" s="83">
        <f>'Project &amp; Investor Returns'!P7</f>
        <v>2008</v>
      </c>
      <c r="Q7" s="83">
        <f>'Project &amp; Investor Returns'!Q7</f>
        <v>2009</v>
      </c>
      <c r="R7" s="83">
        <f>'Project &amp; Investor Returns'!R7</f>
        <v>2010</v>
      </c>
      <c r="S7" s="83">
        <f>'Project &amp; Investor Returns'!S7</f>
        <v>2011</v>
      </c>
      <c r="T7" s="83">
        <f>'Project &amp; Investor Returns'!T7</f>
        <v>2012</v>
      </c>
      <c r="U7" s="83">
        <f>'Project &amp; Investor Returns'!U7</f>
        <v>2013</v>
      </c>
      <c r="V7" s="83">
        <f>'Project &amp; Investor Returns'!V7</f>
        <v>2014</v>
      </c>
      <c r="W7" s="83">
        <f>'Project &amp; Investor Returns'!W7</f>
        <v>2015</v>
      </c>
      <c r="X7" s="83">
        <f>'Project &amp; Investor Returns'!X7</f>
        <v>2016</v>
      </c>
      <c r="Y7" s="83">
        <f>'Project &amp; Investor Returns'!Y7</f>
        <v>2017</v>
      </c>
      <c r="Z7" s="83">
        <f>'Project &amp; Investor Returns'!Z7</f>
        <v>2018</v>
      </c>
      <c r="AA7" s="83">
        <f>'Project &amp; Investor Returns'!AA7</f>
        <v>2019</v>
      </c>
      <c r="AB7" s="425" t="s">
        <v>441</v>
      </c>
      <c r="AC7" s="425" t="s">
        <v>1508</v>
      </c>
    </row>
    <row r="8" spans="1:33" s="15" customFormat="1">
      <c r="A8" s="412"/>
      <c r="AB8" s="430"/>
      <c r="AC8" s="430"/>
    </row>
    <row r="9" spans="1:33" s="15" customFormat="1">
      <c r="A9" s="918" t="str">
        <f>CONCATENATE(Assm!$H$86," Returns")</f>
        <v>Shell Returns</v>
      </c>
      <c r="D9" s="3"/>
      <c r="AB9" s="430"/>
      <c r="AC9" s="431"/>
    </row>
    <row r="10" spans="1:33">
      <c r="A10" s="457">
        <f>Assm!$K$86</f>
        <v>0.21875</v>
      </c>
      <c r="B10" s="15" t="s">
        <v>781</v>
      </c>
      <c r="E10" s="37">
        <f ca="1">'Project &amp; Investor Returns'!E13*$A$10</f>
        <v>0</v>
      </c>
      <c r="F10" s="37">
        <f ca="1">'Project &amp; Investor Returns'!F13*$A$10</f>
        <v>-20298.59348232605</v>
      </c>
      <c r="G10" s="37">
        <f ca="1">'Project &amp; Investor Returns'!G13*$A$10</f>
        <v>0</v>
      </c>
      <c r="H10" s="37">
        <f ca="1">'Project &amp; Investor Returns'!H13*$A$10</f>
        <v>0</v>
      </c>
      <c r="I10" s="37">
        <f ca="1">'Project &amp; Investor Returns'!I13*$A$10</f>
        <v>0</v>
      </c>
      <c r="J10" s="37">
        <f ca="1">'Project &amp; Investor Returns'!J13*$A$10</f>
        <v>0</v>
      </c>
      <c r="K10" s="37">
        <f ca="1">'Project &amp; Investor Returns'!K13*$A$10</f>
        <v>0</v>
      </c>
      <c r="L10" s="37">
        <f ca="1">'Project &amp; Investor Returns'!L13*$A$10</f>
        <v>0</v>
      </c>
      <c r="M10" s="37">
        <f ca="1">'Project &amp; Investor Returns'!M13*$A$10</f>
        <v>0</v>
      </c>
      <c r="N10" s="37">
        <f ca="1">'Project &amp; Investor Returns'!N13*$A$10</f>
        <v>0</v>
      </c>
      <c r="O10" s="37">
        <f ca="1">'Project &amp; Investor Returns'!O13*$A$10</f>
        <v>0</v>
      </c>
      <c r="P10" s="37">
        <f ca="1">'Project &amp; Investor Returns'!P13*$A$10</f>
        <v>0</v>
      </c>
      <c r="Q10" s="37">
        <f ca="1">'Project &amp; Investor Returns'!Q13*$A$10</f>
        <v>0</v>
      </c>
      <c r="R10" s="37">
        <f ca="1">'Project &amp; Investor Returns'!R13*$A$10</f>
        <v>0</v>
      </c>
      <c r="S10" s="37">
        <f ca="1">'Project &amp; Investor Returns'!S13*$A$10</f>
        <v>0</v>
      </c>
      <c r="T10" s="37">
        <f ca="1">'Project &amp; Investor Returns'!T13*$A$10</f>
        <v>0</v>
      </c>
      <c r="U10" s="37">
        <f ca="1">'Project &amp; Investor Returns'!U13*$A$10</f>
        <v>0</v>
      </c>
      <c r="V10" s="37">
        <f ca="1">'Project &amp; Investor Returns'!V13*$A$10</f>
        <v>0</v>
      </c>
      <c r="W10" s="37">
        <f ca="1">'Project &amp; Investor Returns'!W13*$A$10</f>
        <v>0</v>
      </c>
      <c r="X10" s="37">
        <f ca="1">'Project &amp; Investor Returns'!X13*$A$10</f>
        <v>0</v>
      </c>
      <c r="Y10" s="37">
        <f ca="1">'Project &amp; Investor Returns'!Y13*$A$10</f>
        <v>0</v>
      </c>
      <c r="Z10" s="37">
        <f ca="1">'Project &amp; Investor Returns'!Z13*$A$10</f>
        <v>0</v>
      </c>
      <c r="AA10" s="37">
        <f ca="1">'Project &amp; Investor Returns'!AA13*$A$10</f>
        <v>0</v>
      </c>
      <c r="AB10" s="435">
        <f t="shared" ref="AB10:AB17" ca="1" si="1">SUM(E10:AA10)</f>
        <v>-20298.59348232605</v>
      </c>
      <c r="AC10" s="463">
        <f ca="1">IF('Project &amp; Investor Returns'!$I$3=0,F10+NPV(Disc,G10:AA10),E10+NPV(Disc,F10:AA10))</f>
        <v>-20298.59348232605</v>
      </c>
    </row>
    <row r="11" spans="1:33">
      <c r="A11" s="457">
        <f>Assm!$L$86</f>
        <v>0.21875</v>
      </c>
      <c r="B11" s="15" t="s">
        <v>1613</v>
      </c>
      <c r="E11" s="37">
        <f ca="1">'Project &amp; Investor Returns'!E14*$A$11</f>
        <v>0</v>
      </c>
      <c r="F11" s="37">
        <f ca="1">'Project &amp; Investor Returns'!F14*$A$11</f>
        <v>0</v>
      </c>
      <c r="G11" s="37">
        <f ca="1">'Project &amp; Investor Returns'!G14*$A$11</f>
        <v>0</v>
      </c>
      <c r="H11" s="37">
        <f ca="1">'Project &amp; Investor Returns'!H14*$A$11</f>
        <v>0</v>
      </c>
      <c r="I11" s="37">
        <f ca="1">'Project &amp; Investor Returns'!I14*$A$11</f>
        <v>0</v>
      </c>
      <c r="J11" s="37">
        <f ca="1">'Project &amp; Investor Returns'!J14*$A$11</f>
        <v>-9.9475983006414026E-14</v>
      </c>
      <c r="K11" s="37">
        <f ca="1">'Project &amp; Investor Returns'!K14*$A$11</f>
        <v>3.979039320256561E-13</v>
      </c>
      <c r="L11" s="37">
        <f ca="1">'Project &amp; Investor Returns'!L14*$A$11</f>
        <v>0</v>
      </c>
      <c r="M11" s="37">
        <f ca="1">'Project &amp; Investor Returns'!M14*$A$11</f>
        <v>-3.979039320256561E-13</v>
      </c>
      <c r="N11" s="37">
        <f ca="1">'Project &amp; Investor Returns'!N14*$A$11</f>
        <v>-3.979039320256561E-13</v>
      </c>
      <c r="O11" s="37">
        <f ca="1">'Project &amp; Investor Returns'!O14*$A$11</f>
        <v>502.48162832909924</v>
      </c>
      <c r="P11" s="37">
        <f ca="1">'Project &amp; Investor Returns'!P14*$A$11</f>
        <v>1300.424202991077</v>
      </c>
      <c r="Q11" s="37">
        <f ca="1">'Project &amp; Investor Returns'!Q14*$A$11</f>
        <v>1359.6213899195611</v>
      </c>
      <c r="R11" s="37">
        <f ca="1">'Project &amp; Investor Returns'!R14*$A$11</f>
        <v>1564.918790386736</v>
      </c>
      <c r="S11" s="37">
        <f ca="1">'Project &amp; Investor Returns'!S14*$A$11</f>
        <v>1700.2612714060215</v>
      </c>
      <c r="T11" s="37">
        <f ca="1">'Project &amp; Investor Returns'!T14*$A$11</f>
        <v>1205.506764838226</v>
      </c>
      <c r="U11" s="37">
        <f ca="1">'Project &amp; Investor Returns'!U14*$A$11</f>
        <v>1551.651164166745</v>
      </c>
      <c r="V11" s="37">
        <f ca="1">'Project &amp; Investor Returns'!V14*$A$11</f>
        <v>527.29795194705639</v>
      </c>
      <c r="W11" s="37">
        <f ca="1">'Project &amp; Investor Returns'!W14*$A$11</f>
        <v>0</v>
      </c>
      <c r="X11" s="37">
        <f ca="1">'Project &amp; Investor Returns'!X14*$A$11</f>
        <v>0</v>
      </c>
      <c r="Y11" s="37">
        <f ca="1">'Project &amp; Investor Returns'!Y14*$A$11</f>
        <v>0</v>
      </c>
      <c r="Z11" s="37">
        <f ca="1">'Project &amp; Investor Returns'!Z14*$A$11</f>
        <v>3.979039320256561E-13</v>
      </c>
      <c r="AA11" s="37">
        <f ca="1">'Project &amp; Investor Returns'!AA14*$A$11</f>
        <v>9760.2499032699197</v>
      </c>
      <c r="AB11" s="435">
        <f t="shared" ca="1" si="1"/>
        <v>19472.413067254442</v>
      </c>
      <c r="AC11" s="463">
        <f ca="1">IF('Project &amp; Investor Returns'!$I$3=0,F11+NPV(Disc,G11:AA11),E11+NPV(Disc,F11:AA11))</f>
        <v>1410.4894233127602</v>
      </c>
    </row>
    <row r="12" spans="1:33">
      <c r="A12" s="457"/>
      <c r="B12" s="15" t="s">
        <v>906</v>
      </c>
      <c r="E12" s="37">
        <f ca="1">'Project &amp; Investor Returns'!E15*$A$11</f>
        <v>0</v>
      </c>
      <c r="F12" s="37">
        <f ca="1">'Project &amp; Investor Returns'!F15*$A$11</f>
        <v>0</v>
      </c>
      <c r="G12" s="37">
        <f ca="1">'Project &amp; Investor Returns'!G15*$A$11</f>
        <v>-432.79864146743307</v>
      </c>
      <c r="H12" s="37">
        <f ca="1">'Project &amp; Investor Returns'!H15*$A$11</f>
        <v>734.63661246440063</v>
      </c>
      <c r="I12" s="37">
        <f ca="1">'Project &amp; Investor Returns'!I15*$A$11</f>
        <v>3345.1467224779217</v>
      </c>
      <c r="J12" s="37">
        <f ca="1">'Project &amp; Investor Returns'!J15*$A$11</f>
        <v>385.94549230022005</v>
      </c>
      <c r="K12" s="37">
        <f ca="1">'Project &amp; Investor Returns'!K15*$A$11</f>
        <v>1006.5717807623332</v>
      </c>
      <c r="L12" s="37">
        <f ca="1">'Project &amp; Investor Returns'!L15*$A$11</f>
        <v>-1653.2024084273085</v>
      </c>
      <c r="M12" s="37">
        <f ca="1">'Project &amp; Investor Returns'!M15*$A$11</f>
        <v>1390.6544605920953</v>
      </c>
      <c r="N12" s="37">
        <f ca="1">'Project &amp; Investor Returns'!N15*$A$11</f>
        <v>1409.4837500310214</v>
      </c>
      <c r="O12" s="37">
        <f ca="1">'Project &amp; Investor Returns'!O15*$A$11</f>
        <v>393.51129905229254</v>
      </c>
      <c r="P12" s="37">
        <f ca="1">'Project &amp; Investor Returns'!P15*$A$11</f>
        <v>-550.99115003718578</v>
      </c>
      <c r="Q12" s="37">
        <f ca="1">'Project &amp; Investor Returns'!Q15*$A$11</f>
        <v>-250.5523572160057</v>
      </c>
      <c r="R12" s="37">
        <f ca="1">'Project &amp; Investor Returns'!R15*$A$11</f>
        <v>-502.30334760800258</v>
      </c>
      <c r="S12" s="37">
        <f ca="1">'Project &amp; Investor Returns'!S15*$A$11</f>
        <v>-1643.6650574199716</v>
      </c>
      <c r="T12" s="37">
        <f ca="1">'Project &amp; Investor Returns'!T15*$A$11</f>
        <v>-1141.5104895464808</v>
      </c>
      <c r="U12" s="37">
        <f ca="1">'Project &amp; Investor Returns'!U15*$A$11</f>
        <v>1579.0962867987123</v>
      </c>
      <c r="V12" s="37">
        <f ca="1">'Project &amp; Investor Returns'!V15*$A$11</f>
        <v>743.5888725046143</v>
      </c>
      <c r="W12" s="37">
        <f ca="1">'Project &amp; Investor Returns'!W15*$A$11</f>
        <v>-435.18408795587663</v>
      </c>
      <c r="X12" s="37">
        <f ca="1">'Project &amp; Investor Returns'!X15*$A$11</f>
        <v>1331.2360389630408</v>
      </c>
      <c r="Y12" s="37">
        <f ca="1">'Project &amp; Investor Returns'!Y15*$A$11</f>
        <v>1025.9186084237583</v>
      </c>
      <c r="Z12" s="37">
        <f ca="1">'Project &amp; Investor Returns'!Z15*$A$11</f>
        <v>1361.632407757877</v>
      </c>
      <c r="AA12" s="37">
        <f ca="1">'Project &amp; Investor Returns'!AA15*$A$11</f>
        <v>-8097.2147924500232</v>
      </c>
      <c r="AB12" s="435">
        <f t="shared" ca="1" si="1"/>
        <v>0</v>
      </c>
      <c r="AC12" s="463">
        <f ca="1">IF('Project &amp; Investor Returns'!$I$3=0,F12+NPV(Disc,G12:AA12),E12+NPV(Disc,F12:AA12))</f>
        <v>2616.7455039997458</v>
      </c>
    </row>
    <row r="13" spans="1:33" s="75" customFormat="1">
      <c r="A13" s="459"/>
      <c r="B13" s="15" t="s">
        <v>908</v>
      </c>
      <c r="C13" s="15"/>
      <c r="D13" s="161" t="s">
        <v>478</v>
      </c>
      <c r="E13" s="37">
        <f>-Trapped!E40*'Project &amp; Investor Returns'!E$10*$A$11</f>
        <v>0</v>
      </c>
      <c r="F13" s="37">
        <f>-Trapped!F40*'Project &amp; Investor Returns'!F$10*$A$11</f>
        <v>0</v>
      </c>
      <c r="G13" s="37">
        <f ca="1">-Trapped!G40*'Project &amp; Investor Returns'!G$10*$A$11</f>
        <v>0</v>
      </c>
      <c r="H13" s="37">
        <f ca="1">-Trapped!H40*'Project &amp; Investor Returns'!H$10*$A$11</f>
        <v>0</v>
      </c>
      <c r="I13" s="37">
        <f ca="1">-Trapped!I40*'Project &amp; Investor Returns'!I$10*$A$11</f>
        <v>-18.110278259818053</v>
      </c>
      <c r="J13" s="37">
        <f ca="1">-Trapped!J40*'Project &amp; Investor Returns'!J$10*$A$11</f>
        <v>-218.81908160849338</v>
      </c>
      <c r="K13" s="37">
        <f ca="1">-Trapped!K40*'Project &amp; Investor Returns'!K$10*$A$11</f>
        <v>-241.9758111465066</v>
      </c>
      <c r="L13" s="37">
        <f ca="1">-Trapped!L40*'Project &amp; Investor Returns'!L$10*$A$11</f>
        <v>-302.37011799224661</v>
      </c>
      <c r="M13" s="37">
        <f ca="1">-Trapped!M40*'Project &amp; Investor Returns'!M$10*$A$11</f>
        <v>-302.37011799224661</v>
      </c>
      <c r="N13" s="37">
        <f ca="1">-Trapped!N40*'Project &amp; Investor Returns'!N$10*$A$11</f>
        <v>-286.61724112213375</v>
      </c>
      <c r="O13" s="37">
        <f ca="1">-Trapped!O40*'Project &amp; Investor Returns'!O$10*$A$11</f>
        <v>-371.18626612399504</v>
      </c>
      <c r="P13" s="37">
        <f ca="1">-Trapped!P40*'Project &amp; Investor Returns'!P$10*$A$11</f>
        <v>-394.79694406713259</v>
      </c>
      <c r="Q13" s="37">
        <f ca="1">-Trapped!Q40*'Project &amp; Investor Returns'!Q$10*$A$11</f>
        <v>-394.79694406713259</v>
      </c>
      <c r="R13" s="37">
        <f ca="1">-Trapped!R40*'Project &amp; Investor Returns'!R$10*$A$11</f>
        <v>-361.73747506490145</v>
      </c>
      <c r="S13" s="37">
        <f ca="1">-Trapped!S40*'Project &amp; Investor Returns'!S$10*$A$11</f>
        <v>-346.7043336319411</v>
      </c>
      <c r="T13" s="37">
        <f ca="1">-Trapped!T40*'Project &amp; Investor Returns'!T$10*$A$11</f>
        <v>-316.56613277546097</v>
      </c>
      <c r="U13" s="37">
        <f ca="1">-Trapped!U40*'Project &amp; Investor Returns'!U$10*$A$11</f>
        <v>-217.94622933026267</v>
      </c>
      <c r="V13" s="37">
        <f ca="1">-Trapped!V40*'Project &amp; Investor Returns'!V$10*$A$11</f>
        <v>-244.20137716539659</v>
      </c>
      <c r="W13" s="37">
        <f ca="1">-Trapped!W40*'Project &amp; Investor Returns'!W$10*$A$11</f>
        <v>-288.81670951567344</v>
      </c>
      <c r="X13" s="37">
        <f ca="1">-Trapped!X40*'Project &amp; Investor Returns'!X$10*$A$11</f>
        <v>-288.81670951567344</v>
      </c>
      <c r="Y13" s="37">
        <f ca="1">-Trapped!Y40*'Project &amp; Investor Returns'!Y$10*$A$11</f>
        <v>-342.5798265761033</v>
      </c>
      <c r="Z13" s="37">
        <f ca="1">-Trapped!Z40*'Project &amp; Investor Returns'!Z$10*$A$11</f>
        <v>-404.13494308152877</v>
      </c>
      <c r="AA13" s="37">
        <f ca="1">-Trapped!AA40*'Project &amp; Investor Returns'!AA$10*$A$11</f>
        <v>-485.83288754700141</v>
      </c>
      <c r="AB13" s="435">
        <f t="shared" ca="1" si="1"/>
        <v>-5828.3794265836486</v>
      </c>
      <c r="AC13" s="463">
        <f ca="1">IF('Project &amp; Investor Returns'!$I$3=0,F13+NPV(Disc,G13:AA13),E13+NPV(Disc,F13:AA13))</f>
        <v>-898.73024224178903</v>
      </c>
      <c r="AD13" s="15"/>
      <c r="AG13" s="80"/>
    </row>
    <row r="14" spans="1:33" s="75" customFormat="1">
      <c r="A14" s="459"/>
      <c r="B14" s="15" t="s">
        <v>1589</v>
      </c>
      <c r="C14" s="15"/>
      <c r="D14" s="15"/>
      <c r="E14" s="37">
        <f ca="1">'Project &amp; Investor Returns'!E16*$A$11</f>
        <v>0</v>
      </c>
      <c r="F14" s="37">
        <f ca="1">'Project &amp; Investor Returns'!F16*$A$11</f>
        <v>0</v>
      </c>
      <c r="G14" s="37">
        <f ca="1">'Project &amp; Investor Returns'!G16*$A$11</f>
        <v>0</v>
      </c>
      <c r="H14" s="37">
        <f ca="1">'Project &amp; Investor Returns'!H16*$A$11</f>
        <v>0</v>
      </c>
      <c r="I14" s="37">
        <f ca="1">'Project &amp; Investor Returns'!I16*$A$11</f>
        <v>0</v>
      </c>
      <c r="J14" s="37">
        <f ca="1">'Project &amp; Investor Returns'!J16*$A$11</f>
        <v>0</v>
      </c>
      <c r="K14" s="37">
        <f ca="1">'Project &amp; Investor Returns'!K16*$A$11</f>
        <v>446.88258927688946</v>
      </c>
      <c r="L14" s="37">
        <f ca="1">'Project &amp; Investor Returns'!L16*$A$11</f>
        <v>0</v>
      </c>
      <c r="M14" s="37">
        <f ca="1">'Project &amp; Investor Returns'!M16*$A$11</f>
        <v>1720.5937828371264</v>
      </c>
      <c r="N14" s="37">
        <f ca="1">'Project &amp; Investor Returns'!N16*$A$11</f>
        <v>1950.6685441242903</v>
      </c>
      <c r="O14" s="37">
        <f ca="1">'Project &amp; Investor Returns'!O16*$A$11</f>
        <v>1893.5081688557511</v>
      </c>
      <c r="P14" s="37">
        <f ca="1">'Project &amp; Investor Returns'!P16*$A$11</f>
        <v>1688.2527225342928</v>
      </c>
      <c r="Q14" s="37">
        <f ca="1">'Project &amp; Investor Returns'!Q16*$A$11</f>
        <v>1765.3042212643311</v>
      </c>
      <c r="R14" s="37">
        <f ca="1">'Project &amp; Investor Returns'!R16*$A$11</f>
        <v>2029.859348232605</v>
      </c>
      <c r="S14" s="37">
        <f ca="1">'Project &amp; Investor Returns'!S16*$A$11</f>
        <v>2029.859348232605</v>
      </c>
      <c r="T14" s="37">
        <f ca="1">'Project &amp; Investor Returns'!T16*$A$11</f>
        <v>1565.0822623905842</v>
      </c>
      <c r="U14" s="37">
        <f ca="1">'Project &amp; Investor Returns'!U16*$A$11</f>
        <v>2029.859348232605</v>
      </c>
      <c r="V14" s="37">
        <f ca="1">'Project &amp; Investor Returns'!V16*$A$11</f>
        <v>784.20367675395221</v>
      </c>
      <c r="W14" s="37">
        <f ca="1">'Project &amp; Investor Returns'!W16*$A$11</f>
        <v>0</v>
      </c>
      <c r="X14" s="37">
        <f ca="1">'Project &amp; Investor Returns'!X16*$A$11</f>
        <v>0</v>
      </c>
      <c r="Y14" s="37">
        <f ca="1">'Project &amp; Investor Returns'!Y16*$A$11</f>
        <v>0</v>
      </c>
      <c r="Z14" s="37">
        <f ca="1">'Project &amp; Investor Returns'!Z16*$A$11</f>
        <v>0</v>
      </c>
      <c r="AA14" s="37">
        <f ca="1">'Project &amp; Investor Returns'!AA16*$A$11</f>
        <v>0</v>
      </c>
      <c r="AB14" s="435">
        <f t="shared" ca="1" si="1"/>
        <v>17904.074012735036</v>
      </c>
      <c r="AC14" s="463">
        <f ca="1">IF('Project &amp; Investor Returns'!$I$3=0,F14+NPV(Disc,G14:AA14),E14+NPV(Disc,F14:AA14))</f>
        <v>2932.2783874837883</v>
      </c>
      <c r="AD14" s="15"/>
      <c r="AG14" s="80"/>
    </row>
    <row r="15" spans="1:33" s="75" customFormat="1">
      <c r="A15" s="459"/>
      <c r="B15" s="15" t="s">
        <v>1590</v>
      </c>
      <c r="C15" s="212">
        <f>Wh_Int</f>
        <v>0.15</v>
      </c>
      <c r="D15" s="15"/>
      <c r="E15" s="37">
        <f t="shared" ref="E15:AA15" ca="1" si="2">-E14*$C15</f>
        <v>0</v>
      </c>
      <c r="F15" s="37">
        <f t="shared" ca="1" si="2"/>
        <v>0</v>
      </c>
      <c r="G15" s="37">
        <f t="shared" ca="1" si="2"/>
        <v>0</v>
      </c>
      <c r="H15" s="37">
        <f t="shared" ca="1" si="2"/>
        <v>0</v>
      </c>
      <c r="I15" s="37">
        <f t="shared" ca="1" si="2"/>
        <v>0</v>
      </c>
      <c r="J15" s="37">
        <f t="shared" ca="1" si="2"/>
        <v>0</v>
      </c>
      <c r="K15" s="37">
        <f t="shared" ca="1" si="2"/>
        <v>-67.032388391533416</v>
      </c>
      <c r="L15" s="37">
        <f t="shared" ca="1" si="2"/>
        <v>0</v>
      </c>
      <c r="M15" s="37">
        <f t="shared" ca="1" si="2"/>
        <v>-258.08906742556894</v>
      </c>
      <c r="N15" s="37">
        <f t="shared" ca="1" si="2"/>
        <v>-292.60028161864352</v>
      </c>
      <c r="O15" s="37">
        <f t="shared" ca="1" si="2"/>
        <v>-284.02622532836267</v>
      </c>
      <c r="P15" s="37">
        <f t="shared" ca="1" si="2"/>
        <v>-253.23790838014392</v>
      </c>
      <c r="Q15" s="37">
        <f t="shared" ca="1" si="2"/>
        <v>-264.79563318964966</v>
      </c>
      <c r="R15" s="37">
        <f t="shared" ca="1" si="2"/>
        <v>-304.47890223489077</v>
      </c>
      <c r="S15" s="37">
        <f t="shared" ca="1" si="2"/>
        <v>-304.47890223489077</v>
      </c>
      <c r="T15" s="37">
        <f t="shared" ca="1" si="2"/>
        <v>-234.76233935858761</v>
      </c>
      <c r="U15" s="37">
        <f t="shared" ca="1" si="2"/>
        <v>-304.47890223489077</v>
      </c>
      <c r="V15" s="37">
        <f t="shared" ca="1" si="2"/>
        <v>-117.63055151309283</v>
      </c>
      <c r="W15" s="37">
        <f t="shared" ca="1" si="2"/>
        <v>0</v>
      </c>
      <c r="X15" s="37">
        <f t="shared" ca="1" si="2"/>
        <v>0</v>
      </c>
      <c r="Y15" s="37">
        <f t="shared" ca="1" si="2"/>
        <v>0</v>
      </c>
      <c r="Z15" s="37">
        <f t="shared" ca="1" si="2"/>
        <v>0</v>
      </c>
      <c r="AA15" s="37">
        <f t="shared" ca="1" si="2"/>
        <v>0</v>
      </c>
      <c r="AB15" s="435">
        <f t="shared" ca="1" si="1"/>
        <v>-2685.611101910255</v>
      </c>
      <c r="AC15" s="463">
        <f ca="1">IF('Project &amp; Investor Returns'!$I$3=0,F15+NPV(Disc,G15:AA15),E15+NPV(Disc,F15:AA15))</f>
        <v>-439.84175812256819</v>
      </c>
      <c r="AD15" s="15"/>
      <c r="AG15" s="80"/>
    </row>
    <row r="16" spans="1:33" s="75" customFormat="1">
      <c r="A16" s="459"/>
      <c r="B16" s="15" t="s">
        <v>577</v>
      </c>
      <c r="C16" s="212">
        <f>USTax</f>
        <v>0.37</v>
      </c>
      <c r="D16" s="15"/>
      <c r="E16" s="142">
        <f t="shared" ref="E16:AA16" si="3">-SUM(E13:E13)*USTax</f>
        <v>0</v>
      </c>
      <c r="F16" s="142">
        <f t="shared" si="3"/>
        <v>0</v>
      </c>
      <c r="G16" s="142">
        <f t="shared" ca="1" si="3"/>
        <v>0</v>
      </c>
      <c r="H16" s="142">
        <f t="shared" ca="1" si="3"/>
        <v>0</v>
      </c>
      <c r="I16" s="142">
        <f t="shared" ca="1" si="3"/>
        <v>6.7008029561326792</v>
      </c>
      <c r="J16" s="142">
        <f t="shared" ca="1" si="3"/>
        <v>80.963060195142546</v>
      </c>
      <c r="K16" s="142">
        <f t="shared" ca="1" si="3"/>
        <v>89.531050124207439</v>
      </c>
      <c r="L16" s="142">
        <f t="shared" ca="1" si="3"/>
        <v>111.87694365713125</v>
      </c>
      <c r="M16" s="142">
        <f t="shared" ca="1" si="3"/>
        <v>111.87694365713125</v>
      </c>
      <c r="N16" s="142">
        <f t="shared" ca="1" si="3"/>
        <v>106.04837921518948</v>
      </c>
      <c r="O16" s="142">
        <f t="shared" ca="1" si="3"/>
        <v>137.33891846587815</v>
      </c>
      <c r="P16" s="142">
        <f t="shared" ca="1" si="3"/>
        <v>146.07486930483904</v>
      </c>
      <c r="Q16" s="142">
        <f t="shared" ca="1" si="3"/>
        <v>146.07486930483904</v>
      </c>
      <c r="R16" s="142">
        <f t="shared" ca="1" si="3"/>
        <v>133.84286577401355</v>
      </c>
      <c r="S16" s="142">
        <f t="shared" ca="1" si="3"/>
        <v>128.28060344381819</v>
      </c>
      <c r="T16" s="142">
        <f t="shared" ca="1" si="3"/>
        <v>117.12946912692055</v>
      </c>
      <c r="U16" s="142">
        <f t="shared" ca="1" si="3"/>
        <v>80.640104852197183</v>
      </c>
      <c r="V16" s="142">
        <f t="shared" ca="1" si="3"/>
        <v>90.354509551196742</v>
      </c>
      <c r="W16" s="142">
        <f t="shared" ca="1" si="3"/>
        <v>106.86218252079917</v>
      </c>
      <c r="X16" s="142">
        <f t="shared" ca="1" si="3"/>
        <v>106.86218252079917</v>
      </c>
      <c r="Y16" s="142">
        <f t="shared" ca="1" si="3"/>
        <v>126.75453583315822</v>
      </c>
      <c r="Z16" s="142">
        <f t="shared" ca="1" si="3"/>
        <v>149.52992894016563</v>
      </c>
      <c r="AA16" s="142">
        <f t="shared" ca="1" si="3"/>
        <v>179.75816839239053</v>
      </c>
      <c r="AB16" s="436">
        <f t="shared" ca="1" si="1"/>
        <v>2156.5003878359498</v>
      </c>
      <c r="AC16" s="464">
        <f ca="1">IF('Project &amp; Investor Returns'!$I$3=0,F16+NPV(Disc,G16:AA16),E16+NPV(Disc,F16:AA16))</f>
        <v>332.53018962946197</v>
      </c>
      <c r="AD16" s="15"/>
      <c r="AG16" s="80"/>
    </row>
    <row r="17" spans="1:33" s="81" customFormat="1">
      <c r="A17" s="460"/>
      <c r="B17" s="15" t="s">
        <v>480</v>
      </c>
      <c r="C17" s="15"/>
      <c r="D17" s="15"/>
      <c r="E17" s="37">
        <f t="shared" ref="E17:AA17" ca="1" si="4">SUM(E10:E16)</f>
        <v>0</v>
      </c>
      <c r="F17" s="37">
        <f t="shared" ca="1" si="4"/>
        <v>-20298.59348232605</v>
      </c>
      <c r="G17" s="37">
        <f t="shared" ca="1" si="4"/>
        <v>-432.79864146743307</v>
      </c>
      <c r="H17" s="37">
        <f t="shared" ca="1" si="4"/>
        <v>734.63661246440063</v>
      </c>
      <c r="I17" s="37">
        <f t="shared" ca="1" si="4"/>
        <v>3333.737247174236</v>
      </c>
      <c r="J17" s="37">
        <f t="shared" ca="1" si="4"/>
        <v>248.08947088686909</v>
      </c>
      <c r="K17" s="37">
        <f t="shared" ca="1" si="4"/>
        <v>1233.9772206253906</v>
      </c>
      <c r="L17" s="37">
        <f t="shared" ca="1" si="4"/>
        <v>-1843.6955827624238</v>
      </c>
      <c r="M17" s="37">
        <f t="shared" ca="1" si="4"/>
        <v>2662.6660016685369</v>
      </c>
      <c r="N17" s="37">
        <f t="shared" ca="1" si="4"/>
        <v>2886.9831506297237</v>
      </c>
      <c r="O17" s="37">
        <f t="shared" ca="1" si="4"/>
        <v>2271.6275232506632</v>
      </c>
      <c r="P17" s="37">
        <f t="shared" ca="1" si="4"/>
        <v>1935.7257923457466</v>
      </c>
      <c r="Q17" s="37">
        <f t="shared" ca="1" si="4"/>
        <v>2360.8555460159432</v>
      </c>
      <c r="R17" s="37">
        <f t="shared" ca="1" si="4"/>
        <v>2560.1012794855596</v>
      </c>
      <c r="S17" s="37">
        <f t="shared" ca="1" si="4"/>
        <v>1563.5529297956411</v>
      </c>
      <c r="T17" s="37">
        <f t="shared" ca="1" si="4"/>
        <v>1194.8795346752015</v>
      </c>
      <c r="U17" s="37">
        <f t="shared" ca="1" si="4"/>
        <v>4718.8217724851065</v>
      </c>
      <c r="V17" s="37">
        <f t="shared" ca="1" si="4"/>
        <v>1783.6130820783303</v>
      </c>
      <c r="W17" s="37">
        <f t="shared" ca="1" si="4"/>
        <v>-617.13861495075093</v>
      </c>
      <c r="X17" s="37">
        <f t="shared" ca="1" si="4"/>
        <v>1149.2815119681666</v>
      </c>
      <c r="Y17" s="37">
        <f t="shared" ca="1" si="4"/>
        <v>810.09331768081324</v>
      </c>
      <c r="Z17" s="37">
        <f t="shared" ca="1" si="4"/>
        <v>1107.0273936165145</v>
      </c>
      <c r="AA17" s="37">
        <f t="shared" ca="1" si="4"/>
        <v>1356.9603916652854</v>
      </c>
      <c r="AB17" s="435">
        <f t="shared" ca="1" si="1"/>
        <v>10720.403457005468</v>
      </c>
      <c r="AC17" s="435">
        <f ca="1">SUM(AC10:AC16)</f>
        <v>-14345.121978264653</v>
      </c>
      <c r="AD17" s="15"/>
    </row>
    <row r="18" spans="1:33" s="81" customFormat="1">
      <c r="A18" s="460"/>
      <c r="B18" s="15"/>
      <c r="C18" s="15"/>
      <c r="D18" s="15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435"/>
      <c r="AC18" s="435"/>
      <c r="AD18" s="15"/>
    </row>
    <row r="19" spans="1:33">
      <c r="A19" s="461"/>
      <c r="B19" s="15" t="s">
        <v>472</v>
      </c>
      <c r="E19" s="221">
        <f ca="1">$E17</f>
        <v>0</v>
      </c>
      <c r="F19" s="221">
        <f ca="1">IF('Project &amp; Investor Returns'!$I$3=0,$F17,$E17+NPV(Disc,$F17:F17))</f>
        <v>-20298.59348232605</v>
      </c>
      <c r="G19" s="37">
        <f ca="1">IF('Project &amp; Investor Returns'!$I$3=0,$F17+NPV(Disc, $G17:G17),$E17+NPV(Disc,$F17:G17))</f>
        <v>-20662.28981969364</v>
      </c>
      <c r="H19" s="37">
        <f ca="1">IF('Project &amp; Investor Returns'!$I$3=0,$F17+NPV(Disc, $G17:H17),$E17+NPV(Disc,$F17:H17))</f>
        <v>-20143.515289318384</v>
      </c>
      <c r="I19" s="37">
        <f ca="1">IF('Project &amp; Investor Returns'!$I$3=0,$F17+NPV(Disc, $G17:I17),$E17+NPV(Disc,$F17:I17))</f>
        <v>-18165.222886539636</v>
      </c>
      <c r="J19" s="37">
        <f ca="1">IF('Project &amp; Investor Returns'!$I$3=0,$F17+NPV(Disc, $G17:J17),$E17+NPV(Disc,$F17:J17))</f>
        <v>-18041.508419855032</v>
      </c>
      <c r="K19" s="37">
        <f ca="1">IF('Project &amp; Investor Returns'!$I$3=0,$F17+NPV(Disc, $G17:K17),$E17+NPV(Disc,$F17:K17))</f>
        <v>-17524.411041808773</v>
      </c>
      <c r="L19" s="37">
        <f ca="1">IF('Project &amp; Investor Returns'!$I$3=0,$F17+NPV(Disc, $G17:L17),$E17+NPV(Disc,$F17:L17))</f>
        <v>-18173.654297392695</v>
      </c>
      <c r="M19" s="37">
        <f ca="1">IF('Project &amp; Investor Returns'!$I$3=0,$F17+NPV(Disc, $G17:M17),$E17+NPV(Disc,$F17:M17))</f>
        <v>-17385.723704215252</v>
      </c>
      <c r="N19" s="37">
        <f ca="1">IF('Project &amp; Investor Returns'!$I$3=0,$F17+NPV(Disc, $G17:N17),$E17+NPV(Disc,$F17:N17))</f>
        <v>-16667.816092435114</v>
      </c>
      <c r="O19" s="37">
        <f ca="1">IF('Project &amp; Investor Returns'!$I$3=0,$F17+NPV(Disc, $G17:O17),$E17+NPV(Disc,$F17:O17))</f>
        <v>-16193.121297728663</v>
      </c>
      <c r="P19" s="37">
        <f ca="1">IF('Project &amp; Investor Returns'!$I$3=0,$F17+NPV(Disc, $G17:P17),$E17+NPV(Disc,$F17:P17))</f>
        <v>-15853.203250706494</v>
      </c>
      <c r="Q19" s="37">
        <f ca="1">IF('Project &amp; Investor Returns'!$I$3=0,$F17+NPV(Disc, $G17:Q17),$E17+NPV(Disc,$F17:Q17))</f>
        <v>-15504.823551909969</v>
      </c>
      <c r="R19" s="37">
        <f ca="1">IF('Project &amp; Investor Returns'!$I$3=0,$F17+NPV(Disc, $G17:R17),$E17+NPV(Disc,$F17:R17))</f>
        <v>-15187.360190827367</v>
      </c>
      <c r="S19" s="37">
        <f ca="1">IF('Project &amp; Investor Returns'!$I$3=0,$F17+NPV(Disc, $G17:S17),$E17+NPV(Disc,$F17:S17))</f>
        <v>-15024.429803638694</v>
      </c>
      <c r="T19" s="37">
        <f ca="1">IF('Project &amp; Investor Returns'!$I$3=0,$F17+NPV(Disc, $G17:T17),$E17+NPV(Disc,$F17:T17))</f>
        <v>-14919.797288893398</v>
      </c>
      <c r="U19" s="37">
        <f ca="1">IF('Project &amp; Investor Returns'!$I$3=0,$F17+NPV(Disc, $G17:U17),$E17+NPV(Disc,$F17:U17))</f>
        <v>-14572.557763719622</v>
      </c>
      <c r="V19" s="37">
        <f ca="1">IF('Project &amp; Investor Returns'!$I$3=0,$F17+NPV(Disc, $G17:V17),$E17+NPV(Disc,$F17:V17))</f>
        <v>-14462.264429262663</v>
      </c>
      <c r="W19" s="37">
        <f ca="1">IF('Project &amp; Investor Returns'!$I$3=0,$F17+NPV(Disc, $G17:W17),$E17+NPV(Disc,$F17:W17))</f>
        <v>-14494.333352480247</v>
      </c>
      <c r="X19" s="37">
        <f ca="1">IF('Project &amp; Investor Returns'!$I$3=0,$F17+NPV(Disc, $G17:X17),$E17+NPV(Disc,$F17:X17))</f>
        <v>-14444.14752199109</v>
      </c>
      <c r="Y19" s="37">
        <f ca="1">IF('Project &amp; Investor Returns'!$I$3=0,$F17+NPV(Disc, $G17:Y17),$E17+NPV(Disc,$F17:Y17))</f>
        <v>-14414.421090099731</v>
      </c>
      <c r="Z19" s="37">
        <f ca="1">IF('Project &amp; Investor Returns'!$I$3=0,$F17+NPV(Disc, $G17:Z17),$E17+NPV(Disc,$F17:Z17))</f>
        <v>-14380.284578401954</v>
      </c>
      <c r="AA19" s="37">
        <f ca="1">IF('Project &amp; Investor Returns'!$I$3=0,$F17+NPV(Disc, $G17:AA17),$E17+NPV(Disc,$F17:AA17))</f>
        <v>-14345.121978264653</v>
      </c>
      <c r="AB19" s="466"/>
      <c r="AC19" s="435">
        <f ca="1">AC17</f>
        <v>-14345.121978264653</v>
      </c>
    </row>
    <row r="20" spans="1:33">
      <c r="A20" s="461"/>
      <c r="B20" s="15" t="s">
        <v>473</v>
      </c>
      <c r="E20" s="32" t="e">
        <f ca="1">IRR($E17:E17,-0.9)</f>
        <v>#NUM!</v>
      </c>
      <c r="F20" s="32" t="e">
        <f ca="1">IRR($E17:F17,-0.9)</f>
        <v>#NUM!</v>
      </c>
      <c r="G20" s="32" t="e">
        <f ca="1">IRR($E17:G17,-0.9)</f>
        <v>#NUM!</v>
      </c>
      <c r="H20" s="32">
        <f ca="1">IRR($E17:H17,-0.9)</f>
        <v>-0.82012168434396027</v>
      </c>
      <c r="I20" s="32">
        <f ca="1">IRR($E17:I17,-0.9)</f>
        <v>-0.43764111839764724</v>
      </c>
      <c r="J20" s="32">
        <f ca="1">IRR($E17:J17,-0.9)</f>
        <v>-0.41614296515177079</v>
      </c>
      <c r="K20" s="32">
        <f ca="1">IRR($E17:K17,-0.9)</f>
        <v>-0.31223431113684086</v>
      </c>
      <c r="L20" s="32" t="e">
        <f ca="1">IRR($E17:L17,-0.9)</f>
        <v>#NUM!</v>
      </c>
      <c r="M20" s="32">
        <f ca="1">IRR($E17:M17,-0.9)</f>
        <v>-0.22516684470227297</v>
      </c>
      <c r="N20" s="32">
        <f ca="1">IRR($E17:N17,-0.9)</f>
        <v>-0.13173822348521749</v>
      </c>
      <c r="O20" s="32">
        <f ca="1">IRR($E17:O17,-0.9)</f>
        <v>-8.8490242461662247E-2</v>
      </c>
      <c r="P20" s="32">
        <f ca="1">IRR($E17:P17,-0.9)</f>
        <v>-6.1202489532927784E-2</v>
      </c>
      <c r="Q20" s="32">
        <f ca="1">IRR($E17:Q17,-0.9)</f>
        <v>-3.5781561799223587E-2</v>
      </c>
      <c r="R20" s="32">
        <f ca="1">IRR($E17:R17,-0.9)</f>
        <v>-1.4927572070219277E-2</v>
      </c>
      <c r="S20" s="32">
        <f ca="1">IRR($E17:S17,-0.9)</f>
        <v>-4.6102340780713952E-3</v>
      </c>
      <c r="T20" s="32">
        <f ca="1">IRR($E17:T17,-0.9)</f>
        <v>2.2859102772915586E-3</v>
      </c>
      <c r="U20" s="32">
        <f ca="1">IRR($E17:U17,-0.9)</f>
        <v>2.330951572340426E-2</v>
      </c>
      <c r="V20" s="32">
        <f ca="1">IRR($E17:V17,-0.9)</f>
        <v>2.9416073326862538E-2</v>
      </c>
      <c r="W20" s="32">
        <f ca="1">IRR($E17:W17,-0.9)</f>
        <v>2.7437873622811682E-2</v>
      </c>
      <c r="X20" s="32">
        <f ca="1">IRR($E17:X17,-0.9)</f>
        <v>3.0953984598175329E-2</v>
      </c>
      <c r="Y20" s="32">
        <f ca="1">IRR($E17:Y17,-0.9)</f>
        <v>3.3202116036955574E-2</v>
      </c>
      <c r="Z20" s="32">
        <f ca="1">IRR($E17:Z17,-0.9)</f>
        <v>3.5992567763050397E-2</v>
      </c>
      <c r="AA20" s="32">
        <f ca="1">IRR($E17:AA17,-0.9)</f>
        <v>3.9046794546525411E-2</v>
      </c>
      <c r="AB20" s="465"/>
      <c r="AC20" s="471">
        <f ca="1">IRR(E17:AA17,-0.9)</f>
        <v>3.9046794546525411E-2</v>
      </c>
    </row>
    <row r="21" spans="1:33">
      <c r="A21" s="461"/>
      <c r="AB21" s="430"/>
      <c r="AC21" s="431"/>
    </row>
    <row r="22" spans="1:33">
      <c r="A22" s="461"/>
      <c r="B22" s="243" t="str">
        <f ca="1">CONCATENATE(Assm!$H$86," NPV @ ",TEXT(Disc,"0.0%"))</f>
        <v>Shell NPV @ 19.0%</v>
      </c>
      <c r="C22" s="452">
        <f ca="1">AC19</f>
        <v>-14345.121978264653</v>
      </c>
      <c r="D22" s="3"/>
      <c r="AB22" s="430"/>
      <c r="AC22" s="431"/>
    </row>
    <row r="23" spans="1:33">
      <c r="A23" s="417"/>
      <c r="B23" s="253" t="str">
        <f>CONCATENATE(Assm!$H$86," IRR")</f>
        <v>Shell IRR</v>
      </c>
      <c r="C23" s="917">
        <f ca="1">AC20</f>
        <v>3.9046794546525411E-2</v>
      </c>
      <c r="D23" s="31"/>
      <c r="E23" s="78"/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468"/>
      <c r="AC23" s="469"/>
    </row>
    <row r="24" spans="1:33">
      <c r="A24" s="20"/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465"/>
      <c r="AC24" s="430"/>
    </row>
    <row r="25" spans="1:33" s="81" customFormat="1">
      <c r="A25" s="458"/>
      <c r="B25" s="15" t="s">
        <v>232</v>
      </c>
      <c r="C25" s="15"/>
      <c r="D25" s="15"/>
      <c r="E25" s="37">
        <f ca="1">E17</f>
        <v>0</v>
      </c>
      <c r="F25" s="37">
        <f t="shared" ref="F25:AA25" ca="1" si="5">F17</f>
        <v>-20298.59348232605</v>
      </c>
      <c r="G25" s="37">
        <f t="shared" ca="1" si="5"/>
        <v>-432.79864146743307</v>
      </c>
      <c r="H25" s="37">
        <f t="shared" ca="1" si="5"/>
        <v>734.63661246440063</v>
      </c>
      <c r="I25" s="37">
        <f t="shared" ca="1" si="5"/>
        <v>3333.737247174236</v>
      </c>
      <c r="J25" s="37">
        <f t="shared" ca="1" si="5"/>
        <v>248.08947088686909</v>
      </c>
      <c r="K25" s="37">
        <f t="shared" ca="1" si="5"/>
        <v>1233.9772206253906</v>
      </c>
      <c r="L25" s="37">
        <f t="shared" ca="1" si="5"/>
        <v>-1843.6955827624238</v>
      </c>
      <c r="M25" s="37">
        <f t="shared" ca="1" si="5"/>
        <v>2662.6660016685369</v>
      </c>
      <c r="N25" s="37">
        <f t="shared" ca="1" si="5"/>
        <v>2886.9831506297237</v>
      </c>
      <c r="O25" s="37">
        <f t="shared" ca="1" si="5"/>
        <v>2271.6275232506632</v>
      </c>
      <c r="P25" s="37">
        <f t="shared" ca="1" si="5"/>
        <v>1935.7257923457466</v>
      </c>
      <c r="Q25" s="37">
        <f t="shared" ca="1" si="5"/>
        <v>2360.8555460159432</v>
      </c>
      <c r="R25" s="37">
        <f t="shared" ca="1" si="5"/>
        <v>2560.1012794855596</v>
      </c>
      <c r="S25" s="37">
        <f t="shared" ca="1" si="5"/>
        <v>1563.5529297956411</v>
      </c>
      <c r="T25" s="37">
        <f t="shared" ca="1" si="5"/>
        <v>1194.8795346752015</v>
      </c>
      <c r="U25" s="37">
        <f t="shared" ca="1" si="5"/>
        <v>4718.8217724851065</v>
      </c>
      <c r="V25" s="37">
        <f t="shared" ca="1" si="5"/>
        <v>1783.6130820783303</v>
      </c>
      <c r="W25" s="37">
        <f t="shared" ca="1" si="5"/>
        <v>-617.13861495075093</v>
      </c>
      <c r="X25" s="37">
        <f t="shared" ca="1" si="5"/>
        <v>1149.2815119681666</v>
      </c>
      <c r="Y25" s="37">
        <f t="shared" ca="1" si="5"/>
        <v>810.09331768081324</v>
      </c>
      <c r="Z25" s="37">
        <f t="shared" ca="1" si="5"/>
        <v>1107.0273936165145</v>
      </c>
      <c r="AA25" s="37">
        <f t="shared" ca="1" si="5"/>
        <v>1356.9603916652854</v>
      </c>
      <c r="AB25" s="435">
        <f t="shared" ref="AB25:AB31" ca="1" si="6">SUM(E25:AA25)</f>
        <v>10720.403457005468</v>
      </c>
      <c r="AC25" s="463">
        <f ca="1">IF('Project &amp; Investor Returns'!$I$3=0,F25+NPV(Disc,G25:AA25),E25+NPV(Disc,F25:AA25))</f>
        <v>-14345.121978264653</v>
      </c>
      <c r="AD25" s="15"/>
    </row>
    <row r="26" spans="1:33">
      <c r="A26" s="457">
        <f>A10</f>
        <v>0.21875</v>
      </c>
      <c r="B26" s="15" t="s">
        <v>30</v>
      </c>
      <c r="E26" s="37">
        <f ca="1">-HLOOKUP(DATE(E$7,12,31),Idc_Table,IDC!$BB$89)*$A26-SUM($D26:D26)</f>
        <v>0</v>
      </c>
      <c r="F26" s="37">
        <f ca="1">-HLOOKUP(DATE(F$7,12,31),Idc_Table,IDC!$BB$89)*$A26-SUM($D26:E26)</f>
        <v>-5758.5669636142675</v>
      </c>
      <c r="G26" s="37">
        <f ca="1">-HLOOKUP(DATE(G$7,12,31),Idc_Table,IDC!$BB$89)*$A26-SUM($D26:F26)</f>
        <v>-12035.606517950448</v>
      </c>
      <c r="H26" s="37">
        <f ca="1">-HLOOKUP(DATE(H$7,12,31),Idc_Table,IDC!$BB$89)*$A26-SUM($D26:G26)</f>
        <v>-8738.0445751079315</v>
      </c>
      <c r="I26" s="37">
        <f ca="1">-HLOOKUP(DATE(I$7,12,31),Idc_Table,IDC!$BB$89)*$A26-SUM($D26:H26)</f>
        <v>0</v>
      </c>
      <c r="J26" s="37">
        <f ca="1">-HLOOKUP(DATE(J$7,12,31),Idc_Table,IDC!$BB$89)*$A26-SUM($D26:I26)</f>
        <v>0</v>
      </c>
      <c r="K26" s="37">
        <f ca="1">-HLOOKUP(DATE(K$7,12,31),Idc_Table,IDC!$BB$89)*$A26-SUM($D26:J26)</f>
        <v>0</v>
      </c>
      <c r="L26" s="37">
        <f ca="1">-HLOOKUP(DATE(L$7,12,31),Idc_Table,IDC!$BB$89)*$A26-SUM($D26:K26)</f>
        <v>0</v>
      </c>
      <c r="M26" s="37">
        <f ca="1">-HLOOKUP(DATE(M$7,12,31),Idc_Table,IDC!$BB$89)*$A26-SUM($D26:L26)</f>
        <v>0</v>
      </c>
      <c r="N26" s="37">
        <f ca="1">-HLOOKUP(DATE(N$7,12,31),Idc_Table,IDC!$BB$89)*$A26-SUM($D26:M26)</f>
        <v>0</v>
      </c>
      <c r="O26" s="37">
        <f ca="1">-HLOOKUP(DATE(O$7,12,31),Idc_Table,IDC!$BB$89)*$A26-SUM($D26:N26)</f>
        <v>0</v>
      </c>
      <c r="P26" s="37">
        <f ca="1">-HLOOKUP(DATE(P$7,12,31),Idc_Table,IDC!$BB$89)*$A26-SUM($D26:O26)</f>
        <v>0</v>
      </c>
      <c r="Q26" s="37">
        <f ca="1">-HLOOKUP(DATE(Q$7,12,31),Idc_Table,IDC!$BB$89)*$A26-SUM($D26:P26)</f>
        <v>0</v>
      </c>
      <c r="R26" s="37">
        <f ca="1">-HLOOKUP(DATE(R$7,12,31),Idc_Table,IDC!$BB$89)*$A26-SUM($D26:Q26)</f>
        <v>0</v>
      </c>
      <c r="S26" s="37">
        <f ca="1">-HLOOKUP(DATE(S$7,12,31),Idc_Table,IDC!$BB$89)*$A26-SUM($D26:R26)</f>
        <v>0</v>
      </c>
      <c r="T26" s="37">
        <f ca="1">-HLOOKUP(DATE(T$7,12,31),Idc_Table,IDC!$BB$89)*$A26-SUM($D26:S26)</f>
        <v>0</v>
      </c>
      <c r="U26" s="37">
        <f ca="1">-HLOOKUP(DATE(U$7,12,31),Idc_Table,IDC!$BB$89)*$A26-SUM($D26:T26)</f>
        <v>0</v>
      </c>
      <c r="V26" s="37">
        <f ca="1">-HLOOKUP(DATE(V$7,12,31),Idc_Table,IDC!$BB$89)*$A26-SUM($D26:U26)</f>
        <v>0</v>
      </c>
      <c r="W26" s="37">
        <f ca="1">-HLOOKUP(DATE(W$7,12,31),Idc_Table,IDC!$BB$89)*$A26-SUM($D26:V26)</f>
        <v>0</v>
      </c>
      <c r="X26" s="37">
        <f ca="1">-HLOOKUP(DATE(X$7,12,31),Idc_Table,IDC!$BB$89)*$A26-SUM($D26:W26)</f>
        <v>0</v>
      </c>
      <c r="Y26" s="37">
        <f ca="1">-HLOOKUP(DATE(Y$7,12,31),Idc_Table,IDC!$BB$89)*$A26-SUM($D26:X26)</f>
        <v>0</v>
      </c>
      <c r="Z26" s="37">
        <f ca="1">-HLOOKUP(DATE(Z$7,12,31),Idc_Table,IDC!$BB$89)*$A26-SUM($D26:Y26)</f>
        <v>0</v>
      </c>
      <c r="AA26" s="37">
        <f ca="1">-HLOOKUP(DATE(AA$7,12,31),Idc_Table,IDC!$BB$89)*$A26-SUM($D26:Z26)</f>
        <v>0</v>
      </c>
      <c r="AB26" s="435">
        <f t="shared" ca="1" si="6"/>
        <v>-26532.218056672646</v>
      </c>
      <c r="AC26" s="463">
        <f ca="1">IF('Project &amp; Investor Returns'!$I$3=0,F26+NPV(Disc,G26:AA26),E26+NPV(Disc,F26:AA26))</f>
        <v>-22043.021685363412</v>
      </c>
    </row>
    <row r="27" spans="1:33">
      <c r="A27" s="457"/>
      <c r="B27" s="15" t="s">
        <v>31</v>
      </c>
      <c r="E27" s="37">
        <f ca="1">IF(E$7=YEAR(Fin_Close),-SUM($D26:E26),0)</f>
        <v>0</v>
      </c>
      <c r="F27" s="37">
        <f ca="1">IF(F$7=YEAR(Fin_Close),-SUM($D26:F26),0)</f>
        <v>0</v>
      </c>
      <c r="G27" s="37">
        <f ca="1">IF(G$7=YEAR(Fin_Close),-SUM($D26:G26),0)</f>
        <v>0</v>
      </c>
      <c r="H27" s="37">
        <f ca="1">IF(H$7=YEAR(Fin_Close),-SUM($D26:H26),0)</f>
        <v>26532.218056672646</v>
      </c>
      <c r="I27" s="37">
        <f ca="1">IF(I$7=YEAR(Fin_Close),-SUM($D26:I26),0)</f>
        <v>0</v>
      </c>
      <c r="J27" s="37">
        <f ca="1">IF(J$7=YEAR(Fin_Close),-SUM($D26:J26),0)</f>
        <v>0</v>
      </c>
      <c r="K27" s="37">
        <f ca="1">IF(K$7=YEAR(Fin_Close),-SUM($D26:K26),0)</f>
        <v>0</v>
      </c>
      <c r="L27" s="37">
        <f ca="1">IF(L$7=YEAR(Fin_Close),-SUM($D26:L26),0)</f>
        <v>0</v>
      </c>
      <c r="M27" s="37">
        <f ca="1">IF(M$7=YEAR(Fin_Close),-SUM($D26:M26),0)</f>
        <v>0</v>
      </c>
      <c r="N27" s="37">
        <f ca="1">IF(N$7=YEAR(Fin_Close),-SUM($D26:N26),0)</f>
        <v>0</v>
      </c>
      <c r="O27" s="37">
        <f ca="1">IF(O$7=YEAR(Fin_Close),-SUM($D26:O26),0)</f>
        <v>0</v>
      </c>
      <c r="P27" s="37">
        <f ca="1">IF(P$7=YEAR(Fin_Close),-SUM($D26:P26),0)</f>
        <v>0</v>
      </c>
      <c r="Q27" s="37">
        <f ca="1">IF(Q$7=YEAR(Fin_Close),-SUM($D26:Q26),0)</f>
        <v>0</v>
      </c>
      <c r="R27" s="37">
        <f ca="1">IF(R$7=YEAR(Fin_Close),-SUM($D26:R26),0)</f>
        <v>0</v>
      </c>
      <c r="S27" s="37">
        <f ca="1">IF(S$7=YEAR(Fin_Close),-SUM($D26:S26),0)</f>
        <v>0</v>
      </c>
      <c r="T27" s="37">
        <f ca="1">IF(T$7=YEAR(Fin_Close),-SUM($D26:T26),0)</f>
        <v>0</v>
      </c>
      <c r="U27" s="37">
        <f ca="1">IF(U$7=YEAR(Fin_Close),-SUM($D26:U26),0)</f>
        <v>0</v>
      </c>
      <c r="V27" s="37">
        <f ca="1">IF(V$7=YEAR(Fin_Close),-SUM($D26:V26),0)</f>
        <v>0</v>
      </c>
      <c r="W27" s="37">
        <f ca="1">IF(W$7=YEAR(Fin_Close),-SUM($D26:W26),0)</f>
        <v>0</v>
      </c>
      <c r="X27" s="37">
        <f ca="1">IF(X$7=YEAR(Fin_Close),-SUM($D26:X26),0)</f>
        <v>0</v>
      </c>
      <c r="Y27" s="37">
        <f ca="1">IF(Y$7=YEAR(Fin_Close),-SUM($D26:Y26),0)</f>
        <v>0</v>
      </c>
      <c r="Z27" s="37">
        <f ca="1">IF(Z$7=YEAR(Fin_Close),-SUM($D26:Z26),0)</f>
        <v>0</v>
      </c>
      <c r="AA27" s="37">
        <f ca="1">IF(AA$7=YEAR(Fin_Close),-SUM($D26:AA26),0)</f>
        <v>0</v>
      </c>
      <c r="AB27" s="435">
        <f t="shared" ca="1" si="6"/>
        <v>26532.218056672646</v>
      </c>
      <c r="AC27" s="463">
        <f ca="1">IF('Project &amp; Investor Returns'!$I$3=0,F27+NPV(Disc,G27:AA27),E27+NPV(Disc,F27:AA27))</f>
        <v>18736.118958175728</v>
      </c>
    </row>
    <row r="28" spans="1:33">
      <c r="A28" s="20"/>
      <c r="B28" s="15" t="s">
        <v>32</v>
      </c>
      <c r="D28" s="161" t="s">
        <v>486</v>
      </c>
      <c r="E28" s="37">
        <f ca="1">HLOOKUP(DATE(E$7,12,31),Idc_Table,IDC!$BB$90)*$A26-SUM($D28:D28)</f>
        <v>0</v>
      </c>
      <c r="F28" s="37">
        <f ca="1">HLOOKUP(DATE(F$7,12,31),Idc_Table,IDC!$BB$90)*$A26-SUM($D28:E28)</f>
        <v>30.256841231156532</v>
      </c>
      <c r="G28" s="37">
        <f ca="1">HLOOKUP(DATE(G$7,12,31),Idc_Table,IDC!$BB$90)*$A26-SUM($D28:F28)</f>
        <v>813.4922306478519</v>
      </c>
      <c r="H28" s="37">
        <f ca="1">HLOOKUP(DATE(H$7,12,31),Idc_Table,IDC!$BB$90)*$A26-SUM($D28:G28)</f>
        <v>859.12779597790177</v>
      </c>
      <c r="I28" s="37">
        <f ca="1">HLOOKUP(DATE(I$7,12,31),Idc_Table,IDC!$BB$90)*$A26-SUM($D28:H28)</f>
        <v>0</v>
      </c>
      <c r="J28" s="37">
        <f ca="1">HLOOKUP(DATE(J$7,12,31),Idc_Table,IDC!$BB$90)*$A26-SUM($D28:I28)</f>
        <v>0</v>
      </c>
      <c r="K28" s="37">
        <f ca="1">HLOOKUP(DATE(K$7,12,31),Idc_Table,IDC!$BB$90)*$A26-SUM($D28:J28)</f>
        <v>0</v>
      </c>
      <c r="L28" s="37">
        <f ca="1">HLOOKUP(DATE(L$7,12,31),Idc_Table,IDC!$BB$90)*$A26-SUM($D28:K28)</f>
        <v>0</v>
      </c>
      <c r="M28" s="37">
        <f ca="1">HLOOKUP(DATE(M$7,12,31),Idc_Table,IDC!$BB$90)*$A26-SUM($D28:L28)</f>
        <v>0</v>
      </c>
      <c r="N28" s="37">
        <f ca="1">HLOOKUP(DATE(N$7,12,31),Idc_Table,IDC!$BB$90)*$A26-SUM($D28:M28)</f>
        <v>0</v>
      </c>
      <c r="O28" s="37">
        <f ca="1">HLOOKUP(DATE(O$7,12,31),Idc_Table,IDC!$BB$90)*$A26-SUM($D28:N28)</f>
        <v>0</v>
      </c>
      <c r="P28" s="37">
        <f ca="1">HLOOKUP(DATE(P$7,12,31),Idc_Table,IDC!$BB$90)*$A26-SUM($D28:O28)</f>
        <v>0</v>
      </c>
      <c r="Q28" s="37">
        <f ca="1">HLOOKUP(DATE(Q$7,12,31),Idc_Table,IDC!$BB$90)*$A26-SUM($D28:P28)</f>
        <v>0</v>
      </c>
      <c r="R28" s="37">
        <f ca="1">HLOOKUP(DATE(R$7,12,31),Idc_Table,IDC!$BB$90)*$A26-SUM($D28:Q28)</f>
        <v>0</v>
      </c>
      <c r="S28" s="37">
        <f ca="1">HLOOKUP(DATE(S$7,12,31),Idc_Table,IDC!$BB$90)*$A26-SUM($D28:R28)</f>
        <v>0</v>
      </c>
      <c r="T28" s="37">
        <f ca="1">HLOOKUP(DATE(T$7,12,31),Idc_Table,IDC!$BB$90)*$A26-SUM($D28:S28)</f>
        <v>0</v>
      </c>
      <c r="U28" s="37">
        <f ca="1">HLOOKUP(DATE(U$7,12,31),Idc_Table,IDC!$BB$90)*$A26-SUM($D28:T28)</f>
        <v>0</v>
      </c>
      <c r="V28" s="37">
        <f ca="1">HLOOKUP(DATE(V$7,12,31),Idc_Table,IDC!$BB$90)*$A26-SUM($D28:U28)</f>
        <v>0</v>
      </c>
      <c r="W28" s="37">
        <f ca="1">HLOOKUP(DATE(W$7,12,31),Idc_Table,IDC!$BB$90)*$A26-SUM($D28:V28)</f>
        <v>0</v>
      </c>
      <c r="X28" s="37">
        <f ca="1">HLOOKUP(DATE(X$7,12,31),Idc_Table,IDC!$BB$90)*$A26-SUM($D28:W28)</f>
        <v>0</v>
      </c>
      <c r="Y28" s="37">
        <f ca="1">HLOOKUP(DATE(Y$7,12,31),Idc_Table,IDC!$BB$90)*$A26-SUM($D28:X28)</f>
        <v>0</v>
      </c>
      <c r="Z28" s="37">
        <f ca="1">HLOOKUP(DATE(Z$7,12,31),Idc_Table,IDC!$BB$90)*$A26-SUM($D28:Y28)</f>
        <v>0</v>
      </c>
      <c r="AA28" s="37">
        <f ca="1">HLOOKUP(DATE(AA$7,12,31),Idc_Table,IDC!$BB$90)*$A26-SUM($D28:Z28)</f>
        <v>0</v>
      </c>
      <c r="AB28" s="435">
        <f t="shared" ca="1" si="6"/>
        <v>1702.8768678569102</v>
      </c>
      <c r="AC28" s="463">
        <f ca="1">IF('Project &amp; Investor Returns'!$I$3=0,F28+NPV(Disc,G28:AA28),E28+NPV(Disc,F28:AA28))</f>
        <v>1320.5495821737775</v>
      </c>
      <c r="AG28" s="80"/>
    </row>
    <row r="29" spans="1:33">
      <c r="A29" s="20"/>
      <c r="B29" s="15" t="s">
        <v>1952</v>
      </c>
      <c r="C29" s="212">
        <f>Wh_Int</f>
        <v>0.15</v>
      </c>
      <c r="D29" s="161" t="s">
        <v>486</v>
      </c>
      <c r="E29" s="37">
        <f ca="1">$C$29*-E28</f>
        <v>0</v>
      </c>
      <c r="F29" s="37">
        <f t="shared" ref="F29:AA29" ca="1" si="7">$C$29*-F28</f>
        <v>-4.5385261846734792</v>
      </c>
      <c r="G29" s="37">
        <f t="shared" ca="1" si="7"/>
        <v>-122.02383459717778</v>
      </c>
      <c r="H29" s="37">
        <f t="shared" ca="1" si="7"/>
        <v>-128.86916939668527</v>
      </c>
      <c r="I29" s="37">
        <f t="shared" ca="1" si="7"/>
        <v>0</v>
      </c>
      <c r="J29" s="37">
        <f t="shared" ca="1" si="7"/>
        <v>0</v>
      </c>
      <c r="K29" s="37">
        <f t="shared" ca="1" si="7"/>
        <v>0</v>
      </c>
      <c r="L29" s="37">
        <f t="shared" ca="1" si="7"/>
        <v>0</v>
      </c>
      <c r="M29" s="37">
        <f t="shared" ca="1" si="7"/>
        <v>0</v>
      </c>
      <c r="N29" s="37">
        <f t="shared" ca="1" si="7"/>
        <v>0</v>
      </c>
      <c r="O29" s="37">
        <f t="shared" ca="1" si="7"/>
        <v>0</v>
      </c>
      <c r="P29" s="37">
        <f t="shared" ca="1" si="7"/>
        <v>0</v>
      </c>
      <c r="Q29" s="37">
        <f t="shared" ca="1" si="7"/>
        <v>0</v>
      </c>
      <c r="R29" s="37">
        <f t="shared" ca="1" si="7"/>
        <v>0</v>
      </c>
      <c r="S29" s="37">
        <f t="shared" ca="1" si="7"/>
        <v>0</v>
      </c>
      <c r="T29" s="37">
        <f t="shared" ca="1" si="7"/>
        <v>0</v>
      </c>
      <c r="U29" s="37">
        <f t="shared" ca="1" si="7"/>
        <v>0</v>
      </c>
      <c r="V29" s="37">
        <f t="shared" ca="1" si="7"/>
        <v>0</v>
      </c>
      <c r="W29" s="37">
        <f t="shared" ca="1" si="7"/>
        <v>0</v>
      </c>
      <c r="X29" s="37">
        <f t="shared" ca="1" si="7"/>
        <v>0</v>
      </c>
      <c r="Y29" s="37">
        <f t="shared" ca="1" si="7"/>
        <v>0</v>
      </c>
      <c r="Z29" s="37">
        <f t="shared" ca="1" si="7"/>
        <v>0</v>
      </c>
      <c r="AA29" s="37">
        <f t="shared" ca="1" si="7"/>
        <v>0</v>
      </c>
      <c r="AB29" s="435">
        <f ca="1">SUM(E29:AA29)</f>
        <v>-255.43153017853652</v>
      </c>
      <c r="AC29" s="463">
        <f ca="1">IF('Project &amp; Investor Returns'!$I$3=0,F29+NPV(Disc,G29:AA29),E29+NPV(Disc,F29:AA29))</f>
        <v>-198.08243732606664</v>
      </c>
      <c r="AG29" s="80"/>
    </row>
    <row r="30" spans="1:33" s="75" customFormat="1">
      <c r="A30" s="456"/>
      <c r="B30" s="15" t="s">
        <v>581</v>
      </c>
      <c r="C30" s="212">
        <f>USTax</f>
        <v>0.37</v>
      </c>
      <c r="D30" s="79"/>
      <c r="E30" s="142">
        <f ca="1">-SUM(E28:E29)*USTax</f>
        <v>0</v>
      </c>
      <c r="F30" s="142">
        <f t="shared" ref="F30:AA30" ca="1" si="8">-SUM(F28:F29)*USTax</f>
        <v>-9.5157765671987296</v>
      </c>
      <c r="G30" s="142">
        <f t="shared" ca="1" si="8"/>
        <v>-255.8433065387494</v>
      </c>
      <c r="H30" s="142">
        <f t="shared" ca="1" si="8"/>
        <v>-270.19569183505013</v>
      </c>
      <c r="I30" s="142">
        <f t="shared" ca="1" si="8"/>
        <v>0</v>
      </c>
      <c r="J30" s="142">
        <f t="shared" ca="1" si="8"/>
        <v>0</v>
      </c>
      <c r="K30" s="142">
        <f t="shared" ca="1" si="8"/>
        <v>0</v>
      </c>
      <c r="L30" s="142">
        <f t="shared" ca="1" si="8"/>
        <v>0</v>
      </c>
      <c r="M30" s="142">
        <f t="shared" ca="1" si="8"/>
        <v>0</v>
      </c>
      <c r="N30" s="142">
        <f t="shared" ca="1" si="8"/>
        <v>0</v>
      </c>
      <c r="O30" s="142">
        <f t="shared" ca="1" si="8"/>
        <v>0</v>
      </c>
      <c r="P30" s="142">
        <f t="shared" ca="1" si="8"/>
        <v>0</v>
      </c>
      <c r="Q30" s="142">
        <f t="shared" ca="1" si="8"/>
        <v>0</v>
      </c>
      <c r="R30" s="142">
        <f t="shared" ca="1" si="8"/>
        <v>0</v>
      </c>
      <c r="S30" s="142">
        <f t="shared" ca="1" si="8"/>
        <v>0</v>
      </c>
      <c r="T30" s="142">
        <f t="shared" ca="1" si="8"/>
        <v>0</v>
      </c>
      <c r="U30" s="142">
        <f t="shared" ca="1" si="8"/>
        <v>0</v>
      </c>
      <c r="V30" s="142">
        <f t="shared" ca="1" si="8"/>
        <v>0</v>
      </c>
      <c r="W30" s="142">
        <f t="shared" ca="1" si="8"/>
        <v>0</v>
      </c>
      <c r="X30" s="142">
        <f t="shared" ca="1" si="8"/>
        <v>0</v>
      </c>
      <c r="Y30" s="142">
        <f t="shared" ca="1" si="8"/>
        <v>0</v>
      </c>
      <c r="Z30" s="142">
        <f t="shared" ca="1" si="8"/>
        <v>0</v>
      </c>
      <c r="AA30" s="142">
        <f t="shared" ca="1" si="8"/>
        <v>0</v>
      </c>
      <c r="AB30" s="436">
        <f t="shared" ca="1" si="6"/>
        <v>-535.55477494099819</v>
      </c>
      <c r="AC30" s="464">
        <f ca="1">IF('Project &amp; Investor Returns'!$I$3=0,F30+NPV(Disc,G30:AA30),E30+NPV(Disc,F30:AA30))</f>
        <v>-415.31284359365304</v>
      </c>
      <c r="AD30" s="15"/>
      <c r="AG30" s="80"/>
    </row>
    <row r="31" spans="1:33" s="81" customFormat="1">
      <c r="A31" s="458"/>
      <c r="B31" s="15" t="s">
        <v>171</v>
      </c>
      <c r="C31" s="15"/>
      <c r="D31" s="15"/>
      <c r="E31" s="37">
        <f t="shared" ref="E31:AA31" ca="1" si="9">SUM(E25:E30)</f>
        <v>0</v>
      </c>
      <c r="F31" s="37">
        <f t="shared" ca="1" si="9"/>
        <v>-26040.957907461034</v>
      </c>
      <c r="G31" s="37">
        <f t="shared" ca="1" si="9"/>
        <v>-12032.780069905955</v>
      </c>
      <c r="H31" s="37">
        <f t="shared" ca="1" si="9"/>
        <v>18988.873028775277</v>
      </c>
      <c r="I31" s="37">
        <f t="shared" ca="1" si="9"/>
        <v>3333.737247174236</v>
      </c>
      <c r="J31" s="37">
        <f t="shared" ca="1" si="9"/>
        <v>248.08947088686909</v>
      </c>
      <c r="K31" s="37">
        <f t="shared" ca="1" si="9"/>
        <v>1233.9772206253906</v>
      </c>
      <c r="L31" s="37">
        <f t="shared" ca="1" si="9"/>
        <v>-1843.6955827624238</v>
      </c>
      <c r="M31" s="37">
        <f t="shared" ca="1" si="9"/>
        <v>2662.6660016685369</v>
      </c>
      <c r="N31" s="37">
        <f t="shared" ca="1" si="9"/>
        <v>2886.9831506297237</v>
      </c>
      <c r="O31" s="37">
        <f t="shared" ca="1" si="9"/>
        <v>2271.6275232506632</v>
      </c>
      <c r="P31" s="37">
        <f t="shared" ca="1" si="9"/>
        <v>1935.7257923457466</v>
      </c>
      <c r="Q31" s="37">
        <f t="shared" ca="1" si="9"/>
        <v>2360.8555460159432</v>
      </c>
      <c r="R31" s="37">
        <f t="shared" ca="1" si="9"/>
        <v>2560.1012794855596</v>
      </c>
      <c r="S31" s="37">
        <f t="shared" ca="1" si="9"/>
        <v>1563.5529297956411</v>
      </c>
      <c r="T31" s="37">
        <f t="shared" ca="1" si="9"/>
        <v>1194.8795346752015</v>
      </c>
      <c r="U31" s="37">
        <f t="shared" ca="1" si="9"/>
        <v>4718.8217724851065</v>
      </c>
      <c r="V31" s="37">
        <f t="shared" ca="1" si="9"/>
        <v>1783.6130820783303</v>
      </c>
      <c r="W31" s="37">
        <f t="shared" ca="1" si="9"/>
        <v>-617.13861495075093</v>
      </c>
      <c r="X31" s="37">
        <f t="shared" ca="1" si="9"/>
        <v>1149.2815119681666</v>
      </c>
      <c r="Y31" s="37">
        <f t="shared" ca="1" si="9"/>
        <v>810.09331768081324</v>
      </c>
      <c r="Z31" s="37">
        <f t="shared" ca="1" si="9"/>
        <v>1107.0273936165145</v>
      </c>
      <c r="AA31" s="37">
        <f t="shared" ca="1" si="9"/>
        <v>1356.9603916652854</v>
      </c>
      <c r="AB31" s="435">
        <f t="shared" ca="1" si="6"/>
        <v>11632.29401974284</v>
      </c>
      <c r="AC31" s="435">
        <f ca="1">SUM(AC25:AC30)</f>
        <v>-16944.870404198278</v>
      </c>
      <c r="AD31" s="15"/>
    </row>
    <row r="32" spans="1:33" s="81" customFormat="1">
      <c r="A32" s="458"/>
      <c r="B32" s="15"/>
      <c r="C32" s="15"/>
      <c r="D32" s="15"/>
      <c r="E32" s="1331">
        <f ca="1">SUM(E26:E30)</f>
        <v>0</v>
      </c>
      <c r="F32" s="1331">
        <f t="shared" ref="F32:AA32" ca="1" si="10">SUM(F26:F30)</f>
        <v>-5742.3644251349824</v>
      </c>
      <c r="G32" s="1331">
        <f t="shared" ca="1" si="10"/>
        <v>-11599.981428438523</v>
      </c>
      <c r="H32" s="1331">
        <f t="shared" ca="1" si="10"/>
        <v>18254.23641631088</v>
      </c>
      <c r="I32" s="1331">
        <f t="shared" ca="1" si="10"/>
        <v>0</v>
      </c>
      <c r="J32" s="1331">
        <f t="shared" ca="1" si="10"/>
        <v>0</v>
      </c>
      <c r="K32" s="1331">
        <f t="shared" ca="1" si="10"/>
        <v>0</v>
      </c>
      <c r="L32" s="1331">
        <f t="shared" ca="1" si="10"/>
        <v>0</v>
      </c>
      <c r="M32" s="1331">
        <f t="shared" ca="1" si="10"/>
        <v>0</v>
      </c>
      <c r="N32" s="1331">
        <f t="shared" ca="1" si="10"/>
        <v>0</v>
      </c>
      <c r="O32" s="1331">
        <f t="shared" ca="1" si="10"/>
        <v>0</v>
      </c>
      <c r="P32" s="1331">
        <f t="shared" ca="1" si="10"/>
        <v>0</v>
      </c>
      <c r="Q32" s="1331">
        <f t="shared" ca="1" si="10"/>
        <v>0</v>
      </c>
      <c r="R32" s="1331">
        <f t="shared" ca="1" si="10"/>
        <v>0</v>
      </c>
      <c r="S32" s="1331">
        <f t="shared" ca="1" si="10"/>
        <v>0</v>
      </c>
      <c r="T32" s="1331">
        <f t="shared" ca="1" si="10"/>
        <v>0</v>
      </c>
      <c r="U32" s="1331">
        <f t="shared" ca="1" si="10"/>
        <v>0</v>
      </c>
      <c r="V32" s="1331">
        <f t="shared" ca="1" si="10"/>
        <v>0</v>
      </c>
      <c r="W32" s="1331">
        <f t="shared" ca="1" si="10"/>
        <v>0</v>
      </c>
      <c r="X32" s="1331">
        <f t="shared" ca="1" si="10"/>
        <v>0</v>
      </c>
      <c r="Y32" s="1331">
        <f t="shared" ca="1" si="10"/>
        <v>0</v>
      </c>
      <c r="Z32" s="1331">
        <f t="shared" ca="1" si="10"/>
        <v>0</v>
      </c>
      <c r="AA32" s="1331">
        <f t="shared" ca="1" si="10"/>
        <v>0</v>
      </c>
      <c r="AB32" s="1333">
        <f ca="1">SUM(AB26:AB30)</f>
        <v>911.89056273737538</v>
      </c>
      <c r="AC32" s="1333">
        <f ca="1">SUM(AC26:AC30)</f>
        <v>-2599.7484259336261</v>
      </c>
      <c r="AD32" s="15"/>
    </row>
    <row r="33" spans="1:33">
      <c r="A33" s="20"/>
      <c r="B33" s="15" t="s">
        <v>472</v>
      </c>
      <c r="E33" s="221">
        <f ca="1">$E31</f>
        <v>0</v>
      </c>
      <c r="F33" s="221">
        <f ca="1">IF('Project &amp; Investor Returns'!$I$3=0,$F31,$E31+NPV(Disc,$F31:F31))</f>
        <v>-26040.957907461034</v>
      </c>
      <c r="G33" s="37">
        <f ca="1">IF('Project &amp; Investor Returns'!$I$3=0,$F31+NPV(Disc, $G31:G31),$E31+NPV(Disc,$F31:G31))</f>
        <v>-36152.537798138306</v>
      </c>
      <c r="H33" s="37">
        <f ca="1">IF('Project &amp; Investor Returns'!$I$3=0,$F31+NPV(Disc, $G31:H31),$E31+NPV(Disc,$F31:H31))</f>
        <v>-22743.263715252015</v>
      </c>
      <c r="I33" s="37">
        <f ca="1">IF('Project &amp; Investor Returns'!$I$3=0,$F31+NPV(Disc, $G31:I31),$E31+NPV(Disc,$F31:I31))</f>
        <v>-20764.971312473266</v>
      </c>
      <c r="J33" s="37">
        <f ca="1">IF('Project &amp; Investor Returns'!$I$3=0,$F31+NPV(Disc, $G31:J31),$E31+NPV(Disc,$F31:J31))</f>
        <v>-20641.256845788663</v>
      </c>
      <c r="K33" s="37">
        <f ca="1">IF('Project &amp; Investor Returns'!$I$3=0,$F31+NPV(Disc, $G31:K31),$E31+NPV(Disc,$F31:K31))</f>
        <v>-20124.1594677424</v>
      </c>
      <c r="L33" s="37">
        <f ca="1">IF('Project &amp; Investor Returns'!$I$3=0,$F31+NPV(Disc, $G31:L31),$E31+NPV(Disc,$F31:L31))</f>
        <v>-20773.402723326326</v>
      </c>
      <c r="M33" s="37">
        <f ca="1">IF('Project &amp; Investor Returns'!$I$3=0,$F31+NPV(Disc, $G31:M31),$E31+NPV(Disc,$F31:M31))</f>
        <v>-19985.472130148883</v>
      </c>
      <c r="N33" s="37">
        <f ca="1">IF('Project &amp; Investor Returns'!$I$3=0,$F31+NPV(Disc, $G31:N31),$E31+NPV(Disc,$F31:N31))</f>
        <v>-19267.564518368745</v>
      </c>
      <c r="O33" s="37">
        <f ca="1">IF('Project &amp; Investor Returns'!$I$3=0,$F31+NPV(Disc, $G31:O31),$E31+NPV(Disc,$F31:O31))</f>
        <v>-18792.869723662294</v>
      </c>
      <c r="P33" s="37">
        <f ca="1">IF('Project &amp; Investor Returns'!$I$3=0,$F31+NPV(Disc, $G31:P31),$E31+NPV(Disc,$F31:P31))</f>
        <v>-18452.951676640128</v>
      </c>
      <c r="Q33" s="37">
        <f ca="1">IF('Project &amp; Investor Returns'!$I$3=0,$F31+NPV(Disc, $G31:Q31),$E31+NPV(Disc,$F31:Q31))</f>
        <v>-18104.5719778436</v>
      </c>
      <c r="R33" s="37">
        <f ca="1">IF('Project &amp; Investor Returns'!$I$3=0,$F31+NPV(Disc, $G31:R31),$E31+NPV(Disc,$F31:R31))</f>
        <v>-17787.108616760997</v>
      </c>
      <c r="S33" s="37">
        <f ca="1">IF('Project &amp; Investor Returns'!$I$3=0,$F31+NPV(Disc, $G31:S31),$E31+NPV(Disc,$F31:S31))</f>
        <v>-17624.178229572324</v>
      </c>
      <c r="T33" s="37">
        <f ca="1">IF('Project &amp; Investor Returns'!$I$3=0,$F31+NPV(Disc, $G31:T31),$E31+NPV(Disc,$F31:T31))</f>
        <v>-17519.545714827029</v>
      </c>
      <c r="U33" s="37">
        <f ca="1">IF('Project &amp; Investor Returns'!$I$3=0,$F31+NPV(Disc, $G31:U31),$E31+NPV(Disc,$F31:U31))</f>
        <v>-17172.306189653253</v>
      </c>
      <c r="V33" s="37">
        <f ca="1">IF('Project &amp; Investor Returns'!$I$3=0,$F31+NPV(Disc, $G31:V31),$E31+NPV(Disc,$F31:V31))</f>
        <v>-17062.012855196292</v>
      </c>
      <c r="W33" s="37">
        <f ca="1">IF('Project &amp; Investor Returns'!$I$3=0,$F31+NPV(Disc, $G31:W31),$E31+NPV(Disc,$F31:W31))</f>
        <v>-17094.081778413878</v>
      </c>
      <c r="X33" s="37">
        <f ca="1">IF('Project &amp; Investor Returns'!$I$3=0,$F31+NPV(Disc, $G31:X31),$E31+NPV(Disc,$F31:X31))</f>
        <v>-17043.895947924721</v>
      </c>
      <c r="Y33" s="37">
        <f ca="1">IF('Project &amp; Investor Returns'!$I$3=0,$F31+NPV(Disc, $G31:Y31),$E31+NPV(Disc,$F31:Y31))</f>
        <v>-17014.169516033362</v>
      </c>
      <c r="Z33" s="37">
        <f ca="1">IF('Project &amp; Investor Returns'!$I$3=0,$F31+NPV(Disc, $G31:Z31),$E31+NPV(Disc,$F31:Z31))</f>
        <v>-16980.033004335583</v>
      </c>
      <c r="AA33" s="37">
        <f ca="1">IF('Project &amp; Investor Returns'!$I$3=0,$F31+NPV(Disc, $G31:AA31),$E31+NPV(Disc,$F31:AA31))</f>
        <v>-16944.870404198282</v>
      </c>
      <c r="AB33" s="466"/>
      <c r="AC33" s="435">
        <f ca="1">AC31</f>
        <v>-16944.870404198278</v>
      </c>
      <c r="AD33" s="1331">
        <f ca="1">NPV(Disc,F32:AA32)+E32</f>
        <v>-2184.662542801369</v>
      </c>
    </row>
    <row r="34" spans="1:33">
      <c r="A34" s="20"/>
      <c r="B34" s="15" t="s">
        <v>473</v>
      </c>
      <c r="E34" s="32" t="e">
        <f ca="1">IRR($E31:E31,-0.9)</f>
        <v>#NUM!</v>
      </c>
      <c r="F34" s="32" t="e">
        <f ca="1">IRR($E31:F31,-0.9)</f>
        <v>#NUM!</v>
      </c>
      <c r="G34" s="32" t="e">
        <f ca="1">IRR($E31:G31,-0.9)</f>
        <v>#NUM!</v>
      </c>
      <c r="H34" s="32">
        <f ca="1">IRR($E31:H31,-0.9)</f>
        <v>-0.34640577154740859</v>
      </c>
      <c r="I34" s="32">
        <f ca="1">IRR($E31:I31,-0.9)</f>
        <v>-0.2541929560674363</v>
      </c>
      <c r="J34" s="32">
        <f ca="1">IRR($E31:J31,-0.9)</f>
        <v>-0.24652749857179332</v>
      </c>
      <c r="K34" s="32">
        <f ca="1">IRR($E31:K31,-0.9)</f>
        <v>-0.20491213330750097</v>
      </c>
      <c r="L34" s="32">
        <f ca="1">IRR($E31:L31,-0.9)</f>
        <v>-0.40889838643532833</v>
      </c>
      <c r="M34" s="32">
        <f ca="1">IRR($E31:M31,-0.9)</f>
        <v>-0.1647770062883975</v>
      </c>
      <c r="N34" s="32">
        <f ca="1">IRR($E31:N31,-0.9)</f>
        <v>-0.10083818769081364</v>
      </c>
      <c r="O34" s="32">
        <f ca="1">IRR($E31:O31,-0.9)</f>
        <v>-6.7938917690535811E-2</v>
      </c>
      <c r="P34" s="32">
        <f ca="1">IRR($E31:P31,-0.9)</f>
        <v>-4.6327749669741222E-2</v>
      </c>
      <c r="Q34" s="32">
        <f ca="1">IRR($E31:Q31,-0.9)</f>
        <v>-2.5586208787816148E-2</v>
      </c>
      <c r="R34" s="32">
        <f ca="1">IRR($E31:R31,-0.9)</f>
        <v>-8.1114890649592181E-3</v>
      </c>
      <c r="S34" s="32">
        <f ca="1">IRR($E31:S31,-0.9)</f>
        <v>6.7777034226056306E-4</v>
      </c>
      <c r="T34" s="32">
        <f ca="1">IRR($E31:T31,-0.9)</f>
        <v>6.6005462282237781E-3</v>
      </c>
      <c r="U34" s="32">
        <f ca="1">IRR($E31:U31,-0.9)</f>
        <v>2.4983408174548163E-2</v>
      </c>
      <c r="V34" s="32">
        <f ca="1">IRR($E31:V31,-0.9)</f>
        <v>3.0412318849541094E-2</v>
      </c>
      <c r="W34" s="32">
        <f ca="1">IRR($E31:W31,-0.9)</f>
        <v>2.8651075062665288E-2</v>
      </c>
      <c r="X34" s="32">
        <f ca="1">IRR($E31:X31,-0.9)</f>
        <v>3.1782605798262906E-2</v>
      </c>
      <c r="Y34" s="32">
        <f ca="1">IRR($E31:Y31,-0.9)</f>
        <v>3.3792989201838361E-2</v>
      </c>
      <c r="Z34" s="32">
        <f ca="1">IRR($E31:Z31,-0.9)</f>
        <v>3.6298149865275735E-2</v>
      </c>
      <c r="AA34" s="32">
        <f ca="1">IRR($E31:AA31,-0.9)</f>
        <v>3.9053881280832335E-2</v>
      </c>
      <c r="AB34" s="465"/>
      <c r="AC34" s="471">
        <f ca="1">IRR(E31:AA31,-0.9)</f>
        <v>3.9053881280832335E-2</v>
      </c>
      <c r="AD34" s="1337">
        <f ca="1">IF(ISERROR(IRR(E32:AA32,-0.9)),"Infinite",IRR(E32:AA32,-0.9))</f>
        <v>3.9121220748675356E-2</v>
      </c>
    </row>
    <row r="35" spans="1:33" ht="12.75" customHeight="1">
      <c r="A35" s="20"/>
      <c r="C35" s="833" t="s">
        <v>498</v>
      </c>
      <c r="D35" s="833" t="s">
        <v>499</v>
      </c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465"/>
      <c r="AC35" s="430"/>
    </row>
    <row r="36" spans="1:33">
      <c r="A36" s="20"/>
      <c r="B36" s="243" t="str">
        <f ca="1">CONCATENATE("Shell NPV (w/ Bridge Loan) @ ",TEXT(Disc,"0.0%"))</f>
        <v>Shell NPV (w/ Bridge Loan) @ 19.0%</v>
      </c>
      <c r="C36" s="1329">
        <f ca="1">AC33</f>
        <v>-16944.870404198278</v>
      </c>
      <c r="D36" s="452">
        <f ca="1">AD33</f>
        <v>-2184.662542801369</v>
      </c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465"/>
      <c r="AC36" s="430"/>
    </row>
    <row r="37" spans="1:33">
      <c r="A37" s="417"/>
      <c r="B37" s="253" t="s">
        <v>242</v>
      </c>
      <c r="C37" s="1330">
        <f ca="1">AC34</f>
        <v>3.9053881280832335E-2</v>
      </c>
      <c r="D37" s="1339">
        <f ca="1">AD34</f>
        <v>3.9121220748675356E-2</v>
      </c>
      <c r="E37" s="78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  <c r="AB37" s="468"/>
      <c r="AC37" s="469"/>
    </row>
    <row r="38" spans="1:33">
      <c r="A38" s="20"/>
      <c r="AB38" s="430"/>
      <c r="AC38" s="430"/>
    </row>
    <row r="39" spans="1:33" s="81" customFormat="1">
      <c r="A39" s="458"/>
      <c r="B39" s="15" t="s">
        <v>233</v>
      </c>
      <c r="C39" s="15"/>
      <c r="D39" s="15"/>
      <c r="E39" s="37">
        <f t="shared" ref="E39:AA39" ca="1" si="11">E31</f>
        <v>0</v>
      </c>
      <c r="F39" s="37">
        <f t="shared" ca="1" si="11"/>
        <v>-26040.957907461034</v>
      </c>
      <c r="G39" s="37">
        <f t="shared" ca="1" si="11"/>
        <v>-12032.780069905955</v>
      </c>
      <c r="H39" s="37">
        <f t="shared" ca="1" si="11"/>
        <v>18988.873028775277</v>
      </c>
      <c r="I39" s="37">
        <f t="shared" ca="1" si="11"/>
        <v>3333.737247174236</v>
      </c>
      <c r="J39" s="37">
        <f t="shared" ca="1" si="11"/>
        <v>248.08947088686909</v>
      </c>
      <c r="K39" s="37">
        <f t="shared" ca="1" si="11"/>
        <v>1233.9772206253906</v>
      </c>
      <c r="L39" s="37">
        <f t="shared" ca="1" si="11"/>
        <v>-1843.6955827624238</v>
      </c>
      <c r="M39" s="37">
        <f t="shared" ca="1" si="11"/>
        <v>2662.6660016685369</v>
      </c>
      <c r="N39" s="37">
        <f t="shared" ca="1" si="11"/>
        <v>2886.9831506297237</v>
      </c>
      <c r="O39" s="37">
        <f t="shared" ca="1" si="11"/>
        <v>2271.6275232506632</v>
      </c>
      <c r="P39" s="37">
        <f t="shared" ca="1" si="11"/>
        <v>1935.7257923457466</v>
      </c>
      <c r="Q39" s="37">
        <f t="shared" ca="1" si="11"/>
        <v>2360.8555460159432</v>
      </c>
      <c r="R39" s="37">
        <f t="shared" ca="1" si="11"/>
        <v>2560.1012794855596</v>
      </c>
      <c r="S39" s="37">
        <f t="shared" ca="1" si="11"/>
        <v>1563.5529297956411</v>
      </c>
      <c r="T39" s="37">
        <f t="shared" ca="1" si="11"/>
        <v>1194.8795346752015</v>
      </c>
      <c r="U39" s="37">
        <f t="shared" ca="1" si="11"/>
        <v>4718.8217724851065</v>
      </c>
      <c r="V39" s="37">
        <f t="shared" ca="1" si="11"/>
        <v>1783.6130820783303</v>
      </c>
      <c r="W39" s="37">
        <f t="shared" ca="1" si="11"/>
        <v>-617.13861495075093</v>
      </c>
      <c r="X39" s="37">
        <f t="shared" ca="1" si="11"/>
        <v>1149.2815119681666</v>
      </c>
      <c r="Y39" s="37">
        <f t="shared" ca="1" si="11"/>
        <v>810.09331768081324</v>
      </c>
      <c r="Z39" s="37">
        <f t="shared" ca="1" si="11"/>
        <v>1107.0273936165145</v>
      </c>
      <c r="AA39" s="37">
        <f t="shared" ca="1" si="11"/>
        <v>1356.9603916652854</v>
      </c>
      <c r="AB39" s="435">
        <f t="shared" ref="AB39:AB46" ca="1" si="12">SUM(E39:AA39)</f>
        <v>11632.29401974284</v>
      </c>
      <c r="AC39" s="463">
        <f ca="1">IF('Project &amp; Investor Returns'!$I$3=0,F39+NPV(Disc,G39:AA39),E39+NPV(Disc,F39:AA39))</f>
        <v>-16944.870404198282</v>
      </c>
      <c r="AD39" s="15"/>
    </row>
    <row r="40" spans="1:33">
      <c r="A40" s="457">
        <f>A26</f>
        <v>0.21875</v>
      </c>
      <c r="B40" s="15" t="s">
        <v>1625</v>
      </c>
      <c r="E40" s="37">
        <f ca="1">-HLOOKUP(DATE(E$7,12,31),Idc_Table,IDC!$BB$49)*$A40-SUM($D40:D40)</f>
        <v>0</v>
      </c>
      <c r="F40" s="37">
        <f ca="1">-HLOOKUP(DATE(F$7,12,31),Idc_Table,IDC!$BB$49)*$A40-SUM($D40:E40)</f>
        <v>0</v>
      </c>
      <c r="G40" s="37">
        <f ca="1">-HLOOKUP(DATE(G$7,12,31),Idc_Table,IDC!$BB$49)*$A40-SUM($D40:F40)</f>
        <v>0</v>
      </c>
      <c r="H40" s="37">
        <f ca="1">-HLOOKUP(DATE(H$7,12,31),Idc_Table,IDC!$BB$49)*$A40-SUM($D40:G40)</f>
        <v>-8174.4161420924775</v>
      </c>
      <c r="I40" s="37">
        <f ca="1">-HLOOKUP(DATE(I$7,12,31),Idc_Table,IDC!$BB$49)*$A40-SUM($D40:H40)</f>
        <v>-2708.3554675734813</v>
      </c>
      <c r="J40" s="37">
        <f ca="1">-HLOOKUP(DATE(J$7,12,31),Idc_Table,IDC!$BB$49)*$A40-SUM($D40:I40)</f>
        <v>0</v>
      </c>
      <c r="K40" s="37">
        <f ca="1">-HLOOKUP(DATE(K$7,12,31),Idc_Table,IDC!$BB$49)*$A40-SUM($D40:J40)</f>
        <v>0</v>
      </c>
      <c r="L40" s="37">
        <f ca="1">-HLOOKUP(DATE(L$7,12,31),Idc_Table,IDC!$BB$49)*$A40-SUM($D40:K40)</f>
        <v>0</v>
      </c>
      <c r="M40" s="37">
        <f ca="1">-HLOOKUP(DATE(M$7,12,31),Idc_Table,IDC!$BB$49)*$A40-SUM($D40:L40)</f>
        <v>0</v>
      </c>
      <c r="N40" s="37">
        <f ca="1">-HLOOKUP(DATE(N$7,12,31),Idc_Table,IDC!$BB$49)*$A40-SUM($D40:M40)</f>
        <v>0</v>
      </c>
      <c r="O40" s="37">
        <f ca="1">-HLOOKUP(DATE(O$7,12,31),Idc_Table,IDC!$BB$49)*$A40-SUM($D40:N40)</f>
        <v>0</v>
      </c>
      <c r="P40" s="37">
        <f ca="1">-HLOOKUP(DATE(P$7,12,31),Idc_Table,IDC!$BB$49)*$A40-SUM($D40:O40)</f>
        <v>0</v>
      </c>
      <c r="Q40" s="37">
        <f ca="1">-HLOOKUP(DATE(Q$7,12,31),Idc_Table,IDC!$BB$49)*$A40-SUM($D40:P40)</f>
        <v>0</v>
      </c>
      <c r="R40" s="37">
        <f ca="1">-HLOOKUP(DATE(R$7,12,31),Idc_Table,IDC!$BB$49)*$A40-SUM($D40:Q40)</f>
        <v>0</v>
      </c>
      <c r="S40" s="37">
        <f ca="1">-HLOOKUP(DATE(S$7,12,31),Idc_Table,IDC!$BB$49)*$A40-SUM($D40:R40)</f>
        <v>0</v>
      </c>
      <c r="T40" s="37">
        <f ca="1">-HLOOKUP(DATE(T$7,12,31),Idc_Table,IDC!$BB$49)*$A40-SUM($D40:S40)</f>
        <v>0</v>
      </c>
      <c r="U40" s="37">
        <f ca="1">-HLOOKUP(DATE(U$7,12,31),Idc_Table,IDC!$BB$49)*$A40-SUM($D40:T40)</f>
        <v>0</v>
      </c>
      <c r="V40" s="37">
        <f ca="1">-HLOOKUP(DATE(V$7,12,31),Idc_Table,IDC!$BB$49)*$A40-SUM($D40:U40)</f>
        <v>0</v>
      </c>
      <c r="W40" s="37">
        <f ca="1">-HLOOKUP(DATE(W$7,12,31),Idc_Table,IDC!$BB$49)*$A40-SUM($D40:V40)</f>
        <v>0</v>
      </c>
      <c r="X40" s="37">
        <f ca="1">-HLOOKUP(DATE(X$7,12,31),Idc_Table,IDC!$BB$49)*$A40-SUM($D40:W40)</f>
        <v>0</v>
      </c>
      <c r="Y40" s="37">
        <f ca="1">-HLOOKUP(DATE(Y$7,12,31),Idc_Table,IDC!$BB$49)*$A40-SUM($D40:X40)</f>
        <v>0</v>
      </c>
      <c r="Z40" s="37">
        <f ca="1">-HLOOKUP(DATE(Z$7,12,31),Idc_Table,IDC!$BB$49)*$A40-SUM($D40:Y40)</f>
        <v>0</v>
      </c>
      <c r="AA40" s="37">
        <f ca="1">-HLOOKUP(DATE(AA$7,12,31),Idc_Table,IDC!$BB$49)*$A40-SUM($D40:Z40)</f>
        <v>0</v>
      </c>
      <c r="AB40" s="435">
        <f t="shared" ca="1" si="12"/>
        <v>-10882.771609665959</v>
      </c>
      <c r="AC40" s="463">
        <f ca="1">IF('Project &amp; Investor Returns'!$I$3=0,F40+NPV(Disc,G40:AA40),E40+NPV(Disc,F40:AA40))</f>
        <v>-7379.6660592048183</v>
      </c>
    </row>
    <row r="41" spans="1:33">
      <c r="A41" s="457"/>
      <c r="B41" s="15" t="s">
        <v>152</v>
      </c>
      <c r="E41" s="226">
        <f ca="1">IF(E$7&lt;YEAR(Startops1),0,-HLOOKUP(E$7,CF_Table,CF!$AB$71)*$A40)</f>
        <v>0</v>
      </c>
      <c r="F41" s="226">
        <f ca="1">IF(F$7&lt;YEAR(Startops1),0,-HLOOKUP(F$7,CF_Table,CF!$AB$71)*$A40)</f>
        <v>0</v>
      </c>
      <c r="G41" s="226">
        <f ca="1">IF(G$7&lt;YEAR(Startops1),0,-HLOOKUP(G$7,CF_Table,CF!$AB$71)*$A40)</f>
        <v>0</v>
      </c>
      <c r="H41" s="226">
        <f ca="1">IF(H$7&lt;YEAR(Startops1),0,-HLOOKUP(H$7,CF_Table,CF!$AB$71)*$A40)</f>
        <v>0</v>
      </c>
      <c r="I41" s="226">
        <f ca="1">IF(I$7&lt;YEAR(Startops1),0,-HLOOKUP(I$7,CF_Table,CF!$AB$71)*$A40)</f>
        <v>0</v>
      </c>
      <c r="J41" s="226">
        <f ca="1">IF(J$7&lt;YEAR(Startops1),0,-HLOOKUP(J$7,CF_Table,CF!$AB$71)*$A40)</f>
        <v>487.46477256656067</v>
      </c>
      <c r="K41" s="226">
        <f ca="1">IF(K$7&lt;YEAR(Startops1),0,-HLOOKUP(K$7,CF_Table,CF!$AB$71)*$A40)</f>
        <v>552.89473166430662</v>
      </c>
      <c r="L41" s="226">
        <f ca="1">IF(L$7&lt;YEAR(Startops1),0,-HLOOKUP(L$7,CF_Table,CF!$AB$71)*$A40)</f>
        <v>627.10702702194817</v>
      </c>
      <c r="M41" s="226">
        <f ca="1">IF(M$7&lt;YEAR(Startops1),0,-HLOOKUP(M$7,CF_Table,CF!$AB$71)*$A40)</f>
        <v>711.28046772396942</v>
      </c>
      <c r="N41" s="226">
        <f ca="1">IF(N$7&lt;YEAR(Startops1),0,-HLOOKUP(N$7,CF_Table,CF!$AB$71)*$A40)</f>
        <v>806.75208850421859</v>
      </c>
      <c r="O41" s="226">
        <f ca="1">IF(O$7&lt;YEAR(Startops1),0,-HLOOKUP(O$7,CF_Table,CF!$AB$71)*$A40)</f>
        <v>915.03838758369716</v>
      </c>
      <c r="P41" s="226">
        <f ca="1">IF(P$7&lt;YEAR(Startops1),0,-HLOOKUP(P$7,CF_Table,CF!$AB$71)*$A40)</f>
        <v>1037.8594151571183</v>
      </c>
      <c r="Q41" s="226">
        <f ca="1">IF(Q$7&lt;YEAR(Startops1),0,-HLOOKUP(Q$7,CF_Table,CF!$AB$71)*$A40)</f>
        <v>1177.1660951565823</v>
      </c>
      <c r="R41" s="226">
        <f ca="1">IF(R$7&lt;YEAR(Startops1),0,-HLOOKUP(R$7,CF_Table,CF!$AB$71)*$A40)</f>
        <v>1335.1712142789738</v>
      </c>
      <c r="S41" s="226">
        <f ca="1">IF(S$7&lt;YEAR(Startops1),0,-HLOOKUP(S$7,CF_Table,CF!$AB$71)*$A40)</f>
        <v>1514.3845705155684</v>
      </c>
      <c r="T41" s="226">
        <f ca="1">IF(T$7&lt;YEAR(Startops1),0,-HLOOKUP(T$7,CF_Table,CF!$AB$71)*$A40)</f>
        <v>1717.6528394930165</v>
      </c>
      <c r="U41" s="226">
        <f ca="1">IF(U$7&lt;YEAR(Startops1),0,-HLOOKUP(U$7,CF_Table,CF!$AB$71)*$A40)</f>
        <v>0</v>
      </c>
      <c r="V41" s="226">
        <f ca="1">IF(V$7&lt;YEAR(Startops1),0,-HLOOKUP(V$7,CF_Table,CF!$AB$71)*$A40)</f>
        <v>0</v>
      </c>
      <c r="W41" s="226">
        <f ca="1">IF(W$7&lt;YEAR(Startops1),0,-HLOOKUP(W$7,CF_Table,CF!$AB$71)*$A40)</f>
        <v>0</v>
      </c>
      <c r="X41" s="226">
        <f ca="1">IF(X$7&lt;YEAR(Startops1),0,-HLOOKUP(X$7,CF_Table,CF!$AB$71)*$A40)</f>
        <v>0</v>
      </c>
      <c r="Y41" s="226">
        <f ca="1">IF(Y$7&lt;YEAR(Startops1),0,-HLOOKUP(Y$7,CF_Table,CF!$AB$71)*$A40)</f>
        <v>0</v>
      </c>
      <c r="Z41" s="226">
        <f ca="1">IF(Z$7&lt;YEAR(Startops1),0,-HLOOKUP(Z$7,CF_Table,CF!$AB$71)*$A40)</f>
        <v>0</v>
      </c>
      <c r="AA41" s="226">
        <f ca="1">IF(AA$7&lt;YEAR(Startops1),0,-HLOOKUP(AA$7,CF_Table,CF!$AB$71)*$A40)</f>
        <v>0</v>
      </c>
      <c r="AB41" s="435">
        <f t="shared" ca="1" si="12"/>
        <v>10882.771609665961</v>
      </c>
      <c r="AC41" s="463">
        <f ca="1">IF('Project &amp; Investor Returns'!$I$3=0,F41+NPV(Disc,G41:AA41),E41+NPV(Disc,F41:AA41))</f>
        <v>2127.6565315397411</v>
      </c>
    </row>
    <row r="42" spans="1:33">
      <c r="A42" s="20"/>
      <c r="B42" s="15" t="s">
        <v>153</v>
      </c>
      <c r="D42" s="161" t="s">
        <v>36</v>
      </c>
      <c r="E42" s="226">
        <f ca="1">IF(E$7&lt;YEAR(Startops1),0,-HLOOKUP(E$7,CF_Table,CF!$AB$45)*$A40)</f>
        <v>0</v>
      </c>
      <c r="F42" s="226">
        <f ca="1">IF(F$7&lt;YEAR(Startops1),0,-HLOOKUP(F$7,CF_Table,CF!$AB$45)*$A40)</f>
        <v>0</v>
      </c>
      <c r="G42" s="226">
        <f ca="1">IF(G$7&lt;YEAR(Startops1),0,-HLOOKUP(G$7,CF_Table,CF!$AB$45)*$A40)</f>
        <v>0</v>
      </c>
      <c r="H42" s="226">
        <f ca="1">IF(H$7&lt;YEAR(Startops1),0,-HLOOKUP(H$7,CF_Table,CF!$AB$45)*$A40)</f>
        <v>0</v>
      </c>
      <c r="I42" s="226">
        <f ca="1">IF(I$7&lt;YEAR(Startops1),0,-HLOOKUP(I$7,CF_Table,CF!$AB$45)*$A40)</f>
        <v>589.48346219023949</v>
      </c>
      <c r="J42" s="226">
        <f ca="1">IF(J$7&lt;YEAR(Startops1),0,-HLOOKUP(J$7,CF_Table,CF!$AB$45)*$A40)</f>
        <v>1399.4163817907993</v>
      </c>
      <c r="K42" s="226">
        <f ca="1">IF(K$7&lt;YEAR(Startops1),0,-HLOOKUP(K$7,CF_Table,CF!$AB$45)*$A40)</f>
        <v>1333.9864226930526</v>
      </c>
      <c r="L42" s="226">
        <f ca="1">IF(L$7&lt;YEAR(Startops1),0,-HLOOKUP(L$7,CF_Table,CF!$AB$45)*$A40)</f>
        <v>1259.7741273354111</v>
      </c>
      <c r="M42" s="226">
        <f ca="1">IF(M$7&lt;YEAR(Startops1),0,-HLOOKUP(M$7,CF_Table,CF!$AB$45)*$A40)</f>
        <v>1175.6006866333901</v>
      </c>
      <c r="N42" s="226">
        <f ca="1">IF(N$7&lt;YEAR(Startops1),0,-HLOOKUP(N$7,CF_Table,CF!$AB$45)*$A40)</f>
        <v>1080.1290658531402</v>
      </c>
      <c r="O42" s="226">
        <f ca="1">IF(O$7&lt;YEAR(Startops1),0,-HLOOKUP(O$7,CF_Table,CF!$AB$45)*$A40)</f>
        <v>971.84276677366142</v>
      </c>
      <c r="P42" s="226">
        <f ca="1">IF(P$7&lt;YEAR(Startops1),0,-HLOOKUP(P$7,CF_Table,CF!$AB$45)*$A40)</f>
        <v>849.02173920023984</v>
      </c>
      <c r="Q42" s="226">
        <f ca="1">IF(Q$7&lt;YEAR(Startops1),0,-HLOOKUP(Q$7,CF_Table,CF!$AB$45)*$A40)</f>
        <v>709.71505920077561</v>
      </c>
      <c r="R42" s="226">
        <f ca="1">IF(R$7&lt;YEAR(Startops1),0,-HLOOKUP(R$7,CF_Table,CF!$AB$45)*$A40)</f>
        <v>551.7099400783834</v>
      </c>
      <c r="S42" s="226">
        <f ca="1">IF(S$7&lt;YEAR(Startops1),0,-HLOOKUP(S$7,CF_Table,CF!$AB$45)*$A40)</f>
        <v>372.49658384178821</v>
      </c>
      <c r="T42" s="226">
        <f ca="1">IF(T$7&lt;YEAR(Startops1),0,-HLOOKUP(T$7,CF_Table,CF!$AB$45)*$A40)</f>
        <v>169.22831486433614</v>
      </c>
      <c r="U42" s="226">
        <f ca="1">IF(U$7&lt;YEAR(Startops1),0,-HLOOKUP(U$7,CF_Table,CF!$AB$45)*$A40)</f>
        <v>0</v>
      </c>
      <c r="V42" s="226">
        <f ca="1">IF(V$7&lt;YEAR(Startops1),0,-HLOOKUP(V$7,CF_Table,CF!$AB$45)*$A40)</f>
        <v>0</v>
      </c>
      <c r="W42" s="226">
        <f ca="1">IF(W$7&lt;YEAR(Startops1),0,-HLOOKUP(W$7,CF_Table,CF!$AB$45)*$A40)</f>
        <v>0</v>
      </c>
      <c r="X42" s="226">
        <f ca="1">IF(X$7&lt;YEAR(Startops1),0,-HLOOKUP(X$7,CF_Table,CF!$AB$45)*$A40)</f>
        <v>0</v>
      </c>
      <c r="Y42" s="226">
        <f ca="1">IF(Y$7&lt;YEAR(Startops1),0,-HLOOKUP(Y$7,CF_Table,CF!$AB$45)*$A40)</f>
        <v>0</v>
      </c>
      <c r="Z42" s="226">
        <f ca="1">IF(Z$7&lt;YEAR(Startops1),0,-HLOOKUP(Z$7,CF_Table,CF!$AB$45)*$A40)</f>
        <v>0</v>
      </c>
      <c r="AA42" s="226">
        <f ca="1">IF(AA$7&lt;YEAR(Startops1),0,-HLOOKUP(AA$7,CF_Table,CF!$AB$45)*$A40)</f>
        <v>0</v>
      </c>
      <c r="AB42" s="435">
        <f t="shared" ca="1" si="12"/>
        <v>10462.404550455218</v>
      </c>
      <c r="AC42" s="463">
        <f ca="1">IF('Project &amp; Investor Returns'!$I$3=0,F42+NPV(Disc,G42:AA42),E42+NPV(Disc,F42:AA42))</f>
        <v>3245.709156958369</v>
      </c>
      <c r="AG42" s="80"/>
    </row>
    <row r="43" spans="1:33">
      <c r="A43" s="20"/>
      <c r="B43" s="15" t="s">
        <v>1954</v>
      </c>
      <c r="C43" s="67">
        <f>Wh_Int</f>
        <v>0.15</v>
      </c>
      <c r="D43" s="161" t="s">
        <v>36</v>
      </c>
      <c r="E43" s="226">
        <f ca="1">Wh_Int*-E42</f>
        <v>0</v>
      </c>
      <c r="F43" s="226">
        <f t="shared" ref="F43:AA43" ca="1" si="13">Wh_Int*-F42</f>
        <v>0</v>
      </c>
      <c r="G43" s="226">
        <f t="shared" ca="1" si="13"/>
        <v>0</v>
      </c>
      <c r="H43" s="226">
        <f t="shared" ca="1" si="13"/>
        <v>0</v>
      </c>
      <c r="I43" s="226">
        <f t="shared" ca="1" si="13"/>
        <v>-88.422519328535927</v>
      </c>
      <c r="J43" s="226">
        <f t="shared" ca="1" si="13"/>
        <v>-209.91245726861987</v>
      </c>
      <c r="K43" s="226">
        <f t="shared" ca="1" si="13"/>
        <v>-200.09796340395789</v>
      </c>
      <c r="L43" s="226">
        <f t="shared" ca="1" si="13"/>
        <v>-188.96611910031166</v>
      </c>
      <c r="M43" s="226">
        <f t="shared" ca="1" si="13"/>
        <v>-176.34010299500849</v>
      </c>
      <c r="N43" s="226">
        <f t="shared" ca="1" si="13"/>
        <v>-162.01935987797103</v>
      </c>
      <c r="O43" s="226">
        <f t="shared" ca="1" si="13"/>
        <v>-145.77641501604921</v>
      </c>
      <c r="P43" s="226">
        <f t="shared" ca="1" si="13"/>
        <v>-127.35326088003598</v>
      </c>
      <c r="Q43" s="226">
        <f t="shared" ca="1" si="13"/>
        <v>-106.45725888011634</v>
      </c>
      <c r="R43" s="226">
        <f t="shared" ca="1" si="13"/>
        <v>-82.756491011757504</v>
      </c>
      <c r="S43" s="226">
        <f t="shared" ca="1" si="13"/>
        <v>-55.87448757626823</v>
      </c>
      <c r="T43" s="226">
        <f t="shared" ca="1" si="13"/>
        <v>-25.38424722965042</v>
      </c>
      <c r="U43" s="226">
        <f t="shared" ca="1" si="13"/>
        <v>0</v>
      </c>
      <c r="V43" s="226">
        <f t="shared" ca="1" si="13"/>
        <v>0</v>
      </c>
      <c r="W43" s="226">
        <f t="shared" ca="1" si="13"/>
        <v>0</v>
      </c>
      <c r="X43" s="226">
        <f t="shared" ca="1" si="13"/>
        <v>0</v>
      </c>
      <c r="Y43" s="226">
        <f t="shared" ca="1" si="13"/>
        <v>0</v>
      </c>
      <c r="Z43" s="226">
        <f t="shared" ca="1" si="13"/>
        <v>0</v>
      </c>
      <c r="AA43" s="226">
        <f t="shared" ca="1" si="13"/>
        <v>0</v>
      </c>
      <c r="AB43" s="435">
        <f t="shared" ca="1" si="12"/>
        <v>-1569.3606825682825</v>
      </c>
      <c r="AC43" s="463">
        <f ca="1">IF('Project &amp; Investor Returns'!$I$3=0,F43+NPV(Disc,G43:AA43),E43+NPV(Disc,F43:AA43))</f>
        <v>-486.85637354375535</v>
      </c>
      <c r="AG43" s="80"/>
    </row>
    <row r="44" spans="1:33">
      <c r="A44" s="20"/>
      <c r="B44" s="15" t="s">
        <v>1071</v>
      </c>
      <c r="D44" s="161"/>
      <c r="E44" s="226">
        <f>IF(E7=YEAR(Assm!$AB$94),-Assm!$AB$100,0)</f>
        <v>0</v>
      </c>
      <c r="F44" s="226">
        <f>IF(F7=YEAR(Assm!$AB$94),-Assm!$AB$100,0)</f>
        <v>0</v>
      </c>
      <c r="G44" s="226">
        <f>IF(G7=YEAR(Assm!$AB$94),-Assm!$AB$100,0)</f>
        <v>0</v>
      </c>
      <c r="H44" s="226">
        <f>IF(H7=YEAR(Assm!$AB$94),-Assm!$AB$100,0)</f>
        <v>0</v>
      </c>
      <c r="I44" s="226">
        <f>IF(I7=YEAR(Assm!$AB$94),-Assm!$AB$100,0)</f>
        <v>0</v>
      </c>
      <c r="J44" s="226">
        <f>IF(J7=YEAR(Assm!$AB$94),-Assm!$AB$100,0)</f>
        <v>0</v>
      </c>
      <c r="K44" s="226">
        <f>IF(K7=YEAR(Assm!$AB$94),-Assm!$AB$100,0)</f>
        <v>0</v>
      </c>
      <c r="L44" s="226">
        <f>IF(L7=YEAR(Assm!$AB$94),-Assm!$AB$100,0)</f>
        <v>0</v>
      </c>
      <c r="M44" s="226">
        <f>IF(M7=YEAR(Assm!$AB$94),-Assm!$AB$100,0)</f>
        <v>0</v>
      </c>
      <c r="N44" s="226">
        <f>IF(N7=YEAR(Assm!$AB$94),-Assm!$AB$100,0)</f>
        <v>0</v>
      </c>
      <c r="O44" s="226">
        <f>IF(O7=YEAR(Assm!$AB$94),-Assm!$AB$100,0)</f>
        <v>0</v>
      </c>
      <c r="P44" s="226">
        <f>IF(P7=YEAR(Assm!$AB$94),-Assm!$AB$100,0)</f>
        <v>0</v>
      </c>
      <c r="Q44" s="226">
        <f>IF(Q7=YEAR(Assm!$AB$94),-Assm!$AB$100,0)</f>
        <v>0</v>
      </c>
      <c r="R44" s="226">
        <f>IF(R7=YEAR(Assm!$AB$94),-Assm!$AB$100,0)</f>
        <v>0</v>
      </c>
      <c r="S44" s="226">
        <f>IF(S7=YEAR(Assm!$AB$94),-Assm!$AB$100,0)</f>
        <v>0</v>
      </c>
      <c r="T44" s="226">
        <f>IF(T7=YEAR(Assm!$AB$94),-Assm!$AB$100,0)</f>
        <v>0</v>
      </c>
      <c r="U44" s="226">
        <f>IF(U7=YEAR(Assm!$AB$94),-Assm!$AB$100,0)</f>
        <v>0</v>
      </c>
      <c r="V44" s="226">
        <f>IF(V7=YEAR(Assm!$AB$94),-Assm!$AB$100,0)</f>
        <v>0</v>
      </c>
      <c r="W44" s="226">
        <f>IF(W7=YEAR(Assm!$AB$94),-Assm!$AB$100,0)</f>
        <v>0</v>
      </c>
      <c r="X44" s="226">
        <f>IF(X7=YEAR(Assm!$AB$94),-Assm!$AB$100,0)</f>
        <v>0</v>
      </c>
      <c r="Y44" s="226">
        <f>IF(Y7=YEAR(Assm!$AB$94),-Assm!$AB$100,0)</f>
        <v>0</v>
      </c>
      <c r="Z44" s="226">
        <f>IF(Z7=YEAR(Assm!$AB$94),-Assm!$AB$100,0)</f>
        <v>0</v>
      </c>
      <c r="AA44" s="226">
        <f>IF(AA7=YEAR(Assm!$AB$94),-Assm!$AB$100,0)</f>
        <v>0</v>
      </c>
      <c r="AB44" s="435">
        <f>SUM(E44:AA44)</f>
        <v>0</v>
      </c>
      <c r="AC44" s="463">
        <f ca="1">IF('Project &amp; Investor Returns'!$I$3=0,F44+NPV(Disc,G44:AA44),E44+NPV(Disc,F44:AA44))</f>
        <v>0</v>
      </c>
      <c r="AG44" s="80"/>
    </row>
    <row r="45" spans="1:33" s="75" customFormat="1">
      <c r="A45" s="456"/>
      <c r="B45" s="15" t="s">
        <v>169</v>
      </c>
      <c r="C45" s="212">
        <f>USTax</f>
        <v>0.37</v>
      </c>
      <c r="D45" s="79"/>
      <c r="E45" s="142">
        <f ca="1">-SUM(E42:E42)*USTax</f>
        <v>0</v>
      </c>
      <c r="F45" s="142">
        <f ca="1">-SUM(F42:F43)*USTax</f>
        <v>0</v>
      </c>
      <c r="G45" s="142">
        <f t="shared" ref="G45:AA45" ca="1" si="14">-SUM(G42:G43)*USTax</f>
        <v>0</v>
      </c>
      <c r="H45" s="142">
        <f t="shared" ca="1" si="14"/>
        <v>0</v>
      </c>
      <c r="I45" s="142">
        <f t="shared" ca="1" si="14"/>
        <v>-185.39254885883031</v>
      </c>
      <c r="J45" s="142">
        <f t="shared" ca="1" si="14"/>
        <v>-440.1164520732064</v>
      </c>
      <c r="K45" s="142">
        <f t="shared" ca="1" si="14"/>
        <v>-419.53872993696507</v>
      </c>
      <c r="L45" s="142">
        <f t="shared" ca="1" si="14"/>
        <v>-396.19896304698676</v>
      </c>
      <c r="M45" s="142">
        <f t="shared" ca="1" si="14"/>
        <v>-369.7264159462012</v>
      </c>
      <c r="N45" s="142">
        <f t="shared" ca="1" si="14"/>
        <v>-339.7005912108126</v>
      </c>
      <c r="O45" s="142">
        <f t="shared" ca="1" si="14"/>
        <v>-305.64455015031649</v>
      </c>
      <c r="P45" s="142">
        <f t="shared" ca="1" si="14"/>
        <v>-267.01733697847538</v>
      </c>
      <c r="Q45" s="142">
        <f t="shared" ca="1" si="14"/>
        <v>-223.20538611864393</v>
      </c>
      <c r="R45" s="142">
        <f t="shared" ca="1" si="14"/>
        <v>-173.51277615465159</v>
      </c>
      <c r="S45" s="142">
        <f t="shared" ca="1" si="14"/>
        <v>-117.1501756182424</v>
      </c>
      <c r="T45" s="142">
        <f t="shared" ca="1" si="14"/>
        <v>-53.222305024833716</v>
      </c>
      <c r="U45" s="142">
        <f t="shared" ca="1" si="14"/>
        <v>0</v>
      </c>
      <c r="V45" s="142">
        <f t="shared" ca="1" si="14"/>
        <v>0</v>
      </c>
      <c r="W45" s="142">
        <f t="shared" ca="1" si="14"/>
        <v>0</v>
      </c>
      <c r="X45" s="142">
        <f t="shared" ca="1" si="14"/>
        <v>0</v>
      </c>
      <c r="Y45" s="142">
        <f t="shared" ca="1" si="14"/>
        <v>0</v>
      </c>
      <c r="Z45" s="142">
        <f t="shared" ca="1" si="14"/>
        <v>0</v>
      </c>
      <c r="AA45" s="142">
        <f t="shared" ca="1" si="14"/>
        <v>0</v>
      </c>
      <c r="AB45" s="436">
        <f t="shared" ca="1" si="12"/>
        <v>-3290.4262311181656</v>
      </c>
      <c r="AC45" s="464">
        <f ca="1">IF('Project &amp; Investor Returns'!$I$3=0,F45+NPV(Disc,G45:AA45),E45+NPV(Disc,F45:AA45))</f>
        <v>-1020.7755298634071</v>
      </c>
      <c r="AD45" s="15"/>
      <c r="AG45" s="80"/>
    </row>
    <row r="46" spans="1:33" s="81" customFormat="1">
      <c r="A46" s="458"/>
      <c r="B46" s="15" t="s">
        <v>170</v>
      </c>
      <c r="C46" s="15"/>
      <c r="D46" s="15"/>
      <c r="E46" s="37">
        <f t="shared" ref="E46:AA46" ca="1" si="15">SUM(E39:E45)</f>
        <v>0</v>
      </c>
      <c r="F46" s="37">
        <f t="shared" ca="1" si="15"/>
        <v>-26040.957907461034</v>
      </c>
      <c r="G46" s="37">
        <f t="shared" ca="1" si="15"/>
        <v>-12032.780069905955</v>
      </c>
      <c r="H46" s="37">
        <f t="shared" ca="1" si="15"/>
        <v>10814.456886682799</v>
      </c>
      <c r="I46" s="37">
        <f t="shared" ca="1" si="15"/>
        <v>941.0501736036282</v>
      </c>
      <c r="J46" s="37">
        <f t="shared" ca="1" si="15"/>
        <v>1484.9417159024031</v>
      </c>
      <c r="K46" s="37">
        <f t="shared" ca="1" si="15"/>
        <v>2501.2216816418272</v>
      </c>
      <c r="L46" s="37">
        <f t="shared" ca="1" si="15"/>
        <v>-541.97951055236297</v>
      </c>
      <c r="M46" s="37">
        <f t="shared" ca="1" si="15"/>
        <v>4003.4806370846873</v>
      </c>
      <c r="N46" s="37">
        <f t="shared" ca="1" si="15"/>
        <v>4272.1443538982994</v>
      </c>
      <c r="O46" s="37">
        <f t="shared" ca="1" si="15"/>
        <v>3707.0877124416556</v>
      </c>
      <c r="P46" s="37">
        <f t="shared" ca="1" si="15"/>
        <v>3428.2363488445935</v>
      </c>
      <c r="Q46" s="37">
        <f t="shared" ca="1" si="15"/>
        <v>3918.0740553745409</v>
      </c>
      <c r="R46" s="37">
        <f t="shared" ca="1" si="15"/>
        <v>4190.7131666765081</v>
      </c>
      <c r="S46" s="37">
        <f t="shared" ca="1" si="15"/>
        <v>3277.4094209584873</v>
      </c>
      <c r="T46" s="37">
        <f t="shared" ca="1" si="15"/>
        <v>3003.1541367780696</v>
      </c>
      <c r="U46" s="37">
        <f t="shared" ca="1" si="15"/>
        <v>4718.8217724851065</v>
      </c>
      <c r="V46" s="37">
        <f t="shared" ca="1" si="15"/>
        <v>1783.6130820783303</v>
      </c>
      <c r="W46" s="37">
        <f t="shared" ca="1" si="15"/>
        <v>-617.13861495075093</v>
      </c>
      <c r="X46" s="37">
        <f t="shared" ca="1" si="15"/>
        <v>1149.2815119681666</v>
      </c>
      <c r="Y46" s="37">
        <f t="shared" ca="1" si="15"/>
        <v>810.09331768081324</v>
      </c>
      <c r="Z46" s="37">
        <f t="shared" ca="1" si="15"/>
        <v>1107.0273936165145</v>
      </c>
      <c r="AA46" s="37">
        <f t="shared" ca="1" si="15"/>
        <v>1356.9603916652854</v>
      </c>
      <c r="AB46" s="435">
        <f t="shared" ca="1" si="12"/>
        <v>17234.911656511613</v>
      </c>
      <c r="AC46" s="435">
        <f ca="1">SUM(AC39:AC45)</f>
        <v>-20458.802678312153</v>
      </c>
      <c r="AD46" s="15"/>
    </row>
    <row r="47" spans="1:33" s="81" customFormat="1">
      <c r="A47" s="458"/>
      <c r="B47" s="15"/>
      <c r="C47" s="15"/>
      <c r="D47" s="15"/>
      <c r="E47" s="1331">
        <f ca="1">SUM(E40:E45)</f>
        <v>0</v>
      </c>
      <c r="F47" s="1331">
        <f t="shared" ref="F47:AC47" ca="1" si="16">SUM(F40:F45)</f>
        <v>0</v>
      </c>
      <c r="G47" s="1331">
        <f t="shared" ca="1" si="16"/>
        <v>0</v>
      </c>
      <c r="H47" s="1331">
        <f t="shared" ca="1" si="16"/>
        <v>-8174.4161420924775</v>
      </c>
      <c r="I47" s="1331">
        <f t="shared" ca="1" si="16"/>
        <v>-2392.6870735706079</v>
      </c>
      <c r="J47" s="1331">
        <f t="shared" ca="1" si="16"/>
        <v>1236.8522450155338</v>
      </c>
      <c r="K47" s="1331">
        <f t="shared" ca="1" si="16"/>
        <v>1267.2444610164362</v>
      </c>
      <c r="L47" s="1331">
        <f t="shared" ca="1" si="16"/>
        <v>1301.7160722100607</v>
      </c>
      <c r="M47" s="1331">
        <f t="shared" ca="1" si="16"/>
        <v>1340.8146354161499</v>
      </c>
      <c r="N47" s="1331">
        <f t="shared" ca="1" si="16"/>
        <v>1385.1612032685753</v>
      </c>
      <c r="O47" s="1331">
        <f t="shared" ca="1" si="16"/>
        <v>1435.4601891909929</v>
      </c>
      <c r="P47" s="1331">
        <f t="shared" ca="1" si="16"/>
        <v>1492.5105564988467</v>
      </c>
      <c r="Q47" s="1331">
        <f t="shared" ca="1" si="16"/>
        <v>1557.2185093585977</v>
      </c>
      <c r="R47" s="1331">
        <f t="shared" ca="1" si="16"/>
        <v>1630.611887190948</v>
      </c>
      <c r="S47" s="1331">
        <f t="shared" ca="1" si="16"/>
        <v>1713.8564911628459</v>
      </c>
      <c r="T47" s="1331">
        <f t="shared" ca="1" si="16"/>
        <v>1808.2746021028686</v>
      </c>
      <c r="U47" s="1331">
        <f t="shared" ca="1" si="16"/>
        <v>0</v>
      </c>
      <c r="V47" s="1331">
        <f t="shared" ca="1" si="16"/>
        <v>0</v>
      </c>
      <c r="W47" s="1331">
        <f t="shared" ca="1" si="16"/>
        <v>0</v>
      </c>
      <c r="X47" s="1331">
        <f t="shared" ca="1" si="16"/>
        <v>0</v>
      </c>
      <c r="Y47" s="1331">
        <f t="shared" ca="1" si="16"/>
        <v>0</v>
      </c>
      <c r="Z47" s="1331">
        <f t="shared" ca="1" si="16"/>
        <v>0</v>
      </c>
      <c r="AA47" s="1331">
        <f t="shared" ca="1" si="16"/>
        <v>0</v>
      </c>
      <c r="AB47" s="1333">
        <f t="shared" ca="1" si="16"/>
        <v>5602.6176367687722</v>
      </c>
      <c r="AC47" s="1333">
        <f t="shared" ca="1" si="16"/>
        <v>-3513.9322741138708</v>
      </c>
      <c r="AD47" s="15"/>
    </row>
    <row r="48" spans="1:33">
      <c r="A48" s="20"/>
      <c r="B48" s="15" t="s">
        <v>472</v>
      </c>
      <c r="E48" s="221">
        <f ca="1">$E46</f>
        <v>0</v>
      </c>
      <c r="F48" s="221">
        <f ca="1">IF('Project &amp; Investor Returns'!$I$3=0,$F46,$E46+NPV(Disc,$F46:F46))</f>
        <v>-26040.957907461034</v>
      </c>
      <c r="G48" s="37">
        <f ca="1">IF('Project &amp; Investor Returns'!$I$3=0,$F46+NPV(Disc, $G46:G46),$E46+NPV(Disc,$F46:G46))</f>
        <v>-36152.537798138306</v>
      </c>
      <c r="H48" s="37">
        <f ca="1">IF('Project &amp; Investor Returns'!$I$3=0,$F46+NPV(Disc, $G46:H46),$E46+NPV(Disc,$F46:H46))</f>
        <v>-28515.748809590325</v>
      </c>
      <c r="I48" s="37">
        <f ca="1">IF('Project &amp; Investor Returns'!$I$3=0,$F46+NPV(Disc, $G46:I46),$E46+NPV(Disc,$F46:I46))</f>
        <v>-27957.314754641426</v>
      </c>
      <c r="J48" s="37">
        <f ca="1">IF('Project &amp; Investor Returns'!$I$3=0,$F46+NPV(Disc, $G46:J46),$E46+NPV(Disc,$F46:J46))</f>
        <v>-27216.820723258872</v>
      </c>
      <c r="K48" s="37">
        <f ca="1">IF('Project &amp; Investor Returns'!$I$3=0,$F46+NPV(Disc, $G46:K46),$E46+NPV(Disc,$F46:K46))</f>
        <v>-26168.685351007873</v>
      </c>
      <c r="L48" s="37">
        <f ca="1">IF('Project &amp; Investor Returns'!$I$3=0,$F46+NPV(Disc, $G46:L46),$E46+NPV(Disc,$F46:L46))</f>
        <v>-26359.53927786036</v>
      </c>
      <c r="M48" s="37">
        <f ca="1">IF('Project &amp; Investor Returns'!$I$3=0,$F46+NPV(Disc, $G46:M46),$E46+NPV(Disc,$F46:M46))</f>
        <v>-25174.837602480937</v>
      </c>
      <c r="N48" s="37">
        <f ca="1">IF('Project &amp; Investor Returns'!$I$3=0,$F46+NPV(Disc, $G46:N46),$E46+NPV(Disc,$F46:N46))</f>
        <v>-24112.481228971057</v>
      </c>
      <c r="O48" s="37">
        <f ca="1">IF('Project &amp; Investor Returns'!$I$3=0,$F46+NPV(Disc, $G46:O46),$E46+NPV(Disc,$F46:O46))</f>
        <v>-23337.822873846817</v>
      </c>
      <c r="P48" s="37">
        <f ca="1">IF('Project &amp; Investor Returns'!$I$3=0,$F46+NPV(Disc, $G46:P46),$E46+NPV(Disc,$F46:P46))</f>
        <v>-22735.816427976453</v>
      </c>
      <c r="Q48" s="37">
        <f ca="1">IF('Project &amp; Investor Returns'!$I$3=0,$F46+NPV(Disc, $G46:Q46),$E46+NPV(Disc,$F46:Q46))</f>
        <v>-22157.645746768394</v>
      </c>
      <c r="R48" s="37">
        <f ca="1">IF('Project &amp; Investor Returns'!$I$3=0,$F46+NPV(Disc, $G46:R46),$E46+NPV(Disc,$F46:R46))</f>
        <v>-21637.979631256909</v>
      </c>
      <c r="S48" s="37">
        <f ca="1">IF('Project &amp; Investor Returns'!$I$3=0,$F46+NPV(Disc, $G46:S46),$E46+NPV(Disc,$F46:S46))</f>
        <v>-21296.456440224058</v>
      </c>
      <c r="T48" s="37">
        <f ca="1">IF('Project &amp; Investor Returns'!$I$3=0,$F46+NPV(Disc, $G46:T46),$E46+NPV(Disc,$F46:T46))</f>
        <v>-21033.477988940896</v>
      </c>
      <c r="U48" s="37">
        <f ca="1">IF('Project &amp; Investor Returns'!$I$3=0,$F46+NPV(Disc, $G46:U46),$E46+NPV(Disc,$F46:U46))</f>
        <v>-20686.23846376712</v>
      </c>
      <c r="V48" s="37">
        <f ca="1">IF('Project &amp; Investor Returns'!$I$3=0,$F46+NPV(Disc, $G46:V46),$E46+NPV(Disc,$F46:V46))</f>
        <v>-20575.945129310163</v>
      </c>
      <c r="W48" s="37">
        <f ca="1">IF('Project &amp; Investor Returns'!$I$3=0,$F46+NPV(Disc, $G46:W46),$E46+NPV(Disc,$F46:W46))</f>
        <v>-20608.014052527746</v>
      </c>
      <c r="X48" s="37">
        <f ca="1">IF('Project &amp; Investor Returns'!$I$3=0,$F46+NPV(Disc, $G46:X46),$E46+NPV(Disc,$F46:X46))</f>
        <v>-20557.828222038588</v>
      </c>
      <c r="Y48" s="37">
        <f ca="1">IF('Project &amp; Investor Returns'!$I$3=0,$F46+NPV(Disc, $G46:Y46),$E46+NPV(Disc,$F46:Y46))</f>
        <v>-20528.10179014723</v>
      </c>
      <c r="Z48" s="37">
        <f ca="1">IF('Project &amp; Investor Returns'!$I$3=0,$F46+NPV(Disc, $G46:Z46),$E46+NPV(Disc,$F46:Z46))</f>
        <v>-20493.965278449454</v>
      </c>
      <c r="AA48" s="37">
        <f ca="1">IF('Project &amp; Investor Returns'!$I$3=0,$F46+NPV(Disc, $G46:AA46),$E46+NPV(Disc,$F46:AA46))</f>
        <v>-20458.802678312153</v>
      </c>
      <c r="AB48" s="466"/>
      <c r="AC48" s="435">
        <f ca="1">AC46</f>
        <v>-20458.802678312153</v>
      </c>
      <c r="AD48" s="1331">
        <f ca="1">NPV(Disc,F47:AA47)+E47</f>
        <v>-2952.884263961234</v>
      </c>
    </row>
    <row r="49" spans="1:33">
      <c r="A49" s="20"/>
      <c r="B49" s="15" t="s">
        <v>473</v>
      </c>
      <c r="E49" s="32" t="e">
        <f ca="1">IRR($E46:E46,-0.9)</f>
        <v>#NUM!</v>
      </c>
      <c r="F49" s="32" t="e">
        <f ca="1">IRR($E46:F46,-0.9)</f>
        <v>#NUM!</v>
      </c>
      <c r="G49" s="32" t="e">
        <f ca="1">IRR($E46:G46,-0.9)</f>
        <v>#NUM!</v>
      </c>
      <c r="H49" s="32">
        <f ca="1">IRR($E46:H46,-0.9)</f>
        <v>-0.54644533109963633</v>
      </c>
      <c r="I49" s="32">
        <f ca="1">IRR($E46:I46,-0.9)</f>
        <v>-0.49594572680177385</v>
      </c>
      <c r="J49" s="32">
        <f ca="1">IRR($E46:J46,-0.9)</f>
        <v>-0.4014531525780301</v>
      </c>
      <c r="K49" s="32">
        <f ca="1">IRR($E46:K46,-0.9)</f>
        <v>-0.2854334908408222</v>
      </c>
      <c r="L49" s="32">
        <f ca="1">IRR($E46:L46,-0.9)</f>
        <v>-0.81095768540474256</v>
      </c>
      <c r="M49" s="32">
        <f ca="1">IRR($E46:M46,-0.9)</f>
        <v>-0.17318501461081051</v>
      </c>
      <c r="N49" s="32">
        <f ca="1">IRR($E46:N46,-0.9)</f>
        <v>-0.10488843692985685</v>
      </c>
      <c r="O49" s="32">
        <f ca="1">IRR($E46:O46,-0.9)</f>
        <v>-6.6144862484258285E-2</v>
      </c>
      <c r="P49" s="32">
        <f ca="1">IRR($E46:P46,-0.9)</f>
        <v>-3.9530438922115024E-2</v>
      </c>
      <c r="Q49" s="32">
        <f ca="1">IRR($E46:Q46,-0.9)</f>
        <v>-1.633639487512532E-2</v>
      </c>
      <c r="R49" s="32">
        <f ca="1">IRR($E46:R46,-0.9)</f>
        <v>2.6082164665345662E-3</v>
      </c>
      <c r="S49" s="32">
        <f ca="1">IRR($E46:S46,-0.9)</f>
        <v>1.4419447845335729E-2</v>
      </c>
      <c r="T49" s="32">
        <f ca="1">IRR($E46:T46,-0.9)</f>
        <v>2.3448944972314055E-2</v>
      </c>
      <c r="U49" s="32">
        <f ca="1">IRR($E46:U46,-0.9)</f>
        <v>3.5008642352104359E-2</v>
      </c>
      <c r="V49" s="32">
        <f ca="1">IRR($E46:V46,-0.9)</f>
        <v>3.8686602985885957E-2</v>
      </c>
      <c r="W49" s="32">
        <f ca="1">IRR($E46:W46,-0.9)</f>
        <v>-0.79042310360436918</v>
      </c>
      <c r="X49" s="32">
        <f ca="1">IRR($E46:X46,-0.9)</f>
        <v>3.9613226347387322E-2</v>
      </c>
      <c r="Y49" s="32">
        <f ca="1">IRR($E46:Y46,-0.9)</f>
        <v>4.0994809613599185E-2</v>
      </c>
      <c r="Z49" s="32">
        <f ca="1">IRR($E46:Z46,-0.9)</f>
        <v>4.2736899404054382E-2</v>
      </c>
      <c r="AA49" s="32">
        <f ca="1">IRR($E46:AA46,-0.9)</f>
        <v>4.4684069858470905E-2</v>
      </c>
      <c r="AB49" s="465"/>
      <c r="AC49" s="471">
        <f ca="1">IRR(E46:AA46,-0.9)</f>
        <v>4.4684069858470905E-2</v>
      </c>
      <c r="AD49" s="1337">
        <f ca="1">IF(ISERROR(IRR(E47:AA47,-0.9)),"Infinite",IRR(E47:AA47,-0.9))</f>
        <v>6.4100171134057179E-2</v>
      </c>
    </row>
    <row r="50" spans="1:33" ht="12.75" customHeight="1">
      <c r="A50" s="20"/>
      <c r="C50" s="833" t="s">
        <v>498</v>
      </c>
      <c r="D50" s="833" t="s">
        <v>499</v>
      </c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465"/>
      <c r="AC50" s="430"/>
    </row>
    <row r="51" spans="1:33">
      <c r="A51" s="20"/>
      <c r="B51" s="243" t="str">
        <f ca="1">CONCATENATE("Shell NPV (w/ Subdebt) @ ",TEXT(Disc,"0.0%"))</f>
        <v>Shell NPV (w/ Subdebt) @ 19.0%</v>
      </c>
      <c r="C51" s="1329">
        <f ca="1">AC48</f>
        <v>-20458.802678312153</v>
      </c>
      <c r="D51" s="452">
        <f ca="1">AD48</f>
        <v>-2952.884263961234</v>
      </c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465"/>
      <c r="AC51" s="430"/>
    </row>
    <row r="52" spans="1:33" ht="13.5" thickBot="1">
      <c r="A52" s="48"/>
      <c r="B52" s="462" t="s">
        <v>260</v>
      </c>
      <c r="C52" s="1332">
        <f ca="1">AC49</f>
        <v>4.4684069858470905E-2</v>
      </c>
      <c r="D52" s="1340">
        <f ca="1">AD49</f>
        <v>6.4100171134057179E-2</v>
      </c>
      <c r="E52" s="49"/>
      <c r="F52" s="713"/>
      <c r="G52" s="713"/>
      <c r="H52" s="713"/>
      <c r="I52" s="713"/>
      <c r="J52" s="713"/>
      <c r="K52" s="713"/>
      <c r="L52" s="713"/>
      <c r="M52" s="713"/>
      <c r="N52" s="713"/>
      <c r="O52" s="713"/>
      <c r="P52" s="713"/>
      <c r="Q52" s="713"/>
      <c r="R52" s="713"/>
      <c r="S52" s="713"/>
      <c r="T52" s="713"/>
      <c r="U52" s="713"/>
      <c r="V52" s="713"/>
      <c r="W52" s="713"/>
      <c r="X52" s="713"/>
      <c r="Y52" s="713"/>
      <c r="Z52" s="713"/>
      <c r="AA52" s="713"/>
      <c r="AB52" s="714"/>
      <c r="AC52" s="443"/>
    </row>
    <row r="53" spans="1:33" s="15" customFormat="1" ht="13.5" thickBot="1"/>
    <row r="54" spans="1:33" s="15" customFormat="1">
      <c r="A54" s="715" t="str">
        <f>CONCATENATE(Assm!$H$87," Returns")</f>
        <v>Transredes Returns</v>
      </c>
      <c r="B54" s="11"/>
      <c r="C54" s="11"/>
      <c r="D54" s="82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424"/>
      <c r="AC54" s="716"/>
    </row>
    <row r="55" spans="1:33">
      <c r="A55" s="457">
        <f>Assm!$K$87</f>
        <v>0.125</v>
      </c>
      <c r="B55" s="15" t="s">
        <v>1608</v>
      </c>
      <c r="E55" s="37">
        <f ca="1">'Project &amp; Investor Returns'!E13*$A$55</f>
        <v>0</v>
      </c>
      <c r="F55" s="37">
        <f ca="1">'Project &amp; Investor Returns'!F13*$A$55</f>
        <v>-11599.196275614886</v>
      </c>
      <c r="G55" s="37">
        <f ca="1">'Project &amp; Investor Returns'!G13*$A$55</f>
        <v>0</v>
      </c>
      <c r="H55" s="37">
        <f ca="1">'Project &amp; Investor Returns'!H13*$A$55</f>
        <v>0</v>
      </c>
      <c r="I55" s="37">
        <f ca="1">'Project &amp; Investor Returns'!I13*$A$55</f>
        <v>0</v>
      </c>
      <c r="J55" s="37">
        <f ca="1">'Project &amp; Investor Returns'!J13*$A$55</f>
        <v>0</v>
      </c>
      <c r="K55" s="37">
        <f ca="1">'Project &amp; Investor Returns'!K13*$A$55</f>
        <v>0</v>
      </c>
      <c r="L55" s="37">
        <f ca="1">'Project &amp; Investor Returns'!L13*$A$55</f>
        <v>0</v>
      </c>
      <c r="M55" s="37">
        <f ca="1">'Project &amp; Investor Returns'!M13*$A$55</f>
        <v>0</v>
      </c>
      <c r="N55" s="37">
        <f ca="1">'Project &amp; Investor Returns'!N13*$A$55</f>
        <v>0</v>
      </c>
      <c r="O55" s="37">
        <f ca="1">'Project &amp; Investor Returns'!O13*$A$55</f>
        <v>0</v>
      </c>
      <c r="P55" s="37">
        <f ca="1">'Project &amp; Investor Returns'!P13*$A$55</f>
        <v>0</v>
      </c>
      <c r="Q55" s="37">
        <f ca="1">'Project &amp; Investor Returns'!Q13*$A$55</f>
        <v>0</v>
      </c>
      <c r="R55" s="37">
        <f ca="1">'Project &amp; Investor Returns'!R13*$A$55</f>
        <v>0</v>
      </c>
      <c r="S55" s="37">
        <f ca="1">'Project &amp; Investor Returns'!S13*$A$55</f>
        <v>0</v>
      </c>
      <c r="T55" s="37">
        <f ca="1">'Project &amp; Investor Returns'!T13*$A$55</f>
        <v>0</v>
      </c>
      <c r="U55" s="37">
        <f ca="1">'Project &amp; Investor Returns'!U13*$A$55</f>
        <v>0</v>
      </c>
      <c r="V55" s="37">
        <f ca="1">'Project &amp; Investor Returns'!V13*$A$55</f>
        <v>0</v>
      </c>
      <c r="W55" s="37">
        <f ca="1">'Project &amp; Investor Returns'!W13*$A$55</f>
        <v>0</v>
      </c>
      <c r="X55" s="37">
        <f ca="1">'Project &amp; Investor Returns'!X13*$A$55</f>
        <v>0</v>
      </c>
      <c r="Y55" s="37">
        <f ca="1">'Project &amp; Investor Returns'!Y13*$A$55</f>
        <v>0</v>
      </c>
      <c r="Z55" s="37">
        <f ca="1">'Project &amp; Investor Returns'!Z13*$A$55</f>
        <v>0</v>
      </c>
      <c r="AA55" s="37">
        <f ca="1">'Project &amp; Investor Returns'!AA13*$A$55</f>
        <v>0</v>
      </c>
      <c r="AB55" s="435">
        <f t="shared" ref="AB55:AB62" ca="1" si="17">SUM(E55:AA55)</f>
        <v>-11599.196275614886</v>
      </c>
      <c r="AC55" s="463">
        <f ca="1">IF('Project &amp; Investor Returns'!$I$3=0,F55+NPV(Disc,G55:AA55),E55+NPV(Disc,F55:AA55))</f>
        <v>-11599.196275614886</v>
      </c>
    </row>
    <row r="56" spans="1:33">
      <c r="A56" s="457">
        <f>Assm!$L$87</f>
        <v>0.125</v>
      </c>
      <c r="B56" s="15" t="s">
        <v>1613</v>
      </c>
      <c r="E56" s="37">
        <f ca="1">'Project &amp; Investor Returns'!E14*$A$56</f>
        <v>0</v>
      </c>
      <c r="F56" s="37">
        <f ca="1">'Project &amp; Investor Returns'!F14*$A$56</f>
        <v>0</v>
      </c>
      <c r="G56" s="37">
        <f ca="1">'Project &amp; Investor Returns'!G14*$A$56</f>
        <v>0</v>
      </c>
      <c r="H56" s="37">
        <f ca="1">'Project &amp; Investor Returns'!H14*$A$56</f>
        <v>0</v>
      </c>
      <c r="I56" s="37">
        <f ca="1">'Project &amp; Investor Returns'!I14*$A$56</f>
        <v>0</v>
      </c>
      <c r="J56" s="37">
        <f ca="1">'Project &amp; Investor Returns'!J14*$A$56</f>
        <v>-5.6843418860808015E-14</v>
      </c>
      <c r="K56" s="37">
        <f ca="1">'Project &amp; Investor Returns'!K14*$A$56</f>
        <v>2.2737367544323206E-13</v>
      </c>
      <c r="L56" s="37">
        <f ca="1">'Project &amp; Investor Returns'!L14*$A$56</f>
        <v>0</v>
      </c>
      <c r="M56" s="37">
        <f ca="1">'Project &amp; Investor Returns'!M14*$A$56</f>
        <v>-2.2737367544323206E-13</v>
      </c>
      <c r="N56" s="37">
        <f ca="1">'Project &amp; Investor Returns'!N14*$A$56</f>
        <v>-2.2737367544323206E-13</v>
      </c>
      <c r="O56" s="37">
        <f ca="1">'Project &amp; Investor Returns'!O14*$A$56</f>
        <v>287.13235904519956</v>
      </c>
      <c r="P56" s="37">
        <f ca="1">'Project &amp; Investor Returns'!P14*$A$56</f>
        <v>743.09954456632977</v>
      </c>
      <c r="Q56" s="37">
        <f ca="1">'Project &amp; Investor Returns'!Q14*$A$56</f>
        <v>776.92650852546353</v>
      </c>
      <c r="R56" s="37">
        <f ca="1">'Project &amp; Investor Returns'!R14*$A$56</f>
        <v>894.23930879242062</v>
      </c>
      <c r="S56" s="37">
        <f ca="1">'Project &amp; Investor Returns'!S14*$A$56</f>
        <v>971.57786937486946</v>
      </c>
      <c r="T56" s="37">
        <f ca="1">'Project &amp; Investor Returns'!T14*$A$56</f>
        <v>688.86100847898626</v>
      </c>
      <c r="U56" s="37">
        <f ca="1">'Project &amp; Investor Returns'!U14*$A$56</f>
        <v>886.65780809528292</v>
      </c>
      <c r="V56" s="37">
        <f ca="1">'Project &amp; Investor Returns'!V14*$A$56</f>
        <v>301.3131153983179</v>
      </c>
      <c r="W56" s="37">
        <f ca="1">'Project &amp; Investor Returns'!W14*$A$56</f>
        <v>0</v>
      </c>
      <c r="X56" s="37">
        <f ca="1">'Project &amp; Investor Returns'!X14*$A$56</f>
        <v>0</v>
      </c>
      <c r="Y56" s="37">
        <f ca="1">'Project &amp; Investor Returns'!Y14*$A$56</f>
        <v>0</v>
      </c>
      <c r="Z56" s="37">
        <f ca="1">'Project &amp; Investor Returns'!Z14*$A$56</f>
        <v>2.2737367544323206E-13</v>
      </c>
      <c r="AA56" s="37">
        <f ca="1">'Project &amp; Investor Returns'!AA14*$A$56</f>
        <v>5577.2856590113824</v>
      </c>
      <c r="AB56" s="435">
        <f t="shared" ca="1" si="17"/>
        <v>11127.093181288252</v>
      </c>
      <c r="AC56" s="463">
        <f ca="1">IF('Project &amp; Investor Returns'!$I$3=0,F56+NPV(Disc,G56:AA56),E56+NPV(Disc,F56:AA56))</f>
        <v>805.99395617872005</v>
      </c>
    </row>
    <row r="57" spans="1:33">
      <c r="A57" s="457"/>
      <c r="B57" s="15" t="s">
        <v>906</v>
      </c>
      <c r="E57" s="37">
        <f ca="1">'Project &amp; Investor Returns'!E15*$A$56</f>
        <v>0</v>
      </c>
      <c r="F57" s="37">
        <f ca="1">'Project &amp; Investor Returns'!F15*$A$56</f>
        <v>0</v>
      </c>
      <c r="G57" s="37">
        <f ca="1">'Project &amp; Investor Returns'!G15*$A$56</f>
        <v>-247.31350940996174</v>
      </c>
      <c r="H57" s="37">
        <f ca="1">'Project &amp; Investor Returns'!H15*$A$56</f>
        <v>419.7923499796575</v>
      </c>
      <c r="I57" s="37">
        <f ca="1">'Project &amp; Investor Returns'!I15*$A$56</f>
        <v>1911.5124128445268</v>
      </c>
      <c r="J57" s="37">
        <f ca="1">'Project &amp; Investor Returns'!J15*$A$56</f>
        <v>220.54028131441146</v>
      </c>
      <c r="K57" s="37">
        <f ca="1">'Project &amp; Investor Returns'!K15*$A$56</f>
        <v>575.18387472133327</v>
      </c>
      <c r="L57" s="37">
        <f ca="1">'Project &amp; Investor Returns'!L15*$A$56</f>
        <v>-944.68709052989061</v>
      </c>
      <c r="M57" s="37">
        <f ca="1">'Project &amp; Investor Returns'!M15*$A$56</f>
        <v>794.65969176691169</v>
      </c>
      <c r="N57" s="37">
        <f ca="1">'Project &amp; Investor Returns'!N15*$A$56</f>
        <v>805.41928573201221</v>
      </c>
      <c r="O57" s="37">
        <f ca="1">'Project &amp; Investor Returns'!O15*$A$56</f>
        <v>224.86359945845288</v>
      </c>
      <c r="P57" s="37">
        <f ca="1">'Project &amp; Investor Returns'!P15*$A$56</f>
        <v>-314.85208573553473</v>
      </c>
      <c r="Q57" s="37">
        <f ca="1">'Project &amp; Investor Returns'!Q15*$A$56</f>
        <v>-143.17277555200326</v>
      </c>
      <c r="R57" s="37">
        <f ca="1">'Project &amp; Investor Returns'!R15*$A$56</f>
        <v>-287.03048434743005</v>
      </c>
      <c r="S57" s="37">
        <f ca="1">'Project &amp; Investor Returns'!S15*$A$56</f>
        <v>-939.23717566855521</v>
      </c>
      <c r="T57" s="37">
        <f ca="1">'Project &amp; Investor Returns'!T15*$A$56</f>
        <v>-652.29170831227475</v>
      </c>
      <c r="U57" s="37">
        <f ca="1">'Project &amp; Investor Returns'!U15*$A$56</f>
        <v>902.34073531354989</v>
      </c>
      <c r="V57" s="37">
        <f ca="1">'Project &amp; Investor Returns'!V15*$A$56</f>
        <v>424.90792714549389</v>
      </c>
      <c r="W57" s="37">
        <f ca="1">'Project &amp; Investor Returns'!W15*$A$56</f>
        <v>-248.67662168907236</v>
      </c>
      <c r="X57" s="37">
        <f ca="1">'Project &amp; Investor Returns'!X15*$A$56</f>
        <v>760.70630797888043</v>
      </c>
      <c r="Y57" s="37">
        <f ca="1">'Project &amp; Investor Returns'!Y15*$A$56</f>
        <v>586.23920481357618</v>
      </c>
      <c r="Z57" s="37">
        <f ca="1">'Project &amp; Investor Returns'!Z15*$A$56</f>
        <v>778.07566157592964</v>
      </c>
      <c r="AA57" s="37">
        <f ca="1">'Project &amp; Investor Returns'!AA15*$A$56</f>
        <v>-4626.9798814000133</v>
      </c>
      <c r="AB57" s="435">
        <f t="shared" ca="1" si="17"/>
        <v>0</v>
      </c>
      <c r="AC57" s="463">
        <f ca="1">IF('Project &amp; Investor Returns'!$I$3=0,F57+NPV(Disc,G57:AA57),E57+NPV(Disc,F57:AA57))</f>
        <v>1495.2831451427119</v>
      </c>
    </row>
    <row r="58" spans="1:33" s="75" customFormat="1">
      <c r="A58" s="459"/>
      <c r="B58" s="15" t="s">
        <v>908</v>
      </c>
      <c r="C58" s="15"/>
      <c r="D58" s="79" t="s">
        <v>478</v>
      </c>
      <c r="E58" s="37">
        <f>-Trapped!E40*'Project &amp; Investor Returns'!E$10*$A$56</f>
        <v>0</v>
      </c>
      <c r="F58" s="37">
        <f>-Trapped!F40*'Project &amp; Investor Returns'!F$10*$A$56</f>
        <v>0</v>
      </c>
      <c r="G58" s="37">
        <f ca="1">-Trapped!G40*'Project &amp; Investor Returns'!G$10*$A$56</f>
        <v>0</v>
      </c>
      <c r="H58" s="37">
        <f ca="1">-Trapped!H40*'Project &amp; Investor Returns'!H$10*$A$56</f>
        <v>0</v>
      </c>
      <c r="I58" s="37">
        <f ca="1">-Trapped!I40*'Project &amp; Investor Returns'!I$10*$A$56</f>
        <v>-10.348730434181745</v>
      </c>
      <c r="J58" s="37">
        <f ca="1">-Trapped!J40*'Project &amp; Investor Returns'!J$10*$A$56</f>
        <v>-125.03947520485336</v>
      </c>
      <c r="K58" s="37">
        <f ca="1">-Trapped!K40*'Project &amp; Investor Returns'!K$10*$A$56</f>
        <v>-138.27189208371806</v>
      </c>
      <c r="L58" s="37">
        <f ca="1">-Trapped!L40*'Project &amp; Investor Returns'!L$10*$A$56</f>
        <v>-172.78292456699805</v>
      </c>
      <c r="M58" s="37">
        <f ca="1">-Trapped!M40*'Project &amp; Investor Returns'!M$10*$A$56</f>
        <v>-172.78292456699805</v>
      </c>
      <c r="N58" s="37">
        <f ca="1">-Trapped!N40*'Project &amp; Investor Returns'!N$10*$A$56</f>
        <v>-163.7812806412193</v>
      </c>
      <c r="O58" s="37">
        <f ca="1">-Trapped!O40*'Project &amp; Investor Returns'!O$10*$A$56</f>
        <v>-212.10643778514003</v>
      </c>
      <c r="P58" s="37">
        <f ca="1">-Trapped!P40*'Project &amp; Investor Returns'!P$10*$A$56</f>
        <v>-225.5982537526472</v>
      </c>
      <c r="Q58" s="37">
        <f ca="1">-Trapped!Q40*'Project &amp; Investor Returns'!Q$10*$A$56</f>
        <v>-225.5982537526472</v>
      </c>
      <c r="R58" s="37">
        <f ca="1">-Trapped!R40*'Project &amp; Investor Returns'!R$10*$A$56</f>
        <v>-206.70712860851512</v>
      </c>
      <c r="S58" s="37">
        <f ca="1">-Trapped!S40*'Project &amp; Investor Returns'!S$10*$A$56</f>
        <v>-198.11676207539492</v>
      </c>
      <c r="T58" s="37">
        <f ca="1">-Trapped!T40*'Project &amp; Investor Returns'!T$10*$A$56</f>
        <v>-180.89493301454914</v>
      </c>
      <c r="U58" s="37">
        <f ca="1">-Trapped!U40*'Project &amp; Investor Returns'!U$10*$A$56</f>
        <v>-124.54070247443582</v>
      </c>
      <c r="V58" s="37">
        <f ca="1">-Trapped!V40*'Project &amp; Investor Returns'!V$10*$A$56</f>
        <v>-139.54364409451233</v>
      </c>
      <c r="W58" s="37">
        <f ca="1">-Trapped!W40*'Project &amp; Investor Returns'!W$10*$A$56</f>
        <v>-165.03811972324195</v>
      </c>
      <c r="X58" s="37">
        <f ca="1">-Trapped!X40*'Project &amp; Investor Returns'!X$10*$A$56</f>
        <v>-165.03811972324195</v>
      </c>
      <c r="Y58" s="37">
        <f ca="1">-Trapped!Y40*'Project &amp; Investor Returns'!Y$10*$A$56</f>
        <v>-195.75990090063044</v>
      </c>
      <c r="Z58" s="37">
        <f ca="1">-Trapped!Z40*'Project &amp; Investor Returns'!Z$10*$A$56</f>
        <v>-230.934253189445</v>
      </c>
      <c r="AA58" s="37">
        <f ca="1">-Trapped!AA40*'Project &amp; Investor Returns'!AA$10*$A$56</f>
        <v>-277.61879288400081</v>
      </c>
      <c r="AB58" s="435">
        <f t="shared" ca="1" si="17"/>
        <v>-3330.50252947637</v>
      </c>
      <c r="AC58" s="463">
        <f ca="1">IF('Project &amp; Investor Returns'!$I$3=0,F58+NPV(Disc,G58:AA58),E58+NPV(Disc,F58:AA58))</f>
        <v>-513.56013842387938</v>
      </c>
      <c r="AD58" s="15"/>
      <c r="AG58" s="80"/>
    </row>
    <row r="59" spans="1:33" s="75" customFormat="1">
      <c r="A59" s="459"/>
      <c r="B59" s="15" t="s">
        <v>1589</v>
      </c>
      <c r="C59" s="15"/>
      <c r="D59" s="15"/>
      <c r="E59" s="37">
        <f ca="1">'Project &amp; Investor Returns'!E16*$A$56</f>
        <v>0</v>
      </c>
      <c r="F59" s="37">
        <f ca="1">'Project &amp; Investor Returns'!F16*$A$56</f>
        <v>0</v>
      </c>
      <c r="G59" s="37">
        <f ca="1">'Project &amp; Investor Returns'!G16*$A$56</f>
        <v>0</v>
      </c>
      <c r="H59" s="37">
        <f ca="1">'Project &amp; Investor Returns'!H16*$A$56</f>
        <v>0</v>
      </c>
      <c r="I59" s="37">
        <f ca="1">'Project &amp; Investor Returns'!I16*$A$56</f>
        <v>0</v>
      </c>
      <c r="J59" s="37">
        <f ca="1">'Project &amp; Investor Returns'!J16*$A$56</f>
        <v>0</v>
      </c>
      <c r="K59" s="37">
        <f ca="1">'Project &amp; Investor Returns'!K16*$A$56</f>
        <v>255.36147958679396</v>
      </c>
      <c r="L59" s="37">
        <f ca="1">'Project &amp; Investor Returns'!L16*$A$56</f>
        <v>0</v>
      </c>
      <c r="M59" s="37">
        <f ca="1">'Project &amp; Investor Returns'!M16*$A$56</f>
        <v>983.19644733550081</v>
      </c>
      <c r="N59" s="37">
        <f ca="1">'Project &amp; Investor Returns'!N16*$A$56</f>
        <v>1114.6677394995945</v>
      </c>
      <c r="O59" s="37">
        <f ca="1">'Project &amp; Investor Returns'!O16*$A$56</f>
        <v>1082.0046679175721</v>
      </c>
      <c r="P59" s="37">
        <f ca="1">'Project &amp; Investor Returns'!P16*$A$56</f>
        <v>964.71584144816734</v>
      </c>
      <c r="Q59" s="37">
        <f ca="1">'Project &amp; Investor Returns'!Q16*$A$56</f>
        <v>1008.7452692939034</v>
      </c>
      <c r="R59" s="37">
        <f ca="1">'Project &amp; Investor Returns'!R16*$A$56</f>
        <v>1159.9196275614886</v>
      </c>
      <c r="S59" s="37">
        <f ca="1">'Project &amp; Investor Returns'!S16*$A$56</f>
        <v>1159.9196275614886</v>
      </c>
      <c r="T59" s="37">
        <f ca="1">'Project &amp; Investor Returns'!T16*$A$56</f>
        <v>894.33272136604808</v>
      </c>
      <c r="U59" s="37">
        <f ca="1">'Project &amp; Investor Returns'!U16*$A$56</f>
        <v>1159.9196275614886</v>
      </c>
      <c r="V59" s="37">
        <f ca="1">'Project &amp; Investor Returns'!V16*$A$56</f>
        <v>448.11638671654413</v>
      </c>
      <c r="W59" s="37">
        <f ca="1">'Project &amp; Investor Returns'!W16*$A$56</f>
        <v>0</v>
      </c>
      <c r="X59" s="37">
        <f ca="1">'Project &amp; Investor Returns'!X16*$A$56</f>
        <v>0</v>
      </c>
      <c r="Y59" s="37">
        <f ca="1">'Project &amp; Investor Returns'!Y16*$A$56</f>
        <v>0</v>
      </c>
      <c r="Z59" s="37">
        <f ca="1">'Project &amp; Investor Returns'!Z16*$A$56</f>
        <v>0</v>
      </c>
      <c r="AA59" s="37">
        <f ca="1">'Project &amp; Investor Returns'!AA16*$A$56</f>
        <v>0</v>
      </c>
      <c r="AB59" s="435">
        <f t="shared" ca="1" si="17"/>
        <v>10230.899435848589</v>
      </c>
      <c r="AC59" s="463">
        <f ca="1">IF('Project &amp; Investor Returns'!$I$3=0,F59+NPV(Disc,G59:AA59),E59+NPV(Disc,F59:AA59))</f>
        <v>1675.5876499907365</v>
      </c>
      <c r="AD59" s="15"/>
      <c r="AG59" s="80"/>
    </row>
    <row r="60" spans="1:33" s="75" customFormat="1">
      <c r="A60" s="459"/>
      <c r="B60" s="15" t="s">
        <v>1590</v>
      </c>
      <c r="C60" s="212">
        <f>Wh_Int</f>
        <v>0.15</v>
      </c>
      <c r="D60" s="15"/>
      <c r="E60" s="37">
        <f t="shared" ref="E60:AA60" ca="1" si="18">-E59*$C60</f>
        <v>0</v>
      </c>
      <c r="F60" s="37">
        <f t="shared" ca="1" si="18"/>
        <v>0</v>
      </c>
      <c r="G60" s="37">
        <f t="shared" ca="1" si="18"/>
        <v>0</v>
      </c>
      <c r="H60" s="37">
        <f t="shared" ca="1" si="18"/>
        <v>0</v>
      </c>
      <c r="I60" s="37">
        <f t="shared" ca="1" si="18"/>
        <v>0</v>
      </c>
      <c r="J60" s="37">
        <f t="shared" ca="1" si="18"/>
        <v>0</v>
      </c>
      <c r="K60" s="37">
        <f t="shared" ca="1" si="18"/>
        <v>-38.30422193801909</v>
      </c>
      <c r="L60" s="37">
        <f t="shared" ca="1" si="18"/>
        <v>0</v>
      </c>
      <c r="M60" s="37">
        <f t="shared" ca="1" si="18"/>
        <v>-147.47946710032511</v>
      </c>
      <c r="N60" s="37">
        <f t="shared" ca="1" si="18"/>
        <v>-167.20016092493918</v>
      </c>
      <c r="O60" s="37">
        <f t="shared" ca="1" si="18"/>
        <v>-162.30070018763581</v>
      </c>
      <c r="P60" s="37">
        <f t="shared" ca="1" si="18"/>
        <v>-144.70737621722509</v>
      </c>
      <c r="Q60" s="37">
        <f t="shared" ca="1" si="18"/>
        <v>-151.31179039408551</v>
      </c>
      <c r="R60" s="37">
        <f t="shared" ca="1" si="18"/>
        <v>-173.98794413422328</v>
      </c>
      <c r="S60" s="37">
        <f t="shared" ca="1" si="18"/>
        <v>-173.98794413422328</v>
      </c>
      <c r="T60" s="37">
        <f t="shared" ca="1" si="18"/>
        <v>-134.14990820490721</v>
      </c>
      <c r="U60" s="37">
        <f t="shared" ca="1" si="18"/>
        <v>-173.98794413422328</v>
      </c>
      <c r="V60" s="37">
        <f t="shared" ca="1" si="18"/>
        <v>-67.217458007481611</v>
      </c>
      <c r="W60" s="37">
        <f t="shared" ca="1" si="18"/>
        <v>0</v>
      </c>
      <c r="X60" s="37">
        <f t="shared" ca="1" si="18"/>
        <v>0</v>
      </c>
      <c r="Y60" s="37">
        <f t="shared" ca="1" si="18"/>
        <v>0</v>
      </c>
      <c r="Z60" s="37">
        <f t="shared" ca="1" si="18"/>
        <v>0</v>
      </c>
      <c r="AA60" s="37">
        <f t="shared" ca="1" si="18"/>
        <v>0</v>
      </c>
      <c r="AB60" s="435">
        <f t="shared" ca="1" si="17"/>
        <v>-1534.6349153772883</v>
      </c>
      <c r="AC60" s="463">
        <f ca="1">IF('Project &amp; Investor Returns'!$I$3=0,F60+NPV(Disc,G60:AA60),E60+NPV(Disc,F60:AA60))</f>
        <v>-251.33814749861043</v>
      </c>
      <c r="AD60" s="15"/>
      <c r="AG60" s="80"/>
    </row>
    <row r="61" spans="1:33" s="75" customFormat="1">
      <c r="A61" s="459"/>
      <c r="B61" s="15" t="s">
        <v>577</v>
      </c>
      <c r="C61" s="212">
        <f>USTax</f>
        <v>0.37</v>
      </c>
      <c r="D61" s="15"/>
      <c r="E61" s="142">
        <f t="shared" ref="E61:AA61" si="19">-SUM(E58:E58)*USTax</f>
        <v>0</v>
      </c>
      <c r="F61" s="142">
        <f t="shared" si="19"/>
        <v>0</v>
      </c>
      <c r="G61" s="142">
        <f t="shared" ca="1" si="19"/>
        <v>0</v>
      </c>
      <c r="H61" s="142">
        <f t="shared" ca="1" si="19"/>
        <v>0</v>
      </c>
      <c r="I61" s="142">
        <f t="shared" ca="1" si="19"/>
        <v>3.8290302606472455</v>
      </c>
      <c r="J61" s="142">
        <f t="shared" ca="1" si="19"/>
        <v>46.264605825795741</v>
      </c>
      <c r="K61" s="142">
        <f t="shared" ca="1" si="19"/>
        <v>51.160600070975683</v>
      </c>
      <c r="L61" s="142">
        <f t="shared" ca="1" si="19"/>
        <v>63.929682089789274</v>
      </c>
      <c r="M61" s="142">
        <f t="shared" ca="1" si="19"/>
        <v>63.929682089789274</v>
      </c>
      <c r="N61" s="142">
        <f t="shared" ca="1" si="19"/>
        <v>60.59907383725114</v>
      </c>
      <c r="O61" s="142">
        <f t="shared" ca="1" si="19"/>
        <v>78.479381980501813</v>
      </c>
      <c r="P61" s="142">
        <f t="shared" ca="1" si="19"/>
        <v>83.471353888479456</v>
      </c>
      <c r="Q61" s="142">
        <f t="shared" ca="1" si="19"/>
        <v>83.471353888479456</v>
      </c>
      <c r="R61" s="142">
        <f t="shared" ca="1" si="19"/>
        <v>76.481637585150594</v>
      </c>
      <c r="S61" s="142">
        <f t="shared" ca="1" si="19"/>
        <v>73.303201967896115</v>
      </c>
      <c r="T61" s="142">
        <f t="shared" ca="1" si="19"/>
        <v>66.931125215383176</v>
      </c>
      <c r="U61" s="142">
        <f t="shared" ca="1" si="19"/>
        <v>46.080059915541256</v>
      </c>
      <c r="V61" s="142">
        <f t="shared" ca="1" si="19"/>
        <v>51.631148314969565</v>
      </c>
      <c r="W61" s="142">
        <f t="shared" ca="1" si="19"/>
        <v>61.064104297599521</v>
      </c>
      <c r="X61" s="142">
        <f t="shared" ca="1" si="19"/>
        <v>61.064104297599521</v>
      </c>
      <c r="Y61" s="142">
        <f t="shared" ca="1" si="19"/>
        <v>72.431163333233258</v>
      </c>
      <c r="Z61" s="142">
        <f t="shared" ca="1" si="19"/>
        <v>85.445673680094643</v>
      </c>
      <c r="AA61" s="142">
        <f t="shared" ca="1" si="19"/>
        <v>102.7189533670803</v>
      </c>
      <c r="AB61" s="436">
        <f t="shared" ca="1" si="17"/>
        <v>1232.285935906257</v>
      </c>
      <c r="AC61" s="464">
        <f ca="1">IF('Project &amp; Investor Returns'!$I$3=0,F61+NPV(Disc,G61:AA61),E61+NPV(Disc,F61:AA61))</f>
        <v>190.01725121683538</v>
      </c>
      <c r="AD61" s="15"/>
      <c r="AG61" s="80"/>
    </row>
    <row r="62" spans="1:33" s="81" customFormat="1">
      <c r="A62" s="460"/>
      <c r="B62" s="15" t="s">
        <v>480</v>
      </c>
      <c r="C62" s="15"/>
      <c r="D62" s="15"/>
      <c r="E62" s="37">
        <f t="shared" ref="E62:AA62" ca="1" si="20">SUM(E55:E61)</f>
        <v>0</v>
      </c>
      <c r="F62" s="37">
        <f t="shared" ca="1" si="20"/>
        <v>-11599.196275614886</v>
      </c>
      <c r="G62" s="37">
        <f t="shared" ca="1" si="20"/>
        <v>-247.31350940996174</v>
      </c>
      <c r="H62" s="37">
        <f t="shared" ca="1" si="20"/>
        <v>419.7923499796575</v>
      </c>
      <c r="I62" s="37">
        <f t="shared" ca="1" si="20"/>
        <v>1904.9927126709922</v>
      </c>
      <c r="J62" s="37">
        <f t="shared" ca="1" si="20"/>
        <v>141.76541193535377</v>
      </c>
      <c r="K62" s="37">
        <f t="shared" ca="1" si="20"/>
        <v>705.12984035736599</v>
      </c>
      <c r="L62" s="37">
        <f t="shared" ca="1" si="20"/>
        <v>-1053.5403330070992</v>
      </c>
      <c r="M62" s="37">
        <f t="shared" ca="1" si="20"/>
        <v>1521.5234295248783</v>
      </c>
      <c r="N62" s="37">
        <f t="shared" ca="1" si="20"/>
        <v>1649.7046575026993</v>
      </c>
      <c r="O62" s="37">
        <f t="shared" ca="1" si="20"/>
        <v>1298.0728704289504</v>
      </c>
      <c r="P62" s="37">
        <f t="shared" ca="1" si="20"/>
        <v>1106.1290241975694</v>
      </c>
      <c r="Q62" s="37">
        <f t="shared" ca="1" si="20"/>
        <v>1349.0603120091105</v>
      </c>
      <c r="R62" s="37">
        <f t="shared" ca="1" si="20"/>
        <v>1462.9150168488914</v>
      </c>
      <c r="S62" s="37">
        <f t="shared" ca="1" si="20"/>
        <v>893.45881702608074</v>
      </c>
      <c r="T62" s="37">
        <f t="shared" ca="1" si="20"/>
        <v>682.78830552868646</v>
      </c>
      <c r="U62" s="37">
        <f t="shared" ca="1" si="20"/>
        <v>2696.4695842772035</v>
      </c>
      <c r="V62" s="37">
        <f t="shared" ca="1" si="20"/>
        <v>1019.2074754733317</v>
      </c>
      <c r="W62" s="37">
        <f t="shared" ca="1" si="20"/>
        <v>-352.65063711471481</v>
      </c>
      <c r="X62" s="37">
        <f t="shared" ca="1" si="20"/>
        <v>656.73229255323804</v>
      </c>
      <c r="Y62" s="37">
        <f t="shared" ca="1" si="20"/>
        <v>462.910467246179</v>
      </c>
      <c r="Z62" s="37">
        <f t="shared" ca="1" si="20"/>
        <v>632.58708206657946</v>
      </c>
      <c r="AA62" s="37">
        <f t="shared" ca="1" si="20"/>
        <v>775.40593809444863</v>
      </c>
      <c r="AB62" s="435">
        <f t="shared" ca="1" si="17"/>
        <v>6125.9448325745561</v>
      </c>
      <c r="AC62" s="435">
        <f ca="1">SUM(AC55:AC61)</f>
        <v>-8197.2125590083724</v>
      </c>
      <c r="AD62" s="15"/>
    </row>
    <row r="63" spans="1:33" s="81" customFormat="1">
      <c r="A63" s="460"/>
      <c r="B63" s="15"/>
      <c r="C63" s="15"/>
      <c r="D63" s="15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435"/>
      <c r="AC63" s="435"/>
      <c r="AD63" s="15"/>
    </row>
    <row r="64" spans="1:33">
      <c r="A64" s="461"/>
      <c r="B64" s="15" t="s">
        <v>472</v>
      </c>
      <c r="E64" s="221">
        <f ca="1">$E62</f>
        <v>0</v>
      </c>
      <c r="F64" s="221">
        <f ca="1">IF('Project &amp; Investor Returns'!$I$3=0,$F62,$E62+NPV(Disc,$F62:F62))</f>
        <v>-11599.196275614886</v>
      </c>
      <c r="G64" s="37">
        <f ca="1">IF('Project &amp; Investor Returns'!$I$3=0,$F62+NPV(Disc, $G62:G62),$E62+NPV(Disc,$F62:G62))</f>
        <v>-11807.022754110652</v>
      </c>
      <c r="H64" s="37">
        <f ca="1">IF('Project &amp; Investor Returns'!$I$3=0,$F62+NPV(Disc, $G62:H62),$E62+NPV(Disc,$F62:H62))</f>
        <v>-11510.580165324791</v>
      </c>
      <c r="I64" s="37">
        <f ca="1">IF('Project &amp; Investor Returns'!$I$3=0,$F62+NPV(Disc, $G62:I62),$E62+NPV(Disc,$F62:I62))</f>
        <v>-10380.127363736934</v>
      </c>
      <c r="J64" s="37">
        <f ca="1">IF('Project &amp; Investor Returns'!$I$3=0,$F62+NPV(Disc, $G62:J62),$E62+NPV(Disc,$F62:J62))</f>
        <v>-10309.433382774305</v>
      </c>
      <c r="K64" s="37">
        <f ca="1">IF('Project &amp; Investor Returns'!$I$3=0,$F62+NPV(Disc, $G62:K62),$E62+NPV(Disc,$F62:K62))</f>
        <v>-10013.949166747869</v>
      </c>
      <c r="L64" s="37">
        <f ca="1">IF('Project &amp; Investor Returns'!$I$3=0,$F62+NPV(Disc, $G62:L62),$E62+NPV(Disc,$F62:L62))</f>
        <v>-10384.945312795826</v>
      </c>
      <c r="M64" s="37">
        <f ca="1">IF('Project &amp; Investor Returns'!$I$3=0,$F62+NPV(Disc, $G62:M62),$E62+NPV(Disc,$F62:M62))</f>
        <v>-9934.6992595515712</v>
      </c>
      <c r="N64" s="37">
        <f ca="1">IF('Project &amp; Investor Returns'!$I$3=0,$F62+NPV(Disc, $G62:N62),$E62+NPV(Disc,$F62:N62))</f>
        <v>-9524.466338534352</v>
      </c>
      <c r="O64" s="37">
        <f ca="1">IF('Project &amp; Investor Returns'!$I$3=0,$F62+NPV(Disc, $G62:O62),$E62+NPV(Disc,$F62:O62))</f>
        <v>-9253.2121701306642</v>
      </c>
      <c r="P64" s="37">
        <f ca="1">IF('Project &amp; Investor Returns'!$I$3=0,$F62+NPV(Disc, $G62:P62),$E62+NPV(Disc,$F62:P62))</f>
        <v>-9058.9732861179964</v>
      </c>
      <c r="Q64" s="37">
        <f ca="1">IF('Project &amp; Investor Returns'!$I$3=0,$F62+NPV(Disc, $G62:Q62),$E62+NPV(Disc,$F62:Q62))</f>
        <v>-8859.8991725199812</v>
      </c>
      <c r="R64" s="37">
        <f ca="1">IF('Project &amp; Investor Returns'!$I$3=0,$F62+NPV(Disc, $G62:R62),$E62+NPV(Disc,$F62:R62))</f>
        <v>-8678.4915376156387</v>
      </c>
      <c r="S64" s="37">
        <f ca="1">IF('Project &amp; Investor Returns'!$I$3=0,$F62+NPV(Disc, $G62:S62),$E62+NPV(Disc,$F62:S62))</f>
        <v>-8585.3884592221093</v>
      </c>
      <c r="T64" s="37">
        <f ca="1">IF('Project &amp; Investor Returns'!$I$3=0,$F62+NPV(Disc, $G62:T62),$E62+NPV(Disc,$F62:T62))</f>
        <v>-8525.5984507962257</v>
      </c>
      <c r="U64" s="37">
        <f ca="1">IF('Project &amp; Investor Returns'!$I$3=0,$F62+NPV(Disc, $G62:U62),$E62+NPV(Disc,$F62:U62))</f>
        <v>-8327.1758649826388</v>
      </c>
      <c r="V64" s="37">
        <f ca="1">IF('Project &amp; Investor Returns'!$I$3=0,$F62+NPV(Disc, $G62:V62),$E62+NPV(Disc,$F62:V62))</f>
        <v>-8264.151102435806</v>
      </c>
      <c r="W64" s="37">
        <f ca="1">IF('Project &amp; Investor Returns'!$I$3=0,$F62+NPV(Disc, $G62:W62),$E62+NPV(Disc,$F62:W62))</f>
        <v>-8282.4762014172829</v>
      </c>
      <c r="X64" s="37">
        <f ca="1">IF('Project &amp; Investor Returns'!$I$3=0,$F62+NPV(Disc, $G62:X62),$E62+NPV(Disc,$F62:X62))</f>
        <v>-8253.7985839949069</v>
      </c>
      <c r="Y64" s="37">
        <f ca="1">IF('Project &amp; Investor Returns'!$I$3=0,$F62+NPV(Disc, $G62:Y62),$E62+NPV(Disc,$F62:Y62))</f>
        <v>-8236.81205148556</v>
      </c>
      <c r="Z64" s="37">
        <f ca="1">IF('Project &amp; Investor Returns'!$I$3=0,$F62+NPV(Disc, $G62:Z62),$E62+NPV(Disc,$F62:Z62))</f>
        <v>-8217.3054733725439</v>
      </c>
      <c r="AA64" s="37">
        <f ca="1">IF('Project &amp; Investor Returns'!$I$3=0,$F62+NPV(Disc, $G62:AA62),$E62+NPV(Disc,$F62:AA62))</f>
        <v>-8197.2125590083724</v>
      </c>
      <c r="AB64" s="466"/>
      <c r="AC64" s="435">
        <f ca="1">AC62</f>
        <v>-8197.2125590083724</v>
      </c>
    </row>
    <row r="65" spans="1:33">
      <c r="A65" s="461"/>
      <c r="B65" s="15" t="s">
        <v>473</v>
      </c>
      <c r="E65" s="32" t="e">
        <f ca="1">IRR($E62:E62,-0.9)</f>
        <v>#NUM!</v>
      </c>
      <c r="F65" s="32" t="e">
        <f ca="1">IRR($E62:F62,-0.9)</f>
        <v>#NUM!</v>
      </c>
      <c r="G65" s="32" t="e">
        <f ca="1">IRR($E62:G62,-0.9)</f>
        <v>#NUM!</v>
      </c>
      <c r="H65" s="32">
        <f ca="1">IRR($E62:H62,-0.9)</f>
        <v>-0.82012168434396027</v>
      </c>
      <c r="I65" s="32">
        <f ca="1">IRR($E62:I62,-0.9)</f>
        <v>-0.43764111839764724</v>
      </c>
      <c r="J65" s="32">
        <f ca="1">IRR($E62:J62,-0.9)</f>
        <v>-0.41614296515177079</v>
      </c>
      <c r="K65" s="32">
        <f ca="1">IRR($E62:K62,-0.9)</f>
        <v>-0.3122343111368408</v>
      </c>
      <c r="L65" s="32" t="e">
        <f ca="1">IRR($E62:L62,-0.9)</f>
        <v>#NUM!</v>
      </c>
      <c r="M65" s="32">
        <f ca="1">IRR($E62:M62,-0.9)</f>
        <v>-0.22516684470227297</v>
      </c>
      <c r="N65" s="32">
        <f ca="1">IRR($E62:N62,-0.9)</f>
        <v>-0.13173822348521752</v>
      </c>
      <c r="O65" s="32">
        <f ca="1">IRR($E62:O62,-0.9)</f>
        <v>-8.8490242461662233E-2</v>
      </c>
      <c r="P65" s="32">
        <f ca="1">IRR($E62:P62,-0.9)</f>
        <v>-6.1202489533760167E-2</v>
      </c>
      <c r="Q65" s="32">
        <f ca="1">IRR($E62:Q62,-0.9)</f>
        <v>-3.5781561799223566E-2</v>
      </c>
      <c r="R65" s="32">
        <f ca="1">IRR($E62:R62,-0.9)</f>
        <v>-1.4927572070219291E-2</v>
      </c>
      <c r="S65" s="32">
        <f ca="1">IRR($E62:S62,-0.9)</f>
        <v>-4.6102340780713501E-3</v>
      </c>
      <c r="T65" s="32">
        <f ca="1">IRR($E62:T62,-0.9)</f>
        <v>2.28591027729151E-3</v>
      </c>
      <c r="U65" s="32">
        <f ca="1">IRR($E62:U62,-0.9)</f>
        <v>2.3309515723404207E-2</v>
      </c>
      <c r="V65" s="32">
        <f ca="1">IRR($E62:V62,-0.9)</f>
        <v>2.9416073326862725E-2</v>
      </c>
      <c r="W65" s="32">
        <f ca="1">IRR($E62:W62,-0.9)</f>
        <v>2.7437873622811845E-2</v>
      </c>
      <c r="X65" s="32">
        <f ca="1">IRR($E62:X62,-0.9)</f>
        <v>3.0953984598175267E-2</v>
      </c>
      <c r="Y65" s="32">
        <f ca="1">IRR($E62:Y62,-0.9)</f>
        <v>3.3202116036955609E-2</v>
      </c>
      <c r="Z65" s="32">
        <f ca="1">IRR($E62:Z62,-0.9)</f>
        <v>3.5992567763050487E-2</v>
      </c>
      <c r="AA65" s="32">
        <f ca="1">IRR($E62:AA62,-0.9)</f>
        <v>3.9046794546525355E-2</v>
      </c>
      <c r="AB65" s="465"/>
      <c r="AC65" s="471">
        <f ca="1">IRR(E62:AA62,-0.9)</f>
        <v>3.9046794546525355E-2</v>
      </c>
    </row>
    <row r="66" spans="1:33">
      <c r="A66" s="20"/>
      <c r="AB66" s="430"/>
      <c r="AC66" s="431"/>
    </row>
    <row r="67" spans="1:33">
      <c r="A67" s="461"/>
      <c r="B67" s="243" t="str">
        <f ca="1">CONCATENATE(Assm!$H$87," NPV @ ",TEXT(Disc,"0.0%"))</f>
        <v>Transredes NPV @ 19.0%</v>
      </c>
      <c r="C67" s="452">
        <f ca="1">AC64</f>
        <v>-8197.2125590083724</v>
      </c>
      <c r="D67" s="3"/>
      <c r="AB67" s="430"/>
      <c r="AC67" s="431"/>
    </row>
    <row r="68" spans="1:33">
      <c r="A68" s="417"/>
      <c r="B68" s="253" t="str">
        <f>CONCATENATE(Assm!$H$87," IRR")</f>
        <v>Transredes IRR</v>
      </c>
      <c r="C68" s="917">
        <f ca="1">AC65</f>
        <v>3.9046794546525355E-2</v>
      </c>
      <c r="D68" s="31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468"/>
      <c r="AC68" s="469"/>
    </row>
    <row r="69" spans="1:33">
      <c r="A69" s="20"/>
      <c r="AB69" s="430"/>
      <c r="AC69" s="430"/>
    </row>
    <row r="70" spans="1:33" s="81" customFormat="1">
      <c r="A70" s="458"/>
      <c r="B70" s="15" t="s">
        <v>232</v>
      </c>
      <c r="C70" s="15"/>
      <c r="D70" s="15"/>
      <c r="E70" s="37">
        <f ca="1">E62</f>
        <v>0</v>
      </c>
      <c r="F70" s="37">
        <f t="shared" ref="F70:AA70" ca="1" si="21">F62</f>
        <v>-11599.196275614886</v>
      </c>
      <c r="G70" s="37">
        <f t="shared" ca="1" si="21"/>
        <v>-247.31350940996174</v>
      </c>
      <c r="H70" s="37">
        <f t="shared" ca="1" si="21"/>
        <v>419.7923499796575</v>
      </c>
      <c r="I70" s="37">
        <f t="shared" ca="1" si="21"/>
        <v>1904.9927126709922</v>
      </c>
      <c r="J70" s="37">
        <f t="shared" ca="1" si="21"/>
        <v>141.76541193535377</v>
      </c>
      <c r="K70" s="37">
        <f t="shared" ca="1" si="21"/>
        <v>705.12984035736599</v>
      </c>
      <c r="L70" s="37">
        <f t="shared" ca="1" si="21"/>
        <v>-1053.5403330070992</v>
      </c>
      <c r="M70" s="37">
        <f t="shared" ca="1" si="21"/>
        <v>1521.5234295248783</v>
      </c>
      <c r="N70" s="37">
        <f t="shared" ca="1" si="21"/>
        <v>1649.7046575026993</v>
      </c>
      <c r="O70" s="37">
        <f t="shared" ca="1" si="21"/>
        <v>1298.0728704289504</v>
      </c>
      <c r="P70" s="37">
        <f t="shared" ca="1" si="21"/>
        <v>1106.1290241975694</v>
      </c>
      <c r="Q70" s="37">
        <f t="shared" ca="1" si="21"/>
        <v>1349.0603120091105</v>
      </c>
      <c r="R70" s="37">
        <f t="shared" ca="1" si="21"/>
        <v>1462.9150168488914</v>
      </c>
      <c r="S70" s="37">
        <f t="shared" ca="1" si="21"/>
        <v>893.45881702608074</v>
      </c>
      <c r="T70" s="37">
        <f t="shared" ca="1" si="21"/>
        <v>682.78830552868646</v>
      </c>
      <c r="U70" s="37">
        <f t="shared" ca="1" si="21"/>
        <v>2696.4695842772035</v>
      </c>
      <c r="V70" s="37">
        <f t="shared" ca="1" si="21"/>
        <v>1019.2074754733317</v>
      </c>
      <c r="W70" s="37">
        <f t="shared" ca="1" si="21"/>
        <v>-352.65063711471481</v>
      </c>
      <c r="X70" s="37">
        <f t="shared" ca="1" si="21"/>
        <v>656.73229255323804</v>
      </c>
      <c r="Y70" s="37">
        <f t="shared" ca="1" si="21"/>
        <v>462.910467246179</v>
      </c>
      <c r="Z70" s="37">
        <f t="shared" ca="1" si="21"/>
        <v>632.58708206657946</v>
      </c>
      <c r="AA70" s="37">
        <f t="shared" ca="1" si="21"/>
        <v>775.40593809444863</v>
      </c>
      <c r="AB70" s="435">
        <f t="shared" ref="AB70:AB76" ca="1" si="22">SUM(E70:AA70)</f>
        <v>6125.9448325745561</v>
      </c>
      <c r="AC70" s="463">
        <f ca="1">IF('Project &amp; Investor Returns'!$I$3=0,F70+NPV(Disc,G70:AA70),E70+NPV(Disc,F70:AA70))</f>
        <v>-8197.2125590083724</v>
      </c>
      <c r="AD70" s="15"/>
    </row>
    <row r="71" spans="1:33">
      <c r="A71" s="457">
        <f>A55</f>
        <v>0.125</v>
      </c>
      <c r="B71" s="15" t="s">
        <v>30</v>
      </c>
      <c r="E71" s="37">
        <f ca="1">-HLOOKUP(DATE(E$7,12,31),Idc_Table,IDC!$BB$89)*$A71-SUM($D71:D71)</f>
        <v>0</v>
      </c>
      <c r="F71" s="37">
        <f ca="1">-HLOOKUP(DATE(F$7,12,31),Idc_Table,IDC!$BB$89)*$A71-SUM($D71:E71)</f>
        <v>-3290.6096934938673</v>
      </c>
      <c r="G71" s="37">
        <f ca="1">-HLOOKUP(DATE(G$7,12,31),Idc_Table,IDC!$BB$89)*$A71-SUM($D71:F71)</f>
        <v>-6877.4894388288267</v>
      </c>
      <c r="H71" s="37">
        <f ca="1">-HLOOKUP(DATE(H$7,12,31),Idc_Table,IDC!$BB$89)*$A71-SUM($D71:G71)</f>
        <v>-4993.1683286331045</v>
      </c>
      <c r="I71" s="37">
        <f ca="1">-HLOOKUP(DATE(I$7,12,31),Idc_Table,IDC!$BB$89)*$A71-SUM($D71:H71)</f>
        <v>0</v>
      </c>
      <c r="J71" s="37">
        <f ca="1">-HLOOKUP(DATE(J$7,12,31),Idc_Table,IDC!$BB$89)*$A71-SUM($D71:I71)</f>
        <v>0</v>
      </c>
      <c r="K71" s="37">
        <f ca="1">-HLOOKUP(DATE(K$7,12,31),Idc_Table,IDC!$BB$89)*$A71-SUM($D71:J71)</f>
        <v>0</v>
      </c>
      <c r="L71" s="37">
        <f ca="1">-HLOOKUP(DATE(L$7,12,31),Idc_Table,IDC!$BB$89)*$A71-SUM($D71:K71)</f>
        <v>0</v>
      </c>
      <c r="M71" s="37">
        <f ca="1">-HLOOKUP(DATE(M$7,12,31),Idc_Table,IDC!$BB$89)*$A71-SUM($D71:L71)</f>
        <v>0</v>
      </c>
      <c r="N71" s="37">
        <f ca="1">-HLOOKUP(DATE(N$7,12,31),Idc_Table,IDC!$BB$89)*$A71-SUM($D71:M71)</f>
        <v>0</v>
      </c>
      <c r="O71" s="37">
        <f ca="1">-HLOOKUP(DATE(O$7,12,31),Idc_Table,IDC!$BB$89)*$A71-SUM($D71:N71)</f>
        <v>0</v>
      </c>
      <c r="P71" s="37">
        <f ca="1">-HLOOKUP(DATE(P$7,12,31),Idc_Table,IDC!$BB$89)*$A71-SUM($D71:O71)</f>
        <v>0</v>
      </c>
      <c r="Q71" s="37">
        <f ca="1">-HLOOKUP(DATE(Q$7,12,31),Idc_Table,IDC!$BB$89)*$A71-SUM($D71:P71)</f>
        <v>0</v>
      </c>
      <c r="R71" s="37">
        <f ca="1">-HLOOKUP(DATE(R$7,12,31),Idc_Table,IDC!$BB$89)*$A71-SUM($D71:Q71)</f>
        <v>0</v>
      </c>
      <c r="S71" s="37">
        <f ca="1">-HLOOKUP(DATE(S$7,12,31),Idc_Table,IDC!$BB$89)*$A71-SUM($D71:R71)</f>
        <v>0</v>
      </c>
      <c r="T71" s="37">
        <f ca="1">-HLOOKUP(DATE(T$7,12,31),Idc_Table,IDC!$BB$89)*$A71-SUM($D71:S71)</f>
        <v>0</v>
      </c>
      <c r="U71" s="37">
        <f ca="1">-HLOOKUP(DATE(U$7,12,31),Idc_Table,IDC!$BB$89)*$A71-SUM($D71:T71)</f>
        <v>0</v>
      </c>
      <c r="V71" s="37">
        <f ca="1">-HLOOKUP(DATE(V$7,12,31),Idc_Table,IDC!$BB$89)*$A71-SUM($D71:U71)</f>
        <v>0</v>
      </c>
      <c r="W71" s="37">
        <f ca="1">-HLOOKUP(DATE(W$7,12,31),Idc_Table,IDC!$BB$89)*$A71-SUM($D71:V71)</f>
        <v>0</v>
      </c>
      <c r="X71" s="37">
        <f ca="1">-HLOOKUP(DATE(X$7,12,31),Idc_Table,IDC!$BB$89)*$A71-SUM($D71:W71)</f>
        <v>0</v>
      </c>
      <c r="Y71" s="37">
        <f ca="1">-HLOOKUP(DATE(Y$7,12,31),Idc_Table,IDC!$BB$89)*$A71-SUM($D71:X71)</f>
        <v>0</v>
      </c>
      <c r="Z71" s="37">
        <f ca="1">-HLOOKUP(DATE(Z$7,12,31),Idc_Table,IDC!$BB$89)*$A71-SUM($D71:Y71)</f>
        <v>0</v>
      </c>
      <c r="AA71" s="37">
        <f ca="1">-HLOOKUP(DATE(AA$7,12,31),Idc_Table,IDC!$BB$89)*$A71-SUM($D71:Z71)</f>
        <v>0</v>
      </c>
      <c r="AB71" s="435">
        <f t="shared" ca="1" si="22"/>
        <v>-15161.267460955798</v>
      </c>
      <c r="AC71" s="463">
        <f ca="1">IF('Project &amp; Investor Returns'!$I$3=0,F71+NPV(Disc,G71:AA71),E71+NPV(Disc,F71:AA71))</f>
        <v>-12596.012391636235</v>
      </c>
    </row>
    <row r="72" spans="1:33">
      <c r="A72" s="457"/>
      <c r="B72" s="15" t="s">
        <v>31</v>
      </c>
      <c r="E72" s="37">
        <f ca="1">IF(E$7=YEAR(Fin_Close),-SUM($D71:E71),0)</f>
        <v>0</v>
      </c>
      <c r="F72" s="37">
        <f ca="1">IF(F$7=YEAR(Fin_Close),-SUM($D71:F71),0)</f>
        <v>0</v>
      </c>
      <c r="G72" s="37">
        <f ca="1">IF(G$7=YEAR(Fin_Close),-SUM($D71:G71),0)</f>
        <v>0</v>
      </c>
      <c r="H72" s="37">
        <f ca="1">IF(H$7=YEAR(Fin_Close),-SUM($D71:H71),0)</f>
        <v>15161.267460955798</v>
      </c>
      <c r="I72" s="37">
        <f ca="1">IF(I$7=YEAR(Fin_Close),-SUM($D71:I71),0)</f>
        <v>0</v>
      </c>
      <c r="J72" s="37">
        <f ca="1">IF(J$7=YEAR(Fin_Close),-SUM($D71:J71),0)</f>
        <v>0</v>
      </c>
      <c r="K72" s="37">
        <f ca="1">IF(K$7=YEAR(Fin_Close),-SUM($D71:K71),0)</f>
        <v>0</v>
      </c>
      <c r="L72" s="37">
        <f ca="1">IF(L$7=YEAR(Fin_Close),-SUM($D71:L71),0)</f>
        <v>0</v>
      </c>
      <c r="M72" s="37">
        <f ca="1">IF(M$7=YEAR(Fin_Close),-SUM($D71:M71),0)</f>
        <v>0</v>
      </c>
      <c r="N72" s="37">
        <f ca="1">IF(N$7=YEAR(Fin_Close),-SUM($D71:N71),0)</f>
        <v>0</v>
      </c>
      <c r="O72" s="37">
        <f ca="1">IF(O$7=YEAR(Fin_Close),-SUM($D71:O71),0)</f>
        <v>0</v>
      </c>
      <c r="P72" s="37">
        <f ca="1">IF(P$7=YEAR(Fin_Close),-SUM($D71:P71),0)</f>
        <v>0</v>
      </c>
      <c r="Q72" s="37">
        <f ca="1">IF(Q$7=YEAR(Fin_Close),-SUM($D71:Q71),0)</f>
        <v>0</v>
      </c>
      <c r="R72" s="37">
        <f ca="1">IF(R$7=YEAR(Fin_Close),-SUM($D71:R71),0)</f>
        <v>0</v>
      </c>
      <c r="S72" s="37">
        <f ca="1">IF(S$7=YEAR(Fin_Close),-SUM($D71:S71),0)</f>
        <v>0</v>
      </c>
      <c r="T72" s="37">
        <f ca="1">IF(T$7=YEAR(Fin_Close),-SUM($D71:T71),0)</f>
        <v>0</v>
      </c>
      <c r="U72" s="37">
        <f ca="1">IF(U$7=YEAR(Fin_Close),-SUM($D71:U71),0)</f>
        <v>0</v>
      </c>
      <c r="V72" s="37">
        <f ca="1">IF(V$7=YEAR(Fin_Close),-SUM($D71:V71),0)</f>
        <v>0</v>
      </c>
      <c r="W72" s="37">
        <f ca="1">IF(W$7=YEAR(Fin_Close),-SUM($D71:W71),0)</f>
        <v>0</v>
      </c>
      <c r="X72" s="37">
        <f ca="1">IF(X$7=YEAR(Fin_Close),-SUM($D71:X71),0)</f>
        <v>0</v>
      </c>
      <c r="Y72" s="37">
        <f ca="1">IF(Y$7=YEAR(Fin_Close),-SUM($D71:Y71),0)</f>
        <v>0</v>
      </c>
      <c r="Z72" s="37">
        <f ca="1">IF(Z$7=YEAR(Fin_Close),-SUM($D71:Z71),0)</f>
        <v>0</v>
      </c>
      <c r="AA72" s="37">
        <f ca="1">IF(AA$7=YEAR(Fin_Close),-SUM($D71:AA71),0)</f>
        <v>0</v>
      </c>
      <c r="AB72" s="435">
        <f t="shared" ca="1" si="22"/>
        <v>15161.267460955798</v>
      </c>
      <c r="AC72" s="463">
        <f ca="1">IF('Project &amp; Investor Returns'!$I$3=0,F72+NPV(Disc,G72:AA72),E72+NPV(Disc,F72:AA72))</f>
        <v>10706.353690386131</v>
      </c>
    </row>
    <row r="73" spans="1:33">
      <c r="A73" s="20"/>
      <c r="B73" s="15" t="s">
        <v>32</v>
      </c>
      <c r="D73" s="161" t="s">
        <v>486</v>
      </c>
      <c r="E73" s="37">
        <f ca="1">HLOOKUP(DATE(E$7,12,31),Idc_Table,IDC!$BB$90)*$A71-SUM($D73:D73)</f>
        <v>0</v>
      </c>
      <c r="F73" s="37">
        <f ca="1">HLOOKUP(DATE(F$7,12,31),Idc_Table,IDC!$BB$90)*$A71-SUM($D73:E73)</f>
        <v>17.289623560660875</v>
      </c>
      <c r="G73" s="37">
        <f ca="1">HLOOKUP(DATE(G$7,12,31),Idc_Table,IDC!$BB$90)*$A71-SUM($D73:F73)</f>
        <v>464.85270322734397</v>
      </c>
      <c r="H73" s="37">
        <f ca="1">HLOOKUP(DATE(H$7,12,31),Idc_Table,IDC!$BB$90)*$A71-SUM($D73:G73)</f>
        <v>490.93016913022956</v>
      </c>
      <c r="I73" s="37">
        <f ca="1">HLOOKUP(DATE(I$7,12,31),Idc_Table,IDC!$BB$90)*$A71-SUM($D73:H73)</f>
        <v>0</v>
      </c>
      <c r="J73" s="37">
        <f ca="1">HLOOKUP(DATE(J$7,12,31),Idc_Table,IDC!$BB$90)*$A71-SUM($D73:I73)</f>
        <v>0</v>
      </c>
      <c r="K73" s="37">
        <f ca="1">HLOOKUP(DATE(K$7,12,31),Idc_Table,IDC!$BB$90)*$A71-SUM($D73:J73)</f>
        <v>0</v>
      </c>
      <c r="L73" s="37">
        <f ca="1">HLOOKUP(DATE(L$7,12,31),Idc_Table,IDC!$BB$90)*$A71-SUM($D73:K73)</f>
        <v>0</v>
      </c>
      <c r="M73" s="37">
        <f ca="1">HLOOKUP(DATE(M$7,12,31),Idc_Table,IDC!$BB$90)*$A71-SUM($D73:L73)</f>
        <v>0</v>
      </c>
      <c r="N73" s="37">
        <f ca="1">HLOOKUP(DATE(N$7,12,31),Idc_Table,IDC!$BB$90)*$A71-SUM($D73:M73)</f>
        <v>0</v>
      </c>
      <c r="O73" s="37">
        <f ca="1">HLOOKUP(DATE(O$7,12,31),Idc_Table,IDC!$BB$90)*$A71-SUM($D73:N73)</f>
        <v>0</v>
      </c>
      <c r="P73" s="37">
        <f ca="1">HLOOKUP(DATE(P$7,12,31),Idc_Table,IDC!$BB$90)*$A71-SUM($D73:O73)</f>
        <v>0</v>
      </c>
      <c r="Q73" s="37">
        <f ca="1">HLOOKUP(DATE(Q$7,12,31),Idc_Table,IDC!$BB$90)*$A71-SUM($D73:P73)</f>
        <v>0</v>
      </c>
      <c r="R73" s="37">
        <f ca="1">HLOOKUP(DATE(R$7,12,31),Idc_Table,IDC!$BB$90)*$A71-SUM($D73:Q73)</f>
        <v>0</v>
      </c>
      <c r="S73" s="37">
        <f ca="1">HLOOKUP(DATE(S$7,12,31),Idc_Table,IDC!$BB$90)*$A71-SUM($D73:R73)</f>
        <v>0</v>
      </c>
      <c r="T73" s="37">
        <f ca="1">HLOOKUP(DATE(T$7,12,31),Idc_Table,IDC!$BB$90)*$A71-SUM($D73:S73)</f>
        <v>0</v>
      </c>
      <c r="U73" s="37">
        <f ca="1">HLOOKUP(DATE(U$7,12,31),Idc_Table,IDC!$BB$90)*$A71-SUM($D73:T73)</f>
        <v>0</v>
      </c>
      <c r="V73" s="37">
        <f ca="1">HLOOKUP(DATE(V$7,12,31),Idc_Table,IDC!$BB$90)*$A71-SUM($D73:U73)</f>
        <v>0</v>
      </c>
      <c r="W73" s="37">
        <f ca="1">HLOOKUP(DATE(W$7,12,31),Idc_Table,IDC!$BB$90)*$A71-SUM($D73:V73)</f>
        <v>0</v>
      </c>
      <c r="X73" s="37">
        <f ca="1">HLOOKUP(DATE(X$7,12,31),Idc_Table,IDC!$BB$90)*$A71-SUM($D73:W73)</f>
        <v>0</v>
      </c>
      <c r="Y73" s="37">
        <f ca="1">HLOOKUP(DATE(Y$7,12,31),Idc_Table,IDC!$BB$90)*$A71-SUM($D73:X73)</f>
        <v>0</v>
      </c>
      <c r="Z73" s="37">
        <f ca="1">HLOOKUP(DATE(Z$7,12,31),Idc_Table,IDC!$BB$90)*$A71-SUM($D73:Y73)</f>
        <v>0</v>
      </c>
      <c r="AA73" s="37">
        <f ca="1">HLOOKUP(DATE(AA$7,12,31),Idc_Table,IDC!$BB$90)*$A71-SUM($D73:Z73)</f>
        <v>0</v>
      </c>
      <c r="AB73" s="435">
        <f t="shared" ca="1" si="22"/>
        <v>973.07249591823438</v>
      </c>
      <c r="AC73" s="463">
        <f ca="1">IF('Project &amp; Investor Returns'!$I$3=0,F73+NPV(Disc,G73:AA73),E73+NPV(Disc,F73:AA73))</f>
        <v>754.59976124215859</v>
      </c>
      <c r="AG73" s="80"/>
    </row>
    <row r="74" spans="1:33">
      <c r="A74" s="20"/>
      <c r="B74" s="15" t="s">
        <v>1952</v>
      </c>
      <c r="C74" s="212">
        <f>Wh_Int</f>
        <v>0.15</v>
      </c>
      <c r="D74" s="161" t="s">
        <v>486</v>
      </c>
      <c r="E74" s="37">
        <f ca="1">$C$74*-E73</f>
        <v>0</v>
      </c>
      <c r="F74" s="37">
        <f t="shared" ref="F74:AA74" ca="1" si="23">$C$74*-F73</f>
        <v>-2.5934435340991313</v>
      </c>
      <c r="G74" s="37">
        <f t="shared" ca="1" si="23"/>
        <v>-69.727905484101598</v>
      </c>
      <c r="H74" s="37">
        <f t="shared" ca="1" si="23"/>
        <v>-73.639525369534425</v>
      </c>
      <c r="I74" s="37">
        <f t="shared" ca="1" si="23"/>
        <v>0</v>
      </c>
      <c r="J74" s="37">
        <f t="shared" ca="1" si="23"/>
        <v>0</v>
      </c>
      <c r="K74" s="37">
        <f t="shared" ca="1" si="23"/>
        <v>0</v>
      </c>
      <c r="L74" s="37">
        <f t="shared" ca="1" si="23"/>
        <v>0</v>
      </c>
      <c r="M74" s="37">
        <f t="shared" ca="1" si="23"/>
        <v>0</v>
      </c>
      <c r="N74" s="37">
        <f t="shared" ca="1" si="23"/>
        <v>0</v>
      </c>
      <c r="O74" s="37">
        <f t="shared" ca="1" si="23"/>
        <v>0</v>
      </c>
      <c r="P74" s="37">
        <f t="shared" ca="1" si="23"/>
        <v>0</v>
      </c>
      <c r="Q74" s="37">
        <f t="shared" ca="1" si="23"/>
        <v>0</v>
      </c>
      <c r="R74" s="37">
        <f t="shared" ca="1" si="23"/>
        <v>0</v>
      </c>
      <c r="S74" s="37">
        <f t="shared" ca="1" si="23"/>
        <v>0</v>
      </c>
      <c r="T74" s="37">
        <f t="shared" ca="1" si="23"/>
        <v>0</v>
      </c>
      <c r="U74" s="37">
        <f t="shared" ca="1" si="23"/>
        <v>0</v>
      </c>
      <c r="V74" s="37">
        <f t="shared" ca="1" si="23"/>
        <v>0</v>
      </c>
      <c r="W74" s="37">
        <f t="shared" ca="1" si="23"/>
        <v>0</v>
      </c>
      <c r="X74" s="37">
        <f t="shared" ca="1" si="23"/>
        <v>0</v>
      </c>
      <c r="Y74" s="37">
        <f t="shared" ca="1" si="23"/>
        <v>0</v>
      </c>
      <c r="Z74" s="37">
        <f t="shared" ca="1" si="23"/>
        <v>0</v>
      </c>
      <c r="AA74" s="37">
        <f t="shared" ca="1" si="23"/>
        <v>0</v>
      </c>
      <c r="AB74" s="435">
        <f ca="1">SUM(E74:AA74)</f>
        <v>-145.96087438773515</v>
      </c>
      <c r="AC74" s="463">
        <f ca="1">IF('Project &amp; Investor Returns'!$I$3=0,F74+NPV(Disc,G74:AA74),E74+NPV(Disc,F74:AA74))</f>
        <v>-113.18996418632379</v>
      </c>
      <c r="AG74" s="80"/>
    </row>
    <row r="75" spans="1:33" s="75" customFormat="1">
      <c r="A75" s="456"/>
      <c r="B75" s="15" t="s">
        <v>581</v>
      </c>
      <c r="C75" s="212">
        <f>USTax</f>
        <v>0.37</v>
      </c>
      <c r="D75" s="79"/>
      <c r="E75" s="142">
        <f ca="1">-SUM(E73:E74)*USTax</f>
        <v>0</v>
      </c>
      <c r="F75" s="142">
        <f t="shared" ref="F75:AA75" ca="1" si="24">-SUM(F73:F74)*USTax</f>
        <v>-5.4375866098278447</v>
      </c>
      <c r="G75" s="142">
        <f t="shared" ca="1" si="24"/>
        <v>-146.19617516499969</v>
      </c>
      <c r="H75" s="142">
        <f t="shared" ca="1" si="24"/>
        <v>-154.39753819145722</v>
      </c>
      <c r="I75" s="142">
        <f t="shared" ca="1" si="24"/>
        <v>0</v>
      </c>
      <c r="J75" s="142">
        <f t="shared" ca="1" si="24"/>
        <v>0</v>
      </c>
      <c r="K75" s="142">
        <f t="shared" ca="1" si="24"/>
        <v>0</v>
      </c>
      <c r="L75" s="142">
        <f t="shared" ca="1" si="24"/>
        <v>0</v>
      </c>
      <c r="M75" s="142">
        <f t="shared" ca="1" si="24"/>
        <v>0</v>
      </c>
      <c r="N75" s="142">
        <f t="shared" ca="1" si="24"/>
        <v>0</v>
      </c>
      <c r="O75" s="142">
        <f t="shared" ca="1" si="24"/>
        <v>0</v>
      </c>
      <c r="P75" s="142">
        <f t="shared" ca="1" si="24"/>
        <v>0</v>
      </c>
      <c r="Q75" s="142">
        <f t="shared" ca="1" si="24"/>
        <v>0</v>
      </c>
      <c r="R75" s="142">
        <f t="shared" ca="1" si="24"/>
        <v>0</v>
      </c>
      <c r="S75" s="142">
        <f t="shared" ca="1" si="24"/>
        <v>0</v>
      </c>
      <c r="T75" s="142">
        <f t="shared" ca="1" si="24"/>
        <v>0</v>
      </c>
      <c r="U75" s="142">
        <f t="shared" ca="1" si="24"/>
        <v>0</v>
      </c>
      <c r="V75" s="142">
        <f t="shared" ca="1" si="24"/>
        <v>0</v>
      </c>
      <c r="W75" s="142">
        <f t="shared" ca="1" si="24"/>
        <v>0</v>
      </c>
      <c r="X75" s="142">
        <f t="shared" ca="1" si="24"/>
        <v>0</v>
      </c>
      <c r="Y75" s="142">
        <f t="shared" ca="1" si="24"/>
        <v>0</v>
      </c>
      <c r="Z75" s="142">
        <f t="shared" ca="1" si="24"/>
        <v>0</v>
      </c>
      <c r="AA75" s="142">
        <f t="shared" ca="1" si="24"/>
        <v>0</v>
      </c>
      <c r="AB75" s="436">
        <f t="shared" ca="1" si="22"/>
        <v>-306.03129996628473</v>
      </c>
      <c r="AC75" s="464">
        <f ca="1">IF('Project &amp; Investor Returns'!$I$3=0,F75+NPV(Disc,G75:AA75),E75+NPV(Disc,F75:AA75))</f>
        <v>-237.32162491065887</v>
      </c>
      <c r="AD75" s="15"/>
      <c r="AG75" s="80"/>
    </row>
    <row r="76" spans="1:33" s="81" customFormat="1">
      <c r="A76" s="458"/>
      <c r="B76" s="15" t="s">
        <v>171</v>
      </c>
      <c r="C76" s="15"/>
      <c r="D76" s="15"/>
      <c r="E76" s="37">
        <f t="shared" ref="E76:AA76" ca="1" si="25">SUM(E70:E75)</f>
        <v>0</v>
      </c>
      <c r="F76" s="37">
        <f t="shared" ca="1" si="25"/>
        <v>-14880.547375692018</v>
      </c>
      <c r="G76" s="37">
        <f t="shared" ca="1" si="25"/>
        <v>-6875.8743256605458</v>
      </c>
      <c r="H76" s="37">
        <f t="shared" ca="1" si="25"/>
        <v>10850.784587871591</v>
      </c>
      <c r="I76" s="37">
        <f t="shared" ca="1" si="25"/>
        <v>1904.9927126709922</v>
      </c>
      <c r="J76" s="37">
        <f t="shared" ca="1" si="25"/>
        <v>141.76541193535377</v>
      </c>
      <c r="K76" s="37">
        <f t="shared" ca="1" si="25"/>
        <v>705.12984035736599</v>
      </c>
      <c r="L76" s="37">
        <f t="shared" ca="1" si="25"/>
        <v>-1053.5403330070992</v>
      </c>
      <c r="M76" s="37">
        <f t="shared" ca="1" si="25"/>
        <v>1521.5234295248783</v>
      </c>
      <c r="N76" s="37">
        <f t="shared" ca="1" si="25"/>
        <v>1649.7046575026993</v>
      </c>
      <c r="O76" s="37">
        <f t="shared" ca="1" si="25"/>
        <v>1298.0728704289504</v>
      </c>
      <c r="P76" s="37">
        <f t="shared" ca="1" si="25"/>
        <v>1106.1290241975694</v>
      </c>
      <c r="Q76" s="37">
        <f t="shared" ca="1" si="25"/>
        <v>1349.0603120091105</v>
      </c>
      <c r="R76" s="37">
        <f t="shared" ca="1" si="25"/>
        <v>1462.9150168488914</v>
      </c>
      <c r="S76" s="37">
        <f t="shared" ca="1" si="25"/>
        <v>893.45881702608074</v>
      </c>
      <c r="T76" s="37">
        <f t="shared" ca="1" si="25"/>
        <v>682.78830552868646</v>
      </c>
      <c r="U76" s="37">
        <f t="shared" ca="1" si="25"/>
        <v>2696.4695842772035</v>
      </c>
      <c r="V76" s="37">
        <f t="shared" ca="1" si="25"/>
        <v>1019.2074754733317</v>
      </c>
      <c r="W76" s="37">
        <f t="shared" ca="1" si="25"/>
        <v>-352.65063711471481</v>
      </c>
      <c r="X76" s="37">
        <f t="shared" ca="1" si="25"/>
        <v>656.73229255323804</v>
      </c>
      <c r="Y76" s="37">
        <f t="shared" ca="1" si="25"/>
        <v>462.910467246179</v>
      </c>
      <c r="Z76" s="37">
        <f t="shared" ca="1" si="25"/>
        <v>632.58708206657946</v>
      </c>
      <c r="AA76" s="37">
        <f t="shared" ca="1" si="25"/>
        <v>775.40593809444863</v>
      </c>
      <c r="AB76" s="435">
        <f t="shared" ca="1" si="22"/>
        <v>6647.0251541387715</v>
      </c>
      <c r="AC76" s="435">
        <f ca="1">SUM(AC70:AC75)</f>
        <v>-9682.7830881133032</v>
      </c>
      <c r="AD76" s="15"/>
    </row>
    <row r="77" spans="1:33" s="81" customFormat="1">
      <c r="A77" s="458"/>
      <c r="B77" s="15"/>
      <c r="C77" s="15"/>
      <c r="D77" s="15"/>
      <c r="E77" s="1331">
        <f ca="1">SUM(E71:E75)</f>
        <v>0</v>
      </c>
      <c r="F77" s="1331">
        <f t="shared" ref="F77:AA77" ca="1" si="26">SUM(F71:F75)</f>
        <v>-3281.3511000771337</v>
      </c>
      <c r="G77" s="1331">
        <f t="shared" ca="1" si="26"/>
        <v>-6628.5608162505841</v>
      </c>
      <c r="H77" s="1331">
        <f t="shared" ca="1" si="26"/>
        <v>10430.992237891933</v>
      </c>
      <c r="I77" s="1331">
        <f t="shared" ca="1" si="26"/>
        <v>0</v>
      </c>
      <c r="J77" s="1331">
        <f t="shared" ca="1" si="26"/>
        <v>0</v>
      </c>
      <c r="K77" s="1331">
        <f t="shared" ca="1" si="26"/>
        <v>0</v>
      </c>
      <c r="L77" s="1331">
        <f t="shared" ca="1" si="26"/>
        <v>0</v>
      </c>
      <c r="M77" s="1331">
        <f t="shared" ca="1" si="26"/>
        <v>0</v>
      </c>
      <c r="N77" s="1331">
        <f t="shared" ca="1" si="26"/>
        <v>0</v>
      </c>
      <c r="O77" s="1331">
        <f t="shared" ca="1" si="26"/>
        <v>0</v>
      </c>
      <c r="P77" s="1331">
        <f t="shared" ca="1" si="26"/>
        <v>0</v>
      </c>
      <c r="Q77" s="1331">
        <f t="shared" ca="1" si="26"/>
        <v>0</v>
      </c>
      <c r="R77" s="1331">
        <f t="shared" ca="1" si="26"/>
        <v>0</v>
      </c>
      <c r="S77" s="1331">
        <f t="shared" ca="1" si="26"/>
        <v>0</v>
      </c>
      <c r="T77" s="1331">
        <f t="shared" ca="1" si="26"/>
        <v>0</v>
      </c>
      <c r="U77" s="1331">
        <f t="shared" ca="1" si="26"/>
        <v>0</v>
      </c>
      <c r="V77" s="1331">
        <f t="shared" ca="1" si="26"/>
        <v>0</v>
      </c>
      <c r="W77" s="1331">
        <f t="shared" ca="1" si="26"/>
        <v>0</v>
      </c>
      <c r="X77" s="1331">
        <f t="shared" ca="1" si="26"/>
        <v>0</v>
      </c>
      <c r="Y77" s="1331">
        <f t="shared" ca="1" si="26"/>
        <v>0</v>
      </c>
      <c r="Z77" s="1331">
        <f t="shared" ca="1" si="26"/>
        <v>0</v>
      </c>
      <c r="AA77" s="1331">
        <f t="shared" ca="1" si="26"/>
        <v>0</v>
      </c>
      <c r="AB77" s="1333">
        <f ca="1">SUM(AB71:AB75)</f>
        <v>521.0803215642145</v>
      </c>
      <c r="AC77" s="1333">
        <f ca="1">SUM(AC71:AC75)</f>
        <v>-1485.570529104928</v>
      </c>
      <c r="AD77" s="15"/>
    </row>
    <row r="78" spans="1:33">
      <c r="A78" s="20"/>
      <c r="B78" s="15" t="s">
        <v>472</v>
      </c>
      <c r="E78" s="221">
        <f ca="1">$E76</f>
        <v>0</v>
      </c>
      <c r="F78" s="221">
        <f ca="1">IF('Project &amp; Investor Returns'!$I$3=0,$F76,$E76+NPV(Disc,$F76:F76))</f>
        <v>-14880.547375692018</v>
      </c>
      <c r="G78" s="37">
        <f ca="1">IF('Project &amp; Investor Returns'!$I$3=0,$F76+NPV(Disc, $G76:G76),$E76+NPV(Disc,$F76:G76))</f>
        <v>-20658.593027507603</v>
      </c>
      <c r="H78" s="37">
        <f ca="1">IF('Project &amp; Investor Returns'!$I$3=0,$F76+NPV(Disc, $G76:H76),$E76+NPV(Disc,$F76:H76))</f>
        <v>-12996.15069442972</v>
      </c>
      <c r="I78" s="37">
        <f ca="1">IF('Project &amp; Investor Returns'!$I$3=0,$F76+NPV(Disc, $G76:I76),$E76+NPV(Disc,$F76:I76))</f>
        <v>-11865.697892841861</v>
      </c>
      <c r="J78" s="37">
        <f ca="1">IF('Project &amp; Investor Returns'!$I$3=0,$F76+NPV(Disc, $G76:J76),$E76+NPV(Disc,$F76:J76))</f>
        <v>-11795.003911879232</v>
      </c>
      <c r="K78" s="37">
        <f ca="1">IF('Project &amp; Investor Returns'!$I$3=0,$F76+NPV(Disc, $G76:K76),$E76+NPV(Disc,$F76:K76))</f>
        <v>-11499.519695852796</v>
      </c>
      <c r="L78" s="37">
        <f ca="1">IF('Project &amp; Investor Returns'!$I$3=0,$F76+NPV(Disc, $G76:L76),$E76+NPV(Disc,$F76:L76))</f>
        <v>-11870.515841900753</v>
      </c>
      <c r="M78" s="37">
        <f ca="1">IF('Project &amp; Investor Returns'!$I$3=0,$F76+NPV(Disc, $G76:M76),$E76+NPV(Disc,$F76:M76))</f>
        <v>-11420.2697886565</v>
      </c>
      <c r="N78" s="37">
        <f ca="1">IF('Project &amp; Investor Returns'!$I$3=0,$F76+NPV(Disc, $G76:N76),$E76+NPV(Disc,$F76:N76))</f>
        <v>-11010.036867639279</v>
      </c>
      <c r="O78" s="37">
        <f ca="1">IF('Project &amp; Investor Returns'!$I$3=0,$F76+NPV(Disc, $G76:O76),$E76+NPV(Disc,$F76:O76))</f>
        <v>-10738.782699235591</v>
      </c>
      <c r="P78" s="37">
        <f ca="1">IF('Project &amp; Investor Returns'!$I$3=0,$F76+NPV(Disc, $G76:P76),$E76+NPV(Disc,$F76:P76))</f>
        <v>-10544.543815222925</v>
      </c>
      <c r="Q78" s="37">
        <f ca="1">IF('Project &amp; Investor Returns'!$I$3=0,$F76+NPV(Disc, $G76:Q76),$E76+NPV(Disc,$F76:Q76))</f>
        <v>-10345.469701624908</v>
      </c>
      <c r="R78" s="37">
        <f ca="1">IF('Project &amp; Investor Returns'!$I$3=0,$F76+NPV(Disc, $G76:R76),$E76+NPV(Disc,$F76:R76))</f>
        <v>-10164.062066720566</v>
      </c>
      <c r="S78" s="37">
        <f ca="1">IF('Project &amp; Investor Returns'!$I$3=0,$F76+NPV(Disc, $G76:S76),$E76+NPV(Disc,$F76:S76))</f>
        <v>-10070.958988327038</v>
      </c>
      <c r="T78" s="37">
        <f ca="1">IF('Project &amp; Investor Returns'!$I$3=0,$F76+NPV(Disc, $G76:T76),$E76+NPV(Disc,$F76:T76))</f>
        <v>-10011.168979901155</v>
      </c>
      <c r="U78" s="37">
        <f ca="1">IF('Project &amp; Investor Returns'!$I$3=0,$F76+NPV(Disc, $G76:U76),$E76+NPV(Disc,$F76:U76))</f>
        <v>-9812.7463940875678</v>
      </c>
      <c r="V78" s="37">
        <f ca="1">IF('Project &amp; Investor Returns'!$I$3=0,$F76+NPV(Disc, $G76:V76),$E76+NPV(Disc,$F76:V76))</f>
        <v>-9749.7216315407331</v>
      </c>
      <c r="W78" s="37">
        <f ca="1">IF('Project &amp; Investor Returns'!$I$3=0,$F76+NPV(Disc, $G76:W76),$E76+NPV(Disc,$F76:W76))</f>
        <v>-9768.0467305222101</v>
      </c>
      <c r="X78" s="37">
        <f ca="1">IF('Project &amp; Investor Returns'!$I$3=0,$F76+NPV(Disc, $G76:X76),$E76+NPV(Disc,$F76:X76))</f>
        <v>-9739.3691130998341</v>
      </c>
      <c r="Y78" s="37">
        <f ca="1">IF('Project &amp; Investor Returns'!$I$3=0,$F76+NPV(Disc, $G76:Y76),$E76+NPV(Disc,$F76:Y76))</f>
        <v>-9722.3825805904871</v>
      </c>
      <c r="Z78" s="37">
        <f ca="1">IF('Project &amp; Investor Returns'!$I$3=0,$F76+NPV(Disc, $G76:Z76),$E76+NPV(Disc,$F76:Z76))</f>
        <v>-9702.876002477471</v>
      </c>
      <c r="AA78" s="37">
        <f ca="1">IF('Project &amp; Investor Returns'!$I$3=0,$F76+NPV(Disc, $G76:AA76),$E76+NPV(Disc,$F76:AA76))</f>
        <v>-9682.7830881132995</v>
      </c>
      <c r="AB78" s="466"/>
      <c r="AC78" s="435">
        <f ca="1">AC76</f>
        <v>-9682.7830881133032</v>
      </c>
      <c r="AD78" s="1331">
        <f ca="1">NPV(Disc,F77:AA77)+E77</f>
        <v>-1248.3785958864948</v>
      </c>
    </row>
    <row r="79" spans="1:33">
      <c r="A79" s="20"/>
      <c r="B79" s="15" t="s">
        <v>473</v>
      </c>
      <c r="E79" s="32" t="e">
        <f ca="1">IRR($E76:E76,-0.9)</f>
        <v>#NUM!</v>
      </c>
      <c r="F79" s="32" t="e">
        <f ca="1">IRR($E76:F76,-0.9)</f>
        <v>#NUM!</v>
      </c>
      <c r="G79" s="32" t="e">
        <f ca="1">IRR($E76:G76,-0.9)</f>
        <v>#NUM!</v>
      </c>
      <c r="H79" s="32">
        <f ca="1">IRR($E76:H76,-0.9)</f>
        <v>-0.34640577154740854</v>
      </c>
      <c r="I79" s="32">
        <f ca="1">IRR($E76:I76,-0.9)</f>
        <v>-0.25419295606743625</v>
      </c>
      <c r="J79" s="32">
        <f ca="1">IRR($E76:J76,-0.9)</f>
        <v>-0.24652749857179321</v>
      </c>
      <c r="K79" s="32">
        <f ca="1">IRR($E76:K76,-0.9)</f>
        <v>-0.20491213330750083</v>
      </c>
      <c r="L79" s="32">
        <f ca="1">IRR($E76:L76,-0.9)</f>
        <v>-0.40889838643674337</v>
      </c>
      <c r="M79" s="32">
        <f ca="1">IRR($E76:M76,-0.9)</f>
        <v>-0.16477700628839748</v>
      </c>
      <c r="N79" s="32">
        <f ca="1">IRR($E76:N76,-0.9)</f>
        <v>-0.10083818769081358</v>
      </c>
      <c r="O79" s="32">
        <f ca="1">IRR($E76:O76,-0.9)</f>
        <v>-6.7938917690535616E-2</v>
      </c>
      <c r="P79" s="32">
        <f ca="1">IRR($E76:P76,-0.9)</f>
        <v>-4.6327749669741063E-2</v>
      </c>
      <c r="Q79" s="32">
        <f ca="1">IRR($E76:Q76,-0.9)</f>
        <v>-2.5586208787816114E-2</v>
      </c>
      <c r="R79" s="32">
        <f ca="1">IRR($E76:R76,-0.9)</f>
        <v>-8.1114890649592267E-3</v>
      </c>
      <c r="S79" s="32">
        <f ca="1">IRR($E76:S76,-0.9)</f>
        <v>6.7777034226081101E-4</v>
      </c>
      <c r="T79" s="32">
        <f ca="1">IRR($E76:T76,-0.9)</f>
        <v>6.6005462282239767E-3</v>
      </c>
      <c r="U79" s="32">
        <f ca="1">IRR($E76:U76,-0.9)</f>
        <v>2.4983408174548319E-2</v>
      </c>
      <c r="V79" s="32">
        <f ca="1">IRR($E76:V76,-0.9)</f>
        <v>3.0412318848743677E-2</v>
      </c>
      <c r="W79" s="32">
        <f ca="1">IRR($E76:W76,-0.9)</f>
        <v>2.8651075062665319E-2</v>
      </c>
      <c r="X79" s="32">
        <f ca="1">IRR($E76:X76,-0.9)</f>
        <v>3.1782605798262961E-2</v>
      </c>
      <c r="Y79" s="32">
        <f ca="1">IRR($E76:Y76,-0.9)</f>
        <v>3.3792989201838479E-2</v>
      </c>
      <c r="Z79" s="32">
        <f ca="1">IRR($E76:Z76,-0.9)</f>
        <v>3.6298149865275742E-2</v>
      </c>
      <c r="AA79" s="32">
        <f ca="1">IRR($E76:AA76,-0.9)</f>
        <v>3.9053881280832349E-2</v>
      </c>
      <c r="AB79" s="465"/>
      <c r="AC79" s="471">
        <f ca="1">IRR(E76:AA76,-0.9)</f>
        <v>3.9053881280832349E-2</v>
      </c>
      <c r="AD79" s="1337">
        <f ca="1">IF(ISERROR(IRR(E77:AA77,-0.9)),"Infinite",IRR(E77:AA77,-0.9))</f>
        <v>3.9121220748675342E-2</v>
      </c>
    </row>
    <row r="80" spans="1:33" ht="12.75" customHeight="1">
      <c r="A80" s="20"/>
      <c r="C80" s="833" t="s">
        <v>498</v>
      </c>
      <c r="D80" s="833" t="s">
        <v>499</v>
      </c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465"/>
      <c r="AC80" s="430"/>
    </row>
    <row r="81" spans="1:33">
      <c r="A81" s="20"/>
      <c r="B81" s="243" t="str">
        <f ca="1">CONCATENATE("Transredes NPV (w/ Bridge Loan) @ ",TEXT(Disc,"0.0%"))</f>
        <v>Transredes NPV (w/ Bridge Loan) @ 19.0%</v>
      </c>
      <c r="C81" s="1329">
        <f ca="1">AC78</f>
        <v>-9682.7830881133032</v>
      </c>
      <c r="D81" s="452">
        <f ca="1">AD78</f>
        <v>-1248.3785958864948</v>
      </c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465"/>
      <c r="AC81" s="430"/>
    </row>
    <row r="82" spans="1:33">
      <c r="A82" s="417"/>
      <c r="B82" s="253" t="s">
        <v>261</v>
      </c>
      <c r="C82" s="1330">
        <f ca="1">AC79</f>
        <v>3.9053881280832349E-2</v>
      </c>
      <c r="D82" s="1339">
        <f ca="1">AD79</f>
        <v>3.9121220748675342E-2</v>
      </c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468"/>
      <c r="AC82" s="469"/>
    </row>
    <row r="83" spans="1:33">
      <c r="A83" s="20"/>
      <c r="AB83" s="430"/>
      <c r="AC83" s="430"/>
    </row>
    <row r="84" spans="1:33" s="81" customFormat="1">
      <c r="A84" s="458"/>
      <c r="B84" s="15" t="s">
        <v>233</v>
      </c>
      <c r="C84" s="15"/>
      <c r="D84" s="15"/>
      <c r="E84" s="37">
        <f t="shared" ref="E84:AA84" ca="1" si="27">E76</f>
        <v>0</v>
      </c>
      <c r="F84" s="37">
        <f t="shared" ca="1" si="27"/>
        <v>-14880.547375692018</v>
      </c>
      <c r="G84" s="37">
        <f t="shared" ca="1" si="27"/>
        <v>-6875.8743256605458</v>
      </c>
      <c r="H84" s="37">
        <f t="shared" ca="1" si="27"/>
        <v>10850.784587871591</v>
      </c>
      <c r="I84" s="37">
        <f t="shared" ca="1" si="27"/>
        <v>1904.9927126709922</v>
      </c>
      <c r="J84" s="37">
        <f t="shared" ca="1" si="27"/>
        <v>141.76541193535377</v>
      </c>
      <c r="K84" s="37">
        <f t="shared" ca="1" si="27"/>
        <v>705.12984035736599</v>
      </c>
      <c r="L84" s="37">
        <f t="shared" ca="1" si="27"/>
        <v>-1053.5403330070992</v>
      </c>
      <c r="M84" s="37">
        <f t="shared" ca="1" si="27"/>
        <v>1521.5234295248783</v>
      </c>
      <c r="N84" s="37">
        <f t="shared" ca="1" si="27"/>
        <v>1649.7046575026993</v>
      </c>
      <c r="O84" s="37">
        <f t="shared" ca="1" si="27"/>
        <v>1298.0728704289504</v>
      </c>
      <c r="P84" s="37">
        <f t="shared" ca="1" si="27"/>
        <v>1106.1290241975694</v>
      </c>
      <c r="Q84" s="37">
        <f t="shared" ca="1" si="27"/>
        <v>1349.0603120091105</v>
      </c>
      <c r="R84" s="37">
        <f t="shared" ca="1" si="27"/>
        <v>1462.9150168488914</v>
      </c>
      <c r="S84" s="37">
        <f t="shared" ca="1" si="27"/>
        <v>893.45881702608074</v>
      </c>
      <c r="T84" s="37">
        <f t="shared" ca="1" si="27"/>
        <v>682.78830552868646</v>
      </c>
      <c r="U84" s="37">
        <f t="shared" ca="1" si="27"/>
        <v>2696.4695842772035</v>
      </c>
      <c r="V84" s="37">
        <f t="shared" ca="1" si="27"/>
        <v>1019.2074754733317</v>
      </c>
      <c r="W84" s="37">
        <f t="shared" ca="1" si="27"/>
        <v>-352.65063711471481</v>
      </c>
      <c r="X84" s="37">
        <f t="shared" ca="1" si="27"/>
        <v>656.73229255323804</v>
      </c>
      <c r="Y84" s="37">
        <f t="shared" ca="1" si="27"/>
        <v>462.910467246179</v>
      </c>
      <c r="Z84" s="37">
        <f t="shared" ca="1" si="27"/>
        <v>632.58708206657946</v>
      </c>
      <c r="AA84" s="37">
        <f t="shared" ca="1" si="27"/>
        <v>775.40593809444863</v>
      </c>
      <c r="AB84" s="435">
        <f t="shared" ref="AB84:AB91" ca="1" si="28">SUM(E84:AA84)</f>
        <v>6647.0251541387715</v>
      </c>
      <c r="AC84" s="463">
        <f ca="1">IF('Project &amp; Investor Returns'!$I$3=0,F84+NPV(Disc,G84:AA84),E84+NPV(Disc,F84:AA84))</f>
        <v>-9682.7830881132995</v>
      </c>
      <c r="AD84" s="15"/>
    </row>
    <row r="85" spans="1:33">
      <c r="A85" s="457">
        <f>A71</f>
        <v>0.125</v>
      </c>
      <c r="B85" s="15" t="s">
        <v>1625</v>
      </c>
      <c r="E85" s="37">
        <f ca="1">-HLOOKUP(DATE(E$7,12,31),Idc_Table,IDC!$BB$49)*$A85-SUM($D85:D85)</f>
        <v>0</v>
      </c>
      <c r="F85" s="37">
        <f ca="1">-HLOOKUP(DATE(F$7,12,31),Idc_Table,IDC!$BB$49)*$A85-SUM($D85:E85)</f>
        <v>0</v>
      </c>
      <c r="G85" s="37">
        <f ca="1">-HLOOKUP(DATE(G$7,12,31),Idc_Table,IDC!$BB$49)*$A85-SUM($D85:F85)</f>
        <v>0</v>
      </c>
      <c r="H85" s="37">
        <f ca="1">-HLOOKUP(DATE(H$7,12,31),Idc_Table,IDC!$BB$49)*$A85-SUM($D85:G85)</f>
        <v>-4671.0949383385587</v>
      </c>
      <c r="I85" s="37">
        <f ca="1">-HLOOKUP(DATE(I$7,12,31),Idc_Table,IDC!$BB$49)*$A85-SUM($D85:H85)</f>
        <v>-1547.6316957562749</v>
      </c>
      <c r="J85" s="37">
        <f ca="1">-HLOOKUP(DATE(J$7,12,31),Idc_Table,IDC!$BB$49)*$A85-SUM($D85:I85)</f>
        <v>0</v>
      </c>
      <c r="K85" s="37">
        <f ca="1">-HLOOKUP(DATE(K$7,12,31),Idc_Table,IDC!$BB$49)*$A85-SUM($D85:J85)</f>
        <v>0</v>
      </c>
      <c r="L85" s="37">
        <f ca="1">-HLOOKUP(DATE(L$7,12,31),Idc_Table,IDC!$BB$49)*$A85-SUM($D85:K85)</f>
        <v>0</v>
      </c>
      <c r="M85" s="37">
        <f ca="1">-HLOOKUP(DATE(M$7,12,31),Idc_Table,IDC!$BB$49)*$A85-SUM($D85:L85)</f>
        <v>0</v>
      </c>
      <c r="N85" s="37">
        <f ca="1">-HLOOKUP(DATE(N$7,12,31),Idc_Table,IDC!$BB$49)*$A85-SUM($D85:M85)</f>
        <v>0</v>
      </c>
      <c r="O85" s="37">
        <f ca="1">-HLOOKUP(DATE(O$7,12,31),Idc_Table,IDC!$BB$49)*$A85-SUM($D85:N85)</f>
        <v>0</v>
      </c>
      <c r="P85" s="37">
        <f ca="1">-HLOOKUP(DATE(P$7,12,31),Idc_Table,IDC!$BB$49)*$A85-SUM($D85:O85)</f>
        <v>0</v>
      </c>
      <c r="Q85" s="37">
        <f ca="1">-HLOOKUP(DATE(Q$7,12,31),Idc_Table,IDC!$BB$49)*$A85-SUM($D85:P85)</f>
        <v>0</v>
      </c>
      <c r="R85" s="37">
        <f ca="1">-HLOOKUP(DATE(R$7,12,31),Idc_Table,IDC!$BB$49)*$A85-SUM($D85:Q85)</f>
        <v>0</v>
      </c>
      <c r="S85" s="37">
        <f ca="1">-HLOOKUP(DATE(S$7,12,31),Idc_Table,IDC!$BB$49)*$A85-SUM($D85:R85)</f>
        <v>0</v>
      </c>
      <c r="T85" s="37">
        <f ca="1">-HLOOKUP(DATE(T$7,12,31),Idc_Table,IDC!$BB$49)*$A85-SUM($D85:S85)</f>
        <v>0</v>
      </c>
      <c r="U85" s="37">
        <f ca="1">-HLOOKUP(DATE(U$7,12,31),Idc_Table,IDC!$BB$49)*$A85-SUM($D85:T85)</f>
        <v>0</v>
      </c>
      <c r="V85" s="37">
        <f ca="1">-HLOOKUP(DATE(V$7,12,31),Idc_Table,IDC!$BB$49)*$A85-SUM($D85:U85)</f>
        <v>0</v>
      </c>
      <c r="W85" s="37">
        <f ca="1">-HLOOKUP(DATE(W$7,12,31),Idc_Table,IDC!$BB$49)*$A85-SUM($D85:V85)</f>
        <v>0</v>
      </c>
      <c r="X85" s="37">
        <f ca="1">-HLOOKUP(DATE(X$7,12,31),Idc_Table,IDC!$BB$49)*$A85-SUM($D85:W85)</f>
        <v>0</v>
      </c>
      <c r="Y85" s="37">
        <f ca="1">-HLOOKUP(DATE(Y$7,12,31),Idc_Table,IDC!$BB$49)*$A85-SUM($D85:X85)</f>
        <v>0</v>
      </c>
      <c r="Z85" s="37">
        <f ca="1">-HLOOKUP(DATE(Z$7,12,31),Idc_Table,IDC!$BB$49)*$A85-SUM($D85:Y85)</f>
        <v>0</v>
      </c>
      <c r="AA85" s="37">
        <f ca="1">-HLOOKUP(DATE(AA$7,12,31),Idc_Table,IDC!$BB$49)*$A85-SUM($D85:Z85)</f>
        <v>0</v>
      </c>
      <c r="AB85" s="435">
        <f t="shared" ca="1" si="28"/>
        <v>-6218.7266340948336</v>
      </c>
      <c r="AC85" s="463">
        <f ca="1">IF('Project &amp; Investor Returns'!$I$3=0,F85+NPV(Disc,G85:AA85),E85+NPV(Disc,F85:AA85))</f>
        <v>-4216.9520338313241</v>
      </c>
    </row>
    <row r="86" spans="1:33">
      <c r="A86" s="457"/>
      <c r="B86" s="15" t="s">
        <v>152</v>
      </c>
      <c r="E86" s="226">
        <f ca="1">IF(E$7&lt;YEAR(Startops1),0,-HLOOKUP(E$7,CF_Table,CF!$AB$71)*$A85)</f>
        <v>0</v>
      </c>
      <c r="F86" s="226">
        <f ca="1">IF(F$7&lt;YEAR(Startops1),0,-HLOOKUP(F$7,CF_Table,CF!$AB$71)*$A85)</f>
        <v>0</v>
      </c>
      <c r="G86" s="226">
        <f ca="1">IF(G$7&lt;YEAR(Startops1),0,-HLOOKUP(G$7,CF_Table,CF!$AB$71)*$A85)</f>
        <v>0</v>
      </c>
      <c r="H86" s="226">
        <f ca="1">IF(H$7&lt;YEAR(Startops1),0,-HLOOKUP(H$7,CF_Table,CF!$AB$71)*$A85)</f>
        <v>0</v>
      </c>
      <c r="I86" s="226">
        <f ca="1">IF(I$7&lt;YEAR(Startops1),0,-HLOOKUP(I$7,CF_Table,CF!$AB$71)*$A85)</f>
        <v>0</v>
      </c>
      <c r="J86" s="226">
        <f ca="1">IF(J$7&lt;YEAR(Startops1),0,-HLOOKUP(J$7,CF_Table,CF!$AB$71)*$A85)</f>
        <v>278.55129860946323</v>
      </c>
      <c r="K86" s="226">
        <f ca="1">IF(K$7&lt;YEAR(Startops1),0,-HLOOKUP(K$7,CF_Table,CF!$AB$71)*$A85)</f>
        <v>315.93984666531804</v>
      </c>
      <c r="L86" s="226">
        <f ca="1">IF(L$7&lt;YEAR(Startops1),0,-HLOOKUP(L$7,CF_Table,CF!$AB$71)*$A85)</f>
        <v>358.34687258397037</v>
      </c>
      <c r="M86" s="226">
        <f ca="1">IF(M$7&lt;YEAR(Startops1),0,-HLOOKUP(M$7,CF_Table,CF!$AB$71)*$A85)</f>
        <v>406.44598155655393</v>
      </c>
      <c r="N86" s="226">
        <f ca="1">IF(N$7&lt;YEAR(Startops1),0,-HLOOKUP(N$7,CF_Table,CF!$AB$71)*$A85)</f>
        <v>461.00119343098208</v>
      </c>
      <c r="O86" s="226">
        <f ca="1">IF(O$7&lt;YEAR(Startops1),0,-HLOOKUP(O$7,CF_Table,CF!$AB$71)*$A85)</f>
        <v>522.87907861925555</v>
      </c>
      <c r="P86" s="226">
        <f ca="1">IF(P$7&lt;YEAR(Startops1),0,-HLOOKUP(P$7,CF_Table,CF!$AB$71)*$A85)</f>
        <v>593.06252294692467</v>
      </c>
      <c r="Q86" s="226">
        <f ca="1">IF(Q$7&lt;YEAR(Startops1),0,-HLOOKUP(Q$7,CF_Table,CF!$AB$71)*$A85)</f>
        <v>672.66634008947563</v>
      </c>
      <c r="R86" s="226">
        <f ca="1">IF(R$7&lt;YEAR(Startops1),0,-HLOOKUP(R$7,CF_Table,CF!$AB$71)*$A85)</f>
        <v>762.95497958798501</v>
      </c>
      <c r="S86" s="226">
        <f ca="1">IF(S$7&lt;YEAR(Startops1),0,-HLOOKUP(S$7,CF_Table,CF!$AB$71)*$A85)</f>
        <v>865.36261172318189</v>
      </c>
      <c r="T86" s="226">
        <f ca="1">IF(T$7&lt;YEAR(Startops1),0,-HLOOKUP(T$7,CF_Table,CF!$AB$71)*$A85)</f>
        <v>981.51590828172368</v>
      </c>
      <c r="U86" s="226">
        <f ca="1">IF(U$7&lt;YEAR(Startops1),0,-HLOOKUP(U$7,CF_Table,CF!$AB$71)*$A85)</f>
        <v>0</v>
      </c>
      <c r="V86" s="226">
        <f ca="1">IF(V$7&lt;YEAR(Startops1),0,-HLOOKUP(V$7,CF_Table,CF!$AB$71)*$A85)</f>
        <v>0</v>
      </c>
      <c r="W86" s="226">
        <f ca="1">IF(W$7&lt;YEAR(Startops1),0,-HLOOKUP(W$7,CF_Table,CF!$AB$71)*$A85)</f>
        <v>0</v>
      </c>
      <c r="X86" s="226">
        <f ca="1">IF(X$7&lt;YEAR(Startops1),0,-HLOOKUP(X$7,CF_Table,CF!$AB$71)*$A85)</f>
        <v>0</v>
      </c>
      <c r="Y86" s="226">
        <f ca="1">IF(Y$7&lt;YEAR(Startops1),0,-HLOOKUP(Y$7,CF_Table,CF!$AB$71)*$A85)</f>
        <v>0</v>
      </c>
      <c r="Z86" s="226">
        <f ca="1">IF(Z$7&lt;YEAR(Startops1),0,-HLOOKUP(Z$7,CF_Table,CF!$AB$71)*$A85)</f>
        <v>0</v>
      </c>
      <c r="AA86" s="226">
        <f ca="1">IF(AA$7&lt;YEAR(Startops1),0,-HLOOKUP(AA$7,CF_Table,CF!$AB$71)*$A85)</f>
        <v>0</v>
      </c>
      <c r="AB86" s="435">
        <f t="shared" ca="1" si="28"/>
        <v>6218.7266340948336</v>
      </c>
      <c r="AC86" s="463">
        <f ca="1">IF('Project &amp; Investor Returns'!$I$3=0,F86+NPV(Disc,G86:AA86),E86+NPV(Disc,F86:AA86))</f>
        <v>1215.8037323084234</v>
      </c>
    </row>
    <row r="87" spans="1:33">
      <c r="A87" s="20"/>
      <c r="B87" s="15" t="s">
        <v>153</v>
      </c>
      <c r="D87" s="161" t="s">
        <v>36</v>
      </c>
      <c r="E87" s="226">
        <f ca="1">IF(E$7&lt;YEAR(Startops1),0,-HLOOKUP(E$7,CF_Table,CF!$AB$45)*$A85)</f>
        <v>0</v>
      </c>
      <c r="F87" s="226">
        <f ca="1">IF(F$7&lt;YEAR(Startops1),0,-HLOOKUP(F$7,CF_Table,CF!$AB$45)*$A85)</f>
        <v>0</v>
      </c>
      <c r="G87" s="226">
        <f ca="1">IF(G$7&lt;YEAR(Startops1),0,-HLOOKUP(G$7,CF_Table,CF!$AB$45)*$A85)</f>
        <v>0</v>
      </c>
      <c r="H87" s="226">
        <f ca="1">IF(H$7&lt;YEAR(Startops1),0,-HLOOKUP(H$7,CF_Table,CF!$AB$45)*$A85)</f>
        <v>0</v>
      </c>
      <c r="I87" s="226">
        <f ca="1">IF(I$7&lt;YEAR(Startops1),0,-HLOOKUP(I$7,CF_Table,CF!$AB$45)*$A85)</f>
        <v>336.84769268013684</v>
      </c>
      <c r="J87" s="226">
        <f ca="1">IF(J$7&lt;YEAR(Startops1),0,-HLOOKUP(J$7,CF_Table,CF!$AB$45)*$A85)</f>
        <v>799.66650388045673</v>
      </c>
      <c r="K87" s="226">
        <f ca="1">IF(K$7&lt;YEAR(Startops1),0,-HLOOKUP(K$7,CF_Table,CF!$AB$45)*$A85)</f>
        <v>762.27795582460158</v>
      </c>
      <c r="L87" s="226">
        <f ca="1">IF(L$7&lt;YEAR(Startops1),0,-HLOOKUP(L$7,CF_Table,CF!$AB$45)*$A85)</f>
        <v>719.8709299059492</v>
      </c>
      <c r="M87" s="226">
        <f ca="1">IF(M$7&lt;YEAR(Startops1),0,-HLOOKUP(M$7,CF_Table,CF!$AB$45)*$A85)</f>
        <v>671.77182093336569</v>
      </c>
      <c r="N87" s="226">
        <f ca="1">IF(N$7&lt;YEAR(Startops1),0,-HLOOKUP(N$7,CF_Table,CF!$AB$45)*$A85)</f>
        <v>617.21660905893725</v>
      </c>
      <c r="O87" s="226">
        <f ca="1">IF(O$7&lt;YEAR(Startops1),0,-HLOOKUP(O$7,CF_Table,CF!$AB$45)*$A85)</f>
        <v>555.33872387066367</v>
      </c>
      <c r="P87" s="226">
        <f ca="1">IF(P$7&lt;YEAR(Startops1),0,-HLOOKUP(P$7,CF_Table,CF!$AB$45)*$A85)</f>
        <v>485.15527954299421</v>
      </c>
      <c r="Q87" s="226">
        <f ca="1">IF(Q$7&lt;YEAR(Startops1),0,-HLOOKUP(Q$7,CF_Table,CF!$AB$45)*$A85)</f>
        <v>405.5514624004432</v>
      </c>
      <c r="R87" s="226">
        <f ca="1">IF(R$7&lt;YEAR(Startops1),0,-HLOOKUP(R$7,CF_Table,CF!$AB$45)*$A85)</f>
        <v>315.26282290193336</v>
      </c>
      <c r="S87" s="226">
        <f ca="1">IF(S$7&lt;YEAR(Startops1),0,-HLOOKUP(S$7,CF_Table,CF!$AB$45)*$A85)</f>
        <v>212.85519076673611</v>
      </c>
      <c r="T87" s="226">
        <f ca="1">IF(T$7&lt;YEAR(Startops1),0,-HLOOKUP(T$7,CF_Table,CF!$AB$45)*$A85)</f>
        <v>96.701894208192073</v>
      </c>
      <c r="U87" s="226">
        <f ca="1">IF(U$7&lt;YEAR(Startops1),0,-HLOOKUP(U$7,CF_Table,CF!$AB$45)*$A85)</f>
        <v>0</v>
      </c>
      <c r="V87" s="226">
        <f ca="1">IF(V$7&lt;YEAR(Startops1),0,-HLOOKUP(V$7,CF_Table,CF!$AB$45)*$A85)</f>
        <v>0</v>
      </c>
      <c r="W87" s="226">
        <f ca="1">IF(W$7&lt;YEAR(Startops1),0,-HLOOKUP(W$7,CF_Table,CF!$AB$45)*$A85)</f>
        <v>0</v>
      </c>
      <c r="X87" s="226">
        <f ca="1">IF(X$7&lt;YEAR(Startops1),0,-HLOOKUP(X$7,CF_Table,CF!$AB$45)*$A85)</f>
        <v>0</v>
      </c>
      <c r="Y87" s="226">
        <f ca="1">IF(Y$7&lt;YEAR(Startops1),0,-HLOOKUP(Y$7,CF_Table,CF!$AB$45)*$A85)</f>
        <v>0</v>
      </c>
      <c r="Z87" s="226">
        <f ca="1">IF(Z$7&lt;YEAR(Startops1),0,-HLOOKUP(Z$7,CF_Table,CF!$AB$45)*$A85)</f>
        <v>0</v>
      </c>
      <c r="AA87" s="226">
        <f ca="1">IF(AA$7&lt;YEAR(Startops1),0,-HLOOKUP(AA$7,CF_Table,CF!$AB$45)*$A85)</f>
        <v>0</v>
      </c>
      <c r="AB87" s="435">
        <f t="shared" ca="1" si="28"/>
        <v>5978.5168859744108</v>
      </c>
      <c r="AC87" s="463">
        <f ca="1">IF('Project &amp; Investor Returns'!$I$3=0,F87+NPV(Disc,G87:AA87),E87+NPV(Disc,F87:AA87))</f>
        <v>1854.690946833354</v>
      </c>
      <c r="AG87" s="80"/>
    </row>
    <row r="88" spans="1:33">
      <c r="A88" s="20"/>
      <c r="B88" s="15" t="s">
        <v>1954</v>
      </c>
      <c r="C88" s="67">
        <f>Wh_Int</f>
        <v>0.15</v>
      </c>
      <c r="D88" s="161" t="s">
        <v>36</v>
      </c>
      <c r="E88" s="226">
        <f ca="1">Wh_Int*-E87</f>
        <v>0</v>
      </c>
      <c r="F88" s="226">
        <f t="shared" ref="F88:AA88" ca="1" si="29">Wh_Int*-F87</f>
        <v>0</v>
      </c>
      <c r="G88" s="226">
        <f t="shared" ca="1" si="29"/>
        <v>0</v>
      </c>
      <c r="H88" s="226">
        <f t="shared" ca="1" si="29"/>
        <v>0</v>
      </c>
      <c r="I88" s="226">
        <f t="shared" ca="1" si="29"/>
        <v>-50.527153902020522</v>
      </c>
      <c r="J88" s="226">
        <f t="shared" ca="1" si="29"/>
        <v>-119.9499755820685</v>
      </c>
      <c r="K88" s="226">
        <f t="shared" ca="1" si="29"/>
        <v>-114.34169337369023</v>
      </c>
      <c r="L88" s="226">
        <f t="shared" ca="1" si="29"/>
        <v>-107.98063948589238</v>
      </c>
      <c r="M88" s="226">
        <f t="shared" ca="1" si="29"/>
        <v>-100.76577314000485</v>
      </c>
      <c r="N88" s="226">
        <f t="shared" ca="1" si="29"/>
        <v>-92.582491358840585</v>
      </c>
      <c r="O88" s="226">
        <f t="shared" ca="1" si="29"/>
        <v>-83.300808580599551</v>
      </c>
      <c r="P88" s="226">
        <f t="shared" ca="1" si="29"/>
        <v>-72.773291931449123</v>
      </c>
      <c r="Q88" s="226">
        <f t="shared" ca="1" si="29"/>
        <v>-60.832719360066477</v>
      </c>
      <c r="R88" s="226">
        <f t="shared" ca="1" si="29"/>
        <v>-47.289423435290004</v>
      </c>
      <c r="S88" s="226">
        <f t="shared" ca="1" si="29"/>
        <v>-31.928278615010417</v>
      </c>
      <c r="T88" s="226">
        <f t="shared" ca="1" si="29"/>
        <v>-14.505284131228811</v>
      </c>
      <c r="U88" s="226">
        <f t="shared" ca="1" si="29"/>
        <v>0</v>
      </c>
      <c r="V88" s="226">
        <f t="shared" ca="1" si="29"/>
        <v>0</v>
      </c>
      <c r="W88" s="226">
        <f t="shared" ca="1" si="29"/>
        <v>0</v>
      </c>
      <c r="X88" s="226">
        <f t="shared" ca="1" si="29"/>
        <v>0</v>
      </c>
      <c r="Y88" s="226">
        <f t="shared" ca="1" si="29"/>
        <v>0</v>
      </c>
      <c r="Z88" s="226">
        <f t="shared" ca="1" si="29"/>
        <v>0</v>
      </c>
      <c r="AA88" s="226">
        <f t="shared" ca="1" si="29"/>
        <v>0</v>
      </c>
      <c r="AB88" s="435">
        <f t="shared" ca="1" si="28"/>
        <v>-896.77753289616135</v>
      </c>
      <c r="AC88" s="463">
        <f ca="1">IF('Project &amp; Investor Returns'!$I$3=0,F88+NPV(Disc,G88:AA88),E88+NPV(Disc,F88:AA88))</f>
        <v>-278.20364202500303</v>
      </c>
      <c r="AG88" s="80"/>
    </row>
    <row r="89" spans="1:33">
      <c r="A89" s="20"/>
      <c r="B89" s="15" t="s">
        <v>1071</v>
      </c>
      <c r="D89" s="161"/>
      <c r="E89" s="37">
        <f>IF(E7=YEAR(Assm!$AB$94),-Assm!$AB$101,0)</f>
        <v>0</v>
      </c>
      <c r="F89" s="226">
        <f>IF(F7=YEAR(Assm!$AB$94),-Assm!$AB$101,0)</f>
        <v>0</v>
      </c>
      <c r="G89" s="226">
        <f>IF(G7=YEAR(Assm!$AB$94),-Assm!$AB$101,0)</f>
        <v>0</v>
      </c>
      <c r="H89" s="226">
        <f>IF(H7=YEAR(Assm!$AB$94),-Assm!$AB$101,0)</f>
        <v>0</v>
      </c>
      <c r="I89" s="226">
        <f>IF(I7=YEAR(Assm!$AB$94),-Assm!$AB$101,0)</f>
        <v>0</v>
      </c>
      <c r="J89" s="226">
        <f>IF(J7=YEAR(Assm!$AB$94),-Assm!$AB$101,0)</f>
        <v>0</v>
      </c>
      <c r="K89" s="226">
        <f>IF(K7=YEAR(Assm!$AB$94),-Assm!$AB$101,0)</f>
        <v>0</v>
      </c>
      <c r="L89" s="226">
        <f>IF(L7=YEAR(Assm!$AB$94),-Assm!$AB$101,0)</f>
        <v>0</v>
      </c>
      <c r="M89" s="226">
        <f>IF(M7=YEAR(Assm!$AB$94),-Assm!$AB$101,0)</f>
        <v>0</v>
      </c>
      <c r="N89" s="226">
        <f>IF(N7=YEAR(Assm!$AB$94),-Assm!$AB$101,0)</f>
        <v>0</v>
      </c>
      <c r="O89" s="226">
        <f>IF(O7=YEAR(Assm!$AB$94),-Assm!$AB$101,0)</f>
        <v>0</v>
      </c>
      <c r="P89" s="226">
        <f>IF(P7=YEAR(Assm!$AB$94),-Assm!$AB$101,0)</f>
        <v>0</v>
      </c>
      <c r="Q89" s="226">
        <f>IF(Q7=YEAR(Assm!$AB$94),-Assm!$AB$101,0)</f>
        <v>0</v>
      </c>
      <c r="R89" s="226">
        <f>IF(R7=YEAR(Assm!$AB$94),-Assm!$AB$101,0)</f>
        <v>0</v>
      </c>
      <c r="S89" s="226">
        <f>IF(S7=YEAR(Assm!$AB$94),-Assm!$AB$101,0)</f>
        <v>0</v>
      </c>
      <c r="T89" s="226">
        <f>IF(T7=YEAR(Assm!$AB$94),-Assm!$AB$101,0)</f>
        <v>0</v>
      </c>
      <c r="U89" s="226">
        <f>IF(U7=YEAR(Assm!$AB$94),-Assm!$AB$101,0)</f>
        <v>0</v>
      </c>
      <c r="V89" s="226">
        <f>IF(V7=YEAR(Assm!$AB$94),-Assm!$AB$101,0)</f>
        <v>0</v>
      </c>
      <c r="W89" s="226">
        <f>IF(W7=YEAR(Assm!$AB$94),-Assm!$AB$101,0)</f>
        <v>0</v>
      </c>
      <c r="X89" s="226">
        <f>IF(X7=YEAR(Assm!$AB$94),-Assm!$AB$101,0)</f>
        <v>0</v>
      </c>
      <c r="Y89" s="226">
        <f>IF(Y7=YEAR(Assm!$AB$94),-Assm!$AB$101,0)</f>
        <v>0</v>
      </c>
      <c r="Z89" s="226">
        <f>IF(Z7=YEAR(Assm!$AB$94),-Assm!$AB$101,0)</f>
        <v>0</v>
      </c>
      <c r="AA89" s="226">
        <f>IF(AA7=YEAR(Assm!$AB$94),-Assm!$AB$101,0)</f>
        <v>0</v>
      </c>
      <c r="AB89" s="435">
        <f>SUM(E89:AA89)</f>
        <v>0</v>
      </c>
      <c r="AC89" s="463">
        <f ca="1">IF('Project &amp; Investor Returns'!$I$3=0,F89+NPV(Disc,G89:AA89),E89+NPV(Disc,F89:AA89))</f>
        <v>0</v>
      </c>
      <c r="AG89" s="80"/>
    </row>
    <row r="90" spans="1:33" s="75" customFormat="1">
      <c r="A90" s="456"/>
      <c r="B90" s="15" t="s">
        <v>169</v>
      </c>
      <c r="C90" s="212">
        <f>USTax</f>
        <v>0.37</v>
      </c>
      <c r="D90" s="79"/>
      <c r="E90" s="142">
        <f ca="1">-SUM(E87:E88)*USTax</f>
        <v>0</v>
      </c>
      <c r="F90" s="142">
        <f t="shared" ref="F90:AA90" ca="1" si="30">-SUM(F87:F88)*USTax</f>
        <v>0</v>
      </c>
      <c r="G90" s="142">
        <f t="shared" ca="1" si="30"/>
        <v>0</v>
      </c>
      <c r="H90" s="142">
        <f t="shared" ca="1" si="30"/>
        <v>0</v>
      </c>
      <c r="I90" s="142">
        <f t="shared" ca="1" si="30"/>
        <v>-105.93859934790304</v>
      </c>
      <c r="J90" s="142">
        <f t="shared" ca="1" si="30"/>
        <v>-251.49511547040362</v>
      </c>
      <c r="K90" s="142">
        <f t="shared" ca="1" si="30"/>
        <v>-239.73641710683722</v>
      </c>
      <c r="L90" s="142">
        <f t="shared" ca="1" si="30"/>
        <v>-226.399407455421</v>
      </c>
      <c r="M90" s="142">
        <f t="shared" ca="1" si="30"/>
        <v>-211.27223768354349</v>
      </c>
      <c r="N90" s="142">
        <f t="shared" ca="1" si="30"/>
        <v>-194.11462354903577</v>
      </c>
      <c r="O90" s="142">
        <f t="shared" ca="1" si="30"/>
        <v>-174.65402865732372</v>
      </c>
      <c r="P90" s="142">
        <f t="shared" ca="1" si="30"/>
        <v>-152.58133541627168</v>
      </c>
      <c r="Q90" s="142">
        <f t="shared" ca="1" si="30"/>
        <v>-127.54593492493937</v>
      </c>
      <c r="R90" s="142">
        <f t="shared" ca="1" si="30"/>
        <v>-99.150157802658029</v>
      </c>
      <c r="S90" s="142">
        <f t="shared" ca="1" si="30"/>
        <v>-66.942957496138504</v>
      </c>
      <c r="T90" s="142">
        <f t="shared" ca="1" si="30"/>
        <v>-30.412745728476409</v>
      </c>
      <c r="U90" s="142">
        <f t="shared" ca="1" si="30"/>
        <v>0</v>
      </c>
      <c r="V90" s="142">
        <f t="shared" ca="1" si="30"/>
        <v>0</v>
      </c>
      <c r="W90" s="142">
        <f t="shared" ca="1" si="30"/>
        <v>0</v>
      </c>
      <c r="X90" s="142">
        <f t="shared" ca="1" si="30"/>
        <v>0</v>
      </c>
      <c r="Y90" s="142">
        <f t="shared" ca="1" si="30"/>
        <v>0</v>
      </c>
      <c r="Z90" s="142">
        <f t="shared" ca="1" si="30"/>
        <v>0</v>
      </c>
      <c r="AA90" s="142">
        <f t="shared" ca="1" si="30"/>
        <v>0</v>
      </c>
      <c r="AB90" s="436">
        <f t="shared" ca="1" si="28"/>
        <v>-1880.243560638952</v>
      </c>
      <c r="AC90" s="464">
        <f ca="1">IF('Project &amp; Investor Returns'!$I$3=0,F90+NPV(Disc,G90:AA90),E90+NPV(Disc,F90:AA90))</f>
        <v>-583.30030277908986</v>
      </c>
      <c r="AD90" s="15"/>
      <c r="AG90" s="80"/>
    </row>
    <row r="91" spans="1:33" s="81" customFormat="1">
      <c r="A91" s="458"/>
      <c r="B91" s="15" t="s">
        <v>170</v>
      </c>
      <c r="C91" s="15"/>
      <c r="D91" s="15"/>
      <c r="E91" s="37">
        <f t="shared" ref="E91:AA91" ca="1" si="31">SUM(E84:E90)</f>
        <v>0</v>
      </c>
      <c r="F91" s="37">
        <f t="shared" ca="1" si="31"/>
        <v>-14880.547375692018</v>
      </c>
      <c r="G91" s="37">
        <f t="shared" ca="1" si="31"/>
        <v>-6875.8743256605458</v>
      </c>
      <c r="H91" s="37">
        <f t="shared" ca="1" si="31"/>
        <v>6179.689649533032</v>
      </c>
      <c r="I91" s="37">
        <f t="shared" ca="1" si="31"/>
        <v>537.74295634493058</v>
      </c>
      <c r="J91" s="37">
        <f t="shared" ca="1" si="31"/>
        <v>848.53812337280169</v>
      </c>
      <c r="K91" s="37">
        <f t="shared" ca="1" si="31"/>
        <v>1429.2695323667581</v>
      </c>
      <c r="L91" s="37">
        <f t="shared" ca="1" si="31"/>
        <v>-309.70257745849301</v>
      </c>
      <c r="M91" s="37">
        <f t="shared" ca="1" si="31"/>
        <v>2287.7032211912492</v>
      </c>
      <c r="N91" s="37">
        <f t="shared" ca="1" si="31"/>
        <v>2441.2253450847415</v>
      </c>
      <c r="O91" s="37">
        <f t="shared" ca="1" si="31"/>
        <v>2118.3358356809467</v>
      </c>
      <c r="P91" s="37">
        <f t="shared" ca="1" si="31"/>
        <v>1958.9921993397677</v>
      </c>
      <c r="Q91" s="37">
        <f t="shared" ca="1" si="31"/>
        <v>2238.8994602140233</v>
      </c>
      <c r="R91" s="37">
        <f t="shared" ca="1" si="31"/>
        <v>2394.6932381008614</v>
      </c>
      <c r="S91" s="37">
        <f t="shared" ca="1" si="31"/>
        <v>1872.8053834048499</v>
      </c>
      <c r="T91" s="37">
        <f t="shared" ca="1" si="31"/>
        <v>1716.0880781588969</v>
      </c>
      <c r="U91" s="37">
        <f t="shared" ca="1" si="31"/>
        <v>2696.4695842772035</v>
      </c>
      <c r="V91" s="37">
        <f t="shared" ca="1" si="31"/>
        <v>1019.2074754733317</v>
      </c>
      <c r="W91" s="37">
        <f t="shared" ca="1" si="31"/>
        <v>-352.65063711471481</v>
      </c>
      <c r="X91" s="37">
        <f t="shared" ca="1" si="31"/>
        <v>656.73229255323804</v>
      </c>
      <c r="Y91" s="37">
        <f t="shared" ca="1" si="31"/>
        <v>462.910467246179</v>
      </c>
      <c r="Z91" s="37">
        <f t="shared" ca="1" si="31"/>
        <v>632.58708206657946</v>
      </c>
      <c r="AA91" s="37">
        <f t="shared" ca="1" si="31"/>
        <v>775.40593809444863</v>
      </c>
      <c r="AB91" s="435">
        <f t="shared" ca="1" si="28"/>
        <v>9848.5209465780699</v>
      </c>
      <c r="AC91" s="435">
        <f ca="1">SUM(AC84:AC90)</f>
        <v>-11690.744387606939</v>
      </c>
      <c r="AD91" s="15"/>
    </row>
    <row r="92" spans="1:33" s="81" customFormat="1">
      <c r="A92" s="458"/>
      <c r="B92" s="15"/>
      <c r="C92" s="15"/>
      <c r="D92" s="15"/>
      <c r="E92" s="1331">
        <f ca="1">SUM(E85:E90)</f>
        <v>0</v>
      </c>
      <c r="F92" s="1331">
        <f t="shared" ref="F92:AC92" ca="1" si="32">SUM(F85:F90)</f>
        <v>0</v>
      </c>
      <c r="G92" s="1331">
        <f t="shared" ca="1" si="32"/>
        <v>0</v>
      </c>
      <c r="H92" s="1331">
        <f t="shared" ca="1" si="32"/>
        <v>-4671.0949383385587</v>
      </c>
      <c r="I92" s="1331">
        <f t="shared" ca="1" si="32"/>
        <v>-1367.2497563260615</v>
      </c>
      <c r="J92" s="1331">
        <f t="shared" ca="1" si="32"/>
        <v>706.7727114374477</v>
      </c>
      <c r="K92" s="1331">
        <f t="shared" ca="1" si="32"/>
        <v>724.13969200939232</v>
      </c>
      <c r="L92" s="1331">
        <f t="shared" ca="1" si="32"/>
        <v>743.83775554860608</v>
      </c>
      <c r="M92" s="1331">
        <f t="shared" ca="1" si="32"/>
        <v>766.17979166637133</v>
      </c>
      <c r="N92" s="1331">
        <f t="shared" ca="1" si="32"/>
        <v>791.52068758204314</v>
      </c>
      <c r="O92" s="1331">
        <f t="shared" ca="1" si="32"/>
        <v>820.26296525199598</v>
      </c>
      <c r="P92" s="1331">
        <f t="shared" ca="1" si="32"/>
        <v>852.8631751421982</v>
      </c>
      <c r="Q92" s="1331">
        <f t="shared" ca="1" si="32"/>
        <v>889.83914820491293</v>
      </c>
      <c r="R92" s="1331">
        <f t="shared" ca="1" si="32"/>
        <v>931.77822125197031</v>
      </c>
      <c r="S92" s="1331">
        <f t="shared" ca="1" si="32"/>
        <v>979.34656637876913</v>
      </c>
      <c r="T92" s="1331">
        <f t="shared" ca="1" si="32"/>
        <v>1033.2997726302106</v>
      </c>
      <c r="U92" s="1331">
        <f t="shared" ca="1" si="32"/>
        <v>0</v>
      </c>
      <c r="V92" s="1331">
        <f t="shared" ca="1" si="32"/>
        <v>0</v>
      </c>
      <c r="W92" s="1331">
        <f t="shared" ca="1" si="32"/>
        <v>0</v>
      </c>
      <c r="X92" s="1331">
        <f t="shared" ca="1" si="32"/>
        <v>0</v>
      </c>
      <c r="Y92" s="1331">
        <f t="shared" ca="1" si="32"/>
        <v>0</v>
      </c>
      <c r="Z92" s="1331">
        <f t="shared" ca="1" si="32"/>
        <v>0</v>
      </c>
      <c r="AA92" s="1331">
        <f t="shared" ca="1" si="32"/>
        <v>0</v>
      </c>
      <c r="AB92" s="1333">
        <f t="shared" ca="1" si="32"/>
        <v>3201.4957924392975</v>
      </c>
      <c r="AC92" s="1333">
        <f t="shared" ca="1" si="32"/>
        <v>-2007.9612994936394</v>
      </c>
      <c r="AD92" s="15"/>
    </row>
    <row r="93" spans="1:33">
      <c r="A93" s="20"/>
      <c r="B93" s="15" t="s">
        <v>472</v>
      </c>
      <c r="E93" s="221">
        <f ca="1">$E91</f>
        <v>0</v>
      </c>
      <c r="F93" s="221">
        <f ca="1">IF('Project &amp; Investor Returns'!$I$3=0,$F91,$E91+NPV(Disc,$F91:F91))</f>
        <v>-14880.547375692018</v>
      </c>
      <c r="G93" s="37">
        <f ca="1">IF('Project &amp; Investor Returns'!$I$3=0,$F91+NPV(Disc, $G91:G91),$E91+NPV(Disc,$F91:G91))</f>
        <v>-20658.593027507603</v>
      </c>
      <c r="H93" s="37">
        <f ca="1">IF('Project &amp; Investor Returns'!$I$3=0,$F91+NPV(Disc, $G91:H91),$E91+NPV(Disc,$F91:H91))</f>
        <v>-16294.713605480181</v>
      </c>
      <c r="I93" s="37">
        <f ca="1">IF('Project &amp; Investor Returns'!$I$3=0,$F91+NPV(Disc, $G91:I91),$E91+NPV(Disc,$F91:I91))</f>
        <v>-15975.608431223669</v>
      </c>
      <c r="J93" s="37">
        <f ca="1">IF('Project &amp; Investor Returns'!$I$3=0,$F91+NPV(Disc, $G91:J91),$E91+NPV(Disc,$F91:J91))</f>
        <v>-15552.468984719353</v>
      </c>
      <c r="K93" s="37">
        <f ca="1">IF('Project &amp; Investor Returns'!$I$3=0,$F91+NPV(Disc, $G91:K91),$E91+NPV(Disc,$F91:K91))</f>
        <v>-14953.534486290209</v>
      </c>
      <c r="L93" s="37">
        <f ca="1">IF('Project &amp; Investor Returns'!$I$3=0,$F91+NPV(Disc, $G91:L91),$E91+NPV(Disc,$F91:L91))</f>
        <v>-15062.593873063061</v>
      </c>
      <c r="M93" s="37">
        <f ca="1">IF('Project &amp; Investor Returns'!$I$3=0,$F91+NPV(Disc, $G91:M91),$E91+NPV(Disc,$F91:M91))</f>
        <v>-14385.621487131961</v>
      </c>
      <c r="N93" s="37">
        <f ca="1">IF('Project &amp; Investor Returns'!$I$3=0,$F91+NPV(Disc, $G91:N91),$E91+NPV(Disc,$F91:N91))</f>
        <v>-13778.560702269173</v>
      </c>
      <c r="O93" s="37">
        <f ca="1">IF('Project &amp; Investor Returns'!$I$3=0,$F91+NPV(Disc, $G91:O91),$E91+NPV(Disc,$F91:O91))</f>
        <v>-13335.898785055322</v>
      </c>
      <c r="P93" s="37">
        <f ca="1">IF('Project &amp; Investor Returns'!$I$3=0,$F91+NPV(Disc, $G91:P91),$E91+NPV(Disc,$F91:P91))</f>
        <v>-12991.895101700828</v>
      </c>
      <c r="Q93" s="37">
        <f ca="1">IF('Project &amp; Investor Returns'!$I$3=0,$F91+NPV(Disc, $G91:Q91),$E91+NPV(Disc,$F91:Q91))</f>
        <v>-12661.511855296221</v>
      </c>
      <c r="R93" s="37">
        <f ca="1">IF('Project &amp; Investor Returns'!$I$3=0,$F91+NPV(Disc, $G91:R91),$E91+NPV(Disc,$F91:R91))</f>
        <v>-12364.55978928966</v>
      </c>
      <c r="S93" s="37">
        <f ca="1">IF('Project &amp; Investor Returns'!$I$3=0,$F91+NPV(Disc, $G91:S91),$E91+NPV(Disc,$F91:S91))</f>
        <v>-12169.403680128029</v>
      </c>
      <c r="T93" s="37">
        <f ca="1">IF('Project &amp; Investor Returns'!$I$3=0,$F91+NPV(Disc, $G91:T91),$E91+NPV(Disc,$F91:T91))</f>
        <v>-12019.130279394794</v>
      </c>
      <c r="U93" s="37">
        <f ca="1">IF('Project &amp; Investor Returns'!$I$3=0,$F91+NPV(Disc, $G91:U91),$E91+NPV(Disc,$F91:U91))</f>
        <v>-11820.707693581207</v>
      </c>
      <c r="V93" s="37">
        <f ca="1">IF('Project &amp; Investor Returns'!$I$3=0,$F91+NPV(Disc, $G91:V91),$E91+NPV(Disc,$F91:V91))</f>
        <v>-11757.682931034375</v>
      </c>
      <c r="W93" s="37">
        <f ca="1">IF('Project &amp; Investor Returns'!$I$3=0,$F91+NPV(Disc, $G91:W91),$E91+NPV(Disc,$F91:W91))</f>
        <v>-11776.008030015852</v>
      </c>
      <c r="X93" s="37">
        <f ca="1">IF('Project &amp; Investor Returns'!$I$3=0,$F91+NPV(Disc, $G91:X91),$E91+NPV(Disc,$F91:X91))</f>
        <v>-11747.330412593476</v>
      </c>
      <c r="Y93" s="37">
        <f ca="1">IF('Project &amp; Investor Returns'!$I$3=0,$F91+NPV(Disc, $G91:Y91),$E91+NPV(Disc,$F91:Y91))</f>
        <v>-11730.343880084129</v>
      </c>
      <c r="Z93" s="37">
        <f ca="1">IF('Project &amp; Investor Returns'!$I$3=0,$F91+NPV(Disc, $G91:Z91),$E91+NPV(Disc,$F91:Z91))</f>
        <v>-11710.837301971113</v>
      </c>
      <c r="AA93" s="37">
        <f ca="1">IF('Project &amp; Investor Returns'!$I$3=0,$F91+NPV(Disc, $G91:AA91),$E91+NPV(Disc,$F91:AA91))</f>
        <v>-11690.744387606941</v>
      </c>
      <c r="AB93" s="466"/>
      <c r="AC93" s="435">
        <f ca="1">AC91</f>
        <v>-11690.744387606939</v>
      </c>
      <c r="AD93" s="1331">
        <f ca="1">NPV(Disc,F92:AA92)+E92</f>
        <v>-1687.3624365492769</v>
      </c>
    </row>
    <row r="94" spans="1:33">
      <c r="A94" s="20"/>
      <c r="B94" s="15" t="s">
        <v>473</v>
      </c>
      <c r="E94" s="32" t="e">
        <f ca="1">IRR($E91:E91,-0.9)</f>
        <v>#NUM!</v>
      </c>
      <c r="F94" s="32" t="e">
        <f ca="1">IRR($E91:F91,-0.9)</f>
        <v>#NUM!</v>
      </c>
      <c r="G94" s="32" t="e">
        <f ca="1">IRR($E91:G91,-0.9)</f>
        <v>#NUM!</v>
      </c>
      <c r="H94" s="32">
        <f ca="1">IRR($E91:H91,-0.9)</f>
        <v>-0.54644533109963611</v>
      </c>
      <c r="I94" s="32">
        <f ca="1">IRR($E91:I91,-0.9)</f>
        <v>-0.49594572680177373</v>
      </c>
      <c r="J94" s="32">
        <f ca="1">IRR($E91:J91,-0.9)</f>
        <v>-0.40145315257802999</v>
      </c>
      <c r="K94" s="32">
        <f ca="1">IRR($E91:K91,-0.9)</f>
        <v>-0.28543349084082209</v>
      </c>
      <c r="L94" s="32">
        <f ca="1">IRR($E91:L91,-0.9)</f>
        <v>-0.81095768540474267</v>
      </c>
      <c r="M94" s="32">
        <f ca="1">IRR($E91:M91,-0.9)</f>
        <v>-0.17318501461081037</v>
      </c>
      <c r="N94" s="32">
        <f ca="1">IRR($E91:N91,-0.9)</f>
        <v>-0.10488843692985676</v>
      </c>
      <c r="O94" s="32">
        <f ca="1">IRR($E91:O91,-0.9)</f>
        <v>-6.6144862484258271E-2</v>
      </c>
      <c r="P94" s="32">
        <f ca="1">IRR($E91:P91,-0.9)</f>
        <v>-3.9530438922115017E-2</v>
      </c>
      <c r="Q94" s="32">
        <f ca="1">IRR($E91:Q91,-0.9)</f>
        <v>-1.6336394875125251E-2</v>
      </c>
      <c r="R94" s="32">
        <f ca="1">IRR($E91:R91,-0.9)</f>
        <v>2.6082164665345788E-3</v>
      </c>
      <c r="S94" s="32">
        <f ca="1">IRR($E91:S91,-0.9)</f>
        <v>1.4419447845335628E-2</v>
      </c>
      <c r="T94" s="32">
        <f ca="1">IRR($E91:T91,-0.9)</f>
        <v>2.3448944972314232E-2</v>
      </c>
      <c r="U94" s="32">
        <f ca="1">IRR($E91:U91,-0.9)</f>
        <v>3.5008642352104415E-2</v>
      </c>
      <c r="V94" s="32">
        <f ca="1">IRR($E91:V91,-0.9)</f>
        <v>3.8686602985886033E-2</v>
      </c>
      <c r="W94" s="32">
        <f ca="1">IRR($E91:W91,-0.9)</f>
        <v>-0.79042310360436918</v>
      </c>
      <c r="X94" s="32">
        <f ca="1">IRR($E91:X91,-0.9)</f>
        <v>3.961322634738744E-2</v>
      </c>
      <c r="Y94" s="32">
        <f ca="1">IRR($E91:Y91,-0.9)</f>
        <v>4.0994809613599206E-2</v>
      </c>
      <c r="Z94" s="32">
        <f ca="1">IRR($E91:Z91,-0.9)</f>
        <v>4.2736899404054333E-2</v>
      </c>
      <c r="AA94" s="32">
        <f ca="1">IRR($E91:AA91,-0.9)</f>
        <v>4.4684069858470898E-2</v>
      </c>
      <c r="AB94" s="465"/>
      <c r="AC94" s="471">
        <f ca="1">IRR(E91:AA91,-0.9)</f>
        <v>4.4684069858470898E-2</v>
      </c>
      <c r="AD94" s="1337">
        <f ca="1">IF(ISERROR(IRR(E92:AA92,-0.9)),"Infinite",IRR(E92:AA92,-0.9))</f>
        <v>6.4100171130876779E-2</v>
      </c>
    </row>
    <row r="95" spans="1:33" ht="12.75" customHeight="1">
      <c r="A95" s="20"/>
      <c r="C95" s="833" t="s">
        <v>498</v>
      </c>
      <c r="D95" s="833" t="s">
        <v>499</v>
      </c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465"/>
      <c r="AC95" s="430"/>
    </row>
    <row r="96" spans="1:33">
      <c r="A96" s="20"/>
      <c r="B96" s="243" t="str">
        <f ca="1">CONCATENATE("Transredes NPV (w/ Subdebt) @ ",TEXT(Disc,"0.0%"))</f>
        <v>Transredes NPV (w/ Subdebt) @ 19.0%</v>
      </c>
      <c r="C96" s="1329">
        <f ca="1">AC93</f>
        <v>-11690.744387606939</v>
      </c>
      <c r="D96" s="452">
        <f ca="1">AD93</f>
        <v>-1687.3624365492769</v>
      </c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465"/>
      <c r="AC96" s="430"/>
    </row>
    <row r="97" spans="1:29" ht="13.5" thickBot="1">
      <c r="A97" s="48"/>
      <c r="B97" s="462" t="s">
        <v>262</v>
      </c>
      <c r="C97" s="1332">
        <f ca="1">AC94</f>
        <v>4.4684069858470898E-2</v>
      </c>
      <c r="D97" s="1340">
        <f ca="1">AD94</f>
        <v>6.4100171130876779E-2</v>
      </c>
      <c r="E97" s="49"/>
      <c r="F97" s="713"/>
      <c r="G97" s="713"/>
      <c r="H97" s="713"/>
      <c r="I97" s="713"/>
      <c r="J97" s="713"/>
      <c r="K97" s="713"/>
      <c r="L97" s="713"/>
      <c r="M97" s="713"/>
      <c r="N97" s="713"/>
      <c r="O97" s="713"/>
      <c r="P97" s="713"/>
      <c r="Q97" s="713"/>
      <c r="R97" s="713"/>
      <c r="S97" s="713"/>
      <c r="T97" s="713"/>
      <c r="U97" s="713"/>
      <c r="V97" s="713"/>
      <c r="W97" s="713"/>
      <c r="X97" s="713"/>
      <c r="Y97" s="713"/>
      <c r="Z97" s="713"/>
      <c r="AA97" s="713"/>
      <c r="AB97" s="714"/>
      <c r="AC97" s="443"/>
    </row>
  </sheetData>
  <printOptions horizontalCentered="1"/>
  <pageMargins left="0.25" right="0.25" top="0.5" bottom="0.5" header="0.25" footer="0.25"/>
  <pageSetup scale="44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1">
    <pageSetUpPr autoPageBreaks="0" fitToPage="1"/>
  </sheetPr>
  <dimension ref="A1:AG46"/>
  <sheetViews>
    <sheetView showGridLines="0" zoomScale="90" workbookViewId="0">
      <selection activeCell="D42" sqref="D42"/>
    </sheetView>
  </sheetViews>
  <sheetFormatPr defaultRowHeight="12.75"/>
  <cols>
    <col min="1" max="1" width="8.7109375" style="15" customWidth="1"/>
    <col min="2" max="2" width="35.7109375" style="15" customWidth="1"/>
    <col min="3" max="3" width="11" style="15" customWidth="1"/>
    <col min="4" max="4" width="9.7109375" style="15" customWidth="1"/>
    <col min="5" max="5" width="7" style="15" customWidth="1"/>
    <col min="6" max="7" width="10.5703125" style="15" customWidth="1"/>
    <col min="8" max="11" width="10.5703125" style="15" bestFit="1" customWidth="1"/>
    <col min="12" max="12" width="9.5703125" style="15" bestFit="1" customWidth="1"/>
    <col min="13" max="27" width="9.7109375" style="15" customWidth="1"/>
    <col min="28" max="29" width="10.7109375" style="15" customWidth="1"/>
    <col min="30" max="30" width="9.140625" style="15"/>
    <col min="31" max="16384" width="9.140625" style="7"/>
  </cols>
  <sheetData>
    <row r="1" spans="1:33" s="1" customFormat="1" ht="15.75">
      <c r="A1" s="1137" t="str">
        <f>CONCATENATE(TOC!B2," ",TOC!B6)</f>
        <v>EMPRESSA PRODUTORA DE ENERGÍA LTDA (EPE) *** DRAFT COPY ***</v>
      </c>
      <c r="AC1" s="15"/>
      <c r="AD1" s="15"/>
    </row>
    <row r="2" spans="1:33" s="1" customFormat="1" ht="15.75">
      <c r="A2" s="1137" t="str">
        <f>TOC!B3</f>
        <v>480 MW POWER PLANT (CUIABA, BRAZIL)</v>
      </c>
      <c r="AC2" s="15"/>
      <c r="AD2" s="15"/>
    </row>
    <row r="3" spans="1:33" s="1" customFormat="1" ht="15">
      <c r="A3" s="118" t="str">
        <f>TOC!B4</f>
        <v>ENRON INTERNATIONAL</v>
      </c>
      <c r="AC3" s="15"/>
      <c r="AD3" s="15"/>
    </row>
    <row r="4" spans="1:33" s="1" customFormat="1" ht="15">
      <c r="A4" s="932" t="s">
        <v>1083</v>
      </c>
      <c r="B4" s="933"/>
      <c r="AC4" s="15"/>
      <c r="AD4" s="15"/>
    </row>
    <row r="5" spans="1:33" customFormat="1" ht="13.5" thickBo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5"/>
      <c r="AD5" s="15"/>
    </row>
    <row r="6" spans="1:33" s="15" customFormat="1">
      <c r="A6" s="412" t="s">
        <v>471</v>
      </c>
      <c r="B6" s="11"/>
      <c r="C6" s="11"/>
      <c r="D6" s="11"/>
      <c r="E6" s="11">
        <f t="shared" ref="E6:AA6" ca="1" si="0">IF(E$7&lt;YEAR(Startops1),0,D6+1)</f>
        <v>0</v>
      </c>
      <c r="F6" s="11">
        <f t="shared" ca="1" si="0"/>
        <v>0</v>
      </c>
      <c r="G6" s="11">
        <f t="shared" ca="1" si="0"/>
        <v>1</v>
      </c>
      <c r="H6" s="11">
        <f t="shared" ca="1" si="0"/>
        <v>2</v>
      </c>
      <c r="I6" s="11">
        <f t="shared" ca="1" si="0"/>
        <v>3</v>
      </c>
      <c r="J6" s="11">
        <f t="shared" ca="1" si="0"/>
        <v>4</v>
      </c>
      <c r="K6" s="11">
        <f t="shared" ca="1" si="0"/>
        <v>5</v>
      </c>
      <c r="L6" s="11">
        <f t="shared" ca="1" si="0"/>
        <v>6</v>
      </c>
      <c r="M6" s="11">
        <f t="shared" ca="1" si="0"/>
        <v>7</v>
      </c>
      <c r="N6" s="11">
        <f t="shared" ca="1" si="0"/>
        <v>8</v>
      </c>
      <c r="O6" s="11">
        <f t="shared" ca="1" si="0"/>
        <v>9</v>
      </c>
      <c r="P6" s="11">
        <f t="shared" ca="1" si="0"/>
        <v>10</v>
      </c>
      <c r="Q6" s="11">
        <f t="shared" ca="1" si="0"/>
        <v>11</v>
      </c>
      <c r="R6" s="11">
        <f t="shared" ca="1" si="0"/>
        <v>12</v>
      </c>
      <c r="S6" s="11">
        <f t="shared" ca="1" si="0"/>
        <v>13</v>
      </c>
      <c r="T6" s="11">
        <f t="shared" ca="1" si="0"/>
        <v>14</v>
      </c>
      <c r="U6" s="11">
        <f t="shared" ca="1" si="0"/>
        <v>15</v>
      </c>
      <c r="V6" s="11">
        <f t="shared" ca="1" si="0"/>
        <v>16</v>
      </c>
      <c r="W6" s="11">
        <f t="shared" ca="1" si="0"/>
        <v>17</v>
      </c>
      <c r="X6" s="11">
        <f t="shared" ca="1" si="0"/>
        <v>18</v>
      </c>
      <c r="Y6" s="11">
        <f t="shared" ca="1" si="0"/>
        <v>19</v>
      </c>
      <c r="Z6" s="11">
        <f t="shared" ca="1" si="0"/>
        <v>20</v>
      </c>
      <c r="AA6" s="11">
        <f t="shared" ca="1" si="0"/>
        <v>21</v>
      </c>
      <c r="AB6" s="424"/>
      <c r="AC6" s="470" t="s">
        <v>414</v>
      </c>
    </row>
    <row r="7" spans="1:33" s="15" customFormat="1" ht="13.5" thickBot="1">
      <c r="A7" s="455" t="s">
        <v>444</v>
      </c>
      <c r="B7" s="49"/>
      <c r="C7" s="49"/>
      <c r="D7" s="49"/>
      <c r="E7" s="83">
        <f>'Project &amp; Investor Returns'!E7</f>
        <v>1997</v>
      </c>
      <c r="F7" s="83">
        <f>'Project &amp; Investor Returns'!F7</f>
        <v>1998</v>
      </c>
      <c r="G7" s="83">
        <f>'Project &amp; Investor Returns'!G7</f>
        <v>1999</v>
      </c>
      <c r="H7" s="83">
        <f>'Project &amp; Investor Returns'!H7</f>
        <v>2000</v>
      </c>
      <c r="I7" s="83">
        <f>'Project &amp; Investor Returns'!I7</f>
        <v>2001</v>
      </c>
      <c r="J7" s="83">
        <f>'Project &amp; Investor Returns'!J7</f>
        <v>2002</v>
      </c>
      <c r="K7" s="83">
        <f>'Project &amp; Investor Returns'!K7</f>
        <v>2003</v>
      </c>
      <c r="L7" s="83">
        <f>'Project &amp; Investor Returns'!L7</f>
        <v>2004</v>
      </c>
      <c r="M7" s="83">
        <f>'Project &amp; Investor Returns'!M7</f>
        <v>2005</v>
      </c>
      <c r="N7" s="83">
        <f>'Project &amp; Investor Returns'!N7</f>
        <v>2006</v>
      </c>
      <c r="O7" s="83">
        <f>'Project &amp; Investor Returns'!O7</f>
        <v>2007</v>
      </c>
      <c r="P7" s="83">
        <f>'Project &amp; Investor Returns'!P7</f>
        <v>2008</v>
      </c>
      <c r="Q7" s="83">
        <f>'Project &amp; Investor Returns'!Q7</f>
        <v>2009</v>
      </c>
      <c r="R7" s="83">
        <f>'Project &amp; Investor Returns'!R7</f>
        <v>2010</v>
      </c>
      <c r="S7" s="83">
        <f>'Project &amp; Investor Returns'!S7</f>
        <v>2011</v>
      </c>
      <c r="T7" s="83">
        <f>'Project &amp; Investor Returns'!T7</f>
        <v>2012</v>
      </c>
      <c r="U7" s="83">
        <f>'Project &amp; Investor Returns'!U7</f>
        <v>2013</v>
      </c>
      <c r="V7" s="83">
        <f>'Project &amp; Investor Returns'!V7</f>
        <v>2014</v>
      </c>
      <c r="W7" s="83">
        <f>'Project &amp; Investor Returns'!W7</f>
        <v>2015</v>
      </c>
      <c r="X7" s="83">
        <f>'Project &amp; Investor Returns'!X7</f>
        <v>2016</v>
      </c>
      <c r="Y7" s="83">
        <f>'Project &amp; Investor Returns'!Y7</f>
        <v>2017</v>
      </c>
      <c r="Z7" s="83">
        <f>'Project &amp; Investor Returns'!Z7</f>
        <v>2018</v>
      </c>
      <c r="AA7" s="83">
        <f>'Project &amp; Investor Returns'!AA7</f>
        <v>2019</v>
      </c>
      <c r="AB7" s="425" t="s">
        <v>441</v>
      </c>
      <c r="AC7" s="425" t="s">
        <v>1508</v>
      </c>
    </row>
    <row r="8" spans="1:33" s="15" customFormat="1">
      <c r="A8" s="412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424"/>
      <c r="AC8" s="424"/>
    </row>
    <row r="9" spans="1:33" s="15" customFormat="1">
      <c r="A9" s="918" t="s">
        <v>1080</v>
      </c>
      <c r="D9" s="3"/>
      <c r="AB9" s="430"/>
      <c r="AC9" s="431"/>
    </row>
    <row r="10" spans="1:33">
      <c r="A10" s="1549">
        <v>1</v>
      </c>
      <c r="B10" s="15" t="s">
        <v>781</v>
      </c>
      <c r="C10" s="766">
        <f ca="1">-F10</f>
        <v>92793.570204919088</v>
      </c>
      <c r="E10" s="37">
        <f ca="1">'Project &amp; Investor Returns'!E13*$A$10</f>
        <v>0</v>
      </c>
      <c r="F10" s="37">
        <f ca="1">'Project &amp; Investor Returns'!F13*$A$10</f>
        <v>-92793.570204919088</v>
      </c>
      <c r="G10" s="37">
        <f ca="1">'Project &amp; Investor Returns'!G13*$A$10</f>
        <v>0</v>
      </c>
      <c r="H10" s="221">
        <f ca="1">-C10</f>
        <v>-92793.570204919088</v>
      </c>
      <c r="I10" s="37">
        <f ca="1">'Project &amp; Investor Returns'!I13*$A$10</f>
        <v>0</v>
      </c>
      <c r="J10" s="37">
        <f ca="1">'Project &amp; Investor Returns'!J13*$A$10</f>
        <v>0</v>
      </c>
      <c r="K10" s="37">
        <f ca="1">'Project &amp; Investor Returns'!K13*$A$10</f>
        <v>0</v>
      </c>
      <c r="L10" s="37">
        <f ca="1">'Project &amp; Investor Returns'!L13*$A$10</f>
        <v>0</v>
      </c>
      <c r="M10" s="37">
        <f ca="1">'Project &amp; Investor Returns'!M13*$A$10</f>
        <v>0</v>
      </c>
      <c r="N10" s="37">
        <f ca="1">'Project &amp; Investor Returns'!N13*$A$10</f>
        <v>0</v>
      </c>
      <c r="O10" s="37">
        <f ca="1">'Project &amp; Investor Returns'!O13*$A$10</f>
        <v>0</v>
      </c>
      <c r="P10" s="37">
        <f ca="1">'Project &amp; Investor Returns'!P13*$A$10</f>
        <v>0</v>
      </c>
      <c r="Q10" s="37">
        <f ca="1">'Project &amp; Investor Returns'!Q13*$A$10</f>
        <v>0</v>
      </c>
      <c r="R10" s="37">
        <f ca="1">'Project &amp; Investor Returns'!R13*$A$10</f>
        <v>0</v>
      </c>
      <c r="S10" s="37">
        <f ca="1">'Project &amp; Investor Returns'!S13*$A$10</f>
        <v>0</v>
      </c>
      <c r="T10" s="37">
        <f ca="1">'Project &amp; Investor Returns'!T13*$A$10</f>
        <v>0</v>
      </c>
      <c r="U10" s="37">
        <f ca="1">'Project &amp; Investor Returns'!U13*$A$10</f>
        <v>0</v>
      </c>
      <c r="V10" s="37">
        <f ca="1">'Project &amp; Investor Returns'!V13*$A$10</f>
        <v>0</v>
      </c>
      <c r="W10" s="37">
        <f ca="1">'Project &amp; Investor Returns'!W13*$A$10</f>
        <v>0</v>
      </c>
      <c r="X10" s="37">
        <f ca="1">'Project &amp; Investor Returns'!X13*$A$10</f>
        <v>0</v>
      </c>
      <c r="Y10" s="37">
        <f ca="1">'Project &amp; Investor Returns'!Y13*$A$10</f>
        <v>0</v>
      </c>
      <c r="Z10" s="37">
        <f ca="1">'Project &amp; Investor Returns'!Z13*$A$10</f>
        <v>0</v>
      </c>
      <c r="AA10" s="37">
        <f ca="1">'Project &amp; Investor Returns'!AA13*$A$10</f>
        <v>0</v>
      </c>
      <c r="AB10" s="435">
        <f t="shared" ref="AB10:AB17" ca="1" si="1">SUM(E10:AA10)</f>
        <v>-185587.14040983818</v>
      </c>
      <c r="AC10" s="463">
        <f ca="1">IF('Project &amp; Investor Returns'!$I$3=0,F10+NPV(Disc,G10:AA10),E10+NPV(Disc,F10:AA10))</f>
        <v>-158321.12490085801</v>
      </c>
    </row>
    <row r="11" spans="1:33">
      <c r="A11" s="457">
        <f>A10</f>
        <v>1</v>
      </c>
      <c r="B11" s="15" t="s">
        <v>1613</v>
      </c>
      <c r="E11" s="37">
        <f ca="1">'Project &amp; Investor Returns'!E14*$A$11</f>
        <v>0</v>
      </c>
      <c r="F11" s="37">
        <f ca="1">'Project &amp; Investor Returns'!F14*$A$11</f>
        <v>0</v>
      </c>
      <c r="G11" s="37">
        <f ca="1">'Project &amp; Investor Returns'!G14*$A$11</f>
        <v>0</v>
      </c>
      <c r="H11" s="37">
        <f ca="1">'Project &amp; Investor Returns'!H14*$A$11</f>
        <v>0</v>
      </c>
      <c r="I11" s="37">
        <f ca="1">'Project &amp; Investor Returns'!I14*$A$11</f>
        <v>0</v>
      </c>
      <c r="J11" s="37">
        <f ca="1">'Project &amp; Investor Returns'!J14*$A$11</f>
        <v>-4.5474735088646412E-13</v>
      </c>
      <c r="K11" s="37">
        <f ca="1">'Project &amp; Investor Returns'!K14*$A$11</f>
        <v>1.8189894035458565E-12</v>
      </c>
      <c r="L11" s="37">
        <f ca="1">'Project &amp; Investor Returns'!L14*$A$11</f>
        <v>0</v>
      </c>
      <c r="M11" s="37">
        <f ca="1">'Project &amp; Investor Returns'!M14*$A$11</f>
        <v>-1.8189894035458565E-12</v>
      </c>
      <c r="N11" s="37">
        <f ca="1">'Project &amp; Investor Returns'!N14*$A$11</f>
        <v>-1.8189894035458565E-12</v>
      </c>
      <c r="O11" s="37">
        <f ca="1">'Project &amp; Investor Returns'!O14*$A$11</f>
        <v>2297.0588723615965</v>
      </c>
      <c r="P11" s="37">
        <f ca="1">'Project &amp; Investor Returns'!P14*$A$11</f>
        <v>5944.7963565306381</v>
      </c>
      <c r="Q11" s="37">
        <f ca="1">'Project &amp; Investor Returns'!Q14*$A$11</f>
        <v>6215.4120682037083</v>
      </c>
      <c r="R11" s="37">
        <f ca="1">'Project &amp; Investor Returns'!R14*$A$11</f>
        <v>7153.9144703393649</v>
      </c>
      <c r="S11" s="37">
        <f ca="1">'Project &amp; Investor Returns'!S14*$A$11</f>
        <v>7772.6229549989557</v>
      </c>
      <c r="T11" s="37">
        <f ca="1">'Project &amp; Investor Returns'!T14*$A$11</f>
        <v>5510.8880678318901</v>
      </c>
      <c r="U11" s="37">
        <f ca="1">'Project &amp; Investor Returns'!U14*$A$11</f>
        <v>7093.2624647622633</v>
      </c>
      <c r="V11" s="37">
        <f ca="1">'Project &amp; Investor Returns'!V14*$A$11</f>
        <v>2410.5049231865432</v>
      </c>
      <c r="W11" s="37">
        <f ca="1">'Project &amp; Investor Returns'!W14*$A$11</f>
        <v>0</v>
      </c>
      <c r="X11" s="37">
        <f ca="1">'Project &amp; Investor Returns'!X14*$A$11</f>
        <v>0</v>
      </c>
      <c r="Y11" s="37">
        <f ca="1">'Project &amp; Investor Returns'!Y14*$A$11</f>
        <v>0</v>
      </c>
      <c r="Z11" s="37">
        <f ca="1">'Project &amp; Investor Returns'!Z14*$A$11</f>
        <v>1.8189894035458565E-12</v>
      </c>
      <c r="AA11" s="37">
        <f ca="1">'Project &amp; Investor Returns'!AA14*$A$11</f>
        <v>44618.28527209106</v>
      </c>
      <c r="AB11" s="435">
        <f t="shared" ca="1" si="1"/>
        <v>89016.745450306014</v>
      </c>
      <c r="AC11" s="463">
        <f ca="1">IF('Project &amp; Investor Returns'!$I$3=0,F11+NPV(Disc,G11:AA11),E11+NPV(Disc,F11:AA11))</f>
        <v>6447.9516494297604</v>
      </c>
    </row>
    <row r="12" spans="1:33">
      <c r="A12" s="457"/>
      <c r="B12" s="15" t="s">
        <v>906</v>
      </c>
      <c r="E12" s="37">
        <f ca="1">'Project &amp; Investor Returns'!E15*$A$11</f>
        <v>0</v>
      </c>
      <c r="F12" s="37">
        <f ca="1">'Project &amp; Investor Returns'!F15*$A$11</f>
        <v>0</v>
      </c>
      <c r="G12" s="37">
        <f ca="1">'Project &amp; Investor Returns'!G15*$A$11</f>
        <v>-1978.5080752796939</v>
      </c>
      <c r="H12" s="37">
        <f ca="1">'Project &amp; Investor Returns'!H15*$A$11</f>
        <v>3358.33879983726</v>
      </c>
      <c r="I12" s="37">
        <f ca="1">'Project &amp; Investor Returns'!I15*$A$11</f>
        <v>15292.099302756214</v>
      </c>
      <c r="J12" s="37">
        <f ca="1">'Project &amp; Investor Returns'!J15*$A$11</f>
        <v>1764.3222505152917</v>
      </c>
      <c r="K12" s="37">
        <f ca="1">'Project &amp; Investor Returns'!K15*$A$11</f>
        <v>4601.4709977706661</v>
      </c>
      <c r="L12" s="37">
        <f ca="1">'Project &amp; Investor Returns'!L15*$A$11</f>
        <v>-7557.4967242391249</v>
      </c>
      <c r="M12" s="37">
        <f ca="1">'Project &amp; Investor Returns'!M15*$A$11</f>
        <v>6357.2775341352935</v>
      </c>
      <c r="N12" s="37">
        <f ca="1">'Project &amp; Investor Returns'!N15*$A$11</f>
        <v>6443.3542858560977</v>
      </c>
      <c r="O12" s="37">
        <f ca="1">'Project &amp; Investor Returns'!O15*$A$11</f>
        <v>1798.9087956676231</v>
      </c>
      <c r="P12" s="37">
        <f ca="1">'Project &amp; Investor Returns'!P15*$A$11</f>
        <v>-2518.8166858842778</v>
      </c>
      <c r="Q12" s="37">
        <f ca="1">'Project &amp; Investor Returns'!Q15*$A$11</f>
        <v>-1145.3822044160261</v>
      </c>
      <c r="R12" s="37">
        <f ca="1">'Project &amp; Investor Returns'!R15*$A$11</f>
        <v>-2296.2438747794404</v>
      </c>
      <c r="S12" s="37">
        <f ca="1">'Project &amp; Investor Returns'!S15*$A$11</f>
        <v>-7513.8974053484417</v>
      </c>
      <c r="T12" s="37">
        <f ca="1">'Project &amp; Investor Returns'!T15*$A$11</f>
        <v>-5218.333666498198</v>
      </c>
      <c r="U12" s="37">
        <f ca="1">'Project &amp; Investor Returns'!U15*$A$11</f>
        <v>7218.7258825083991</v>
      </c>
      <c r="V12" s="37">
        <f ca="1">'Project &amp; Investor Returns'!V15*$A$11</f>
        <v>3399.2634171639511</v>
      </c>
      <c r="W12" s="37">
        <f ca="1">'Project &amp; Investor Returns'!W15*$A$11</f>
        <v>-1989.4129735125789</v>
      </c>
      <c r="X12" s="37">
        <f ca="1">'Project &amp; Investor Returns'!X15*$A$11</f>
        <v>6085.6504638310435</v>
      </c>
      <c r="Y12" s="37">
        <f ca="1">'Project &amp; Investor Returns'!Y15*$A$11</f>
        <v>4689.9136385086094</v>
      </c>
      <c r="Z12" s="37">
        <f ca="1">'Project &amp; Investor Returns'!Z15*$A$11</f>
        <v>6224.6052926074371</v>
      </c>
      <c r="AA12" s="37">
        <f ca="1">'Project &amp; Investor Returns'!AA15*$A$11</f>
        <v>-37015.839051200106</v>
      </c>
      <c r="AB12" s="435">
        <f t="shared" ca="1" si="1"/>
        <v>0</v>
      </c>
      <c r="AC12" s="463">
        <f ca="1">IF('Project &amp; Investor Returns'!$I$3=0,F12+NPV(Disc,G12:AA12),E12+NPV(Disc,F12:AA12))</f>
        <v>11962.265161141695</v>
      </c>
    </row>
    <row r="13" spans="1:33" s="75" customFormat="1">
      <c r="A13" s="459"/>
      <c r="B13" s="15" t="s">
        <v>908</v>
      </c>
      <c r="C13" s="15"/>
      <c r="D13" s="161" t="s">
        <v>478</v>
      </c>
      <c r="E13" s="37">
        <f>-Trapped!E40*'Project &amp; Investor Returns'!E$10*$A$11</f>
        <v>0</v>
      </c>
      <c r="F13" s="37">
        <f>-Trapped!F40*'Project &amp; Investor Returns'!F$10*$A$11</f>
        <v>0</v>
      </c>
      <c r="G13" s="37">
        <f ca="1">-Trapped!G40*'Project &amp; Investor Returns'!G$10*$A$11</f>
        <v>0</v>
      </c>
      <c r="H13" s="37">
        <f ca="1">-Trapped!H40*'Project &amp; Investor Returns'!H$10*$A$11</f>
        <v>0</v>
      </c>
      <c r="I13" s="37">
        <f ca="1">-Trapped!I40*'Project &amp; Investor Returns'!I$10*$A$11</f>
        <v>-82.789843473453956</v>
      </c>
      <c r="J13" s="37">
        <f ca="1">-Trapped!J40*'Project &amp; Investor Returns'!J$10*$A$11</f>
        <v>-1000.3158016388269</v>
      </c>
      <c r="K13" s="37">
        <f ca="1">-Trapped!K40*'Project &amp; Investor Returns'!K$10*$A$11</f>
        <v>-1106.1751366697445</v>
      </c>
      <c r="L13" s="37">
        <f ca="1">-Trapped!L40*'Project &amp; Investor Returns'!L$10*$A$11</f>
        <v>-1382.2633965359844</v>
      </c>
      <c r="M13" s="37">
        <f ca="1">-Trapped!M40*'Project &amp; Investor Returns'!M$10*$A$11</f>
        <v>-1382.2633965359844</v>
      </c>
      <c r="N13" s="37">
        <f ca="1">-Trapped!N40*'Project &amp; Investor Returns'!N$10*$A$11</f>
        <v>-1310.2502451297544</v>
      </c>
      <c r="O13" s="37">
        <f ca="1">-Trapped!O40*'Project &amp; Investor Returns'!O$10*$A$11</f>
        <v>-1696.8515022811202</v>
      </c>
      <c r="P13" s="37">
        <f ca="1">-Trapped!P40*'Project &amp; Investor Returns'!P$10*$A$11</f>
        <v>-1804.7860300211776</v>
      </c>
      <c r="Q13" s="37">
        <f ca="1">-Trapped!Q40*'Project &amp; Investor Returns'!Q$10*$A$11</f>
        <v>-1804.7860300211776</v>
      </c>
      <c r="R13" s="37">
        <f ca="1">-Trapped!R40*'Project &amp; Investor Returns'!R$10*$A$11</f>
        <v>-1653.657028868121</v>
      </c>
      <c r="S13" s="37">
        <f ca="1">-Trapped!S40*'Project &amp; Investor Returns'!S$10*$A$11</f>
        <v>-1584.9340966031593</v>
      </c>
      <c r="T13" s="37">
        <f ca="1">-Trapped!T40*'Project &amp; Investor Returns'!T$10*$A$11</f>
        <v>-1447.1594641163931</v>
      </c>
      <c r="U13" s="37">
        <f ca="1">-Trapped!U40*'Project &amp; Investor Returns'!U$10*$A$11</f>
        <v>-996.32561979548655</v>
      </c>
      <c r="V13" s="37">
        <f ca="1">-Trapped!V40*'Project &amp; Investor Returns'!V$10*$A$11</f>
        <v>-1116.3491527560986</v>
      </c>
      <c r="W13" s="37">
        <f ca="1">-Trapped!W40*'Project &amp; Investor Returns'!W$10*$A$11</f>
        <v>-1320.3049577859356</v>
      </c>
      <c r="X13" s="37">
        <f ca="1">-Trapped!X40*'Project &amp; Investor Returns'!X$10*$A$11</f>
        <v>-1320.3049577859356</v>
      </c>
      <c r="Y13" s="37">
        <f ca="1">-Trapped!Y40*'Project &amp; Investor Returns'!Y$10*$A$11</f>
        <v>-1566.0792072050435</v>
      </c>
      <c r="Z13" s="37">
        <f ca="1">-Trapped!Z40*'Project &amp; Investor Returns'!Z$10*$A$11</f>
        <v>-1847.47402551556</v>
      </c>
      <c r="AA13" s="37">
        <f ca="1">-Trapped!AA40*'Project &amp; Investor Returns'!AA$10*$A$11</f>
        <v>-2220.9503430720065</v>
      </c>
      <c r="AB13" s="435">
        <f t="shared" ca="1" si="1"/>
        <v>-26644.02023581096</v>
      </c>
      <c r="AC13" s="463">
        <f ca="1">IF('Project &amp; Investor Returns'!$I$3=0,F13+NPV(Disc,G13:AA13),E13+NPV(Disc,F13:AA13))</f>
        <v>-4108.481107391035</v>
      </c>
      <c r="AD13" s="15"/>
      <c r="AG13" s="80"/>
    </row>
    <row r="14" spans="1:33" s="75" customFormat="1">
      <c r="A14" s="459"/>
      <c r="B14" s="15" t="s">
        <v>1589</v>
      </c>
      <c r="C14" s="15"/>
      <c r="D14" s="15"/>
      <c r="E14" s="37">
        <f ca="1">'Project &amp; Investor Returns'!E16*$A$11</f>
        <v>0</v>
      </c>
      <c r="F14" s="37">
        <f ca="1">'Project &amp; Investor Returns'!F16*$A$11</f>
        <v>0</v>
      </c>
      <c r="G14" s="37">
        <f ca="1">'Project &amp; Investor Returns'!G16*$A$11</f>
        <v>0</v>
      </c>
      <c r="H14" s="37">
        <f ca="1">'Project &amp; Investor Returns'!H16*$A$11</f>
        <v>0</v>
      </c>
      <c r="I14" s="37">
        <f ca="1">'Project &amp; Investor Returns'!I16*$A$11</f>
        <v>0</v>
      </c>
      <c r="J14" s="37">
        <f ca="1">'Project &amp; Investor Returns'!J16*$A$11</f>
        <v>0</v>
      </c>
      <c r="K14" s="37">
        <f ca="1">'Project &amp; Investor Returns'!K16*$A$11</f>
        <v>2042.8918366943517</v>
      </c>
      <c r="L14" s="37">
        <f ca="1">'Project &amp; Investor Returns'!L16*$A$11</f>
        <v>0</v>
      </c>
      <c r="M14" s="37">
        <f ca="1">'Project &amp; Investor Returns'!M16*$A$11</f>
        <v>7865.5715786840065</v>
      </c>
      <c r="N14" s="37">
        <f ca="1">'Project &amp; Investor Returns'!N16*$A$11</f>
        <v>8917.3419159967561</v>
      </c>
      <c r="O14" s="37">
        <f ca="1">'Project &amp; Investor Returns'!O16*$A$11</f>
        <v>8656.0373433405766</v>
      </c>
      <c r="P14" s="37">
        <f ca="1">'Project &amp; Investor Returns'!P16*$A$11</f>
        <v>7717.7267315853387</v>
      </c>
      <c r="Q14" s="37">
        <f ca="1">'Project &amp; Investor Returns'!Q16*$A$11</f>
        <v>8069.9621543512276</v>
      </c>
      <c r="R14" s="37">
        <f ca="1">'Project &amp; Investor Returns'!R16*$A$11</f>
        <v>9279.3570204919088</v>
      </c>
      <c r="S14" s="37">
        <f ca="1">'Project &amp; Investor Returns'!S16*$A$11</f>
        <v>9279.3570204919088</v>
      </c>
      <c r="T14" s="37">
        <f ca="1">'Project &amp; Investor Returns'!T16*$A$11</f>
        <v>7154.6617709283846</v>
      </c>
      <c r="U14" s="37">
        <f ca="1">'Project &amp; Investor Returns'!U16*$A$11</f>
        <v>9279.3570204919088</v>
      </c>
      <c r="V14" s="37">
        <f ca="1">'Project &amp; Investor Returns'!V16*$A$11</f>
        <v>3584.931093732353</v>
      </c>
      <c r="W14" s="37">
        <f ca="1">'Project &amp; Investor Returns'!W16*$A$11</f>
        <v>0</v>
      </c>
      <c r="X14" s="37">
        <f ca="1">'Project &amp; Investor Returns'!X16*$A$11</f>
        <v>0</v>
      </c>
      <c r="Y14" s="37">
        <f ca="1">'Project &amp; Investor Returns'!Y16*$A$11</f>
        <v>0</v>
      </c>
      <c r="Z14" s="37">
        <f ca="1">'Project &amp; Investor Returns'!Z16*$A$11</f>
        <v>0</v>
      </c>
      <c r="AA14" s="37">
        <f ca="1">'Project &amp; Investor Returns'!AA16*$A$11</f>
        <v>0</v>
      </c>
      <c r="AB14" s="435">
        <f t="shared" ca="1" si="1"/>
        <v>81847.195486788711</v>
      </c>
      <c r="AC14" s="463">
        <f ca="1">IF('Project &amp; Investor Returns'!$I$3=0,F14+NPV(Disc,G14:AA14),E14+NPV(Disc,F14:AA14))</f>
        <v>13404.701199925892</v>
      </c>
      <c r="AD14" s="15"/>
      <c r="AG14" s="80"/>
    </row>
    <row r="15" spans="1:33" s="75" customFormat="1">
      <c r="A15" s="459"/>
      <c r="B15" s="15" t="s">
        <v>1590</v>
      </c>
      <c r="C15" s="796">
        <f>Wh_Int*0</f>
        <v>0</v>
      </c>
      <c r="D15" s="15"/>
      <c r="E15" s="37">
        <f t="shared" ref="E15:AA15" ca="1" si="2">-E14*$C15</f>
        <v>0</v>
      </c>
      <c r="F15" s="37">
        <f t="shared" ca="1" si="2"/>
        <v>0</v>
      </c>
      <c r="G15" s="37">
        <f t="shared" ca="1" si="2"/>
        <v>0</v>
      </c>
      <c r="H15" s="37">
        <f t="shared" ca="1" si="2"/>
        <v>0</v>
      </c>
      <c r="I15" s="37">
        <f t="shared" ca="1" si="2"/>
        <v>0</v>
      </c>
      <c r="J15" s="37">
        <f t="shared" ca="1" si="2"/>
        <v>0</v>
      </c>
      <c r="K15" s="37">
        <f t="shared" ca="1" si="2"/>
        <v>0</v>
      </c>
      <c r="L15" s="37">
        <f t="shared" ca="1" si="2"/>
        <v>0</v>
      </c>
      <c r="M15" s="37">
        <f t="shared" ca="1" si="2"/>
        <v>0</v>
      </c>
      <c r="N15" s="37">
        <f t="shared" ca="1" si="2"/>
        <v>0</v>
      </c>
      <c r="O15" s="37">
        <f t="shared" ca="1" si="2"/>
        <v>0</v>
      </c>
      <c r="P15" s="37">
        <f t="shared" ca="1" si="2"/>
        <v>0</v>
      </c>
      <c r="Q15" s="37">
        <f t="shared" ca="1" si="2"/>
        <v>0</v>
      </c>
      <c r="R15" s="37">
        <f t="shared" ca="1" si="2"/>
        <v>0</v>
      </c>
      <c r="S15" s="37">
        <f t="shared" ca="1" si="2"/>
        <v>0</v>
      </c>
      <c r="T15" s="37">
        <f t="shared" ca="1" si="2"/>
        <v>0</v>
      </c>
      <c r="U15" s="37">
        <f t="shared" ca="1" si="2"/>
        <v>0</v>
      </c>
      <c r="V15" s="37">
        <f t="shared" ca="1" si="2"/>
        <v>0</v>
      </c>
      <c r="W15" s="37">
        <f t="shared" ca="1" si="2"/>
        <v>0</v>
      </c>
      <c r="X15" s="37">
        <f t="shared" ca="1" si="2"/>
        <v>0</v>
      </c>
      <c r="Y15" s="37">
        <f t="shared" ca="1" si="2"/>
        <v>0</v>
      </c>
      <c r="Z15" s="37">
        <f t="shared" ca="1" si="2"/>
        <v>0</v>
      </c>
      <c r="AA15" s="37">
        <f t="shared" ca="1" si="2"/>
        <v>0</v>
      </c>
      <c r="AB15" s="435">
        <f t="shared" ca="1" si="1"/>
        <v>0</v>
      </c>
      <c r="AC15" s="463">
        <f ca="1">IF('Project &amp; Investor Returns'!$I$3=0,F15+NPV(Disc,G15:AA15),E15+NPV(Disc,F15:AA15))</f>
        <v>0</v>
      </c>
      <c r="AD15" s="15"/>
      <c r="AG15" s="80"/>
    </row>
    <row r="16" spans="1:33" s="75" customFormat="1">
      <c r="A16" s="459"/>
      <c r="B16" s="15" t="s">
        <v>577</v>
      </c>
      <c r="C16" s="796">
        <f>USTax*0</f>
        <v>0</v>
      </c>
      <c r="D16" s="15"/>
      <c r="E16" s="142">
        <f>-SUM(E13:E13)*C16</f>
        <v>0</v>
      </c>
      <c r="F16" s="142">
        <f t="shared" ref="F16:AA16" si="3">-SUM(F13:F13)*D16</f>
        <v>0</v>
      </c>
      <c r="G16" s="142">
        <f t="shared" ca="1" si="3"/>
        <v>0</v>
      </c>
      <c r="H16" s="142">
        <f t="shared" ca="1" si="3"/>
        <v>0</v>
      </c>
      <c r="I16" s="142">
        <f t="shared" ca="1" si="3"/>
        <v>0</v>
      </c>
      <c r="J16" s="142">
        <f t="shared" ca="1" si="3"/>
        <v>0</v>
      </c>
      <c r="K16" s="142">
        <f t="shared" ca="1" si="3"/>
        <v>0</v>
      </c>
      <c r="L16" s="142">
        <f t="shared" ca="1" si="3"/>
        <v>0</v>
      </c>
      <c r="M16" s="142">
        <f t="shared" ca="1" si="3"/>
        <v>0</v>
      </c>
      <c r="N16" s="142">
        <f t="shared" ca="1" si="3"/>
        <v>0</v>
      </c>
      <c r="O16" s="142">
        <f t="shared" ca="1" si="3"/>
        <v>0</v>
      </c>
      <c r="P16" s="142">
        <f t="shared" ca="1" si="3"/>
        <v>0</v>
      </c>
      <c r="Q16" s="142">
        <f t="shared" ca="1" si="3"/>
        <v>0</v>
      </c>
      <c r="R16" s="142">
        <f t="shared" ca="1" si="3"/>
        <v>0</v>
      </c>
      <c r="S16" s="142">
        <f t="shared" ca="1" si="3"/>
        <v>0</v>
      </c>
      <c r="T16" s="142">
        <f t="shared" ca="1" si="3"/>
        <v>0</v>
      </c>
      <c r="U16" s="142">
        <f t="shared" ca="1" si="3"/>
        <v>0</v>
      </c>
      <c r="V16" s="142">
        <f t="shared" ca="1" si="3"/>
        <v>0</v>
      </c>
      <c r="W16" s="142">
        <f t="shared" ca="1" si="3"/>
        <v>0</v>
      </c>
      <c r="X16" s="142">
        <f t="shared" ca="1" si="3"/>
        <v>0</v>
      </c>
      <c r="Y16" s="142">
        <f t="shared" ca="1" si="3"/>
        <v>0</v>
      </c>
      <c r="Z16" s="142">
        <f t="shared" ca="1" si="3"/>
        <v>0</v>
      </c>
      <c r="AA16" s="142">
        <f t="shared" ca="1" si="3"/>
        <v>0</v>
      </c>
      <c r="AB16" s="436">
        <f t="shared" ca="1" si="1"/>
        <v>0</v>
      </c>
      <c r="AC16" s="464">
        <f ca="1">IF('Project &amp; Investor Returns'!$I$3=0,F16+NPV(Disc,G16:AA16),E16+NPV(Disc,F16:AA16))</f>
        <v>0</v>
      </c>
      <c r="AD16" s="15"/>
      <c r="AG16" s="80"/>
    </row>
    <row r="17" spans="1:33" s="81" customFormat="1">
      <c r="A17" s="460"/>
      <c r="B17" s="15" t="s">
        <v>480</v>
      </c>
      <c r="C17" s="15"/>
      <c r="D17" s="15"/>
      <c r="E17" s="37">
        <f t="shared" ref="E17:AA17" ca="1" si="4">SUM(E10:E16)</f>
        <v>0</v>
      </c>
      <c r="F17" s="37">
        <f t="shared" ca="1" si="4"/>
        <v>-92793.570204919088</v>
      </c>
      <c r="G17" s="37">
        <f t="shared" ca="1" si="4"/>
        <v>-1978.5080752796939</v>
      </c>
      <c r="H17" s="37">
        <f t="shared" ca="1" si="4"/>
        <v>-89435.231405081824</v>
      </c>
      <c r="I17" s="37">
        <f t="shared" ca="1" si="4"/>
        <v>15209.30945928276</v>
      </c>
      <c r="J17" s="37">
        <f t="shared" ca="1" si="4"/>
        <v>764.00644887646433</v>
      </c>
      <c r="K17" s="37">
        <f t="shared" ca="1" si="4"/>
        <v>5538.1876977952752</v>
      </c>
      <c r="L17" s="37">
        <f t="shared" ca="1" si="4"/>
        <v>-8939.7601207751086</v>
      </c>
      <c r="M17" s="37">
        <f t="shared" ca="1" si="4"/>
        <v>12840.585716283313</v>
      </c>
      <c r="N17" s="37">
        <f t="shared" ca="1" si="4"/>
        <v>14050.445956723099</v>
      </c>
      <c r="O17" s="37">
        <f t="shared" ca="1" si="4"/>
        <v>11055.153509088675</v>
      </c>
      <c r="P17" s="37">
        <f t="shared" ca="1" si="4"/>
        <v>9338.9203722105212</v>
      </c>
      <c r="Q17" s="37">
        <f t="shared" ca="1" si="4"/>
        <v>11335.205988117732</v>
      </c>
      <c r="R17" s="37">
        <f t="shared" ca="1" si="4"/>
        <v>12483.370587183712</v>
      </c>
      <c r="S17" s="37">
        <f t="shared" ca="1" si="4"/>
        <v>7953.1484735392633</v>
      </c>
      <c r="T17" s="37">
        <f t="shared" ca="1" si="4"/>
        <v>6000.0567081456838</v>
      </c>
      <c r="U17" s="37">
        <f t="shared" ca="1" si="4"/>
        <v>22595.019747967082</v>
      </c>
      <c r="V17" s="37">
        <f t="shared" ca="1" si="4"/>
        <v>8278.3502813267496</v>
      </c>
      <c r="W17" s="37">
        <f t="shared" ca="1" si="4"/>
        <v>-3309.7179312985145</v>
      </c>
      <c r="X17" s="37">
        <f t="shared" ca="1" si="4"/>
        <v>4765.3455060451079</v>
      </c>
      <c r="Y17" s="37">
        <f t="shared" ca="1" si="4"/>
        <v>3123.8344313035659</v>
      </c>
      <c r="Z17" s="37">
        <f t="shared" ca="1" si="4"/>
        <v>4377.1312670918787</v>
      </c>
      <c r="AA17" s="37">
        <f t="shared" ca="1" si="4"/>
        <v>5381.4958778189466</v>
      </c>
      <c r="AB17" s="435">
        <f t="shared" ca="1" si="1"/>
        <v>-41367.219708554447</v>
      </c>
      <c r="AC17" s="435">
        <f ca="1">SUM(AC10:AC16)</f>
        <v>-130614.68799775168</v>
      </c>
      <c r="AD17" s="15"/>
    </row>
    <row r="18" spans="1:33" s="81" customFormat="1">
      <c r="A18" s="460"/>
      <c r="B18" s="15"/>
      <c r="C18" s="15"/>
      <c r="D18" s="15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435"/>
      <c r="AC18" s="435"/>
      <c r="AD18" s="15"/>
    </row>
    <row r="19" spans="1:33" hidden="1">
      <c r="A19" s="461"/>
      <c r="B19" s="15" t="s">
        <v>472</v>
      </c>
      <c r="E19" s="221">
        <f ca="1">$E17</f>
        <v>0</v>
      </c>
      <c r="F19" s="221">
        <f ca="1">IF('Project &amp; Investor Returns'!$I$3=0,$F17,$E17+NPV(Disc,$F17:F17))</f>
        <v>-92793.570204919088</v>
      </c>
      <c r="G19" s="37">
        <f ca="1">IF('Project &amp; Investor Returns'!$I$3=0,$F17+NPV(Disc, $G17:G17),$E17+NPV(Disc,$F17:G17))</f>
        <v>-94456.182032885219</v>
      </c>
      <c r="H19" s="37">
        <f ca="1">IF('Project &amp; Investor Returns'!$I$3=0,$F17+NPV(Disc, $G17:H17),$E17+NPV(Disc,$F17:H17))</f>
        <v>-157612.19601853724</v>
      </c>
      <c r="I19" s="37">
        <f ca="1">IF('Project &amp; Investor Returns'!$I$3=0,$F17+NPV(Disc, $G17:I17),$E17+NPV(Disc,$F17:I17))</f>
        <v>-148586.75126271139</v>
      </c>
      <c r="J19" s="37">
        <f ca="1">IF('Project &amp; Investor Returns'!$I$3=0,$F17+NPV(Disc, $G17:J17),$E17+NPV(Disc,$F17:J17))</f>
        <v>-148205.76512078257</v>
      </c>
      <c r="K19" s="37">
        <f ca="1">IF('Project &amp; Investor Returns'!$I$3=0,$F17+NPV(Disc, $G17:K17),$E17+NPV(Disc,$F17:K17))</f>
        <v>-145884.99104992361</v>
      </c>
      <c r="L19" s="37">
        <f ca="1">IF('Project &amp; Investor Returns'!$I$3=0,$F17+NPV(Disc, $G17:L17),$E17+NPV(Disc,$F17:L17))</f>
        <v>-149033.05899520504</v>
      </c>
      <c r="M19" s="37">
        <f ca="1">IF('Project &amp; Investor Returns'!$I$3=0,$F17+NPV(Disc, $G17:M17),$E17+NPV(Disc,$F17:M17))</f>
        <v>-145233.29953839112</v>
      </c>
      <c r="N19" s="37">
        <f ca="1">IF('Project &amp; Investor Returns'!$I$3=0,$F17+NPV(Disc, $G17:N17),$E17+NPV(Disc,$F17:N17))</f>
        <v>-141739.36778508779</v>
      </c>
      <c r="O19" s="37">
        <f ca="1">IF('Project &amp; Investor Returns'!$I$3=0,$F17+NPV(Disc, $G17:O17),$E17+NPV(Disc,$F17:O17))</f>
        <v>-139429.20743893401</v>
      </c>
      <c r="P19" s="37">
        <f ca="1">IF('Project &amp; Investor Returns'!$I$3=0,$F17+NPV(Disc, $G17:P17),$E17+NPV(Disc,$F17:P17))</f>
        <v>-137789.27083904482</v>
      </c>
      <c r="Q19" s="37">
        <f ca="1">IF('Project &amp; Investor Returns'!$I$3=0,$F17+NPV(Disc, $G17:Q17),$E17+NPV(Disc,$F17:Q17))</f>
        <v>-136116.59092662871</v>
      </c>
      <c r="R19" s="37">
        <f ca="1">IF('Project &amp; Investor Returns'!$I$3=0,$F17+NPV(Disc, $G17:R17),$E17+NPV(Disc,$F17:R17))</f>
        <v>-134568.60029985031</v>
      </c>
      <c r="S19" s="37">
        <f ca="1">IF('Project &amp; Investor Returns'!$I$3=0,$F17+NPV(Disc, $G17:S17),$E17+NPV(Disc,$F17:S17))</f>
        <v>-133739.8406618046</v>
      </c>
      <c r="T19" s="37">
        <f ca="1">IF('Project &amp; Investor Returns'!$I$3=0,$F17+NPV(Disc, $G17:T17),$E17+NPV(Disc,$F17:T17))</f>
        <v>-133214.43119267485</v>
      </c>
      <c r="U19" s="37">
        <f ca="1">IF('Project &amp; Investor Returns'!$I$3=0,$F17+NPV(Disc, $G17:U17),$E17+NPV(Disc,$F17:U17))</f>
        <v>-131551.75260321749</v>
      </c>
      <c r="V19" s="37">
        <f ca="1">IF('Project &amp; Investor Returns'!$I$3=0,$F17+NPV(Disc, $G17:V17),$E17+NPV(Disc,$F17:V17))</f>
        <v>-131039.84401412692</v>
      </c>
      <c r="W19" s="37">
        <f ca="1">IF('Project &amp; Investor Returns'!$I$3=0,$F17+NPV(Disc, $G17:W17),$E17+NPV(Disc,$F17:W17))</f>
        <v>-131211.82983325954</v>
      </c>
      <c r="X19" s="37">
        <f ca="1">IF('Project &amp; Investor Returns'!$I$3=0,$F17+NPV(Disc, $G17:X17),$E17+NPV(Disc,$F17:X17))</f>
        <v>-131003.74084957869</v>
      </c>
      <c r="Y19" s="37">
        <f ca="1">IF('Project &amp; Investor Returns'!$I$3=0,$F17+NPV(Disc, $G17:Y17),$E17+NPV(Disc,$F17:Y17))</f>
        <v>-130889.11152301187</v>
      </c>
      <c r="Z19" s="37">
        <f ca="1">IF('Project &amp; Investor Returns'!$I$3=0,$F17+NPV(Disc, $G17:Z17),$E17+NPV(Disc,$F17:Z17))</f>
        <v>-130754.13745320711</v>
      </c>
      <c r="AA19" s="37">
        <f ca="1">IF('Project &amp; Investor Returns'!$I$3=0,$F17+NPV(Disc, $G17:AA17),$E17+NPV(Disc,$F17:AA17))</f>
        <v>-130614.68799775169</v>
      </c>
      <c r="AB19" s="466"/>
      <c r="AC19" s="435">
        <f ca="1">AC17</f>
        <v>-130614.68799775168</v>
      </c>
    </row>
    <row r="20" spans="1:33" hidden="1">
      <c r="A20" s="461"/>
      <c r="B20" s="15" t="s">
        <v>473</v>
      </c>
      <c r="E20" s="32" t="e">
        <f ca="1">IRR($E17:E17,-0.9)</f>
        <v>#NUM!</v>
      </c>
      <c r="F20" s="32" t="e">
        <f ca="1">IRR($E17:F17,-0.9)</f>
        <v>#NUM!</v>
      </c>
      <c r="G20" s="32" t="e">
        <f ca="1">IRR($E17:G17,-0.9)</f>
        <v>#NUM!</v>
      </c>
      <c r="H20" s="32" t="e">
        <f ca="1">IRR($E17:H17,-0.9)</f>
        <v>#NUM!</v>
      </c>
      <c r="I20" s="32">
        <f ca="1">IRR($E17:I17,-0.9)</f>
        <v>-0.83518645577811301</v>
      </c>
      <c r="J20" s="32">
        <f ca="1">IRR($E17:J17,-0.9)</f>
        <v>-0.79733472263114702</v>
      </c>
      <c r="K20" s="32">
        <f ca="1">IRR($E17:K17,-0.9)</f>
        <v>-0.56741248566888292</v>
      </c>
      <c r="L20" s="32" t="e">
        <f ca="1">IRR($E17:L17,-0.9)</f>
        <v>#NUM!</v>
      </c>
      <c r="M20" s="32">
        <f ca="1">IRR($E17:M17,-0.9)</f>
        <v>-0.37692305989833569</v>
      </c>
      <c r="N20" s="32">
        <f ca="1">IRR($E17:N17,-0.9)</f>
        <v>-0.2532894737949844</v>
      </c>
      <c r="O20" s="32">
        <f ca="1">IRR($E17:O17,-0.9)</f>
        <v>-0.19642549477330362</v>
      </c>
      <c r="P20" s="32">
        <f ca="1">IRR($E17:P17,-0.9)</f>
        <v>-0.16012323515017043</v>
      </c>
      <c r="Q20" s="32">
        <f ca="1">IRR($E17:Q17,-0.9)</f>
        <v>-0.12605184241814688</v>
      </c>
      <c r="R20" s="32">
        <f ca="1">IRR($E17:R17,-0.9)</f>
        <v>-9.7673623791437736E-2</v>
      </c>
      <c r="S20" s="32">
        <f ca="1">IRR($E17:S17,-0.9)</f>
        <v>-8.2879320743164869E-2</v>
      </c>
      <c r="T20" s="32">
        <f ca="1">IRR($E17:T17,-0.9)</f>
        <v>-7.2860282690994232E-2</v>
      </c>
      <c r="U20" s="32">
        <f ca="1">IRR($E17:U17,-0.9)</f>
        <v>-4.4146627076139096E-2</v>
      </c>
      <c r="V20" s="32">
        <f ca="1">IRR($E17:V17,-0.9)</f>
        <v>-3.609698887938622E-2</v>
      </c>
      <c r="W20" s="32" t="e">
        <f ca="1">IRR($E17:W17,-0.9)</f>
        <v>#NUM!</v>
      </c>
      <c r="X20" s="32">
        <f ca="1">IRR($E17:X17,-0.9)</f>
        <v>-3.4595164388553361E-2</v>
      </c>
      <c r="Y20" s="32">
        <f ca="1">IRR($E17:Y17,-0.9)</f>
        <v>-3.1666544384410342E-2</v>
      </c>
      <c r="Z20" s="32">
        <f ca="1">IRR($E17:Z17,-0.9)</f>
        <v>-2.7775239865591533E-2</v>
      </c>
      <c r="AA20" s="32">
        <f ca="1">IRR($E17:AA17,-0.9)</f>
        <v>-2.3365346125439741E-2</v>
      </c>
      <c r="AB20" s="465"/>
      <c r="AC20" s="471">
        <f ca="1">IRR(E17:AA17,-0.9)</f>
        <v>-2.3365346125439741E-2</v>
      </c>
    </row>
    <row r="21" spans="1:33" hidden="1">
      <c r="A21" s="461"/>
      <c r="AB21" s="430"/>
      <c r="AC21" s="431"/>
    </row>
    <row r="22" spans="1:33" hidden="1">
      <c r="A22" s="461"/>
      <c r="B22" s="243" t="s">
        <v>414</v>
      </c>
      <c r="C22" s="452">
        <f ca="1">AC19</f>
        <v>-130614.68799775168</v>
      </c>
      <c r="D22" s="3"/>
      <c r="AB22" s="430"/>
      <c r="AC22" s="431"/>
    </row>
    <row r="23" spans="1:33" hidden="1">
      <c r="A23" s="417"/>
      <c r="B23" s="253" t="s">
        <v>413</v>
      </c>
      <c r="C23" s="917">
        <f ca="1">AC20</f>
        <v>-2.3365346125439741E-2</v>
      </c>
      <c r="D23" s="31"/>
      <c r="E23" s="78"/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468"/>
      <c r="AC23" s="469"/>
    </row>
    <row r="24" spans="1:33">
      <c r="A24" s="20"/>
      <c r="AB24" s="430"/>
      <c r="AC24" s="430"/>
    </row>
    <row r="25" spans="1:33" s="81" customFormat="1">
      <c r="A25" s="458"/>
      <c r="B25" s="15" t="s">
        <v>233</v>
      </c>
      <c r="C25" s="15"/>
      <c r="D25" s="15"/>
      <c r="E25" s="37">
        <f ca="1">E17</f>
        <v>0</v>
      </c>
      <c r="F25" s="37">
        <f t="shared" ref="F25:AA25" ca="1" si="5">F17</f>
        <v>-92793.570204919088</v>
      </c>
      <c r="G25" s="37">
        <f t="shared" ca="1" si="5"/>
        <v>-1978.5080752796939</v>
      </c>
      <c r="H25" s="37">
        <f t="shared" ca="1" si="5"/>
        <v>-89435.231405081824</v>
      </c>
      <c r="I25" s="37">
        <f t="shared" ca="1" si="5"/>
        <v>15209.30945928276</v>
      </c>
      <c r="J25" s="37">
        <f t="shared" ca="1" si="5"/>
        <v>764.00644887646433</v>
      </c>
      <c r="K25" s="37">
        <f t="shared" ca="1" si="5"/>
        <v>5538.1876977952752</v>
      </c>
      <c r="L25" s="37">
        <f t="shared" ca="1" si="5"/>
        <v>-8939.7601207751086</v>
      </c>
      <c r="M25" s="37">
        <f t="shared" ca="1" si="5"/>
        <v>12840.585716283313</v>
      </c>
      <c r="N25" s="37">
        <f t="shared" ca="1" si="5"/>
        <v>14050.445956723099</v>
      </c>
      <c r="O25" s="37">
        <f t="shared" ca="1" si="5"/>
        <v>11055.153509088675</v>
      </c>
      <c r="P25" s="37">
        <f t="shared" ca="1" si="5"/>
        <v>9338.9203722105212</v>
      </c>
      <c r="Q25" s="37">
        <f t="shared" ca="1" si="5"/>
        <v>11335.205988117732</v>
      </c>
      <c r="R25" s="37">
        <f t="shared" ca="1" si="5"/>
        <v>12483.370587183712</v>
      </c>
      <c r="S25" s="37">
        <f t="shared" ca="1" si="5"/>
        <v>7953.1484735392633</v>
      </c>
      <c r="T25" s="37">
        <f t="shared" ca="1" si="5"/>
        <v>6000.0567081456838</v>
      </c>
      <c r="U25" s="37">
        <f t="shared" ca="1" si="5"/>
        <v>22595.019747967082</v>
      </c>
      <c r="V25" s="37">
        <f t="shared" ca="1" si="5"/>
        <v>8278.3502813267496</v>
      </c>
      <c r="W25" s="37">
        <f t="shared" ca="1" si="5"/>
        <v>-3309.7179312985145</v>
      </c>
      <c r="X25" s="37">
        <f t="shared" ca="1" si="5"/>
        <v>4765.3455060451079</v>
      </c>
      <c r="Y25" s="37">
        <f t="shared" ca="1" si="5"/>
        <v>3123.8344313035659</v>
      </c>
      <c r="Z25" s="37">
        <f t="shared" ca="1" si="5"/>
        <v>4377.1312670918787</v>
      </c>
      <c r="AA25" s="37">
        <f t="shared" ca="1" si="5"/>
        <v>5381.4958778189466</v>
      </c>
      <c r="AB25" s="435">
        <f t="shared" ref="AB25:AB31" ca="1" si="6">SUM(E25:AA25)</f>
        <v>-41367.219708554447</v>
      </c>
      <c r="AC25" s="463">
        <f ca="1">IF('Project &amp; Investor Returns'!$I$3=0,F25+NPV(Disc,G25:AA25),E25+NPV(Disc,F25:AA25))</f>
        <v>-130614.68799775169</v>
      </c>
      <c r="AD25" s="15"/>
    </row>
    <row r="26" spans="1:33">
      <c r="A26" s="457">
        <f>A11</f>
        <v>1</v>
      </c>
      <c r="B26" s="15" t="s">
        <v>1625</v>
      </c>
      <c r="E26" s="37">
        <f ca="1">-HLOOKUP(DATE(E$7,12,31),Idc_Table,IDC!$BB$49)*$A26-SUM($D26:D26)</f>
        <v>0</v>
      </c>
      <c r="F26" s="37">
        <f ca="1">-HLOOKUP(DATE(F$7,12,31),Idc_Table,IDC!$BB$49)*$A26-SUM($D26:E26)</f>
        <v>0</v>
      </c>
      <c r="G26" s="37">
        <f ca="1">-HLOOKUP(DATE(G$7,12,31),Idc_Table,IDC!$BB$49)*$A26-SUM($D26:F26)</f>
        <v>0</v>
      </c>
      <c r="H26" s="37">
        <f ca="1">-HLOOKUP(DATE(H$7,12,31),Idc_Table,IDC!$BB$49)*$A26-SUM($D26:G26)</f>
        <v>-37368.759506708469</v>
      </c>
      <c r="I26" s="37">
        <f ca="1">-HLOOKUP(DATE(I$7,12,31),Idc_Table,IDC!$BB$49)*$A26-SUM($D26:H26)</f>
        <v>-12381.053566050199</v>
      </c>
      <c r="J26" s="37">
        <f ca="1">-HLOOKUP(DATE(J$7,12,31),Idc_Table,IDC!$BB$49)*$A26-SUM($D26:I26)</f>
        <v>0</v>
      </c>
      <c r="K26" s="37">
        <f ca="1">-HLOOKUP(DATE(K$7,12,31),Idc_Table,IDC!$BB$49)*$A26-SUM($D26:J26)</f>
        <v>0</v>
      </c>
      <c r="L26" s="37">
        <f ca="1">-HLOOKUP(DATE(L$7,12,31),Idc_Table,IDC!$BB$49)*$A26-SUM($D26:K26)</f>
        <v>0</v>
      </c>
      <c r="M26" s="37">
        <f ca="1">-HLOOKUP(DATE(M$7,12,31),Idc_Table,IDC!$BB$49)*$A26-SUM($D26:L26)</f>
        <v>0</v>
      </c>
      <c r="N26" s="37">
        <f ca="1">-HLOOKUP(DATE(N$7,12,31),Idc_Table,IDC!$BB$49)*$A26-SUM($D26:M26)</f>
        <v>0</v>
      </c>
      <c r="O26" s="37">
        <f ca="1">-HLOOKUP(DATE(O$7,12,31),Idc_Table,IDC!$BB$49)*$A26-SUM($D26:N26)</f>
        <v>0</v>
      </c>
      <c r="P26" s="37">
        <f ca="1">-HLOOKUP(DATE(P$7,12,31),Idc_Table,IDC!$BB$49)*$A26-SUM($D26:O26)</f>
        <v>0</v>
      </c>
      <c r="Q26" s="37">
        <f ca="1">-HLOOKUP(DATE(Q$7,12,31),Idc_Table,IDC!$BB$49)*$A26-SUM($D26:P26)</f>
        <v>0</v>
      </c>
      <c r="R26" s="37">
        <f ca="1">-HLOOKUP(DATE(R$7,12,31),Idc_Table,IDC!$BB$49)*$A26-SUM($D26:Q26)</f>
        <v>0</v>
      </c>
      <c r="S26" s="37">
        <f ca="1">-HLOOKUP(DATE(S$7,12,31),Idc_Table,IDC!$BB$49)*$A26-SUM($D26:R26)</f>
        <v>0</v>
      </c>
      <c r="T26" s="37">
        <f ca="1">-HLOOKUP(DATE(T$7,12,31),Idc_Table,IDC!$BB$49)*$A26-SUM($D26:S26)</f>
        <v>0</v>
      </c>
      <c r="U26" s="37">
        <f ca="1">-HLOOKUP(DATE(U$7,12,31),Idc_Table,IDC!$BB$49)*$A26-SUM($D26:T26)</f>
        <v>0</v>
      </c>
      <c r="V26" s="37">
        <f ca="1">-HLOOKUP(DATE(V$7,12,31),Idc_Table,IDC!$BB$49)*$A26-SUM($D26:U26)</f>
        <v>0</v>
      </c>
      <c r="W26" s="37">
        <f ca="1">-HLOOKUP(DATE(W$7,12,31),Idc_Table,IDC!$BB$49)*$A26-SUM($D26:V26)</f>
        <v>0</v>
      </c>
      <c r="X26" s="37">
        <f ca="1">-HLOOKUP(DATE(X$7,12,31),Idc_Table,IDC!$BB$49)*$A26-SUM($D26:W26)</f>
        <v>0</v>
      </c>
      <c r="Y26" s="37">
        <f ca="1">-HLOOKUP(DATE(Y$7,12,31),Idc_Table,IDC!$BB$49)*$A26-SUM($D26:X26)</f>
        <v>0</v>
      </c>
      <c r="Z26" s="37">
        <f ca="1">-HLOOKUP(DATE(Z$7,12,31),Idc_Table,IDC!$BB$49)*$A26-SUM($D26:Y26)</f>
        <v>0</v>
      </c>
      <c r="AA26" s="37">
        <f ca="1">-HLOOKUP(DATE(AA$7,12,31),Idc_Table,IDC!$BB$49)*$A26-SUM($D26:Z26)</f>
        <v>0</v>
      </c>
      <c r="AB26" s="435">
        <f t="shared" ca="1" si="6"/>
        <v>-49749.813072758669</v>
      </c>
      <c r="AC26" s="463">
        <f ca="1">IF('Project &amp; Investor Returns'!$I$3=0,F26+NPV(Disc,G26:AA26),E26+NPV(Disc,F26:AA26))</f>
        <v>-33735.616270650593</v>
      </c>
    </row>
    <row r="27" spans="1:33">
      <c r="A27" s="457"/>
      <c r="B27" s="15" t="s">
        <v>152</v>
      </c>
      <c r="E27" s="226">
        <f ca="1">IF(E$7&lt;YEAR(Startops1),0,-HLOOKUP(E$7,CF_Table,CF!$AB$71)*$A26)</f>
        <v>0</v>
      </c>
      <c r="F27" s="226">
        <f ca="1">IF(F$7&lt;YEAR(Startops1),0,-HLOOKUP(F$7,CF_Table,CF!$AB$71)*$A26)</f>
        <v>0</v>
      </c>
      <c r="G27" s="226">
        <f ca="1">IF(G$7&lt;YEAR(Startops1),0,-HLOOKUP(G$7,CF_Table,CF!$AB$71)*$A26)</f>
        <v>0</v>
      </c>
      <c r="H27" s="226">
        <f ca="1">IF(H$7&lt;YEAR(Startops1),0,-HLOOKUP(H$7,CF_Table,CF!$AB$71)*$A26)</f>
        <v>0</v>
      </c>
      <c r="I27" s="226">
        <f ca="1">IF(I$7&lt;YEAR(Startops1),0,-HLOOKUP(I$7,CF_Table,CF!$AB$71)*$A26)</f>
        <v>0</v>
      </c>
      <c r="J27" s="226">
        <f ca="1">IF(J$7&lt;YEAR(Startops1),0,-HLOOKUP(J$7,CF_Table,CF!$AB$71)*$A26)</f>
        <v>2228.4103888757058</v>
      </c>
      <c r="K27" s="226">
        <f ca="1">IF(K$7&lt;YEAR(Startops1),0,-HLOOKUP(K$7,CF_Table,CF!$AB$71)*$A26)</f>
        <v>2527.5187733225443</v>
      </c>
      <c r="L27" s="226">
        <f ca="1">IF(L$7&lt;YEAR(Startops1),0,-HLOOKUP(L$7,CF_Table,CF!$AB$71)*$A26)</f>
        <v>2866.7749806717629</v>
      </c>
      <c r="M27" s="226">
        <f ca="1">IF(M$7&lt;YEAR(Startops1),0,-HLOOKUP(M$7,CF_Table,CF!$AB$71)*$A26)</f>
        <v>3251.5678524524315</v>
      </c>
      <c r="N27" s="226">
        <f ca="1">IF(N$7&lt;YEAR(Startops1),0,-HLOOKUP(N$7,CF_Table,CF!$AB$71)*$A26)</f>
        <v>3688.0095474478567</v>
      </c>
      <c r="O27" s="226">
        <f ca="1">IF(O$7&lt;YEAR(Startops1),0,-HLOOKUP(O$7,CF_Table,CF!$AB$71)*$A26)</f>
        <v>4183.0326289540444</v>
      </c>
      <c r="P27" s="226">
        <f ca="1">IF(P$7&lt;YEAR(Startops1),0,-HLOOKUP(P$7,CF_Table,CF!$AB$71)*$A26)</f>
        <v>4744.5001835753974</v>
      </c>
      <c r="Q27" s="226">
        <f ca="1">IF(Q$7&lt;YEAR(Startops1),0,-HLOOKUP(Q$7,CF_Table,CF!$AB$71)*$A26)</f>
        <v>5381.330720715805</v>
      </c>
      <c r="R27" s="226">
        <f ca="1">IF(R$7&lt;YEAR(Startops1),0,-HLOOKUP(R$7,CF_Table,CF!$AB$71)*$A26)</f>
        <v>6103.6398367038801</v>
      </c>
      <c r="S27" s="226">
        <f ca="1">IF(S$7&lt;YEAR(Startops1),0,-HLOOKUP(S$7,CF_Table,CF!$AB$71)*$A26)</f>
        <v>6922.9008937854551</v>
      </c>
      <c r="T27" s="226">
        <f ca="1">IF(T$7&lt;YEAR(Startops1),0,-HLOOKUP(T$7,CF_Table,CF!$AB$71)*$A26)</f>
        <v>7852.1272662537895</v>
      </c>
      <c r="U27" s="226">
        <f ca="1">IF(U$7&lt;YEAR(Startops1),0,-HLOOKUP(U$7,CF_Table,CF!$AB$71)*$A26)</f>
        <v>0</v>
      </c>
      <c r="V27" s="226">
        <f ca="1">IF(V$7&lt;YEAR(Startops1),0,-HLOOKUP(V$7,CF_Table,CF!$AB$71)*$A26)</f>
        <v>0</v>
      </c>
      <c r="W27" s="226">
        <f ca="1">IF(W$7&lt;YEAR(Startops1),0,-HLOOKUP(W$7,CF_Table,CF!$AB$71)*$A26)</f>
        <v>0</v>
      </c>
      <c r="X27" s="226">
        <f ca="1">IF(X$7&lt;YEAR(Startops1),0,-HLOOKUP(X$7,CF_Table,CF!$AB$71)*$A26)</f>
        <v>0</v>
      </c>
      <c r="Y27" s="226">
        <f ca="1">IF(Y$7&lt;YEAR(Startops1),0,-HLOOKUP(Y$7,CF_Table,CF!$AB$71)*$A26)</f>
        <v>0</v>
      </c>
      <c r="Z27" s="226">
        <f ca="1">IF(Z$7&lt;YEAR(Startops1),0,-HLOOKUP(Z$7,CF_Table,CF!$AB$71)*$A26)</f>
        <v>0</v>
      </c>
      <c r="AA27" s="226">
        <f ca="1">IF(AA$7&lt;YEAR(Startops1),0,-HLOOKUP(AA$7,CF_Table,CF!$AB$71)*$A26)</f>
        <v>0</v>
      </c>
      <c r="AB27" s="435">
        <f t="shared" ca="1" si="6"/>
        <v>49749.813072758669</v>
      </c>
      <c r="AC27" s="463">
        <f ca="1">IF('Project &amp; Investor Returns'!$I$3=0,F27+NPV(Disc,G27:AA27),E27+NPV(Disc,F27:AA27))</f>
        <v>9726.429858467387</v>
      </c>
    </row>
    <row r="28" spans="1:33">
      <c r="A28" s="20"/>
      <c r="B28" s="15" t="s">
        <v>153</v>
      </c>
      <c r="D28" s="161" t="s">
        <v>36</v>
      </c>
      <c r="E28" s="226">
        <f ca="1">IF(E$7&lt;YEAR(Startops1),0,-HLOOKUP(E$7,CF_Table,CF!$AB$45)*$A26)</f>
        <v>0</v>
      </c>
      <c r="F28" s="226">
        <f ca="1">IF(F$7&lt;YEAR(Startops1),0,-HLOOKUP(F$7,CF_Table,CF!$AB$45)*$A26)</f>
        <v>0</v>
      </c>
      <c r="G28" s="226">
        <f ca="1">IF(G$7&lt;YEAR(Startops1),0,-HLOOKUP(G$7,CF_Table,CF!$AB$45)*$A26)</f>
        <v>0</v>
      </c>
      <c r="H28" s="226">
        <f ca="1">IF(H$7&lt;YEAR(Startops1),0,-HLOOKUP(H$7,CF_Table,CF!$AB$45)*$A26)</f>
        <v>0</v>
      </c>
      <c r="I28" s="226">
        <f ca="1">IF(I$7&lt;YEAR(Startops1),0,-HLOOKUP(I$7,CF_Table,CF!$AB$45)*$A26)</f>
        <v>2694.7815414410948</v>
      </c>
      <c r="J28" s="226">
        <f ca="1">IF(J$7&lt;YEAR(Startops1),0,-HLOOKUP(J$7,CF_Table,CF!$AB$45)*$A26)</f>
        <v>6397.3320310436538</v>
      </c>
      <c r="K28" s="226">
        <f ca="1">IF(K$7&lt;YEAR(Startops1),0,-HLOOKUP(K$7,CF_Table,CF!$AB$45)*$A26)</f>
        <v>6098.2236465968126</v>
      </c>
      <c r="L28" s="226">
        <f ca="1">IF(L$7&lt;YEAR(Startops1),0,-HLOOKUP(L$7,CF_Table,CF!$AB$45)*$A26)</f>
        <v>5758.9674392475936</v>
      </c>
      <c r="M28" s="226">
        <f ca="1">IF(M$7&lt;YEAR(Startops1),0,-HLOOKUP(M$7,CF_Table,CF!$AB$45)*$A26)</f>
        <v>5374.1745674669255</v>
      </c>
      <c r="N28" s="226">
        <f ca="1">IF(N$7&lt;YEAR(Startops1),0,-HLOOKUP(N$7,CF_Table,CF!$AB$45)*$A26)</f>
        <v>4937.732872471498</v>
      </c>
      <c r="O28" s="226">
        <f ca="1">IF(O$7&lt;YEAR(Startops1),0,-HLOOKUP(O$7,CF_Table,CF!$AB$45)*$A26)</f>
        <v>4442.7097909653094</v>
      </c>
      <c r="P28" s="226">
        <f ca="1">IF(P$7&lt;YEAR(Startops1),0,-HLOOKUP(P$7,CF_Table,CF!$AB$45)*$A26)</f>
        <v>3881.2422363439537</v>
      </c>
      <c r="Q28" s="226">
        <f ca="1">IF(Q$7&lt;YEAR(Startops1),0,-HLOOKUP(Q$7,CF_Table,CF!$AB$45)*$A26)</f>
        <v>3244.4116992035456</v>
      </c>
      <c r="R28" s="226">
        <f ca="1">IF(R$7&lt;YEAR(Startops1),0,-HLOOKUP(R$7,CF_Table,CF!$AB$45)*$A26)</f>
        <v>2522.1025832154669</v>
      </c>
      <c r="S28" s="226">
        <f ca="1">IF(S$7&lt;YEAR(Startops1),0,-HLOOKUP(S$7,CF_Table,CF!$AB$45)*$A26)</f>
        <v>1702.8415261338889</v>
      </c>
      <c r="T28" s="226">
        <f ca="1">IF(T$7&lt;YEAR(Startops1),0,-HLOOKUP(T$7,CF_Table,CF!$AB$45)*$A26)</f>
        <v>773.61515366553658</v>
      </c>
      <c r="U28" s="226">
        <f ca="1">IF(U$7&lt;YEAR(Startops1),0,-HLOOKUP(U$7,CF_Table,CF!$AB$45)*$A26)</f>
        <v>0</v>
      </c>
      <c r="V28" s="226">
        <f ca="1">IF(V$7&lt;YEAR(Startops1),0,-HLOOKUP(V$7,CF_Table,CF!$AB$45)*$A26)</f>
        <v>0</v>
      </c>
      <c r="W28" s="226">
        <f ca="1">IF(W$7&lt;YEAR(Startops1),0,-HLOOKUP(W$7,CF_Table,CF!$AB$45)*$A26)</f>
        <v>0</v>
      </c>
      <c r="X28" s="226">
        <f ca="1">IF(X$7&lt;YEAR(Startops1),0,-HLOOKUP(X$7,CF_Table,CF!$AB$45)*$A26)</f>
        <v>0</v>
      </c>
      <c r="Y28" s="226">
        <f ca="1">IF(Y$7&lt;YEAR(Startops1),0,-HLOOKUP(Y$7,CF_Table,CF!$AB$45)*$A26)</f>
        <v>0</v>
      </c>
      <c r="Z28" s="226">
        <f ca="1">IF(Z$7&lt;YEAR(Startops1),0,-HLOOKUP(Z$7,CF_Table,CF!$AB$45)*$A26)</f>
        <v>0</v>
      </c>
      <c r="AA28" s="226">
        <f ca="1">IF(AA$7&lt;YEAR(Startops1),0,-HLOOKUP(AA$7,CF_Table,CF!$AB$45)*$A26)</f>
        <v>0</v>
      </c>
      <c r="AB28" s="435">
        <f t="shared" ca="1" si="6"/>
        <v>47828.135087795286</v>
      </c>
      <c r="AC28" s="463">
        <f ca="1">IF('Project &amp; Investor Returns'!$I$3=0,F28+NPV(Disc,G28:AA28),E28+NPV(Disc,F28:AA28))</f>
        <v>14837.527574666832</v>
      </c>
      <c r="AG28" s="80"/>
    </row>
    <row r="29" spans="1:33">
      <c r="A29" s="20"/>
      <c r="B29" s="15" t="s">
        <v>1071</v>
      </c>
      <c r="D29" s="161"/>
      <c r="E29" s="226">
        <f>IF(E7=YEAR(Assm!$AB$94),-Assm!$AB$103,0)*$A$26</f>
        <v>0</v>
      </c>
      <c r="F29" s="226">
        <f>IF(F7=YEAR(Assm!$AB$94),-Assm!$AB$103,0)*$A$26</f>
        <v>0</v>
      </c>
      <c r="G29" s="226">
        <f>IF(G7=YEAR(Assm!$AB$94),-Assm!$AB$103,0)*$A$26</f>
        <v>0</v>
      </c>
      <c r="H29" s="226">
        <f>IF(H7=YEAR(Assm!$AB$94),-Assm!$AB$103,0)*$A$26</f>
        <v>0</v>
      </c>
      <c r="I29" s="226">
        <f>IF(I7=YEAR(Assm!$AB$94),-Assm!$AB$103,0)*$A$26</f>
        <v>0</v>
      </c>
      <c r="J29" s="226">
        <f>IF(J7=YEAR(Assm!$AB$94),-Assm!$AB$103,0)*$A$26</f>
        <v>0</v>
      </c>
      <c r="K29" s="226">
        <f>IF(K7=YEAR(Assm!$AB$94),-Assm!$AB$103,0)*$A$26</f>
        <v>0</v>
      </c>
      <c r="L29" s="226">
        <f>IF(L7=YEAR(Assm!$AB$94),-Assm!$AB$103,0)*$A$26</f>
        <v>0</v>
      </c>
      <c r="M29" s="226">
        <f>IF(M7=YEAR(Assm!$AB$94),-Assm!$AB$103,0)*$A$26</f>
        <v>0</v>
      </c>
      <c r="N29" s="226">
        <f>IF(N7=YEAR(Assm!$AB$94),-Assm!$AB$103,0)*$A$26</f>
        <v>0</v>
      </c>
      <c r="O29" s="226">
        <f>IF(O7=YEAR(Assm!$AB$94),-Assm!$AB$103,0)*$A$26</f>
        <v>0</v>
      </c>
      <c r="P29" s="226">
        <f>IF(P7=YEAR(Assm!$AB$94),-Assm!$AB$103,0)*$A$26</f>
        <v>0</v>
      </c>
      <c r="Q29" s="226">
        <f>IF(Q7=YEAR(Assm!$AB$94),-Assm!$AB$103,0)*$A$26</f>
        <v>0</v>
      </c>
      <c r="R29" s="226">
        <f>IF(R7=YEAR(Assm!$AB$94),-Assm!$AB$103,0)*$A$26</f>
        <v>0</v>
      </c>
      <c r="S29" s="226">
        <f>IF(S7=YEAR(Assm!$AB$94),-Assm!$AB$103,0)*$A$26</f>
        <v>0</v>
      </c>
      <c r="T29" s="226">
        <f>IF(T7=YEAR(Assm!$AB$94),-Assm!$AB$103,0)*$A$26</f>
        <v>0</v>
      </c>
      <c r="U29" s="226">
        <f>IF(U7=YEAR(Assm!$AB$94),-Assm!$AB$103,0)*$A$26</f>
        <v>0</v>
      </c>
      <c r="V29" s="226">
        <f>IF(V7=YEAR(Assm!$AB$94),-Assm!$AB$103,0)*$A$26</f>
        <v>0</v>
      </c>
      <c r="W29" s="226">
        <f>IF(W7=YEAR(Assm!$AB$94),-Assm!$AB$103,0)*$A$26</f>
        <v>0</v>
      </c>
      <c r="X29" s="226">
        <f>IF(X7=YEAR(Assm!$AB$94),-Assm!$AB$103,0)*$A$26</f>
        <v>0</v>
      </c>
      <c r="Y29" s="226">
        <f>IF(Y7=YEAR(Assm!$AB$94),-Assm!$AB$103,0)*$A$26</f>
        <v>0</v>
      </c>
      <c r="Z29" s="226">
        <f>IF(Z7=YEAR(Assm!$AB$94),-Assm!$AB$103,0)*$A$26</f>
        <v>0</v>
      </c>
      <c r="AA29" s="226">
        <f>IF(AA7=YEAR(Assm!$AB$94),-Assm!$AB$103,0)*$A$26</f>
        <v>0</v>
      </c>
      <c r="AB29" s="435">
        <f t="shared" si="6"/>
        <v>0</v>
      </c>
      <c r="AC29" s="463">
        <f ca="1">IF('Project &amp; Investor Returns'!$I$3=0,F29+NPV(Disc,G29:AA29),E29+NPV(Disc,F29:AA29))</f>
        <v>0</v>
      </c>
      <c r="AG29" s="80"/>
    </row>
    <row r="30" spans="1:33" s="75" customFormat="1">
      <c r="A30" s="456"/>
      <c r="B30" s="15" t="s">
        <v>169</v>
      </c>
      <c r="C30" s="796">
        <f>USTax*0</f>
        <v>0</v>
      </c>
      <c r="D30" s="79"/>
      <c r="E30" s="142">
        <f ca="1">-SUM(E28:E28)*C30</f>
        <v>0</v>
      </c>
      <c r="F30" s="142">
        <f t="shared" ref="F30:AA30" ca="1" si="7">-SUM(F28:F28)*D30</f>
        <v>0</v>
      </c>
      <c r="G30" s="142">
        <f t="shared" ca="1" si="7"/>
        <v>0</v>
      </c>
      <c r="H30" s="142">
        <f t="shared" ca="1" si="7"/>
        <v>0</v>
      </c>
      <c r="I30" s="142">
        <f t="shared" ca="1" si="7"/>
        <v>0</v>
      </c>
      <c r="J30" s="142">
        <f t="shared" ca="1" si="7"/>
        <v>0</v>
      </c>
      <c r="K30" s="142">
        <f t="shared" ca="1" si="7"/>
        <v>0</v>
      </c>
      <c r="L30" s="142">
        <f t="shared" ca="1" si="7"/>
        <v>0</v>
      </c>
      <c r="M30" s="142">
        <f t="shared" ca="1" si="7"/>
        <v>0</v>
      </c>
      <c r="N30" s="142">
        <f t="shared" ca="1" si="7"/>
        <v>0</v>
      </c>
      <c r="O30" s="142">
        <f t="shared" ca="1" si="7"/>
        <v>0</v>
      </c>
      <c r="P30" s="142">
        <f t="shared" ca="1" si="7"/>
        <v>0</v>
      </c>
      <c r="Q30" s="142">
        <f t="shared" ca="1" si="7"/>
        <v>0</v>
      </c>
      <c r="R30" s="142">
        <f t="shared" ca="1" si="7"/>
        <v>0</v>
      </c>
      <c r="S30" s="142">
        <f t="shared" ca="1" si="7"/>
        <v>0</v>
      </c>
      <c r="T30" s="142">
        <f t="shared" ca="1" si="7"/>
        <v>0</v>
      </c>
      <c r="U30" s="142">
        <f t="shared" ca="1" si="7"/>
        <v>0</v>
      </c>
      <c r="V30" s="142">
        <f t="shared" ca="1" si="7"/>
        <v>0</v>
      </c>
      <c r="W30" s="142">
        <f t="shared" ca="1" si="7"/>
        <v>0</v>
      </c>
      <c r="X30" s="142">
        <f t="shared" ca="1" si="7"/>
        <v>0</v>
      </c>
      <c r="Y30" s="142">
        <f t="shared" ca="1" si="7"/>
        <v>0</v>
      </c>
      <c r="Z30" s="142">
        <f t="shared" ca="1" si="7"/>
        <v>0</v>
      </c>
      <c r="AA30" s="142">
        <f t="shared" ca="1" si="7"/>
        <v>0</v>
      </c>
      <c r="AB30" s="436">
        <f t="shared" ca="1" si="6"/>
        <v>0</v>
      </c>
      <c r="AC30" s="464">
        <f ca="1">IF('Project &amp; Investor Returns'!$I$3=0,F30+NPV(Disc,G30:AA30),E30+NPV(Disc,F30:AA30))</f>
        <v>0</v>
      </c>
      <c r="AD30" s="15"/>
      <c r="AG30" s="80"/>
    </row>
    <row r="31" spans="1:33" s="81" customFormat="1">
      <c r="A31" s="458"/>
      <c r="B31" s="15" t="s">
        <v>170</v>
      </c>
      <c r="C31" s="15"/>
      <c r="D31" s="15"/>
      <c r="E31" s="37">
        <f t="shared" ref="E31:AA31" ca="1" si="8">SUM(E25:E30)</f>
        <v>0</v>
      </c>
      <c r="F31" s="37">
        <f t="shared" ca="1" si="8"/>
        <v>-92793.570204919088</v>
      </c>
      <c r="G31" s="37">
        <f t="shared" ca="1" si="8"/>
        <v>-1978.5080752796939</v>
      </c>
      <c r="H31" s="37">
        <f t="shared" ca="1" si="8"/>
        <v>-126803.99091179029</v>
      </c>
      <c r="I31" s="37">
        <f t="shared" ca="1" si="8"/>
        <v>5523.0374346736553</v>
      </c>
      <c r="J31" s="37">
        <f t="shared" ca="1" si="8"/>
        <v>9389.7488687958248</v>
      </c>
      <c r="K31" s="37">
        <f t="shared" ca="1" si="8"/>
        <v>14163.930117714632</v>
      </c>
      <c r="L31" s="37">
        <f t="shared" ca="1" si="8"/>
        <v>-314.01770085575208</v>
      </c>
      <c r="M31" s="37">
        <f t="shared" ca="1" si="8"/>
        <v>21466.328136202668</v>
      </c>
      <c r="N31" s="37">
        <f t="shared" ca="1" si="8"/>
        <v>22676.188376642451</v>
      </c>
      <c r="O31" s="37">
        <f t="shared" ca="1" si="8"/>
        <v>19680.895929008031</v>
      </c>
      <c r="P31" s="37">
        <f t="shared" ca="1" si="8"/>
        <v>17964.662792129871</v>
      </c>
      <c r="Q31" s="37">
        <f t="shared" ca="1" si="8"/>
        <v>19960.948408037082</v>
      </c>
      <c r="R31" s="37">
        <f t="shared" ca="1" si="8"/>
        <v>21109.11300710306</v>
      </c>
      <c r="S31" s="37">
        <f t="shared" ca="1" si="8"/>
        <v>16578.890893458607</v>
      </c>
      <c r="T31" s="37">
        <f t="shared" ca="1" si="8"/>
        <v>14625.799128065009</v>
      </c>
      <c r="U31" s="37">
        <f t="shared" ca="1" si="8"/>
        <v>22595.019747967082</v>
      </c>
      <c r="V31" s="37">
        <f t="shared" ca="1" si="8"/>
        <v>8278.3502813267496</v>
      </c>
      <c r="W31" s="37">
        <f t="shared" ca="1" si="8"/>
        <v>-3309.7179312985145</v>
      </c>
      <c r="X31" s="37">
        <f t="shared" ca="1" si="8"/>
        <v>4765.3455060451079</v>
      </c>
      <c r="Y31" s="37">
        <f t="shared" ca="1" si="8"/>
        <v>3123.8344313035659</v>
      </c>
      <c r="Z31" s="37">
        <f t="shared" ca="1" si="8"/>
        <v>4377.1312670918787</v>
      </c>
      <c r="AA31" s="37">
        <f t="shared" ca="1" si="8"/>
        <v>5381.4958778189466</v>
      </c>
      <c r="AB31" s="435">
        <f t="shared" ca="1" si="6"/>
        <v>6460.9153792408752</v>
      </c>
      <c r="AC31" s="435">
        <f ca="1">SUM(AC25:AC30)</f>
        <v>-139786.34683526805</v>
      </c>
      <c r="AD31" s="15"/>
    </row>
    <row r="32" spans="1:33" s="81" customFormat="1" hidden="1">
      <c r="A32" s="458"/>
      <c r="B32" s="15"/>
      <c r="C32" s="15"/>
      <c r="D32" s="15"/>
      <c r="E32" s="1331">
        <f t="shared" ref="E32:AC32" ca="1" si="9">SUM(E26:E30)</f>
        <v>0</v>
      </c>
      <c r="F32" s="1331">
        <f t="shared" ca="1" si="9"/>
        <v>0</v>
      </c>
      <c r="G32" s="1331">
        <f t="shared" ca="1" si="9"/>
        <v>0</v>
      </c>
      <c r="H32" s="1331">
        <f t="shared" ca="1" si="9"/>
        <v>-37368.759506708469</v>
      </c>
      <c r="I32" s="1331">
        <f t="shared" ca="1" si="9"/>
        <v>-9686.2720246091048</v>
      </c>
      <c r="J32" s="1331">
        <f t="shared" ca="1" si="9"/>
        <v>8625.7424199193592</v>
      </c>
      <c r="K32" s="1331">
        <f t="shared" ca="1" si="9"/>
        <v>8625.7424199193574</v>
      </c>
      <c r="L32" s="1331">
        <f t="shared" ca="1" si="9"/>
        <v>8625.7424199193556</v>
      </c>
      <c r="M32" s="1331">
        <f t="shared" ca="1" si="9"/>
        <v>8625.7424199193574</v>
      </c>
      <c r="N32" s="1331">
        <f t="shared" ca="1" si="9"/>
        <v>8625.7424199193556</v>
      </c>
      <c r="O32" s="1331">
        <f t="shared" ca="1" si="9"/>
        <v>8625.7424199193538</v>
      </c>
      <c r="P32" s="1331">
        <f t="shared" ca="1" si="9"/>
        <v>8625.742419919352</v>
      </c>
      <c r="Q32" s="1331">
        <f t="shared" ca="1" si="9"/>
        <v>8625.7424199193501</v>
      </c>
      <c r="R32" s="1331">
        <f t="shared" ca="1" si="9"/>
        <v>8625.7424199193465</v>
      </c>
      <c r="S32" s="1331">
        <f t="shared" ca="1" si="9"/>
        <v>8625.7424199193447</v>
      </c>
      <c r="T32" s="1331">
        <f t="shared" ca="1" si="9"/>
        <v>8625.7424199193265</v>
      </c>
      <c r="U32" s="1331">
        <f t="shared" ca="1" si="9"/>
        <v>0</v>
      </c>
      <c r="V32" s="1331">
        <f t="shared" ca="1" si="9"/>
        <v>0</v>
      </c>
      <c r="W32" s="1331">
        <f t="shared" ca="1" si="9"/>
        <v>0</v>
      </c>
      <c r="X32" s="1331">
        <f t="shared" ca="1" si="9"/>
        <v>0</v>
      </c>
      <c r="Y32" s="1331">
        <f t="shared" ca="1" si="9"/>
        <v>0</v>
      </c>
      <c r="Z32" s="1331">
        <f t="shared" ca="1" si="9"/>
        <v>0</v>
      </c>
      <c r="AA32" s="1331">
        <f t="shared" ca="1" si="9"/>
        <v>0</v>
      </c>
      <c r="AB32" s="1333">
        <f t="shared" ca="1" si="9"/>
        <v>47828.135087795286</v>
      </c>
      <c r="AC32" s="1333">
        <f t="shared" ca="1" si="9"/>
        <v>-9171.6588375163719</v>
      </c>
      <c r="AD32" s="15"/>
    </row>
    <row r="33" spans="1:30" hidden="1">
      <c r="A33" s="20"/>
      <c r="B33" s="15" t="s">
        <v>472</v>
      </c>
      <c r="E33" s="221">
        <f ca="1">$E31</f>
        <v>0</v>
      </c>
      <c r="F33" s="221">
        <f ca="1">IF('Project &amp; Investor Returns'!$I$3=0,$F31,$E31+NPV(Disc,$F31:F31))</f>
        <v>-92793.570204919088</v>
      </c>
      <c r="G33" s="37">
        <f ca="1">IF('Project &amp; Investor Returns'!$I$3=0,$F31+NPV(Disc, $G31:G31),$E31+NPV(Disc,$F31:G31))</f>
        <v>-94456.182032885219</v>
      </c>
      <c r="H33" s="37">
        <f ca="1">IF('Project &amp; Investor Returns'!$I$3=0,$F31+NPV(Disc, $G31:H31),$E31+NPV(Disc,$F31:H31))</f>
        <v>-184000.69930694095</v>
      </c>
      <c r="I33" s="37">
        <f ca="1">IF('Project &amp; Investor Returns'!$I$3=0,$F31+NPV(Disc, $G31:I31),$E31+NPV(Disc,$F31:I31))</f>
        <v>-180723.24155092286</v>
      </c>
      <c r="J33" s="37">
        <f ca="1">IF('Project &amp; Investor Returns'!$I$3=0,$F31+NPV(Disc, $G31:J31),$E31+NPV(Disc,$F31:J31))</f>
        <v>-176040.86720648673</v>
      </c>
      <c r="K33" s="37">
        <f ca="1">IF('Project &amp; Investor Returns'!$I$3=0,$F31+NPV(Disc, $G31:K31),$E31+NPV(Disc,$F31:K31))</f>
        <v>-170105.48120074769</v>
      </c>
      <c r="L33" s="37">
        <f ca="1">IF('Project &amp; Investor Returns'!$I$3=0,$F31+NPV(Disc, $G31:L31),$E31+NPV(Disc,$F31:L31))</f>
        <v>-170216.06012512144</v>
      </c>
      <c r="M33" s="37">
        <f ca="1">IF('Project &amp; Investor Returns'!$I$3=0,$F31+NPV(Disc, $G31:M31),$E31+NPV(Disc,$F31:M31))</f>
        <v>-163863.78888603218</v>
      </c>
      <c r="N33" s="37">
        <f ca="1">IF('Project &amp; Investor Returns'!$I$3=0,$F31+NPV(Disc, $G31:N31),$E31+NPV(Disc,$F31:N31))</f>
        <v>-158224.88924846385</v>
      </c>
      <c r="O33" s="37">
        <f ca="1">IF('Project &amp; Investor Returns'!$I$3=0,$F31+NPV(Disc, $G31:O31),$E31+NPV(Disc,$F31:O31))</f>
        <v>-154112.23488191934</v>
      </c>
      <c r="P33" s="37">
        <f ca="1">IF('Project &amp; Investor Returns'!$I$3=0,$F31+NPV(Disc, $G31:P31),$E31+NPV(Disc,$F31:P31))</f>
        <v>-150957.59742455892</v>
      </c>
      <c r="Q33" s="37">
        <f ca="1">IF('Project &amp; Investor Returns'!$I$3=0,$F31+NPV(Disc, $G31:Q31),$E31+NPV(Disc,$F31:Q31))</f>
        <v>-148012.05964872162</v>
      </c>
      <c r="R33" s="37">
        <f ca="1">IF('Project &amp; Investor Returns'!$I$3=0,$F31+NPV(Disc, $G31:R31),$E31+NPV(Disc,$F31:R31))</f>
        <v>-145394.44056528676</v>
      </c>
      <c r="S33" s="37">
        <f ca="1">IF('Project &amp; Investor Returns'!$I$3=0,$F31+NPV(Disc, $G31:S31),$E31+NPV(Disc,$F31:S31))</f>
        <v>-143666.83348467259</v>
      </c>
      <c r="T33" s="37">
        <f ca="1">IF('Project &amp; Investor Returns'!$I$3=0,$F31+NPV(Disc, $G31:T31),$E31+NPV(Disc,$F31:T31))</f>
        <v>-142386.09003019123</v>
      </c>
      <c r="U33" s="37">
        <f ca="1">IF('Project &amp; Investor Returns'!$I$3=0,$F31+NPV(Disc, $G31:U31),$E31+NPV(Disc,$F31:U31))</f>
        <v>-140723.41144073388</v>
      </c>
      <c r="V33" s="37">
        <f ca="1">IF('Project &amp; Investor Returns'!$I$3=0,$F31+NPV(Disc, $G31:V31),$E31+NPV(Disc,$F31:V31))</f>
        <v>-140211.50285164328</v>
      </c>
      <c r="W33" s="37">
        <f ca="1">IF('Project &amp; Investor Returns'!$I$3=0,$F31+NPV(Disc, $G31:W31),$E31+NPV(Disc,$F31:W31))</f>
        <v>-140383.4886707759</v>
      </c>
      <c r="X33" s="37">
        <f ca="1">IF('Project &amp; Investor Returns'!$I$3=0,$F31+NPV(Disc, $G31:X31),$E31+NPV(Disc,$F31:X31))</f>
        <v>-140175.39968709505</v>
      </c>
      <c r="Y33" s="37">
        <f ca="1">IF('Project &amp; Investor Returns'!$I$3=0,$F31+NPV(Disc, $G31:Y31),$E31+NPV(Disc,$F31:Y31))</f>
        <v>-140060.77036052823</v>
      </c>
      <c r="Z33" s="37">
        <f ca="1">IF('Project &amp; Investor Returns'!$I$3=0,$F31+NPV(Disc, $G31:Z31),$E31+NPV(Disc,$F31:Z31))</f>
        <v>-139925.79629072346</v>
      </c>
      <c r="AA33" s="37">
        <f ca="1">IF('Project &amp; Investor Returns'!$I$3=0,$F31+NPV(Disc, $G31:AA31),$E31+NPV(Disc,$F31:AA31))</f>
        <v>-139786.34683526805</v>
      </c>
      <c r="AB33" s="466"/>
      <c r="AC33" s="435">
        <f ca="1">AC31</f>
        <v>-139786.34683526805</v>
      </c>
      <c r="AD33" s="1331">
        <f ca="1">NPV(Disc,F32:AA32)+E32</f>
        <v>-7707.2763340473748</v>
      </c>
    </row>
    <row r="34" spans="1:30" hidden="1">
      <c r="A34" s="20"/>
      <c r="B34" s="15" t="s">
        <v>473</v>
      </c>
      <c r="E34" s="32" t="e">
        <f ca="1">IRR($E31:E31,-0.9)</f>
        <v>#NUM!</v>
      </c>
      <c r="F34" s="32" t="e">
        <f ca="1">IRR($E31:F31,-0.9)</f>
        <v>#NUM!</v>
      </c>
      <c r="G34" s="32" t="e">
        <f ca="1">IRR($E31:G31,-0.9)</f>
        <v>#NUM!</v>
      </c>
      <c r="H34" s="32" t="e">
        <f ca="1">IRR($E31:H31,-0.9)</f>
        <v>#NUM!</v>
      </c>
      <c r="I34" s="32" t="e">
        <f ca="1">IRR($E31:I31,-0.9)</f>
        <v>#NUM!</v>
      </c>
      <c r="J34" s="32">
        <f ca="1">IRR($E31:J31,-0.9)</f>
        <v>-0.71491885945627986</v>
      </c>
      <c r="K34" s="32">
        <f ca="1">IRR($E31:K31,-0.9)</f>
        <v>-0.48800745139075724</v>
      </c>
      <c r="L34" s="32">
        <f ca="1">IRR($E31:L31,-0.9)</f>
        <v>-0.49335352060416077</v>
      </c>
      <c r="M34" s="32">
        <f ca="1">IRR($E31:M31,-0.9)</f>
        <v>-0.28250721121435413</v>
      </c>
      <c r="N34" s="32">
        <f ca="1">IRR($E31:N31,-0.9)</f>
        <v>-0.19030099386765989</v>
      </c>
      <c r="O34" s="32">
        <f ca="1">IRR($E31:O31,-0.9)</f>
        <v>-0.13860909316003833</v>
      </c>
      <c r="P34" s="32">
        <f ca="1">IRR($E31:P31,-0.9)</f>
        <v>-0.10353700842385549</v>
      </c>
      <c r="Q34" s="32">
        <f ca="1">IRR($E31:Q31,-0.9)</f>
        <v>-7.3728992446168692E-2</v>
      </c>
      <c r="R34" s="32">
        <f ca="1">IRR($E31:R31,-0.9)</f>
        <v>-4.9587560577238163E-2</v>
      </c>
      <c r="S34" s="32">
        <f ca="1">IRR($E31:S31,-0.9)</f>
        <v>-3.4361392292967391E-2</v>
      </c>
      <c r="T34" s="32">
        <f ca="1">IRR($E31:T31,-0.9)</f>
        <v>-2.2991603184009925E-2</v>
      </c>
      <c r="U34" s="32">
        <f ca="1">IRR($E31:U31,-0.9)</f>
        <v>-8.5286068614483235E-3</v>
      </c>
      <c r="V34" s="32">
        <f ca="1">IRR($E31:V31,-0.9)</f>
        <v>-3.9910192233757755E-3</v>
      </c>
      <c r="W34" s="32">
        <f ca="1">IRR($E31:W31,-0.9)</f>
        <v>-0.77141299318773837</v>
      </c>
      <c r="X34" s="32">
        <f ca="1">IRR($E31:X31,-0.9)</f>
        <v>-3.2207357777678208E-3</v>
      </c>
      <c r="Y34" s="32">
        <f ca="1">IRR($E31:Y31,-0.9)</f>
        <v>-1.6227140744144476E-3</v>
      </c>
      <c r="Z34" s="32">
        <f ca="1">IRR($E31:Z31,-0.9)</f>
        <v>5.1666760342327083E-4</v>
      </c>
      <c r="AA34" s="32">
        <f ca="1">IRR($E31:AA31,-0.9)</f>
        <v>2.9878631024500514E-3</v>
      </c>
      <c r="AB34" s="465"/>
      <c r="AC34" s="471">
        <f ca="1">IRR(E31:AA31,-0.9)</f>
        <v>2.9878631024500514E-3</v>
      </c>
      <c r="AD34" s="1337">
        <f ca="1">IF(ISERROR(IRR(E32:AA32,-0.9)),"Infinite",IRR(E32:AA32,-0.9))</f>
        <v>0.11877102887174809</v>
      </c>
    </row>
    <row r="35" spans="1:30" ht="12.75" hidden="1" customHeight="1">
      <c r="A35" s="20"/>
      <c r="C35" s="833" t="s">
        <v>498</v>
      </c>
      <c r="D35" s="833" t="s">
        <v>499</v>
      </c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465"/>
      <c r="AC35" s="430"/>
    </row>
    <row r="36" spans="1:30" hidden="1">
      <c r="A36" s="20"/>
      <c r="B36" s="243" t="s">
        <v>1082</v>
      </c>
      <c r="C36" s="1329">
        <f ca="1">AC33</f>
        <v>-139786.34683526805</v>
      </c>
      <c r="D36" s="452">
        <f ca="1">AD33</f>
        <v>-7707.2763340473748</v>
      </c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465"/>
      <c r="AC36" s="430"/>
    </row>
    <row r="37" spans="1:30" ht="13.5" hidden="1" thickBot="1">
      <c r="A37" s="48"/>
      <c r="B37" s="462" t="s">
        <v>1081</v>
      </c>
      <c r="C37" s="1332">
        <f ca="1">AC34</f>
        <v>2.9878631024500514E-3</v>
      </c>
      <c r="D37" s="1340">
        <f ca="1">AD34</f>
        <v>0.11877102887174809</v>
      </c>
      <c r="E37" s="49"/>
      <c r="F37" s="713"/>
      <c r="G37" s="713"/>
      <c r="H37" s="713"/>
      <c r="I37" s="713"/>
      <c r="J37" s="713"/>
      <c r="K37" s="713"/>
      <c r="L37" s="713"/>
      <c r="M37" s="713"/>
      <c r="N37" s="713"/>
      <c r="O37" s="713"/>
      <c r="P37" s="713"/>
      <c r="Q37" s="713"/>
      <c r="R37" s="713"/>
      <c r="S37" s="713"/>
      <c r="T37" s="713"/>
      <c r="U37" s="713"/>
      <c r="V37" s="713"/>
      <c r="W37" s="713"/>
      <c r="X37" s="713"/>
      <c r="Y37" s="713"/>
      <c r="Z37" s="713"/>
      <c r="AA37" s="713"/>
      <c r="AB37" s="714"/>
      <c r="AC37" s="443"/>
    </row>
    <row r="38" spans="1:30" ht="13.5" thickBot="1">
      <c r="A38" s="48"/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125"/>
    </row>
    <row r="39" spans="1:30">
      <c r="A39" s="412" t="s">
        <v>1609</v>
      </c>
      <c r="B39" s="11"/>
      <c r="C39" s="1550">
        <v>0.15</v>
      </c>
    </row>
    <row r="40" spans="1:30">
      <c r="A40" s="20" t="s">
        <v>414</v>
      </c>
      <c r="C40" s="1551">
        <f ca="1">NPV(C39,H31:AA31)</f>
        <v>-42490.634972475578</v>
      </c>
    </row>
    <row r="41" spans="1:30">
      <c r="A41" s="20" t="s">
        <v>413</v>
      </c>
      <c r="C41" s="135">
        <f ca="1">IRR(H31:AA31)</f>
        <v>7.4065807156896479E-2</v>
      </c>
    </row>
    <row r="42" spans="1:30">
      <c r="A42" s="20"/>
      <c r="C42" s="21"/>
    </row>
    <row r="43" spans="1:30">
      <c r="A43" s="27" t="s">
        <v>1610</v>
      </c>
      <c r="C43" s="21"/>
    </row>
    <row r="44" spans="1:30">
      <c r="A44" s="20" t="s">
        <v>781</v>
      </c>
      <c r="C44" s="33">
        <f ca="1">C10</f>
        <v>92793.570204919088</v>
      </c>
    </row>
    <row r="45" spans="1:30">
      <c r="A45" s="20" t="s">
        <v>105</v>
      </c>
      <c r="C45" s="35">
        <f ca="1">-SUM(H26:I26)</f>
        <v>49749.813072758669</v>
      </c>
    </row>
    <row r="46" spans="1:30" ht="13.5" thickBot="1">
      <c r="A46" s="48" t="s">
        <v>1611</v>
      </c>
      <c r="B46" s="49"/>
      <c r="C46" s="52">
        <f ca="1">SUM(C44:C45)</f>
        <v>142543.38327767776</v>
      </c>
    </row>
  </sheetData>
  <printOptions horizontalCentered="1"/>
  <pageMargins left="0.25" right="0.25" top="0.5" bottom="0.5" header="0.25" footer="0.25"/>
  <pageSetup scale="33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AE93"/>
  <sheetViews>
    <sheetView showGridLines="0" topLeftCell="A34" zoomScale="90" zoomScaleNormal="90" workbookViewId="0">
      <selection activeCell="A76" sqref="A76"/>
    </sheetView>
  </sheetViews>
  <sheetFormatPr defaultRowHeight="12.75"/>
  <cols>
    <col min="1" max="1" width="1.7109375" style="15" customWidth="1"/>
    <col min="2" max="2" width="45.7109375" style="7" customWidth="1"/>
    <col min="3" max="4" width="9.7109375" style="7" customWidth="1"/>
    <col min="5" max="27" width="10.7109375" style="7" customWidth="1"/>
    <col min="28" max="28" width="12.7109375" style="15" customWidth="1"/>
    <col min="29" max="16384" width="9.140625" style="7"/>
  </cols>
  <sheetData>
    <row r="1" spans="1:31" s="1" customFormat="1" ht="15.75">
      <c r="A1" s="1137" t="str">
        <f>CONCATENATE(TOC!B2," ",TOC!B6)</f>
        <v>EMPRESSA PRODUTORA DE ENERGÍA LTDA (EPE) *** DRAFT COPY ***</v>
      </c>
      <c r="AD1" s="15"/>
      <c r="AE1" s="15"/>
    </row>
    <row r="2" spans="1:31" s="1" customFormat="1" ht="15.75">
      <c r="A2" s="1137" t="str">
        <f>TOC!B3</f>
        <v>480 MW POWER PLANT (CUIABA, BRAZIL)</v>
      </c>
      <c r="AD2" s="15"/>
      <c r="AE2" s="15"/>
    </row>
    <row r="3" spans="1:31" s="1" customFormat="1" ht="15">
      <c r="A3" s="118" t="str">
        <f>TOC!B4</f>
        <v>ENRON INTERNATIONAL</v>
      </c>
      <c r="AD3" s="15"/>
      <c r="AE3" s="15"/>
    </row>
    <row r="4" spans="1:31" s="1" customFormat="1" ht="15">
      <c r="A4" s="932" t="s">
        <v>482</v>
      </c>
      <c r="B4" s="933"/>
      <c r="AD4" s="15"/>
      <c r="AE4" s="15"/>
    </row>
    <row r="5" spans="1:31" customFormat="1" ht="13.5" thickBot="1">
      <c r="A5" s="1"/>
      <c r="B5" s="7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D5" s="15"/>
      <c r="AE5" s="15"/>
    </row>
    <row r="6" spans="1:31" s="15" customFormat="1">
      <c r="A6" s="412" t="s">
        <v>443</v>
      </c>
      <c r="B6" s="11"/>
      <c r="C6" s="11"/>
      <c r="D6" s="11"/>
      <c r="E6" s="11">
        <f ca="1">'Project &amp; Investor Returns'!E$6</f>
        <v>0</v>
      </c>
      <c r="F6" s="11">
        <f ca="1">'Project &amp; Investor Returns'!F$6</f>
        <v>0</v>
      </c>
      <c r="G6" s="11">
        <f ca="1">'Project &amp; Investor Returns'!G$6</f>
        <v>1</v>
      </c>
      <c r="H6" s="11">
        <f ca="1">'Project &amp; Investor Returns'!H$6</f>
        <v>2</v>
      </c>
      <c r="I6" s="11">
        <f ca="1">'Project &amp; Investor Returns'!I$6</f>
        <v>3</v>
      </c>
      <c r="J6" s="11">
        <f ca="1">'Project &amp; Investor Returns'!J$6</f>
        <v>4</v>
      </c>
      <c r="K6" s="11">
        <f ca="1">'Project &amp; Investor Returns'!K$6</f>
        <v>5</v>
      </c>
      <c r="L6" s="11">
        <f ca="1">'Project &amp; Investor Returns'!L$6</f>
        <v>6</v>
      </c>
      <c r="M6" s="11">
        <f ca="1">'Project &amp; Investor Returns'!M$6</f>
        <v>7</v>
      </c>
      <c r="N6" s="11">
        <f ca="1">'Project &amp; Investor Returns'!N$6</f>
        <v>8</v>
      </c>
      <c r="O6" s="11">
        <f ca="1">'Project &amp; Investor Returns'!O$6</f>
        <v>9</v>
      </c>
      <c r="P6" s="11">
        <f ca="1">'Project &amp; Investor Returns'!P$6</f>
        <v>10</v>
      </c>
      <c r="Q6" s="11">
        <f ca="1">'Project &amp; Investor Returns'!Q$6</f>
        <v>11</v>
      </c>
      <c r="R6" s="11">
        <f ca="1">'Project &amp; Investor Returns'!R$6</f>
        <v>12</v>
      </c>
      <c r="S6" s="11">
        <f ca="1">'Project &amp; Investor Returns'!S$6</f>
        <v>13</v>
      </c>
      <c r="T6" s="11">
        <f ca="1">'Project &amp; Investor Returns'!T$6</f>
        <v>14</v>
      </c>
      <c r="U6" s="11">
        <f ca="1">'Project &amp; Investor Returns'!U$6</f>
        <v>15</v>
      </c>
      <c r="V6" s="11">
        <f ca="1">'Project &amp; Investor Returns'!V$6</f>
        <v>16</v>
      </c>
      <c r="W6" s="11">
        <f ca="1">'Project &amp; Investor Returns'!W$6</f>
        <v>17</v>
      </c>
      <c r="X6" s="11">
        <f ca="1">'Project &amp; Investor Returns'!X$6</f>
        <v>18</v>
      </c>
      <c r="Y6" s="11">
        <f ca="1">'Project &amp; Investor Returns'!Y$6</f>
        <v>19</v>
      </c>
      <c r="Z6" s="11">
        <f ca="1">'Project &amp; Investor Returns'!Z$6</f>
        <v>20</v>
      </c>
      <c r="AA6" s="11">
        <f ca="1">'Project &amp; Investor Returns'!AA$6</f>
        <v>21</v>
      </c>
      <c r="AB6" s="424"/>
    </row>
    <row r="7" spans="1:31" s="15" customFormat="1" ht="13.5" thickBot="1">
      <c r="A7" s="455" t="s">
        <v>444</v>
      </c>
      <c r="B7" s="49"/>
      <c r="C7" s="49"/>
      <c r="D7" s="49"/>
      <c r="E7" s="83">
        <f>'Project &amp; Investor Returns'!E$7</f>
        <v>1997</v>
      </c>
      <c r="F7" s="83">
        <f>'Project &amp; Investor Returns'!F$7</f>
        <v>1998</v>
      </c>
      <c r="G7" s="83">
        <f>'Project &amp; Investor Returns'!G$7</f>
        <v>1999</v>
      </c>
      <c r="H7" s="83">
        <f>'Project &amp; Investor Returns'!H$7</f>
        <v>2000</v>
      </c>
      <c r="I7" s="83">
        <f>'Project &amp; Investor Returns'!I$7</f>
        <v>2001</v>
      </c>
      <c r="J7" s="83">
        <f>'Project &amp; Investor Returns'!J$7</f>
        <v>2002</v>
      </c>
      <c r="K7" s="83">
        <f>'Project &amp; Investor Returns'!K$7</f>
        <v>2003</v>
      </c>
      <c r="L7" s="83">
        <f>'Project &amp; Investor Returns'!L$7</f>
        <v>2004</v>
      </c>
      <c r="M7" s="83">
        <f>'Project &amp; Investor Returns'!M$7</f>
        <v>2005</v>
      </c>
      <c r="N7" s="83">
        <f>'Project &amp; Investor Returns'!N$7</f>
        <v>2006</v>
      </c>
      <c r="O7" s="83">
        <f>'Project &amp; Investor Returns'!O$7</f>
        <v>2007</v>
      </c>
      <c r="P7" s="83">
        <f>'Project &amp; Investor Returns'!P$7</f>
        <v>2008</v>
      </c>
      <c r="Q7" s="83">
        <f>'Project &amp; Investor Returns'!Q$7</f>
        <v>2009</v>
      </c>
      <c r="R7" s="83">
        <f>'Project &amp; Investor Returns'!R$7</f>
        <v>2010</v>
      </c>
      <c r="S7" s="83">
        <f>'Project &amp; Investor Returns'!S$7</f>
        <v>2011</v>
      </c>
      <c r="T7" s="83">
        <f>'Project &amp; Investor Returns'!T$7</f>
        <v>2012</v>
      </c>
      <c r="U7" s="83">
        <f>'Project &amp; Investor Returns'!U$7</f>
        <v>2013</v>
      </c>
      <c r="V7" s="83">
        <f>'Project &amp; Investor Returns'!V$7</f>
        <v>2014</v>
      </c>
      <c r="W7" s="83">
        <f>'Project &amp; Investor Returns'!W$7</f>
        <v>2015</v>
      </c>
      <c r="X7" s="83">
        <f>'Project &amp; Investor Returns'!X$7</f>
        <v>2016</v>
      </c>
      <c r="Y7" s="83">
        <f>'Project &amp; Investor Returns'!Y$7</f>
        <v>2017</v>
      </c>
      <c r="Z7" s="83">
        <f>'Project &amp; Investor Returns'!Z$7</f>
        <v>2018</v>
      </c>
      <c r="AA7" s="83">
        <f>'Project &amp; Investor Returns'!AA$7</f>
        <v>2019</v>
      </c>
      <c r="AB7" s="425" t="s">
        <v>441</v>
      </c>
    </row>
    <row r="8" spans="1:31" customFormat="1">
      <c r="A8" s="416"/>
      <c r="B8" s="15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426"/>
      <c r="AD8" s="15"/>
      <c r="AE8" s="15"/>
    </row>
    <row r="9" spans="1:31" s="15" customFormat="1">
      <c r="A9" s="20" t="s">
        <v>785</v>
      </c>
      <c r="E9" s="218">
        <f>Rev_Exp!C9</f>
        <v>0</v>
      </c>
      <c r="F9" s="218">
        <f ca="1">Rev_Exp!D9</f>
        <v>0</v>
      </c>
      <c r="G9" s="218">
        <f ca="1">Rev_Exp!E9</f>
        <v>9</v>
      </c>
      <c r="H9" s="218">
        <f ca="1">Rev_Exp!F9</f>
        <v>12</v>
      </c>
      <c r="I9" s="218">
        <f>Rev_Exp!G9</f>
        <v>0</v>
      </c>
      <c r="J9" s="218">
        <f ca="1">Rev_Exp!H9</f>
        <v>0</v>
      </c>
      <c r="K9" s="218">
        <f ca="1">Rev_Exp!I9</f>
        <v>0</v>
      </c>
      <c r="L9" s="218">
        <f ca="1">Rev_Exp!J9</f>
        <v>0</v>
      </c>
      <c r="M9" s="218">
        <f ca="1">Rev_Exp!K9</f>
        <v>0</v>
      </c>
      <c r="N9" s="218">
        <f ca="1">Rev_Exp!L9</f>
        <v>0</v>
      </c>
      <c r="O9" s="218">
        <f ca="1">Rev_Exp!M9</f>
        <v>0</v>
      </c>
      <c r="P9" s="218">
        <f ca="1">Rev_Exp!N9</f>
        <v>0</v>
      </c>
      <c r="Q9" s="218">
        <f ca="1">Rev_Exp!O9</f>
        <v>0</v>
      </c>
      <c r="R9" s="218">
        <f ca="1">Rev_Exp!P9</f>
        <v>0</v>
      </c>
      <c r="S9" s="218">
        <f ca="1">Rev_Exp!Q9</f>
        <v>0</v>
      </c>
      <c r="T9" s="218">
        <f ca="1">Rev_Exp!R9</f>
        <v>0</v>
      </c>
      <c r="U9" s="218">
        <f ca="1">Rev_Exp!S9</f>
        <v>0</v>
      </c>
      <c r="V9" s="218">
        <f ca="1">Rev_Exp!T9</f>
        <v>0</v>
      </c>
      <c r="W9" s="218">
        <f ca="1">Rev_Exp!U9</f>
        <v>0</v>
      </c>
      <c r="X9" s="218">
        <f ca="1">Rev_Exp!V9</f>
        <v>0</v>
      </c>
      <c r="Y9" s="218">
        <f ca="1">Rev_Exp!W9</f>
        <v>0</v>
      </c>
      <c r="Z9" s="218">
        <f ca="1">Rev_Exp!X9</f>
        <v>0</v>
      </c>
      <c r="AA9" s="218">
        <f ca="1">Rev_Exp!Y9</f>
        <v>0</v>
      </c>
      <c r="AB9" s="430">
        <f ca="1">SUM(E9:AA9)</f>
        <v>21</v>
      </c>
    </row>
    <row r="10" spans="1:31" s="15" customFormat="1">
      <c r="A10" s="20" t="s">
        <v>788</v>
      </c>
      <c r="E10" s="218">
        <f>Rev_Exp!C10</f>
        <v>0</v>
      </c>
      <c r="F10" s="218">
        <f ca="1">Rev_Exp!D10</f>
        <v>0</v>
      </c>
      <c r="G10" s="218">
        <f ca="1">Rev_Exp!E10</f>
        <v>0</v>
      </c>
      <c r="H10" s="218">
        <f ca="1">Rev_Exp!F10</f>
        <v>0</v>
      </c>
      <c r="I10" s="218">
        <f ca="1">Rev_Exp!G10</f>
        <v>7</v>
      </c>
      <c r="J10" s="218">
        <f ca="1">Rev_Exp!H10</f>
        <v>0</v>
      </c>
      <c r="K10" s="218">
        <f ca="1">Rev_Exp!I10</f>
        <v>0</v>
      </c>
      <c r="L10" s="218">
        <f ca="1">Rev_Exp!J10</f>
        <v>0</v>
      </c>
      <c r="M10" s="218">
        <f ca="1">Rev_Exp!K10</f>
        <v>0</v>
      </c>
      <c r="N10" s="218">
        <f ca="1">Rev_Exp!L10</f>
        <v>0</v>
      </c>
      <c r="O10" s="218">
        <f ca="1">Rev_Exp!M10</f>
        <v>0</v>
      </c>
      <c r="P10" s="218">
        <f ca="1">Rev_Exp!N10</f>
        <v>0</v>
      </c>
      <c r="Q10" s="218">
        <f ca="1">Rev_Exp!O10</f>
        <v>0</v>
      </c>
      <c r="R10" s="218">
        <f ca="1">Rev_Exp!P10</f>
        <v>0</v>
      </c>
      <c r="S10" s="218">
        <f ca="1">Rev_Exp!Q10</f>
        <v>0</v>
      </c>
      <c r="T10" s="218">
        <f ca="1">Rev_Exp!R10</f>
        <v>0</v>
      </c>
      <c r="U10" s="218">
        <f ca="1">Rev_Exp!S10</f>
        <v>0</v>
      </c>
      <c r="V10" s="218">
        <f ca="1">Rev_Exp!T10</f>
        <v>0</v>
      </c>
      <c r="W10" s="218">
        <f ca="1">Rev_Exp!U10</f>
        <v>0</v>
      </c>
      <c r="X10" s="218">
        <f ca="1">Rev_Exp!V10</f>
        <v>0</v>
      </c>
      <c r="Y10" s="218">
        <f ca="1">Rev_Exp!W10</f>
        <v>0</v>
      </c>
      <c r="Z10" s="218">
        <f ca="1">Rev_Exp!X10</f>
        <v>0</v>
      </c>
      <c r="AA10" s="218">
        <f ca="1">Rev_Exp!Y10</f>
        <v>0</v>
      </c>
      <c r="AB10" s="430">
        <f ca="1">SUM(E10:AA10)</f>
        <v>7</v>
      </c>
    </row>
    <row r="11" spans="1:31" s="15" customFormat="1">
      <c r="A11" s="20" t="s">
        <v>789</v>
      </c>
      <c r="E11" s="228">
        <f>Rev_Exp!C11</f>
        <v>0</v>
      </c>
      <c r="F11" s="228">
        <f>Rev_Exp!D11</f>
        <v>0</v>
      </c>
      <c r="G11" s="228">
        <f>Rev_Exp!E11</f>
        <v>0</v>
      </c>
      <c r="H11" s="228">
        <f>Rev_Exp!F11</f>
        <v>0</v>
      </c>
      <c r="I11" s="228">
        <f>Rev_Exp!G11</f>
        <v>5</v>
      </c>
      <c r="J11" s="228">
        <f>Rev_Exp!H11</f>
        <v>12</v>
      </c>
      <c r="K11" s="228">
        <f>Rev_Exp!I11</f>
        <v>12</v>
      </c>
      <c r="L11" s="228">
        <f>Rev_Exp!J11</f>
        <v>12</v>
      </c>
      <c r="M11" s="228">
        <f>Rev_Exp!K11</f>
        <v>12</v>
      </c>
      <c r="N11" s="228">
        <f>Rev_Exp!L11</f>
        <v>12</v>
      </c>
      <c r="O11" s="228">
        <f>Rev_Exp!M11</f>
        <v>12</v>
      </c>
      <c r="P11" s="228">
        <f>Rev_Exp!N11</f>
        <v>12</v>
      </c>
      <c r="Q11" s="228">
        <f>Rev_Exp!O11</f>
        <v>12</v>
      </c>
      <c r="R11" s="228">
        <f>Rev_Exp!P11</f>
        <v>12</v>
      </c>
      <c r="S11" s="228">
        <f>Rev_Exp!Q11</f>
        <v>12</v>
      </c>
      <c r="T11" s="228">
        <f>Rev_Exp!R11</f>
        <v>12</v>
      </c>
      <c r="U11" s="228">
        <f>Rev_Exp!S11</f>
        <v>12</v>
      </c>
      <c r="V11" s="228">
        <f>Rev_Exp!T11</f>
        <v>12</v>
      </c>
      <c r="W11" s="228">
        <f>Rev_Exp!U11</f>
        <v>12</v>
      </c>
      <c r="X11" s="228">
        <f>Rev_Exp!V11</f>
        <v>12</v>
      </c>
      <c r="Y11" s="228">
        <f>Rev_Exp!W11</f>
        <v>12</v>
      </c>
      <c r="Z11" s="228">
        <f>Rev_Exp!X11</f>
        <v>12</v>
      </c>
      <c r="AA11" s="228">
        <f>Rev_Exp!Y11</f>
        <v>4</v>
      </c>
      <c r="AB11" s="480">
        <f>SUM(E11:AA11)</f>
        <v>213</v>
      </c>
    </row>
    <row r="12" spans="1:31" s="15" customFormat="1">
      <c r="A12" s="27" t="s">
        <v>790</v>
      </c>
      <c r="C12" s="3"/>
      <c r="D12" s="3"/>
      <c r="E12" s="229">
        <f>Rev_Exp!C12</f>
        <v>0</v>
      </c>
      <c r="F12" s="229">
        <f ca="1">Rev_Exp!D12</f>
        <v>0</v>
      </c>
      <c r="G12" s="229">
        <f ca="1">Rev_Exp!E12</f>
        <v>9</v>
      </c>
      <c r="H12" s="229">
        <f ca="1">Rev_Exp!F12</f>
        <v>12</v>
      </c>
      <c r="I12" s="229">
        <f ca="1">Rev_Exp!G12</f>
        <v>12</v>
      </c>
      <c r="J12" s="229">
        <f ca="1">Rev_Exp!H12</f>
        <v>12</v>
      </c>
      <c r="K12" s="229">
        <f ca="1">Rev_Exp!I12</f>
        <v>12</v>
      </c>
      <c r="L12" s="229">
        <f ca="1">Rev_Exp!J12</f>
        <v>12</v>
      </c>
      <c r="M12" s="229">
        <f ca="1">Rev_Exp!K12</f>
        <v>12</v>
      </c>
      <c r="N12" s="229">
        <f ca="1">Rev_Exp!L12</f>
        <v>12</v>
      </c>
      <c r="O12" s="229">
        <f ca="1">Rev_Exp!M12</f>
        <v>12</v>
      </c>
      <c r="P12" s="229">
        <f ca="1">Rev_Exp!N12</f>
        <v>12</v>
      </c>
      <c r="Q12" s="229">
        <f ca="1">Rev_Exp!O12</f>
        <v>12</v>
      </c>
      <c r="R12" s="229">
        <f ca="1">Rev_Exp!P12</f>
        <v>12</v>
      </c>
      <c r="S12" s="229">
        <f ca="1">Rev_Exp!Q12</f>
        <v>12</v>
      </c>
      <c r="T12" s="229">
        <f ca="1">Rev_Exp!R12</f>
        <v>12</v>
      </c>
      <c r="U12" s="229">
        <f ca="1">Rev_Exp!S12</f>
        <v>12</v>
      </c>
      <c r="V12" s="229">
        <f ca="1">Rev_Exp!T12</f>
        <v>12</v>
      </c>
      <c r="W12" s="229">
        <f ca="1">Rev_Exp!U12</f>
        <v>12</v>
      </c>
      <c r="X12" s="229">
        <f ca="1">Rev_Exp!V12</f>
        <v>12</v>
      </c>
      <c r="Y12" s="229">
        <f ca="1">Rev_Exp!W12</f>
        <v>12</v>
      </c>
      <c r="Z12" s="229">
        <f ca="1">Rev_Exp!X12</f>
        <v>12</v>
      </c>
      <c r="AA12" s="229">
        <f ca="1">Rev_Exp!Y12</f>
        <v>4</v>
      </c>
      <c r="AB12" s="481">
        <f ca="1">SUM(E12:AA12)</f>
        <v>241</v>
      </c>
    </row>
    <row r="13" spans="1:31" s="15" customFormat="1">
      <c r="A13" s="20" t="s">
        <v>483</v>
      </c>
      <c r="E13" s="254">
        <f>Rev_Exp!C16</f>
        <v>0</v>
      </c>
      <c r="F13" s="254">
        <f ca="1">Rev_Exp!D16</f>
        <v>0</v>
      </c>
      <c r="G13" s="254">
        <f ca="1">Rev_Exp!E16</f>
        <v>107900</v>
      </c>
      <c r="H13" s="254">
        <f ca="1">Rev_Exp!F16</f>
        <v>691778.88</v>
      </c>
      <c r="I13" s="254">
        <f ca="1">Rev_Exp!G16</f>
        <v>2349654.5120000001</v>
      </c>
      <c r="J13" s="254">
        <f ca="1">Rev_Exp!H16</f>
        <v>3520258.56</v>
      </c>
      <c r="K13" s="254">
        <f ca="1">Rev_Exp!I16</f>
        <v>3520258.56</v>
      </c>
      <c r="L13" s="254">
        <f ca="1">Rev_Exp!J16</f>
        <v>3529903.1039999998</v>
      </c>
      <c r="M13" s="254">
        <f ca="1">Rev_Exp!K16</f>
        <v>3520258.56</v>
      </c>
      <c r="N13" s="254">
        <f ca="1">Rev_Exp!L16</f>
        <v>3520258.56</v>
      </c>
      <c r="O13" s="254">
        <f ca="1">Rev_Exp!M16</f>
        <v>3520258.56</v>
      </c>
      <c r="P13" s="254">
        <f ca="1">Rev_Exp!N16</f>
        <v>3529903.1039999998</v>
      </c>
      <c r="Q13" s="254">
        <f ca="1">Rev_Exp!O16</f>
        <v>3520258.56</v>
      </c>
      <c r="R13" s="254">
        <f ca="1">Rev_Exp!P16</f>
        <v>3520258.56</v>
      </c>
      <c r="S13" s="254">
        <f ca="1">Rev_Exp!Q16</f>
        <v>3520258.56</v>
      </c>
      <c r="T13" s="254">
        <f ca="1">Rev_Exp!R16</f>
        <v>3529903.1039999998</v>
      </c>
      <c r="U13" s="254">
        <f ca="1">Rev_Exp!S16</f>
        <v>3520258.56</v>
      </c>
      <c r="V13" s="254">
        <f ca="1">Rev_Exp!T16</f>
        <v>3520258.56</v>
      </c>
      <c r="W13" s="254">
        <f ca="1">Rev_Exp!U16</f>
        <v>3520258.56</v>
      </c>
      <c r="X13" s="254">
        <f ca="1">Rev_Exp!V16</f>
        <v>3529903.1039999998</v>
      </c>
      <c r="Y13" s="254">
        <f ca="1">Rev_Exp!W16</f>
        <v>3520258.56</v>
      </c>
      <c r="Z13" s="254">
        <f ca="1">Rev_Exp!X16</f>
        <v>3520258.56</v>
      </c>
      <c r="AA13" s="254">
        <f ca="1">Rev_Exp!Y16</f>
        <v>1157345.28</v>
      </c>
      <c r="AB13" s="482">
        <f ca="1">SUM(E13:AA13)</f>
        <v>64189652.368000016</v>
      </c>
    </row>
    <row r="14" spans="1:31" customFormat="1">
      <c r="A14" s="398"/>
      <c r="B14" s="15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426"/>
      <c r="AD14" s="15"/>
      <c r="AE14" s="15"/>
    </row>
    <row r="15" spans="1:31">
      <c r="A15" s="128" t="s">
        <v>940</v>
      </c>
      <c r="B15" s="15"/>
      <c r="C15" s="15"/>
      <c r="D15" s="1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431"/>
    </row>
    <row r="16" spans="1:31" s="15" customFormat="1">
      <c r="A16" s="20" t="s">
        <v>912</v>
      </c>
      <c r="E16" s="37">
        <f ca="1">IF(E$7&lt;YEAR(Startops1),0,HLOOKUP(E$7,CF_Table,CF!$AB$40))</f>
        <v>0</v>
      </c>
      <c r="F16" s="37">
        <f ca="1">IF(F$7&lt;YEAR(Startops1),0,HLOOKUP(F$7,CF_Table,CF!$AB$40))</f>
        <v>0</v>
      </c>
      <c r="G16" s="37">
        <f ca="1">IF(G$7&lt;YEAR(Startops1),0,HLOOKUP(G$7,CF_Table,CF!$AB$40))</f>
        <v>-1884.683815190303</v>
      </c>
      <c r="H16" s="37">
        <f ca="1">IF(H$7&lt;YEAR(Startops1),0,HLOOKUP(H$7,CF_Table,CF!$AB$40))</f>
        <v>3833.7471296736844</v>
      </c>
      <c r="I16" s="37">
        <f ca="1">IF(I$7&lt;YEAR(Startops1),0,HLOOKUP(I$7,CF_Table,CF!$AB$40))</f>
        <v>24853.01972011711</v>
      </c>
      <c r="J16" s="37">
        <f ca="1">IF(J$7&lt;YEAR(Startops1),0,HLOOKUP(J$7,CF_Table,CF!$AB$40))</f>
        <v>38790.727566757436</v>
      </c>
      <c r="K16" s="37">
        <f ca="1">IF(K$7&lt;YEAR(Startops1),0,HLOOKUP(K$7,CF_Table,CF!$AB$40))</f>
        <v>43280.340043858057</v>
      </c>
      <c r="L16" s="37">
        <f ca="1">IF(L$7&lt;YEAR(Startops1),0,HLOOKUP(L$7,CF_Table,CF!$AB$40))</f>
        <v>29847.34770430826</v>
      </c>
      <c r="M16" s="37">
        <f ca="1">IF(M$7&lt;YEAR(Startops1),0,HLOOKUP(M$7,CF_Table,CF!$AB$40))</f>
        <v>51952.409885764719</v>
      </c>
      <c r="N16" s="37">
        <f ca="1">IF(N$7&lt;YEAR(Startops1),0,HLOOKUP(N$7,CF_Table,CF!$AB$40))</f>
        <v>52322.048075224928</v>
      </c>
      <c r="O16" s="37">
        <f ca="1">IF(O$7&lt;YEAR(Startops1),0,HLOOKUP(O$7,CF_Table,CF!$AB$40))</f>
        <v>49934.031614564294</v>
      </c>
      <c r="P16" s="37">
        <f ca="1">IF(P$7&lt;YEAR(Startops1),0,HLOOKUP(P$7,CF_Table,CF!$AB$40))</f>
        <v>46089.974758769531</v>
      </c>
      <c r="Q16" s="37">
        <f ca="1">IF(Q$7&lt;YEAR(Startops1),0,HLOOKUP(Q$7,CF_Table,CF!$AB$40))</f>
        <v>44888.810180747132</v>
      </c>
      <c r="R16" s="37">
        <f ca="1">IF(R$7&lt;YEAR(Startops1),0,HLOOKUP(R$7,CF_Table,CF!$AB$40))</f>
        <v>45356.385269219871</v>
      </c>
      <c r="S16" s="37">
        <f ca="1">IF(S$7&lt;YEAR(Startops1),0,HLOOKUP(S$7,CF_Table,CF!$AB$40))</f>
        <v>44074.733972475493</v>
      </c>
      <c r="T16" s="37">
        <f ca="1">IF(T$7&lt;YEAR(Startops1),0,HLOOKUP(T$7,CF_Table,CF!$AB$40))</f>
        <v>36792.506934076999</v>
      </c>
      <c r="U16" s="37">
        <f ca="1">IF(U$7&lt;YEAR(Startops1),0,HLOOKUP(U$7,CF_Table,CF!$AB$40))</f>
        <v>39497.576043204674</v>
      </c>
      <c r="V16" s="37">
        <f ca="1">IF(V$7&lt;YEAR(Startops1),0,HLOOKUP(V$7,CF_Table,CF!$AB$40))</f>
        <v>26755.423656923886</v>
      </c>
      <c r="W16" s="37">
        <f ca="1">IF(W$7&lt;YEAR(Startops1),0,HLOOKUP(W$7,CF_Table,CF!$AB$40))</f>
        <v>11005.816868097498</v>
      </c>
      <c r="X16" s="37">
        <f ca="1">IF(X$7&lt;YEAR(Startops1),0,HLOOKUP(X$7,CF_Table,CF!$AB$40))</f>
        <v>6085.6504638310444</v>
      </c>
      <c r="Y16" s="37">
        <f ca="1">IF(Y$7&lt;YEAR(Startops1),0,HLOOKUP(Y$7,CF_Table,CF!$AB$40))</f>
        <v>4689.9136385086094</v>
      </c>
      <c r="Z16" s="37">
        <f ca="1">IF(Z$7&lt;YEAR(Startops1),0,HLOOKUP(Z$7,CF_Table,CF!$AB$40))</f>
        <v>6224.605292607439</v>
      </c>
      <c r="AA16" s="37">
        <f ca="1">IF(AA$7&lt;YEAR(Startops1),0,HLOOKUP(AA$7,CF_Table,CF!$AB$40))</f>
        <v>2417.9522208909543</v>
      </c>
      <c r="AB16" s="435">
        <f ca="1">SUM(E16:AA16)</f>
        <v>606808.33722443145</v>
      </c>
    </row>
    <row r="17" spans="1:29">
      <c r="A17" s="20" t="s">
        <v>934</v>
      </c>
      <c r="B17" s="15"/>
      <c r="C17" s="15"/>
      <c r="D17" s="15"/>
      <c r="E17" s="37">
        <f>-Depr!F57</f>
        <v>0</v>
      </c>
      <c r="F17" s="37">
        <f ca="1">-Depr!G57</f>
        <v>0</v>
      </c>
      <c r="G17" s="37">
        <f ca="1">-Depr!H57</f>
        <v>-3704.810550000906</v>
      </c>
      <c r="H17" s="37">
        <f ca="1">-Depr!I57</f>
        <v>-4939.747400001208</v>
      </c>
      <c r="I17" s="37">
        <f ca="1">-Depr!J57</f>
        <v>-12563.799394949307</v>
      </c>
      <c r="J17" s="37">
        <f ca="1">-Depr!K57</f>
        <v>-17799.218169526688</v>
      </c>
      <c r="K17" s="37">
        <f ca="1">-Depr!L57</f>
        <v>-17799.218169526688</v>
      </c>
      <c r="L17" s="37">
        <f ca="1">-Depr!M57</f>
        <v>-17799.218169526688</v>
      </c>
      <c r="M17" s="37">
        <f ca="1">-Depr!N57</f>
        <v>-17799.218169526688</v>
      </c>
      <c r="N17" s="37">
        <f ca="1">-Depr!O57</f>
        <v>-17799.218169526688</v>
      </c>
      <c r="O17" s="37">
        <f ca="1">-Depr!P57</f>
        <v>-17799.218169526688</v>
      </c>
      <c r="P17" s="37">
        <f ca="1">-Depr!Q57</f>
        <v>-17799.218169526688</v>
      </c>
      <c r="Q17" s="37">
        <f ca="1">-Depr!R57</f>
        <v>-17799.218169526688</v>
      </c>
      <c r="R17" s="37">
        <f ca="1">-Depr!S57</f>
        <v>-17799.218169526688</v>
      </c>
      <c r="S17" s="37">
        <f ca="1">-Depr!T57</f>
        <v>-17799.218169526688</v>
      </c>
      <c r="T17" s="37">
        <f ca="1">-Depr!U57</f>
        <v>-17799.218169526688</v>
      </c>
      <c r="U17" s="37">
        <f ca="1">-Depr!V57</f>
        <v>-17799.218169526688</v>
      </c>
      <c r="V17" s="37">
        <f ca="1">-Depr!W57</f>
        <v>-17799.218169526688</v>
      </c>
      <c r="W17" s="37">
        <f ca="1">-Depr!X57</f>
        <v>-17799.218169526688</v>
      </c>
      <c r="X17" s="37">
        <f ca="1">-Depr!Y57</f>
        <v>-17799.218169526688</v>
      </c>
      <c r="Y17" s="37">
        <f ca="1">-Depr!Z57</f>
        <v>-17799.218169526688</v>
      </c>
      <c r="Z17" s="37">
        <f ca="1">-Depr!AA57</f>
        <v>-17799.218169526688</v>
      </c>
      <c r="AA17" s="37">
        <f ca="1">-Depr!AB57</f>
        <v>-5521.4271065087542</v>
      </c>
      <c r="AB17" s="435">
        <f ca="1">SUM(E17:AA17)</f>
        <v>-329316.49333341385</v>
      </c>
    </row>
    <row r="18" spans="1:29">
      <c r="A18" s="20" t="s">
        <v>118</v>
      </c>
      <c r="B18" s="15"/>
      <c r="C18" s="15"/>
      <c r="D18" s="15"/>
      <c r="E18" s="37">
        <f ca="1">IF(E$7&lt;YEAR(Startops1),0,HLOOKUP(E$7,CF_Table,CF!$AB$44))</f>
        <v>0</v>
      </c>
      <c r="F18" s="37">
        <f ca="1">IF(F$7&lt;YEAR(Startops1),0,HLOOKUP(F$7,CF_Table,CF!$AB$44))</f>
        <v>0</v>
      </c>
      <c r="G18" s="37">
        <f ca="1">IF(G$7&lt;YEAR(Startops1),0,HLOOKUP(G$7,CF_Table,CF!$AB$44))</f>
        <v>0</v>
      </c>
      <c r="H18" s="37">
        <f ca="1">IF(H$7&lt;YEAR(Startops1),0,HLOOKUP(H$7,CF_Table,CF!$AB$44))</f>
        <v>0</v>
      </c>
      <c r="I18" s="37">
        <f ca="1">IF(I$7&lt;YEAR(Startops1),0,HLOOKUP(I$7,CF_Table,CF!$AB$44))</f>
        <v>-6866.1388759198016</v>
      </c>
      <c r="J18" s="37">
        <f ca="1">IF(J$7&lt;YEAR(Startops1),0,HLOOKUP(J$7,CF_Table,CF!$AB$44))</f>
        <v>-16245.84906951103</v>
      </c>
      <c r="K18" s="37">
        <f ca="1">IF(K$7&lt;YEAR(Startops1),0,HLOOKUP(K$7,CF_Table,CF!$AB$44))</f>
        <v>-15297.114554345853</v>
      </c>
      <c r="L18" s="37">
        <f ca="1">IF(L$7&lt;YEAR(Startops1),0,HLOOKUP(L$7,CF_Table,CF!$AB$44))</f>
        <v>-14256.726768601686</v>
      </c>
      <c r="M18" s="37">
        <f ca="1">IF(M$7&lt;YEAR(Startops1),0,HLOOKUP(M$7,CF_Table,CF!$AB$44))</f>
        <v>-13047.87399140309</v>
      </c>
      <c r="N18" s="37">
        <f ca="1">IF(N$7&lt;YEAR(Startops1),0,HLOOKUP(N$7,CF_Table,CF!$AB$44))</f>
        <v>-11750.413201233227</v>
      </c>
      <c r="O18" s="37">
        <f ca="1">IF(O$7&lt;YEAR(Startops1),0,HLOOKUP(O$7,CF_Table,CF!$AB$44))</f>
        <v>-10380.028967391143</v>
      </c>
      <c r="P18" s="37">
        <f ca="1">IF(P$7&lt;YEAR(Startops1),0,HLOOKUP(P$7,CF_Table,CF!$AB$44))</f>
        <v>-8974.0608897282127</v>
      </c>
      <c r="Q18" s="37">
        <f ca="1">IF(Q$7&lt;YEAR(Startops1),0,HLOOKUP(Q$7,CF_Table,CF!$AB$44))</f>
        <v>-7705.2560033144437</v>
      </c>
      <c r="R18" s="37">
        <f ca="1">IF(R$7&lt;YEAR(Startops1),0,HLOOKUP(R$7,CF_Table,CF!$AB$44))</f>
        <v>-6465.0175972114193</v>
      </c>
      <c r="S18" s="37">
        <f ca="1">IF(S$7&lt;YEAR(Startops1),0,HLOOKUP(S$7,CF_Table,CF!$AB$44))</f>
        <v>-5197.776339170844</v>
      </c>
      <c r="T18" s="37">
        <f ca="1">IF(T$7&lt;YEAR(Startops1),0,HLOOKUP(T$7,CF_Table,CF!$AB$44))</f>
        <v>-3910.3500690280061</v>
      </c>
      <c r="U18" s="37">
        <f ca="1">IF(U$7&lt;YEAR(Startops1),0,HLOOKUP(U$7,CF_Table,CF!$AB$44))</f>
        <v>-2848.3466844802488</v>
      </c>
      <c r="V18" s="37">
        <f ca="1">IF(V$7&lt;YEAR(Startops1),0,HLOOKUP(V$7,CF_Table,CF!$AB$44))</f>
        <v>-1786.3432999324914</v>
      </c>
      <c r="W18" s="37">
        <f ca="1">IF(W$7&lt;YEAR(Startops1),0,HLOOKUP(W$7,CF_Table,CF!$AB$44))</f>
        <v>-701.82721243481615</v>
      </c>
      <c r="X18" s="37">
        <f ca="1">IF(X$7&lt;YEAR(Startops1),0,HLOOKUP(X$7,CF_Table,CF!$AB$44))</f>
        <v>0</v>
      </c>
      <c r="Y18" s="37">
        <f ca="1">IF(Y$7&lt;YEAR(Startops1),0,HLOOKUP(Y$7,CF_Table,CF!$AB$44))</f>
        <v>0</v>
      </c>
      <c r="Z18" s="37">
        <f ca="1">IF(Z$7&lt;YEAR(Startops1),0,HLOOKUP(Z$7,CF_Table,CF!$AB$44))</f>
        <v>0</v>
      </c>
      <c r="AA18" s="37">
        <f ca="1">IF(AA$7&lt;YEAR(Startops1),0,HLOOKUP(AA$7,CF_Table,CF!$AB$44))</f>
        <v>0</v>
      </c>
      <c r="AB18" s="435">
        <f ca="1">SUM(E18:AA18)</f>
        <v>-125433.12352370631</v>
      </c>
    </row>
    <row r="19" spans="1:29">
      <c r="A19" s="20" t="s">
        <v>119</v>
      </c>
      <c r="B19" s="15"/>
      <c r="C19" s="15"/>
      <c r="D19" s="15"/>
      <c r="E19" s="37">
        <f ca="1">IF(E$7&lt;YEAR(Startops1),0,HLOOKUP(E$7,CF_Table,CF!$AB$45))</f>
        <v>0</v>
      </c>
      <c r="F19" s="37">
        <f ca="1">IF(F$7&lt;YEAR(Startops1),0,HLOOKUP(F$7,CF_Table,CF!$AB$45))</f>
        <v>0</v>
      </c>
      <c r="G19" s="37">
        <f ca="1">IF(G$7&lt;YEAR(Startops1),0,HLOOKUP(G$7,CF_Table,CF!$AB$45))</f>
        <v>0</v>
      </c>
      <c r="H19" s="37">
        <f ca="1">IF(H$7&lt;YEAR(Startops1),0,HLOOKUP(H$7,CF_Table,CF!$AB$45))</f>
        <v>0</v>
      </c>
      <c r="I19" s="37">
        <f ca="1">IF(I$7&lt;YEAR(Startops1),0,HLOOKUP(I$7,CF_Table,CF!$AB$45))</f>
        <v>-2694.7815414410948</v>
      </c>
      <c r="J19" s="37">
        <f ca="1">IF(J$7&lt;YEAR(Startops1),0,HLOOKUP(J$7,CF_Table,CF!$AB$45))</f>
        <v>-6397.3320310436538</v>
      </c>
      <c r="K19" s="37">
        <f ca="1">IF(K$7&lt;YEAR(Startops1),0,HLOOKUP(K$7,CF_Table,CF!$AB$45))</f>
        <v>-6098.2236465968126</v>
      </c>
      <c r="L19" s="37">
        <f ca="1">IF(L$7&lt;YEAR(Startops1),0,HLOOKUP(L$7,CF_Table,CF!$AB$45))</f>
        <v>-5758.9674392475936</v>
      </c>
      <c r="M19" s="37">
        <f ca="1">IF(M$7&lt;YEAR(Startops1),0,HLOOKUP(M$7,CF_Table,CF!$AB$45))</f>
        <v>-5374.1745674669255</v>
      </c>
      <c r="N19" s="37">
        <f ca="1">IF(N$7&lt;YEAR(Startops1),0,HLOOKUP(N$7,CF_Table,CF!$AB$45))</f>
        <v>-4937.732872471498</v>
      </c>
      <c r="O19" s="37">
        <f ca="1">IF(O$7&lt;YEAR(Startops1),0,HLOOKUP(O$7,CF_Table,CF!$AB$45))</f>
        <v>-4442.7097909653094</v>
      </c>
      <c r="P19" s="37">
        <f ca="1">IF(P$7&lt;YEAR(Startops1),0,HLOOKUP(P$7,CF_Table,CF!$AB$45))</f>
        <v>-3881.2422363439537</v>
      </c>
      <c r="Q19" s="37">
        <f ca="1">IF(Q$7&lt;YEAR(Startops1),0,HLOOKUP(Q$7,CF_Table,CF!$AB$45))</f>
        <v>-3244.4116992035456</v>
      </c>
      <c r="R19" s="37">
        <f ca="1">IF(R$7&lt;YEAR(Startops1),0,HLOOKUP(R$7,CF_Table,CF!$AB$45))</f>
        <v>-2522.1025832154669</v>
      </c>
      <c r="S19" s="37">
        <f ca="1">IF(S$7&lt;YEAR(Startops1),0,HLOOKUP(S$7,CF_Table,CF!$AB$45))</f>
        <v>-1702.8415261338889</v>
      </c>
      <c r="T19" s="37">
        <f ca="1">IF(T$7&lt;YEAR(Startops1),0,HLOOKUP(T$7,CF_Table,CF!$AB$45))</f>
        <v>-773.61515366553658</v>
      </c>
      <c r="U19" s="37">
        <f ca="1">IF(U$7&lt;YEAR(Startops1),0,HLOOKUP(U$7,CF_Table,CF!$AB$45))</f>
        <v>0</v>
      </c>
      <c r="V19" s="37">
        <f ca="1">IF(V$7&lt;YEAR(Startops1),0,HLOOKUP(V$7,CF_Table,CF!$AB$45))</f>
        <v>0</v>
      </c>
      <c r="W19" s="37">
        <f ca="1">IF(W$7&lt;YEAR(Startops1),0,HLOOKUP(W$7,CF_Table,CF!$AB$45))</f>
        <v>0</v>
      </c>
      <c r="X19" s="37">
        <f ca="1">IF(X$7&lt;YEAR(Startops1),0,HLOOKUP(X$7,CF_Table,CF!$AB$45))</f>
        <v>0</v>
      </c>
      <c r="Y19" s="37">
        <f ca="1">IF(Y$7&lt;YEAR(Startops1),0,HLOOKUP(Y$7,CF_Table,CF!$AB$45))</f>
        <v>0</v>
      </c>
      <c r="Z19" s="37">
        <f ca="1">IF(Z$7&lt;YEAR(Startops1),0,HLOOKUP(Z$7,CF_Table,CF!$AB$45))</f>
        <v>0</v>
      </c>
      <c r="AA19" s="37">
        <f ca="1">IF(AA$7&lt;YEAR(Startops1),0,HLOOKUP(AA$7,CF_Table,CF!$AB$45))</f>
        <v>0</v>
      </c>
      <c r="AB19" s="435">
        <f ca="1">SUM(E19:AA19)</f>
        <v>-47828.135087795286</v>
      </c>
    </row>
    <row r="20" spans="1:29">
      <c r="A20" s="20" t="s">
        <v>929</v>
      </c>
      <c r="B20" s="15"/>
      <c r="C20" s="15"/>
      <c r="D20" s="15"/>
      <c r="E20" s="37">
        <f ca="1">-E84</f>
        <v>0</v>
      </c>
      <c r="F20" s="37">
        <f t="shared" ref="F20:AA20" ca="1" si="0">-F84</f>
        <v>0</v>
      </c>
      <c r="G20" s="37">
        <f t="shared" ca="1" si="0"/>
        <v>-8697.7780157477137</v>
      </c>
      <c r="H20" s="37">
        <f t="shared" ca="1" si="0"/>
        <v>-14326.759384974639</v>
      </c>
      <c r="I20" s="37">
        <f t="shared" ca="1" si="0"/>
        <v>-93085.299385440143</v>
      </c>
      <c r="J20" s="37">
        <f t="shared" ca="1" si="0"/>
        <v>-132706.85898445296</v>
      </c>
      <c r="K20" s="37">
        <f t="shared" ca="1" si="0"/>
        <v>-139182.41395826795</v>
      </c>
      <c r="L20" s="37">
        <f t="shared" ca="1" si="0"/>
        <v>-144627.07046259037</v>
      </c>
      <c r="M20" s="37">
        <f t="shared" ca="1" si="0"/>
        <v>-148097.90617405411</v>
      </c>
      <c r="N20" s="37">
        <f t="shared" ca="1" si="0"/>
        <v>-151043.37219273805</v>
      </c>
      <c r="O20" s="37">
        <f t="shared" ca="1" si="0"/>
        <v>-150642.5672369221</v>
      </c>
      <c r="P20" s="37">
        <f t="shared" ca="1" si="0"/>
        <v>-148854.7014695238</v>
      </c>
      <c r="Q20" s="37">
        <f t="shared" ca="1" si="0"/>
        <v>-150012.97482040909</v>
      </c>
      <c r="R20" s="37">
        <f t="shared" ca="1" si="0"/>
        <v>-153398.82115464049</v>
      </c>
      <c r="S20" s="37">
        <f t="shared" ca="1" si="0"/>
        <v>-154607.09619537904</v>
      </c>
      <c r="T20" s="37">
        <f t="shared" ca="1" si="0"/>
        <v>-149835.34125475539</v>
      </c>
      <c r="U20" s="37">
        <f t="shared" ca="1" si="0"/>
        <v>-155617.20913508008</v>
      </c>
      <c r="V20" s="37">
        <f t="shared" ca="1" si="0"/>
        <v>-145684.00823041564</v>
      </c>
      <c r="W20" s="37">
        <f t="shared" ca="1" si="0"/>
        <v>-132107.96596127053</v>
      </c>
      <c r="X20" s="37">
        <f t="shared" ca="1" si="0"/>
        <v>-130166.86913870742</v>
      </c>
      <c r="Y20" s="37">
        <f t="shared" ca="1" si="0"/>
        <v>-131984.8012770132</v>
      </c>
      <c r="Z20" s="37">
        <f t="shared" ca="1" si="0"/>
        <v>-130053.521734026</v>
      </c>
      <c r="AA20" s="37">
        <f t="shared" ca="1" si="0"/>
        <v>-42960.297700627772</v>
      </c>
      <c r="AB20" s="435">
        <f t="shared" ref="AB20:AB27" ca="1" si="1">SUM(E20:AA20)</f>
        <v>-2607693.6338670361</v>
      </c>
    </row>
    <row r="21" spans="1:29">
      <c r="A21" s="20" t="s">
        <v>935</v>
      </c>
      <c r="B21" s="15"/>
      <c r="C21" s="15"/>
      <c r="D21" s="15"/>
      <c r="E21" s="142">
        <f t="shared" ref="E21:Z21" ca="1" si="2">E88</f>
        <v>0</v>
      </c>
      <c r="F21" s="142">
        <f t="shared" ca="1" si="2"/>
        <v>0</v>
      </c>
      <c r="G21" s="142">
        <f t="shared" ca="1" si="2"/>
        <v>4383.4190202675491</v>
      </c>
      <c r="H21" s="142">
        <f t="shared" ca="1" si="2"/>
        <v>28103.39852095813</v>
      </c>
      <c r="I21" s="142">
        <f t="shared" ca="1" si="2"/>
        <v>95454.312131216546</v>
      </c>
      <c r="J21" s="142">
        <f t="shared" ca="1" si="2"/>
        <v>143009.9010951219</v>
      </c>
      <c r="K21" s="142">
        <f t="shared" ca="1" si="2"/>
        <v>143009.9010951219</v>
      </c>
      <c r="L21" s="142">
        <f t="shared" ca="1" si="2"/>
        <v>143401.70904332769</v>
      </c>
      <c r="M21" s="142">
        <f t="shared" ca="1" si="2"/>
        <v>143009.9010951219</v>
      </c>
      <c r="N21" s="142">
        <f t="shared" ca="1" si="2"/>
        <v>143009.9010951219</v>
      </c>
      <c r="O21" s="142">
        <f t="shared" ca="1" si="2"/>
        <v>143009.9010951219</v>
      </c>
      <c r="P21" s="142">
        <f t="shared" ca="1" si="2"/>
        <v>143401.70904332769</v>
      </c>
      <c r="Q21" s="142">
        <f t="shared" ca="1" si="2"/>
        <v>143009.9010951219</v>
      </c>
      <c r="R21" s="142">
        <f t="shared" ca="1" si="2"/>
        <v>143009.9010951219</v>
      </c>
      <c r="S21" s="142">
        <f t="shared" ca="1" si="2"/>
        <v>143009.9010951219</v>
      </c>
      <c r="T21" s="142">
        <f t="shared" ca="1" si="2"/>
        <v>143401.70904332769</v>
      </c>
      <c r="U21" s="142">
        <f t="shared" ca="1" si="2"/>
        <v>143009.9010951219</v>
      </c>
      <c r="V21" s="142">
        <f t="shared" ca="1" si="2"/>
        <v>143009.9010951219</v>
      </c>
      <c r="W21" s="142">
        <f t="shared" ca="1" si="2"/>
        <v>143009.9010951219</v>
      </c>
      <c r="X21" s="142">
        <f t="shared" ca="1" si="2"/>
        <v>143401.70904332769</v>
      </c>
      <c r="Y21" s="142">
        <f t="shared" ca="1" si="2"/>
        <v>143009.9010951219</v>
      </c>
      <c r="Z21" s="142">
        <f t="shared" ca="1" si="2"/>
        <v>143009.9010951219</v>
      </c>
      <c r="AA21" s="142">
        <f ca="1">AA88</f>
        <v>47016.953784697609</v>
      </c>
      <c r="AB21" s="436">
        <f t="shared" ca="1" si="1"/>
        <v>2607693.6338670356</v>
      </c>
    </row>
    <row r="22" spans="1:29">
      <c r="A22" s="20" t="s">
        <v>936</v>
      </c>
      <c r="B22" s="15"/>
      <c r="C22" s="15"/>
      <c r="D22" s="55" t="s">
        <v>437</v>
      </c>
      <c r="E22" s="37">
        <f ca="1">SUM(E15:E21)</f>
        <v>0</v>
      </c>
      <c r="F22" s="37">
        <f t="shared" ref="F22:AA22" ca="1" si="3">SUM(F15:F21)</f>
        <v>0</v>
      </c>
      <c r="G22" s="37">
        <f t="shared" ca="1" si="3"/>
        <v>-9903.8533606713736</v>
      </c>
      <c r="H22" s="37">
        <f t="shared" ca="1" si="3"/>
        <v>12670.638865655967</v>
      </c>
      <c r="I22" s="37">
        <f t="shared" ca="1" si="3"/>
        <v>5097.3126535833144</v>
      </c>
      <c r="J22" s="37">
        <f t="shared" ca="1" si="3"/>
        <v>8651.3704073450062</v>
      </c>
      <c r="K22" s="37">
        <f t="shared" ca="1" si="3"/>
        <v>7913.270810242655</v>
      </c>
      <c r="L22" s="37">
        <f t="shared" ca="1" si="3"/>
        <v>-9192.9260923303955</v>
      </c>
      <c r="M22" s="37">
        <f t="shared" ca="1" si="3"/>
        <v>10643.13807843579</v>
      </c>
      <c r="N22" s="37">
        <f t="shared" ca="1" si="3"/>
        <v>9801.2127343773609</v>
      </c>
      <c r="O22" s="37">
        <f t="shared" ca="1" si="3"/>
        <v>9679.4085448809492</v>
      </c>
      <c r="P22" s="37">
        <f t="shared" ca="1" si="3"/>
        <v>9982.4610369745642</v>
      </c>
      <c r="Q22" s="37">
        <f t="shared" ca="1" si="3"/>
        <v>9136.8505834152747</v>
      </c>
      <c r="R22" s="37">
        <f t="shared" ca="1" si="3"/>
        <v>8181.1268597476883</v>
      </c>
      <c r="S22" s="37">
        <f t="shared" ca="1" si="3"/>
        <v>7777.7028373869252</v>
      </c>
      <c r="T22" s="37">
        <f t="shared" ca="1" si="3"/>
        <v>7875.6913304290792</v>
      </c>
      <c r="U22" s="37">
        <f t="shared" ca="1" si="3"/>
        <v>6242.7031492395618</v>
      </c>
      <c r="V22" s="37">
        <f t="shared" ca="1" si="3"/>
        <v>4495.7550521709491</v>
      </c>
      <c r="W22" s="37">
        <f t="shared" ca="1" si="3"/>
        <v>3406.7066199873516</v>
      </c>
      <c r="X22" s="37">
        <f t="shared" ca="1" si="3"/>
        <v>1521.2721989246202</v>
      </c>
      <c r="Y22" s="37">
        <f t="shared" ca="1" si="3"/>
        <v>-2084.2047129093844</v>
      </c>
      <c r="Z22" s="37">
        <f t="shared" ca="1" si="3"/>
        <v>1381.7664841766527</v>
      </c>
      <c r="AA22" s="37">
        <f t="shared" ca="1" si="3"/>
        <v>953.1811984520391</v>
      </c>
      <c r="AB22" s="435">
        <f t="shared" ca="1" si="1"/>
        <v>104230.58527951461</v>
      </c>
    </row>
    <row r="23" spans="1:29">
      <c r="A23" s="20" t="s">
        <v>1268</v>
      </c>
      <c r="B23" s="15"/>
      <c r="C23" s="212">
        <f>Tax+AddTax+Social</f>
        <v>0.33</v>
      </c>
      <c r="D23" s="15"/>
      <c r="E23" s="705">
        <f>$C23</f>
        <v>0.33</v>
      </c>
      <c r="F23" s="704">
        <f t="shared" ref="F23:AA23" si="4">$C23</f>
        <v>0.33</v>
      </c>
      <c r="G23" s="704">
        <f t="shared" si="4"/>
        <v>0.33</v>
      </c>
      <c r="H23" s="704">
        <f t="shared" si="4"/>
        <v>0.33</v>
      </c>
      <c r="I23" s="704">
        <f t="shared" si="4"/>
        <v>0.33</v>
      </c>
      <c r="J23" s="704">
        <f t="shared" si="4"/>
        <v>0.33</v>
      </c>
      <c r="K23" s="704">
        <f t="shared" si="4"/>
        <v>0.33</v>
      </c>
      <c r="L23" s="704">
        <f t="shared" si="4"/>
        <v>0.33</v>
      </c>
      <c r="M23" s="704">
        <f t="shared" si="4"/>
        <v>0.33</v>
      </c>
      <c r="N23" s="704">
        <f t="shared" si="4"/>
        <v>0.33</v>
      </c>
      <c r="O23" s="704">
        <f t="shared" si="4"/>
        <v>0.33</v>
      </c>
      <c r="P23" s="704">
        <f t="shared" si="4"/>
        <v>0.33</v>
      </c>
      <c r="Q23" s="704">
        <f t="shared" si="4"/>
        <v>0.33</v>
      </c>
      <c r="R23" s="704">
        <f t="shared" si="4"/>
        <v>0.33</v>
      </c>
      <c r="S23" s="704">
        <f t="shared" si="4"/>
        <v>0.33</v>
      </c>
      <c r="T23" s="704">
        <f t="shared" si="4"/>
        <v>0.33</v>
      </c>
      <c r="U23" s="704">
        <f t="shared" si="4"/>
        <v>0.33</v>
      </c>
      <c r="V23" s="704">
        <f t="shared" si="4"/>
        <v>0.33</v>
      </c>
      <c r="W23" s="704">
        <f t="shared" si="4"/>
        <v>0.33</v>
      </c>
      <c r="X23" s="704">
        <f t="shared" si="4"/>
        <v>0.33</v>
      </c>
      <c r="Y23" s="704">
        <f t="shared" si="4"/>
        <v>0.33</v>
      </c>
      <c r="Z23" s="704">
        <f t="shared" si="4"/>
        <v>0.33</v>
      </c>
      <c r="AA23" s="704">
        <f t="shared" si="4"/>
        <v>0.33</v>
      </c>
      <c r="AB23" s="706">
        <f>$C23</f>
        <v>0.33</v>
      </c>
    </row>
    <row r="24" spans="1:29">
      <c r="A24" s="20" t="s">
        <v>937</v>
      </c>
      <c r="B24" s="15"/>
      <c r="C24" s="15"/>
      <c r="D24" s="55" t="s">
        <v>438</v>
      </c>
      <c r="E24" s="142">
        <f ca="1">-E22*E23</f>
        <v>0</v>
      </c>
      <c r="F24" s="142">
        <f t="shared" ref="F24:AA24" ca="1" si="5">-F22*F23</f>
        <v>0</v>
      </c>
      <c r="G24" s="142">
        <f t="shared" ca="1" si="5"/>
        <v>3268.2716090215536</v>
      </c>
      <c r="H24" s="142">
        <f t="shared" ca="1" si="5"/>
        <v>-4181.3108256664691</v>
      </c>
      <c r="I24" s="142">
        <f t="shared" ca="1" si="5"/>
        <v>-1682.1131756824939</v>
      </c>
      <c r="J24" s="142">
        <f t="shared" ca="1" si="5"/>
        <v>-2854.9522344238521</v>
      </c>
      <c r="K24" s="142">
        <f t="shared" ca="1" si="5"/>
        <v>-2611.3793673800765</v>
      </c>
      <c r="L24" s="142">
        <f t="shared" ca="1" si="5"/>
        <v>3033.6656104690305</v>
      </c>
      <c r="M24" s="142">
        <f t="shared" ca="1" si="5"/>
        <v>-3512.235565883811</v>
      </c>
      <c r="N24" s="142">
        <f t="shared" ca="1" si="5"/>
        <v>-3234.4002023445291</v>
      </c>
      <c r="O24" s="142">
        <f t="shared" ca="1" si="5"/>
        <v>-3194.2048198107132</v>
      </c>
      <c r="P24" s="142">
        <f t="shared" ca="1" si="5"/>
        <v>-3294.2121422016062</v>
      </c>
      <c r="Q24" s="142">
        <f t="shared" ca="1" si="5"/>
        <v>-3015.1606925270407</v>
      </c>
      <c r="R24" s="142">
        <f t="shared" ca="1" si="5"/>
        <v>-2699.7718637167372</v>
      </c>
      <c r="S24" s="142">
        <f t="shared" ca="1" si="5"/>
        <v>-2566.6419363376854</v>
      </c>
      <c r="T24" s="142">
        <f t="shared" ca="1" si="5"/>
        <v>-2598.9781390415965</v>
      </c>
      <c r="U24" s="142">
        <f t="shared" ca="1" si="5"/>
        <v>-2060.0920392490557</v>
      </c>
      <c r="V24" s="142">
        <f t="shared" ca="1" si="5"/>
        <v>-1483.5991672164132</v>
      </c>
      <c r="W24" s="142">
        <f t="shared" ca="1" si="5"/>
        <v>-1124.2131845958261</v>
      </c>
      <c r="X24" s="142">
        <f t="shared" ca="1" si="5"/>
        <v>-502.01982564512468</v>
      </c>
      <c r="Y24" s="142">
        <f t="shared" ca="1" si="5"/>
        <v>687.78755526009684</v>
      </c>
      <c r="Z24" s="142">
        <f t="shared" ca="1" si="5"/>
        <v>-455.98293977829542</v>
      </c>
      <c r="AA24" s="142">
        <f t="shared" ca="1" si="5"/>
        <v>-314.54979548917294</v>
      </c>
      <c r="AB24" s="436">
        <f t="shared" ca="1" si="1"/>
        <v>-34396.093142239821</v>
      </c>
    </row>
    <row r="25" spans="1:29">
      <c r="A25" s="20" t="s">
        <v>938</v>
      </c>
      <c r="B25" s="15"/>
      <c r="C25" s="15"/>
      <c r="D25" s="55" t="s">
        <v>485</v>
      </c>
      <c r="E25" s="37">
        <f ca="1">SUM(E22,E24)</f>
        <v>0</v>
      </c>
      <c r="F25" s="37">
        <f t="shared" ref="F25:AA25" ca="1" si="6">SUM(F22,F24)</f>
        <v>0</v>
      </c>
      <c r="G25" s="37">
        <f t="shared" ca="1" si="6"/>
        <v>-6635.58175164982</v>
      </c>
      <c r="H25" s="37">
        <f t="shared" ca="1" si="6"/>
        <v>8489.3280399894975</v>
      </c>
      <c r="I25" s="37">
        <f t="shared" ca="1" si="6"/>
        <v>3415.1994779008205</v>
      </c>
      <c r="J25" s="37">
        <f t="shared" ca="1" si="6"/>
        <v>5796.4181729211541</v>
      </c>
      <c r="K25" s="37">
        <f t="shared" ca="1" si="6"/>
        <v>5301.8914428625785</v>
      </c>
      <c r="L25" s="37">
        <f t="shared" ca="1" si="6"/>
        <v>-6159.2604818613654</v>
      </c>
      <c r="M25" s="37">
        <f t="shared" ca="1" si="6"/>
        <v>7130.9025125519784</v>
      </c>
      <c r="N25" s="37">
        <f t="shared" ca="1" si="6"/>
        <v>6566.8125320328318</v>
      </c>
      <c r="O25" s="37">
        <f t="shared" ca="1" si="6"/>
        <v>6485.203725070236</v>
      </c>
      <c r="P25" s="37">
        <f t="shared" ca="1" si="6"/>
        <v>6688.248894772958</v>
      </c>
      <c r="Q25" s="37">
        <f t="shared" ca="1" si="6"/>
        <v>6121.689890888234</v>
      </c>
      <c r="R25" s="37">
        <f t="shared" ca="1" si="6"/>
        <v>5481.354996030951</v>
      </c>
      <c r="S25" s="37">
        <f t="shared" ca="1" si="6"/>
        <v>5211.0609010492399</v>
      </c>
      <c r="T25" s="37">
        <f t="shared" ca="1" si="6"/>
        <v>5276.7131913874828</v>
      </c>
      <c r="U25" s="37">
        <f t="shared" ca="1" si="6"/>
        <v>4182.6111099905065</v>
      </c>
      <c r="V25" s="37">
        <f t="shared" ca="1" si="6"/>
        <v>3012.1558849545358</v>
      </c>
      <c r="W25" s="37">
        <f t="shared" ca="1" si="6"/>
        <v>2282.4934353915255</v>
      </c>
      <c r="X25" s="37">
        <f t="shared" ca="1" si="6"/>
        <v>1019.2523732794955</v>
      </c>
      <c r="Y25" s="37">
        <f t="shared" ca="1" si="6"/>
        <v>-1396.4171576492877</v>
      </c>
      <c r="Z25" s="37">
        <f t="shared" ca="1" si="6"/>
        <v>925.78354439835732</v>
      </c>
      <c r="AA25" s="37">
        <f t="shared" ca="1" si="6"/>
        <v>638.6314029628661</v>
      </c>
      <c r="AB25" s="435">
        <f t="shared" ca="1" si="1"/>
        <v>69834.492137274807</v>
      </c>
    </row>
    <row r="26" spans="1:29">
      <c r="A26" s="20" t="s">
        <v>930</v>
      </c>
      <c r="B26" s="15"/>
      <c r="C26" s="15"/>
      <c r="D26" s="15"/>
      <c r="E26" s="1341">
        <f>'Enron Returns'!E10</f>
        <v>0.65625</v>
      </c>
      <c r="F26" s="1341">
        <f>'Enron Returns'!F10</f>
        <v>0.65625</v>
      </c>
      <c r="G26" s="1341">
        <f>'Enron Returns'!G10</f>
        <v>0.65625</v>
      </c>
      <c r="H26" s="1341">
        <f>'Enron Returns'!H10</f>
        <v>0.52625</v>
      </c>
      <c r="I26" s="1341">
        <f>'Enron Returns'!I10</f>
        <v>0.52625</v>
      </c>
      <c r="J26" s="1341">
        <f>'Enron Returns'!J10</f>
        <v>0.52625</v>
      </c>
      <c r="K26" s="1341">
        <f>'Enron Returns'!K10</f>
        <v>0.52625</v>
      </c>
      <c r="L26" s="1341">
        <f>'Enron Returns'!L10</f>
        <v>0.52625</v>
      </c>
      <c r="M26" s="1341">
        <f>'Enron Returns'!M10</f>
        <v>0.52625</v>
      </c>
      <c r="N26" s="1341">
        <f>'Enron Returns'!N10</f>
        <v>0.52625</v>
      </c>
      <c r="O26" s="1341">
        <f>'Enron Returns'!O10</f>
        <v>0.52625</v>
      </c>
      <c r="P26" s="1341">
        <f>'Enron Returns'!P10</f>
        <v>0.52625</v>
      </c>
      <c r="Q26" s="1341">
        <f>'Enron Returns'!Q10</f>
        <v>0.52625</v>
      </c>
      <c r="R26" s="1341">
        <f>'Enron Returns'!R10</f>
        <v>0.52625</v>
      </c>
      <c r="S26" s="1341">
        <f>'Enron Returns'!S10</f>
        <v>0.52625</v>
      </c>
      <c r="T26" s="1341">
        <f>'Enron Returns'!T10</f>
        <v>0.52625</v>
      </c>
      <c r="U26" s="1341">
        <f>'Enron Returns'!U10</f>
        <v>0.52625</v>
      </c>
      <c r="V26" s="1341">
        <f>'Enron Returns'!V10</f>
        <v>0.52625</v>
      </c>
      <c r="W26" s="1341">
        <f>'Enron Returns'!W10</f>
        <v>0.52625</v>
      </c>
      <c r="X26" s="1341">
        <f>'Enron Returns'!X10</f>
        <v>0.52625</v>
      </c>
      <c r="Y26" s="1341">
        <f>'Enron Returns'!Y10</f>
        <v>0.52625</v>
      </c>
      <c r="Z26" s="1341">
        <f>'Enron Returns'!Z10</f>
        <v>0.52625</v>
      </c>
      <c r="AA26" s="1341">
        <f>'Enron Returns'!AA10</f>
        <v>0.52625</v>
      </c>
      <c r="AB26" s="431"/>
    </row>
    <row r="27" spans="1:29">
      <c r="A27" s="20"/>
      <c r="B27" s="15" t="s">
        <v>37</v>
      </c>
      <c r="C27" s="15"/>
      <c r="D27" s="15"/>
      <c r="E27" s="37">
        <f ca="1">E25*E26</f>
        <v>0</v>
      </c>
      <c r="F27" s="37">
        <f t="shared" ref="F27:AA27" ca="1" si="7">F25*F26</f>
        <v>0</v>
      </c>
      <c r="G27" s="37">
        <f t="shared" ca="1" si="7"/>
        <v>-4354.6005245201941</v>
      </c>
      <c r="H27" s="37">
        <f t="shared" ca="1" si="7"/>
        <v>4467.5088810444731</v>
      </c>
      <c r="I27" s="37">
        <f t="shared" ca="1" si="7"/>
        <v>1797.2487252453068</v>
      </c>
      <c r="J27" s="37">
        <f t="shared" ca="1" si="7"/>
        <v>3050.3650634997575</v>
      </c>
      <c r="K27" s="37">
        <f t="shared" ca="1" si="7"/>
        <v>2790.1203718064321</v>
      </c>
      <c r="L27" s="37">
        <f t="shared" ca="1" si="7"/>
        <v>-3241.3108285795433</v>
      </c>
      <c r="M27" s="37">
        <f t="shared" ca="1" si="7"/>
        <v>3752.6374472304788</v>
      </c>
      <c r="N27" s="37">
        <f t="shared" ca="1" si="7"/>
        <v>3455.7850949822778</v>
      </c>
      <c r="O27" s="37">
        <f t="shared" ca="1" si="7"/>
        <v>3412.8384603182117</v>
      </c>
      <c r="P27" s="37">
        <f t="shared" ca="1" si="7"/>
        <v>3519.6909808742689</v>
      </c>
      <c r="Q27" s="37">
        <f t="shared" ca="1" si="7"/>
        <v>3221.539305079933</v>
      </c>
      <c r="R27" s="37">
        <f t="shared" ca="1" si="7"/>
        <v>2884.5630666612878</v>
      </c>
      <c r="S27" s="37">
        <f t="shared" ca="1" si="7"/>
        <v>2742.3207991771624</v>
      </c>
      <c r="T27" s="37">
        <f t="shared" ca="1" si="7"/>
        <v>2776.8703169676628</v>
      </c>
      <c r="U27" s="37">
        <f t="shared" ca="1" si="7"/>
        <v>2201.0990966325039</v>
      </c>
      <c r="V27" s="37">
        <f t="shared" ca="1" si="7"/>
        <v>1585.1470344573245</v>
      </c>
      <c r="W27" s="37">
        <f t="shared" ca="1" si="7"/>
        <v>1201.1621703747903</v>
      </c>
      <c r="X27" s="37">
        <f t="shared" ca="1" si="7"/>
        <v>536.38156143833453</v>
      </c>
      <c r="Y27" s="37">
        <f t="shared" ca="1" si="7"/>
        <v>-734.86452921293767</v>
      </c>
      <c r="Z27" s="37">
        <f t="shared" ca="1" si="7"/>
        <v>487.19359023963551</v>
      </c>
      <c r="AA27" s="37">
        <f t="shared" ca="1" si="7"/>
        <v>336.07977580920829</v>
      </c>
      <c r="AB27" s="435">
        <f t="shared" ca="1" si="1"/>
        <v>35887.77585952638</v>
      </c>
    </row>
    <row r="28" spans="1:29">
      <c r="A28" s="20"/>
      <c r="B28" s="15"/>
      <c r="C28" s="15"/>
      <c r="D28" s="140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  <c r="AA28" s="65"/>
      <c r="AB28" s="431"/>
    </row>
    <row r="29" spans="1:29">
      <c r="A29" s="128" t="s">
        <v>939</v>
      </c>
      <c r="B29" s="15"/>
      <c r="C29" s="15"/>
      <c r="D29" s="1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  <c r="AA29" s="65"/>
      <c r="AB29" s="431"/>
    </row>
    <row r="30" spans="1:29">
      <c r="A30" s="20" t="s">
        <v>475</v>
      </c>
      <c r="B30" s="15"/>
      <c r="C30" s="15"/>
      <c r="D30" s="161" t="s">
        <v>478</v>
      </c>
      <c r="E30" s="37">
        <f ca="1">'Enron Returns'!E20</f>
        <v>0</v>
      </c>
      <c r="F30" s="37">
        <f ca="1">'Enron Returns'!F20</f>
        <v>0</v>
      </c>
      <c r="G30" s="37">
        <f ca="1">'Enron Returns'!G20</f>
        <v>0</v>
      </c>
      <c r="H30" s="37">
        <f ca="1">'Enron Returns'!H20</f>
        <v>0</v>
      </c>
      <c r="I30" s="37">
        <f ca="1">'Enron Returns'!I20</f>
        <v>0</v>
      </c>
      <c r="J30" s="37">
        <f ca="1">'Enron Returns'!J20</f>
        <v>0</v>
      </c>
      <c r="K30" s="37">
        <f ca="1">'Enron Returns'!K20</f>
        <v>1075.0718290604025</v>
      </c>
      <c r="L30" s="37">
        <f ca="1">'Enron Returns'!L20</f>
        <v>0</v>
      </c>
      <c r="M30" s="37">
        <f ca="1">'Enron Returns'!M20</f>
        <v>4139.2570432824587</v>
      </c>
      <c r="N30" s="37">
        <f ca="1">'Enron Returns'!N20</f>
        <v>4692.7511832932933</v>
      </c>
      <c r="O30" s="37">
        <f ca="1">'Enron Returns'!O20</f>
        <v>4555.2396519329786</v>
      </c>
      <c r="P30" s="37">
        <f ca="1">'Enron Returns'!P20</f>
        <v>4061.4536924967842</v>
      </c>
      <c r="Q30" s="37">
        <f ca="1">'Enron Returns'!Q20</f>
        <v>4246.8175837273338</v>
      </c>
      <c r="R30" s="37">
        <f ca="1">'Enron Returns'!R20</f>
        <v>4883.2616320338666</v>
      </c>
      <c r="S30" s="37">
        <f ca="1">'Enron Returns'!S20</f>
        <v>4883.2616320338666</v>
      </c>
      <c r="T30" s="37">
        <f ca="1">'Enron Returns'!T20</f>
        <v>3765.1407569510625</v>
      </c>
      <c r="U30" s="37">
        <f ca="1">'Enron Returns'!U20</f>
        <v>4883.2616320338666</v>
      </c>
      <c r="V30" s="37">
        <f ca="1">'Enron Returns'!V20</f>
        <v>1886.5699880766508</v>
      </c>
      <c r="W30" s="37">
        <f ca="1">'Enron Returns'!W20</f>
        <v>0</v>
      </c>
      <c r="X30" s="37">
        <f ca="1">'Enron Returns'!X20</f>
        <v>0</v>
      </c>
      <c r="Y30" s="37">
        <f ca="1">'Enron Returns'!Y20</f>
        <v>0</v>
      </c>
      <c r="Z30" s="37">
        <f ca="1">'Enron Returns'!Z20</f>
        <v>0</v>
      </c>
      <c r="AA30" s="37">
        <f ca="1">'Enron Returns'!AA20</f>
        <v>0</v>
      </c>
      <c r="AB30" s="435">
        <f t="shared" ref="AB30:AB36" ca="1" si="8">SUM(E30:AA30)</f>
        <v>43072.086624922558</v>
      </c>
    </row>
    <row r="31" spans="1:29">
      <c r="A31" s="20" t="s">
        <v>909</v>
      </c>
      <c r="B31" s="15"/>
      <c r="C31" s="15"/>
      <c r="D31" s="161" t="s">
        <v>478</v>
      </c>
      <c r="E31" s="37">
        <f ca="1">'Enron Returns'!E21</f>
        <v>0</v>
      </c>
      <c r="F31" s="37">
        <f ca="1">'Enron Returns'!F21</f>
        <v>0</v>
      </c>
      <c r="G31" s="37">
        <f ca="1">'Enron Returns'!G21</f>
        <v>0</v>
      </c>
      <c r="H31" s="37">
        <f ca="1">'Enron Returns'!H21</f>
        <v>0</v>
      </c>
      <c r="I31" s="37">
        <f ca="1">'Enron Returns'!I21</f>
        <v>0</v>
      </c>
      <c r="J31" s="37">
        <f ca="1">'Enron Returns'!J21</f>
        <v>0</v>
      </c>
      <c r="K31" s="37">
        <f ca="1">'Enron Returns'!K21</f>
        <v>-161.26077435906038</v>
      </c>
      <c r="L31" s="37">
        <f ca="1">'Enron Returns'!L21</f>
        <v>0</v>
      </c>
      <c r="M31" s="37">
        <f ca="1">'Enron Returns'!M21</f>
        <v>-620.88855649236882</v>
      </c>
      <c r="N31" s="37">
        <f ca="1">'Enron Returns'!N21</f>
        <v>-703.91267749399401</v>
      </c>
      <c r="O31" s="37">
        <f ca="1">'Enron Returns'!O21</f>
        <v>-683.28594778994682</v>
      </c>
      <c r="P31" s="37">
        <f ca="1">'Enron Returns'!P21</f>
        <v>-609.21805387451764</v>
      </c>
      <c r="Q31" s="37">
        <f ca="1">'Enron Returns'!Q21</f>
        <v>-637.02263755910008</v>
      </c>
      <c r="R31" s="37">
        <f ca="1">'Enron Returns'!R21</f>
        <v>-732.48924480507992</v>
      </c>
      <c r="S31" s="37">
        <f ca="1">'Enron Returns'!S21</f>
        <v>-732.48924480507992</v>
      </c>
      <c r="T31" s="37">
        <f ca="1">'Enron Returns'!T21</f>
        <v>-564.77111354265935</v>
      </c>
      <c r="U31" s="37">
        <f ca="1">'Enron Returns'!U21</f>
        <v>-732.48924480507992</v>
      </c>
      <c r="V31" s="37">
        <f ca="1">'Enron Returns'!V21</f>
        <v>-282.9854982114976</v>
      </c>
      <c r="W31" s="37">
        <f ca="1">'Enron Returns'!W21</f>
        <v>0</v>
      </c>
      <c r="X31" s="37">
        <f ca="1">'Enron Returns'!X21</f>
        <v>0</v>
      </c>
      <c r="Y31" s="37">
        <f ca="1">'Enron Returns'!Y21</f>
        <v>0</v>
      </c>
      <c r="Z31" s="37">
        <f ca="1">'Enron Returns'!Z21</f>
        <v>0</v>
      </c>
      <c r="AA31" s="37">
        <f ca="1">'Enron Returns'!AA21</f>
        <v>0</v>
      </c>
      <c r="AB31" s="435">
        <f t="shared" ca="1" si="8"/>
        <v>-6460.8129937383837</v>
      </c>
    </row>
    <row r="32" spans="1:29">
      <c r="A32" s="20" t="s">
        <v>931</v>
      </c>
      <c r="B32" s="15"/>
      <c r="C32" s="15"/>
      <c r="D32" s="161" t="s">
        <v>478</v>
      </c>
      <c r="E32" s="37">
        <f ca="1">IF(E$7&lt;YEAR(Startops1),0,'Enron Returns'!E33)</f>
        <v>0</v>
      </c>
      <c r="F32" s="37">
        <f ca="1">IF(F$7&lt;YEAR(Startops1),0,'Enron Returns'!F33)</f>
        <v>0</v>
      </c>
      <c r="G32" s="37">
        <f ca="1">IF(G$7&lt;YEAR(Startops1),0,'Enron Returns'!G33)</f>
        <v>-594.8241067503335</v>
      </c>
      <c r="H32" s="37">
        <f ca="1">IF(H$7&lt;YEAR(Startops1),0,'Enron Returns'!H33)</f>
        <v>-448.7970738593794</v>
      </c>
      <c r="I32" s="37">
        <f ca="1">IF(I$7&lt;YEAR(Startops1),0,'Enron Returns'!I33)</f>
        <v>-432.4594698770577</v>
      </c>
      <c r="J32" s="37">
        <f ca="1">IF(J$7&lt;YEAR(Startops1),0,'Enron Returns'!J33)</f>
        <v>-418.99675778762207</v>
      </c>
      <c r="K32" s="37">
        <f ca="1">IF(K$7&lt;YEAR(Startops1),0,'Enron Returns'!K33)</f>
        <v>-419.23782052786595</v>
      </c>
      <c r="L32" s="37">
        <f ca="1">IF(L$7&lt;YEAR(Startops1),0,'Enron Returns'!L33)</f>
        <v>-467.20229573206336</v>
      </c>
      <c r="M32" s="37">
        <f ca="1">IF(M$7&lt;YEAR(Startops1),0,'Enron Returns'!M33)</f>
        <v>-513.64995159585828</v>
      </c>
      <c r="N32" s="37">
        <f ca="1">IF(N$7&lt;YEAR(Startops1),0,'Enron Returns'!N33)</f>
        <v>-552.00552097820173</v>
      </c>
      <c r="O32" s="37">
        <f ca="1">IF(O$7&lt;YEAR(Startops1),0,'Enron Returns'!O33)</f>
        <v>-586.84685833539959</v>
      </c>
      <c r="P32" s="37">
        <f ca="1">IF(P$7&lt;YEAR(Startops1),0,'Enron Returns'!P33)</f>
        <v>-597.67542687714774</v>
      </c>
      <c r="Q32" s="37">
        <f ca="1">IF(Q$7&lt;YEAR(Startops1),0,'Enron Returns'!Q33)</f>
        <v>-597.67542687714763</v>
      </c>
      <c r="R32" s="37">
        <f ca="1">IF(R$7&lt;YEAR(Startops1),0,'Enron Returns'!R33)</f>
        <v>-597.67542687714763</v>
      </c>
      <c r="S32" s="37">
        <f ca="1">IF(S$7&lt;YEAR(Startops1),0,'Enron Returns'!S33)</f>
        <v>-597.67542687714763</v>
      </c>
      <c r="T32" s="37">
        <f ca="1">IF(T$7&lt;YEAR(Startops1),0,'Enron Returns'!T33)</f>
        <v>-597.67542687714763</v>
      </c>
      <c r="U32" s="37">
        <f ca="1">IF(U$7&lt;YEAR(Startops1),0,'Enron Returns'!U33)</f>
        <v>-597.67542687714752</v>
      </c>
      <c r="V32" s="37">
        <f ca="1">IF(V$7&lt;YEAR(Startops1),0,'Enron Returns'!V33)</f>
        <v>-597.67542687714763</v>
      </c>
      <c r="W32" s="37">
        <f ca="1">IF(W$7&lt;YEAR(Startops1),0,'Enron Returns'!W33)</f>
        <v>-584.52754685907769</v>
      </c>
      <c r="X32" s="37">
        <f ca="1">IF(X$7&lt;YEAR(Startops1),0,'Enron Returns'!X33)</f>
        <v>-537.68423680586363</v>
      </c>
      <c r="Y32" s="37">
        <f ca="1">IF(Y$7&lt;YEAR(Startops1),0,'Enron Returns'!Y33)</f>
        <v>-473.59323174022052</v>
      </c>
      <c r="Z32" s="37">
        <f ca="1">IF(Z$7&lt;YEAR(Startops1),0,'Enron Returns'!Z33)</f>
        <v>-413.60349625943002</v>
      </c>
      <c r="AA32" s="37">
        <f ca="1">IF(AA$7&lt;YEAR(Startops1),0,'Enron Returns'!AA33)</f>
        <v>-303.00070236752521</v>
      </c>
      <c r="AB32" s="435">
        <f t="shared" ca="1" si="8"/>
        <v>-10930.157057615928</v>
      </c>
      <c r="AC32" s="255" t="str">
        <f ca="1">IF(AB32+AB33-'Enron Returns'!AB33=0," ","CHECK")</f>
        <v xml:space="preserve"> </v>
      </c>
    </row>
    <row r="33" spans="1:29">
      <c r="A33" s="20" t="s">
        <v>941</v>
      </c>
      <c r="B33" s="15"/>
      <c r="C33" s="15"/>
      <c r="D33" s="161" t="s">
        <v>478</v>
      </c>
      <c r="E33" s="37">
        <f ca="1">IF(E$7&gt;=YEAR(Startops1),('Enron Returns'!$AB$33-$AB32)*E$12/$AB$12,0)</f>
        <v>0</v>
      </c>
      <c r="F33" s="37">
        <f ca="1">IF(F$7&gt;=YEAR(Startops1),('Enron Returns'!$AB$33-$AB32)*F$12/$AB$12,0)</f>
        <v>0</v>
      </c>
      <c r="G33" s="37">
        <f ca="1">IF(G$7&gt;=YEAR(Startops1),('Enron Returns'!$AB$33-$AB32)*G$12/$AB$12,0)</f>
        <v>-15.160775215015361</v>
      </c>
      <c r="H33" s="37">
        <f ca="1">IF(H$7&gt;=YEAR(Startops1),('Enron Returns'!$AB$33-$AB32)*H$12/$AB$12,0)</f>
        <v>-20.214366953353817</v>
      </c>
      <c r="I33" s="37">
        <f ca="1">IF(I$7&gt;=YEAR(Startops1),('Enron Returns'!$AB$33-$AB32)*I$12/$AB$12,0)</f>
        <v>-20.214366953353817</v>
      </c>
      <c r="J33" s="37">
        <f ca="1">IF(J$7&gt;=YEAR(Startops1),('Enron Returns'!$AB$33-$AB32)*J$12/$AB$12,0)</f>
        <v>-20.214366953353817</v>
      </c>
      <c r="K33" s="37">
        <f ca="1">IF(K$7&gt;=YEAR(Startops1),('Enron Returns'!$AB$33-$AB32)*K$12/$AB$12,0)</f>
        <v>-20.214366953353817</v>
      </c>
      <c r="L33" s="37">
        <f ca="1">IF(L$7&gt;=YEAR(Startops1),('Enron Returns'!$AB$33-$AB32)*L$12/$AB$12,0)</f>
        <v>-20.214366953353817</v>
      </c>
      <c r="M33" s="37">
        <f ca="1">IF(M$7&gt;=YEAR(Startops1),('Enron Returns'!$AB$33-$AB32)*M$12/$AB$12,0)</f>
        <v>-20.214366953353817</v>
      </c>
      <c r="N33" s="37">
        <f ca="1">IF(N$7&gt;=YEAR(Startops1),('Enron Returns'!$AB$33-$AB32)*N$12/$AB$12,0)</f>
        <v>-20.214366953353817</v>
      </c>
      <c r="O33" s="37">
        <f ca="1">IF(O$7&gt;=YEAR(Startops1),('Enron Returns'!$AB$33-$AB32)*O$12/$AB$12,0)</f>
        <v>-20.214366953353817</v>
      </c>
      <c r="P33" s="37">
        <f ca="1">IF(P$7&gt;=YEAR(Startops1),('Enron Returns'!$AB$33-$AB32)*P$12/$AB$12,0)</f>
        <v>-20.214366953353817</v>
      </c>
      <c r="Q33" s="37">
        <f ca="1">IF(Q$7&gt;=YEAR(Startops1),('Enron Returns'!$AB$33-$AB32)*Q$12/$AB$12,0)</f>
        <v>-20.214366953353817</v>
      </c>
      <c r="R33" s="37">
        <f ca="1">IF(R$7&gt;=YEAR(Startops1),('Enron Returns'!$AB$33-$AB32)*R$12/$AB$12,0)</f>
        <v>-20.214366953353817</v>
      </c>
      <c r="S33" s="37">
        <f ca="1">IF(S$7&gt;=YEAR(Startops1),('Enron Returns'!$AB$33-$AB32)*S$12/$AB$12,0)</f>
        <v>-20.214366953353817</v>
      </c>
      <c r="T33" s="37">
        <f ca="1">IF(T$7&gt;=YEAR(Startops1),('Enron Returns'!$AB$33-$AB32)*T$12/$AB$12,0)</f>
        <v>-20.214366953353817</v>
      </c>
      <c r="U33" s="37">
        <f ca="1">IF(U$7&gt;=YEAR(Startops1),('Enron Returns'!$AB$33-$AB32)*U$12/$AB$12,0)</f>
        <v>-20.214366953353817</v>
      </c>
      <c r="V33" s="37">
        <f ca="1">IF(V$7&gt;=YEAR(Startops1),('Enron Returns'!$AB$33-$AB32)*V$12/$AB$12,0)</f>
        <v>-20.214366953353817</v>
      </c>
      <c r="W33" s="37">
        <f ca="1">IF(W$7&gt;=YEAR(Startops1),('Enron Returns'!$AB$33-$AB32)*W$12/$AB$12,0)</f>
        <v>-20.214366953353817</v>
      </c>
      <c r="X33" s="37">
        <f ca="1">IF(X$7&gt;=YEAR(Startops1),('Enron Returns'!$AB$33-$AB32)*X$12/$AB$12,0)</f>
        <v>-20.214366953353817</v>
      </c>
      <c r="Y33" s="37">
        <f ca="1">IF(Y$7&gt;=YEAR(Startops1),('Enron Returns'!$AB$33-$AB32)*Y$12/$AB$12,0)</f>
        <v>-20.214366953353817</v>
      </c>
      <c r="Z33" s="37">
        <f ca="1">IF(Z$7&gt;=YEAR(Startops1),('Enron Returns'!$AB$33-$AB32)*Z$12/$AB$12,0)</f>
        <v>-20.214366953353817</v>
      </c>
      <c r="AA33" s="37">
        <f ca="1">IF(AA$7&gt;=YEAR(Startops1),('Enron Returns'!$AB$33-$AB32)*AA$12/$AB$12,0)</f>
        <v>-6.7381223177846055</v>
      </c>
      <c r="AB33" s="435">
        <f t="shared" ca="1" si="8"/>
        <v>-405.97186964652246</v>
      </c>
    </row>
    <row r="34" spans="1:29">
      <c r="A34" s="20" t="s">
        <v>487</v>
      </c>
      <c r="B34" s="15"/>
      <c r="C34" s="15"/>
      <c r="D34" s="161" t="s">
        <v>478</v>
      </c>
      <c r="E34" s="37">
        <f>IF(E$7&lt;YEAR(Assm!$L$105),'Enron Returns'!E34*(1-Assm!$K$85),IF(E$7&gt;YEAR(Assm!$L$105),'Enron Returns'!E34*(1-Assm!$K$100),SUM('Enron Returns'!$E34:E34)*Assm!$K$100-SUM($D34:D34)))</f>
        <v>0</v>
      </c>
      <c r="F34" s="37">
        <f>IF(F$7&lt;YEAR(Assm!$L$105),'Enron Returns'!F34*(1-Assm!$K$85),IF(F$7&gt;YEAR(Assm!$L$105),'Enron Returns'!F34*(1-Assm!$K$100),SUM('Enron Returns'!$E34:F34)*Assm!$K$100-SUM($D34:E34)))</f>
        <v>1398.6583860867324</v>
      </c>
      <c r="G34" s="37">
        <f>IF(G$7&lt;YEAR(Assm!$L$105),'Enron Returns'!G34*(1-Assm!$K$85),IF(G$7&gt;YEAR(Assm!$L$105),'Enron Returns'!G34*(1-Assm!$K$100),SUM('Enron Returns'!$E34:G34)*Assm!$K$100-SUM($D34:F34)))</f>
        <v>967.03323809735548</v>
      </c>
      <c r="H34" s="37">
        <f>IF(H$7&lt;YEAR(Assm!$L$105),'Enron Returns'!H34*(1-Assm!$K$85),IF(H$7&gt;YEAR(Assm!$L$105),'Enron Returns'!H34*(1-Assm!$K$100),SUM('Enron Returns'!$E34:H34)*Assm!$K$100-SUM($D34:G34)))</f>
        <v>1781.7551433159115</v>
      </c>
      <c r="I34" s="37">
        <f>IF(I$7&lt;YEAR(Assm!$L$105),'Enron Returns'!I34*(1-Assm!$K$85),IF(I$7&gt;YEAR(Assm!$L$105),'Enron Returns'!I34*(1-Assm!$K$100),SUM('Enron Returns'!$E34:I34)*Assm!$K$100-SUM($D34:H34)))</f>
        <v>0</v>
      </c>
      <c r="J34" s="37">
        <f>IF(J$7&lt;YEAR(Assm!$L$105),'Enron Returns'!J34*(1-Assm!$K$85),IF(J$7&gt;YEAR(Assm!$L$105),'Enron Returns'!J34*(1-Assm!$K$100),SUM('Enron Returns'!$E34:J34)*Assm!$K$100-SUM($D34:I34)))</f>
        <v>0</v>
      </c>
      <c r="K34" s="37">
        <f>IF(K$7&lt;YEAR(Assm!$L$105),'Enron Returns'!K34*(1-Assm!$K$85),IF(K$7&gt;YEAR(Assm!$L$105),'Enron Returns'!K34*(1-Assm!$K$100),SUM('Enron Returns'!$E34:K34)*Assm!$K$100-SUM($D34:J34)))</f>
        <v>0</v>
      </c>
      <c r="L34" s="37">
        <f>IF(L$7&lt;YEAR(Assm!$L$105),'Enron Returns'!L34*(1-Assm!$K$85),IF(L$7&gt;YEAR(Assm!$L$105),'Enron Returns'!L34*(1-Assm!$K$100),SUM('Enron Returns'!$E34:L34)*Assm!$K$100-SUM($D34:K34)))</f>
        <v>0</v>
      </c>
      <c r="M34" s="37">
        <f>IF(M$7&lt;YEAR(Assm!$L$105),'Enron Returns'!M34*(1-Assm!$K$85),IF(M$7&gt;YEAR(Assm!$L$105),'Enron Returns'!M34*(1-Assm!$K$100),SUM('Enron Returns'!$E34:M34)*Assm!$K$100-SUM($D34:L34)))</f>
        <v>0</v>
      </c>
      <c r="N34" s="37">
        <f>IF(N$7&lt;YEAR(Assm!$L$105),'Enron Returns'!N34*(1-Assm!$K$85),IF(N$7&gt;YEAR(Assm!$L$105),'Enron Returns'!N34*(1-Assm!$K$100),SUM('Enron Returns'!$E34:N34)*Assm!$K$100-SUM($D34:M34)))</f>
        <v>0</v>
      </c>
      <c r="O34" s="37">
        <f>IF(O$7&lt;YEAR(Assm!$L$105),'Enron Returns'!O34*(1-Assm!$K$85),IF(O$7&gt;YEAR(Assm!$L$105),'Enron Returns'!O34*(1-Assm!$K$100),SUM('Enron Returns'!$E34:O34)*Assm!$K$100-SUM($D34:N34)))</f>
        <v>0</v>
      </c>
      <c r="P34" s="37">
        <f>IF(P$7&lt;YEAR(Assm!$L$105),'Enron Returns'!P34*(1-Assm!$K$85),IF(P$7&gt;YEAR(Assm!$L$105),'Enron Returns'!P34*(1-Assm!$K$100),SUM('Enron Returns'!$E34:P34)*Assm!$K$100-SUM($D34:O34)))</f>
        <v>0</v>
      </c>
      <c r="Q34" s="37">
        <f>IF(Q$7&lt;YEAR(Assm!$L$105),'Enron Returns'!Q34*(1-Assm!$K$85),IF(Q$7&gt;YEAR(Assm!$L$105),'Enron Returns'!Q34*(1-Assm!$K$100),SUM('Enron Returns'!$E34:Q34)*Assm!$K$100-SUM($D34:P34)))</f>
        <v>0</v>
      </c>
      <c r="R34" s="37">
        <f>IF(R$7&lt;YEAR(Assm!$L$105),'Enron Returns'!R34*(1-Assm!$K$85),IF(R$7&gt;YEAR(Assm!$L$105),'Enron Returns'!R34*(1-Assm!$K$100),SUM('Enron Returns'!$E34:R34)*Assm!$K$100-SUM($D34:Q34)))</f>
        <v>0</v>
      </c>
      <c r="S34" s="37">
        <f>IF(S$7&lt;YEAR(Assm!$L$105),'Enron Returns'!S34*(1-Assm!$K$85),IF(S$7&gt;YEAR(Assm!$L$105),'Enron Returns'!S34*(1-Assm!$K$100),SUM('Enron Returns'!$E34:S34)*Assm!$K$100-SUM($D34:R34)))</f>
        <v>0</v>
      </c>
      <c r="T34" s="37">
        <f>IF(T$7&lt;YEAR(Assm!$L$105),'Enron Returns'!T34*(1-Assm!$K$85),IF(T$7&gt;YEAR(Assm!$L$105),'Enron Returns'!T34*(1-Assm!$K$100),SUM('Enron Returns'!$E34:T34)*Assm!$K$100-SUM($D34:S34)))</f>
        <v>0</v>
      </c>
      <c r="U34" s="37">
        <f>IF(U$7&lt;YEAR(Assm!$L$105),'Enron Returns'!U34*(1-Assm!$K$85),IF(U$7&gt;YEAR(Assm!$L$105),'Enron Returns'!U34*(1-Assm!$K$100),SUM('Enron Returns'!$E34:U34)*Assm!$K$100-SUM($D34:T34)))</f>
        <v>0</v>
      </c>
      <c r="V34" s="37">
        <f>IF(V$7&lt;YEAR(Assm!$L$105),'Enron Returns'!V34*(1-Assm!$K$85),IF(V$7&gt;YEAR(Assm!$L$105),'Enron Returns'!V34*(1-Assm!$K$100),SUM('Enron Returns'!$E34:V34)*Assm!$K$100-SUM($D34:U34)))</f>
        <v>0</v>
      </c>
      <c r="W34" s="37">
        <f>IF(W$7&lt;YEAR(Assm!$L$105),'Enron Returns'!W34*(1-Assm!$K$85),IF(W$7&gt;YEAR(Assm!$L$105),'Enron Returns'!W34*(1-Assm!$K$100),SUM('Enron Returns'!$E34:W34)*Assm!$K$100-SUM($D34:V34)))</f>
        <v>0</v>
      </c>
      <c r="X34" s="37">
        <f>IF(X$7&lt;YEAR(Assm!$L$105),'Enron Returns'!X34*(1-Assm!$K$85),IF(X$7&gt;YEAR(Assm!$L$105),'Enron Returns'!X34*(1-Assm!$K$100),SUM('Enron Returns'!$E34:X34)*Assm!$K$100-SUM($D34:W34)))</f>
        <v>0</v>
      </c>
      <c r="Y34" s="37">
        <f>IF(Y$7&lt;YEAR(Assm!$L$105),'Enron Returns'!Y34*(1-Assm!$K$85),IF(Y$7&gt;YEAR(Assm!$L$105),'Enron Returns'!Y34*(1-Assm!$K$100),SUM('Enron Returns'!$E34:Y34)*Assm!$K$100-SUM($D34:X34)))</f>
        <v>0</v>
      </c>
      <c r="Z34" s="37">
        <f>IF(Z$7&lt;YEAR(Assm!$L$105),'Enron Returns'!Z34*(1-Assm!$K$85),IF(Z$7&gt;YEAR(Assm!$L$105),'Enron Returns'!Z34*(1-Assm!$K$100),SUM('Enron Returns'!$E34:Z34)*Assm!$K$100-SUM($D34:Y34)))</f>
        <v>0</v>
      </c>
      <c r="AA34" s="37">
        <f>IF(AA$7&lt;YEAR(Assm!$L$105),'Enron Returns'!AA34*(1-Assm!$K$85),IF(AA$7&gt;YEAR(Assm!$L$105),'Enron Returns'!AA34*(1-Assm!$K$100),SUM('Enron Returns'!$E34:AA34)*Assm!$K$100-SUM($D34:Z34)))</f>
        <v>0</v>
      </c>
      <c r="AB34" s="435">
        <f t="shared" si="8"/>
        <v>4147.4467674999996</v>
      </c>
      <c r="AC34" s="255" t="str">
        <f ca="1">IF(ROUND(AB34+AB35-'Enron Returns'!AB34,2)=0," ","CHECK")</f>
        <v xml:space="preserve"> </v>
      </c>
    </row>
    <row r="35" spans="1:29">
      <c r="A35" s="20" t="s">
        <v>493</v>
      </c>
      <c r="B35" s="15"/>
      <c r="C35" s="15"/>
      <c r="D35" s="161" t="s">
        <v>478</v>
      </c>
      <c r="E35" s="37">
        <f ca="1">IF(E$7&lt;YEAR(Startops1),0,('Enron Returns'!$AB$34-$AB34)*E$12/$AB$12)</f>
        <v>0</v>
      </c>
      <c r="F35" s="37">
        <f ca="1">IF(F$7&lt;YEAR(Startops1),0,('Enron Returns'!$AB$34-$AB34)*F$12/$AB$12)</f>
        <v>0</v>
      </c>
      <c r="G35" s="37">
        <f ca="1">IF(G$7&lt;YEAR(Startops1),0,('Enron Returns'!$AB$34-$AB34)*G$12/$AB$12)</f>
        <v>139.43230328838175</v>
      </c>
      <c r="H35" s="37">
        <f ca="1">IF(H$7&lt;YEAR(Startops1),0,('Enron Returns'!$AB$34-$AB34)*H$12/$AB$12)</f>
        <v>185.90973771784235</v>
      </c>
      <c r="I35" s="37">
        <f ca="1">IF(I$7&lt;YEAR(Startops1),0,('Enron Returns'!$AB$34-$AB34)*I$12/$AB$12)</f>
        <v>185.90973771784235</v>
      </c>
      <c r="J35" s="37">
        <f ca="1">IF(J$7&lt;YEAR(Startops1),0,('Enron Returns'!$AB$34-$AB34)*J$12/$AB$12)</f>
        <v>185.90973771784235</v>
      </c>
      <c r="K35" s="37">
        <f ca="1">IF(K$7&lt;YEAR(Startops1),0,('Enron Returns'!$AB$34-$AB34)*K$12/$AB$12)</f>
        <v>185.90973771784235</v>
      </c>
      <c r="L35" s="37">
        <f ca="1">IF(L$7&lt;YEAR(Startops1),0,('Enron Returns'!$AB$34-$AB34)*L$12/$AB$12)</f>
        <v>185.90973771784235</v>
      </c>
      <c r="M35" s="37">
        <f ca="1">IF(M$7&lt;YEAR(Startops1),0,('Enron Returns'!$AB$34-$AB34)*M$12/$AB$12)</f>
        <v>185.90973771784235</v>
      </c>
      <c r="N35" s="37">
        <f ca="1">IF(N$7&lt;YEAR(Startops1),0,('Enron Returns'!$AB$34-$AB34)*N$12/$AB$12)</f>
        <v>185.90973771784235</v>
      </c>
      <c r="O35" s="37">
        <f ca="1">IF(O$7&lt;YEAR(Startops1),0,('Enron Returns'!$AB$34-$AB34)*O$12/$AB$12)</f>
        <v>185.90973771784235</v>
      </c>
      <c r="P35" s="37">
        <f ca="1">IF(P$7&lt;YEAR(Startops1),0,('Enron Returns'!$AB$34-$AB34)*P$12/$AB$12)</f>
        <v>185.90973771784235</v>
      </c>
      <c r="Q35" s="37">
        <f ca="1">IF(Q$7&lt;YEAR(Startops1),0,('Enron Returns'!$AB$34-$AB34)*Q$12/$AB$12)</f>
        <v>185.90973771784235</v>
      </c>
      <c r="R35" s="37">
        <f ca="1">IF(R$7&lt;YEAR(Startops1),0,('Enron Returns'!$AB$34-$AB34)*R$12/$AB$12)</f>
        <v>185.90973771784235</v>
      </c>
      <c r="S35" s="37">
        <f ca="1">IF(S$7&lt;YEAR(Startops1),0,('Enron Returns'!$AB$34-$AB34)*S$12/$AB$12)</f>
        <v>185.90973771784235</v>
      </c>
      <c r="T35" s="37">
        <f ca="1">IF(T$7&lt;YEAR(Startops1),0,('Enron Returns'!$AB$34-$AB34)*T$12/$AB$12)</f>
        <v>185.90973771784235</v>
      </c>
      <c r="U35" s="37">
        <f ca="1">IF(U$7&lt;YEAR(Startops1),0,('Enron Returns'!$AB$34-$AB34)*U$12/$AB$12)</f>
        <v>185.90973771784235</v>
      </c>
      <c r="V35" s="37">
        <f ca="1">IF(V$7&lt;YEAR(Startops1),0,('Enron Returns'!$AB$34-$AB34)*V$12/$AB$12)</f>
        <v>185.90973771784235</v>
      </c>
      <c r="W35" s="37">
        <f ca="1">IF(W$7&lt;YEAR(Startops1),0,('Enron Returns'!$AB$34-$AB34)*W$12/$AB$12)</f>
        <v>185.90973771784235</v>
      </c>
      <c r="X35" s="37">
        <f ca="1">IF(X$7&lt;YEAR(Startops1),0,('Enron Returns'!$AB$34-$AB34)*X$12/$AB$12)</f>
        <v>185.90973771784235</v>
      </c>
      <c r="Y35" s="37">
        <f ca="1">IF(Y$7&lt;YEAR(Startops1),0,('Enron Returns'!$AB$34-$AB34)*Y$12/$AB$12)</f>
        <v>185.90973771784235</v>
      </c>
      <c r="Z35" s="37">
        <f ca="1">IF(Z$7&lt;YEAR(Startops1),0,('Enron Returns'!$AB$34-$AB34)*Z$12/$AB$12)</f>
        <v>185.90973771784235</v>
      </c>
      <c r="AA35" s="37">
        <f ca="1">IF(AA$7&lt;YEAR(Startops1),0,('Enron Returns'!$AB$34-$AB34)*AA$12/$AB$12)</f>
        <v>61.969912572614113</v>
      </c>
      <c r="AB35" s="435">
        <f t="shared" ca="1" si="8"/>
        <v>3733.6872324999999</v>
      </c>
    </row>
    <row r="36" spans="1:29">
      <c r="A36" s="20" t="s">
        <v>910</v>
      </c>
      <c r="B36" s="15"/>
      <c r="C36" s="212">
        <f>Wh_Serv*0+17.65%</f>
        <v>0.17649999999999999</v>
      </c>
      <c r="D36" s="161" t="s">
        <v>478</v>
      </c>
      <c r="E36" s="222">
        <f ca="1">-SUM(E34:E35)*$C36</f>
        <v>0</v>
      </c>
      <c r="F36" s="222">
        <f ca="1">-SUM(F34:F35)*$C36</f>
        <v>-246.86320514430827</v>
      </c>
      <c r="G36" s="222">
        <f ca="1">-SUM(G34:G35)*$C36</f>
        <v>-195.29116805458261</v>
      </c>
      <c r="H36" s="222">
        <f t="shared" ref="H36:AA36" ca="1" si="9">-SUM(H34:H35)*$C36</f>
        <v>-347.29285150245749</v>
      </c>
      <c r="I36" s="222">
        <f t="shared" ca="1" si="9"/>
        <v>-32.813068707199172</v>
      </c>
      <c r="J36" s="222">
        <f t="shared" ca="1" si="9"/>
        <v>-32.813068707199172</v>
      </c>
      <c r="K36" s="222">
        <f t="shared" ca="1" si="9"/>
        <v>-32.813068707199172</v>
      </c>
      <c r="L36" s="222">
        <f t="shared" ca="1" si="9"/>
        <v>-32.813068707199172</v>
      </c>
      <c r="M36" s="222">
        <f t="shared" ca="1" si="9"/>
        <v>-32.813068707199172</v>
      </c>
      <c r="N36" s="222">
        <f t="shared" ca="1" si="9"/>
        <v>-32.813068707199172</v>
      </c>
      <c r="O36" s="222">
        <f t="shared" ca="1" si="9"/>
        <v>-32.813068707199172</v>
      </c>
      <c r="P36" s="222">
        <f t="shared" ca="1" si="9"/>
        <v>-32.813068707199172</v>
      </c>
      <c r="Q36" s="222">
        <f t="shared" ca="1" si="9"/>
        <v>-32.813068707199172</v>
      </c>
      <c r="R36" s="222">
        <f t="shared" ca="1" si="9"/>
        <v>-32.813068707199172</v>
      </c>
      <c r="S36" s="222">
        <f t="shared" ca="1" si="9"/>
        <v>-32.813068707199172</v>
      </c>
      <c r="T36" s="222">
        <f t="shared" ca="1" si="9"/>
        <v>-32.813068707199172</v>
      </c>
      <c r="U36" s="222">
        <f t="shared" ca="1" si="9"/>
        <v>-32.813068707199172</v>
      </c>
      <c r="V36" s="222">
        <f t="shared" ca="1" si="9"/>
        <v>-32.813068707199172</v>
      </c>
      <c r="W36" s="222">
        <f t="shared" ca="1" si="9"/>
        <v>-32.813068707199172</v>
      </c>
      <c r="X36" s="222">
        <f t="shared" ca="1" si="9"/>
        <v>-32.813068707199172</v>
      </c>
      <c r="Y36" s="222">
        <f t="shared" ca="1" si="9"/>
        <v>-32.813068707199172</v>
      </c>
      <c r="Z36" s="222">
        <f t="shared" ca="1" si="9"/>
        <v>-32.813068707199172</v>
      </c>
      <c r="AA36" s="222">
        <f t="shared" ca="1" si="9"/>
        <v>-10.937689569066391</v>
      </c>
      <c r="AB36" s="451">
        <f t="shared" ca="1" si="8"/>
        <v>-1391.0201509999993</v>
      </c>
    </row>
    <row r="37" spans="1:29">
      <c r="A37" s="20" t="s">
        <v>911</v>
      </c>
      <c r="B37" s="15"/>
      <c r="C37" s="15"/>
      <c r="D37" s="161" t="s">
        <v>478</v>
      </c>
      <c r="E37" s="37">
        <f ca="1">'Enron Returns'!E36</f>
        <v>0</v>
      </c>
      <c r="F37" s="37">
        <f ca="1">'Enron Returns'!F36</f>
        <v>0</v>
      </c>
      <c r="G37" s="37">
        <f ca="1">'Enron Returns'!G36</f>
        <v>350.14044943820227</v>
      </c>
      <c r="H37" s="37">
        <f ca="1">'Enron Returns'!H36</f>
        <v>477.93599776528555</v>
      </c>
      <c r="I37" s="37">
        <f ca="1">'Enron Returns'!I36</f>
        <v>987.46255573140695</v>
      </c>
      <c r="J37" s="37">
        <f ca="1">'Enron Returns'!J36</f>
        <v>1018.9716001545293</v>
      </c>
      <c r="K37" s="37">
        <f ca="1">'Enron Returns'!K36</f>
        <v>1049.6583413349597</v>
      </c>
      <c r="L37" s="37">
        <f ca="1">'Enron Returns'!L36</f>
        <v>1080.314400861585</v>
      </c>
      <c r="M37" s="37">
        <f ca="1">'Enron Returns'!M36</f>
        <v>1111.1606493836964</v>
      </c>
      <c r="N37" s="37">
        <f ca="1">'Enron Returns'!N36</f>
        <v>1142.2718606591895</v>
      </c>
      <c r="O37" s="37">
        <f ca="1">'Enron Returns'!O36</f>
        <v>1173.5069184961342</v>
      </c>
      <c r="P37" s="37">
        <f ca="1">'Enron Returns'!P36</f>
        <v>1204.9018025302134</v>
      </c>
      <c r="Q37" s="37">
        <f ca="1">'Enron Returns'!Q36</f>
        <v>1236.5559130443014</v>
      </c>
      <c r="R37" s="37">
        <f ca="1">'Enron Returns'!R36</f>
        <v>1268.5092192829611</v>
      </c>
      <c r="S37" s="37">
        <f ca="1">'Enron Returns'!S36</f>
        <v>1300.8266372410264</v>
      </c>
      <c r="T37" s="37">
        <f ca="1">'Enron Returns'!T36</f>
        <v>1333.6277494598744</v>
      </c>
      <c r="U37" s="37">
        <f ca="1">'Enron Returns'!U36</f>
        <v>1367.1096380039005</v>
      </c>
      <c r="V37" s="37">
        <f ca="1">'Enron Returns'!V36</f>
        <v>1401.6580483868258</v>
      </c>
      <c r="W37" s="37">
        <f ca="1">'Enron Returns'!W36</f>
        <v>1437.5973584173569</v>
      </c>
      <c r="X37" s="37">
        <f ca="1">'Enron Returns'!X36</f>
        <v>1475.0851000769489</v>
      </c>
      <c r="Y37" s="37">
        <f ca="1">'Enron Returns'!Y36</f>
        <v>1514.2920288625339</v>
      </c>
      <c r="Z37" s="37">
        <f ca="1">'Enron Returns'!Z36</f>
        <v>1555.2119946031808</v>
      </c>
      <c r="AA37" s="37">
        <f ca="1">'Enron Returns'!AA36</f>
        <v>532.63071873189369</v>
      </c>
      <c r="AB37" s="435">
        <f ca="1">SUM(E37:AA37)</f>
        <v>24019.428982466008</v>
      </c>
    </row>
    <row r="38" spans="1:29">
      <c r="A38" s="1406" t="s">
        <v>545</v>
      </c>
      <c r="B38" s="1407"/>
      <c r="C38" s="1407"/>
      <c r="D38" s="1408" t="s">
        <v>478</v>
      </c>
      <c r="E38" s="1409">
        <f ca="1">IF(E$7&gt;=YEAR(Startops1),-Assm!$V$107/$AB$12*E12,0)</f>
        <v>0</v>
      </c>
      <c r="F38" s="1409">
        <f ca="1">IF(F$7&gt;=YEAR(Startops1),-Assm!$V$107/$AB$12*F12,0)</f>
        <v>0</v>
      </c>
      <c r="G38" s="1409">
        <f ca="1">IF(G$7&gt;=YEAR(Startops1),-Assm!$V$107/$AB$12*G12,0)</f>
        <v>-18.381683431601925</v>
      </c>
      <c r="H38" s="1409">
        <f ca="1">IF(H$7&gt;=YEAR(Startops1),-Assm!$V$107/$AB$12*H12,0)</f>
        <v>-24.508911242135902</v>
      </c>
      <c r="I38" s="1409">
        <f ca="1">IF(I$7&gt;=YEAR(Startops1),-Assm!$V$107/$AB$12*I12,0)</f>
        <v>-24.508911242135902</v>
      </c>
      <c r="J38" s="1409">
        <f ca="1">IF(J$7&gt;=YEAR(Startops1),-Assm!$V$107/$AB$12*J12,0)</f>
        <v>-24.508911242135902</v>
      </c>
      <c r="K38" s="1409">
        <f ca="1">IF(K$7&gt;=YEAR(Startops1),-Assm!$V$107/$AB$12*K12,0)</f>
        <v>-24.508911242135902</v>
      </c>
      <c r="L38" s="1409">
        <f ca="1">IF(L$7&gt;=YEAR(Startops1),-Assm!$V$107/$AB$12*L12,0)</f>
        <v>-24.508911242135902</v>
      </c>
      <c r="M38" s="1409">
        <f ca="1">IF(M$7&gt;=YEAR(Startops1),-Assm!$V$107/$AB$12*M12,0)</f>
        <v>-24.508911242135902</v>
      </c>
      <c r="N38" s="1409">
        <f ca="1">IF(N$7&gt;=YEAR(Startops1),-Assm!$V$107/$AB$12*N12,0)</f>
        <v>-24.508911242135902</v>
      </c>
      <c r="O38" s="1409">
        <f ca="1">IF(O$7&gt;=YEAR(Startops1),-Assm!$V$107/$AB$12*O12,0)</f>
        <v>-24.508911242135902</v>
      </c>
      <c r="P38" s="1409">
        <f ca="1">IF(P$7&gt;=YEAR(Startops1),-Assm!$V$107/$AB$12*P12,0)</f>
        <v>-24.508911242135902</v>
      </c>
      <c r="Q38" s="1409">
        <f ca="1">IF(Q$7&gt;=YEAR(Startops1),-Assm!$V$107/$AB$12*Q12,0)</f>
        <v>-24.508911242135902</v>
      </c>
      <c r="R38" s="1409">
        <f ca="1">IF(R$7&gt;=YEAR(Startops1),-Assm!$V$107/$AB$12*R12,0)</f>
        <v>-24.508911242135902</v>
      </c>
      <c r="S38" s="1409">
        <f ca="1">IF(S$7&gt;=YEAR(Startops1),-Assm!$V$107/$AB$12*S12,0)</f>
        <v>-24.508911242135902</v>
      </c>
      <c r="T38" s="1409">
        <f ca="1">IF(T$7&gt;=YEAR(Startops1),-Assm!$V$107/$AB$12*T12,0)</f>
        <v>-24.508911242135902</v>
      </c>
      <c r="U38" s="1409">
        <f ca="1">IF(U$7&gt;=YEAR(Startops1),-Assm!$V$107/$AB$12*U12,0)</f>
        <v>-24.508911242135902</v>
      </c>
      <c r="V38" s="1409">
        <f ca="1">IF(V$7&gt;=YEAR(Startops1),-Assm!$V$107/$AB$12*V12,0)</f>
        <v>-24.508911242135902</v>
      </c>
      <c r="W38" s="1409">
        <f ca="1">IF(W$7&gt;=YEAR(Startops1),-Assm!$V$107/$AB$12*W12,0)</f>
        <v>-24.508911242135902</v>
      </c>
      <c r="X38" s="1409">
        <f ca="1">IF(X$7&gt;=YEAR(Startops1),-Assm!$V$107/$AB$12*X12,0)</f>
        <v>-24.508911242135902</v>
      </c>
      <c r="Y38" s="1409">
        <f ca="1">IF(Y$7&gt;=YEAR(Startops1),-Assm!$V$107/$AB$12*Y12,0)</f>
        <v>-24.508911242135902</v>
      </c>
      <c r="Z38" s="1409">
        <f ca="1">IF(Z$7&gt;=YEAR(Startops1),-Assm!$V$107/$AB$12*Z12,0)</f>
        <v>-24.508911242135902</v>
      </c>
      <c r="AA38" s="1409">
        <f ca="1">IF(AA$7&gt;=YEAR(Startops1),-Assm!$V$107/$AB$12*AA12,0)</f>
        <v>-8.1696370807119667</v>
      </c>
      <c r="AB38" s="1410">
        <f ca="1">SUM(E38:AA38)</f>
        <v>-492.22063411289622</v>
      </c>
    </row>
    <row r="39" spans="1:29">
      <c r="A39" s="1406" t="s">
        <v>546</v>
      </c>
      <c r="B39" s="1407"/>
      <c r="C39" s="1407"/>
      <c r="D39" s="1408" t="s">
        <v>478</v>
      </c>
      <c r="E39" s="1409">
        <f ca="1">IF(E$7&gt;=YEAR(Startops1),-Assm!$V$108/$AB$12*E12,0)</f>
        <v>0</v>
      </c>
      <c r="F39" s="1409">
        <f ca="1">IF(F$7&gt;=YEAR(Startops1),-Assm!$V$108/$AB$12*F12,0)</f>
        <v>0</v>
      </c>
      <c r="G39" s="1409">
        <f ca="1">IF(G$7&gt;=YEAR(Startops1),-Assm!$V$108/$AB$12*G12,0)</f>
        <v>-84.360995850622416</v>
      </c>
      <c r="H39" s="1409">
        <f ca="1">IF(H$7&gt;=YEAR(Startops1),-Assm!$V$108/$AB$12*H12,0)</f>
        <v>-112.48132780082989</v>
      </c>
      <c r="I39" s="1409">
        <f ca="1">IF(I$7&gt;=YEAR(Startops1),-Assm!$V$108/$AB$12*I12,0)</f>
        <v>-112.48132780082989</v>
      </c>
      <c r="J39" s="1409">
        <f ca="1">IF(J$7&gt;=YEAR(Startops1),-Assm!$V$108/$AB$12*J12,0)</f>
        <v>-112.48132780082989</v>
      </c>
      <c r="K39" s="1409">
        <f ca="1">IF(K$7&gt;=YEAR(Startops1),-Assm!$V$108/$AB$12*K12,0)</f>
        <v>-112.48132780082989</v>
      </c>
      <c r="L39" s="1409">
        <f ca="1">IF(L$7&gt;=YEAR(Startops1),-Assm!$V$108/$AB$12*L12,0)</f>
        <v>-112.48132780082989</v>
      </c>
      <c r="M39" s="1409">
        <f ca="1">IF(M$7&gt;=YEAR(Startops1),-Assm!$V$108/$AB$12*M12,0)</f>
        <v>-112.48132780082989</v>
      </c>
      <c r="N39" s="1409">
        <f ca="1">IF(N$7&gt;=YEAR(Startops1),-Assm!$V$108/$AB$12*N12,0)</f>
        <v>-112.48132780082989</v>
      </c>
      <c r="O39" s="1409">
        <f ca="1">IF(O$7&gt;=YEAR(Startops1),-Assm!$V$108/$AB$12*O12,0)</f>
        <v>-112.48132780082989</v>
      </c>
      <c r="P39" s="1409">
        <f ca="1">IF(P$7&gt;=YEAR(Startops1),-Assm!$V$108/$AB$12*P12,0)</f>
        <v>-112.48132780082989</v>
      </c>
      <c r="Q39" s="1409">
        <f ca="1">IF(Q$7&gt;=YEAR(Startops1),-Assm!$V$108/$AB$12*Q12,0)</f>
        <v>-112.48132780082989</v>
      </c>
      <c r="R39" s="1409">
        <f ca="1">IF(R$7&gt;=YEAR(Startops1),-Assm!$V$108/$AB$12*R12,0)</f>
        <v>-112.48132780082989</v>
      </c>
      <c r="S39" s="1409">
        <f ca="1">IF(S$7&gt;=YEAR(Startops1),-Assm!$V$108/$AB$12*S12,0)</f>
        <v>-112.48132780082989</v>
      </c>
      <c r="T39" s="1409">
        <f ca="1">IF(T$7&gt;=YEAR(Startops1),-Assm!$V$108/$AB$12*T12,0)</f>
        <v>-112.48132780082989</v>
      </c>
      <c r="U39" s="1409">
        <f ca="1">IF(U$7&gt;=YEAR(Startops1),-Assm!$V$108/$AB$12*U12,0)</f>
        <v>-112.48132780082989</v>
      </c>
      <c r="V39" s="1409">
        <f ca="1">IF(V$7&gt;=YEAR(Startops1),-Assm!$V$108/$AB$12*V12,0)</f>
        <v>-112.48132780082989</v>
      </c>
      <c r="W39" s="1409">
        <f ca="1">IF(W$7&gt;=YEAR(Startops1),-Assm!$V$108/$AB$12*W12,0)</f>
        <v>-112.48132780082989</v>
      </c>
      <c r="X39" s="1409">
        <f ca="1">IF(X$7&gt;=YEAR(Startops1),-Assm!$V$108/$AB$12*X12,0)</f>
        <v>-112.48132780082989</v>
      </c>
      <c r="Y39" s="1409">
        <f ca="1">IF(Y$7&gt;=YEAR(Startops1),-Assm!$V$108/$AB$12*Y12,0)</f>
        <v>-112.48132780082989</v>
      </c>
      <c r="Z39" s="1409">
        <f ca="1">IF(Z$7&gt;=YEAR(Startops1),-Assm!$V$108/$AB$12*Z12,0)</f>
        <v>-112.48132780082989</v>
      </c>
      <c r="AA39" s="1409">
        <f ca="1">IF(AA$7&gt;=YEAR(Startops1),-Assm!$V$108/$AB$12*AA12,0)</f>
        <v>-37.49377593360996</v>
      </c>
      <c r="AB39" s="1410">
        <f ca="1">SUM(E39:AA39)</f>
        <v>-2258.9999999999995</v>
      </c>
    </row>
    <row r="40" spans="1:29">
      <c r="A40" s="20" t="s">
        <v>577</v>
      </c>
      <c r="B40" s="15"/>
      <c r="C40" s="15"/>
      <c r="D40" s="15"/>
      <c r="E40" s="142">
        <f ca="1">-SUM(E30:E39)*USTax</f>
        <v>0</v>
      </c>
      <c r="F40" s="142">
        <f t="shared" ref="F40:AA40" ca="1" si="10">-SUM(F30:F39)*USTax</f>
        <v>-426.16421694869695</v>
      </c>
      <c r="G40" s="142">
        <f t="shared" ca="1" si="10"/>
        <v>-202.97728676305994</v>
      </c>
      <c r="H40" s="142">
        <f t="shared" ca="1" si="10"/>
        <v>-552.15334855312665</v>
      </c>
      <c r="I40" s="142">
        <f t="shared" ca="1" si="10"/>
        <v>-203.83120508140894</v>
      </c>
      <c r="J40" s="142">
        <f t="shared" ca="1" si="10"/>
        <v>-220.47075499105537</v>
      </c>
      <c r="K40" s="142">
        <f t="shared" ca="1" si="10"/>
        <v>-569.845746253421</v>
      </c>
      <c r="L40" s="142">
        <f t="shared" ca="1" si="10"/>
        <v>-225.33154221322272</v>
      </c>
      <c r="M40" s="142">
        <f t="shared" ca="1" si="10"/>
        <v>-1521.3553616091331</v>
      </c>
      <c r="N40" s="142">
        <f t="shared" ca="1" si="10"/>
        <v>-1692.7488561430059</v>
      </c>
      <c r="O40" s="142">
        <f t="shared" ca="1" si="10"/>
        <v>-1648.1671561076935</v>
      </c>
      <c r="P40" s="142">
        <f t="shared" ca="1" si="10"/>
        <v>-1500.4810085971724</v>
      </c>
      <c r="Q40" s="142">
        <f t="shared" ca="1" si="10"/>
        <v>-1570.4899732793933</v>
      </c>
      <c r="R40" s="142">
        <f t="shared" ca="1" si="10"/>
        <v>-1782.4743497801019</v>
      </c>
      <c r="S40" s="142">
        <f t="shared" ca="1" si="10"/>
        <v>-1794.4317944245861</v>
      </c>
      <c r="T40" s="142">
        <f t="shared" ca="1" si="10"/>
        <v>-1454.9191907320176</v>
      </c>
      <c r="U40" s="142">
        <f t="shared" ca="1" si="10"/>
        <v>-1818.9565047068497</v>
      </c>
      <c r="V40" s="142">
        <f t="shared" ca="1" si="10"/>
        <v>-889.2798945239872</v>
      </c>
      <c r="W40" s="142">
        <f t="shared" ca="1" si="10"/>
        <v>-314.11589359186297</v>
      </c>
      <c r="X40" s="142">
        <f t="shared" ca="1" si="10"/>
        <v>-345.31838272560134</v>
      </c>
      <c r="Y40" s="142">
        <f t="shared" ca="1" si="10"/>
        <v>-383.53861825055571</v>
      </c>
      <c r="Z40" s="142">
        <f t="shared" ca="1" si="10"/>
        <v>-420.87520770248756</v>
      </c>
      <c r="AA40" s="142">
        <f t="shared" ca="1" si="10"/>
        <v>-84.456460493249566</v>
      </c>
      <c r="AB40" s="436">
        <f ca="1">SUM(E40:AA40)</f>
        <v>-19622.382753471695</v>
      </c>
    </row>
    <row r="41" spans="1:29">
      <c r="A41" s="20"/>
      <c r="B41" s="15" t="s">
        <v>39</v>
      </c>
      <c r="C41" s="15"/>
      <c r="D41" s="15"/>
      <c r="E41" s="37">
        <f t="shared" ref="E41:AA41" ca="1" si="11">SUM(E29:E40)</f>
        <v>0</v>
      </c>
      <c r="F41" s="37">
        <f t="shared" ca="1" si="11"/>
        <v>725.63096399372716</v>
      </c>
      <c r="G41" s="37">
        <f t="shared" ca="1" si="11"/>
        <v>345.60997475872364</v>
      </c>
      <c r="H41" s="37">
        <f t="shared" ca="1" si="11"/>
        <v>940.1529988877561</v>
      </c>
      <c r="I41" s="37">
        <f t="shared" ca="1" si="11"/>
        <v>347.06394378726384</v>
      </c>
      <c r="J41" s="37">
        <f t="shared" ca="1" si="11"/>
        <v>375.39615039017531</v>
      </c>
      <c r="K41" s="37">
        <f t="shared" ca="1" si="11"/>
        <v>970.27789226933862</v>
      </c>
      <c r="L41" s="37">
        <f t="shared" ca="1" si="11"/>
        <v>383.67262593062242</v>
      </c>
      <c r="M41" s="37">
        <f t="shared" ca="1" si="11"/>
        <v>2590.4158859831186</v>
      </c>
      <c r="N41" s="37">
        <f t="shared" ca="1" si="11"/>
        <v>2882.2480523516047</v>
      </c>
      <c r="O41" s="37">
        <f t="shared" ca="1" si="11"/>
        <v>2806.3386712103966</v>
      </c>
      <c r="P41" s="37">
        <f t="shared" ca="1" si="11"/>
        <v>2554.8730686924828</v>
      </c>
      <c r="Q41" s="37">
        <f t="shared" ca="1" si="11"/>
        <v>2674.0775220703185</v>
      </c>
      <c r="R41" s="37">
        <f t="shared" ca="1" si="11"/>
        <v>3035.0238928688223</v>
      </c>
      <c r="S41" s="37">
        <f t="shared" ca="1" si="11"/>
        <v>3055.3838661824038</v>
      </c>
      <c r="T41" s="37">
        <f t="shared" ca="1" si="11"/>
        <v>2477.2948382734357</v>
      </c>
      <c r="U41" s="37">
        <f t="shared" ca="1" si="11"/>
        <v>3097.1421566630142</v>
      </c>
      <c r="V41" s="37">
        <f t="shared" ca="1" si="11"/>
        <v>1514.1792798651675</v>
      </c>
      <c r="W41" s="37">
        <f t="shared" ca="1" si="11"/>
        <v>534.8459809807398</v>
      </c>
      <c r="X41" s="37">
        <f t="shared" ca="1" si="11"/>
        <v>587.97454355980767</v>
      </c>
      <c r="Y41" s="37">
        <f t="shared" ca="1" si="11"/>
        <v>653.05224188608133</v>
      </c>
      <c r="Z41" s="37">
        <f t="shared" ca="1" si="11"/>
        <v>716.62535365558688</v>
      </c>
      <c r="AA41" s="37">
        <f t="shared" ca="1" si="11"/>
        <v>143.80424354256007</v>
      </c>
      <c r="AB41" s="435">
        <f ca="1">SUM(E41:AA41)</f>
        <v>33411.084147803143</v>
      </c>
    </row>
    <row r="42" spans="1:29">
      <c r="A42" s="20"/>
      <c r="B42" s="15"/>
      <c r="C42" s="15"/>
      <c r="D42" s="1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431"/>
    </row>
    <row r="43" spans="1:29">
      <c r="A43" s="128" t="s">
        <v>35</v>
      </c>
      <c r="B43" s="15"/>
      <c r="C43" s="15"/>
      <c r="D43" s="1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  <c r="AA43" s="65"/>
      <c r="AB43" s="431"/>
    </row>
    <row r="44" spans="1:29">
      <c r="A44" s="20" t="str">
        <f>CONCATENATE("Plus: Interest Income - ",TEXT(Int_BL,"0.00%"))</f>
        <v>Plus: Interest Income - 6.00%</v>
      </c>
      <c r="B44" s="15"/>
      <c r="C44" s="15"/>
      <c r="D44" s="161" t="s">
        <v>486</v>
      </c>
      <c r="E44" s="37">
        <f ca="1">'Enron Returns'!E52</f>
        <v>0</v>
      </c>
      <c r="F44" s="37">
        <f ca="1">'Enron Returns'!F52</f>
        <v>90.770523693469599</v>
      </c>
      <c r="G44" s="37">
        <f ca="1">'Enron Returns'!G52</f>
        <v>2440.476691943556</v>
      </c>
      <c r="H44" s="37">
        <f ca="1">'Enron Returns'!H52</f>
        <v>2577.3833879337049</v>
      </c>
      <c r="I44" s="37">
        <f ca="1">'Enron Returns'!I52</f>
        <v>0</v>
      </c>
      <c r="J44" s="37">
        <f ca="1">'Enron Returns'!J52</f>
        <v>0</v>
      </c>
      <c r="K44" s="37">
        <f ca="1">'Enron Returns'!K52</f>
        <v>0</v>
      </c>
      <c r="L44" s="37">
        <f ca="1">'Enron Returns'!L52</f>
        <v>0</v>
      </c>
      <c r="M44" s="37">
        <f ca="1">'Enron Returns'!M52</f>
        <v>0</v>
      </c>
      <c r="N44" s="37">
        <f ca="1">'Enron Returns'!N52</f>
        <v>0</v>
      </c>
      <c r="O44" s="37">
        <f ca="1">'Enron Returns'!O52</f>
        <v>0</v>
      </c>
      <c r="P44" s="37">
        <f ca="1">'Enron Returns'!P52</f>
        <v>0</v>
      </c>
      <c r="Q44" s="37">
        <f ca="1">'Enron Returns'!Q52</f>
        <v>0</v>
      </c>
      <c r="R44" s="37">
        <f ca="1">'Enron Returns'!R52</f>
        <v>0</v>
      </c>
      <c r="S44" s="37">
        <f ca="1">'Enron Returns'!S52</f>
        <v>0</v>
      </c>
      <c r="T44" s="37">
        <f ca="1">'Enron Returns'!T52</f>
        <v>0</v>
      </c>
      <c r="U44" s="37">
        <f ca="1">'Enron Returns'!U52</f>
        <v>0</v>
      </c>
      <c r="V44" s="37">
        <f ca="1">'Enron Returns'!V52</f>
        <v>0</v>
      </c>
      <c r="W44" s="37">
        <f ca="1">'Enron Returns'!W52</f>
        <v>0</v>
      </c>
      <c r="X44" s="37">
        <f ca="1">'Enron Returns'!X52</f>
        <v>0</v>
      </c>
      <c r="Y44" s="37">
        <f ca="1">'Enron Returns'!Y52</f>
        <v>0</v>
      </c>
      <c r="Z44" s="37">
        <f ca="1">'Enron Returns'!Z52</f>
        <v>0</v>
      </c>
      <c r="AA44" s="37">
        <f ca="1">'Enron Returns'!AA52</f>
        <v>0</v>
      </c>
      <c r="AB44" s="435">
        <f ca="1">SUM(E44:AA44)</f>
        <v>5108.6306035707303</v>
      </c>
    </row>
    <row r="45" spans="1:29">
      <c r="A45" s="20" t="str">
        <f>CONCATENATE("Less: Enron Cost Of Funds - ",TEXT(Ecf,"0.00%"))</f>
        <v>Less: Enron Cost Of Funds - 6.50%</v>
      </c>
      <c r="B45" s="15"/>
      <c r="C45" s="15"/>
      <c r="D45" s="161" t="s">
        <v>486</v>
      </c>
      <c r="E45" s="37">
        <f ca="1">-E44/Int_BL*Ecf</f>
        <v>0</v>
      </c>
      <c r="F45" s="37">
        <f t="shared" ref="F45:AA45" ca="1" si="12">-F44/Int_BL*Ecf</f>
        <v>-98.334734001258752</v>
      </c>
      <c r="G45" s="37">
        <f t="shared" ca="1" si="12"/>
        <v>-2643.8497496055188</v>
      </c>
      <c r="H45" s="37">
        <f t="shared" ca="1" si="12"/>
        <v>-2792.1653369281807</v>
      </c>
      <c r="I45" s="37">
        <f t="shared" ca="1" si="12"/>
        <v>0</v>
      </c>
      <c r="J45" s="37">
        <f t="shared" ca="1" si="12"/>
        <v>0</v>
      </c>
      <c r="K45" s="37">
        <f t="shared" ca="1" si="12"/>
        <v>0</v>
      </c>
      <c r="L45" s="37">
        <f t="shared" ca="1" si="12"/>
        <v>0</v>
      </c>
      <c r="M45" s="37">
        <f t="shared" ca="1" si="12"/>
        <v>0</v>
      </c>
      <c r="N45" s="37">
        <f t="shared" ca="1" si="12"/>
        <v>0</v>
      </c>
      <c r="O45" s="37">
        <f t="shared" ca="1" si="12"/>
        <v>0</v>
      </c>
      <c r="P45" s="37">
        <f t="shared" ca="1" si="12"/>
        <v>0</v>
      </c>
      <c r="Q45" s="37">
        <f t="shared" ca="1" si="12"/>
        <v>0</v>
      </c>
      <c r="R45" s="37">
        <f t="shared" ca="1" si="12"/>
        <v>0</v>
      </c>
      <c r="S45" s="37">
        <f t="shared" ca="1" si="12"/>
        <v>0</v>
      </c>
      <c r="T45" s="37">
        <f t="shared" ca="1" si="12"/>
        <v>0</v>
      </c>
      <c r="U45" s="37">
        <f t="shared" ca="1" si="12"/>
        <v>0</v>
      </c>
      <c r="V45" s="37">
        <f t="shared" ca="1" si="12"/>
        <v>0</v>
      </c>
      <c r="W45" s="37">
        <f t="shared" ca="1" si="12"/>
        <v>0</v>
      </c>
      <c r="X45" s="37">
        <f t="shared" ca="1" si="12"/>
        <v>0</v>
      </c>
      <c r="Y45" s="37">
        <f t="shared" ca="1" si="12"/>
        <v>0</v>
      </c>
      <c r="Z45" s="37">
        <f t="shared" ca="1" si="12"/>
        <v>0</v>
      </c>
      <c r="AA45" s="37">
        <f t="shared" ca="1" si="12"/>
        <v>0</v>
      </c>
      <c r="AB45" s="435">
        <f ca="1">SUM(E45:AA45)</f>
        <v>-5534.3498205349588</v>
      </c>
    </row>
    <row r="46" spans="1:29">
      <c r="A46" s="20" t="str">
        <f>CONCATENATE("Less: Political Risk Insurance - ",TEXT(Opic,"0.00%"))</f>
        <v>Less: Political Risk Insurance - 1.00%</v>
      </c>
      <c r="B46" s="15"/>
      <c r="C46" s="15"/>
      <c r="D46" s="161" t="s">
        <v>486</v>
      </c>
      <c r="E46" s="37">
        <f ca="1">'Enron Returns'!E54</f>
        <v>0</v>
      </c>
      <c r="F46" s="37">
        <f ca="1">'Enron Returns'!F54</f>
        <v>-115.17133927228535</v>
      </c>
      <c r="G46" s="37">
        <f ca="1">'Enron Returns'!G54</f>
        <v>-413.46913926743701</v>
      </c>
      <c r="H46" s="37">
        <f ca="1">'Enron Returns'!H54</f>
        <v>-355.8834696312943</v>
      </c>
      <c r="I46" s="37">
        <f ca="1">'Enron Returns'!I54</f>
        <v>0</v>
      </c>
      <c r="J46" s="37">
        <f ca="1">'Enron Returns'!J54</f>
        <v>0</v>
      </c>
      <c r="K46" s="37">
        <f ca="1">'Enron Returns'!K54</f>
        <v>0</v>
      </c>
      <c r="L46" s="37">
        <f ca="1">'Enron Returns'!L54</f>
        <v>0</v>
      </c>
      <c r="M46" s="37">
        <f ca="1">'Enron Returns'!M54</f>
        <v>0</v>
      </c>
      <c r="N46" s="37">
        <f ca="1">'Enron Returns'!N54</f>
        <v>0</v>
      </c>
      <c r="O46" s="37">
        <f ca="1">'Enron Returns'!O54</f>
        <v>0</v>
      </c>
      <c r="P46" s="37">
        <f ca="1">'Enron Returns'!P54</f>
        <v>0</v>
      </c>
      <c r="Q46" s="37">
        <f ca="1">'Enron Returns'!Q54</f>
        <v>0</v>
      </c>
      <c r="R46" s="37">
        <f ca="1">'Enron Returns'!R54</f>
        <v>0</v>
      </c>
      <c r="S46" s="37">
        <f ca="1">'Enron Returns'!S54</f>
        <v>0</v>
      </c>
      <c r="T46" s="37">
        <f ca="1">'Enron Returns'!T54</f>
        <v>0</v>
      </c>
      <c r="U46" s="37">
        <f ca="1">'Enron Returns'!U54</f>
        <v>0</v>
      </c>
      <c r="V46" s="37">
        <f ca="1">'Enron Returns'!V54</f>
        <v>0</v>
      </c>
      <c r="W46" s="37">
        <f ca="1">'Enron Returns'!W54</f>
        <v>0</v>
      </c>
      <c r="X46" s="37">
        <f ca="1">'Enron Returns'!X54</f>
        <v>0</v>
      </c>
      <c r="Y46" s="37">
        <f ca="1">'Enron Returns'!Y54</f>
        <v>0</v>
      </c>
      <c r="Z46" s="37">
        <f ca="1">'Enron Returns'!Z54</f>
        <v>0</v>
      </c>
      <c r="AA46" s="37">
        <f ca="1">'Enron Returns'!AA54</f>
        <v>0</v>
      </c>
      <c r="AB46" s="435">
        <f ca="1">SUM(E46:AA46)</f>
        <v>-884.52394817101663</v>
      </c>
    </row>
    <row r="47" spans="1:29">
      <c r="A47" s="20" t="s">
        <v>583</v>
      </c>
      <c r="B47" s="15"/>
      <c r="C47" s="15"/>
      <c r="D47" s="15"/>
      <c r="E47" s="142">
        <f t="shared" ref="E47:AA47" ca="1" si="13">-SUM(E44:E46)*USTax</f>
        <v>0</v>
      </c>
      <c r="F47" s="142">
        <f t="shared" ca="1" si="13"/>
        <v>45.412153344627569</v>
      </c>
      <c r="G47" s="142">
        <f t="shared" ca="1" si="13"/>
        <v>228.2316128638779</v>
      </c>
      <c r="H47" s="142">
        <f t="shared" ca="1" si="13"/>
        <v>211.14620489153495</v>
      </c>
      <c r="I47" s="142">
        <f t="shared" ca="1" si="13"/>
        <v>0</v>
      </c>
      <c r="J47" s="142">
        <f t="shared" ca="1" si="13"/>
        <v>0</v>
      </c>
      <c r="K47" s="142">
        <f t="shared" ca="1" si="13"/>
        <v>0</v>
      </c>
      <c r="L47" s="142">
        <f t="shared" ca="1" si="13"/>
        <v>0</v>
      </c>
      <c r="M47" s="142">
        <f t="shared" ca="1" si="13"/>
        <v>0</v>
      </c>
      <c r="N47" s="142">
        <f t="shared" ca="1" si="13"/>
        <v>0</v>
      </c>
      <c r="O47" s="142">
        <f t="shared" ca="1" si="13"/>
        <v>0</v>
      </c>
      <c r="P47" s="142">
        <f t="shared" ca="1" si="13"/>
        <v>0</v>
      </c>
      <c r="Q47" s="142">
        <f t="shared" ca="1" si="13"/>
        <v>0</v>
      </c>
      <c r="R47" s="142">
        <f t="shared" ca="1" si="13"/>
        <v>0</v>
      </c>
      <c r="S47" s="142">
        <f t="shared" ca="1" si="13"/>
        <v>0</v>
      </c>
      <c r="T47" s="142">
        <f t="shared" ca="1" si="13"/>
        <v>0</v>
      </c>
      <c r="U47" s="142">
        <f t="shared" ca="1" si="13"/>
        <v>0</v>
      </c>
      <c r="V47" s="142">
        <f t="shared" ca="1" si="13"/>
        <v>0</v>
      </c>
      <c r="W47" s="142">
        <f t="shared" ca="1" si="13"/>
        <v>0</v>
      </c>
      <c r="X47" s="142">
        <f t="shared" ca="1" si="13"/>
        <v>0</v>
      </c>
      <c r="Y47" s="142">
        <f t="shared" ca="1" si="13"/>
        <v>0</v>
      </c>
      <c r="Z47" s="142">
        <f t="shared" ca="1" si="13"/>
        <v>0</v>
      </c>
      <c r="AA47" s="142">
        <f t="shared" ca="1" si="13"/>
        <v>0</v>
      </c>
      <c r="AB47" s="436">
        <f ca="1">SUM(E47:AA47)</f>
        <v>484.78997110004036</v>
      </c>
    </row>
    <row r="48" spans="1:29">
      <c r="A48" s="20"/>
      <c r="B48" s="15" t="s">
        <v>40</v>
      </c>
      <c r="C48" s="15"/>
      <c r="D48" s="15"/>
      <c r="E48" s="37">
        <f ca="1">SUM(E43:E47)</f>
        <v>0</v>
      </c>
      <c r="F48" s="37">
        <f t="shared" ref="F48:AA48" ca="1" si="14">SUM(F43:F47)</f>
        <v>-77.323396235446936</v>
      </c>
      <c r="G48" s="37">
        <f t="shared" ca="1" si="14"/>
        <v>-388.61058406552183</v>
      </c>
      <c r="H48" s="37">
        <f t="shared" ca="1" si="14"/>
        <v>-359.51921373423522</v>
      </c>
      <c r="I48" s="37">
        <f t="shared" ca="1" si="14"/>
        <v>0</v>
      </c>
      <c r="J48" s="37">
        <f t="shared" ca="1" si="14"/>
        <v>0</v>
      </c>
      <c r="K48" s="37">
        <f t="shared" ca="1" si="14"/>
        <v>0</v>
      </c>
      <c r="L48" s="37">
        <f t="shared" ca="1" si="14"/>
        <v>0</v>
      </c>
      <c r="M48" s="37">
        <f t="shared" ca="1" si="14"/>
        <v>0</v>
      </c>
      <c r="N48" s="37">
        <f t="shared" ca="1" si="14"/>
        <v>0</v>
      </c>
      <c r="O48" s="37">
        <f t="shared" ca="1" si="14"/>
        <v>0</v>
      </c>
      <c r="P48" s="37">
        <f t="shared" ca="1" si="14"/>
        <v>0</v>
      </c>
      <c r="Q48" s="37">
        <f t="shared" ca="1" si="14"/>
        <v>0</v>
      </c>
      <c r="R48" s="37">
        <f t="shared" ca="1" si="14"/>
        <v>0</v>
      </c>
      <c r="S48" s="37">
        <f t="shared" ca="1" si="14"/>
        <v>0</v>
      </c>
      <c r="T48" s="37">
        <f t="shared" ca="1" si="14"/>
        <v>0</v>
      </c>
      <c r="U48" s="37">
        <f t="shared" ca="1" si="14"/>
        <v>0</v>
      </c>
      <c r="V48" s="37">
        <f t="shared" ca="1" si="14"/>
        <v>0</v>
      </c>
      <c r="W48" s="37">
        <f t="shared" ca="1" si="14"/>
        <v>0</v>
      </c>
      <c r="X48" s="37">
        <f t="shared" ca="1" si="14"/>
        <v>0</v>
      </c>
      <c r="Y48" s="37">
        <f t="shared" ca="1" si="14"/>
        <v>0</v>
      </c>
      <c r="Z48" s="37">
        <f t="shared" ca="1" si="14"/>
        <v>0</v>
      </c>
      <c r="AA48" s="37">
        <f t="shared" ca="1" si="14"/>
        <v>0</v>
      </c>
      <c r="AB48" s="435">
        <f ca="1">SUM(E48:AA48)</f>
        <v>-825.45319403520398</v>
      </c>
    </row>
    <row r="49" spans="1:29">
      <c r="A49" s="20"/>
      <c r="B49" s="15"/>
      <c r="C49" s="15"/>
      <c r="D49" s="1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431"/>
    </row>
    <row r="50" spans="1:29">
      <c r="A50" s="128" t="s">
        <v>1225</v>
      </c>
      <c r="B50" s="15"/>
      <c r="C50" s="15"/>
      <c r="D50" s="1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431"/>
    </row>
    <row r="51" spans="1:29">
      <c r="A51" s="20"/>
      <c r="B51" s="15" t="s">
        <v>37</v>
      </c>
      <c r="C51" s="15"/>
      <c r="D51" s="15"/>
      <c r="E51" s="37">
        <f t="shared" ref="E51:Z51" ca="1" si="15">E27</f>
        <v>0</v>
      </c>
      <c r="F51" s="37">
        <f t="shared" ca="1" si="15"/>
        <v>0</v>
      </c>
      <c r="G51" s="37">
        <f t="shared" ca="1" si="15"/>
        <v>-4354.6005245201941</v>
      </c>
      <c r="H51" s="37">
        <f t="shared" ca="1" si="15"/>
        <v>4467.5088810444731</v>
      </c>
      <c r="I51" s="37">
        <f t="shared" ca="1" si="15"/>
        <v>1797.2487252453068</v>
      </c>
      <c r="J51" s="37">
        <f t="shared" ca="1" si="15"/>
        <v>3050.3650634997575</v>
      </c>
      <c r="K51" s="37">
        <f t="shared" ca="1" si="15"/>
        <v>2790.1203718064321</v>
      </c>
      <c r="L51" s="37">
        <f t="shared" ca="1" si="15"/>
        <v>-3241.3108285795433</v>
      </c>
      <c r="M51" s="37">
        <f t="shared" ca="1" si="15"/>
        <v>3752.6374472304788</v>
      </c>
      <c r="N51" s="37">
        <f t="shared" ca="1" si="15"/>
        <v>3455.7850949822778</v>
      </c>
      <c r="O51" s="37">
        <f t="shared" ca="1" si="15"/>
        <v>3412.8384603182117</v>
      </c>
      <c r="P51" s="37">
        <f t="shared" ca="1" si="15"/>
        <v>3519.6909808742689</v>
      </c>
      <c r="Q51" s="37">
        <f t="shared" ca="1" si="15"/>
        <v>3221.539305079933</v>
      </c>
      <c r="R51" s="37">
        <f t="shared" ca="1" si="15"/>
        <v>2884.5630666612878</v>
      </c>
      <c r="S51" s="37">
        <f t="shared" ca="1" si="15"/>
        <v>2742.3207991771624</v>
      </c>
      <c r="T51" s="37">
        <f t="shared" ca="1" si="15"/>
        <v>2776.8703169676628</v>
      </c>
      <c r="U51" s="37">
        <f t="shared" ca="1" si="15"/>
        <v>2201.0990966325039</v>
      </c>
      <c r="V51" s="37">
        <f t="shared" ca="1" si="15"/>
        <v>1585.1470344573245</v>
      </c>
      <c r="W51" s="37">
        <f t="shared" ca="1" si="15"/>
        <v>1201.1621703747903</v>
      </c>
      <c r="X51" s="37">
        <f t="shared" ca="1" si="15"/>
        <v>536.38156143833453</v>
      </c>
      <c r="Y51" s="37">
        <f t="shared" ca="1" si="15"/>
        <v>-734.86452921293767</v>
      </c>
      <c r="Z51" s="37">
        <f t="shared" ca="1" si="15"/>
        <v>487.19359023963551</v>
      </c>
      <c r="AA51" s="37">
        <f ca="1">AA27</f>
        <v>336.07977580920829</v>
      </c>
      <c r="AB51" s="435">
        <f t="shared" ref="AB51:AB58" ca="1" si="16">SUM(E51:AA51)</f>
        <v>35887.77585952638</v>
      </c>
    </row>
    <row r="52" spans="1:29">
      <c r="A52" s="20"/>
      <c r="B52" s="15" t="s">
        <v>39</v>
      </c>
      <c r="C52" s="15"/>
      <c r="D52" s="15"/>
      <c r="E52" s="37">
        <f t="shared" ref="E52:Z52" ca="1" si="17">E41</f>
        <v>0</v>
      </c>
      <c r="F52" s="37">
        <f t="shared" ca="1" si="17"/>
        <v>725.63096399372716</v>
      </c>
      <c r="G52" s="37">
        <f t="shared" ca="1" si="17"/>
        <v>345.60997475872364</v>
      </c>
      <c r="H52" s="37">
        <f t="shared" ca="1" si="17"/>
        <v>940.1529988877561</v>
      </c>
      <c r="I52" s="37">
        <f t="shared" ca="1" si="17"/>
        <v>347.06394378726384</v>
      </c>
      <c r="J52" s="37">
        <f t="shared" ca="1" si="17"/>
        <v>375.39615039017531</v>
      </c>
      <c r="K52" s="37">
        <f t="shared" ca="1" si="17"/>
        <v>970.27789226933862</v>
      </c>
      <c r="L52" s="37">
        <f t="shared" ca="1" si="17"/>
        <v>383.67262593062242</v>
      </c>
      <c r="M52" s="37">
        <f t="shared" ca="1" si="17"/>
        <v>2590.4158859831186</v>
      </c>
      <c r="N52" s="37">
        <f t="shared" ca="1" si="17"/>
        <v>2882.2480523516047</v>
      </c>
      <c r="O52" s="37">
        <f t="shared" ca="1" si="17"/>
        <v>2806.3386712103966</v>
      </c>
      <c r="P52" s="37">
        <f t="shared" ca="1" si="17"/>
        <v>2554.8730686924828</v>
      </c>
      <c r="Q52" s="37">
        <f t="shared" ca="1" si="17"/>
        <v>2674.0775220703185</v>
      </c>
      <c r="R52" s="37">
        <f t="shared" ca="1" si="17"/>
        <v>3035.0238928688223</v>
      </c>
      <c r="S52" s="37">
        <f t="shared" ca="1" si="17"/>
        <v>3055.3838661824038</v>
      </c>
      <c r="T52" s="37">
        <f t="shared" ca="1" si="17"/>
        <v>2477.2948382734357</v>
      </c>
      <c r="U52" s="37">
        <f t="shared" ca="1" si="17"/>
        <v>3097.1421566630142</v>
      </c>
      <c r="V52" s="37">
        <f t="shared" ca="1" si="17"/>
        <v>1514.1792798651675</v>
      </c>
      <c r="W52" s="37">
        <f t="shared" ca="1" si="17"/>
        <v>534.8459809807398</v>
      </c>
      <c r="X52" s="37">
        <f t="shared" ca="1" si="17"/>
        <v>587.97454355980767</v>
      </c>
      <c r="Y52" s="37">
        <f t="shared" ca="1" si="17"/>
        <v>653.05224188608133</v>
      </c>
      <c r="Z52" s="37">
        <f t="shared" ca="1" si="17"/>
        <v>716.62535365558688</v>
      </c>
      <c r="AA52" s="37">
        <f ca="1">AA41</f>
        <v>143.80424354256007</v>
      </c>
      <c r="AB52" s="435">
        <f t="shared" ca="1" si="16"/>
        <v>33411.084147803143</v>
      </c>
    </row>
    <row r="53" spans="1:29">
      <c r="A53" s="20"/>
      <c r="B53" s="15" t="s">
        <v>40</v>
      </c>
      <c r="C53" s="15"/>
      <c r="D53" s="15"/>
      <c r="E53" s="142">
        <f ca="1">E48</f>
        <v>0</v>
      </c>
      <c r="F53" s="142">
        <f t="shared" ref="F53:AA53" ca="1" si="18">F48</f>
        <v>-77.323396235446936</v>
      </c>
      <c r="G53" s="142">
        <f t="shared" ca="1" si="18"/>
        <v>-388.61058406552183</v>
      </c>
      <c r="H53" s="142">
        <f t="shared" ca="1" si="18"/>
        <v>-359.51921373423522</v>
      </c>
      <c r="I53" s="142">
        <f t="shared" ca="1" si="18"/>
        <v>0</v>
      </c>
      <c r="J53" s="142">
        <f t="shared" ca="1" si="18"/>
        <v>0</v>
      </c>
      <c r="K53" s="142">
        <f t="shared" ca="1" si="18"/>
        <v>0</v>
      </c>
      <c r="L53" s="142">
        <f t="shared" ca="1" si="18"/>
        <v>0</v>
      </c>
      <c r="M53" s="142">
        <f t="shared" ca="1" si="18"/>
        <v>0</v>
      </c>
      <c r="N53" s="142">
        <f t="shared" ca="1" si="18"/>
        <v>0</v>
      </c>
      <c r="O53" s="142">
        <f t="shared" ca="1" si="18"/>
        <v>0</v>
      </c>
      <c r="P53" s="142">
        <f t="shared" ca="1" si="18"/>
        <v>0</v>
      </c>
      <c r="Q53" s="142">
        <f t="shared" ca="1" si="18"/>
        <v>0</v>
      </c>
      <c r="R53" s="142">
        <f t="shared" ca="1" si="18"/>
        <v>0</v>
      </c>
      <c r="S53" s="142">
        <f t="shared" ca="1" si="18"/>
        <v>0</v>
      </c>
      <c r="T53" s="142">
        <f t="shared" ca="1" si="18"/>
        <v>0</v>
      </c>
      <c r="U53" s="142">
        <f t="shared" ca="1" si="18"/>
        <v>0</v>
      </c>
      <c r="V53" s="142">
        <f t="shared" ca="1" si="18"/>
        <v>0</v>
      </c>
      <c r="W53" s="142">
        <f t="shared" ca="1" si="18"/>
        <v>0</v>
      </c>
      <c r="X53" s="142">
        <f t="shared" ca="1" si="18"/>
        <v>0</v>
      </c>
      <c r="Y53" s="142">
        <f t="shared" ca="1" si="18"/>
        <v>0</v>
      </c>
      <c r="Z53" s="142">
        <f t="shared" ca="1" si="18"/>
        <v>0</v>
      </c>
      <c r="AA53" s="142">
        <f t="shared" ca="1" si="18"/>
        <v>0</v>
      </c>
      <c r="AB53" s="436">
        <f t="shared" ca="1" si="16"/>
        <v>-825.45319403520398</v>
      </c>
    </row>
    <row r="54" spans="1:29">
      <c r="A54" s="20"/>
      <c r="B54" s="3" t="s">
        <v>1208</v>
      </c>
      <c r="C54" s="15"/>
      <c r="D54" s="15"/>
      <c r="E54" s="224">
        <f ca="1">SUM(E50:E53)</f>
        <v>0</v>
      </c>
      <c r="F54" s="224">
        <f t="shared" ref="F54:AA54" ca="1" si="19">SUM(F50:F53)</f>
        <v>648.30756775828024</v>
      </c>
      <c r="G54" s="224">
        <f t="shared" ca="1" si="19"/>
        <v>-4397.6011338269927</v>
      </c>
      <c r="H54" s="224">
        <f t="shared" ca="1" si="19"/>
        <v>5048.142666197994</v>
      </c>
      <c r="I54" s="224">
        <f t="shared" ca="1" si="19"/>
        <v>2144.3126690325707</v>
      </c>
      <c r="J54" s="224">
        <f t="shared" ca="1" si="19"/>
        <v>3425.7612138899331</v>
      </c>
      <c r="K54" s="224">
        <f t="shared" ca="1" si="19"/>
        <v>3760.3982640757708</v>
      </c>
      <c r="L54" s="224">
        <f t="shared" ca="1" si="19"/>
        <v>-2857.6382026489209</v>
      </c>
      <c r="M54" s="224">
        <f t="shared" ca="1" si="19"/>
        <v>6343.0533332135974</v>
      </c>
      <c r="N54" s="224">
        <f t="shared" ca="1" si="19"/>
        <v>6338.0331473338829</v>
      </c>
      <c r="O54" s="224">
        <f t="shared" ca="1" si="19"/>
        <v>6219.1771315286078</v>
      </c>
      <c r="P54" s="224">
        <f t="shared" ca="1" si="19"/>
        <v>6074.5640495667521</v>
      </c>
      <c r="Q54" s="224">
        <f t="shared" ca="1" si="19"/>
        <v>5895.616827150252</v>
      </c>
      <c r="R54" s="224">
        <f t="shared" ca="1" si="19"/>
        <v>5919.5869595301101</v>
      </c>
      <c r="S54" s="224">
        <f t="shared" ca="1" si="19"/>
        <v>5797.7046653595662</v>
      </c>
      <c r="T54" s="224">
        <f t="shared" ca="1" si="19"/>
        <v>5254.1651552410985</v>
      </c>
      <c r="U54" s="224">
        <f t="shared" ca="1" si="19"/>
        <v>5298.2412532955186</v>
      </c>
      <c r="V54" s="224">
        <f t="shared" ca="1" si="19"/>
        <v>3099.3263143224922</v>
      </c>
      <c r="W54" s="224">
        <f t="shared" ca="1" si="19"/>
        <v>1736.0081513555301</v>
      </c>
      <c r="X54" s="224">
        <f t="shared" ca="1" si="19"/>
        <v>1124.3561049981422</v>
      </c>
      <c r="Y54" s="224">
        <f t="shared" ca="1" si="19"/>
        <v>-81.812287326856335</v>
      </c>
      <c r="Z54" s="224">
        <f t="shared" ca="1" si="19"/>
        <v>1203.8189438952224</v>
      </c>
      <c r="AA54" s="224">
        <f t="shared" ca="1" si="19"/>
        <v>479.88401935176836</v>
      </c>
      <c r="AB54" s="437">
        <f t="shared" ca="1" si="16"/>
        <v>68473.406813294321</v>
      </c>
    </row>
    <row r="55" spans="1:29">
      <c r="A55" s="20"/>
      <c r="B55" s="15" t="s">
        <v>1226</v>
      </c>
      <c r="C55" s="15"/>
      <c r="D55" s="161" t="s">
        <v>36</v>
      </c>
      <c r="E55" s="37">
        <f t="shared" ref="E55:AA55" ca="1" si="20">IF(E$7&lt;YEAR(Startops1),0,-E77)</f>
        <v>0</v>
      </c>
      <c r="F55" s="37">
        <f t="shared" ca="1" si="20"/>
        <v>0</v>
      </c>
      <c r="G55" s="37">
        <f t="shared" ca="1" si="20"/>
        <v>-7512.4852930448496</v>
      </c>
      <c r="H55" s="37">
        <f t="shared" ca="1" si="20"/>
        <v>-3927.7452875677964</v>
      </c>
      <c r="I55" s="37">
        <f t="shared" ca="1" si="20"/>
        <v>-3406.4440317453796</v>
      </c>
      <c r="J55" s="37">
        <f t="shared" ca="1" si="20"/>
        <v>-3367.6499267692698</v>
      </c>
      <c r="K55" s="37">
        <f t="shared" ca="1" si="20"/>
        <v>-3174.6911459554767</v>
      </c>
      <c r="L55" s="37">
        <f t="shared" ca="1" si="20"/>
        <v>-3462.9924580828692</v>
      </c>
      <c r="M55" s="37">
        <f t="shared" ca="1" si="20"/>
        <v>-3046.6275715933862</v>
      </c>
      <c r="N55" s="37">
        <f t="shared" ca="1" si="20"/>
        <v>-2595.1858920677728</v>
      </c>
      <c r="O55" s="37">
        <f t="shared" ca="1" si="20"/>
        <v>-2239.9682510748908</v>
      </c>
      <c r="P55" s="37">
        <f t="shared" ca="1" si="20"/>
        <v>-1937.2760436032256</v>
      </c>
      <c r="Q55" s="37">
        <f t="shared" ca="1" si="20"/>
        <v>-1568.1056892219328</v>
      </c>
      <c r="R55" s="37">
        <f t="shared" ca="1" si="20"/>
        <v>-1167.7789948612358</v>
      </c>
      <c r="S55" s="37">
        <f t="shared" ca="1" si="20"/>
        <v>-923.28398958204775</v>
      </c>
      <c r="T55" s="37">
        <f t="shared" ca="1" si="20"/>
        <v>-736.43896977412305</v>
      </c>
      <c r="U55" s="37">
        <f t="shared" ca="1" si="20"/>
        <v>1.449931963334202</v>
      </c>
      <c r="V55" s="37">
        <f t="shared" ca="1" si="20"/>
        <v>280.35605762661049</v>
      </c>
      <c r="W55" s="37">
        <f t="shared" ca="1" si="20"/>
        <v>183.85321078016912</v>
      </c>
      <c r="X55" s="37">
        <f t="shared" ca="1" si="20"/>
        <v>363.56800263736449</v>
      </c>
      <c r="Y55" s="37">
        <f t="shared" ca="1" si="20"/>
        <v>490.24345199928098</v>
      </c>
      <c r="Z55" s="37">
        <f t="shared" ca="1" si="20"/>
        <v>663.35090700680223</v>
      </c>
      <c r="AA55" s="37">
        <f t="shared" ca="1" si="20"/>
        <v>875.54074196634735</v>
      </c>
      <c r="AB55" s="435">
        <f t="shared" ca="1" si="16"/>
        <v>-36208.311240964344</v>
      </c>
      <c r="AC55" s="255" t="str">
        <f ca="1">IF(ROUND(AB55+AB56+AB77,2)=0," ","CHECK")</f>
        <v xml:space="preserve"> </v>
      </c>
    </row>
    <row r="56" spans="1:29">
      <c r="A56" s="20"/>
      <c r="B56" s="15" t="s">
        <v>1227</v>
      </c>
      <c r="C56" s="15"/>
      <c r="D56" s="161" t="s">
        <v>36</v>
      </c>
      <c r="E56" s="37">
        <f t="shared" ref="E56:AA56" ca="1" si="21">IF(E$7&gt;=YEAR(Startops1),-($AB$77+$AB55)*E$12/$AB$12,0)</f>
        <v>0</v>
      </c>
      <c r="F56" s="37">
        <f t="shared" ca="1" si="21"/>
        <v>0</v>
      </c>
      <c r="G56" s="37">
        <f t="shared" ca="1" si="21"/>
        <v>-147.81755834639947</v>
      </c>
      <c r="H56" s="37">
        <f t="shared" ca="1" si="21"/>
        <v>-197.09007779519928</v>
      </c>
      <c r="I56" s="37">
        <f t="shared" ca="1" si="21"/>
        <v>-197.09007779519928</v>
      </c>
      <c r="J56" s="37">
        <f t="shared" ca="1" si="21"/>
        <v>-197.09007779519928</v>
      </c>
      <c r="K56" s="37">
        <f t="shared" ca="1" si="21"/>
        <v>-197.09007779519928</v>
      </c>
      <c r="L56" s="37">
        <f t="shared" ca="1" si="21"/>
        <v>-197.09007779519928</v>
      </c>
      <c r="M56" s="37">
        <f t="shared" ca="1" si="21"/>
        <v>-197.09007779519928</v>
      </c>
      <c r="N56" s="37">
        <f t="shared" ca="1" si="21"/>
        <v>-197.09007779519928</v>
      </c>
      <c r="O56" s="37">
        <f t="shared" ca="1" si="21"/>
        <v>-197.09007779519928</v>
      </c>
      <c r="P56" s="37">
        <f t="shared" ca="1" si="21"/>
        <v>-197.09007779519928</v>
      </c>
      <c r="Q56" s="37">
        <f t="shared" ca="1" si="21"/>
        <v>-197.09007779519928</v>
      </c>
      <c r="R56" s="37">
        <f t="shared" ca="1" si="21"/>
        <v>-197.09007779519928</v>
      </c>
      <c r="S56" s="37">
        <f t="shared" ca="1" si="21"/>
        <v>-197.09007779519928</v>
      </c>
      <c r="T56" s="37">
        <f t="shared" ca="1" si="21"/>
        <v>-197.09007779519928</v>
      </c>
      <c r="U56" s="37">
        <f t="shared" ca="1" si="21"/>
        <v>-197.09007779519928</v>
      </c>
      <c r="V56" s="37">
        <f t="shared" ca="1" si="21"/>
        <v>-197.09007779519928</v>
      </c>
      <c r="W56" s="37">
        <f t="shared" ca="1" si="21"/>
        <v>-197.09007779519928</v>
      </c>
      <c r="X56" s="37">
        <f t="shared" ca="1" si="21"/>
        <v>-197.09007779519928</v>
      </c>
      <c r="Y56" s="37">
        <f t="shared" ca="1" si="21"/>
        <v>-197.09007779519928</v>
      </c>
      <c r="Z56" s="37">
        <f t="shared" ca="1" si="21"/>
        <v>-197.09007779519928</v>
      </c>
      <c r="AA56" s="37">
        <f t="shared" ca="1" si="21"/>
        <v>-65.696692598399764</v>
      </c>
      <c r="AB56" s="435">
        <f t="shared" ca="1" si="16"/>
        <v>-3958.2257290535854</v>
      </c>
    </row>
    <row r="57" spans="1:29">
      <c r="A57" s="20"/>
      <c r="B57" s="15" t="s">
        <v>582</v>
      </c>
      <c r="C57" s="15"/>
      <c r="D57" s="15"/>
      <c r="E57" s="142">
        <f ca="1">-SUM(E55:E56)*USTax</f>
        <v>0</v>
      </c>
      <c r="F57" s="142">
        <f t="shared" ref="F57:AA57" ca="1" si="22">-SUM(F55:F56)*USTax</f>
        <v>0</v>
      </c>
      <c r="G57" s="142">
        <f t="shared" ca="1" si="22"/>
        <v>2834.3120550147623</v>
      </c>
      <c r="H57" s="142">
        <f t="shared" ca="1" si="22"/>
        <v>1526.1890851843084</v>
      </c>
      <c r="I57" s="142">
        <f t="shared" ca="1" si="22"/>
        <v>1333.3076205300142</v>
      </c>
      <c r="J57" s="142">
        <f t="shared" ca="1" si="22"/>
        <v>1318.9538016888534</v>
      </c>
      <c r="K57" s="142">
        <f t="shared" ca="1" si="22"/>
        <v>1247.55905278775</v>
      </c>
      <c r="L57" s="142">
        <f t="shared" ca="1" si="22"/>
        <v>1354.2305382748852</v>
      </c>
      <c r="M57" s="142">
        <f t="shared" ca="1" si="22"/>
        <v>1200.1755302737765</v>
      </c>
      <c r="N57" s="142">
        <f t="shared" ca="1" si="22"/>
        <v>1033.1421088492996</v>
      </c>
      <c r="O57" s="142">
        <f t="shared" ca="1" si="22"/>
        <v>901.71158168193324</v>
      </c>
      <c r="P57" s="142">
        <f t="shared" ca="1" si="22"/>
        <v>789.71546491741731</v>
      </c>
      <c r="Q57" s="142">
        <f t="shared" ca="1" si="22"/>
        <v>653.1224337963389</v>
      </c>
      <c r="R57" s="142">
        <f t="shared" ca="1" si="22"/>
        <v>505.00155688288095</v>
      </c>
      <c r="S57" s="142">
        <f t="shared" ca="1" si="22"/>
        <v>414.53840492958136</v>
      </c>
      <c r="T57" s="142">
        <f t="shared" ca="1" si="22"/>
        <v>345.40574760064925</v>
      </c>
      <c r="U57" s="142">
        <f t="shared" ca="1" si="22"/>
        <v>72.38685395779008</v>
      </c>
      <c r="V57" s="142">
        <f t="shared" ca="1" si="22"/>
        <v>-30.80841253762215</v>
      </c>
      <c r="W57" s="142">
        <f t="shared" ca="1" si="22"/>
        <v>4.8976407955611583</v>
      </c>
      <c r="X57" s="142">
        <f t="shared" ca="1" si="22"/>
        <v>-61.596832191601123</v>
      </c>
      <c r="Y57" s="142">
        <f t="shared" ca="1" si="22"/>
        <v>-108.46674845551024</v>
      </c>
      <c r="Z57" s="142">
        <f t="shared" ca="1" si="22"/>
        <v>-172.51650680829309</v>
      </c>
      <c r="AA57" s="142">
        <f t="shared" ca="1" si="22"/>
        <v>-299.64229826614059</v>
      </c>
      <c r="AB57" s="436">
        <f t="shared" ca="1" si="16"/>
        <v>14861.618678906634</v>
      </c>
    </row>
    <row r="58" spans="1:29">
      <c r="A58" s="20"/>
      <c r="B58" s="3" t="s">
        <v>1228</v>
      </c>
      <c r="C58" s="15"/>
      <c r="D58" s="15"/>
      <c r="E58" s="224">
        <f ca="1">SUM(E54:E57)</f>
        <v>0</v>
      </c>
      <c r="F58" s="224">
        <f t="shared" ref="F58:AA58" ca="1" si="23">SUM(F54:F57)</f>
        <v>648.30756775828024</v>
      </c>
      <c r="G58" s="224">
        <f t="shared" ca="1" si="23"/>
        <v>-9223.5919302034818</v>
      </c>
      <c r="H58" s="224">
        <f t="shared" ca="1" si="23"/>
        <v>2449.4963860193066</v>
      </c>
      <c r="I58" s="224">
        <f t="shared" ca="1" si="23"/>
        <v>-125.91381997799385</v>
      </c>
      <c r="J58" s="224">
        <f t="shared" ca="1" si="23"/>
        <v>1179.9750110143175</v>
      </c>
      <c r="K58" s="224">
        <f t="shared" ca="1" si="23"/>
        <v>1636.1760931128449</v>
      </c>
      <c r="L58" s="224">
        <f t="shared" ca="1" si="23"/>
        <v>-5163.4902002521039</v>
      </c>
      <c r="M58" s="224">
        <f t="shared" ca="1" si="23"/>
        <v>4299.5112140987885</v>
      </c>
      <c r="N58" s="224">
        <f t="shared" ca="1" si="23"/>
        <v>4578.8992863202102</v>
      </c>
      <c r="O58" s="224">
        <f t="shared" ca="1" si="23"/>
        <v>4683.830384340451</v>
      </c>
      <c r="P58" s="224">
        <f t="shared" ca="1" si="23"/>
        <v>4729.9133930857442</v>
      </c>
      <c r="Q58" s="224">
        <f t="shared" ca="1" si="23"/>
        <v>4783.5434939294582</v>
      </c>
      <c r="R58" s="224">
        <f t="shared" ca="1" si="23"/>
        <v>5059.7194437565568</v>
      </c>
      <c r="S58" s="224">
        <f t="shared" ca="1" si="23"/>
        <v>5091.8690029119007</v>
      </c>
      <c r="T58" s="224">
        <f t="shared" ca="1" si="23"/>
        <v>4666.0418552724259</v>
      </c>
      <c r="U58" s="224">
        <f t="shared" ca="1" si="23"/>
        <v>5174.9879614214433</v>
      </c>
      <c r="V58" s="224">
        <f t="shared" ca="1" si="23"/>
        <v>3151.7838816162812</v>
      </c>
      <c r="W58" s="224">
        <f t="shared" ca="1" si="23"/>
        <v>1727.668925136061</v>
      </c>
      <c r="X58" s="224">
        <f t="shared" ca="1" si="23"/>
        <v>1229.2371976487063</v>
      </c>
      <c r="Y58" s="224">
        <f t="shared" ca="1" si="23"/>
        <v>102.87433842171512</v>
      </c>
      <c r="Z58" s="224">
        <f t="shared" ca="1" si="23"/>
        <v>1497.5632662985324</v>
      </c>
      <c r="AA58" s="224">
        <f t="shared" ca="1" si="23"/>
        <v>990.08577045357538</v>
      </c>
      <c r="AB58" s="437">
        <f t="shared" ca="1" si="16"/>
        <v>43168.488522183012</v>
      </c>
    </row>
    <row r="59" spans="1:29">
      <c r="A59" s="20"/>
      <c r="B59" s="15"/>
      <c r="C59" s="15"/>
      <c r="D59" s="1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431"/>
    </row>
    <row r="60" spans="1:29">
      <c r="A60" s="20"/>
      <c r="B60" s="43" t="s">
        <v>1239</v>
      </c>
      <c r="C60" s="15"/>
      <c r="D60" s="15"/>
      <c r="E60" s="256">
        <f ca="1">SUM($E54:E54)</f>
        <v>0</v>
      </c>
      <c r="F60" s="256">
        <f ca="1">SUM($E54:F54)</f>
        <v>648.30756775828024</v>
      </c>
      <c r="G60" s="256">
        <f ca="1">SUM($E54:G54)</f>
        <v>-3749.2935660687126</v>
      </c>
      <c r="H60" s="256">
        <f ca="1">SUM($E54:H54)</f>
        <v>1298.8491001292814</v>
      </c>
      <c r="I60" s="256">
        <f ca="1">SUM($E54:I54)</f>
        <v>3443.1617691618521</v>
      </c>
      <c r="J60" s="256">
        <f ca="1">SUM($E54:J54)</f>
        <v>6868.9229830517852</v>
      </c>
      <c r="K60" s="256">
        <f ca="1">SUM($E54:K54)</f>
        <v>10629.321247127556</v>
      </c>
      <c r="L60" s="256">
        <f ca="1">SUM($E54:L54)</f>
        <v>7771.6830444786356</v>
      </c>
      <c r="M60" s="256">
        <f ca="1">SUM($E54:M54)</f>
        <v>14114.736377692232</v>
      </c>
      <c r="N60" s="256">
        <f ca="1">SUM($E54:N54)</f>
        <v>20452.769525026117</v>
      </c>
      <c r="O60" s="256">
        <f ca="1">SUM($E54:O54)</f>
        <v>26671.946656554726</v>
      </c>
      <c r="P60" s="256">
        <f ca="1">SUM($E54:P54)</f>
        <v>32746.51070612148</v>
      </c>
      <c r="Q60" s="256">
        <f ca="1">SUM($E54:Q54)</f>
        <v>38642.127533271734</v>
      </c>
      <c r="R60" s="256">
        <f ca="1">SUM($E54:R54)</f>
        <v>44561.714492801846</v>
      </c>
      <c r="S60" s="256">
        <f ca="1">SUM($E54:S54)</f>
        <v>50359.419158161414</v>
      </c>
      <c r="T60" s="256">
        <f ca="1">SUM($E54:T54)</f>
        <v>55613.584313402513</v>
      </c>
      <c r="U60" s="256">
        <f ca="1">SUM($E54:U54)</f>
        <v>60911.825566698033</v>
      </c>
      <c r="V60" s="256">
        <f ca="1">SUM($E54:V54)</f>
        <v>64011.151881020523</v>
      </c>
      <c r="W60" s="256">
        <f ca="1">SUM($E54:W54)</f>
        <v>65747.16003237605</v>
      </c>
      <c r="X60" s="256">
        <f ca="1">SUM($E54:X54)</f>
        <v>66871.516137374187</v>
      </c>
      <c r="Y60" s="256">
        <f ca="1">SUM($E54:Y54)</f>
        <v>66789.703850047328</v>
      </c>
      <c r="Z60" s="256">
        <f ca="1">SUM($E54:Z54)</f>
        <v>67993.522793942553</v>
      </c>
      <c r="AA60" s="256">
        <f ca="1">SUM($E54:AA54)</f>
        <v>68473.406813294321</v>
      </c>
      <c r="AB60" s="430"/>
    </row>
    <row r="61" spans="1:29">
      <c r="A61" s="20"/>
      <c r="B61" s="43" t="s">
        <v>1232</v>
      </c>
      <c r="C61" s="15"/>
      <c r="D61" s="15"/>
      <c r="E61" s="256">
        <f ca="1">SUM($E58:E58)</f>
        <v>0</v>
      </c>
      <c r="F61" s="256">
        <f ca="1">SUM($E58:F58)</f>
        <v>648.30756775828024</v>
      </c>
      <c r="G61" s="256">
        <f ca="1">SUM($E58:G58)</f>
        <v>-8575.2843624452016</v>
      </c>
      <c r="H61" s="256">
        <f ca="1">SUM($E58:H58)</f>
        <v>-6125.7879764258951</v>
      </c>
      <c r="I61" s="256">
        <f ca="1">SUM($E58:I58)</f>
        <v>-6251.7017964038887</v>
      </c>
      <c r="J61" s="256">
        <f ca="1">SUM($E58:J58)</f>
        <v>-5071.726785389571</v>
      </c>
      <c r="K61" s="256">
        <f ca="1">SUM($E58:K58)</f>
        <v>-3435.5506922767263</v>
      </c>
      <c r="L61" s="256">
        <f ca="1">SUM($E58:L58)</f>
        <v>-8599.0408925288302</v>
      </c>
      <c r="M61" s="256">
        <f ca="1">SUM($E58:M58)</f>
        <v>-4299.5296784300417</v>
      </c>
      <c r="N61" s="256">
        <f ca="1">SUM($E58:N58)</f>
        <v>279.36960789016848</v>
      </c>
      <c r="O61" s="256">
        <f ca="1">SUM($E58:O58)</f>
        <v>4963.1999922306195</v>
      </c>
      <c r="P61" s="256">
        <f ca="1">SUM($E58:P58)</f>
        <v>9693.1133853163628</v>
      </c>
      <c r="Q61" s="256">
        <f ca="1">SUM($E58:Q58)</f>
        <v>14476.65687924582</v>
      </c>
      <c r="R61" s="256">
        <f ca="1">SUM($E58:R58)</f>
        <v>19536.376323002376</v>
      </c>
      <c r="S61" s="256">
        <f ca="1">SUM($E58:S58)</f>
        <v>24628.245325914279</v>
      </c>
      <c r="T61" s="256">
        <f ca="1">SUM($E58:T58)</f>
        <v>29294.287181186704</v>
      </c>
      <c r="U61" s="256">
        <f ca="1">SUM($E58:U58)</f>
        <v>34469.275142608145</v>
      </c>
      <c r="V61" s="256">
        <f ca="1">SUM($E58:V58)</f>
        <v>37621.059024224429</v>
      </c>
      <c r="W61" s="256">
        <f ca="1">SUM($E58:W58)</f>
        <v>39348.727949360487</v>
      </c>
      <c r="X61" s="256">
        <f ca="1">SUM($E58:X58)</f>
        <v>40577.965147009192</v>
      </c>
      <c r="Y61" s="256">
        <f ca="1">SUM($E58:Y58)</f>
        <v>40680.839485430908</v>
      </c>
      <c r="Z61" s="256">
        <f ca="1">SUM($E58:Z58)</f>
        <v>42178.402751729438</v>
      </c>
      <c r="AA61" s="256">
        <f ca="1">SUM($E58:AA58)</f>
        <v>43168.488522183012</v>
      </c>
      <c r="AB61" s="430"/>
    </row>
    <row r="62" spans="1:29">
      <c r="A62" s="20"/>
      <c r="B62" s="15"/>
      <c r="C62" s="15"/>
      <c r="D62" s="1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431"/>
    </row>
    <row r="63" spans="1:29">
      <c r="A63" s="477"/>
      <c r="B63" s="233"/>
      <c r="C63" s="387" t="s">
        <v>1229</v>
      </c>
      <c r="D63" s="472" t="s">
        <v>1230</v>
      </c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430"/>
    </row>
    <row r="64" spans="1:29">
      <c r="A64" s="478" t="s">
        <v>1908</v>
      </c>
      <c r="B64" s="238"/>
      <c r="C64" s="386">
        <f ca="1">AVERAGE(H54:L54)</f>
        <v>2304.1953221094695</v>
      </c>
      <c r="D64" s="473">
        <f ca="1">AVERAGE(H58:L58)</f>
        <v>-4.7513060167257208</v>
      </c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430"/>
    </row>
    <row r="65" spans="1:28">
      <c r="A65" s="478" t="s">
        <v>1909</v>
      </c>
      <c r="B65" s="238"/>
      <c r="C65" s="386">
        <f ca="1">AB54/AB12*12</f>
        <v>3409.4642396661075</v>
      </c>
      <c r="D65" s="473">
        <f ca="1">AB58/AB12*12</f>
        <v>2149.4683081584903</v>
      </c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430"/>
    </row>
    <row r="66" spans="1:28">
      <c r="A66" s="479" t="s">
        <v>942</v>
      </c>
      <c r="B66" s="476"/>
      <c r="C66" s="474"/>
      <c r="D66" s="475">
        <f ca="1">MAX(E66:AA66)</f>
        <v>0</v>
      </c>
      <c r="E66" s="31">
        <f ca="1">IF(AND(E61&gt;Assm!$J$85,D61&lt;Assm!$J$85),E$6,0)</f>
        <v>0</v>
      </c>
      <c r="F66" s="31">
        <f ca="1">IF(AND(F61&gt;Assm!$J$85,E61&lt;Assm!$J$85),F$6,0)</f>
        <v>0</v>
      </c>
      <c r="G66" s="31">
        <f ca="1">IF(AND(G61&gt;Assm!$J$85,F61&lt;Assm!$J$85),G$6,0)</f>
        <v>0</v>
      </c>
      <c r="H66" s="31">
        <f ca="1">IF(AND(H61&gt;Assm!$J$85,G61&lt;Assm!$J$85),H$6,0)</f>
        <v>0</v>
      </c>
      <c r="I66" s="31">
        <f ca="1">IF(AND(I61&gt;Assm!$J$85,H61&lt;Assm!$J$85),I$6,0)</f>
        <v>0</v>
      </c>
      <c r="J66" s="31">
        <f ca="1">IF(AND(J61&gt;Assm!$J$85,I61&lt;Assm!$J$85),J$6,0)</f>
        <v>0</v>
      </c>
      <c r="K66" s="31">
        <f ca="1">IF(AND(K61&gt;Assm!$J$85,J61&lt;Assm!$J$85),K$6,0)</f>
        <v>0</v>
      </c>
      <c r="L66" s="31">
        <f ca="1">IF(AND(L61&gt;Assm!$J$85,K61&lt;Assm!$J$85),L$6,0)</f>
        <v>0</v>
      </c>
      <c r="M66" s="31">
        <f ca="1">IF(AND(M61&gt;Assm!$J$85,L61&lt;Assm!$J$85),M$6,0)</f>
        <v>0</v>
      </c>
      <c r="N66" s="31">
        <f ca="1">IF(AND(N61&gt;Assm!$J$85,M61&lt;Assm!$J$85),N$6,0)</f>
        <v>0</v>
      </c>
      <c r="O66" s="31">
        <f ca="1">IF(AND(O61&gt;Assm!$J$85,N61&lt;Assm!$J$85),O$6,0)</f>
        <v>0</v>
      </c>
      <c r="P66" s="31">
        <f ca="1">IF(AND(P61&gt;Assm!$J$85,O61&lt;Assm!$J$85),P$6,0)</f>
        <v>0</v>
      </c>
      <c r="Q66" s="31">
        <f ca="1">IF(AND(Q61&gt;Assm!$J$85,P61&lt;Assm!$J$85),Q$6,0)</f>
        <v>0</v>
      </c>
      <c r="R66" s="31">
        <f ca="1">IF(AND(R61&gt;Assm!$J$85,Q61&lt;Assm!$J$85),R$6,0)</f>
        <v>0</v>
      </c>
      <c r="S66" s="31">
        <f ca="1">IF(AND(S61&gt;Assm!$J$85,R61&lt;Assm!$J$85),S$6,0)</f>
        <v>0</v>
      </c>
      <c r="T66" s="31">
        <f ca="1">IF(AND(T61&gt;Assm!$J$85,S61&lt;Assm!$J$85),T$6,0)</f>
        <v>0</v>
      </c>
      <c r="U66" s="31">
        <f ca="1">IF(AND(U61&gt;Assm!$J$85,T61&lt;Assm!$J$85),U$6,0)</f>
        <v>0</v>
      </c>
      <c r="V66" s="31">
        <f ca="1">IF(AND(V61&gt;Assm!$J$85,U61&lt;Assm!$J$85),V$6,0)</f>
        <v>0</v>
      </c>
      <c r="W66" s="31">
        <f ca="1">IF(AND(W61&gt;Assm!$J$85,V61&lt;Assm!$J$85),W$6,0)</f>
        <v>0</v>
      </c>
      <c r="X66" s="31">
        <f ca="1">IF(AND(X61&gt;Assm!$J$85,W61&lt;Assm!$J$85),X$6,0)</f>
        <v>0</v>
      </c>
      <c r="Y66" s="31">
        <f ca="1">IF(AND(Y61&gt;Assm!$J$85,X61&lt;Assm!$J$85),Y$6,0)</f>
        <v>0</v>
      </c>
      <c r="Z66" s="31">
        <f ca="1">IF(AND(Z61&gt;Assm!$J$85,Y61&lt;Assm!$J$85),Z$6,0)</f>
        <v>0</v>
      </c>
      <c r="AA66" s="31">
        <f ca="1">IF(AND(AA61&gt;Assm!$J$85,Z61&lt;Assm!$J$85),AA$6,0)</f>
        <v>0</v>
      </c>
      <c r="AB66" s="469"/>
    </row>
    <row r="67" spans="1:28">
      <c r="A67" s="20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430"/>
    </row>
    <row r="68" spans="1:28">
      <c r="A68" s="128" t="s">
        <v>1221</v>
      </c>
      <c r="B68" s="15"/>
      <c r="C68" s="15"/>
      <c r="D68" s="1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431"/>
    </row>
    <row r="69" spans="1:28">
      <c r="A69" s="20" t="s">
        <v>219</v>
      </c>
      <c r="B69" s="15"/>
      <c r="C69" s="15"/>
      <c r="D69" s="15"/>
      <c r="E69" s="37">
        <f ca="1">-SUM('Enron Returns'!$E13:E13)</f>
        <v>0</v>
      </c>
      <c r="F69" s="37">
        <f ca="1">-SUM('Enron Returns'!$E13:F13)</f>
        <v>60895.780446978155</v>
      </c>
      <c r="G69" s="37">
        <f ca="1">-SUM('Enron Returns'!$E13:G13)</f>
        <v>60895.780446978155</v>
      </c>
      <c r="H69" s="37">
        <f ca="1">-SUM('Enron Returns'!$E13:H13)</f>
        <v>60895.780446978155</v>
      </c>
      <c r="I69" s="37">
        <f ca="1">-SUM('Enron Returns'!$E13:I13)</f>
        <v>60895.780446978155</v>
      </c>
      <c r="J69" s="37">
        <f ca="1">-SUM('Enron Returns'!$E13:J13)</f>
        <v>60895.780446978155</v>
      </c>
      <c r="K69" s="37">
        <f ca="1">-SUM('Enron Returns'!$E13:K13)</f>
        <v>60895.780446978155</v>
      </c>
      <c r="L69" s="37">
        <f ca="1">-SUM('Enron Returns'!$E13:L13)</f>
        <v>60895.780446978155</v>
      </c>
      <c r="M69" s="37">
        <f ca="1">-SUM('Enron Returns'!$E13:M13)</f>
        <v>60895.780446978155</v>
      </c>
      <c r="N69" s="37">
        <f ca="1">-SUM('Enron Returns'!$E13:N13)</f>
        <v>60895.780446978155</v>
      </c>
      <c r="O69" s="37">
        <f ca="1">-SUM('Enron Returns'!$E13:O13)</f>
        <v>60895.780446978155</v>
      </c>
      <c r="P69" s="37">
        <f ca="1">-SUM('Enron Returns'!$E13:P13)</f>
        <v>60895.780446978155</v>
      </c>
      <c r="Q69" s="37">
        <f ca="1">-SUM('Enron Returns'!$E13:Q13)</f>
        <v>60895.780446978155</v>
      </c>
      <c r="R69" s="37">
        <f ca="1">-SUM('Enron Returns'!$E13:R13)</f>
        <v>60895.780446978155</v>
      </c>
      <c r="S69" s="37">
        <f ca="1">-SUM('Enron Returns'!$E13:S13)</f>
        <v>60895.780446978155</v>
      </c>
      <c r="T69" s="37">
        <f ca="1">-SUM('Enron Returns'!$E13:T13)</f>
        <v>60895.780446978155</v>
      </c>
      <c r="U69" s="37">
        <f ca="1">-SUM('Enron Returns'!$E13:U13)</f>
        <v>60895.780446978155</v>
      </c>
      <c r="V69" s="37">
        <f ca="1">-SUM('Enron Returns'!$E13:V13)</f>
        <v>60895.780446978155</v>
      </c>
      <c r="W69" s="37">
        <f ca="1">-SUM('Enron Returns'!$E13:W13)</f>
        <v>60895.780446978155</v>
      </c>
      <c r="X69" s="37">
        <f ca="1">-SUM('Enron Returns'!$E13:X13)</f>
        <v>60895.780446978155</v>
      </c>
      <c r="Y69" s="37">
        <f ca="1">-SUM('Enron Returns'!$E13:Y13)</f>
        <v>60895.780446978155</v>
      </c>
      <c r="Z69" s="37">
        <f ca="1">-SUM('Enron Returns'!$E13:Z13)</f>
        <v>60895.780446978155</v>
      </c>
      <c r="AA69" s="37">
        <f ca="1">-SUM('Enron Returns'!$E13:AA13)</f>
        <v>60895.780446978155</v>
      </c>
      <c r="AB69" s="435">
        <f t="shared" ref="AB69:AB75" ca="1" si="24">SUM(E69:AA69)</f>
        <v>1339707.169833519</v>
      </c>
    </row>
    <row r="70" spans="1:28">
      <c r="A70" s="20" t="s">
        <v>220</v>
      </c>
      <c r="B70" s="15"/>
      <c r="C70" s="15"/>
      <c r="D70" s="15"/>
      <c r="E70" s="37">
        <f ca="1">-SUM('Enron Returns'!$E17:E22)</f>
        <v>0</v>
      </c>
      <c r="F70" s="37">
        <f ca="1">-SUM('Enron Returns'!$E17:F22)</f>
        <v>0</v>
      </c>
      <c r="G70" s="37">
        <f ca="1">-SUM('Enron Returns'!$E17:G22)</f>
        <v>1298.3959244022992</v>
      </c>
      <c r="H70" s="37">
        <f ca="1">-SUM('Enron Returns'!$E17:H22)</f>
        <v>-468.92986901205882</v>
      </c>
      <c r="I70" s="37">
        <f ca="1">-SUM('Enron Returns'!$E17:I22)</f>
        <v>-8488.9491893569375</v>
      </c>
      <c r="J70" s="37">
        <f ca="1">-SUM('Enron Returns'!$E17:J22)</f>
        <v>-9085.781573604776</v>
      </c>
      <c r="K70" s="37">
        <f ca="1">-SUM('Enron Returns'!$E17:K22)</f>
        <v>-12054.378201509291</v>
      </c>
      <c r="L70" s="37">
        <f ca="1">-SUM('Enron Returns'!$E17:L22)</f>
        <v>-7618.9733995493989</v>
      </c>
      <c r="M70" s="37">
        <f ca="1">-SUM('Enron Returns'!$E17:M22)</f>
        <v>-14024.587037849138</v>
      </c>
      <c r="N70" s="37">
        <f ca="1">-SUM('Enron Returns'!$E17:N22)</f>
        <v>-20969.8436459355</v>
      </c>
      <c r="O70" s="37">
        <f ca="1">-SUM('Enron Returns'!$E17:O22)</f>
        <v>-26434.730430441377</v>
      </c>
      <c r="P70" s="37">
        <f ca="1">-SUM('Enron Returns'!$E17:P22)</f>
        <v>-31091.533622313145</v>
      </c>
      <c r="Q70" s="37">
        <f ca="1">-SUM('Enron Returns'!$E17:Q22)</f>
        <v>-36771.077535871496</v>
      </c>
      <c r="R70" s="37">
        <f ca="1">-SUM('Enron Returns'!$E17:R22)</f>
        <v>-42929.949756805298</v>
      </c>
      <c r="S70" s="37">
        <f ca="1">-SUM('Enron Returns'!$E17:S22)</f>
        <v>-46691.411376485114</v>
      </c>
      <c r="T70" s="37">
        <f ca="1">-SUM('Enron Returns'!$E17:T22)</f>
        <v>-49565.950142760877</v>
      </c>
      <c r="U70" s="37">
        <f ca="1">-SUM('Enron Returns'!$E17:U22)</f>
        <v>-60918.087092567912</v>
      </c>
      <c r="V70" s="37">
        <f ca="1">-SUM('Enron Returns'!$E17:V22)</f>
        <v>-65208.950564310624</v>
      </c>
      <c r="W70" s="37">
        <f ca="1">-SUM('Enron Returns'!$E17:W22)</f>
        <v>-63724.29138205768</v>
      </c>
      <c r="X70" s="37">
        <f ca="1">-SUM('Enron Returns'!$E17:X22)</f>
        <v>-66489.134333706839</v>
      </c>
      <c r="Y70" s="37">
        <f ca="1">-SUM('Enron Returns'!$E17:Y22)</f>
        <v>-68437.987400813246</v>
      </c>
      <c r="Z70" s="37">
        <f ca="1">-SUM('Enron Returns'!$E17:Z22)</f>
        <v>-71101.179016313574</v>
      </c>
      <c r="AA70" s="37">
        <f ca="1">-SUM('Enron Returns'!$E17:AA22)</f>
        <v>-74365.638015691191</v>
      </c>
      <c r="AB70" s="435">
        <f t="shared" ca="1" si="24"/>
        <v>-775142.9676625533</v>
      </c>
    </row>
    <row r="71" spans="1:28">
      <c r="A71" s="20" t="s">
        <v>221</v>
      </c>
      <c r="B71" s="15"/>
      <c r="C71" s="15"/>
      <c r="D71" s="15"/>
      <c r="E71" s="37">
        <f ca="1">-SUM('Enron Returns'!$E50:E51)</f>
        <v>0</v>
      </c>
      <c r="F71" s="37">
        <f ca="1">-SUM('Enron Returns'!$E50:F51)*0</f>
        <v>0</v>
      </c>
      <c r="G71" s="37">
        <f ca="1">-SUM('Enron Returns'!$E50:G51)</f>
        <v>53382.520444694142</v>
      </c>
      <c r="H71" s="37">
        <f ca="1">-SUM('Enron Returns'!$E50:H51)</f>
        <v>0</v>
      </c>
      <c r="I71" s="37">
        <f ca="1">-SUM('Enron Returns'!$E50:I51)</f>
        <v>0</v>
      </c>
      <c r="J71" s="37">
        <f ca="1">-SUM('Enron Returns'!$E50:J51)</f>
        <v>0</v>
      </c>
      <c r="K71" s="37">
        <f ca="1">-SUM('Enron Returns'!$E50:K51)</f>
        <v>0</v>
      </c>
      <c r="L71" s="37">
        <f ca="1">-SUM('Enron Returns'!$E50:L51)</f>
        <v>0</v>
      </c>
      <c r="M71" s="37">
        <f ca="1">-SUM('Enron Returns'!$E50:M51)</f>
        <v>0</v>
      </c>
      <c r="N71" s="37">
        <f ca="1">-SUM('Enron Returns'!$E50:N51)</f>
        <v>0</v>
      </c>
      <c r="O71" s="37">
        <f ca="1">-SUM('Enron Returns'!$E50:O51)</f>
        <v>0</v>
      </c>
      <c r="P71" s="37">
        <f ca="1">-SUM('Enron Returns'!$E50:P51)</f>
        <v>0</v>
      </c>
      <c r="Q71" s="37">
        <f ca="1">-SUM('Enron Returns'!$E50:Q51)</f>
        <v>0</v>
      </c>
      <c r="R71" s="37">
        <f ca="1">-SUM('Enron Returns'!$E50:R51)</f>
        <v>0</v>
      </c>
      <c r="S71" s="37">
        <f ca="1">-SUM('Enron Returns'!$E50:S51)</f>
        <v>0</v>
      </c>
      <c r="T71" s="37">
        <f ca="1">-SUM('Enron Returns'!$E50:T51)</f>
        <v>0</v>
      </c>
      <c r="U71" s="37">
        <f ca="1">-SUM('Enron Returns'!$E50:U51)</f>
        <v>0</v>
      </c>
      <c r="V71" s="37">
        <f ca="1">-SUM('Enron Returns'!$E50:V51)</f>
        <v>0</v>
      </c>
      <c r="W71" s="37">
        <f ca="1">-SUM('Enron Returns'!$E50:W51)</f>
        <v>0</v>
      </c>
      <c r="X71" s="37">
        <f ca="1">-SUM('Enron Returns'!$E50:X51)</f>
        <v>0</v>
      </c>
      <c r="Y71" s="37">
        <f ca="1">-SUM('Enron Returns'!$E50:Y51)</f>
        <v>0</v>
      </c>
      <c r="Z71" s="37">
        <f ca="1">-SUM('Enron Returns'!$E50:Z51)</f>
        <v>0</v>
      </c>
      <c r="AA71" s="37">
        <f ca="1">-SUM('Enron Returns'!$E50:AA51)</f>
        <v>0</v>
      </c>
      <c r="AB71" s="435">
        <f t="shared" ca="1" si="24"/>
        <v>53382.520444694142</v>
      </c>
    </row>
    <row r="72" spans="1:28">
      <c r="A72" s="20" t="s">
        <v>224</v>
      </c>
      <c r="B72" s="15"/>
      <c r="C72" s="15"/>
      <c r="D72" s="15"/>
      <c r="E72" s="37">
        <f ca="1">-SUM('Enron Returns'!$E52:E55)</f>
        <v>0</v>
      </c>
      <c r="F72" s="37">
        <f ca="1">-SUM('Enron Returns'!$E52:F55)*0</f>
        <v>0</v>
      </c>
      <c r="G72" s="37">
        <f ca="1">-SUM('Enron Returns'!$E52:G55)*0</f>
        <v>0</v>
      </c>
      <c r="H72" s="37">
        <f ca="1">-SUM('Enron Returns'!$E52:H55)*0</f>
        <v>0</v>
      </c>
      <c r="I72" s="37">
        <f ca="1">-SUM('Enron Returns'!$E52:I55)*0</f>
        <v>0</v>
      </c>
      <c r="J72" s="37">
        <f ca="1">-SUM('Enron Returns'!$E52:J55)*0</f>
        <v>0</v>
      </c>
      <c r="K72" s="37">
        <f ca="1">-SUM('Enron Returns'!$E52:K55)*0</f>
        <v>0</v>
      </c>
      <c r="L72" s="37">
        <f ca="1">-SUM('Enron Returns'!$E52:L55)*0</f>
        <v>0</v>
      </c>
      <c r="M72" s="37">
        <f ca="1">-SUM('Enron Returns'!$E52:M55)*0</f>
        <v>0</v>
      </c>
      <c r="N72" s="37">
        <f ca="1">-SUM('Enron Returns'!$E52:N55)*0</f>
        <v>0</v>
      </c>
      <c r="O72" s="37">
        <f ca="1">-SUM('Enron Returns'!$E52:O55)*0</f>
        <v>0</v>
      </c>
      <c r="P72" s="37">
        <f ca="1">-SUM('Enron Returns'!$E52:P55)*0</f>
        <v>0</v>
      </c>
      <c r="Q72" s="37">
        <f ca="1">-SUM('Enron Returns'!$E52:Q55)*0</f>
        <v>0</v>
      </c>
      <c r="R72" s="37">
        <f ca="1">-SUM('Enron Returns'!$E52:R55)*0</f>
        <v>0</v>
      </c>
      <c r="S72" s="37">
        <f ca="1">-SUM('Enron Returns'!$E52:S55)*0</f>
        <v>0</v>
      </c>
      <c r="T72" s="37">
        <f ca="1">-SUM('Enron Returns'!$E52:T55)*0</f>
        <v>0</v>
      </c>
      <c r="U72" s="37">
        <f ca="1">-SUM('Enron Returns'!$E52:U55)*0</f>
        <v>0</v>
      </c>
      <c r="V72" s="37">
        <f ca="1">-SUM('Enron Returns'!$E52:V55)*0</f>
        <v>0</v>
      </c>
      <c r="W72" s="37">
        <f ca="1">-SUM('Enron Returns'!$E52:W55)*0</f>
        <v>0</v>
      </c>
      <c r="X72" s="37">
        <f ca="1">-SUM('Enron Returns'!$E52:X55)*0</f>
        <v>0</v>
      </c>
      <c r="Y72" s="37">
        <f ca="1">-SUM('Enron Returns'!$E52:Y55)*0</f>
        <v>0</v>
      </c>
      <c r="Z72" s="37">
        <f ca="1">-SUM('Enron Returns'!$E52:Z55)*0</f>
        <v>0</v>
      </c>
      <c r="AA72" s="37">
        <f ca="1">-SUM('Enron Returns'!$E52:AA55)*0</f>
        <v>0</v>
      </c>
      <c r="AB72" s="435">
        <f t="shared" ca="1" si="24"/>
        <v>0</v>
      </c>
    </row>
    <row r="73" spans="1:28">
      <c r="A73" s="20" t="s">
        <v>222</v>
      </c>
      <c r="B73" s="15"/>
      <c r="C73" s="15"/>
      <c r="D73" s="15"/>
      <c r="E73" s="37">
        <f ca="1">-SUM('Enron Returns'!$E65:E67)</f>
        <v>0</v>
      </c>
      <c r="F73" s="37">
        <f ca="1">-SUM('Enron Returns'!$E65:F67)*0</f>
        <v>0</v>
      </c>
      <c r="G73" s="37">
        <f ca="1">-SUM('Enron Returns'!$E65:G67)*0</f>
        <v>0</v>
      </c>
      <c r="H73" s="37">
        <f ca="1">-SUM('Enron Returns'!$E65:H67)*0</f>
        <v>0</v>
      </c>
      <c r="I73" s="37">
        <f ca="1">-SUM('Enron Returns'!$E65:I67)*0</f>
        <v>0</v>
      </c>
      <c r="J73" s="37">
        <f ca="1">-SUM('Enron Returns'!$E65:J67)*0</f>
        <v>0</v>
      </c>
      <c r="K73" s="37">
        <f ca="1">-SUM('Enron Returns'!$E65:K67)*0</f>
        <v>0</v>
      </c>
      <c r="L73" s="37">
        <f ca="1">-SUM('Enron Returns'!$E65:L67)*0</f>
        <v>0</v>
      </c>
      <c r="M73" s="37">
        <f ca="1">-SUM('Enron Returns'!$E65:M67)*0</f>
        <v>0</v>
      </c>
      <c r="N73" s="37">
        <f ca="1">-SUM('Enron Returns'!$E65:N67)*0</f>
        <v>0</v>
      </c>
      <c r="O73" s="37">
        <f ca="1">-SUM('Enron Returns'!$E65:O67)*0</f>
        <v>0</v>
      </c>
      <c r="P73" s="37">
        <f ca="1">-SUM('Enron Returns'!$E65:P67)*0</f>
        <v>0</v>
      </c>
      <c r="Q73" s="37">
        <f ca="1">-SUM('Enron Returns'!$E65:Q67)*0</f>
        <v>0</v>
      </c>
      <c r="R73" s="37">
        <f ca="1">-SUM('Enron Returns'!$E65:R67)*0</f>
        <v>0</v>
      </c>
      <c r="S73" s="37">
        <f ca="1">-SUM('Enron Returns'!$E65:S67)*0</f>
        <v>0</v>
      </c>
      <c r="T73" s="37">
        <f ca="1">-SUM('Enron Returns'!$E65:T67)*0</f>
        <v>0</v>
      </c>
      <c r="U73" s="37">
        <f ca="1">-SUM('Enron Returns'!$E65:U67)*0</f>
        <v>0</v>
      </c>
      <c r="V73" s="37">
        <f ca="1">-SUM('Enron Returns'!$E65:V67)*0</f>
        <v>0</v>
      </c>
      <c r="W73" s="37">
        <f ca="1">-SUM('Enron Returns'!$E65:W67)*0</f>
        <v>0</v>
      </c>
      <c r="X73" s="37">
        <f ca="1">-SUM('Enron Returns'!$E65:X67)*0</f>
        <v>0</v>
      </c>
      <c r="Y73" s="37">
        <f ca="1">-SUM('Enron Returns'!$E65:Y67)*0</f>
        <v>0</v>
      </c>
      <c r="Z73" s="37">
        <f ca="1">-SUM('Enron Returns'!$E65:Z67)*0</f>
        <v>0</v>
      </c>
      <c r="AA73" s="37">
        <f ca="1">-SUM('Enron Returns'!$E65:AA67)*0</f>
        <v>0</v>
      </c>
      <c r="AB73" s="435">
        <f t="shared" ca="1" si="24"/>
        <v>0</v>
      </c>
    </row>
    <row r="74" spans="1:28">
      <c r="A74" s="20" t="s">
        <v>223</v>
      </c>
      <c r="B74" s="15"/>
      <c r="C74" s="15"/>
      <c r="D74" s="15"/>
      <c r="E74" s="142">
        <f ca="1">-SUM('Enron Returns'!$E68:E73)</f>
        <v>0</v>
      </c>
      <c r="F74" s="142">
        <f ca="1">-SUM('Enron Returns'!$E68:F73)*0</f>
        <v>0</v>
      </c>
      <c r="G74" s="142">
        <f ca="1">-SUM('Enron Returns'!$E68:G73)*0</f>
        <v>0</v>
      </c>
      <c r="H74" s="142">
        <f ca="1">-SUM('Enron Returns'!$E68:H73)*0</f>
        <v>0</v>
      </c>
      <c r="I74" s="142">
        <f ca="1">-SUM('Enron Returns'!$E68:I73)*0</f>
        <v>0</v>
      </c>
      <c r="J74" s="142">
        <f ca="1">-SUM('Enron Returns'!$E68:J73)*0</f>
        <v>0</v>
      </c>
      <c r="K74" s="142">
        <f ca="1">-SUM('Enron Returns'!$E68:K73)*0</f>
        <v>0</v>
      </c>
      <c r="L74" s="142">
        <f ca="1">-SUM('Enron Returns'!$E68:L73)*0</f>
        <v>0</v>
      </c>
      <c r="M74" s="142">
        <f ca="1">-SUM('Enron Returns'!$E68:M73)*0</f>
        <v>0</v>
      </c>
      <c r="N74" s="142">
        <f ca="1">-SUM('Enron Returns'!$E68:N73)*0</f>
        <v>0</v>
      </c>
      <c r="O74" s="142">
        <f ca="1">-SUM('Enron Returns'!$E68:O73)*0</f>
        <v>0</v>
      </c>
      <c r="P74" s="142">
        <f ca="1">-SUM('Enron Returns'!$E68:P73)*0</f>
        <v>0</v>
      </c>
      <c r="Q74" s="142">
        <f ca="1">-SUM('Enron Returns'!$E68:Q73)*0</f>
        <v>0</v>
      </c>
      <c r="R74" s="142">
        <f ca="1">-SUM('Enron Returns'!$E68:R73)*0</f>
        <v>0</v>
      </c>
      <c r="S74" s="142">
        <f ca="1">-SUM('Enron Returns'!$E68:S73)*0</f>
        <v>0</v>
      </c>
      <c r="T74" s="142">
        <f ca="1">-SUM('Enron Returns'!$E68:T73)*0</f>
        <v>0</v>
      </c>
      <c r="U74" s="142">
        <f ca="1">-SUM('Enron Returns'!$E68:U73)*0</f>
        <v>0</v>
      </c>
      <c r="V74" s="142">
        <f ca="1">-SUM('Enron Returns'!$E68:V73)*0</f>
        <v>0</v>
      </c>
      <c r="W74" s="142">
        <f ca="1">-SUM('Enron Returns'!$E68:W73)*0</f>
        <v>0</v>
      </c>
      <c r="X74" s="142">
        <f ca="1">-SUM('Enron Returns'!$E68:X73)*0</f>
        <v>0</v>
      </c>
      <c r="Y74" s="142">
        <f ca="1">-SUM('Enron Returns'!$E68:Y73)*0</f>
        <v>0</v>
      </c>
      <c r="Z74" s="142">
        <f ca="1">-SUM('Enron Returns'!$E68:Z73)*0</f>
        <v>0</v>
      </c>
      <c r="AA74" s="142">
        <f ca="1">-SUM('Enron Returns'!$E68:AA73)*0</f>
        <v>0</v>
      </c>
      <c r="AB74" s="436">
        <f t="shared" ca="1" si="24"/>
        <v>0</v>
      </c>
    </row>
    <row r="75" spans="1:28">
      <c r="A75" s="20" t="s">
        <v>230</v>
      </c>
      <c r="B75" s="15"/>
      <c r="C75" s="15"/>
      <c r="D75" s="15"/>
      <c r="E75" s="37">
        <f t="shared" ref="E75:AA75" ca="1" si="25">SUM(E69:E74)</f>
        <v>0</v>
      </c>
      <c r="F75" s="37">
        <f t="shared" ca="1" si="25"/>
        <v>60895.780446978155</v>
      </c>
      <c r="G75" s="37">
        <f t="shared" ca="1" si="25"/>
        <v>115576.6968160746</v>
      </c>
      <c r="H75" s="37">
        <f t="shared" ca="1" si="25"/>
        <v>60426.850577966099</v>
      </c>
      <c r="I75" s="37">
        <f t="shared" ca="1" si="25"/>
        <v>52406.831257621219</v>
      </c>
      <c r="J75" s="37">
        <f t="shared" ca="1" si="25"/>
        <v>51809.998873373377</v>
      </c>
      <c r="K75" s="37">
        <f t="shared" ca="1" si="25"/>
        <v>48841.402245468867</v>
      </c>
      <c r="L75" s="37">
        <f t="shared" ca="1" si="25"/>
        <v>53276.807047428752</v>
      </c>
      <c r="M75" s="37">
        <f t="shared" ca="1" si="25"/>
        <v>46871.193409129017</v>
      </c>
      <c r="N75" s="37">
        <f t="shared" ca="1" si="25"/>
        <v>39925.936801042655</v>
      </c>
      <c r="O75" s="37">
        <f t="shared" ca="1" si="25"/>
        <v>34461.050016536778</v>
      </c>
      <c r="P75" s="37">
        <f t="shared" ca="1" si="25"/>
        <v>29804.24682466501</v>
      </c>
      <c r="Q75" s="37">
        <f t="shared" ca="1" si="25"/>
        <v>24124.702911106659</v>
      </c>
      <c r="R75" s="37">
        <f t="shared" ca="1" si="25"/>
        <v>17965.830690172857</v>
      </c>
      <c r="S75" s="37">
        <f t="shared" ca="1" si="25"/>
        <v>14204.369070493041</v>
      </c>
      <c r="T75" s="37">
        <f t="shared" ca="1" si="25"/>
        <v>11329.830304217277</v>
      </c>
      <c r="U75" s="37">
        <f t="shared" ca="1" si="25"/>
        <v>-22.306645589756954</v>
      </c>
      <c r="V75" s="37">
        <f t="shared" ca="1" si="25"/>
        <v>-4313.1701173324691</v>
      </c>
      <c r="W75" s="37">
        <f t="shared" ca="1" si="25"/>
        <v>-2828.5109350795246</v>
      </c>
      <c r="X75" s="37">
        <f t="shared" ca="1" si="25"/>
        <v>-5593.3538867286843</v>
      </c>
      <c r="Y75" s="37">
        <f t="shared" ca="1" si="25"/>
        <v>-7542.2069538350916</v>
      </c>
      <c r="Z75" s="37">
        <f t="shared" ca="1" si="25"/>
        <v>-10205.398569335419</v>
      </c>
      <c r="AA75" s="37">
        <f t="shared" ca="1" si="25"/>
        <v>-13469.857568713036</v>
      </c>
      <c r="AB75" s="435">
        <f t="shared" ca="1" si="24"/>
        <v>617946.72261566028</v>
      </c>
    </row>
    <row r="76" spans="1:28">
      <c r="A76" s="20" t="s">
        <v>1222</v>
      </c>
      <c r="B76" s="15"/>
      <c r="C76" s="15"/>
      <c r="D76" s="15"/>
      <c r="E76" s="385">
        <f>Ecf</f>
        <v>6.5000000000000002E-2</v>
      </c>
      <c r="F76" s="385">
        <f t="shared" ref="F76:AA76" si="26">Ecf</f>
        <v>6.5000000000000002E-2</v>
      </c>
      <c r="G76" s="385">
        <f t="shared" si="26"/>
        <v>6.5000000000000002E-2</v>
      </c>
      <c r="H76" s="385">
        <f t="shared" si="26"/>
        <v>6.5000000000000002E-2</v>
      </c>
      <c r="I76" s="385">
        <f t="shared" si="26"/>
        <v>6.5000000000000002E-2</v>
      </c>
      <c r="J76" s="385">
        <f t="shared" si="26"/>
        <v>6.5000000000000002E-2</v>
      </c>
      <c r="K76" s="385">
        <f t="shared" si="26"/>
        <v>6.5000000000000002E-2</v>
      </c>
      <c r="L76" s="385">
        <f t="shared" si="26"/>
        <v>6.5000000000000002E-2</v>
      </c>
      <c r="M76" s="385">
        <f t="shared" si="26"/>
        <v>6.5000000000000002E-2</v>
      </c>
      <c r="N76" s="385">
        <f t="shared" si="26"/>
        <v>6.5000000000000002E-2</v>
      </c>
      <c r="O76" s="385">
        <f t="shared" si="26"/>
        <v>6.5000000000000002E-2</v>
      </c>
      <c r="P76" s="385">
        <f t="shared" si="26"/>
        <v>6.5000000000000002E-2</v>
      </c>
      <c r="Q76" s="385">
        <f t="shared" si="26"/>
        <v>6.5000000000000002E-2</v>
      </c>
      <c r="R76" s="385">
        <f t="shared" si="26"/>
        <v>6.5000000000000002E-2</v>
      </c>
      <c r="S76" s="385">
        <f t="shared" si="26"/>
        <v>6.5000000000000002E-2</v>
      </c>
      <c r="T76" s="385">
        <f t="shared" si="26"/>
        <v>6.5000000000000002E-2</v>
      </c>
      <c r="U76" s="385">
        <f t="shared" si="26"/>
        <v>6.5000000000000002E-2</v>
      </c>
      <c r="V76" s="385">
        <f t="shared" si="26"/>
        <v>6.5000000000000002E-2</v>
      </c>
      <c r="W76" s="385">
        <f t="shared" si="26"/>
        <v>6.5000000000000002E-2</v>
      </c>
      <c r="X76" s="385">
        <f t="shared" si="26"/>
        <v>6.5000000000000002E-2</v>
      </c>
      <c r="Y76" s="385">
        <f t="shared" si="26"/>
        <v>6.5000000000000002E-2</v>
      </c>
      <c r="Z76" s="385">
        <f t="shared" si="26"/>
        <v>6.5000000000000002E-2</v>
      </c>
      <c r="AA76" s="385">
        <f t="shared" si="26"/>
        <v>6.5000000000000002E-2</v>
      </c>
      <c r="AB76" s="483"/>
    </row>
    <row r="77" spans="1:28">
      <c r="A77" s="20"/>
      <c r="B77" s="15" t="s">
        <v>1223</v>
      </c>
      <c r="C77" s="15"/>
      <c r="D77" s="15"/>
      <c r="E77" s="37">
        <f ca="1">E75*E76</f>
        <v>0</v>
      </c>
      <c r="F77" s="37">
        <f t="shared" ref="F77:AA77" ca="1" si="27">F75*F76</f>
        <v>3958.2257290535804</v>
      </c>
      <c r="G77" s="37">
        <f t="shared" ca="1" si="27"/>
        <v>7512.4852930448496</v>
      </c>
      <c r="H77" s="37">
        <f t="shared" ca="1" si="27"/>
        <v>3927.7452875677964</v>
      </c>
      <c r="I77" s="37">
        <f t="shared" ca="1" si="27"/>
        <v>3406.4440317453796</v>
      </c>
      <c r="J77" s="37">
        <f t="shared" ca="1" si="27"/>
        <v>3367.6499267692698</v>
      </c>
      <c r="K77" s="37">
        <f t="shared" ca="1" si="27"/>
        <v>3174.6911459554767</v>
      </c>
      <c r="L77" s="37">
        <f t="shared" ca="1" si="27"/>
        <v>3462.9924580828692</v>
      </c>
      <c r="M77" s="37">
        <f t="shared" ca="1" si="27"/>
        <v>3046.6275715933862</v>
      </c>
      <c r="N77" s="37">
        <f t="shared" ca="1" si="27"/>
        <v>2595.1858920677728</v>
      </c>
      <c r="O77" s="37">
        <f t="shared" ca="1" si="27"/>
        <v>2239.9682510748908</v>
      </c>
      <c r="P77" s="37">
        <f t="shared" ca="1" si="27"/>
        <v>1937.2760436032256</v>
      </c>
      <c r="Q77" s="37">
        <f t="shared" ca="1" si="27"/>
        <v>1568.1056892219328</v>
      </c>
      <c r="R77" s="37">
        <f t="shared" ca="1" si="27"/>
        <v>1167.7789948612358</v>
      </c>
      <c r="S77" s="37">
        <f t="shared" ca="1" si="27"/>
        <v>923.28398958204775</v>
      </c>
      <c r="T77" s="37">
        <f t="shared" ca="1" si="27"/>
        <v>736.43896977412305</v>
      </c>
      <c r="U77" s="37">
        <f t="shared" ca="1" si="27"/>
        <v>-1.449931963334202</v>
      </c>
      <c r="V77" s="37">
        <f t="shared" ca="1" si="27"/>
        <v>-280.35605762661049</v>
      </c>
      <c r="W77" s="37">
        <f t="shared" ca="1" si="27"/>
        <v>-183.85321078016912</v>
      </c>
      <c r="X77" s="37">
        <f t="shared" ca="1" si="27"/>
        <v>-363.56800263736449</v>
      </c>
      <c r="Y77" s="37">
        <f t="shared" ca="1" si="27"/>
        <v>-490.24345199928098</v>
      </c>
      <c r="Z77" s="37">
        <f t="shared" ca="1" si="27"/>
        <v>-663.35090700680223</v>
      </c>
      <c r="AA77" s="37">
        <f t="shared" ca="1" si="27"/>
        <v>-875.54074196634735</v>
      </c>
      <c r="AB77" s="435">
        <f ca="1">SUM(E77:AA77)</f>
        <v>40166.536970017929</v>
      </c>
    </row>
    <row r="78" spans="1:28">
      <c r="A78" s="20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430"/>
    </row>
    <row r="79" spans="1:28">
      <c r="A79" s="417"/>
      <c r="B79" s="87" t="s">
        <v>1224</v>
      </c>
      <c r="C79" s="31"/>
      <c r="D79" s="31"/>
      <c r="E79" s="261">
        <f ca="1">SUM($E77:E77)</f>
        <v>0</v>
      </c>
      <c r="F79" s="261">
        <f ca="1">SUM($E77:F77)</f>
        <v>3958.2257290535804</v>
      </c>
      <c r="G79" s="261">
        <f ca="1">SUM($E77:G77)</f>
        <v>11470.71102209843</v>
      </c>
      <c r="H79" s="261">
        <f ca="1">SUM($E77:H77)</f>
        <v>15398.456309666228</v>
      </c>
      <c r="I79" s="261">
        <f ca="1">SUM($E77:I77)</f>
        <v>18804.900341411609</v>
      </c>
      <c r="J79" s="261">
        <f ca="1">SUM($E77:J77)</f>
        <v>22172.550268180879</v>
      </c>
      <c r="K79" s="261">
        <f ca="1">SUM($E77:K77)</f>
        <v>25347.241414136355</v>
      </c>
      <c r="L79" s="261">
        <f ca="1">SUM($E77:L77)</f>
        <v>28810.233872219225</v>
      </c>
      <c r="M79" s="261">
        <f ca="1">SUM($E77:M77)</f>
        <v>31856.86144381261</v>
      </c>
      <c r="N79" s="261">
        <f ca="1">SUM($E77:N77)</f>
        <v>34452.047335880379</v>
      </c>
      <c r="O79" s="261">
        <f ca="1">SUM($E77:O77)</f>
        <v>36692.015586955269</v>
      </c>
      <c r="P79" s="261">
        <f ca="1">SUM($E77:P77)</f>
        <v>38629.291630558495</v>
      </c>
      <c r="Q79" s="261">
        <f ca="1">SUM($E77:Q77)</f>
        <v>40197.39731978043</v>
      </c>
      <c r="R79" s="261">
        <f ca="1">SUM($E77:R77)</f>
        <v>41365.176314641663</v>
      </c>
      <c r="S79" s="261">
        <f ca="1">SUM($E77:S77)</f>
        <v>42288.460304223714</v>
      </c>
      <c r="T79" s="261">
        <f ca="1">SUM($E77:T77)</f>
        <v>43024.899273997835</v>
      </c>
      <c r="U79" s="261">
        <f ca="1">SUM($E77:U77)</f>
        <v>43023.449342034502</v>
      </c>
      <c r="V79" s="261">
        <f ca="1">SUM($E77:V77)</f>
        <v>42743.093284407892</v>
      </c>
      <c r="W79" s="261">
        <f ca="1">SUM($E77:W77)</f>
        <v>42559.240073627727</v>
      </c>
      <c r="X79" s="261">
        <f ca="1">SUM($E77:X77)</f>
        <v>42195.67207099036</v>
      </c>
      <c r="Y79" s="261">
        <f ca="1">SUM($E77:Y77)</f>
        <v>41705.428618991078</v>
      </c>
      <c r="Z79" s="261">
        <f ca="1">SUM($E77:Z77)</f>
        <v>41042.077711984275</v>
      </c>
      <c r="AA79" s="261">
        <f ca="1">SUM($E77:AA77)</f>
        <v>40166.536970017929</v>
      </c>
      <c r="AB79" s="469"/>
    </row>
    <row r="80" spans="1:28">
      <c r="A80" s="20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430"/>
    </row>
    <row r="81" spans="1:28" s="15" customFormat="1">
      <c r="A81" s="27" t="s">
        <v>945</v>
      </c>
      <c r="H81" s="65"/>
      <c r="AB81" s="430"/>
    </row>
    <row r="82" spans="1:28">
      <c r="A82" s="20" t="s">
        <v>1243</v>
      </c>
      <c r="B82" s="15"/>
      <c r="C82" s="15"/>
      <c r="D82" s="15"/>
      <c r="E82" s="37">
        <f ca="1">IF(E$7&lt;YEAR(Startops1),0,HLOOKUP(E$7,CF_Table,CF!$AB$15))</f>
        <v>0</v>
      </c>
      <c r="F82" s="37">
        <f ca="1">IF(F$7&lt;YEAR(Startops1),0,HLOOKUP(F$7,CF_Table,CF!$AB$15))</f>
        <v>0</v>
      </c>
      <c r="G82" s="37">
        <f ca="1">IF(G$7&lt;YEAR(Startops1),0,HLOOKUP(G$7,CF_Table,CF!$AB$15))</f>
        <v>8934.5434162791098</v>
      </c>
      <c r="H82" s="37">
        <f ca="1">IF(H$7&lt;YEAR(Startops1),0,HLOOKUP(H$7,CF_Table,CF!$AB$15))</f>
        <v>14716.753348715603</v>
      </c>
      <c r="I82" s="37">
        <f ca="1">IF(I$7&lt;YEAR(Startops1),0,HLOOKUP(I$7,CF_Table,CF!$AB$15))</f>
        <v>95619.208408259001</v>
      </c>
      <c r="J82" s="37">
        <f ca="1">IF(J$7&lt;YEAR(Startops1),0,HLOOKUP(J$7,CF_Table,CF!$AB$15))</f>
        <v>136319.32099070668</v>
      </c>
      <c r="K82" s="37">
        <f ca="1">IF(K$7&lt;YEAR(Startops1),0,HLOOKUP(K$7,CF_Table,CF!$AB$15))</f>
        <v>142971.14941784073</v>
      </c>
      <c r="L82" s="37">
        <f ca="1">IF(L$7&lt;YEAR(Startops1),0,HLOOKUP(L$7,CF_Table,CF!$AB$15))</f>
        <v>148564.01691072457</v>
      </c>
      <c r="M82" s="37">
        <f ca="1">IF(M$7&lt;YEAR(Startops1),0,HLOOKUP(M$7,CF_Table,CF!$AB$15))</f>
        <v>152129.33351212542</v>
      </c>
      <c r="N82" s="37">
        <f ca="1">IF(N$7&lt;YEAR(Startops1),0,HLOOKUP(N$7,CF_Table,CF!$AB$15))</f>
        <v>155154.97913994663</v>
      </c>
      <c r="O82" s="37">
        <f ca="1">IF(O$7&lt;YEAR(Startops1),0,HLOOKUP(O$7,CF_Table,CF!$AB$15))</f>
        <v>154743.26372565186</v>
      </c>
      <c r="P82" s="37">
        <f ca="1">IF(P$7&lt;YEAR(Startops1),0,HLOOKUP(P$7,CF_Table,CF!$AB$15))</f>
        <v>152906.7298094749</v>
      </c>
      <c r="Q82" s="37">
        <f ca="1">IF(Q$7&lt;YEAR(Startops1),0,HLOOKUP(Q$7,CF_Table,CF!$AB$15))</f>
        <v>154096.53294340943</v>
      </c>
      <c r="R82" s="37">
        <f ca="1">IF(R$7&lt;YEAR(Startops1),0,HLOOKUP(R$7,CF_Table,CF!$AB$15))</f>
        <v>157574.54664061684</v>
      </c>
      <c r="S82" s="37">
        <f ca="1">IF(S$7&lt;YEAR(Startops1),0,HLOOKUP(S$7,CF_Table,CF!$AB$15))</f>
        <v>158815.712578715</v>
      </c>
      <c r="T82" s="37">
        <f ca="1">IF(T$7&lt;YEAR(Startops1),0,HLOOKUP(T$7,CF_Table,CF!$AB$15))</f>
        <v>153914.06394941488</v>
      </c>
      <c r="U82" s="37">
        <f ca="1">IF(U$7&lt;YEAR(Startops1),0,HLOOKUP(U$7,CF_Table,CF!$AB$15))</f>
        <v>159853.32217265543</v>
      </c>
      <c r="V82" s="37">
        <f ca="1">IF(V$7&lt;YEAR(Startops1),0,HLOOKUP(V$7,CF_Table,CF!$AB$15))</f>
        <v>149649.72596858308</v>
      </c>
      <c r="W82" s="37">
        <f ca="1">IF(W$7&lt;YEAR(Startops1),0,HLOOKUP(W$7,CF_Table,CF!$AB$15))</f>
        <v>135704.12528122295</v>
      </c>
      <c r="X82" s="37">
        <f ca="1">IF(X$7&lt;YEAR(Startops1),0,HLOOKUP(X$7,CF_Table,CF!$AB$15))</f>
        <v>133710.18915121461</v>
      </c>
      <c r="Y82" s="37">
        <f ca="1">IF(Y$7&lt;YEAR(Startops1),0,HLOOKUP(Y$7,CF_Table,CF!$AB$15))</f>
        <v>135577.60788599198</v>
      </c>
      <c r="Z82" s="37">
        <f ca="1">IF(Z$7&lt;YEAR(Startops1),0,HLOOKUP(Z$7,CF_Table,CF!$AB$15))</f>
        <v>133593.75627532203</v>
      </c>
      <c r="AA82" s="37">
        <f ca="1">IF(AA$7&lt;YEAR(Startops1),0,HLOOKUP(AA$7,CF_Table,CF!$AB$15))</f>
        <v>44129.735696587333</v>
      </c>
      <c r="AB82" s="435">
        <f ca="1">SUM(E82:AA82)</f>
        <v>2678678.6172234579</v>
      </c>
    </row>
    <row r="83" spans="1:28">
      <c r="A83" s="20" t="s">
        <v>666</v>
      </c>
      <c r="B83" s="15"/>
      <c r="C83" s="69">
        <f>Pis+Cofins</f>
        <v>2.6499999999999999E-2</v>
      </c>
      <c r="D83" s="15"/>
      <c r="E83" s="142">
        <f ca="1">-E82*$C83</f>
        <v>0</v>
      </c>
      <c r="F83" s="142">
        <f t="shared" ref="F83:AA83" ca="1" si="28">-F82*$C83</f>
        <v>0</v>
      </c>
      <c r="G83" s="142">
        <f t="shared" ca="1" si="28"/>
        <v>-236.76540053139641</v>
      </c>
      <c r="H83" s="142">
        <f t="shared" ca="1" si="28"/>
        <v>-389.99396374096347</v>
      </c>
      <c r="I83" s="142">
        <f t="shared" ca="1" si="28"/>
        <v>-2533.9090228188634</v>
      </c>
      <c r="J83" s="142">
        <f t="shared" ca="1" si="28"/>
        <v>-3612.4620062537269</v>
      </c>
      <c r="K83" s="142">
        <f t="shared" ca="1" si="28"/>
        <v>-3788.7354595727793</v>
      </c>
      <c r="L83" s="142">
        <f t="shared" ca="1" si="28"/>
        <v>-3936.9464481342011</v>
      </c>
      <c r="M83" s="142">
        <f t="shared" ca="1" si="28"/>
        <v>-4031.4273380713234</v>
      </c>
      <c r="N83" s="142">
        <f t="shared" ca="1" si="28"/>
        <v>-4111.6069472085856</v>
      </c>
      <c r="O83" s="142">
        <f t="shared" ca="1" si="28"/>
        <v>-4100.6964887297745</v>
      </c>
      <c r="P83" s="142">
        <f t="shared" ca="1" si="28"/>
        <v>-4052.0283399510845</v>
      </c>
      <c r="Q83" s="142">
        <f t="shared" ca="1" si="28"/>
        <v>-4083.55812300035</v>
      </c>
      <c r="R83" s="142">
        <f t="shared" ca="1" si="28"/>
        <v>-4175.7254859763461</v>
      </c>
      <c r="S83" s="142">
        <f t="shared" ca="1" si="28"/>
        <v>-4208.6163833359478</v>
      </c>
      <c r="T83" s="142">
        <f t="shared" ca="1" si="28"/>
        <v>-4078.7226946594942</v>
      </c>
      <c r="U83" s="142">
        <f t="shared" ca="1" si="28"/>
        <v>-4236.1130375753692</v>
      </c>
      <c r="V83" s="142">
        <f t="shared" ca="1" si="28"/>
        <v>-3965.7177381674514</v>
      </c>
      <c r="W83" s="142">
        <f t="shared" ca="1" si="28"/>
        <v>-3596.1593199524082</v>
      </c>
      <c r="X83" s="142">
        <f t="shared" ca="1" si="28"/>
        <v>-3543.3200125071871</v>
      </c>
      <c r="Y83" s="142">
        <f t="shared" ca="1" si="28"/>
        <v>-3592.8066089787872</v>
      </c>
      <c r="Z83" s="142">
        <f t="shared" ca="1" si="28"/>
        <v>-3540.2345412960335</v>
      </c>
      <c r="AA83" s="142">
        <f t="shared" ca="1" si="28"/>
        <v>-1169.4379959595642</v>
      </c>
      <c r="AB83" s="436">
        <f ca="1">SUM(E83:AA83)</f>
        <v>-70984.983356421639</v>
      </c>
    </row>
    <row r="84" spans="1:28">
      <c r="A84" s="20" t="s">
        <v>1242</v>
      </c>
      <c r="B84" s="15"/>
      <c r="C84" s="15"/>
      <c r="D84" s="15"/>
      <c r="E84" s="37">
        <f t="shared" ref="E84:AB84" ca="1" si="29">SUM(E82:E83)</f>
        <v>0</v>
      </c>
      <c r="F84" s="37">
        <f t="shared" ca="1" si="29"/>
        <v>0</v>
      </c>
      <c r="G84" s="37">
        <f t="shared" ca="1" si="29"/>
        <v>8697.7780157477137</v>
      </c>
      <c r="H84" s="37">
        <f t="shared" ca="1" si="29"/>
        <v>14326.759384974639</v>
      </c>
      <c r="I84" s="37">
        <f t="shared" ca="1" si="29"/>
        <v>93085.299385440143</v>
      </c>
      <c r="J84" s="37">
        <f t="shared" ca="1" si="29"/>
        <v>132706.85898445296</v>
      </c>
      <c r="K84" s="37">
        <f t="shared" ca="1" si="29"/>
        <v>139182.41395826795</v>
      </c>
      <c r="L84" s="37">
        <f t="shared" ca="1" si="29"/>
        <v>144627.07046259037</v>
      </c>
      <c r="M84" s="37">
        <f t="shared" ca="1" si="29"/>
        <v>148097.90617405411</v>
      </c>
      <c r="N84" s="37">
        <f t="shared" ca="1" si="29"/>
        <v>151043.37219273805</v>
      </c>
      <c r="O84" s="37">
        <f t="shared" ca="1" si="29"/>
        <v>150642.5672369221</v>
      </c>
      <c r="P84" s="37">
        <f t="shared" ca="1" si="29"/>
        <v>148854.7014695238</v>
      </c>
      <c r="Q84" s="37">
        <f t="shared" ca="1" si="29"/>
        <v>150012.97482040909</v>
      </c>
      <c r="R84" s="37">
        <f t="shared" ca="1" si="29"/>
        <v>153398.82115464049</v>
      </c>
      <c r="S84" s="37">
        <f t="shared" ca="1" si="29"/>
        <v>154607.09619537904</v>
      </c>
      <c r="T84" s="37">
        <f t="shared" ca="1" si="29"/>
        <v>149835.34125475539</v>
      </c>
      <c r="U84" s="37">
        <f t="shared" ca="1" si="29"/>
        <v>155617.20913508008</v>
      </c>
      <c r="V84" s="37">
        <f t="shared" ca="1" si="29"/>
        <v>145684.00823041564</v>
      </c>
      <c r="W84" s="37">
        <f t="shared" ca="1" si="29"/>
        <v>132107.96596127053</v>
      </c>
      <c r="X84" s="37">
        <f t="shared" ca="1" si="29"/>
        <v>130166.86913870742</v>
      </c>
      <c r="Y84" s="37">
        <f t="shared" ca="1" si="29"/>
        <v>131984.8012770132</v>
      </c>
      <c r="Z84" s="37">
        <f t="shared" ca="1" si="29"/>
        <v>130053.521734026</v>
      </c>
      <c r="AA84" s="37">
        <f t="shared" ca="1" si="29"/>
        <v>42960.297700627772</v>
      </c>
      <c r="AB84" s="435">
        <f t="shared" ca="1" si="29"/>
        <v>2607693.6338670361</v>
      </c>
    </row>
    <row r="85" spans="1:28">
      <c r="A85" s="20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430"/>
    </row>
    <row r="86" spans="1:28">
      <c r="A86" s="20" t="s">
        <v>946</v>
      </c>
      <c r="B86" s="15"/>
      <c r="C86" s="15"/>
      <c r="D86" s="15"/>
      <c r="E86" s="257" t="str">
        <f ca="1">IF(E$7&lt;YEAR(Startops1),"Constr",IF(E$7=YEAR(Startops1),SUM(E84:$AA$84)/SUM(E13:$AA$13),D86))</f>
        <v>Constr</v>
      </c>
      <c r="F86" s="257" t="str">
        <f ca="1">IF(F$7&lt;YEAR(Startops1),"Constr",IF(F$7=YEAR(Startops1),SUM(F84:$AA$84)/SUM(F13:$AA$13),E86))</f>
        <v>Constr</v>
      </c>
      <c r="G86" s="257">
        <f ca="1">IF(G$7&lt;YEAR(Startops1),"Constr",IF(G$7=YEAR(Startops1),SUM(G84:$AA$84)/SUM(G13:$AA$13),F86))</f>
        <v>4.0624828732785438E-2</v>
      </c>
      <c r="H86" s="257">
        <f ca="1">IF(H$7&lt;YEAR(Startops1),"Constr",IF(H$7=YEAR(Startops1),SUM(H84:$AA$84)/SUM(H13:$AA$13),G86))</f>
        <v>4.0624828732785438E-2</v>
      </c>
      <c r="I86" s="257">
        <f ca="1">IF(I$7&lt;YEAR(Startops1),"Constr",IF(I$7=YEAR(Startops1),SUM(I84:$AA$84)/SUM(I13:$AA$13),H86))</f>
        <v>4.0624828732785438E-2</v>
      </c>
      <c r="J86" s="257">
        <f ca="1">IF(J$7&lt;YEAR(Startops1),"Constr",IF(J$7=YEAR(Startops1),SUM(J84:$AA$84)/SUM(J13:$AA$13),I86))</f>
        <v>4.0624828732785438E-2</v>
      </c>
      <c r="K86" s="257">
        <f ca="1">IF(K$7&lt;YEAR(Startops1),"Constr",IF(K$7=YEAR(Startops1),SUM(K84:$AA$84)/SUM(K13:$AA$13),J86))</f>
        <v>4.0624828732785438E-2</v>
      </c>
      <c r="L86" s="257">
        <f ca="1">IF(L$7&lt;YEAR(Startops1),"Constr",IF(L$7=YEAR(Startops1),SUM(L84:$AA$84)/SUM(L13:$AA$13),K86))</f>
        <v>4.0624828732785438E-2</v>
      </c>
      <c r="M86" s="257">
        <f ca="1">IF(M$7&lt;YEAR(Startops1),"Constr",IF(M$7=YEAR(Startops1),SUM(M84:$AA$84)/SUM(M13:$AA$13),L86))</f>
        <v>4.0624828732785438E-2</v>
      </c>
      <c r="N86" s="257">
        <f ca="1">IF(N$7&lt;YEAR(Startops1),"Constr",IF(N$7=YEAR(Startops1),SUM(N84:$AA$84)/SUM(N13:$AA$13),M86))</f>
        <v>4.0624828732785438E-2</v>
      </c>
      <c r="O86" s="257">
        <f ca="1">IF(O$7&lt;YEAR(Startops1),"Constr",IF(O$7=YEAR(Startops1),SUM(O84:$AA$84)/SUM(O13:$AA$13),N86))</f>
        <v>4.0624828732785438E-2</v>
      </c>
      <c r="P86" s="257">
        <f ca="1">IF(P$7&lt;YEAR(Startops1),"Constr",IF(P$7=YEAR(Startops1),SUM(P84:$AA$84)/SUM(P13:$AA$13),O86))</f>
        <v>4.0624828732785438E-2</v>
      </c>
      <c r="Q86" s="257">
        <f ca="1">IF(Q$7&lt;YEAR(Startops1),"Constr",IF(Q$7=YEAR(Startops1),SUM(Q84:$AA$84)/SUM(Q13:$AA$13),P86))</f>
        <v>4.0624828732785438E-2</v>
      </c>
      <c r="R86" s="257">
        <f ca="1">IF(R$7&lt;YEAR(Startops1),"Constr",IF(R$7=YEAR(Startops1),SUM(R84:$AA$84)/SUM(R13:$AA$13),Q86))</f>
        <v>4.0624828732785438E-2</v>
      </c>
      <c r="S86" s="257">
        <f ca="1">IF(S$7&lt;YEAR(Startops1),"Constr",IF(S$7=YEAR(Startops1),SUM(S84:$AA$84)/SUM(S13:$AA$13),R86))</f>
        <v>4.0624828732785438E-2</v>
      </c>
      <c r="T86" s="257">
        <f ca="1">IF(T$7&lt;YEAR(Startops1),"Constr",IF(T$7=YEAR(Startops1),SUM(T84:$AA$84)/SUM(T13:$AA$13),S86))</f>
        <v>4.0624828732785438E-2</v>
      </c>
      <c r="U86" s="257">
        <f ca="1">IF(U$7&lt;YEAR(Startops1),"Constr",IF(U$7=YEAR(Startops1),SUM(U84:$AA$84)/SUM(U13:$AA$13),T86))</f>
        <v>4.0624828732785438E-2</v>
      </c>
      <c r="V86" s="257">
        <f ca="1">IF(V$7&lt;YEAR(Startops1),"Constr",IF(V$7=YEAR(Startops1),SUM(V84:$AA$84)/SUM(V13:$AA$13),U86))</f>
        <v>4.0624828732785438E-2</v>
      </c>
      <c r="W86" s="257">
        <f ca="1">IF(W$7&lt;YEAR(Startops1),"Constr",IF(W$7=YEAR(Startops1),SUM(W84:$AA$84)/SUM(W13:$AA$13),V86))</f>
        <v>4.0624828732785438E-2</v>
      </c>
      <c r="X86" s="257">
        <f ca="1">IF(X$7&lt;YEAR(Startops1),"Constr",IF(X$7=YEAR(Startops1),SUM(X84:$AA$84)/SUM(X13:$AA$13),W86))</f>
        <v>4.0624828732785438E-2</v>
      </c>
      <c r="Y86" s="257">
        <f ca="1">IF(Y$7&lt;YEAR(Startops1),"Constr",IF(Y$7=YEAR(Startops1),SUM(Y84:$AA$84)/SUM(Y13:$AA$13),X86))</f>
        <v>4.0624828732785438E-2</v>
      </c>
      <c r="Z86" s="257">
        <f ca="1">IF(Z$7&lt;YEAR(Startops1),"Constr",IF(Z$7=YEAR(Startops1),SUM(Z84:$AA$84)/SUM(Z13:$AA$13),Y86))</f>
        <v>4.0624828732785438E-2</v>
      </c>
      <c r="AA86" s="257">
        <f ca="1">IF(AA$7&lt;YEAR(Startops1),"Constr",IF(AA$7=YEAR(Startops1),SUM(AA84:$AA$84)/SUM(AA13:$AA$13),Z86))</f>
        <v>4.0624828732785438E-2</v>
      </c>
      <c r="AB86" s="430"/>
    </row>
    <row r="87" spans="1:28">
      <c r="A87" s="20" t="s">
        <v>932</v>
      </c>
      <c r="B87" s="15"/>
      <c r="C87" s="15"/>
      <c r="D87" s="15"/>
      <c r="E87" s="72">
        <f>E$13</f>
        <v>0</v>
      </c>
      <c r="F87" s="72">
        <f t="shared" ref="F87:AA87" ca="1" si="30">F$13</f>
        <v>0</v>
      </c>
      <c r="G87" s="72">
        <f t="shared" ca="1" si="30"/>
        <v>107900</v>
      </c>
      <c r="H87" s="72">
        <f t="shared" ca="1" si="30"/>
        <v>691778.88</v>
      </c>
      <c r="I87" s="72">
        <f t="shared" ca="1" si="30"/>
        <v>2349654.5120000001</v>
      </c>
      <c r="J87" s="72">
        <f t="shared" ca="1" si="30"/>
        <v>3520258.56</v>
      </c>
      <c r="K87" s="72">
        <f t="shared" ca="1" si="30"/>
        <v>3520258.56</v>
      </c>
      <c r="L87" s="72">
        <f t="shared" ca="1" si="30"/>
        <v>3529903.1039999998</v>
      </c>
      <c r="M87" s="72">
        <f t="shared" ca="1" si="30"/>
        <v>3520258.56</v>
      </c>
      <c r="N87" s="72">
        <f t="shared" ca="1" si="30"/>
        <v>3520258.56</v>
      </c>
      <c r="O87" s="72">
        <f t="shared" ca="1" si="30"/>
        <v>3520258.56</v>
      </c>
      <c r="P87" s="72">
        <f t="shared" ca="1" si="30"/>
        <v>3529903.1039999998</v>
      </c>
      <c r="Q87" s="72">
        <f t="shared" ca="1" si="30"/>
        <v>3520258.56</v>
      </c>
      <c r="R87" s="72">
        <f t="shared" ca="1" si="30"/>
        <v>3520258.56</v>
      </c>
      <c r="S87" s="72">
        <f t="shared" ca="1" si="30"/>
        <v>3520258.56</v>
      </c>
      <c r="T87" s="72">
        <f t="shared" ca="1" si="30"/>
        <v>3529903.1039999998</v>
      </c>
      <c r="U87" s="72">
        <f t="shared" ca="1" si="30"/>
        <v>3520258.56</v>
      </c>
      <c r="V87" s="72">
        <f t="shared" ca="1" si="30"/>
        <v>3520258.56</v>
      </c>
      <c r="W87" s="72">
        <f t="shared" ca="1" si="30"/>
        <v>3520258.56</v>
      </c>
      <c r="X87" s="72">
        <f t="shared" ca="1" si="30"/>
        <v>3529903.1039999998</v>
      </c>
      <c r="Y87" s="72">
        <f t="shared" ca="1" si="30"/>
        <v>3520258.56</v>
      </c>
      <c r="Z87" s="72">
        <f t="shared" ca="1" si="30"/>
        <v>3520258.56</v>
      </c>
      <c r="AA87" s="72">
        <f t="shared" ca="1" si="30"/>
        <v>1157345.28</v>
      </c>
      <c r="AB87" s="432">
        <f ca="1">SUM(E87:AA87)</f>
        <v>64189652.368000016</v>
      </c>
    </row>
    <row r="88" spans="1:28">
      <c r="A88" s="20" t="s">
        <v>494</v>
      </c>
      <c r="B88" s="15"/>
      <c r="C88" s="15"/>
      <c r="D88" s="15"/>
      <c r="E88" s="37">
        <f t="shared" ref="E88:AA88" ca="1" si="31">IF(E$7&lt;YEAR(Startops1),0,E86*E87)</f>
        <v>0</v>
      </c>
      <c r="F88" s="37">
        <f t="shared" ca="1" si="31"/>
        <v>0</v>
      </c>
      <c r="G88" s="37">
        <f t="shared" ca="1" si="31"/>
        <v>4383.4190202675491</v>
      </c>
      <c r="H88" s="37">
        <f t="shared" ca="1" si="31"/>
        <v>28103.39852095813</v>
      </c>
      <c r="I88" s="37">
        <f t="shared" ca="1" si="31"/>
        <v>95454.312131216546</v>
      </c>
      <c r="J88" s="37">
        <f t="shared" ca="1" si="31"/>
        <v>143009.9010951219</v>
      </c>
      <c r="K88" s="37">
        <f t="shared" ca="1" si="31"/>
        <v>143009.9010951219</v>
      </c>
      <c r="L88" s="37">
        <f t="shared" ca="1" si="31"/>
        <v>143401.70904332769</v>
      </c>
      <c r="M88" s="37">
        <f t="shared" ca="1" si="31"/>
        <v>143009.9010951219</v>
      </c>
      <c r="N88" s="37">
        <f t="shared" ca="1" si="31"/>
        <v>143009.9010951219</v>
      </c>
      <c r="O88" s="37">
        <f t="shared" ca="1" si="31"/>
        <v>143009.9010951219</v>
      </c>
      <c r="P88" s="37">
        <f t="shared" ca="1" si="31"/>
        <v>143401.70904332769</v>
      </c>
      <c r="Q88" s="37">
        <f t="shared" ca="1" si="31"/>
        <v>143009.9010951219</v>
      </c>
      <c r="R88" s="37">
        <f t="shared" ca="1" si="31"/>
        <v>143009.9010951219</v>
      </c>
      <c r="S88" s="37">
        <f t="shared" ca="1" si="31"/>
        <v>143009.9010951219</v>
      </c>
      <c r="T88" s="37">
        <f t="shared" ca="1" si="31"/>
        <v>143401.70904332769</v>
      </c>
      <c r="U88" s="37">
        <f t="shared" ca="1" si="31"/>
        <v>143009.9010951219</v>
      </c>
      <c r="V88" s="37">
        <f t="shared" ca="1" si="31"/>
        <v>143009.9010951219</v>
      </c>
      <c r="W88" s="37">
        <f t="shared" ca="1" si="31"/>
        <v>143009.9010951219</v>
      </c>
      <c r="X88" s="37">
        <f t="shared" ca="1" si="31"/>
        <v>143401.70904332769</v>
      </c>
      <c r="Y88" s="37">
        <f t="shared" ca="1" si="31"/>
        <v>143009.9010951219</v>
      </c>
      <c r="Z88" s="37">
        <f t="shared" ca="1" si="31"/>
        <v>143009.9010951219</v>
      </c>
      <c r="AA88" s="37">
        <f t="shared" ca="1" si="31"/>
        <v>47016.953784697609</v>
      </c>
      <c r="AB88" s="435">
        <f ca="1">SUM(E88:AA88)</f>
        <v>2607693.6338670356</v>
      </c>
    </row>
    <row r="89" spans="1:28">
      <c r="A89" s="20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430"/>
    </row>
    <row r="90" spans="1:28">
      <c r="A90" s="20" t="s">
        <v>1241</v>
      </c>
      <c r="B90" s="15"/>
      <c r="C90" s="15"/>
      <c r="D90" s="15"/>
      <c r="E90" s="37">
        <f t="shared" ref="E90:AA90" si="32">D93</f>
        <v>0</v>
      </c>
      <c r="F90" s="37">
        <f t="shared" ca="1" si="32"/>
        <v>0</v>
      </c>
      <c r="G90" s="37">
        <f t="shared" ca="1" si="32"/>
        <v>0</v>
      </c>
      <c r="H90" s="37">
        <f t="shared" ca="1" si="32"/>
        <v>4314.3589954801646</v>
      </c>
      <c r="I90" s="37">
        <f t="shared" ca="1" si="32"/>
        <v>-9462.280140503326</v>
      </c>
      <c r="J90" s="37">
        <f t="shared" ca="1" si="32"/>
        <v>-11831.292886279729</v>
      </c>
      <c r="K90" s="37">
        <f t="shared" ca="1" si="32"/>
        <v>-22134.334996948659</v>
      </c>
      <c r="L90" s="37">
        <f t="shared" ca="1" si="32"/>
        <v>-25961.822133802605</v>
      </c>
      <c r="M90" s="37">
        <f t="shared" ca="1" si="32"/>
        <v>-24736.46071453992</v>
      </c>
      <c r="N90" s="37">
        <f t="shared" ca="1" si="32"/>
        <v>-19648.455635607708</v>
      </c>
      <c r="O90" s="37">
        <f t="shared" ca="1" si="32"/>
        <v>-11614.98453799155</v>
      </c>
      <c r="P90" s="37">
        <f t="shared" ca="1" si="32"/>
        <v>-3982.3183961913455</v>
      </c>
      <c r="Q90" s="37">
        <f t="shared" ca="1" si="32"/>
        <v>1470.6740300047677</v>
      </c>
      <c r="R90" s="37">
        <f t="shared" ca="1" si="32"/>
        <v>8473.747755291959</v>
      </c>
      <c r="S90" s="37">
        <f t="shared" ca="1" si="32"/>
        <v>18862.667814810557</v>
      </c>
      <c r="T90" s="37">
        <f t="shared" ca="1" si="32"/>
        <v>30459.862915067701</v>
      </c>
      <c r="U90" s="37">
        <f t="shared" ca="1" si="32"/>
        <v>36893.4951264954</v>
      </c>
      <c r="V90" s="37">
        <f t="shared" ca="1" si="32"/>
        <v>49500.803166453581</v>
      </c>
      <c r="W90" s="37">
        <f t="shared" ca="1" si="32"/>
        <v>52174.910301747324</v>
      </c>
      <c r="X90" s="37">
        <f t="shared" ca="1" si="32"/>
        <v>41272.975167895958</v>
      </c>
      <c r="Y90" s="37">
        <f t="shared" ca="1" si="32"/>
        <v>28038.13526327569</v>
      </c>
      <c r="Z90" s="37">
        <f t="shared" ca="1" si="32"/>
        <v>17013.035445166999</v>
      </c>
      <c r="AA90" s="37">
        <f t="shared" ca="1" si="32"/>
        <v>4056.6560840711027</v>
      </c>
      <c r="AB90" s="435">
        <f>E90</f>
        <v>0</v>
      </c>
    </row>
    <row r="91" spans="1:28">
      <c r="A91" s="20" t="s">
        <v>933</v>
      </c>
      <c r="B91" s="15"/>
      <c r="C91" s="15"/>
      <c r="D91" s="15"/>
      <c r="E91" s="37">
        <f ca="1">MAX(0,E84-E88)</f>
        <v>0</v>
      </c>
      <c r="F91" s="37">
        <f t="shared" ref="F91:AA91" ca="1" si="33">MAX(0,F84-F88)</f>
        <v>0</v>
      </c>
      <c r="G91" s="37">
        <f t="shared" ca="1" si="33"/>
        <v>4314.3589954801646</v>
      </c>
      <c r="H91" s="37">
        <f t="shared" ca="1" si="33"/>
        <v>0</v>
      </c>
      <c r="I91" s="37">
        <f t="shared" ca="1" si="33"/>
        <v>0</v>
      </c>
      <c r="J91" s="37">
        <f t="shared" ca="1" si="33"/>
        <v>0</v>
      </c>
      <c r="K91" s="37">
        <f t="shared" ca="1" si="33"/>
        <v>0</v>
      </c>
      <c r="L91" s="37">
        <f t="shared" ca="1" si="33"/>
        <v>1225.3614192626846</v>
      </c>
      <c r="M91" s="37">
        <f t="shared" ca="1" si="33"/>
        <v>5088.0050789322122</v>
      </c>
      <c r="N91" s="37">
        <f t="shared" ca="1" si="33"/>
        <v>8033.4710976161587</v>
      </c>
      <c r="O91" s="37">
        <f t="shared" ca="1" si="33"/>
        <v>7632.6661418002041</v>
      </c>
      <c r="P91" s="37">
        <f t="shared" ca="1" si="33"/>
        <v>5452.9924261961132</v>
      </c>
      <c r="Q91" s="37">
        <f t="shared" ca="1" si="33"/>
        <v>7003.0737252871913</v>
      </c>
      <c r="R91" s="37">
        <f t="shared" ca="1" si="33"/>
        <v>10388.920059518598</v>
      </c>
      <c r="S91" s="37">
        <f t="shared" ca="1" si="33"/>
        <v>11597.195100257144</v>
      </c>
      <c r="T91" s="37">
        <f t="shared" ca="1" si="33"/>
        <v>6433.6322114276991</v>
      </c>
      <c r="U91" s="37">
        <f t="shared" ca="1" si="33"/>
        <v>12607.308039958181</v>
      </c>
      <c r="V91" s="37">
        <f t="shared" ca="1" si="33"/>
        <v>2674.1071352937433</v>
      </c>
      <c r="W91" s="37">
        <f t="shared" ca="1" si="33"/>
        <v>0</v>
      </c>
      <c r="X91" s="37">
        <f t="shared" ca="1" si="33"/>
        <v>0</v>
      </c>
      <c r="Y91" s="37">
        <f t="shared" ca="1" si="33"/>
        <v>0</v>
      </c>
      <c r="Z91" s="37">
        <f t="shared" ca="1" si="33"/>
        <v>0</v>
      </c>
      <c r="AA91" s="37">
        <f t="shared" ca="1" si="33"/>
        <v>0</v>
      </c>
      <c r="AB91" s="435">
        <f ca="1">SUM(E91:AA91)</f>
        <v>82451.091431030101</v>
      </c>
    </row>
    <row r="92" spans="1:28">
      <c r="A92" s="20" t="s">
        <v>947</v>
      </c>
      <c r="B92" s="15"/>
      <c r="C92" s="15"/>
      <c r="D92" s="15"/>
      <c r="E92" s="227">
        <f ca="1">-MAX(0,E88-E84)</f>
        <v>0</v>
      </c>
      <c r="F92" s="227">
        <f t="shared" ref="F92:AA92" ca="1" si="34">-MAX(0,F88-F84)</f>
        <v>0</v>
      </c>
      <c r="G92" s="227">
        <f t="shared" ca="1" si="34"/>
        <v>0</v>
      </c>
      <c r="H92" s="227">
        <f t="shared" ca="1" si="34"/>
        <v>-13776.639135983491</v>
      </c>
      <c r="I92" s="227">
        <f t="shared" ca="1" si="34"/>
        <v>-2369.0127457764029</v>
      </c>
      <c r="J92" s="227">
        <f t="shared" ca="1" si="34"/>
        <v>-10303.042110668932</v>
      </c>
      <c r="K92" s="227">
        <f t="shared" ca="1" si="34"/>
        <v>-3827.4871368539461</v>
      </c>
      <c r="L92" s="227">
        <f t="shared" ca="1" si="34"/>
        <v>0</v>
      </c>
      <c r="M92" s="227">
        <f t="shared" ca="1" si="34"/>
        <v>0</v>
      </c>
      <c r="N92" s="227">
        <f t="shared" ca="1" si="34"/>
        <v>0</v>
      </c>
      <c r="O92" s="227">
        <f t="shared" ca="1" si="34"/>
        <v>0</v>
      </c>
      <c r="P92" s="227">
        <f t="shared" ca="1" si="34"/>
        <v>0</v>
      </c>
      <c r="Q92" s="227">
        <f t="shared" ca="1" si="34"/>
        <v>0</v>
      </c>
      <c r="R92" s="227">
        <f t="shared" ca="1" si="34"/>
        <v>0</v>
      </c>
      <c r="S92" s="227">
        <f t="shared" ca="1" si="34"/>
        <v>0</v>
      </c>
      <c r="T92" s="227">
        <f t="shared" ca="1" si="34"/>
        <v>0</v>
      </c>
      <c r="U92" s="227">
        <f t="shared" ca="1" si="34"/>
        <v>0</v>
      </c>
      <c r="V92" s="227">
        <f t="shared" ca="1" si="34"/>
        <v>0</v>
      </c>
      <c r="W92" s="227">
        <f t="shared" ca="1" si="34"/>
        <v>-10901.935133851366</v>
      </c>
      <c r="X92" s="227">
        <f t="shared" ca="1" si="34"/>
        <v>-13234.839904620268</v>
      </c>
      <c r="Y92" s="227">
        <f t="shared" ca="1" si="34"/>
        <v>-11025.099818108691</v>
      </c>
      <c r="Z92" s="227">
        <f t="shared" ca="1" si="34"/>
        <v>-12956.379361095896</v>
      </c>
      <c r="AA92" s="227">
        <f t="shared" ca="1" si="34"/>
        <v>-4056.6560840698367</v>
      </c>
      <c r="AB92" s="436">
        <f ca="1">SUM(E92:AA92)</f>
        <v>-82451.091431028821</v>
      </c>
    </row>
    <row r="93" spans="1:28" ht="13.5" thickBot="1">
      <c r="A93" s="48" t="s">
        <v>1240</v>
      </c>
      <c r="B93" s="49"/>
      <c r="C93" s="49"/>
      <c r="D93" s="49"/>
      <c r="E93" s="51">
        <f ca="1">SUM(E90:E92)</f>
        <v>0</v>
      </c>
      <c r="F93" s="51">
        <f ca="1">SUM(F90:F92)</f>
        <v>0</v>
      </c>
      <c r="G93" s="51">
        <f t="shared" ref="G93:V93" ca="1" si="35">SUM(G90:G92)</f>
        <v>4314.3589954801646</v>
      </c>
      <c r="H93" s="51">
        <f t="shared" ca="1" si="35"/>
        <v>-9462.280140503326</v>
      </c>
      <c r="I93" s="51">
        <f t="shared" ca="1" si="35"/>
        <v>-11831.292886279729</v>
      </c>
      <c r="J93" s="51">
        <f t="shared" ca="1" si="35"/>
        <v>-22134.334996948659</v>
      </c>
      <c r="K93" s="51">
        <f t="shared" ca="1" si="35"/>
        <v>-25961.822133802605</v>
      </c>
      <c r="L93" s="51">
        <f t="shared" ca="1" si="35"/>
        <v>-24736.46071453992</v>
      </c>
      <c r="M93" s="51">
        <f t="shared" ca="1" si="35"/>
        <v>-19648.455635607708</v>
      </c>
      <c r="N93" s="51">
        <f t="shared" ca="1" si="35"/>
        <v>-11614.98453799155</v>
      </c>
      <c r="O93" s="51">
        <f t="shared" ca="1" si="35"/>
        <v>-3982.3183961913455</v>
      </c>
      <c r="P93" s="51">
        <f t="shared" ca="1" si="35"/>
        <v>1470.6740300047677</v>
      </c>
      <c r="Q93" s="51">
        <f t="shared" ca="1" si="35"/>
        <v>8473.747755291959</v>
      </c>
      <c r="R93" s="51">
        <f t="shared" ca="1" si="35"/>
        <v>18862.667814810557</v>
      </c>
      <c r="S93" s="51">
        <f t="shared" ca="1" si="35"/>
        <v>30459.862915067701</v>
      </c>
      <c r="T93" s="51">
        <f t="shared" ca="1" si="35"/>
        <v>36893.4951264954</v>
      </c>
      <c r="U93" s="51">
        <f t="shared" ca="1" si="35"/>
        <v>49500.803166453581</v>
      </c>
      <c r="V93" s="51">
        <f t="shared" ca="1" si="35"/>
        <v>52174.910301747324</v>
      </c>
      <c r="W93" s="51">
        <f t="shared" ref="W93:AB93" ca="1" si="36">SUM(W90:W92)</f>
        <v>41272.975167895958</v>
      </c>
      <c r="X93" s="51">
        <f t="shared" ca="1" si="36"/>
        <v>28038.13526327569</v>
      </c>
      <c r="Y93" s="51">
        <f t="shared" ca="1" si="36"/>
        <v>17013.035445166999</v>
      </c>
      <c r="Z93" s="51">
        <f t="shared" ca="1" si="36"/>
        <v>4056.6560840711027</v>
      </c>
      <c r="AA93" s="51">
        <f t="shared" ca="1" si="36"/>
        <v>1.2660166248679161E-9</v>
      </c>
      <c r="AB93" s="484">
        <f t="shared" ca="1" si="36"/>
        <v>1.280568540096283E-9</v>
      </c>
    </row>
  </sheetData>
  <printOptions horizontalCentered="1"/>
  <pageMargins left="0.25" right="0.25" top="0.5" bottom="0.5" header="0.25" footer="0.25"/>
  <pageSetup scale="36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AE90"/>
  <sheetViews>
    <sheetView showGridLines="0" zoomScale="90" zoomScaleNormal="90" workbookViewId="0"/>
  </sheetViews>
  <sheetFormatPr defaultRowHeight="12.75"/>
  <cols>
    <col min="1" max="1" width="1.7109375" style="15" customWidth="1"/>
    <col min="2" max="2" width="40.7109375" style="7" customWidth="1"/>
    <col min="3" max="27" width="10.7109375" style="7" customWidth="1"/>
    <col min="28" max="28" width="12.7109375" style="15" customWidth="1"/>
    <col min="29" max="16384" width="9.140625" style="7"/>
  </cols>
  <sheetData>
    <row r="1" spans="1:31" s="1" customFormat="1" ht="15.75">
      <c r="A1" s="1137" t="str">
        <f>CONCATENATE(TOC!B2," ",TOC!B6)</f>
        <v>EMPRESSA PRODUTORA DE ENERGÍA LTDA (EPE) *** DRAFT COPY ***</v>
      </c>
      <c r="AD1" s="15"/>
      <c r="AE1" s="15"/>
    </row>
    <row r="2" spans="1:31" s="1" customFormat="1" ht="15.75">
      <c r="A2" s="1137" t="str">
        <f>TOC!B3</f>
        <v>480 MW POWER PLANT (CUIABA, BRAZIL)</v>
      </c>
      <c r="AD2" s="15"/>
      <c r="AE2" s="15"/>
    </row>
    <row r="3" spans="1:31" s="1" customFormat="1" ht="15">
      <c r="A3" s="118" t="str">
        <f>TOC!B4</f>
        <v>ENRON INTERNATIONAL</v>
      </c>
      <c r="AD3" s="15"/>
      <c r="AE3" s="15"/>
    </row>
    <row r="4" spans="1:31" s="1" customFormat="1" ht="15">
      <c r="A4" s="932" t="s">
        <v>469</v>
      </c>
      <c r="B4" s="933"/>
      <c r="C4" s="933"/>
      <c r="D4" s="933"/>
      <c r="E4" s="933"/>
      <c r="AD4" s="15"/>
      <c r="AE4" s="15"/>
    </row>
    <row r="5" spans="1:31" customFormat="1" ht="13.5" thickBot="1">
      <c r="A5" s="1"/>
      <c r="B5" s="7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D5" s="15"/>
      <c r="AE5" s="15"/>
    </row>
    <row r="6" spans="1:31" s="15" customFormat="1">
      <c r="A6" s="412" t="s">
        <v>443</v>
      </c>
      <c r="B6" s="11"/>
      <c r="C6" s="11"/>
      <c r="D6" s="11"/>
      <c r="E6" s="11">
        <f ca="1">'Project &amp; Investor Returns'!E$6</f>
        <v>0</v>
      </c>
      <c r="F6" s="11">
        <f ca="1">'Project &amp; Investor Returns'!F$6</f>
        <v>0</v>
      </c>
      <c r="G6" s="11">
        <f ca="1">'Project &amp; Investor Returns'!G$6</f>
        <v>1</v>
      </c>
      <c r="H6" s="11">
        <f ca="1">'Project &amp; Investor Returns'!H$6</f>
        <v>2</v>
      </c>
      <c r="I6" s="11">
        <f ca="1">'Project &amp; Investor Returns'!I$6</f>
        <v>3</v>
      </c>
      <c r="J6" s="11">
        <f ca="1">'Project &amp; Investor Returns'!J$6</f>
        <v>4</v>
      </c>
      <c r="K6" s="11">
        <f ca="1">'Project &amp; Investor Returns'!K$6</f>
        <v>5</v>
      </c>
      <c r="L6" s="11">
        <f ca="1">'Project &amp; Investor Returns'!L$6</f>
        <v>6</v>
      </c>
      <c r="M6" s="11">
        <f ca="1">'Project &amp; Investor Returns'!M$6</f>
        <v>7</v>
      </c>
      <c r="N6" s="11">
        <f ca="1">'Project &amp; Investor Returns'!N$6</f>
        <v>8</v>
      </c>
      <c r="O6" s="11">
        <f ca="1">'Project &amp; Investor Returns'!O$6</f>
        <v>9</v>
      </c>
      <c r="P6" s="11">
        <f ca="1">'Project &amp; Investor Returns'!P$6</f>
        <v>10</v>
      </c>
      <c r="Q6" s="11">
        <f ca="1">'Project &amp; Investor Returns'!Q$6</f>
        <v>11</v>
      </c>
      <c r="R6" s="11">
        <f ca="1">'Project &amp; Investor Returns'!R$6</f>
        <v>12</v>
      </c>
      <c r="S6" s="11">
        <f ca="1">'Project &amp; Investor Returns'!S$6</f>
        <v>13</v>
      </c>
      <c r="T6" s="11">
        <f ca="1">'Project &amp; Investor Returns'!T$6</f>
        <v>14</v>
      </c>
      <c r="U6" s="11">
        <f ca="1">'Project &amp; Investor Returns'!U$6</f>
        <v>15</v>
      </c>
      <c r="V6" s="11">
        <f ca="1">'Project &amp; Investor Returns'!V$6</f>
        <v>16</v>
      </c>
      <c r="W6" s="11">
        <f ca="1">'Project &amp; Investor Returns'!W$6</f>
        <v>17</v>
      </c>
      <c r="X6" s="11">
        <f ca="1">'Project &amp; Investor Returns'!X$6</f>
        <v>18</v>
      </c>
      <c r="Y6" s="11">
        <f ca="1">'Project &amp; Investor Returns'!Y$6</f>
        <v>19</v>
      </c>
      <c r="Z6" s="11">
        <f ca="1">'Project &amp; Investor Returns'!Z$6</f>
        <v>20</v>
      </c>
      <c r="AA6" s="11">
        <f ca="1">'Project &amp; Investor Returns'!AA$6</f>
        <v>21</v>
      </c>
      <c r="AB6" s="424"/>
    </row>
    <row r="7" spans="1:31" s="15" customFormat="1" ht="13.5" thickBot="1">
      <c r="A7" s="455" t="s">
        <v>444</v>
      </c>
      <c r="B7" s="49"/>
      <c r="C7" s="49"/>
      <c r="D7" s="49"/>
      <c r="E7" s="83">
        <f>'Project &amp; Investor Returns'!E$7</f>
        <v>1997</v>
      </c>
      <c r="F7" s="83">
        <f>'Project &amp; Investor Returns'!F$7</f>
        <v>1998</v>
      </c>
      <c r="G7" s="83">
        <f>'Project &amp; Investor Returns'!G$7</f>
        <v>1999</v>
      </c>
      <c r="H7" s="83">
        <f>'Project &amp; Investor Returns'!H$7</f>
        <v>2000</v>
      </c>
      <c r="I7" s="83">
        <f>'Project &amp; Investor Returns'!I$7</f>
        <v>2001</v>
      </c>
      <c r="J7" s="83">
        <f>'Project &amp; Investor Returns'!J$7</f>
        <v>2002</v>
      </c>
      <c r="K7" s="83">
        <f>'Project &amp; Investor Returns'!K$7</f>
        <v>2003</v>
      </c>
      <c r="L7" s="83">
        <f>'Project &amp; Investor Returns'!L$7</f>
        <v>2004</v>
      </c>
      <c r="M7" s="83">
        <f>'Project &amp; Investor Returns'!M$7</f>
        <v>2005</v>
      </c>
      <c r="N7" s="83">
        <f>'Project &amp; Investor Returns'!N$7</f>
        <v>2006</v>
      </c>
      <c r="O7" s="83">
        <f>'Project &amp; Investor Returns'!O$7</f>
        <v>2007</v>
      </c>
      <c r="P7" s="83">
        <f>'Project &amp; Investor Returns'!P$7</f>
        <v>2008</v>
      </c>
      <c r="Q7" s="83">
        <f>'Project &amp; Investor Returns'!Q$7</f>
        <v>2009</v>
      </c>
      <c r="R7" s="83">
        <f>'Project &amp; Investor Returns'!R$7</f>
        <v>2010</v>
      </c>
      <c r="S7" s="83">
        <f>'Project &amp; Investor Returns'!S$7</f>
        <v>2011</v>
      </c>
      <c r="T7" s="83">
        <f>'Project &amp; Investor Returns'!T$7</f>
        <v>2012</v>
      </c>
      <c r="U7" s="83">
        <f>'Project &amp; Investor Returns'!U$7</f>
        <v>2013</v>
      </c>
      <c r="V7" s="83">
        <f>'Project &amp; Investor Returns'!V$7</f>
        <v>2014</v>
      </c>
      <c r="W7" s="83">
        <f>'Project &amp; Investor Returns'!W$7</f>
        <v>2015</v>
      </c>
      <c r="X7" s="83">
        <f>'Project &amp; Investor Returns'!X$7</f>
        <v>2016</v>
      </c>
      <c r="Y7" s="83">
        <f>'Project &amp; Investor Returns'!Y$7</f>
        <v>2017</v>
      </c>
      <c r="Z7" s="83">
        <f>'Project &amp; Investor Returns'!Z$7</f>
        <v>2018</v>
      </c>
      <c r="AA7" s="83">
        <f>'Project &amp; Investor Returns'!AA$7</f>
        <v>2019</v>
      </c>
      <c r="AB7" s="425" t="s">
        <v>441</v>
      </c>
    </row>
    <row r="8" spans="1:31" customFormat="1">
      <c r="A8" s="416"/>
      <c r="B8" s="15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426"/>
      <c r="AD8" s="15"/>
      <c r="AE8" s="15"/>
    </row>
    <row r="9" spans="1:31" s="15" customFormat="1">
      <c r="A9" s="20" t="s">
        <v>785</v>
      </c>
      <c r="E9" s="218">
        <f>Rev_Exp!C9</f>
        <v>0</v>
      </c>
      <c r="F9" s="218">
        <f ca="1">Rev_Exp!D9</f>
        <v>0</v>
      </c>
      <c r="G9" s="218">
        <f ca="1">Rev_Exp!E9</f>
        <v>9</v>
      </c>
      <c r="H9" s="218">
        <f ca="1">Rev_Exp!F9</f>
        <v>12</v>
      </c>
      <c r="I9" s="218">
        <f>Rev_Exp!G9</f>
        <v>0</v>
      </c>
      <c r="J9" s="218">
        <f ca="1">Rev_Exp!H9</f>
        <v>0</v>
      </c>
      <c r="K9" s="218">
        <f ca="1">Rev_Exp!I9</f>
        <v>0</v>
      </c>
      <c r="L9" s="218">
        <f ca="1">Rev_Exp!J9</f>
        <v>0</v>
      </c>
      <c r="M9" s="218">
        <f ca="1">Rev_Exp!K9</f>
        <v>0</v>
      </c>
      <c r="N9" s="218">
        <f ca="1">Rev_Exp!L9</f>
        <v>0</v>
      </c>
      <c r="O9" s="218">
        <f ca="1">Rev_Exp!M9</f>
        <v>0</v>
      </c>
      <c r="P9" s="218">
        <f ca="1">Rev_Exp!N9</f>
        <v>0</v>
      </c>
      <c r="Q9" s="218">
        <f ca="1">Rev_Exp!O9</f>
        <v>0</v>
      </c>
      <c r="R9" s="218">
        <f ca="1">Rev_Exp!P9</f>
        <v>0</v>
      </c>
      <c r="S9" s="218">
        <f ca="1">Rev_Exp!Q9</f>
        <v>0</v>
      </c>
      <c r="T9" s="218">
        <f ca="1">Rev_Exp!R9</f>
        <v>0</v>
      </c>
      <c r="U9" s="218">
        <f ca="1">Rev_Exp!S9</f>
        <v>0</v>
      </c>
      <c r="V9" s="218">
        <f ca="1">Rev_Exp!T9</f>
        <v>0</v>
      </c>
      <c r="W9" s="218">
        <f ca="1">Rev_Exp!U9</f>
        <v>0</v>
      </c>
      <c r="X9" s="218">
        <f ca="1">Rev_Exp!V9</f>
        <v>0</v>
      </c>
      <c r="Y9" s="218">
        <f ca="1">Rev_Exp!W9</f>
        <v>0</v>
      </c>
      <c r="Z9" s="218">
        <f ca="1">Rev_Exp!X9</f>
        <v>0</v>
      </c>
      <c r="AA9" s="218">
        <f ca="1">Rev_Exp!Y9</f>
        <v>0</v>
      </c>
      <c r="AB9" s="430">
        <f ca="1">SUM(E9:AA9)</f>
        <v>21</v>
      </c>
    </row>
    <row r="10" spans="1:31" s="15" customFormat="1">
      <c r="A10" s="20" t="s">
        <v>788</v>
      </c>
      <c r="E10" s="218">
        <f>Rev_Exp!C10</f>
        <v>0</v>
      </c>
      <c r="F10" s="218">
        <f ca="1">Rev_Exp!D10</f>
        <v>0</v>
      </c>
      <c r="G10" s="218">
        <f ca="1">Rev_Exp!E10</f>
        <v>0</v>
      </c>
      <c r="H10" s="218">
        <f ca="1">Rev_Exp!F10</f>
        <v>0</v>
      </c>
      <c r="I10" s="218">
        <f ca="1">Rev_Exp!G10</f>
        <v>7</v>
      </c>
      <c r="J10" s="218">
        <f ca="1">Rev_Exp!H10</f>
        <v>0</v>
      </c>
      <c r="K10" s="218">
        <f ca="1">Rev_Exp!I10</f>
        <v>0</v>
      </c>
      <c r="L10" s="218">
        <f ca="1">Rev_Exp!J10</f>
        <v>0</v>
      </c>
      <c r="M10" s="218">
        <f ca="1">Rev_Exp!K10</f>
        <v>0</v>
      </c>
      <c r="N10" s="218">
        <f ca="1">Rev_Exp!L10</f>
        <v>0</v>
      </c>
      <c r="O10" s="218">
        <f ca="1">Rev_Exp!M10</f>
        <v>0</v>
      </c>
      <c r="P10" s="218">
        <f ca="1">Rev_Exp!N10</f>
        <v>0</v>
      </c>
      <c r="Q10" s="218">
        <f ca="1">Rev_Exp!O10</f>
        <v>0</v>
      </c>
      <c r="R10" s="218">
        <f ca="1">Rev_Exp!P10</f>
        <v>0</v>
      </c>
      <c r="S10" s="218">
        <f ca="1">Rev_Exp!Q10</f>
        <v>0</v>
      </c>
      <c r="T10" s="218">
        <f ca="1">Rev_Exp!R10</f>
        <v>0</v>
      </c>
      <c r="U10" s="218">
        <f ca="1">Rev_Exp!S10</f>
        <v>0</v>
      </c>
      <c r="V10" s="218">
        <f ca="1">Rev_Exp!T10</f>
        <v>0</v>
      </c>
      <c r="W10" s="218">
        <f ca="1">Rev_Exp!U10</f>
        <v>0</v>
      </c>
      <c r="X10" s="218">
        <f ca="1">Rev_Exp!V10</f>
        <v>0</v>
      </c>
      <c r="Y10" s="218">
        <f ca="1">Rev_Exp!W10</f>
        <v>0</v>
      </c>
      <c r="Z10" s="218">
        <f ca="1">Rev_Exp!X10</f>
        <v>0</v>
      </c>
      <c r="AA10" s="218">
        <f ca="1">Rev_Exp!Y10</f>
        <v>0</v>
      </c>
      <c r="AB10" s="430">
        <f ca="1">SUM(E10:AA10)</f>
        <v>7</v>
      </c>
    </row>
    <row r="11" spans="1:31" s="15" customFormat="1">
      <c r="A11" s="20" t="s">
        <v>789</v>
      </c>
      <c r="E11" s="228">
        <f>Rev_Exp!C11</f>
        <v>0</v>
      </c>
      <c r="F11" s="228">
        <f>Rev_Exp!D11</f>
        <v>0</v>
      </c>
      <c r="G11" s="228">
        <f>Rev_Exp!E11</f>
        <v>0</v>
      </c>
      <c r="H11" s="228">
        <f>Rev_Exp!F11</f>
        <v>0</v>
      </c>
      <c r="I11" s="228">
        <f>Rev_Exp!G11</f>
        <v>5</v>
      </c>
      <c r="J11" s="228">
        <f>Rev_Exp!H11</f>
        <v>12</v>
      </c>
      <c r="K11" s="228">
        <f>Rev_Exp!I11</f>
        <v>12</v>
      </c>
      <c r="L11" s="228">
        <f>Rev_Exp!J11</f>
        <v>12</v>
      </c>
      <c r="M11" s="228">
        <f>Rev_Exp!K11</f>
        <v>12</v>
      </c>
      <c r="N11" s="228">
        <f>Rev_Exp!L11</f>
        <v>12</v>
      </c>
      <c r="O11" s="228">
        <f>Rev_Exp!M11</f>
        <v>12</v>
      </c>
      <c r="P11" s="228">
        <f>Rev_Exp!N11</f>
        <v>12</v>
      </c>
      <c r="Q11" s="228">
        <f>Rev_Exp!O11</f>
        <v>12</v>
      </c>
      <c r="R11" s="228">
        <f>Rev_Exp!P11</f>
        <v>12</v>
      </c>
      <c r="S11" s="228">
        <f>Rev_Exp!Q11</f>
        <v>12</v>
      </c>
      <c r="T11" s="228">
        <f>Rev_Exp!R11</f>
        <v>12</v>
      </c>
      <c r="U11" s="228">
        <f>Rev_Exp!S11</f>
        <v>12</v>
      </c>
      <c r="V11" s="228">
        <f>Rev_Exp!T11</f>
        <v>12</v>
      </c>
      <c r="W11" s="228">
        <f>Rev_Exp!U11</f>
        <v>12</v>
      </c>
      <c r="X11" s="228">
        <f>Rev_Exp!V11</f>
        <v>12</v>
      </c>
      <c r="Y11" s="228">
        <f>Rev_Exp!W11</f>
        <v>12</v>
      </c>
      <c r="Z11" s="228">
        <f>Rev_Exp!X11</f>
        <v>12</v>
      </c>
      <c r="AA11" s="228">
        <f>Rev_Exp!Y11</f>
        <v>4</v>
      </c>
      <c r="AB11" s="480">
        <f>SUM(E11:AA11)</f>
        <v>213</v>
      </c>
    </row>
    <row r="12" spans="1:31" s="15" customFormat="1">
      <c r="A12" s="27" t="s">
        <v>790</v>
      </c>
      <c r="C12" s="3"/>
      <c r="D12" s="3"/>
      <c r="E12" s="229">
        <f>Rev_Exp!C12</f>
        <v>0</v>
      </c>
      <c r="F12" s="229">
        <f ca="1">Rev_Exp!D12</f>
        <v>0</v>
      </c>
      <c r="G12" s="229">
        <f ca="1">Rev_Exp!E12</f>
        <v>9</v>
      </c>
      <c r="H12" s="229">
        <f ca="1">Rev_Exp!F12</f>
        <v>12</v>
      </c>
      <c r="I12" s="229">
        <f ca="1">Rev_Exp!G12</f>
        <v>12</v>
      </c>
      <c r="J12" s="229">
        <f ca="1">Rev_Exp!H12</f>
        <v>12</v>
      </c>
      <c r="K12" s="229">
        <f ca="1">Rev_Exp!I12</f>
        <v>12</v>
      </c>
      <c r="L12" s="229">
        <f ca="1">Rev_Exp!J12</f>
        <v>12</v>
      </c>
      <c r="M12" s="229">
        <f ca="1">Rev_Exp!K12</f>
        <v>12</v>
      </c>
      <c r="N12" s="229">
        <f ca="1">Rev_Exp!L12</f>
        <v>12</v>
      </c>
      <c r="O12" s="229">
        <f ca="1">Rev_Exp!M12</f>
        <v>12</v>
      </c>
      <c r="P12" s="229">
        <f ca="1">Rev_Exp!N12</f>
        <v>12</v>
      </c>
      <c r="Q12" s="229">
        <f ca="1">Rev_Exp!O12</f>
        <v>12</v>
      </c>
      <c r="R12" s="229">
        <f ca="1">Rev_Exp!P12</f>
        <v>12</v>
      </c>
      <c r="S12" s="229">
        <f ca="1">Rev_Exp!Q12</f>
        <v>12</v>
      </c>
      <c r="T12" s="229">
        <f ca="1">Rev_Exp!R12</f>
        <v>12</v>
      </c>
      <c r="U12" s="229">
        <f ca="1">Rev_Exp!S12</f>
        <v>12</v>
      </c>
      <c r="V12" s="229">
        <f ca="1">Rev_Exp!T12</f>
        <v>12</v>
      </c>
      <c r="W12" s="229">
        <f ca="1">Rev_Exp!U12</f>
        <v>12</v>
      </c>
      <c r="X12" s="229">
        <f ca="1">Rev_Exp!V12</f>
        <v>12</v>
      </c>
      <c r="Y12" s="229">
        <f ca="1">Rev_Exp!W12</f>
        <v>12</v>
      </c>
      <c r="Z12" s="229">
        <f ca="1">Rev_Exp!X12</f>
        <v>12</v>
      </c>
      <c r="AA12" s="229">
        <f ca="1">Rev_Exp!Y12</f>
        <v>4</v>
      </c>
      <c r="AB12" s="481">
        <f ca="1">SUM(E12:AA12)</f>
        <v>241</v>
      </c>
    </row>
    <row r="13" spans="1:31" customFormat="1">
      <c r="A13" s="398"/>
      <c r="B13" s="15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426"/>
      <c r="AD13" s="15"/>
      <c r="AE13" s="15"/>
    </row>
    <row r="14" spans="1:31" customFormat="1">
      <c r="A14" s="485" t="s">
        <v>193</v>
      </c>
      <c r="B14" s="15"/>
      <c r="C14" s="15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426"/>
      <c r="AD14" s="15"/>
      <c r="AE14" s="15"/>
    </row>
    <row r="15" spans="1:31" customFormat="1">
      <c r="A15" s="196"/>
      <c r="B15" s="15" t="s">
        <v>200</v>
      </c>
      <c r="C15" s="15"/>
      <c r="D15" s="111"/>
      <c r="E15" s="766">
        <v>0</v>
      </c>
      <c r="F15" s="37">
        <f t="shared" ref="F15:AA15" ca="1" si="0">E19</f>
        <v>0</v>
      </c>
      <c r="G15" s="37">
        <f t="shared" ca="1" si="0"/>
        <v>92793.570204919088</v>
      </c>
      <c r="H15" s="37">
        <f t="shared" ca="1" si="0"/>
        <v>86332.451247457138</v>
      </c>
      <c r="I15" s="37">
        <f t="shared" ca="1" si="0"/>
        <v>83181.410394043109</v>
      </c>
      <c r="J15" s="37">
        <f t="shared" ca="1" si="0"/>
        <v>80169.893631139086</v>
      </c>
      <c r="K15" s="37">
        <f t="shared" ca="1" si="0"/>
        <v>78518.221927815175</v>
      </c>
      <c r="L15" s="37">
        <f t="shared" ca="1" si="0"/>
        <v>80238.605101042311</v>
      </c>
      <c r="M15" s="37">
        <f t="shared" ca="1" si="0"/>
        <v>93049.997895672655</v>
      </c>
      <c r="N15" s="37">
        <f t="shared" ca="1" si="0"/>
        <v>99883.538324142253</v>
      </c>
      <c r="O15" s="37">
        <f t="shared" ca="1" si="0"/>
        <v>107399.47197185812</v>
      </c>
      <c r="P15" s="37">
        <f t="shared" ca="1" si="0"/>
        <v>113572.52767261714</v>
      </c>
      <c r="Q15" s="37">
        <f t="shared" ca="1" si="0"/>
        <v>113572.52767261713</v>
      </c>
      <c r="R15" s="37">
        <f t="shared" ca="1" si="0"/>
        <v>113572.52767261713</v>
      </c>
      <c r="S15" s="37">
        <f t="shared" ca="1" si="0"/>
        <v>113572.52767261713</v>
      </c>
      <c r="T15" s="37">
        <f t="shared" ca="1" si="0"/>
        <v>113572.52767261713</v>
      </c>
      <c r="U15" s="37">
        <f t="shared" ca="1" si="0"/>
        <v>113572.5276726171</v>
      </c>
      <c r="V15" s="37">
        <f t="shared" ca="1" si="0"/>
        <v>113572.52767261711</v>
      </c>
      <c r="W15" s="37">
        <f t="shared" ca="1" si="0"/>
        <v>113572.52767261711</v>
      </c>
      <c r="X15" s="37">
        <f t="shared" ca="1" si="0"/>
        <v>106077.29915875309</v>
      </c>
      <c r="Y15" s="37">
        <f t="shared" ca="1" si="0"/>
        <v>94363.731453057437</v>
      </c>
      <c r="Z15" s="37">
        <f t="shared" ca="1" si="0"/>
        <v>81254.426922039333</v>
      </c>
      <c r="AA15" s="37">
        <f t="shared" ca="1" si="0"/>
        <v>73274.611957021581</v>
      </c>
      <c r="AB15" s="435">
        <f>E15</f>
        <v>0</v>
      </c>
      <c r="AD15" s="15"/>
      <c r="AE15" s="15"/>
    </row>
    <row r="16" spans="1:31" customFormat="1">
      <c r="A16" s="196"/>
      <c r="B16" s="15" t="s">
        <v>195</v>
      </c>
      <c r="C16" s="15"/>
      <c r="D16" s="111"/>
      <c r="E16" s="37">
        <f ca="1">-'Project &amp; Investor Returns'!E13</f>
        <v>0</v>
      </c>
      <c r="F16" s="37">
        <f ca="1">-'Project &amp; Investor Returns'!F13</f>
        <v>92793.570204919088</v>
      </c>
      <c r="G16" s="37">
        <f ca="1">-'Project &amp; Investor Returns'!G13</f>
        <v>0</v>
      </c>
      <c r="H16" s="37">
        <f ca="1">-'Project &amp; Investor Returns'!H13</f>
        <v>0</v>
      </c>
      <c r="I16" s="37">
        <f ca="1">-'Project &amp; Investor Returns'!I13</f>
        <v>0</v>
      </c>
      <c r="J16" s="37">
        <f ca="1">-'Project &amp; Investor Returns'!J13</f>
        <v>0</v>
      </c>
      <c r="K16" s="37">
        <f ca="1">-'Project &amp; Investor Returns'!K13</f>
        <v>0</v>
      </c>
      <c r="L16" s="37">
        <f ca="1">-'Project &amp; Investor Returns'!L13</f>
        <v>0</v>
      </c>
      <c r="M16" s="37">
        <f ca="1">-'Project &amp; Investor Returns'!M13</f>
        <v>0</v>
      </c>
      <c r="N16" s="37">
        <f ca="1">-'Project &amp; Investor Returns'!N13</f>
        <v>0</v>
      </c>
      <c r="O16" s="37">
        <f ca="1">-'Project &amp; Investor Returns'!O13</f>
        <v>0</v>
      </c>
      <c r="P16" s="37">
        <f ca="1">-'Project &amp; Investor Returns'!P13</f>
        <v>0</v>
      </c>
      <c r="Q16" s="37">
        <f ca="1">-'Project &amp; Investor Returns'!Q13</f>
        <v>0</v>
      </c>
      <c r="R16" s="37">
        <f ca="1">-'Project &amp; Investor Returns'!R13</f>
        <v>0</v>
      </c>
      <c r="S16" s="37">
        <f ca="1">-'Project &amp; Investor Returns'!S13</f>
        <v>0</v>
      </c>
      <c r="T16" s="37">
        <f ca="1">-'Project &amp; Investor Returns'!T13</f>
        <v>0</v>
      </c>
      <c r="U16" s="37">
        <f ca="1">-'Project &amp; Investor Returns'!U13</f>
        <v>0</v>
      </c>
      <c r="V16" s="37">
        <f ca="1">-'Project &amp; Investor Returns'!V13</f>
        <v>0</v>
      </c>
      <c r="W16" s="37">
        <f ca="1">-'Project &amp; Investor Returns'!W13</f>
        <v>0</v>
      </c>
      <c r="X16" s="37">
        <f ca="1">-'Project &amp; Investor Returns'!X13</f>
        <v>0</v>
      </c>
      <c r="Y16" s="37">
        <f ca="1">-'Project &amp; Investor Returns'!Y13</f>
        <v>0</v>
      </c>
      <c r="Z16" s="37">
        <f ca="1">-'Project &amp; Investor Returns'!Z13</f>
        <v>0</v>
      </c>
      <c r="AA16" s="37">
        <f ca="1">-'Project &amp; Investor Returns'!AA13</f>
        <v>0</v>
      </c>
      <c r="AB16" s="435">
        <f ca="1">SUM(E16:AA16)</f>
        <v>92793.570204919088</v>
      </c>
      <c r="AD16" s="15"/>
      <c r="AE16" s="15"/>
    </row>
    <row r="17" spans="1:31" customFormat="1">
      <c r="A17" s="196"/>
      <c r="B17" s="15" t="s">
        <v>500</v>
      </c>
      <c r="C17" s="15"/>
      <c r="D17" s="111"/>
      <c r="E17" s="37">
        <f ca="1">BS_IS!G62*'Project &amp; Investor Returns'!E$10</f>
        <v>0</v>
      </c>
      <c r="F17" s="37">
        <f ca="1">BS_IS!H62*'Project &amp; Investor Returns'!F$10</f>
        <v>0</v>
      </c>
      <c r="G17" s="37">
        <f ca="1">BS_IS!I62*'Project &amp; Investor Returns'!G$10</f>
        <v>-6461.118957461953</v>
      </c>
      <c r="H17" s="37">
        <f ca="1">BS_IS!J62*'Project &amp; Investor Returns'!H$10</f>
        <v>-3151.0408534140261</v>
      </c>
      <c r="I17" s="37">
        <f ca="1">BS_IS!K62*'Project &amp; Investor Returns'!I$10</f>
        <v>-3011.5167629040225</v>
      </c>
      <c r="J17" s="37">
        <f ca="1">BS_IS!L62*'Project &amp; Investor Returns'!J$10</f>
        <v>-1651.6717033239183</v>
      </c>
      <c r="K17" s="37">
        <f ca="1">BS_IS!M62*'Project &amp; Investor Returns'!K$10</f>
        <v>1720.3831732271394</v>
      </c>
      <c r="L17" s="37">
        <f ca="1">BS_IS!N62*'Project &amp; Investor Returns'!L$10</f>
        <v>12811.392794630352</v>
      </c>
      <c r="M17" s="37">
        <f ca="1">BS_IS!O62*'Project &amp; Investor Returns'!M$10</f>
        <v>6833.5404284696051</v>
      </c>
      <c r="N17" s="37">
        <f ca="1">BS_IS!P62*'Project &amp; Investor Returns'!N$10</f>
        <v>7515.9336477158668</v>
      </c>
      <c r="O17" s="37">
        <f ca="1">BS_IS!Q62*'Project &amp; Investor Returns'!O$10</f>
        <v>8470.1145731206234</v>
      </c>
      <c r="P17" s="37">
        <f ca="1">BS_IS!R62*'Project &amp; Investor Returns'!P$10</f>
        <v>5944.7963565306227</v>
      </c>
      <c r="Q17" s="37">
        <f ca="1">BS_IS!S62*'Project &amp; Investor Returns'!Q$10</f>
        <v>6215.4120682037064</v>
      </c>
      <c r="R17" s="37">
        <f ca="1">BS_IS!T62*'Project &amp; Investor Returns'!R$10</f>
        <v>7153.9144703393631</v>
      </c>
      <c r="S17" s="37">
        <f ca="1">BS_IS!U62*'Project &amp; Investor Returns'!S$10</f>
        <v>7772.6229549989566</v>
      </c>
      <c r="T17" s="37">
        <f ca="1">BS_IS!V62*'Project &amp; Investor Returns'!T$10</f>
        <v>5510.8880678318737</v>
      </c>
      <c r="U17" s="37">
        <f ca="1">BS_IS!W62*'Project &amp; Investor Returns'!U$10</f>
        <v>7093.2624647622661</v>
      </c>
      <c r="V17" s="37">
        <f ca="1">BS_IS!X62*'Project &amp; Investor Returns'!V$10</f>
        <v>2410.5049231865428</v>
      </c>
      <c r="W17" s="37">
        <f ca="1">BS_IS!Y62*'Project &amp; Investor Returns'!W$10</f>
        <v>-7495.2285138640345</v>
      </c>
      <c r="X17" s="37">
        <f ca="1">BS_IS!Z62*'Project &amp; Investor Returns'!X$10</f>
        <v>-11713.567705695645</v>
      </c>
      <c r="Y17" s="37">
        <f ca="1">BS_IS!AA62*'Project &amp; Investor Returns'!Y$10</f>
        <v>-13109.304531018108</v>
      </c>
      <c r="Z17" s="37">
        <f ca="1">BS_IS!AB62*'Project &amp; Investor Returns'!Z$10</f>
        <v>-7979.8149650177438</v>
      </c>
      <c r="AA17" s="37">
        <f ca="1">BS_IS!AC62*'Project &amp; Investor Returns'!AA$10</f>
        <v>-2473.5587505032604</v>
      </c>
      <c r="AB17" s="435">
        <f ca="1">SUM(E17:AA17)</f>
        <v>22405.94317981421</v>
      </c>
      <c r="AD17" s="15"/>
      <c r="AE17" s="15"/>
    </row>
    <row r="18" spans="1:31" customFormat="1">
      <c r="A18" s="196"/>
      <c r="B18" s="15" t="s">
        <v>1018</v>
      </c>
      <c r="C18" s="15"/>
      <c r="D18" s="111"/>
      <c r="E18" s="142">
        <f ca="1">BS_IS!G99*'Project &amp; Investor Returns'!E$10</f>
        <v>0</v>
      </c>
      <c r="F18" s="142">
        <f ca="1">BS_IS!H99*'Project &amp; Investor Returns'!F$10</f>
        <v>0</v>
      </c>
      <c r="G18" s="142">
        <f ca="1">BS_IS!I99*'Project &amp; Investor Returns'!G$10</f>
        <v>0</v>
      </c>
      <c r="H18" s="142">
        <f ca="1">BS_IS!J99*'Project &amp; Investor Returns'!H$10</f>
        <v>0</v>
      </c>
      <c r="I18" s="142">
        <f ca="1">BS_IS!K99*'Project &amp; Investor Returns'!I$10</f>
        <v>0</v>
      </c>
      <c r="J18" s="142">
        <f ca="1">BS_IS!L99*'Project &amp; Investor Returns'!J$10</f>
        <v>4.5474735088646412E-13</v>
      </c>
      <c r="K18" s="142">
        <f ca="1">BS_IS!M99*'Project &amp; Investor Returns'!K$10</f>
        <v>-1.8189894035458565E-12</v>
      </c>
      <c r="L18" s="142">
        <f ca="1">BS_IS!N99*'Project &amp; Investor Returns'!L$10</f>
        <v>0</v>
      </c>
      <c r="M18" s="142">
        <f ca="1">BS_IS!O99*'Project &amp; Investor Returns'!M$10</f>
        <v>1.8189894035458565E-12</v>
      </c>
      <c r="N18" s="142">
        <f ca="1">BS_IS!P99*'Project &amp; Investor Returns'!N$10</f>
        <v>1.8189894035458565E-12</v>
      </c>
      <c r="O18" s="142">
        <f ca="1">BS_IS!Q99*'Project &amp; Investor Returns'!O$10</f>
        <v>-2297.0588723615965</v>
      </c>
      <c r="P18" s="142">
        <f ca="1">BS_IS!R99*'Project &amp; Investor Returns'!P$10</f>
        <v>-5944.7963565306381</v>
      </c>
      <c r="Q18" s="142">
        <f ca="1">BS_IS!S99*'Project &amp; Investor Returns'!Q$10</f>
        <v>-6215.4120682037083</v>
      </c>
      <c r="R18" s="142">
        <f ca="1">BS_IS!T99*'Project &amp; Investor Returns'!R$10</f>
        <v>-7153.9144703393649</v>
      </c>
      <c r="S18" s="142">
        <f ca="1">BS_IS!U99*'Project &amp; Investor Returns'!S$10</f>
        <v>-7772.6229549989557</v>
      </c>
      <c r="T18" s="142">
        <f ca="1">BS_IS!V99*'Project &amp; Investor Returns'!T$10</f>
        <v>-5510.8880678318901</v>
      </c>
      <c r="U18" s="142">
        <f ca="1">BS_IS!W99*'Project &amp; Investor Returns'!U$10</f>
        <v>-7093.2624647622633</v>
      </c>
      <c r="V18" s="142">
        <f ca="1">BS_IS!X99*'Project &amp; Investor Returns'!V$10</f>
        <v>-2410.5049231865432</v>
      </c>
      <c r="W18" s="142">
        <f ca="1">BS_IS!Y99*'Project &amp; Investor Returns'!W$10</f>
        <v>0</v>
      </c>
      <c r="X18" s="142">
        <f ca="1">BS_IS!Z99*'Project &amp; Investor Returns'!X$10</f>
        <v>0</v>
      </c>
      <c r="Y18" s="142">
        <f ca="1">BS_IS!AA99*'Project &amp; Investor Returns'!Y$10</f>
        <v>0</v>
      </c>
      <c r="Z18" s="142">
        <f ca="1">BS_IS!AB99*'Project &amp; Investor Returns'!Z$10</f>
        <v>-1.8189894035458565E-12</v>
      </c>
      <c r="AA18" s="142">
        <f ca="1">BS_IS!AC99*'Project &amp; Investor Returns'!AA$10</f>
        <v>-44618.28527209106</v>
      </c>
      <c r="AB18" s="436">
        <f ca="1">SUM(E18:AA18)</f>
        <v>-89016.745450306014</v>
      </c>
      <c r="AD18" s="15"/>
      <c r="AE18" s="15"/>
    </row>
    <row r="19" spans="1:31" s="1" customFormat="1">
      <c r="A19" s="196"/>
      <c r="B19" s="15" t="s">
        <v>201</v>
      </c>
      <c r="C19" s="15"/>
      <c r="D19" s="111"/>
      <c r="E19" s="37">
        <f ca="1">SUM(E15:E18)</f>
        <v>0</v>
      </c>
      <c r="F19" s="37">
        <f t="shared" ref="F19:AA19" ca="1" si="1">SUM(F15:F18)</f>
        <v>92793.570204919088</v>
      </c>
      <c r="G19" s="37">
        <f t="shared" ca="1" si="1"/>
        <v>86332.451247457138</v>
      </c>
      <c r="H19" s="37">
        <f t="shared" ca="1" si="1"/>
        <v>83181.410394043109</v>
      </c>
      <c r="I19" s="37">
        <f t="shared" ca="1" si="1"/>
        <v>80169.893631139086</v>
      </c>
      <c r="J19" s="37">
        <f t="shared" ca="1" si="1"/>
        <v>78518.221927815175</v>
      </c>
      <c r="K19" s="37">
        <f t="shared" ca="1" si="1"/>
        <v>80238.605101042311</v>
      </c>
      <c r="L19" s="37">
        <f t="shared" ca="1" si="1"/>
        <v>93049.997895672655</v>
      </c>
      <c r="M19" s="37">
        <f t="shared" ca="1" si="1"/>
        <v>99883.538324142253</v>
      </c>
      <c r="N19" s="37">
        <f t="shared" ca="1" si="1"/>
        <v>107399.47197185812</v>
      </c>
      <c r="O19" s="37">
        <f t="shared" ca="1" si="1"/>
        <v>113572.52767261714</v>
      </c>
      <c r="P19" s="37">
        <f t="shared" ca="1" si="1"/>
        <v>113572.52767261713</v>
      </c>
      <c r="Q19" s="37">
        <f t="shared" ca="1" si="1"/>
        <v>113572.52767261713</v>
      </c>
      <c r="R19" s="37">
        <f t="shared" ca="1" si="1"/>
        <v>113572.52767261713</v>
      </c>
      <c r="S19" s="37">
        <f t="shared" ca="1" si="1"/>
        <v>113572.52767261713</v>
      </c>
      <c r="T19" s="37">
        <f t="shared" ca="1" si="1"/>
        <v>113572.5276726171</v>
      </c>
      <c r="U19" s="37">
        <f t="shared" ca="1" si="1"/>
        <v>113572.52767261711</v>
      </c>
      <c r="V19" s="37">
        <f t="shared" ca="1" si="1"/>
        <v>113572.52767261711</v>
      </c>
      <c r="W19" s="37">
        <f t="shared" ca="1" si="1"/>
        <v>106077.29915875309</v>
      </c>
      <c r="X19" s="37">
        <f t="shared" ca="1" si="1"/>
        <v>94363.731453057437</v>
      </c>
      <c r="Y19" s="37">
        <f t="shared" ca="1" si="1"/>
        <v>81254.426922039333</v>
      </c>
      <c r="Z19" s="37">
        <f t="shared" ca="1" si="1"/>
        <v>73274.611957021581</v>
      </c>
      <c r="AA19" s="37">
        <f t="shared" ca="1" si="1"/>
        <v>26182.767934427262</v>
      </c>
      <c r="AB19" s="435">
        <f ca="1">SUM(AB15:AB18)</f>
        <v>26182.767934427276</v>
      </c>
      <c r="AD19" s="15"/>
      <c r="AE19" s="15"/>
    </row>
    <row r="20" spans="1:31" s="1" customFormat="1">
      <c r="A20" s="398"/>
      <c r="B20" s="15"/>
      <c r="AB20" s="426"/>
      <c r="AD20" s="15"/>
      <c r="AE20" s="15"/>
    </row>
    <row r="21" spans="1:31">
      <c r="A21" s="485" t="s">
        <v>193</v>
      </c>
      <c r="B21" s="15"/>
      <c r="C21" s="15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430"/>
    </row>
    <row r="22" spans="1:31">
      <c r="A22" s="196"/>
      <c r="B22" s="15" t="s">
        <v>196</v>
      </c>
      <c r="C22" s="15"/>
      <c r="D22" s="111"/>
      <c r="E22" s="37">
        <f>E15</f>
        <v>0</v>
      </c>
      <c r="F22" s="37">
        <f t="shared" ref="F22:AA22" ca="1" si="2">F15</f>
        <v>0</v>
      </c>
      <c r="G22" s="37">
        <f t="shared" ca="1" si="2"/>
        <v>92793.570204919088</v>
      </c>
      <c r="H22" s="37">
        <f t="shared" ca="1" si="2"/>
        <v>86332.451247457138</v>
      </c>
      <c r="I22" s="37">
        <f t="shared" ca="1" si="2"/>
        <v>83181.410394043109</v>
      </c>
      <c r="J22" s="37">
        <f t="shared" ca="1" si="2"/>
        <v>80169.893631139086</v>
      </c>
      <c r="K22" s="37">
        <f t="shared" ca="1" si="2"/>
        <v>78518.221927815175</v>
      </c>
      <c r="L22" s="37">
        <f t="shared" ca="1" si="2"/>
        <v>80238.605101042311</v>
      </c>
      <c r="M22" s="37">
        <f t="shared" ca="1" si="2"/>
        <v>93049.997895672655</v>
      </c>
      <c r="N22" s="37">
        <f t="shared" ca="1" si="2"/>
        <v>99883.538324142253</v>
      </c>
      <c r="O22" s="37">
        <f t="shared" ca="1" si="2"/>
        <v>107399.47197185812</v>
      </c>
      <c r="P22" s="37">
        <f t="shared" ca="1" si="2"/>
        <v>113572.52767261714</v>
      </c>
      <c r="Q22" s="37">
        <f t="shared" ca="1" si="2"/>
        <v>113572.52767261713</v>
      </c>
      <c r="R22" s="37">
        <f t="shared" ca="1" si="2"/>
        <v>113572.52767261713</v>
      </c>
      <c r="S22" s="37">
        <f t="shared" ca="1" si="2"/>
        <v>113572.52767261713</v>
      </c>
      <c r="T22" s="37">
        <f t="shared" ca="1" si="2"/>
        <v>113572.52767261713</v>
      </c>
      <c r="U22" s="37">
        <f t="shared" ca="1" si="2"/>
        <v>113572.5276726171</v>
      </c>
      <c r="V22" s="37">
        <f t="shared" ca="1" si="2"/>
        <v>113572.52767261711</v>
      </c>
      <c r="W22" s="37">
        <f t="shared" ca="1" si="2"/>
        <v>113572.52767261711</v>
      </c>
      <c r="X22" s="37">
        <f t="shared" ca="1" si="2"/>
        <v>106077.29915875309</v>
      </c>
      <c r="Y22" s="37">
        <f t="shared" ca="1" si="2"/>
        <v>94363.731453057437</v>
      </c>
      <c r="Z22" s="37">
        <f t="shared" ca="1" si="2"/>
        <v>81254.426922039333</v>
      </c>
      <c r="AA22" s="37">
        <f t="shared" ca="1" si="2"/>
        <v>73274.611957021581</v>
      </c>
      <c r="AB22" s="430"/>
    </row>
    <row r="23" spans="1:31">
      <c r="A23" s="196"/>
      <c r="B23" s="15" t="s">
        <v>1915</v>
      </c>
      <c r="C23" s="15"/>
      <c r="D23" s="111"/>
      <c r="E23" s="71">
        <f>'Enron Returns'!E$10</f>
        <v>0.65625</v>
      </c>
      <c r="F23" s="71">
        <f>'Enron Returns'!F$10</f>
        <v>0.65625</v>
      </c>
      <c r="G23" s="71">
        <f>'Enron Returns'!G$10</f>
        <v>0.65625</v>
      </c>
      <c r="H23" s="71">
        <f>'Enron Returns'!H$10</f>
        <v>0.52625</v>
      </c>
      <c r="I23" s="71">
        <f>'Enron Returns'!I$10</f>
        <v>0.52625</v>
      </c>
      <c r="J23" s="71">
        <f>'Enron Returns'!J$10</f>
        <v>0.52625</v>
      </c>
      <c r="K23" s="71">
        <f>'Enron Returns'!K$10</f>
        <v>0.52625</v>
      </c>
      <c r="L23" s="71">
        <f>'Enron Returns'!L$10</f>
        <v>0.52625</v>
      </c>
      <c r="M23" s="71">
        <f>'Enron Returns'!M$10</f>
        <v>0.52625</v>
      </c>
      <c r="N23" s="71">
        <f>'Enron Returns'!N$10</f>
        <v>0.52625</v>
      </c>
      <c r="O23" s="71">
        <f>'Enron Returns'!O$10</f>
        <v>0.52625</v>
      </c>
      <c r="P23" s="71">
        <f>'Enron Returns'!P$10</f>
        <v>0.52625</v>
      </c>
      <c r="Q23" s="71">
        <f>'Enron Returns'!Q$10</f>
        <v>0.52625</v>
      </c>
      <c r="R23" s="71">
        <f>'Enron Returns'!R$10</f>
        <v>0.52625</v>
      </c>
      <c r="S23" s="71">
        <f>'Enron Returns'!S$10</f>
        <v>0.52625</v>
      </c>
      <c r="T23" s="71">
        <f>'Enron Returns'!T$10</f>
        <v>0.52625</v>
      </c>
      <c r="U23" s="71">
        <f>'Enron Returns'!U$10</f>
        <v>0.52625</v>
      </c>
      <c r="V23" s="71">
        <f>'Enron Returns'!V$10</f>
        <v>0.52625</v>
      </c>
      <c r="W23" s="71">
        <f>'Enron Returns'!W$10</f>
        <v>0.52625</v>
      </c>
      <c r="X23" s="71">
        <f>'Enron Returns'!X$10</f>
        <v>0.52625</v>
      </c>
      <c r="Y23" s="71">
        <f>'Enron Returns'!Y$10</f>
        <v>0.52625</v>
      </c>
      <c r="Z23" s="71">
        <f>'Enron Returns'!Z$10</f>
        <v>0.52625</v>
      </c>
      <c r="AA23" s="71">
        <f>'Enron Returns'!AA$10</f>
        <v>0.52625</v>
      </c>
      <c r="AB23" s="430"/>
    </row>
    <row r="24" spans="1:31">
      <c r="A24" s="196"/>
      <c r="B24" s="15" t="s">
        <v>199</v>
      </c>
      <c r="C24" s="15"/>
      <c r="D24" s="43" t="s">
        <v>1916</v>
      </c>
      <c r="E24" s="37">
        <f t="shared" ref="E24:AA24" si="3">E22*E23</f>
        <v>0</v>
      </c>
      <c r="F24" s="37">
        <f t="shared" ca="1" si="3"/>
        <v>0</v>
      </c>
      <c r="G24" s="37">
        <f t="shared" ca="1" si="3"/>
        <v>60895.780446978155</v>
      </c>
      <c r="H24" s="37">
        <f t="shared" ca="1" si="3"/>
        <v>45432.452468974319</v>
      </c>
      <c r="I24" s="37">
        <f t="shared" ca="1" si="3"/>
        <v>43774.217219865182</v>
      </c>
      <c r="J24" s="37">
        <f t="shared" ca="1" si="3"/>
        <v>42189.406523386941</v>
      </c>
      <c r="K24" s="37">
        <f t="shared" ca="1" si="3"/>
        <v>41320.214289512733</v>
      </c>
      <c r="L24" s="37">
        <f t="shared" ca="1" si="3"/>
        <v>42225.565934423517</v>
      </c>
      <c r="M24" s="37">
        <f t="shared" ca="1" si="3"/>
        <v>48967.561392597738</v>
      </c>
      <c r="N24" s="37">
        <f t="shared" ca="1" si="3"/>
        <v>52563.71204307986</v>
      </c>
      <c r="O24" s="37">
        <f t="shared" ca="1" si="3"/>
        <v>56518.972125190332</v>
      </c>
      <c r="P24" s="37">
        <f t="shared" ca="1" si="3"/>
        <v>59767.542687714769</v>
      </c>
      <c r="Q24" s="37">
        <f t="shared" ca="1" si="3"/>
        <v>59767.542687714762</v>
      </c>
      <c r="R24" s="37">
        <f t="shared" ca="1" si="3"/>
        <v>59767.542687714762</v>
      </c>
      <c r="S24" s="37">
        <f t="shared" ca="1" si="3"/>
        <v>59767.542687714762</v>
      </c>
      <c r="T24" s="37">
        <f t="shared" ca="1" si="3"/>
        <v>59767.542687714762</v>
      </c>
      <c r="U24" s="37">
        <f t="shared" ca="1" si="3"/>
        <v>59767.542687714747</v>
      </c>
      <c r="V24" s="37">
        <f t="shared" ca="1" si="3"/>
        <v>59767.542687714755</v>
      </c>
      <c r="W24" s="37">
        <f t="shared" ca="1" si="3"/>
        <v>59767.542687714755</v>
      </c>
      <c r="X24" s="37">
        <f t="shared" ca="1" si="3"/>
        <v>55823.178682293808</v>
      </c>
      <c r="Y24" s="37">
        <f t="shared" ca="1" si="3"/>
        <v>49658.913677171477</v>
      </c>
      <c r="Z24" s="37">
        <f t="shared" ca="1" si="3"/>
        <v>42760.142167723199</v>
      </c>
      <c r="AA24" s="37">
        <f t="shared" ca="1" si="3"/>
        <v>38560.764542382603</v>
      </c>
      <c r="AB24" s="430"/>
    </row>
    <row r="25" spans="1:31">
      <c r="A25" s="196"/>
      <c r="B25" s="15"/>
      <c r="C25" s="15"/>
      <c r="D25" s="111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430"/>
    </row>
    <row r="26" spans="1:31">
      <c r="A26" s="196"/>
      <c r="B26" s="15" t="s">
        <v>197</v>
      </c>
      <c r="C26" s="15"/>
      <c r="D26" s="111"/>
      <c r="E26" s="37">
        <f ca="1">E19</f>
        <v>0</v>
      </c>
      <c r="F26" s="37">
        <f t="shared" ref="F26:AA26" ca="1" si="4">F19</f>
        <v>92793.570204919088</v>
      </c>
      <c r="G26" s="37">
        <f t="shared" ca="1" si="4"/>
        <v>86332.451247457138</v>
      </c>
      <c r="H26" s="37">
        <f t="shared" ca="1" si="4"/>
        <v>83181.410394043109</v>
      </c>
      <c r="I26" s="37">
        <f t="shared" ca="1" si="4"/>
        <v>80169.893631139086</v>
      </c>
      <c r="J26" s="37">
        <f t="shared" ca="1" si="4"/>
        <v>78518.221927815175</v>
      </c>
      <c r="K26" s="37">
        <f t="shared" ca="1" si="4"/>
        <v>80238.605101042311</v>
      </c>
      <c r="L26" s="37">
        <f t="shared" ca="1" si="4"/>
        <v>93049.997895672655</v>
      </c>
      <c r="M26" s="37">
        <f t="shared" ca="1" si="4"/>
        <v>99883.538324142253</v>
      </c>
      <c r="N26" s="37">
        <f t="shared" ca="1" si="4"/>
        <v>107399.47197185812</v>
      </c>
      <c r="O26" s="37">
        <f t="shared" ca="1" si="4"/>
        <v>113572.52767261714</v>
      </c>
      <c r="P26" s="37">
        <f t="shared" ca="1" si="4"/>
        <v>113572.52767261713</v>
      </c>
      <c r="Q26" s="37">
        <f t="shared" ca="1" si="4"/>
        <v>113572.52767261713</v>
      </c>
      <c r="R26" s="37">
        <f t="shared" ca="1" si="4"/>
        <v>113572.52767261713</v>
      </c>
      <c r="S26" s="37">
        <f t="shared" ca="1" si="4"/>
        <v>113572.52767261713</v>
      </c>
      <c r="T26" s="37">
        <f t="shared" ca="1" si="4"/>
        <v>113572.5276726171</v>
      </c>
      <c r="U26" s="37">
        <f t="shared" ca="1" si="4"/>
        <v>113572.52767261711</v>
      </c>
      <c r="V26" s="37">
        <f t="shared" ca="1" si="4"/>
        <v>113572.52767261711</v>
      </c>
      <c r="W26" s="37">
        <f t="shared" ca="1" si="4"/>
        <v>106077.29915875309</v>
      </c>
      <c r="X26" s="37">
        <f t="shared" ca="1" si="4"/>
        <v>94363.731453057437</v>
      </c>
      <c r="Y26" s="37">
        <f t="shared" ca="1" si="4"/>
        <v>81254.426922039333</v>
      </c>
      <c r="Z26" s="37">
        <f t="shared" ca="1" si="4"/>
        <v>73274.611957021581</v>
      </c>
      <c r="AA26" s="37">
        <f t="shared" ca="1" si="4"/>
        <v>26182.767934427262</v>
      </c>
      <c r="AB26" s="430"/>
    </row>
    <row r="27" spans="1:31">
      <c r="A27" s="196"/>
      <c r="B27" s="15" t="s">
        <v>1915</v>
      </c>
      <c r="C27" s="15"/>
      <c r="D27" s="111"/>
      <c r="E27" s="71">
        <f>E23</f>
        <v>0.65625</v>
      </c>
      <c r="F27" s="71">
        <f t="shared" ref="F27:AA27" si="5">F23</f>
        <v>0.65625</v>
      </c>
      <c r="G27" s="71">
        <f t="shared" si="5"/>
        <v>0.65625</v>
      </c>
      <c r="H27" s="71">
        <f t="shared" si="5"/>
        <v>0.52625</v>
      </c>
      <c r="I27" s="71">
        <f t="shared" si="5"/>
        <v>0.52625</v>
      </c>
      <c r="J27" s="71">
        <f t="shared" si="5"/>
        <v>0.52625</v>
      </c>
      <c r="K27" s="71">
        <f t="shared" si="5"/>
        <v>0.52625</v>
      </c>
      <c r="L27" s="71">
        <f t="shared" si="5"/>
        <v>0.52625</v>
      </c>
      <c r="M27" s="71">
        <f t="shared" si="5"/>
        <v>0.52625</v>
      </c>
      <c r="N27" s="71">
        <f t="shared" si="5"/>
        <v>0.52625</v>
      </c>
      <c r="O27" s="71">
        <f t="shared" si="5"/>
        <v>0.52625</v>
      </c>
      <c r="P27" s="71">
        <f t="shared" si="5"/>
        <v>0.52625</v>
      </c>
      <c r="Q27" s="71">
        <f t="shared" si="5"/>
        <v>0.52625</v>
      </c>
      <c r="R27" s="71">
        <f t="shared" si="5"/>
        <v>0.52625</v>
      </c>
      <c r="S27" s="71">
        <f t="shared" si="5"/>
        <v>0.52625</v>
      </c>
      <c r="T27" s="71">
        <f t="shared" si="5"/>
        <v>0.52625</v>
      </c>
      <c r="U27" s="71">
        <f t="shared" si="5"/>
        <v>0.52625</v>
      </c>
      <c r="V27" s="71">
        <f t="shared" si="5"/>
        <v>0.52625</v>
      </c>
      <c r="W27" s="71">
        <f t="shared" si="5"/>
        <v>0.52625</v>
      </c>
      <c r="X27" s="71">
        <f t="shared" si="5"/>
        <v>0.52625</v>
      </c>
      <c r="Y27" s="71">
        <f t="shared" si="5"/>
        <v>0.52625</v>
      </c>
      <c r="Z27" s="71">
        <f t="shared" si="5"/>
        <v>0.52625</v>
      </c>
      <c r="AA27" s="71">
        <f t="shared" si="5"/>
        <v>0.52625</v>
      </c>
      <c r="AB27" s="430"/>
    </row>
    <row r="28" spans="1:31">
      <c r="A28" s="196"/>
      <c r="B28" s="15" t="s">
        <v>198</v>
      </c>
      <c r="C28" s="15"/>
      <c r="D28" s="43" t="s">
        <v>1917</v>
      </c>
      <c r="E28" s="37">
        <f t="shared" ref="E28:AA28" ca="1" si="6">E26*E27</f>
        <v>0</v>
      </c>
      <c r="F28" s="37">
        <f t="shared" ca="1" si="6"/>
        <v>60895.780446978155</v>
      </c>
      <c r="G28" s="37">
        <f t="shared" ca="1" si="6"/>
        <v>56655.671131143747</v>
      </c>
      <c r="H28" s="37">
        <f t="shared" ca="1" si="6"/>
        <v>43774.217219865182</v>
      </c>
      <c r="I28" s="37">
        <f t="shared" ca="1" si="6"/>
        <v>42189.406523386941</v>
      </c>
      <c r="J28" s="37">
        <f t="shared" ca="1" si="6"/>
        <v>41320.214289512733</v>
      </c>
      <c r="K28" s="37">
        <f t="shared" ca="1" si="6"/>
        <v>42225.565934423517</v>
      </c>
      <c r="L28" s="37">
        <f t="shared" ca="1" si="6"/>
        <v>48967.561392597738</v>
      </c>
      <c r="M28" s="37">
        <f t="shared" ca="1" si="6"/>
        <v>52563.71204307986</v>
      </c>
      <c r="N28" s="37">
        <f t="shared" ca="1" si="6"/>
        <v>56518.972125190332</v>
      </c>
      <c r="O28" s="37">
        <f t="shared" ca="1" si="6"/>
        <v>59767.542687714769</v>
      </c>
      <c r="P28" s="37">
        <f t="shared" ca="1" si="6"/>
        <v>59767.542687714762</v>
      </c>
      <c r="Q28" s="37">
        <f t="shared" ca="1" si="6"/>
        <v>59767.542687714762</v>
      </c>
      <c r="R28" s="37">
        <f t="shared" ca="1" si="6"/>
        <v>59767.542687714762</v>
      </c>
      <c r="S28" s="37">
        <f t="shared" ca="1" si="6"/>
        <v>59767.542687714762</v>
      </c>
      <c r="T28" s="37">
        <f t="shared" ca="1" si="6"/>
        <v>59767.542687714747</v>
      </c>
      <c r="U28" s="37">
        <f t="shared" ca="1" si="6"/>
        <v>59767.542687714755</v>
      </c>
      <c r="V28" s="37">
        <f t="shared" ca="1" si="6"/>
        <v>59767.542687714755</v>
      </c>
      <c r="W28" s="37">
        <f t="shared" ca="1" si="6"/>
        <v>55823.178682293808</v>
      </c>
      <c r="X28" s="37">
        <f t="shared" ca="1" si="6"/>
        <v>49658.913677171477</v>
      </c>
      <c r="Y28" s="37">
        <f t="shared" ca="1" si="6"/>
        <v>42760.142167723199</v>
      </c>
      <c r="Z28" s="37">
        <f t="shared" ca="1" si="6"/>
        <v>38560.764542382603</v>
      </c>
      <c r="AA28" s="37">
        <f t="shared" ca="1" si="6"/>
        <v>13778.681625492347</v>
      </c>
      <c r="AB28" s="430"/>
    </row>
    <row r="29" spans="1:31">
      <c r="A29" s="196"/>
      <c r="B29" s="15"/>
      <c r="C29" s="15"/>
      <c r="D29" s="111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430"/>
    </row>
    <row r="30" spans="1:31">
      <c r="A30" s="196"/>
      <c r="B30" s="15" t="s">
        <v>1918</v>
      </c>
      <c r="C30" s="15"/>
      <c r="D30" s="43" t="s">
        <v>1919</v>
      </c>
      <c r="E30" s="37">
        <f ca="1">IF(MAX(E24,E28)&lt;0,0,MAX(E24,E28))</f>
        <v>0</v>
      </c>
      <c r="F30" s="37">
        <f t="shared" ref="F30:AA30" ca="1" si="7">IF(MAX(F24,F28)&lt;0,0,MAX(F24,F28))</f>
        <v>60895.780446978155</v>
      </c>
      <c r="G30" s="37">
        <f t="shared" ca="1" si="7"/>
        <v>60895.780446978155</v>
      </c>
      <c r="H30" s="37">
        <f t="shared" ca="1" si="7"/>
        <v>45432.452468974319</v>
      </c>
      <c r="I30" s="37">
        <f t="shared" ca="1" si="7"/>
        <v>43774.217219865182</v>
      </c>
      <c r="J30" s="37">
        <f t="shared" ca="1" si="7"/>
        <v>42189.406523386941</v>
      </c>
      <c r="K30" s="37">
        <f t="shared" ca="1" si="7"/>
        <v>42225.565934423517</v>
      </c>
      <c r="L30" s="37">
        <f t="shared" ca="1" si="7"/>
        <v>48967.561392597738</v>
      </c>
      <c r="M30" s="37">
        <f t="shared" ca="1" si="7"/>
        <v>52563.71204307986</v>
      </c>
      <c r="N30" s="37">
        <f t="shared" ca="1" si="7"/>
        <v>56518.972125190332</v>
      </c>
      <c r="O30" s="37">
        <f t="shared" ca="1" si="7"/>
        <v>59767.542687714769</v>
      </c>
      <c r="P30" s="37">
        <f t="shared" ca="1" si="7"/>
        <v>59767.542687714769</v>
      </c>
      <c r="Q30" s="37">
        <f t="shared" ca="1" si="7"/>
        <v>59767.542687714762</v>
      </c>
      <c r="R30" s="37">
        <f t="shared" ca="1" si="7"/>
        <v>59767.542687714762</v>
      </c>
      <c r="S30" s="37">
        <f t="shared" ca="1" si="7"/>
        <v>59767.542687714762</v>
      </c>
      <c r="T30" s="37">
        <f t="shared" ca="1" si="7"/>
        <v>59767.542687714762</v>
      </c>
      <c r="U30" s="37">
        <f t="shared" ca="1" si="7"/>
        <v>59767.542687714755</v>
      </c>
      <c r="V30" s="37">
        <f t="shared" ca="1" si="7"/>
        <v>59767.542687714755</v>
      </c>
      <c r="W30" s="37">
        <f t="shared" ca="1" si="7"/>
        <v>59767.542687714755</v>
      </c>
      <c r="X30" s="37">
        <f t="shared" ca="1" si="7"/>
        <v>55823.178682293808</v>
      </c>
      <c r="Y30" s="37">
        <f t="shared" ca="1" si="7"/>
        <v>49658.913677171477</v>
      </c>
      <c r="Z30" s="37">
        <f t="shared" ca="1" si="7"/>
        <v>42760.142167723199</v>
      </c>
      <c r="AA30" s="37">
        <f t="shared" ca="1" si="7"/>
        <v>38560.764542382603</v>
      </c>
      <c r="AB30" s="430"/>
    </row>
    <row r="31" spans="1:31">
      <c r="A31" s="196"/>
      <c r="B31" s="15" t="s">
        <v>1920</v>
      </c>
      <c r="C31" s="15"/>
      <c r="D31" s="43" t="s">
        <v>1921</v>
      </c>
      <c r="E31" s="37">
        <f ca="1">IF(MIN(E24,E28)&lt;0,0,MIN(E24,E28))</f>
        <v>0</v>
      </c>
      <c r="F31" s="37">
        <f t="shared" ref="F31:AA31" ca="1" si="8">IF(MIN(F24,F28)&lt;0,0,MIN(F24,F28))</f>
        <v>0</v>
      </c>
      <c r="G31" s="37">
        <f t="shared" ca="1" si="8"/>
        <v>56655.671131143747</v>
      </c>
      <c r="H31" s="37">
        <f t="shared" ca="1" si="8"/>
        <v>43774.217219865182</v>
      </c>
      <c r="I31" s="37">
        <f t="shared" ca="1" si="8"/>
        <v>42189.406523386941</v>
      </c>
      <c r="J31" s="37">
        <f t="shared" ca="1" si="8"/>
        <v>41320.214289512733</v>
      </c>
      <c r="K31" s="37">
        <f t="shared" ca="1" si="8"/>
        <v>41320.214289512733</v>
      </c>
      <c r="L31" s="37">
        <f t="shared" ca="1" si="8"/>
        <v>42225.565934423517</v>
      </c>
      <c r="M31" s="37">
        <f t="shared" ca="1" si="8"/>
        <v>48967.561392597738</v>
      </c>
      <c r="N31" s="37">
        <f t="shared" ca="1" si="8"/>
        <v>52563.71204307986</v>
      </c>
      <c r="O31" s="37">
        <f t="shared" ca="1" si="8"/>
        <v>56518.972125190332</v>
      </c>
      <c r="P31" s="37">
        <f t="shared" ca="1" si="8"/>
        <v>59767.542687714762</v>
      </c>
      <c r="Q31" s="37">
        <f t="shared" ca="1" si="8"/>
        <v>59767.542687714762</v>
      </c>
      <c r="R31" s="37">
        <f t="shared" ca="1" si="8"/>
        <v>59767.542687714762</v>
      </c>
      <c r="S31" s="37">
        <f t="shared" ca="1" si="8"/>
        <v>59767.542687714762</v>
      </c>
      <c r="T31" s="37">
        <f t="shared" ca="1" si="8"/>
        <v>59767.542687714747</v>
      </c>
      <c r="U31" s="37">
        <f t="shared" ca="1" si="8"/>
        <v>59767.542687714747</v>
      </c>
      <c r="V31" s="37">
        <f t="shared" ca="1" si="8"/>
        <v>59767.542687714755</v>
      </c>
      <c r="W31" s="37">
        <f t="shared" ca="1" si="8"/>
        <v>55823.178682293808</v>
      </c>
      <c r="X31" s="37">
        <f t="shared" ca="1" si="8"/>
        <v>49658.913677171477</v>
      </c>
      <c r="Y31" s="37">
        <f t="shared" ca="1" si="8"/>
        <v>42760.142167723199</v>
      </c>
      <c r="Z31" s="37">
        <f t="shared" ca="1" si="8"/>
        <v>38560.764542382603</v>
      </c>
      <c r="AA31" s="37">
        <f t="shared" ca="1" si="8"/>
        <v>13778.681625492347</v>
      </c>
      <c r="AB31" s="430"/>
    </row>
    <row r="32" spans="1:31">
      <c r="A32" s="20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430"/>
    </row>
    <row r="33" spans="1:31">
      <c r="A33" s="196"/>
      <c r="B33" s="15" t="s">
        <v>216</v>
      </c>
      <c r="C33" s="15"/>
      <c r="D33" s="111"/>
      <c r="E33" s="37">
        <f t="shared" ref="E33:AA33" ca="1" si="9">((E30*2)+E31)/3</f>
        <v>0</v>
      </c>
      <c r="F33" s="37">
        <f t="shared" ca="1" si="9"/>
        <v>40597.186964652101</v>
      </c>
      <c r="G33" s="37">
        <f t="shared" ca="1" si="9"/>
        <v>59482.410675033352</v>
      </c>
      <c r="H33" s="37">
        <f t="shared" ca="1" si="9"/>
        <v>44879.707385937938</v>
      </c>
      <c r="I33" s="37">
        <f t="shared" ca="1" si="9"/>
        <v>43245.946987705771</v>
      </c>
      <c r="J33" s="37">
        <f t="shared" ca="1" si="9"/>
        <v>41899.675778762205</v>
      </c>
      <c r="K33" s="37">
        <f t="shared" ca="1" si="9"/>
        <v>41923.782052786592</v>
      </c>
      <c r="L33" s="37">
        <f t="shared" ca="1" si="9"/>
        <v>46720.229573206336</v>
      </c>
      <c r="M33" s="37">
        <f t="shared" ca="1" si="9"/>
        <v>51364.995159585822</v>
      </c>
      <c r="N33" s="37">
        <f t="shared" ca="1" si="9"/>
        <v>55200.552097820175</v>
      </c>
      <c r="O33" s="37">
        <f t="shared" ca="1" si="9"/>
        <v>58684.685833539959</v>
      </c>
      <c r="P33" s="37">
        <f t="shared" ca="1" si="9"/>
        <v>59767.542687714769</v>
      </c>
      <c r="Q33" s="37">
        <f t="shared" ca="1" si="9"/>
        <v>59767.542687714762</v>
      </c>
      <c r="R33" s="37">
        <f t="shared" ca="1" si="9"/>
        <v>59767.542687714762</v>
      </c>
      <c r="S33" s="37">
        <f t="shared" ca="1" si="9"/>
        <v>59767.542687714762</v>
      </c>
      <c r="T33" s="37">
        <f t="shared" ca="1" si="9"/>
        <v>59767.542687714762</v>
      </c>
      <c r="U33" s="37">
        <f t="shared" ca="1" si="9"/>
        <v>59767.542687714747</v>
      </c>
      <c r="V33" s="37">
        <f t="shared" ca="1" si="9"/>
        <v>59767.542687714762</v>
      </c>
      <c r="W33" s="37">
        <f t="shared" ca="1" si="9"/>
        <v>58452.75468590777</v>
      </c>
      <c r="X33" s="37">
        <f t="shared" ca="1" si="9"/>
        <v>53768.423680586362</v>
      </c>
      <c r="Y33" s="37">
        <f t="shared" ca="1" si="9"/>
        <v>47359.323174022051</v>
      </c>
      <c r="Z33" s="37">
        <f t="shared" ca="1" si="9"/>
        <v>41360.349625943003</v>
      </c>
      <c r="AA33" s="37">
        <f t="shared" ca="1" si="9"/>
        <v>30300.070236752519</v>
      </c>
      <c r="AB33" s="430"/>
    </row>
    <row r="34" spans="1:31">
      <c r="A34" s="196"/>
      <c r="B34" s="15" t="s">
        <v>1923</v>
      </c>
      <c r="C34" s="381">
        <f>Opic</f>
        <v>0.01</v>
      </c>
      <c r="D34" s="111"/>
      <c r="E34" s="383">
        <f t="shared" ref="E34:AA34" si="10">$C34</f>
        <v>0.01</v>
      </c>
      <c r="F34" s="383">
        <f t="shared" si="10"/>
        <v>0.01</v>
      </c>
      <c r="G34" s="383">
        <f t="shared" si="10"/>
        <v>0.01</v>
      </c>
      <c r="H34" s="383">
        <f t="shared" si="10"/>
        <v>0.01</v>
      </c>
      <c r="I34" s="383">
        <f t="shared" si="10"/>
        <v>0.01</v>
      </c>
      <c r="J34" s="383">
        <f t="shared" si="10"/>
        <v>0.01</v>
      </c>
      <c r="K34" s="383">
        <f t="shared" si="10"/>
        <v>0.01</v>
      </c>
      <c r="L34" s="383">
        <f t="shared" si="10"/>
        <v>0.01</v>
      </c>
      <c r="M34" s="383">
        <f t="shared" si="10"/>
        <v>0.01</v>
      </c>
      <c r="N34" s="383">
        <f t="shared" si="10"/>
        <v>0.01</v>
      </c>
      <c r="O34" s="383">
        <f t="shared" si="10"/>
        <v>0.01</v>
      </c>
      <c r="P34" s="383">
        <f t="shared" si="10"/>
        <v>0.01</v>
      </c>
      <c r="Q34" s="383">
        <f t="shared" si="10"/>
        <v>0.01</v>
      </c>
      <c r="R34" s="383">
        <f t="shared" si="10"/>
        <v>0.01</v>
      </c>
      <c r="S34" s="383">
        <f t="shared" si="10"/>
        <v>0.01</v>
      </c>
      <c r="T34" s="383">
        <f t="shared" si="10"/>
        <v>0.01</v>
      </c>
      <c r="U34" s="383">
        <f t="shared" si="10"/>
        <v>0.01</v>
      </c>
      <c r="V34" s="383">
        <f t="shared" si="10"/>
        <v>0.01</v>
      </c>
      <c r="W34" s="383">
        <f t="shared" si="10"/>
        <v>0.01</v>
      </c>
      <c r="X34" s="383">
        <f t="shared" si="10"/>
        <v>0.01</v>
      </c>
      <c r="Y34" s="383">
        <f t="shared" si="10"/>
        <v>0.01</v>
      </c>
      <c r="Z34" s="383">
        <f t="shared" si="10"/>
        <v>0.01</v>
      </c>
      <c r="AA34" s="383">
        <f t="shared" si="10"/>
        <v>0.01</v>
      </c>
      <c r="AB34" s="430"/>
    </row>
    <row r="35" spans="1:31">
      <c r="A35" s="486"/>
      <c r="B35" s="31" t="s">
        <v>215</v>
      </c>
      <c r="C35" s="31"/>
      <c r="D35" s="382"/>
      <c r="E35" s="59">
        <f t="shared" ref="E35:AA35" ca="1" si="11">E33*E34</f>
        <v>0</v>
      </c>
      <c r="F35" s="59">
        <f t="shared" ca="1" si="11"/>
        <v>405.97186964652104</v>
      </c>
      <c r="G35" s="59">
        <f t="shared" ca="1" si="11"/>
        <v>594.8241067503335</v>
      </c>
      <c r="H35" s="59">
        <f t="shared" ca="1" si="11"/>
        <v>448.7970738593794</v>
      </c>
      <c r="I35" s="59">
        <f t="shared" ca="1" si="11"/>
        <v>432.4594698770577</v>
      </c>
      <c r="J35" s="59">
        <f t="shared" ca="1" si="11"/>
        <v>418.99675778762207</v>
      </c>
      <c r="K35" s="59">
        <f t="shared" ca="1" si="11"/>
        <v>419.23782052786595</v>
      </c>
      <c r="L35" s="59">
        <f t="shared" ca="1" si="11"/>
        <v>467.20229573206336</v>
      </c>
      <c r="M35" s="59">
        <f t="shared" ca="1" si="11"/>
        <v>513.64995159585828</v>
      </c>
      <c r="N35" s="59">
        <f t="shared" ca="1" si="11"/>
        <v>552.00552097820173</v>
      </c>
      <c r="O35" s="59">
        <f t="shared" ca="1" si="11"/>
        <v>586.84685833539959</v>
      </c>
      <c r="P35" s="59">
        <f t="shared" ca="1" si="11"/>
        <v>597.67542687714774</v>
      </c>
      <c r="Q35" s="59">
        <f t="shared" ca="1" si="11"/>
        <v>597.67542687714763</v>
      </c>
      <c r="R35" s="59">
        <f t="shared" ca="1" si="11"/>
        <v>597.67542687714763</v>
      </c>
      <c r="S35" s="59">
        <f t="shared" ca="1" si="11"/>
        <v>597.67542687714763</v>
      </c>
      <c r="T35" s="59">
        <f t="shared" ca="1" si="11"/>
        <v>597.67542687714763</v>
      </c>
      <c r="U35" s="59">
        <f t="shared" ca="1" si="11"/>
        <v>597.67542687714752</v>
      </c>
      <c r="V35" s="59">
        <f t="shared" ca="1" si="11"/>
        <v>597.67542687714763</v>
      </c>
      <c r="W35" s="59">
        <f t="shared" ca="1" si="11"/>
        <v>584.52754685907769</v>
      </c>
      <c r="X35" s="59">
        <f t="shared" ca="1" si="11"/>
        <v>537.68423680586363</v>
      </c>
      <c r="Y35" s="59">
        <f t="shared" ca="1" si="11"/>
        <v>473.59323174022052</v>
      </c>
      <c r="Z35" s="59">
        <f t="shared" ca="1" si="11"/>
        <v>413.60349625943002</v>
      </c>
      <c r="AA35" s="59">
        <f t="shared" ca="1" si="11"/>
        <v>303.00070236752521</v>
      </c>
      <c r="AB35" s="488">
        <f ca="1">SUM(E35:AA35)</f>
        <v>11336.128927262451</v>
      </c>
    </row>
    <row r="36" spans="1:31">
      <c r="A36" s="20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430"/>
    </row>
    <row r="37" spans="1:31" customFormat="1">
      <c r="A37" s="485" t="s">
        <v>194</v>
      </c>
      <c r="B37" s="15"/>
      <c r="C37" s="15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426"/>
      <c r="AD37" s="15"/>
      <c r="AE37" s="15"/>
    </row>
    <row r="38" spans="1:31" customFormat="1">
      <c r="A38" s="196"/>
      <c r="B38" s="15" t="s">
        <v>203</v>
      </c>
      <c r="C38" s="15"/>
      <c r="D38" s="111"/>
      <c r="E38" s="766">
        <v>0</v>
      </c>
      <c r="F38" s="37">
        <f t="shared" ref="F38:AA38" si="12">E40</f>
        <v>0</v>
      </c>
      <c r="G38" s="37">
        <f t="shared" si="12"/>
        <v>0</v>
      </c>
      <c r="H38" s="37">
        <f t="shared" si="12"/>
        <v>0</v>
      </c>
      <c r="I38" s="37">
        <f t="shared" si="12"/>
        <v>0</v>
      </c>
      <c r="J38" s="37">
        <f t="shared" si="12"/>
        <v>0</v>
      </c>
      <c r="K38" s="37">
        <f t="shared" si="12"/>
        <v>0</v>
      </c>
      <c r="L38" s="37">
        <f t="shared" si="12"/>
        <v>0</v>
      </c>
      <c r="M38" s="37">
        <f t="shared" si="12"/>
        <v>0</v>
      </c>
      <c r="N38" s="37">
        <f t="shared" si="12"/>
        <v>0</v>
      </c>
      <c r="O38" s="37">
        <f t="shared" si="12"/>
        <v>0</v>
      </c>
      <c r="P38" s="37">
        <f t="shared" si="12"/>
        <v>0</v>
      </c>
      <c r="Q38" s="37">
        <f t="shared" si="12"/>
        <v>0</v>
      </c>
      <c r="R38" s="37">
        <f t="shared" si="12"/>
        <v>0</v>
      </c>
      <c r="S38" s="37">
        <f t="shared" si="12"/>
        <v>0</v>
      </c>
      <c r="T38" s="37">
        <f t="shared" si="12"/>
        <v>0</v>
      </c>
      <c r="U38" s="37">
        <f t="shared" si="12"/>
        <v>0</v>
      </c>
      <c r="V38" s="37">
        <f t="shared" si="12"/>
        <v>0</v>
      </c>
      <c r="W38" s="37">
        <f t="shared" si="12"/>
        <v>0</v>
      </c>
      <c r="X38" s="37">
        <f t="shared" si="12"/>
        <v>0</v>
      </c>
      <c r="Y38" s="37">
        <f t="shared" si="12"/>
        <v>0</v>
      </c>
      <c r="Z38" s="37">
        <f t="shared" si="12"/>
        <v>0</v>
      </c>
      <c r="AA38" s="37">
        <f t="shared" si="12"/>
        <v>0</v>
      </c>
      <c r="AB38" s="435">
        <f>E38</f>
        <v>0</v>
      </c>
      <c r="AD38" s="15"/>
      <c r="AE38" s="15"/>
    </row>
    <row r="39" spans="1:31" customFormat="1">
      <c r="A39" s="196"/>
      <c r="B39" s="15" t="s">
        <v>202</v>
      </c>
      <c r="C39" s="15"/>
      <c r="D39" s="111"/>
      <c r="E39" s="142">
        <f>-'Enron Returns'!E71</f>
        <v>0</v>
      </c>
      <c r="F39" s="37">
        <f>-'Enron Returns'!F71</f>
        <v>0</v>
      </c>
      <c r="G39" s="37">
        <f>-'Enron Returns'!G71</f>
        <v>0</v>
      </c>
      <c r="H39" s="37">
        <f>-'Enron Returns'!H71</f>
        <v>0</v>
      </c>
      <c r="I39" s="37">
        <f>-'Enron Returns'!I71</f>
        <v>0</v>
      </c>
      <c r="J39" s="37">
        <f>-'Enron Returns'!J71</f>
        <v>0</v>
      </c>
      <c r="K39" s="37">
        <f>-'Enron Returns'!K71</f>
        <v>0</v>
      </c>
      <c r="L39" s="37">
        <f>-'Enron Returns'!L71</f>
        <v>0</v>
      </c>
      <c r="M39" s="37">
        <f>-'Enron Returns'!M71</f>
        <v>0</v>
      </c>
      <c r="N39" s="37">
        <f>-'Enron Returns'!N71</f>
        <v>0</v>
      </c>
      <c r="O39" s="37">
        <f>-'Enron Returns'!O71</f>
        <v>0</v>
      </c>
      <c r="P39" s="37">
        <f>-'Enron Returns'!P71</f>
        <v>0</v>
      </c>
      <c r="Q39" s="37">
        <f>-'Enron Returns'!Q71</f>
        <v>0</v>
      </c>
      <c r="R39" s="37">
        <f>-'Enron Returns'!R71</f>
        <v>0</v>
      </c>
      <c r="S39" s="37">
        <f>-'Enron Returns'!S71</f>
        <v>0</v>
      </c>
      <c r="T39" s="37">
        <f>-'Enron Returns'!T71</f>
        <v>0</v>
      </c>
      <c r="U39" s="37">
        <f>-'Enron Returns'!U71</f>
        <v>0</v>
      </c>
      <c r="V39" s="37">
        <f>-'Enron Returns'!V71</f>
        <v>0</v>
      </c>
      <c r="W39" s="37">
        <f>-'Enron Returns'!W71</f>
        <v>0</v>
      </c>
      <c r="X39" s="37">
        <f>-'Enron Returns'!X71</f>
        <v>0</v>
      </c>
      <c r="Y39" s="37">
        <f>-'Enron Returns'!Y71</f>
        <v>0</v>
      </c>
      <c r="Z39" s="37">
        <f>-'Enron Returns'!Z71</f>
        <v>0</v>
      </c>
      <c r="AA39" s="37">
        <f>-'Enron Returns'!AA71</f>
        <v>0</v>
      </c>
      <c r="AB39" s="435">
        <f>SUM(E39:AA39)</f>
        <v>0</v>
      </c>
      <c r="AD39" s="15"/>
      <c r="AE39" s="15"/>
    </row>
    <row r="40" spans="1:31" s="1" customFormat="1">
      <c r="A40" s="196"/>
      <c r="B40" s="15" t="s">
        <v>204</v>
      </c>
      <c r="C40" s="15"/>
      <c r="D40" s="111"/>
      <c r="E40" s="37">
        <f t="shared" ref="E40:AB40" si="13">SUM(E38:E39)</f>
        <v>0</v>
      </c>
      <c r="F40" s="37">
        <f t="shared" si="13"/>
        <v>0</v>
      </c>
      <c r="G40" s="37">
        <f t="shared" si="13"/>
        <v>0</v>
      </c>
      <c r="H40" s="37">
        <f t="shared" si="13"/>
        <v>0</v>
      </c>
      <c r="I40" s="37">
        <f t="shared" si="13"/>
        <v>0</v>
      </c>
      <c r="J40" s="37">
        <f t="shared" si="13"/>
        <v>0</v>
      </c>
      <c r="K40" s="37">
        <f t="shared" si="13"/>
        <v>0</v>
      </c>
      <c r="L40" s="37">
        <f t="shared" si="13"/>
        <v>0</v>
      </c>
      <c r="M40" s="37">
        <f t="shared" si="13"/>
        <v>0</v>
      </c>
      <c r="N40" s="37">
        <f t="shared" si="13"/>
        <v>0</v>
      </c>
      <c r="O40" s="37">
        <f t="shared" si="13"/>
        <v>0</v>
      </c>
      <c r="P40" s="37">
        <f t="shared" si="13"/>
        <v>0</v>
      </c>
      <c r="Q40" s="37">
        <f t="shared" si="13"/>
        <v>0</v>
      </c>
      <c r="R40" s="37">
        <f t="shared" si="13"/>
        <v>0</v>
      </c>
      <c r="S40" s="37">
        <f t="shared" si="13"/>
        <v>0</v>
      </c>
      <c r="T40" s="37">
        <f t="shared" si="13"/>
        <v>0</v>
      </c>
      <c r="U40" s="37">
        <f t="shared" si="13"/>
        <v>0</v>
      </c>
      <c r="V40" s="37">
        <f t="shared" si="13"/>
        <v>0</v>
      </c>
      <c r="W40" s="37">
        <f t="shared" si="13"/>
        <v>0</v>
      </c>
      <c r="X40" s="37">
        <f t="shared" si="13"/>
        <v>0</v>
      </c>
      <c r="Y40" s="37">
        <f t="shared" si="13"/>
        <v>0</v>
      </c>
      <c r="Z40" s="37">
        <f t="shared" si="13"/>
        <v>0</v>
      </c>
      <c r="AA40" s="37">
        <f t="shared" si="13"/>
        <v>0</v>
      </c>
      <c r="AB40" s="435">
        <f t="shared" si="13"/>
        <v>0</v>
      </c>
      <c r="AD40" s="15"/>
      <c r="AE40" s="15"/>
    </row>
    <row r="41" spans="1:31" s="1" customFormat="1">
      <c r="A41" s="398"/>
      <c r="B41" s="15"/>
      <c r="AB41" s="426"/>
      <c r="AD41" s="15"/>
      <c r="AE41" s="15"/>
    </row>
    <row r="42" spans="1:31">
      <c r="A42" s="485" t="s">
        <v>194</v>
      </c>
      <c r="B42" s="15"/>
      <c r="C42" s="15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430"/>
    </row>
    <row r="43" spans="1:31">
      <c r="A43" s="196"/>
      <c r="B43" s="15" t="s">
        <v>209</v>
      </c>
      <c r="C43" s="15"/>
      <c r="D43" s="111"/>
      <c r="E43" s="37">
        <f>E38</f>
        <v>0</v>
      </c>
      <c r="F43" s="37">
        <f t="shared" ref="F43:AA43" si="14">F38</f>
        <v>0</v>
      </c>
      <c r="G43" s="37">
        <f t="shared" si="14"/>
        <v>0</v>
      </c>
      <c r="H43" s="37">
        <f t="shared" si="14"/>
        <v>0</v>
      </c>
      <c r="I43" s="37">
        <f t="shared" si="14"/>
        <v>0</v>
      </c>
      <c r="J43" s="37">
        <f t="shared" si="14"/>
        <v>0</v>
      </c>
      <c r="K43" s="37">
        <f t="shared" si="14"/>
        <v>0</v>
      </c>
      <c r="L43" s="37">
        <f t="shared" si="14"/>
        <v>0</v>
      </c>
      <c r="M43" s="37">
        <f t="shared" si="14"/>
        <v>0</v>
      </c>
      <c r="N43" s="37">
        <f t="shared" si="14"/>
        <v>0</v>
      </c>
      <c r="O43" s="37">
        <f t="shared" si="14"/>
        <v>0</v>
      </c>
      <c r="P43" s="37">
        <f t="shared" si="14"/>
        <v>0</v>
      </c>
      <c r="Q43" s="37">
        <f t="shared" si="14"/>
        <v>0</v>
      </c>
      <c r="R43" s="37">
        <f t="shared" si="14"/>
        <v>0</v>
      </c>
      <c r="S43" s="37">
        <f t="shared" si="14"/>
        <v>0</v>
      </c>
      <c r="T43" s="37">
        <f t="shared" si="14"/>
        <v>0</v>
      </c>
      <c r="U43" s="37">
        <f t="shared" si="14"/>
        <v>0</v>
      </c>
      <c r="V43" s="37">
        <f t="shared" si="14"/>
        <v>0</v>
      </c>
      <c r="W43" s="37">
        <f t="shared" si="14"/>
        <v>0</v>
      </c>
      <c r="X43" s="37">
        <f t="shared" si="14"/>
        <v>0</v>
      </c>
      <c r="Y43" s="37">
        <f t="shared" si="14"/>
        <v>0</v>
      </c>
      <c r="Z43" s="37">
        <f t="shared" si="14"/>
        <v>0</v>
      </c>
      <c r="AA43" s="37">
        <f t="shared" si="14"/>
        <v>0</v>
      </c>
      <c r="AB43" s="430"/>
    </row>
    <row r="44" spans="1:31">
      <c r="A44" s="196"/>
      <c r="B44" s="15" t="s">
        <v>1915</v>
      </c>
      <c r="C44" s="15"/>
      <c r="D44" s="111"/>
      <c r="E44" s="71">
        <f>IF(E$7&lt;YEAR(Assm!$AB$94),0,Assm!$AA$99)</f>
        <v>0</v>
      </c>
      <c r="F44" s="71">
        <f>IF(F$7&lt;YEAR(Assm!$AB$94),0,Assm!$AA$99)</f>
        <v>0</v>
      </c>
      <c r="G44" s="71">
        <f>IF(G$7&lt;YEAR(Assm!$AB$94),0,Assm!$AA$99)</f>
        <v>0</v>
      </c>
      <c r="H44" s="71">
        <f>IF(H$7&lt;YEAR(Assm!$AB$94),0,Assm!$AA$99)</f>
        <v>0</v>
      </c>
      <c r="I44" s="71">
        <f>IF(I$7&lt;YEAR(Assm!$AB$94),0,Assm!$AA$99)</f>
        <v>0.65625</v>
      </c>
      <c r="J44" s="71">
        <f>IF(J$7&lt;YEAR(Assm!$AB$94),0,Assm!$AA$99)</f>
        <v>0.65625</v>
      </c>
      <c r="K44" s="71">
        <f>IF(K$7&lt;YEAR(Assm!$AB$94),0,Assm!$AA$99)</f>
        <v>0.65625</v>
      </c>
      <c r="L44" s="71">
        <f>IF(L$7&lt;YEAR(Assm!$AB$94),0,Assm!$AA$99)</f>
        <v>0.65625</v>
      </c>
      <c r="M44" s="71">
        <f>IF(M$7&lt;YEAR(Assm!$AB$94),0,Assm!$AA$99)</f>
        <v>0.65625</v>
      </c>
      <c r="N44" s="71">
        <f>IF(N$7&lt;YEAR(Assm!$AB$94),0,Assm!$AA$99)</f>
        <v>0.65625</v>
      </c>
      <c r="O44" s="71">
        <f>IF(O$7&lt;YEAR(Assm!$AB$94),0,Assm!$AA$99)</f>
        <v>0.65625</v>
      </c>
      <c r="P44" s="71">
        <f>IF(P$7&lt;YEAR(Assm!$AB$94),0,Assm!$AA$99)</f>
        <v>0.65625</v>
      </c>
      <c r="Q44" s="71">
        <f>IF(Q$7&lt;YEAR(Assm!$AB$94),0,Assm!$AA$99)</f>
        <v>0.65625</v>
      </c>
      <c r="R44" s="71">
        <f>IF(R$7&lt;YEAR(Assm!$AB$94),0,Assm!$AA$99)</f>
        <v>0.65625</v>
      </c>
      <c r="S44" s="71">
        <f>IF(S$7&lt;YEAR(Assm!$AB$94),0,Assm!$AA$99)</f>
        <v>0.65625</v>
      </c>
      <c r="T44" s="71">
        <f>IF(T$7&lt;YEAR(Assm!$AB$94),0,Assm!$AA$99)</f>
        <v>0.65625</v>
      </c>
      <c r="U44" s="71">
        <f>IF(U$7&lt;YEAR(Assm!$AB$94),0,Assm!$AA$99)</f>
        <v>0.65625</v>
      </c>
      <c r="V44" s="71">
        <f>IF(V$7&lt;YEAR(Assm!$AB$94),0,Assm!$AA$99)</f>
        <v>0.65625</v>
      </c>
      <c r="W44" s="71">
        <f>IF(W$7&lt;YEAR(Assm!$AB$94),0,Assm!$AA$99)</f>
        <v>0.65625</v>
      </c>
      <c r="X44" s="71">
        <f>IF(X$7&lt;YEAR(Assm!$AB$94),0,Assm!$AA$99)</f>
        <v>0.65625</v>
      </c>
      <c r="Y44" s="71">
        <f>IF(Y$7&lt;YEAR(Assm!$AB$94),0,Assm!$AA$99)</f>
        <v>0.65625</v>
      </c>
      <c r="Z44" s="71">
        <f>IF(Z$7&lt;YEAR(Assm!$AB$94),0,Assm!$AA$99)</f>
        <v>0.65625</v>
      </c>
      <c r="AA44" s="71">
        <f>IF(AA$7&lt;YEAR(Assm!$AB$94),0,Assm!$AA$99)</f>
        <v>0.65625</v>
      </c>
      <c r="AB44" s="430"/>
    </row>
    <row r="45" spans="1:31">
      <c r="A45" s="196"/>
      <c r="B45" s="15" t="s">
        <v>210</v>
      </c>
      <c r="C45" s="15"/>
      <c r="D45" s="43" t="s">
        <v>1916</v>
      </c>
      <c r="E45" s="37">
        <f t="shared" ref="E45:AA45" si="15">E43*E44</f>
        <v>0</v>
      </c>
      <c r="F45" s="37">
        <f t="shared" si="15"/>
        <v>0</v>
      </c>
      <c r="G45" s="37">
        <f t="shared" si="15"/>
        <v>0</v>
      </c>
      <c r="H45" s="37">
        <f t="shared" si="15"/>
        <v>0</v>
      </c>
      <c r="I45" s="37">
        <f t="shared" si="15"/>
        <v>0</v>
      </c>
      <c r="J45" s="37">
        <f t="shared" si="15"/>
        <v>0</v>
      </c>
      <c r="K45" s="37">
        <f t="shared" si="15"/>
        <v>0</v>
      </c>
      <c r="L45" s="37">
        <f t="shared" si="15"/>
        <v>0</v>
      </c>
      <c r="M45" s="37">
        <f t="shared" si="15"/>
        <v>0</v>
      </c>
      <c r="N45" s="37">
        <f t="shared" si="15"/>
        <v>0</v>
      </c>
      <c r="O45" s="37">
        <f t="shared" si="15"/>
        <v>0</v>
      </c>
      <c r="P45" s="37">
        <f t="shared" si="15"/>
        <v>0</v>
      </c>
      <c r="Q45" s="37">
        <f t="shared" si="15"/>
        <v>0</v>
      </c>
      <c r="R45" s="37">
        <f t="shared" si="15"/>
        <v>0</v>
      </c>
      <c r="S45" s="37">
        <f t="shared" si="15"/>
        <v>0</v>
      </c>
      <c r="T45" s="37">
        <f t="shared" si="15"/>
        <v>0</v>
      </c>
      <c r="U45" s="37">
        <f t="shared" si="15"/>
        <v>0</v>
      </c>
      <c r="V45" s="37">
        <f t="shared" si="15"/>
        <v>0</v>
      </c>
      <c r="W45" s="37">
        <f t="shared" si="15"/>
        <v>0</v>
      </c>
      <c r="X45" s="37">
        <f t="shared" si="15"/>
        <v>0</v>
      </c>
      <c r="Y45" s="37">
        <f t="shared" si="15"/>
        <v>0</v>
      </c>
      <c r="Z45" s="37">
        <f t="shared" si="15"/>
        <v>0</v>
      </c>
      <c r="AA45" s="37">
        <f t="shared" si="15"/>
        <v>0</v>
      </c>
      <c r="AB45" s="430"/>
    </row>
    <row r="46" spans="1:31">
      <c r="A46" s="196"/>
      <c r="B46" s="15"/>
      <c r="C46" s="15"/>
      <c r="D46" s="111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430"/>
    </row>
    <row r="47" spans="1:31">
      <c r="A47" s="196"/>
      <c r="B47" s="15" t="s">
        <v>211</v>
      </c>
      <c r="C47" s="15"/>
      <c r="D47" s="111"/>
      <c r="E47" s="37">
        <f>E40</f>
        <v>0</v>
      </c>
      <c r="F47" s="37">
        <f t="shared" ref="F47:AA47" si="16">F40</f>
        <v>0</v>
      </c>
      <c r="G47" s="37">
        <f t="shared" si="16"/>
        <v>0</v>
      </c>
      <c r="H47" s="37">
        <f t="shared" si="16"/>
        <v>0</v>
      </c>
      <c r="I47" s="37">
        <f t="shared" si="16"/>
        <v>0</v>
      </c>
      <c r="J47" s="37">
        <f t="shared" si="16"/>
        <v>0</v>
      </c>
      <c r="K47" s="37">
        <f t="shared" si="16"/>
        <v>0</v>
      </c>
      <c r="L47" s="37">
        <f t="shared" si="16"/>
        <v>0</v>
      </c>
      <c r="M47" s="37">
        <f t="shared" si="16"/>
        <v>0</v>
      </c>
      <c r="N47" s="37">
        <f t="shared" si="16"/>
        <v>0</v>
      </c>
      <c r="O47" s="37">
        <f t="shared" si="16"/>
        <v>0</v>
      </c>
      <c r="P47" s="37">
        <f t="shared" si="16"/>
        <v>0</v>
      </c>
      <c r="Q47" s="37">
        <f t="shared" si="16"/>
        <v>0</v>
      </c>
      <c r="R47" s="37">
        <f t="shared" si="16"/>
        <v>0</v>
      </c>
      <c r="S47" s="37">
        <f t="shared" si="16"/>
        <v>0</v>
      </c>
      <c r="T47" s="37">
        <f t="shared" si="16"/>
        <v>0</v>
      </c>
      <c r="U47" s="37">
        <f t="shared" si="16"/>
        <v>0</v>
      </c>
      <c r="V47" s="37">
        <f t="shared" si="16"/>
        <v>0</v>
      </c>
      <c r="W47" s="37">
        <f t="shared" si="16"/>
        <v>0</v>
      </c>
      <c r="X47" s="37">
        <f t="shared" si="16"/>
        <v>0</v>
      </c>
      <c r="Y47" s="37">
        <f t="shared" si="16"/>
        <v>0</v>
      </c>
      <c r="Z47" s="37">
        <f t="shared" si="16"/>
        <v>0</v>
      </c>
      <c r="AA47" s="37">
        <f t="shared" si="16"/>
        <v>0</v>
      </c>
      <c r="AB47" s="430"/>
    </row>
    <row r="48" spans="1:31">
      <c r="A48" s="196"/>
      <c r="B48" s="15" t="s">
        <v>1915</v>
      </c>
      <c r="C48" s="15"/>
      <c r="D48" s="111"/>
      <c r="E48" s="71">
        <f t="shared" ref="E48:AA48" si="17">E44</f>
        <v>0</v>
      </c>
      <c r="F48" s="71">
        <f t="shared" si="17"/>
        <v>0</v>
      </c>
      <c r="G48" s="71">
        <f t="shared" si="17"/>
        <v>0</v>
      </c>
      <c r="H48" s="71">
        <f t="shared" si="17"/>
        <v>0</v>
      </c>
      <c r="I48" s="71">
        <f t="shared" si="17"/>
        <v>0.65625</v>
      </c>
      <c r="J48" s="71">
        <f t="shared" si="17"/>
        <v>0.65625</v>
      </c>
      <c r="K48" s="71">
        <f t="shared" si="17"/>
        <v>0.65625</v>
      </c>
      <c r="L48" s="71">
        <f t="shared" si="17"/>
        <v>0.65625</v>
      </c>
      <c r="M48" s="71">
        <f t="shared" si="17"/>
        <v>0.65625</v>
      </c>
      <c r="N48" s="71">
        <f t="shared" si="17"/>
        <v>0.65625</v>
      </c>
      <c r="O48" s="71">
        <f t="shared" si="17"/>
        <v>0.65625</v>
      </c>
      <c r="P48" s="71">
        <f t="shared" si="17"/>
        <v>0.65625</v>
      </c>
      <c r="Q48" s="71">
        <f t="shared" si="17"/>
        <v>0.65625</v>
      </c>
      <c r="R48" s="71">
        <f t="shared" si="17"/>
        <v>0.65625</v>
      </c>
      <c r="S48" s="71">
        <f t="shared" si="17"/>
        <v>0.65625</v>
      </c>
      <c r="T48" s="71">
        <f t="shared" si="17"/>
        <v>0.65625</v>
      </c>
      <c r="U48" s="71">
        <f t="shared" si="17"/>
        <v>0.65625</v>
      </c>
      <c r="V48" s="71">
        <f t="shared" si="17"/>
        <v>0.65625</v>
      </c>
      <c r="W48" s="71">
        <f t="shared" si="17"/>
        <v>0.65625</v>
      </c>
      <c r="X48" s="71">
        <f t="shared" si="17"/>
        <v>0.65625</v>
      </c>
      <c r="Y48" s="71">
        <f t="shared" si="17"/>
        <v>0.65625</v>
      </c>
      <c r="Z48" s="71">
        <f t="shared" si="17"/>
        <v>0.65625</v>
      </c>
      <c r="AA48" s="71">
        <f t="shared" si="17"/>
        <v>0.65625</v>
      </c>
      <c r="AB48" s="430"/>
    </row>
    <row r="49" spans="1:28">
      <c r="A49" s="196"/>
      <c r="B49" s="15" t="s">
        <v>212</v>
      </c>
      <c r="C49" s="15"/>
      <c r="D49" s="43" t="s">
        <v>1917</v>
      </c>
      <c r="E49" s="37">
        <f t="shared" ref="E49:AA49" si="18">E47*E48</f>
        <v>0</v>
      </c>
      <c r="F49" s="37">
        <f t="shared" si="18"/>
        <v>0</v>
      </c>
      <c r="G49" s="37">
        <f t="shared" si="18"/>
        <v>0</v>
      </c>
      <c r="H49" s="37">
        <f t="shared" si="18"/>
        <v>0</v>
      </c>
      <c r="I49" s="37">
        <f t="shared" si="18"/>
        <v>0</v>
      </c>
      <c r="J49" s="37">
        <f t="shared" si="18"/>
        <v>0</v>
      </c>
      <c r="K49" s="37">
        <f t="shared" si="18"/>
        <v>0</v>
      </c>
      <c r="L49" s="37">
        <f t="shared" si="18"/>
        <v>0</v>
      </c>
      <c r="M49" s="37">
        <f t="shared" si="18"/>
        <v>0</v>
      </c>
      <c r="N49" s="37">
        <f t="shared" si="18"/>
        <v>0</v>
      </c>
      <c r="O49" s="37">
        <f t="shared" si="18"/>
        <v>0</v>
      </c>
      <c r="P49" s="37">
        <f t="shared" si="18"/>
        <v>0</v>
      </c>
      <c r="Q49" s="37">
        <f t="shared" si="18"/>
        <v>0</v>
      </c>
      <c r="R49" s="37">
        <f t="shared" si="18"/>
        <v>0</v>
      </c>
      <c r="S49" s="37">
        <f t="shared" si="18"/>
        <v>0</v>
      </c>
      <c r="T49" s="37">
        <f t="shared" si="18"/>
        <v>0</v>
      </c>
      <c r="U49" s="37">
        <f t="shared" si="18"/>
        <v>0</v>
      </c>
      <c r="V49" s="37">
        <f t="shared" si="18"/>
        <v>0</v>
      </c>
      <c r="W49" s="37">
        <f t="shared" si="18"/>
        <v>0</v>
      </c>
      <c r="X49" s="37">
        <f t="shared" si="18"/>
        <v>0</v>
      </c>
      <c r="Y49" s="37">
        <f t="shared" si="18"/>
        <v>0</v>
      </c>
      <c r="Z49" s="37">
        <f t="shared" si="18"/>
        <v>0</v>
      </c>
      <c r="AA49" s="37">
        <f t="shared" si="18"/>
        <v>0</v>
      </c>
      <c r="AB49" s="430"/>
    </row>
    <row r="50" spans="1:28">
      <c r="A50" s="196"/>
      <c r="B50" s="15"/>
      <c r="C50" s="15"/>
      <c r="D50" s="111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430"/>
    </row>
    <row r="51" spans="1:28">
      <c r="A51" s="196"/>
      <c r="B51" s="15" t="s">
        <v>1918</v>
      </c>
      <c r="C51" s="15"/>
      <c r="D51" s="43" t="s">
        <v>1919</v>
      </c>
      <c r="E51" s="37">
        <f>IF(MAX(E45,E49)&lt;0,0,MAX(E45,E49))</f>
        <v>0</v>
      </c>
      <c r="F51" s="37">
        <f t="shared" ref="F51:AA51" si="19">IF(MAX(F45,F49)&lt;0,0,MAX(F45,F49))</f>
        <v>0</v>
      </c>
      <c r="G51" s="37">
        <f t="shared" si="19"/>
        <v>0</v>
      </c>
      <c r="H51" s="37">
        <f t="shared" si="19"/>
        <v>0</v>
      </c>
      <c r="I51" s="37">
        <f t="shared" si="19"/>
        <v>0</v>
      </c>
      <c r="J51" s="37">
        <f t="shared" si="19"/>
        <v>0</v>
      </c>
      <c r="K51" s="37">
        <f t="shared" si="19"/>
        <v>0</v>
      </c>
      <c r="L51" s="37">
        <f t="shared" si="19"/>
        <v>0</v>
      </c>
      <c r="M51" s="37">
        <f t="shared" si="19"/>
        <v>0</v>
      </c>
      <c r="N51" s="37">
        <f t="shared" si="19"/>
        <v>0</v>
      </c>
      <c r="O51" s="37">
        <f t="shared" si="19"/>
        <v>0</v>
      </c>
      <c r="P51" s="37">
        <f t="shared" si="19"/>
        <v>0</v>
      </c>
      <c r="Q51" s="37">
        <f t="shared" si="19"/>
        <v>0</v>
      </c>
      <c r="R51" s="37">
        <f t="shared" si="19"/>
        <v>0</v>
      </c>
      <c r="S51" s="37">
        <f t="shared" si="19"/>
        <v>0</v>
      </c>
      <c r="T51" s="37">
        <f t="shared" si="19"/>
        <v>0</v>
      </c>
      <c r="U51" s="37">
        <f t="shared" si="19"/>
        <v>0</v>
      </c>
      <c r="V51" s="37">
        <f t="shared" si="19"/>
        <v>0</v>
      </c>
      <c r="W51" s="37">
        <f t="shared" si="19"/>
        <v>0</v>
      </c>
      <c r="X51" s="37">
        <f t="shared" si="19"/>
        <v>0</v>
      </c>
      <c r="Y51" s="37">
        <f t="shared" si="19"/>
        <v>0</v>
      </c>
      <c r="Z51" s="37">
        <f t="shared" si="19"/>
        <v>0</v>
      </c>
      <c r="AA51" s="37">
        <f t="shared" si="19"/>
        <v>0</v>
      </c>
      <c r="AB51" s="430"/>
    </row>
    <row r="52" spans="1:28">
      <c r="A52" s="196"/>
      <c r="B52" s="15" t="s">
        <v>1920</v>
      </c>
      <c r="C52" s="15"/>
      <c r="D52" s="43" t="s">
        <v>1921</v>
      </c>
      <c r="E52" s="37">
        <f>IF(MIN(E45,E49)&lt;0,0,MIN(E45,E49))</f>
        <v>0</v>
      </c>
      <c r="F52" s="37">
        <f t="shared" ref="F52:AA52" si="20">IF(MIN(F45,F49)&lt;0,0,MIN(F45,F49))</f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si="20"/>
        <v>0</v>
      </c>
      <c r="Y52" s="37">
        <f t="shared" si="20"/>
        <v>0</v>
      </c>
      <c r="Z52" s="37">
        <f t="shared" si="20"/>
        <v>0</v>
      </c>
      <c r="AA52" s="37">
        <f t="shared" si="20"/>
        <v>0</v>
      </c>
      <c r="AB52" s="430"/>
    </row>
    <row r="53" spans="1:28">
      <c r="A53" s="20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430"/>
    </row>
    <row r="54" spans="1:28">
      <c r="A54" s="196"/>
      <c r="B54" s="15" t="s">
        <v>213</v>
      </c>
      <c r="C54" s="15"/>
      <c r="D54" s="111"/>
      <c r="E54" s="37">
        <f t="shared" ref="E54:AA54" si="21">((E51*2)+E52)/3</f>
        <v>0</v>
      </c>
      <c r="F54" s="37">
        <f t="shared" si="21"/>
        <v>0</v>
      </c>
      <c r="G54" s="37">
        <f t="shared" si="21"/>
        <v>0</v>
      </c>
      <c r="H54" s="37">
        <f t="shared" si="21"/>
        <v>0</v>
      </c>
      <c r="I54" s="37">
        <f t="shared" si="21"/>
        <v>0</v>
      </c>
      <c r="J54" s="37">
        <f t="shared" si="21"/>
        <v>0</v>
      </c>
      <c r="K54" s="37">
        <f t="shared" si="21"/>
        <v>0</v>
      </c>
      <c r="L54" s="37">
        <f t="shared" si="21"/>
        <v>0</v>
      </c>
      <c r="M54" s="37">
        <f t="shared" si="21"/>
        <v>0</v>
      </c>
      <c r="N54" s="37">
        <f t="shared" si="21"/>
        <v>0</v>
      </c>
      <c r="O54" s="37">
        <f t="shared" si="21"/>
        <v>0</v>
      </c>
      <c r="P54" s="37">
        <f t="shared" si="21"/>
        <v>0</v>
      </c>
      <c r="Q54" s="37">
        <f t="shared" si="21"/>
        <v>0</v>
      </c>
      <c r="R54" s="37">
        <f t="shared" si="21"/>
        <v>0</v>
      </c>
      <c r="S54" s="37">
        <f t="shared" si="21"/>
        <v>0</v>
      </c>
      <c r="T54" s="37">
        <f t="shared" si="21"/>
        <v>0</v>
      </c>
      <c r="U54" s="37">
        <f t="shared" si="21"/>
        <v>0</v>
      </c>
      <c r="V54" s="37">
        <f t="shared" si="21"/>
        <v>0</v>
      </c>
      <c r="W54" s="37">
        <f t="shared" si="21"/>
        <v>0</v>
      </c>
      <c r="X54" s="37">
        <f t="shared" si="21"/>
        <v>0</v>
      </c>
      <c r="Y54" s="37">
        <f t="shared" si="21"/>
        <v>0</v>
      </c>
      <c r="Z54" s="37">
        <f t="shared" si="21"/>
        <v>0</v>
      </c>
      <c r="AA54" s="37">
        <f t="shared" si="21"/>
        <v>0</v>
      </c>
      <c r="AB54" s="430"/>
    </row>
    <row r="55" spans="1:28">
      <c r="A55" s="196"/>
      <c r="B55" s="15" t="s">
        <v>1923</v>
      </c>
      <c r="C55" s="381">
        <f>Opic</f>
        <v>0.01</v>
      </c>
      <c r="D55" s="111"/>
      <c r="E55" s="383">
        <f t="shared" ref="E55:AA55" si="22">$C55</f>
        <v>0.01</v>
      </c>
      <c r="F55" s="383">
        <f t="shared" si="22"/>
        <v>0.01</v>
      </c>
      <c r="G55" s="383">
        <f t="shared" si="22"/>
        <v>0.01</v>
      </c>
      <c r="H55" s="383">
        <f t="shared" si="22"/>
        <v>0.01</v>
      </c>
      <c r="I55" s="383">
        <f t="shared" si="22"/>
        <v>0.01</v>
      </c>
      <c r="J55" s="383">
        <f t="shared" si="22"/>
        <v>0.01</v>
      </c>
      <c r="K55" s="383">
        <f t="shared" si="22"/>
        <v>0.01</v>
      </c>
      <c r="L55" s="383">
        <f t="shared" si="22"/>
        <v>0.01</v>
      </c>
      <c r="M55" s="383">
        <f t="shared" si="22"/>
        <v>0.01</v>
      </c>
      <c r="N55" s="383">
        <f t="shared" si="22"/>
        <v>0.01</v>
      </c>
      <c r="O55" s="383">
        <f t="shared" si="22"/>
        <v>0.01</v>
      </c>
      <c r="P55" s="383">
        <f t="shared" si="22"/>
        <v>0.01</v>
      </c>
      <c r="Q55" s="383">
        <f t="shared" si="22"/>
        <v>0.01</v>
      </c>
      <c r="R55" s="383">
        <f t="shared" si="22"/>
        <v>0.01</v>
      </c>
      <c r="S55" s="383">
        <f t="shared" si="22"/>
        <v>0.01</v>
      </c>
      <c r="T55" s="383">
        <f t="shared" si="22"/>
        <v>0.01</v>
      </c>
      <c r="U55" s="383">
        <f t="shared" si="22"/>
        <v>0.01</v>
      </c>
      <c r="V55" s="383">
        <f t="shared" si="22"/>
        <v>0.01</v>
      </c>
      <c r="W55" s="383">
        <f t="shared" si="22"/>
        <v>0.01</v>
      </c>
      <c r="X55" s="383">
        <f t="shared" si="22"/>
        <v>0.01</v>
      </c>
      <c r="Y55" s="383">
        <f t="shared" si="22"/>
        <v>0.01</v>
      </c>
      <c r="Z55" s="383">
        <f t="shared" si="22"/>
        <v>0.01</v>
      </c>
      <c r="AA55" s="383">
        <f t="shared" si="22"/>
        <v>0.01</v>
      </c>
      <c r="AB55" s="430"/>
    </row>
    <row r="56" spans="1:28">
      <c r="A56" s="486"/>
      <c r="B56" s="31" t="s">
        <v>214</v>
      </c>
      <c r="C56" s="31"/>
      <c r="D56" s="382"/>
      <c r="E56" s="59">
        <f t="shared" ref="E56:AA56" si="23">E54*E55</f>
        <v>0</v>
      </c>
      <c r="F56" s="59">
        <f t="shared" si="23"/>
        <v>0</v>
      </c>
      <c r="G56" s="59">
        <f t="shared" si="23"/>
        <v>0</v>
      </c>
      <c r="H56" s="59">
        <f t="shared" si="23"/>
        <v>0</v>
      </c>
      <c r="I56" s="59">
        <f t="shared" si="23"/>
        <v>0</v>
      </c>
      <c r="J56" s="59">
        <f t="shared" si="23"/>
        <v>0</v>
      </c>
      <c r="K56" s="59">
        <f t="shared" si="23"/>
        <v>0</v>
      </c>
      <c r="L56" s="59">
        <f t="shared" si="23"/>
        <v>0</v>
      </c>
      <c r="M56" s="59">
        <f t="shared" si="23"/>
        <v>0</v>
      </c>
      <c r="N56" s="59">
        <f t="shared" si="23"/>
        <v>0</v>
      </c>
      <c r="O56" s="59">
        <f t="shared" si="23"/>
        <v>0</v>
      </c>
      <c r="P56" s="59">
        <f t="shared" si="23"/>
        <v>0</v>
      </c>
      <c r="Q56" s="59">
        <f t="shared" si="23"/>
        <v>0</v>
      </c>
      <c r="R56" s="59">
        <f t="shared" si="23"/>
        <v>0</v>
      </c>
      <c r="S56" s="59">
        <f t="shared" si="23"/>
        <v>0</v>
      </c>
      <c r="T56" s="59">
        <f t="shared" si="23"/>
        <v>0</v>
      </c>
      <c r="U56" s="59">
        <f t="shared" si="23"/>
        <v>0</v>
      </c>
      <c r="V56" s="59">
        <f t="shared" si="23"/>
        <v>0</v>
      </c>
      <c r="W56" s="59">
        <f t="shared" si="23"/>
        <v>0</v>
      </c>
      <c r="X56" s="59">
        <f t="shared" si="23"/>
        <v>0</v>
      </c>
      <c r="Y56" s="59">
        <f t="shared" si="23"/>
        <v>0</v>
      </c>
      <c r="Z56" s="59">
        <f t="shared" si="23"/>
        <v>0</v>
      </c>
      <c r="AA56" s="59">
        <f t="shared" si="23"/>
        <v>0</v>
      </c>
      <c r="AB56" s="488">
        <f>SUM(E56:AA56)</f>
        <v>0</v>
      </c>
    </row>
    <row r="57" spans="1:28">
      <c r="A57" s="20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430"/>
    </row>
    <row r="58" spans="1:28">
      <c r="A58" s="485" t="s">
        <v>1930</v>
      </c>
      <c r="B58" s="15"/>
      <c r="C58" s="15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430"/>
    </row>
    <row r="59" spans="1:28">
      <c r="A59" s="196"/>
      <c r="B59" s="15" t="s">
        <v>1931</v>
      </c>
      <c r="C59" s="15"/>
      <c r="D59" s="43" t="s">
        <v>1916</v>
      </c>
      <c r="E59" s="37">
        <f>-SUM('Enron Returns'!$D$50:D$51)</f>
        <v>0</v>
      </c>
      <c r="F59" s="37">
        <f ca="1">-SUM('Enron Returns'!$D$50:E$51)</f>
        <v>0</v>
      </c>
      <c r="G59" s="37">
        <f ca="1">-SUM('Enron Returns'!$D$50:F$51)</f>
        <v>17275.700890842803</v>
      </c>
      <c r="H59" s="37">
        <f ca="1">-SUM('Enron Returns'!$D$50:G$51)</f>
        <v>53382.520444694142</v>
      </c>
      <c r="I59" s="37">
        <f ca="1">-SUM('Enron Returns'!$D$50:H$51)</f>
        <v>0</v>
      </c>
      <c r="J59" s="37">
        <f ca="1">-SUM('Enron Returns'!$D$50:I$51)</f>
        <v>0</v>
      </c>
      <c r="K59" s="37">
        <f ca="1">-SUM('Enron Returns'!$D$50:J$51)</f>
        <v>0</v>
      </c>
      <c r="L59" s="37">
        <f ca="1">-SUM('Enron Returns'!$D$50:K$51)</f>
        <v>0</v>
      </c>
      <c r="M59" s="37">
        <f ca="1">-SUM('Enron Returns'!$D$50:L$51)</f>
        <v>0</v>
      </c>
      <c r="N59" s="37">
        <f ca="1">-SUM('Enron Returns'!$D$50:M$51)</f>
        <v>0</v>
      </c>
      <c r="O59" s="37">
        <f ca="1">-SUM('Enron Returns'!$D$50:N$51)</f>
        <v>0</v>
      </c>
      <c r="P59" s="37">
        <f ca="1">-SUM('Enron Returns'!$D$50:O$51)</f>
        <v>0</v>
      </c>
      <c r="Q59" s="37">
        <f ca="1">-SUM('Enron Returns'!$D$50:P$51)</f>
        <v>0</v>
      </c>
      <c r="R59" s="37">
        <f ca="1">-SUM('Enron Returns'!$D$50:Q$51)</f>
        <v>0</v>
      </c>
      <c r="S59" s="37">
        <f ca="1">-SUM('Enron Returns'!$D$50:R$51)</f>
        <v>0</v>
      </c>
      <c r="T59" s="37">
        <f ca="1">-SUM('Enron Returns'!$D$50:S$51)</f>
        <v>0</v>
      </c>
      <c r="U59" s="37">
        <f ca="1">-SUM('Enron Returns'!$D$50:T$51)</f>
        <v>0</v>
      </c>
      <c r="V59" s="37">
        <f ca="1">-SUM('Enron Returns'!$D$50:U$51)</f>
        <v>0</v>
      </c>
      <c r="W59" s="37">
        <f ca="1">-SUM('Enron Returns'!$D$50:V$51)</f>
        <v>0</v>
      </c>
      <c r="X59" s="37">
        <f ca="1">-SUM('Enron Returns'!$D$50:W$51)</f>
        <v>0</v>
      </c>
      <c r="Y59" s="37">
        <f ca="1">-SUM('Enron Returns'!$D$50:X$51)</f>
        <v>0</v>
      </c>
      <c r="Z59" s="37">
        <f ca="1">-SUM('Enron Returns'!$D$50:Y$51)</f>
        <v>0</v>
      </c>
      <c r="AA59" s="37">
        <f ca="1">-SUM('Enron Returns'!$D$50:Z$51)</f>
        <v>0</v>
      </c>
      <c r="AB59" s="430"/>
    </row>
    <row r="60" spans="1:28">
      <c r="A60" s="196"/>
      <c r="B60" s="15" t="s">
        <v>1932</v>
      </c>
      <c r="C60" s="15"/>
      <c r="D60" s="43" t="s">
        <v>1917</v>
      </c>
      <c r="E60" s="37">
        <f ca="1">-SUM('Enron Returns'!$E$50:E$51)</f>
        <v>0</v>
      </c>
      <c r="F60" s="37">
        <f ca="1">-SUM('Enron Returns'!$E$50:F$51)</f>
        <v>17275.700890842803</v>
      </c>
      <c r="G60" s="37">
        <f ca="1">-SUM('Enron Returns'!$E$50:G$51)</f>
        <v>53382.520444694142</v>
      </c>
      <c r="H60" s="37">
        <f ca="1">-SUM('Enron Returns'!$E$50:H$51)</f>
        <v>0</v>
      </c>
      <c r="I60" s="37">
        <f ca="1">-SUM('Enron Returns'!$E$50:I$51)</f>
        <v>0</v>
      </c>
      <c r="J60" s="37">
        <f ca="1">-SUM('Enron Returns'!$E$50:J$51)</f>
        <v>0</v>
      </c>
      <c r="K60" s="37">
        <f ca="1">-SUM('Enron Returns'!$E$50:K$51)</f>
        <v>0</v>
      </c>
      <c r="L60" s="37">
        <f ca="1">-SUM('Enron Returns'!$E$50:L$51)</f>
        <v>0</v>
      </c>
      <c r="M60" s="37">
        <f ca="1">-SUM('Enron Returns'!$E$50:M$51)</f>
        <v>0</v>
      </c>
      <c r="N60" s="37">
        <f ca="1">-SUM('Enron Returns'!$E$50:N$51)</f>
        <v>0</v>
      </c>
      <c r="O60" s="37">
        <f ca="1">-SUM('Enron Returns'!$E$50:O$51)</f>
        <v>0</v>
      </c>
      <c r="P60" s="37">
        <f ca="1">-SUM('Enron Returns'!$E$50:P$51)</f>
        <v>0</v>
      </c>
      <c r="Q60" s="37">
        <f ca="1">-SUM('Enron Returns'!$E$50:Q$51)</f>
        <v>0</v>
      </c>
      <c r="R60" s="37">
        <f ca="1">-SUM('Enron Returns'!$E$50:R$51)</f>
        <v>0</v>
      </c>
      <c r="S60" s="37">
        <f ca="1">-SUM('Enron Returns'!$E$50:S$51)</f>
        <v>0</v>
      </c>
      <c r="T60" s="37">
        <f ca="1">-SUM('Enron Returns'!$E$50:T$51)</f>
        <v>0</v>
      </c>
      <c r="U60" s="37">
        <f ca="1">-SUM('Enron Returns'!$E$50:U$51)</f>
        <v>0</v>
      </c>
      <c r="V60" s="37">
        <f ca="1">-SUM('Enron Returns'!$E$50:V$51)</f>
        <v>0</v>
      </c>
      <c r="W60" s="37">
        <f ca="1">-SUM('Enron Returns'!$E$50:W$51)</f>
        <v>0</v>
      </c>
      <c r="X60" s="37">
        <f ca="1">-SUM('Enron Returns'!$E$50:X$51)</f>
        <v>0</v>
      </c>
      <c r="Y60" s="37">
        <f ca="1">-SUM('Enron Returns'!$E$50:Y$51)</f>
        <v>0</v>
      </c>
      <c r="Z60" s="37">
        <f ca="1">-SUM('Enron Returns'!$E$50:Z$51)</f>
        <v>0</v>
      </c>
      <c r="AA60" s="37">
        <f ca="1">-SUM('Enron Returns'!$E$50:AA$51)</f>
        <v>0</v>
      </c>
      <c r="AB60" s="430"/>
    </row>
    <row r="61" spans="1:28">
      <c r="A61" s="196"/>
      <c r="B61" s="15"/>
      <c r="C61" s="15"/>
      <c r="D61" s="111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430"/>
    </row>
    <row r="62" spans="1:28">
      <c r="A62" s="196"/>
      <c r="B62" s="15" t="s">
        <v>1918</v>
      </c>
      <c r="C62" s="15"/>
      <c r="D62" s="43" t="s">
        <v>1919</v>
      </c>
      <c r="E62" s="37">
        <f t="shared" ref="E62:AA62" ca="1" si="24">IF(MAX(E$59,E$60)&lt;0,0,MAX(E$59,E$60))</f>
        <v>0</v>
      </c>
      <c r="F62" s="37">
        <f t="shared" ca="1" si="24"/>
        <v>17275.700890842803</v>
      </c>
      <c r="G62" s="37">
        <f t="shared" ca="1" si="24"/>
        <v>53382.520444694142</v>
      </c>
      <c r="H62" s="37">
        <f t="shared" ca="1" si="24"/>
        <v>53382.520444694142</v>
      </c>
      <c r="I62" s="37">
        <f t="shared" ca="1" si="24"/>
        <v>0</v>
      </c>
      <c r="J62" s="37">
        <f t="shared" ca="1" si="24"/>
        <v>0</v>
      </c>
      <c r="K62" s="37">
        <f t="shared" ca="1" si="24"/>
        <v>0</v>
      </c>
      <c r="L62" s="37">
        <f t="shared" ca="1" si="24"/>
        <v>0</v>
      </c>
      <c r="M62" s="37">
        <f t="shared" ca="1" si="24"/>
        <v>0</v>
      </c>
      <c r="N62" s="37">
        <f t="shared" ca="1" si="24"/>
        <v>0</v>
      </c>
      <c r="O62" s="37">
        <f t="shared" ca="1" si="24"/>
        <v>0</v>
      </c>
      <c r="P62" s="37">
        <f t="shared" ca="1" si="24"/>
        <v>0</v>
      </c>
      <c r="Q62" s="37">
        <f t="shared" ca="1" si="24"/>
        <v>0</v>
      </c>
      <c r="R62" s="37">
        <f t="shared" ca="1" si="24"/>
        <v>0</v>
      </c>
      <c r="S62" s="37">
        <f t="shared" ca="1" si="24"/>
        <v>0</v>
      </c>
      <c r="T62" s="37">
        <f t="shared" ca="1" si="24"/>
        <v>0</v>
      </c>
      <c r="U62" s="37">
        <f t="shared" ca="1" si="24"/>
        <v>0</v>
      </c>
      <c r="V62" s="37">
        <f t="shared" ca="1" si="24"/>
        <v>0</v>
      </c>
      <c r="W62" s="37">
        <f t="shared" ca="1" si="24"/>
        <v>0</v>
      </c>
      <c r="X62" s="37">
        <f t="shared" ca="1" si="24"/>
        <v>0</v>
      </c>
      <c r="Y62" s="37">
        <f t="shared" ca="1" si="24"/>
        <v>0</v>
      </c>
      <c r="Z62" s="37">
        <f t="shared" ca="1" si="24"/>
        <v>0</v>
      </c>
      <c r="AA62" s="37">
        <f t="shared" ca="1" si="24"/>
        <v>0</v>
      </c>
      <c r="AB62" s="430"/>
    </row>
    <row r="63" spans="1:28">
      <c r="A63" s="196"/>
      <c r="B63" s="15" t="s">
        <v>1920</v>
      </c>
      <c r="C63" s="15"/>
      <c r="D63" s="43" t="s">
        <v>1921</v>
      </c>
      <c r="E63" s="37">
        <f t="shared" ref="E63:AA63" ca="1" si="25">IF(MIN(E$59,E$60)&lt;0,0,MIN(E$59,E$60))</f>
        <v>0</v>
      </c>
      <c r="F63" s="37">
        <f t="shared" ca="1" si="25"/>
        <v>0</v>
      </c>
      <c r="G63" s="37">
        <f t="shared" ca="1" si="25"/>
        <v>17275.700890842803</v>
      </c>
      <c r="H63" s="37">
        <f t="shared" ca="1" si="25"/>
        <v>0</v>
      </c>
      <c r="I63" s="37">
        <f t="shared" ca="1" si="25"/>
        <v>0</v>
      </c>
      <c r="J63" s="37">
        <f t="shared" ca="1" si="25"/>
        <v>0</v>
      </c>
      <c r="K63" s="37">
        <f t="shared" ca="1" si="25"/>
        <v>0</v>
      </c>
      <c r="L63" s="37">
        <f t="shared" ca="1" si="25"/>
        <v>0</v>
      </c>
      <c r="M63" s="37">
        <f t="shared" ca="1" si="25"/>
        <v>0</v>
      </c>
      <c r="N63" s="37">
        <f t="shared" ca="1" si="25"/>
        <v>0</v>
      </c>
      <c r="O63" s="37">
        <f t="shared" ca="1" si="25"/>
        <v>0</v>
      </c>
      <c r="P63" s="37">
        <f t="shared" ca="1" si="25"/>
        <v>0</v>
      </c>
      <c r="Q63" s="37">
        <f t="shared" ca="1" si="25"/>
        <v>0</v>
      </c>
      <c r="R63" s="37">
        <f t="shared" ca="1" si="25"/>
        <v>0</v>
      </c>
      <c r="S63" s="37">
        <f t="shared" ca="1" si="25"/>
        <v>0</v>
      </c>
      <c r="T63" s="37">
        <f t="shared" ca="1" si="25"/>
        <v>0</v>
      </c>
      <c r="U63" s="37">
        <f t="shared" ca="1" si="25"/>
        <v>0</v>
      </c>
      <c r="V63" s="37">
        <f t="shared" ca="1" si="25"/>
        <v>0</v>
      </c>
      <c r="W63" s="37">
        <f t="shared" ca="1" si="25"/>
        <v>0</v>
      </c>
      <c r="X63" s="37">
        <f t="shared" ca="1" si="25"/>
        <v>0</v>
      </c>
      <c r="Y63" s="37">
        <f t="shared" ca="1" si="25"/>
        <v>0</v>
      </c>
      <c r="Z63" s="37">
        <f t="shared" ca="1" si="25"/>
        <v>0</v>
      </c>
      <c r="AA63" s="37">
        <f t="shared" ca="1" si="25"/>
        <v>0</v>
      </c>
      <c r="AB63" s="430"/>
    </row>
    <row r="64" spans="1:28">
      <c r="A64" s="20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430"/>
    </row>
    <row r="65" spans="1:28">
      <c r="A65" s="196"/>
      <c r="B65" s="15" t="s">
        <v>1922</v>
      </c>
      <c r="C65" s="15"/>
      <c r="D65" s="111"/>
      <c r="E65" s="37">
        <f t="shared" ref="E65:AA65" ca="1" si="26">((E62*2)+E63)/3</f>
        <v>0</v>
      </c>
      <c r="F65" s="37">
        <f t="shared" ca="1" si="26"/>
        <v>11517.133927228535</v>
      </c>
      <c r="G65" s="37">
        <f t="shared" ca="1" si="26"/>
        <v>41346.913926743699</v>
      </c>
      <c r="H65" s="37">
        <f t="shared" ca="1" si="26"/>
        <v>35588.346963129428</v>
      </c>
      <c r="I65" s="37">
        <f t="shared" ca="1" si="26"/>
        <v>0</v>
      </c>
      <c r="J65" s="37">
        <f t="shared" ca="1" si="26"/>
        <v>0</v>
      </c>
      <c r="K65" s="37">
        <f t="shared" ca="1" si="26"/>
        <v>0</v>
      </c>
      <c r="L65" s="37">
        <f t="shared" ca="1" si="26"/>
        <v>0</v>
      </c>
      <c r="M65" s="37">
        <f t="shared" ca="1" si="26"/>
        <v>0</v>
      </c>
      <c r="N65" s="37">
        <f t="shared" ca="1" si="26"/>
        <v>0</v>
      </c>
      <c r="O65" s="37">
        <f t="shared" ca="1" si="26"/>
        <v>0</v>
      </c>
      <c r="P65" s="37">
        <f t="shared" ca="1" si="26"/>
        <v>0</v>
      </c>
      <c r="Q65" s="37">
        <f t="shared" ca="1" si="26"/>
        <v>0</v>
      </c>
      <c r="R65" s="37">
        <f t="shared" ca="1" si="26"/>
        <v>0</v>
      </c>
      <c r="S65" s="37">
        <f t="shared" ca="1" si="26"/>
        <v>0</v>
      </c>
      <c r="T65" s="37">
        <f t="shared" ca="1" si="26"/>
        <v>0</v>
      </c>
      <c r="U65" s="37">
        <f t="shared" ca="1" si="26"/>
        <v>0</v>
      </c>
      <c r="V65" s="37">
        <f t="shared" ca="1" si="26"/>
        <v>0</v>
      </c>
      <c r="W65" s="37">
        <f t="shared" ca="1" si="26"/>
        <v>0</v>
      </c>
      <c r="X65" s="37">
        <f t="shared" ca="1" si="26"/>
        <v>0</v>
      </c>
      <c r="Y65" s="37">
        <f t="shared" ca="1" si="26"/>
        <v>0</v>
      </c>
      <c r="Z65" s="37">
        <f t="shared" ca="1" si="26"/>
        <v>0</v>
      </c>
      <c r="AA65" s="37">
        <f t="shared" ca="1" si="26"/>
        <v>0</v>
      </c>
      <c r="AB65" s="430"/>
    </row>
    <row r="66" spans="1:28">
      <c r="A66" s="196"/>
      <c r="B66" s="15" t="s">
        <v>1923</v>
      </c>
      <c r="C66" s="381">
        <f>Opic</f>
        <v>0.01</v>
      </c>
      <c r="D66" s="111"/>
      <c r="E66" s="383">
        <f t="shared" ref="E66:AA66" si="27">$C66</f>
        <v>0.01</v>
      </c>
      <c r="F66" s="383">
        <f t="shared" si="27"/>
        <v>0.01</v>
      </c>
      <c r="G66" s="383">
        <f t="shared" si="27"/>
        <v>0.01</v>
      </c>
      <c r="H66" s="383">
        <f t="shared" si="27"/>
        <v>0.01</v>
      </c>
      <c r="I66" s="383">
        <f t="shared" si="27"/>
        <v>0.01</v>
      </c>
      <c r="J66" s="383">
        <f t="shared" si="27"/>
        <v>0.01</v>
      </c>
      <c r="K66" s="383">
        <f t="shared" si="27"/>
        <v>0.01</v>
      </c>
      <c r="L66" s="383">
        <f t="shared" si="27"/>
        <v>0.01</v>
      </c>
      <c r="M66" s="383">
        <f t="shared" si="27"/>
        <v>0.01</v>
      </c>
      <c r="N66" s="383">
        <f t="shared" si="27"/>
        <v>0.01</v>
      </c>
      <c r="O66" s="383">
        <f t="shared" si="27"/>
        <v>0.01</v>
      </c>
      <c r="P66" s="383">
        <f t="shared" si="27"/>
        <v>0.01</v>
      </c>
      <c r="Q66" s="383">
        <f t="shared" si="27"/>
        <v>0.01</v>
      </c>
      <c r="R66" s="383">
        <f t="shared" si="27"/>
        <v>0.01</v>
      </c>
      <c r="S66" s="383">
        <f t="shared" si="27"/>
        <v>0.01</v>
      </c>
      <c r="T66" s="383">
        <f t="shared" si="27"/>
        <v>0.01</v>
      </c>
      <c r="U66" s="383">
        <f t="shared" si="27"/>
        <v>0.01</v>
      </c>
      <c r="V66" s="383">
        <f t="shared" si="27"/>
        <v>0.01</v>
      </c>
      <c r="W66" s="383">
        <f t="shared" si="27"/>
        <v>0.01</v>
      </c>
      <c r="X66" s="383">
        <f t="shared" si="27"/>
        <v>0.01</v>
      </c>
      <c r="Y66" s="383">
        <f t="shared" si="27"/>
        <v>0.01</v>
      </c>
      <c r="Z66" s="383">
        <f t="shared" si="27"/>
        <v>0.01</v>
      </c>
      <c r="AA66" s="383">
        <f t="shared" si="27"/>
        <v>0.01</v>
      </c>
      <c r="AB66" s="430"/>
    </row>
    <row r="67" spans="1:28">
      <c r="A67" s="486"/>
      <c r="B67" s="31" t="s">
        <v>1933</v>
      </c>
      <c r="C67" s="31"/>
      <c r="D67" s="382"/>
      <c r="E67" s="59">
        <f t="shared" ref="E67:AA67" ca="1" si="28">E65*E66</f>
        <v>0</v>
      </c>
      <c r="F67" s="59">
        <f t="shared" ca="1" si="28"/>
        <v>115.17133927228535</v>
      </c>
      <c r="G67" s="59">
        <f t="shared" ca="1" si="28"/>
        <v>413.46913926743701</v>
      </c>
      <c r="H67" s="59">
        <f t="shared" ca="1" si="28"/>
        <v>355.8834696312943</v>
      </c>
      <c r="I67" s="59">
        <f t="shared" ca="1" si="28"/>
        <v>0</v>
      </c>
      <c r="J67" s="59">
        <f t="shared" ca="1" si="28"/>
        <v>0</v>
      </c>
      <c r="K67" s="59">
        <f t="shared" ca="1" si="28"/>
        <v>0</v>
      </c>
      <c r="L67" s="59">
        <f t="shared" ca="1" si="28"/>
        <v>0</v>
      </c>
      <c r="M67" s="59">
        <f t="shared" ca="1" si="28"/>
        <v>0</v>
      </c>
      <c r="N67" s="59">
        <f t="shared" ca="1" si="28"/>
        <v>0</v>
      </c>
      <c r="O67" s="59">
        <f t="shared" ca="1" si="28"/>
        <v>0</v>
      </c>
      <c r="P67" s="59">
        <f t="shared" ca="1" si="28"/>
        <v>0</v>
      </c>
      <c r="Q67" s="59">
        <f t="shared" ca="1" si="28"/>
        <v>0</v>
      </c>
      <c r="R67" s="59">
        <f t="shared" ca="1" si="28"/>
        <v>0</v>
      </c>
      <c r="S67" s="59">
        <f t="shared" ca="1" si="28"/>
        <v>0</v>
      </c>
      <c r="T67" s="59">
        <f t="shared" ca="1" si="28"/>
        <v>0</v>
      </c>
      <c r="U67" s="59">
        <f t="shared" ca="1" si="28"/>
        <v>0</v>
      </c>
      <c r="V67" s="59">
        <f t="shared" ca="1" si="28"/>
        <v>0</v>
      </c>
      <c r="W67" s="59">
        <f t="shared" ca="1" si="28"/>
        <v>0</v>
      </c>
      <c r="X67" s="59">
        <f t="shared" ca="1" si="28"/>
        <v>0</v>
      </c>
      <c r="Y67" s="59">
        <f t="shared" ca="1" si="28"/>
        <v>0</v>
      </c>
      <c r="Z67" s="59">
        <f t="shared" ca="1" si="28"/>
        <v>0</v>
      </c>
      <c r="AA67" s="59">
        <f t="shared" ca="1" si="28"/>
        <v>0</v>
      </c>
      <c r="AB67" s="488">
        <f ca="1">SUM(E67:AA67)</f>
        <v>884.52394817101663</v>
      </c>
    </row>
    <row r="68" spans="1:28">
      <c r="A68" s="20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430"/>
    </row>
    <row r="69" spans="1:28">
      <c r="A69" s="485" t="s">
        <v>172</v>
      </c>
      <c r="B69" s="15"/>
      <c r="C69" s="15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430"/>
    </row>
    <row r="70" spans="1:28">
      <c r="A70" s="196"/>
      <c r="B70" s="15" t="s">
        <v>173</v>
      </c>
      <c r="C70" s="15"/>
      <c r="D70" s="43" t="s">
        <v>1916</v>
      </c>
      <c r="E70" s="37">
        <f>MAX(-SUM('Enron Returns'!$D$65:D$67),0)</f>
        <v>0</v>
      </c>
      <c r="F70" s="37">
        <f ca="1">MAX(-SUM('Enron Returns'!$D$65:E$67),0)</f>
        <v>0</v>
      </c>
      <c r="G70" s="37">
        <f ca="1">MAX(-SUM('Enron Returns'!$D$65:F$67),0)</f>
        <v>0</v>
      </c>
      <c r="H70" s="37">
        <f ca="1">MAX(-SUM('Enron Returns'!$D$65:G$67),0)</f>
        <v>0</v>
      </c>
      <c r="I70" s="37">
        <f ca="1">MAX(-SUM('Enron Returns'!$D$65:H$67),0)</f>
        <v>24523.248426277434</v>
      </c>
      <c r="J70" s="37">
        <f ca="1">MAX(-SUM('Enron Returns'!$D$65:I$67),0)</f>
        <v>32648.314828997878</v>
      </c>
      <c r="K70" s="37">
        <f ca="1">MAX(-SUM('Enron Returns'!$D$65:J$67),0)</f>
        <v>31185.920511298194</v>
      </c>
      <c r="L70" s="37">
        <f ca="1">MAX(-SUM('Enron Returns'!$D$65:K$67),0)</f>
        <v>29527.236316305276</v>
      </c>
      <c r="M70" s="37">
        <f ca="1">MAX(-SUM('Enron Returns'!$D$65:L$67),0)</f>
        <v>27645.91523523943</v>
      </c>
      <c r="N70" s="37">
        <f ca="1">MAX(-SUM('Enron Returns'!$D$65:M$67),0)</f>
        <v>25512.073832067523</v>
      </c>
      <c r="O70" s="37">
        <f ca="1">MAX(-SUM('Enron Returns'!$D$65:N$67),0)</f>
        <v>23091.817566554866</v>
      </c>
      <c r="P70" s="37">
        <f ca="1">MAX(-SUM('Enron Returns'!$D$65:O$67),0)</f>
        <v>20346.702403803774</v>
      </c>
      <c r="Q70" s="37">
        <f ca="1">MAX(-SUM('Enron Returns'!$D$65:P$67),0)</f>
        <v>17233.124158332419</v>
      </c>
      <c r="R70" s="37">
        <f ca="1">MAX(-SUM('Enron Returns'!$D$65:Q$67),0)</f>
        <v>13701.625872862673</v>
      </c>
      <c r="S70" s="37">
        <f ca="1">MAX(-SUM('Enron Returns'!$D$65:R$67),0)</f>
        <v>9696.1122300257521</v>
      </c>
      <c r="T70" s="37">
        <f ca="1">MAX(-SUM('Enron Returns'!$D$65:S$67),0)</f>
        <v>5152.9585184790476</v>
      </c>
      <c r="U70" s="37">
        <f ca="1">MAX(-SUM('Enron Returns'!$D$65:T$67),0)</f>
        <v>0</v>
      </c>
      <c r="V70" s="37">
        <f ca="1">MAX(-SUM('Enron Returns'!$D$65:U$67),0)</f>
        <v>0</v>
      </c>
      <c r="W70" s="37">
        <f ca="1">MAX(-SUM('Enron Returns'!$D$65:V$67),0)</f>
        <v>0</v>
      </c>
      <c r="X70" s="37">
        <f ca="1">MAX(-SUM('Enron Returns'!$D$65:W$67),0)</f>
        <v>0</v>
      </c>
      <c r="Y70" s="37">
        <f ca="1">MAX(-SUM('Enron Returns'!$D$65:X$67),0)</f>
        <v>0</v>
      </c>
      <c r="Z70" s="37">
        <f ca="1">MAX(-SUM('Enron Returns'!$D$65:Y$67),0)</f>
        <v>0</v>
      </c>
      <c r="AA70" s="37">
        <f ca="1">MAX(-SUM('Enron Returns'!$D$65:Z$67),0)</f>
        <v>0</v>
      </c>
      <c r="AB70" s="430"/>
    </row>
    <row r="71" spans="1:28">
      <c r="A71" s="196"/>
      <c r="B71" s="15" t="s">
        <v>265</v>
      </c>
      <c r="C71" s="15"/>
      <c r="D71" s="43" t="s">
        <v>1917</v>
      </c>
      <c r="E71" s="37">
        <f ca="1">MAX(-SUM('Enron Returns'!$E$65:E$67),0)</f>
        <v>0</v>
      </c>
      <c r="F71" s="37">
        <f ca="1">MAX(-SUM('Enron Returns'!$E$65:F$67),0)</f>
        <v>0</v>
      </c>
      <c r="G71" s="37">
        <f ca="1">MAX(-SUM('Enron Returns'!$E$65:G$67),0)</f>
        <v>0</v>
      </c>
      <c r="H71" s="37">
        <f ca="1">MAX(-SUM('Enron Returns'!$E$65:H$67),0)</f>
        <v>24523.248426277434</v>
      </c>
      <c r="I71" s="37">
        <f ca="1">MAX(-SUM('Enron Returns'!$E$65:I$67),0)</f>
        <v>32648.314828997878</v>
      </c>
      <c r="J71" s="37">
        <f ca="1">MAX(-SUM('Enron Returns'!$E$65:J$67),0)</f>
        <v>31185.920511298194</v>
      </c>
      <c r="K71" s="37">
        <f ca="1">MAX(-SUM('Enron Returns'!$E$65:K$67),0)</f>
        <v>29527.236316305276</v>
      </c>
      <c r="L71" s="37">
        <f ca="1">MAX(-SUM('Enron Returns'!$E$65:L$67),0)</f>
        <v>27645.91523523943</v>
      </c>
      <c r="M71" s="37">
        <f ca="1">MAX(-SUM('Enron Returns'!$E$65:M$67),0)</f>
        <v>25512.073832067523</v>
      </c>
      <c r="N71" s="37">
        <f ca="1">MAX(-SUM('Enron Returns'!$E$65:N$67),0)</f>
        <v>23091.817566554866</v>
      </c>
      <c r="O71" s="37">
        <f ca="1">MAX(-SUM('Enron Returns'!$E$65:O$67),0)</f>
        <v>20346.702403803774</v>
      </c>
      <c r="P71" s="37">
        <f ca="1">MAX(-SUM('Enron Returns'!$E$65:P$67),0)</f>
        <v>17233.124158332419</v>
      </c>
      <c r="Q71" s="37">
        <f ca="1">MAX(-SUM('Enron Returns'!$E$65:Q$67),0)</f>
        <v>13701.625872862673</v>
      </c>
      <c r="R71" s="37">
        <f ca="1">MAX(-SUM('Enron Returns'!$E$65:R$67),0)</f>
        <v>9696.1122300257521</v>
      </c>
      <c r="S71" s="37">
        <f ca="1">MAX(-SUM('Enron Returns'!$E$65:S$67),0)</f>
        <v>5152.9585184790476</v>
      </c>
      <c r="T71" s="37">
        <f ca="1">MAX(-SUM('Enron Returns'!$E$65:T$67),0)</f>
        <v>0</v>
      </c>
      <c r="U71" s="37">
        <f ca="1">MAX(-SUM('Enron Returns'!$E$65:U$67),0)</f>
        <v>0</v>
      </c>
      <c r="V71" s="37">
        <f ca="1">MAX(-SUM('Enron Returns'!$E$65:V$67),0)</f>
        <v>0</v>
      </c>
      <c r="W71" s="37">
        <f ca="1">MAX(-SUM('Enron Returns'!$E$65:W$67),0)</f>
        <v>0</v>
      </c>
      <c r="X71" s="37">
        <f ca="1">MAX(-SUM('Enron Returns'!$E$65:X$67),0)</f>
        <v>0</v>
      </c>
      <c r="Y71" s="37">
        <f ca="1">MAX(-SUM('Enron Returns'!$E$65:Y$67),0)</f>
        <v>0</v>
      </c>
      <c r="Z71" s="37">
        <f ca="1">MAX(-SUM('Enron Returns'!$E$65:Z$67),0)</f>
        <v>0</v>
      </c>
      <c r="AA71" s="37">
        <f ca="1">MAX(-SUM('Enron Returns'!$E$65:AA$67),0)</f>
        <v>0</v>
      </c>
      <c r="AB71" s="430"/>
    </row>
    <row r="72" spans="1:28">
      <c r="A72" s="196"/>
      <c r="B72" s="15"/>
      <c r="C72" s="15"/>
      <c r="D72" s="111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430"/>
    </row>
    <row r="73" spans="1:28">
      <c r="A73" s="196"/>
      <c r="B73" s="15" t="s">
        <v>1918</v>
      </c>
      <c r="C73" s="15"/>
      <c r="D73" s="43" t="s">
        <v>1919</v>
      </c>
      <c r="E73" s="37">
        <f ca="1">IF(MAX(E$70,E$71)&lt;0,0,MAX(E$70,E$71))</f>
        <v>0</v>
      </c>
      <c r="F73" s="37">
        <f t="shared" ref="F73:AA73" ca="1" si="29">IF(MAX(F$70,F$71)&lt;0,0,MAX(F$70,F$71))</f>
        <v>0</v>
      </c>
      <c r="G73" s="37">
        <f t="shared" ca="1" si="29"/>
        <v>0</v>
      </c>
      <c r="H73" s="37">
        <f t="shared" ca="1" si="29"/>
        <v>24523.248426277434</v>
      </c>
      <c r="I73" s="37">
        <f t="shared" ca="1" si="29"/>
        <v>32648.314828997878</v>
      </c>
      <c r="J73" s="37">
        <f t="shared" ca="1" si="29"/>
        <v>32648.314828997878</v>
      </c>
      <c r="K73" s="37">
        <f t="shared" ca="1" si="29"/>
        <v>31185.920511298194</v>
      </c>
      <c r="L73" s="37">
        <f t="shared" ca="1" si="29"/>
        <v>29527.236316305276</v>
      </c>
      <c r="M73" s="37">
        <f t="shared" ca="1" si="29"/>
        <v>27645.91523523943</v>
      </c>
      <c r="N73" s="37">
        <f t="shared" ca="1" si="29"/>
        <v>25512.073832067523</v>
      </c>
      <c r="O73" s="37">
        <f t="shared" ca="1" si="29"/>
        <v>23091.817566554866</v>
      </c>
      <c r="P73" s="37">
        <f t="shared" ca="1" si="29"/>
        <v>20346.702403803774</v>
      </c>
      <c r="Q73" s="37">
        <f t="shared" ca="1" si="29"/>
        <v>17233.124158332419</v>
      </c>
      <c r="R73" s="37">
        <f t="shared" ca="1" si="29"/>
        <v>13701.625872862673</v>
      </c>
      <c r="S73" s="37">
        <f t="shared" ca="1" si="29"/>
        <v>9696.1122300257521</v>
      </c>
      <c r="T73" s="37">
        <f t="shared" ca="1" si="29"/>
        <v>5152.9585184790476</v>
      </c>
      <c r="U73" s="37">
        <f t="shared" ca="1" si="29"/>
        <v>0</v>
      </c>
      <c r="V73" s="37">
        <f t="shared" ca="1" si="29"/>
        <v>0</v>
      </c>
      <c r="W73" s="37">
        <f t="shared" ca="1" si="29"/>
        <v>0</v>
      </c>
      <c r="X73" s="37">
        <f t="shared" ca="1" si="29"/>
        <v>0</v>
      </c>
      <c r="Y73" s="37">
        <f t="shared" ca="1" si="29"/>
        <v>0</v>
      </c>
      <c r="Z73" s="37">
        <f t="shared" ca="1" si="29"/>
        <v>0</v>
      </c>
      <c r="AA73" s="37">
        <f t="shared" ca="1" si="29"/>
        <v>0</v>
      </c>
      <c r="AB73" s="430"/>
    </row>
    <row r="74" spans="1:28">
      <c r="A74" s="196"/>
      <c r="B74" s="15" t="s">
        <v>1920</v>
      </c>
      <c r="C74" s="15"/>
      <c r="D74" s="43" t="s">
        <v>1921</v>
      </c>
      <c r="E74" s="37">
        <f ca="1">IF(MIN(E$70,E$71)&lt;0,0,MIN(E$70,E$521))</f>
        <v>0</v>
      </c>
      <c r="F74" s="37">
        <f t="shared" ref="F74:AA74" ca="1" si="30">IF(MIN(F$70,F$71)&lt;0,0,MIN(F$70,F$521))</f>
        <v>0</v>
      </c>
      <c r="G74" s="37">
        <f t="shared" ca="1" si="30"/>
        <v>0</v>
      </c>
      <c r="H74" s="37">
        <f t="shared" ca="1" si="30"/>
        <v>0</v>
      </c>
      <c r="I74" s="37">
        <f t="shared" ca="1" si="30"/>
        <v>24523.248426277434</v>
      </c>
      <c r="J74" s="37">
        <f t="shared" ca="1" si="30"/>
        <v>32648.314828997878</v>
      </c>
      <c r="K74" s="37">
        <f t="shared" ca="1" si="30"/>
        <v>31185.920511298194</v>
      </c>
      <c r="L74" s="37">
        <f t="shared" ca="1" si="30"/>
        <v>29527.236316305276</v>
      </c>
      <c r="M74" s="37">
        <f t="shared" ca="1" si="30"/>
        <v>27645.91523523943</v>
      </c>
      <c r="N74" s="37">
        <f t="shared" ca="1" si="30"/>
        <v>25512.073832067523</v>
      </c>
      <c r="O74" s="37">
        <f t="shared" ca="1" si="30"/>
        <v>23091.817566554866</v>
      </c>
      <c r="P74" s="37">
        <f t="shared" ca="1" si="30"/>
        <v>20346.702403803774</v>
      </c>
      <c r="Q74" s="37">
        <f t="shared" ca="1" si="30"/>
        <v>17233.124158332419</v>
      </c>
      <c r="R74" s="37">
        <f t="shared" ca="1" si="30"/>
        <v>13701.625872862673</v>
      </c>
      <c r="S74" s="37">
        <f t="shared" ca="1" si="30"/>
        <v>9696.1122300257521</v>
      </c>
      <c r="T74" s="37">
        <f t="shared" ca="1" si="30"/>
        <v>5152.9585184790476</v>
      </c>
      <c r="U74" s="37">
        <f t="shared" ca="1" si="30"/>
        <v>0</v>
      </c>
      <c r="V74" s="37">
        <f t="shared" ca="1" si="30"/>
        <v>0</v>
      </c>
      <c r="W74" s="37">
        <f t="shared" ca="1" si="30"/>
        <v>0</v>
      </c>
      <c r="X74" s="37">
        <f t="shared" ca="1" si="30"/>
        <v>0</v>
      </c>
      <c r="Y74" s="37">
        <f t="shared" ca="1" si="30"/>
        <v>0</v>
      </c>
      <c r="Z74" s="37">
        <f t="shared" ca="1" si="30"/>
        <v>0</v>
      </c>
      <c r="AA74" s="37">
        <f t="shared" ca="1" si="30"/>
        <v>0</v>
      </c>
      <c r="AB74" s="430"/>
    </row>
    <row r="75" spans="1:28">
      <c r="A75" s="20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430"/>
    </row>
    <row r="76" spans="1:28">
      <c r="A76" s="196"/>
      <c r="B76" s="15" t="s">
        <v>1922</v>
      </c>
      <c r="C76" s="15"/>
      <c r="D76" s="111"/>
      <c r="E76" s="37">
        <f t="shared" ref="E76:AA76" ca="1" si="31">((E73*2)+E74)/3</f>
        <v>0</v>
      </c>
      <c r="F76" s="37">
        <f t="shared" ca="1" si="31"/>
        <v>0</v>
      </c>
      <c r="G76" s="37">
        <f t="shared" ca="1" si="31"/>
        <v>0</v>
      </c>
      <c r="H76" s="37">
        <f t="shared" ca="1" si="31"/>
        <v>16348.832284184957</v>
      </c>
      <c r="I76" s="37">
        <f t="shared" ca="1" si="31"/>
        <v>29939.959361424397</v>
      </c>
      <c r="J76" s="37">
        <f t="shared" ca="1" si="31"/>
        <v>32648.314828997874</v>
      </c>
      <c r="K76" s="37">
        <f t="shared" ca="1" si="31"/>
        <v>31185.920511298191</v>
      </c>
      <c r="L76" s="37">
        <f t="shared" ca="1" si="31"/>
        <v>29527.236316305276</v>
      </c>
      <c r="M76" s="37">
        <f t="shared" ca="1" si="31"/>
        <v>27645.91523523943</v>
      </c>
      <c r="N76" s="37">
        <f t="shared" ca="1" si="31"/>
        <v>25512.073832067526</v>
      </c>
      <c r="O76" s="37">
        <f t="shared" ca="1" si="31"/>
        <v>23091.817566554866</v>
      </c>
      <c r="P76" s="37">
        <f t="shared" ca="1" si="31"/>
        <v>20346.702403803774</v>
      </c>
      <c r="Q76" s="37">
        <f t="shared" ca="1" si="31"/>
        <v>17233.124158332419</v>
      </c>
      <c r="R76" s="37">
        <f t="shared" ca="1" si="31"/>
        <v>13701.625872862673</v>
      </c>
      <c r="S76" s="37">
        <f t="shared" ca="1" si="31"/>
        <v>9696.1122300257521</v>
      </c>
      <c r="T76" s="37">
        <f t="shared" ca="1" si="31"/>
        <v>5152.9585184790476</v>
      </c>
      <c r="U76" s="37">
        <f t="shared" ca="1" si="31"/>
        <v>0</v>
      </c>
      <c r="V76" s="37">
        <f t="shared" ca="1" si="31"/>
        <v>0</v>
      </c>
      <c r="W76" s="37">
        <f t="shared" ca="1" si="31"/>
        <v>0</v>
      </c>
      <c r="X76" s="37">
        <f t="shared" ca="1" si="31"/>
        <v>0</v>
      </c>
      <c r="Y76" s="37">
        <f t="shared" ca="1" si="31"/>
        <v>0</v>
      </c>
      <c r="Z76" s="37">
        <f t="shared" ca="1" si="31"/>
        <v>0</v>
      </c>
      <c r="AA76" s="37">
        <f t="shared" ca="1" si="31"/>
        <v>0</v>
      </c>
      <c r="AB76" s="430"/>
    </row>
    <row r="77" spans="1:28">
      <c r="A77" s="196"/>
      <c r="B77" s="15" t="s">
        <v>1923</v>
      </c>
      <c r="C77" s="381">
        <f>Opic</f>
        <v>0.01</v>
      </c>
      <c r="D77" s="111"/>
      <c r="E77" s="383">
        <f t="shared" ref="E77:AA77" si="32">$C77</f>
        <v>0.01</v>
      </c>
      <c r="F77" s="383">
        <f t="shared" si="32"/>
        <v>0.01</v>
      </c>
      <c r="G77" s="383">
        <f t="shared" si="32"/>
        <v>0.01</v>
      </c>
      <c r="H77" s="383">
        <f t="shared" si="32"/>
        <v>0.01</v>
      </c>
      <c r="I77" s="383">
        <f t="shared" si="32"/>
        <v>0.01</v>
      </c>
      <c r="J77" s="383">
        <f t="shared" si="32"/>
        <v>0.01</v>
      </c>
      <c r="K77" s="383">
        <f t="shared" si="32"/>
        <v>0.01</v>
      </c>
      <c r="L77" s="383">
        <f t="shared" si="32"/>
        <v>0.01</v>
      </c>
      <c r="M77" s="383">
        <f t="shared" si="32"/>
        <v>0.01</v>
      </c>
      <c r="N77" s="383">
        <f t="shared" si="32"/>
        <v>0.01</v>
      </c>
      <c r="O77" s="383">
        <f t="shared" si="32"/>
        <v>0.01</v>
      </c>
      <c r="P77" s="383">
        <f t="shared" si="32"/>
        <v>0.01</v>
      </c>
      <c r="Q77" s="383">
        <f t="shared" si="32"/>
        <v>0.01</v>
      </c>
      <c r="R77" s="383">
        <f t="shared" si="32"/>
        <v>0.01</v>
      </c>
      <c r="S77" s="383">
        <f t="shared" si="32"/>
        <v>0.01</v>
      </c>
      <c r="T77" s="383">
        <f t="shared" si="32"/>
        <v>0.01</v>
      </c>
      <c r="U77" s="383">
        <f t="shared" si="32"/>
        <v>0.01</v>
      </c>
      <c r="V77" s="383">
        <f t="shared" si="32"/>
        <v>0.01</v>
      </c>
      <c r="W77" s="383">
        <f t="shared" si="32"/>
        <v>0.01</v>
      </c>
      <c r="X77" s="383">
        <f t="shared" si="32"/>
        <v>0.01</v>
      </c>
      <c r="Y77" s="383">
        <f t="shared" si="32"/>
        <v>0.01</v>
      </c>
      <c r="Z77" s="383">
        <f t="shared" si="32"/>
        <v>0.01</v>
      </c>
      <c r="AA77" s="383">
        <f t="shared" si="32"/>
        <v>0.01</v>
      </c>
      <c r="AB77" s="430"/>
    </row>
    <row r="78" spans="1:28">
      <c r="A78" s="486"/>
      <c r="B78" s="31" t="s">
        <v>266</v>
      </c>
      <c r="C78" s="31"/>
      <c r="D78" s="382"/>
      <c r="E78" s="59">
        <f t="shared" ref="E78:AA78" ca="1" si="33">E76*E77</f>
        <v>0</v>
      </c>
      <c r="F78" s="59">
        <f t="shared" ca="1" si="33"/>
        <v>0</v>
      </c>
      <c r="G78" s="59">
        <f t="shared" ca="1" si="33"/>
        <v>0</v>
      </c>
      <c r="H78" s="59">
        <f t="shared" ca="1" si="33"/>
        <v>163.48832284184957</v>
      </c>
      <c r="I78" s="59">
        <f t="shared" ca="1" si="33"/>
        <v>299.399593614244</v>
      </c>
      <c r="J78" s="59">
        <f t="shared" ca="1" si="33"/>
        <v>326.48314828997877</v>
      </c>
      <c r="K78" s="59">
        <f t="shared" ca="1" si="33"/>
        <v>311.8592051129819</v>
      </c>
      <c r="L78" s="59">
        <f t="shared" ca="1" si="33"/>
        <v>295.27236316305277</v>
      </c>
      <c r="M78" s="59">
        <f t="shared" ca="1" si="33"/>
        <v>276.45915235239431</v>
      </c>
      <c r="N78" s="59">
        <f t="shared" ca="1" si="33"/>
        <v>255.12073832067526</v>
      </c>
      <c r="O78" s="59">
        <f t="shared" ca="1" si="33"/>
        <v>230.91817566554866</v>
      </c>
      <c r="P78" s="59">
        <f t="shared" ca="1" si="33"/>
        <v>203.46702403803775</v>
      </c>
      <c r="Q78" s="59">
        <f t="shared" ca="1" si="33"/>
        <v>172.33124158332419</v>
      </c>
      <c r="R78" s="59">
        <f t="shared" ca="1" si="33"/>
        <v>137.01625872862672</v>
      </c>
      <c r="S78" s="59">
        <f t="shared" ca="1" si="33"/>
        <v>96.961122300257529</v>
      </c>
      <c r="T78" s="59">
        <f t="shared" ca="1" si="33"/>
        <v>51.529585184790477</v>
      </c>
      <c r="U78" s="59">
        <f t="shared" ca="1" si="33"/>
        <v>0</v>
      </c>
      <c r="V78" s="59">
        <f t="shared" ca="1" si="33"/>
        <v>0</v>
      </c>
      <c r="W78" s="59">
        <f t="shared" ca="1" si="33"/>
        <v>0</v>
      </c>
      <c r="X78" s="59">
        <f t="shared" ca="1" si="33"/>
        <v>0</v>
      </c>
      <c r="Y78" s="59">
        <f t="shared" ca="1" si="33"/>
        <v>0</v>
      </c>
      <c r="Z78" s="59">
        <f t="shared" ca="1" si="33"/>
        <v>0</v>
      </c>
      <c r="AA78" s="59">
        <f t="shared" ca="1" si="33"/>
        <v>0</v>
      </c>
      <c r="AB78" s="488">
        <f ca="1">SUM(E78:AA78)</f>
        <v>2820.3059311957622</v>
      </c>
    </row>
    <row r="79" spans="1:28">
      <c r="A79" s="20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430"/>
    </row>
    <row r="80" spans="1:28">
      <c r="A80" s="485" t="s">
        <v>1451</v>
      </c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430"/>
    </row>
    <row r="81" spans="1:28">
      <c r="A81" s="20"/>
      <c r="B81" s="15" t="s">
        <v>458</v>
      </c>
      <c r="C81" s="15"/>
      <c r="D81" s="15"/>
      <c r="E81" s="15"/>
      <c r="F81" s="37">
        <f ca="1">CF!D$40</f>
        <v>0</v>
      </c>
      <c r="G81" s="37">
        <f ca="1">CF!E$40</f>
        <v>-1884.683815190303</v>
      </c>
      <c r="H81" s="37">
        <f ca="1">CF!F$40</f>
        <v>3833.7471296736844</v>
      </c>
      <c r="I81" s="37">
        <f ca="1">CF!G$40</f>
        <v>24853.01972011711</v>
      </c>
      <c r="J81" s="37">
        <f ca="1">CF!H$40</f>
        <v>38790.727566757436</v>
      </c>
      <c r="K81" s="37">
        <f ca="1">CF!I$40</f>
        <v>43280.340043858057</v>
      </c>
      <c r="L81" s="37">
        <f ca="1">CF!J$40</f>
        <v>29847.34770430826</v>
      </c>
      <c r="M81" s="37">
        <f ca="1">CF!K$40</f>
        <v>51952.409885764719</v>
      </c>
      <c r="N81" s="37">
        <f ca="1">CF!L$40</f>
        <v>52322.048075224928</v>
      </c>
      <c r="O81" s="37">
        <f ca="1">CF!M$40</f>
        <v>49934.031614564294</v>
      </c>
      <c r="P81" s="37">
        <f ca="1">CF!N$40</f>
        <v>46089.974758769531</v>
      </c>
      <c r="Q81" s="37">
        <f ca="1">CF!O$40</f>
        <v>44888.810180747132</v>
      </c>
      <c r="R81" s="37">
        <f ca="1">CF!P$40</f>
        <v>45356.385269219871</v>
      </c>
      <c r="S81" s="37">
        <f ca="1">CF!Q$40</f>
        <v>44074.733972475493</v>
      </c>
      <c r="T81" s="37">
        <f ca="1">CF!R$40</f>
        <v>36792.506934076999</v>
      </c>
      <c r="U81" s="37">
        <f ca="1">CF!S$40</f>
        <v>39497.576043204674</v>
      </c>
      <c r="V81" s="37">
        <f ca="1">CF!T$40</f>
        <v>26755.423656923886</v>
      </c>
      <c r="W81" s="37">
        <f ca="1">CF!U$40</f>
        <v>11005.816868097498</v>
      </c>
      <c r="X81" s="37">
        <f ca="1">CF!V$40</f>
        <v>6085.6504638310444</v>
      </c>
      <c r="Y81" s="37">
        <f ca="1">CF!W$40</f>
        <v>4689.9136385086094</v>
      </c>
      <c r="Z81" s="37">
        <f ca="1">CF!X$40</f>
        <v>6224.605292607439</v>
      </c>
      <c r="AA81" s="37">
        <f ca="1">CF!Y$40</f>
        <v>2417.9522208909543</v>
      </c>
      <c r="AB81" s="489"/>
    </row>
    <row r="82" spans="1:28">
      <c r="A82" s="20"/>
      <c r="B82" s="15" t="s">
        <v>1367</v>
      </c>
      <c r="C82" s="15"/>
      <c r="D82" s="15"/>
      <c r="E82" s="15"/>
      <c r="F82" s="142">
        <f ca="1">IF(CF!D$6&gt;Assm!$AB$73,0,'Debt Amort'!D$14)</f>
        <v>0</v>
      </c>
      <c r="G82" s="142">
        <f ca="1">IF(CF!E$6&gt;Assm!$AB$73,0,'Debt Amort'!E$14)</f>
        <v>0</v>
      </c>
      <c r="H82" s="142">
        <f ca="1">IF(CF!F$6&gt;Assm!$AB$73,0,'Debt Amort'!F$14)</f>
        <v>0</v>
      </c>
      <c r="I82" s="142">
        <f ca="1">IF(CF!G$6&gt;Assm!$AB$73,0,'Debt Amort'!G$14)</f>
        <v>6866.1388759198016</v>
      </c>
      <c r="J82" s="142">
        <f ca="1">IF(CF!H$6&gt;Assm!$AB$73,0,'Debt Amort'!H$14)</f>
        <v>28400.662896322785</v>
      </c>
      <c r="K82" s="142">
        <f ca="1">IF(CF!I$6&gt;Assm!$AB$73,0,'Debt Amort'!I$14)</f>
        <v>27982.044602879432</v>
      </c>
      <c r="L82" s="142">
        <f ca="1">IF(CF!J$6&gt;Assm!$AB$73,0,'Debt Amort'!J$14)</f>
        <v>28779.10200862803</v>
      </c>
      <c r="M82" s="142">
        <f ca="1">IF(CF!K$6&gt;Assm!$AB$73,0,'Debt Amort'!K$14)</f>
        <v>28451.014413264595</v>
      </c>
      <c r="N82" s="142">
        <f ca="1">IF(CF!L$6&gt;Assm!$AB$73,0,'Debt Amort'!L$14)</f>
        <v>27789.720964977005</v>
      </c>
      <c r="O82" s="142">
        <f ca="1">IF(CF!M$6&gt;Assm!$AB$73,0,'Debt Amort'!M$14)</f>
        <v>26908.899377556747</v>
      </c>
      <c r="P82" s="142">
        <f ca="1">IF(CF!N$6&gt;Assm!$AB$73,0,'Debt Amort'!N$14)</f>
        <v>24773.496132536115</v>
      </c>
      <c r="Q82" s="142">
        <f ca="1">IF(CF!O$6&gt;Assm!$AB$73,0,'Debt Amort'!O$14)</f>
        <v>22797.782993773566</v>
      </c>
      <c r="R82" s="142">
        <f ca="1">IF(CF!P$6&gt;Assm!$AB$73,0,'Debt Amort'!P$14)</f>
        <v>21842.239680064529</v>
      </c>
      <c r="S82" s="142">
        <f ca="1">IF(CF!Q$6&gt;Assm!$AB$73,0,'Debt Amort'!Q$14)</f>
        <v>21370.166261172559</v>
      </c>
      <c r="T82" s="142">
        <f ca="1">IF(CF!R$6&gt;Assm!$AB$73,0,'Debt Amort'!R$14)</f>
        <v>16968.23405998986</v>
      </c>
      <c r="U82" s="142">
        <f ca="1">IF(CF!S$6&gt;Assm!$AB$73,0,'Debt Amort'!S$14)</f>
        <v>15906.230675442101</v>
      </c>
      <c r="V82" s="142">
        <f ca="1">IF(CF!T$6&gt;Assm!$AB$73,0,'Debt Amort'!T$14)</f>
        <v>14953.280650627519</v>
      </c>
      <c r="W82" s="142">
        <f ca="1">IF(CF!U$6&gt;Assm!$AB$73,0,'Debt Amort'!U$14)</f>
        <v>12995.229841610077</v>
      </c>
      <c r="X82" s="142">
        <f ca="1">IF(CF!V$6&gt;Assm!$AB$73,0,'Debt Amort'!V$14)</f>
        <v>0</v>
      </c>
      <c r="Y82" s="142">
        <f ca="1">IF(CF!W$6&gt;Assm!$AB$73,0,'Debt Amort'!W$14)</f>
        <v>0</v>
      </c>
      <c r="Z82" s="142">
        <f ca="1">IF(CF!X$6&gt;Assm!$AB$73,0,'Debt Amort'!X$14)</f>
        <v>0</v>
      </c>
      <c r="AA82" s="142">
        <f ca="1">IF(CF!Y$6&gt;Assm!$AB$73,0,'Debt Amort'!Y$14)</f>
        <v>0</v>
      </c>
      <c r="AB82" s="489"/>
    </row>
    <row r="83" spans="1:28" s="15" customFormat="1">
      <c r="A83" s="20"/>
      <c r="B83" s="15" t="s">
        <v>1432</v>
      </c>
      <c r="C83" s="43" t="s">
        <v>1368</v>
      </c>
      <c r="F83" s="321" t="str">
        <f t="shared" ref="F83:AA83" ca="1" si="34">IF(F82=0,"N/A",F81/F82)</f>
        <v>N/A</v>
      </c>
      <c r="G83" s="321" t="str">
        <f t="shared" ca="1" si="34"/>
        <v>N/A</v>
      </c>
      <c r="H83" s="321" t="str">
        <f t="shared" ca="1" si="34"/>
        <v>N/A</v>
      </c>
      <c r="I83" s="321">
        <f t="shared" ca="1" si="34"/>
        <v>3.6196500200831943</v>
      </c>
      <c r="J83" s="321">
        <f t="shared" ca="1" si="34"/>
        <v>1.3658388083533051</v>
      </c>
      <c r="K83" s="321">
        <f t="shared" ca="1" si="34"/>
        <v>1.546718285175072</v>
      </c>
      <c r="L83" s="321">
        <f t="shared" ca="1" si="34"/>
        <v>1.0371187987505646</v>
      </c>
      <c r="M83" s="321">
        <f t="shared" ca="1" si="34"/>
        <v>1.8260301418828557</v>
      </c>
      <c r="N83" s="321">
        <f t="shared" ca="1" si="34"/>
        <v>1.8827842187104242</v>
      </c>
      <c r="O83" s="321">
        <f t="shared" ca="1" si="34"/>
        <v>1.855669788419944</v>
      </c>
      <c r="P83" s="321">
        <f t="shared" ca="1" si="34"/>
        <v>1.8604550004646923</v>
      </c>
      <c r="Q83" s="321">
        <f t="shared" ca="1" si="34"/>
        <v>1.9689989238430321</v>
      </c>
      <c r="R83" s="321">
        <f t="shared" ca="1" si="34"/>
        <v>2.0765446187561416</v>
      </c>
      <c r="S83" s="321">
        <f t="shared" ca="1" si="34"/>
        <v>2.0624422586994489</v>
      </c>
      <c r="T83" s="321">
        <f t="shared" ca="1" si="34"/>
        <v>2.1683167973756126</v>
      </c>
      <c r="U83" s="321">
        <f t="shared" ca="1" si="34"/>
        <v>2.4831512159688249</v>
      </c>
      <c r="V83" s="321">
        <f t="shared" ca="1" si="34"/>
        <v>1.7892678056437792</v>
      </c>
      <c r="W83" s="321">
        <f t="shared" ca="1" si="34"/>
        <v>0.84691205944333681</v>
      </c>
      <c r="X83" s="321" t="str">
        <f t="shared" ca="1" si="34"/>
        <v>N/A</v>
      </c>
      <c r="Y83" s="321" t="str">
        <f t="shared" ca="1" si="34"/>
        <v>N/A</v>
      </c>
      <c r="Z83" s="321" t="str">
        <f t="shared" ca="1" si="34"/>
        <v>N/A</v>
      </c>
      <c r="AA83" s="321" t="str">
        <f t="shared" ca="1" si="34"/>
        <v>N/A</v>
      </c>
      <c r="AB83" s="489"/>
    </row>
    <row r="84" spans="1:28" s="15" customFormat="1">
      <c r="A84" s="20"/>
      <c r="AB84" s="489"/>
    </row>
    <row r="85" spans="1:28">
      <c r="A85" s="20"/>
      <c r="B85" s="15" t="s">
        <v>458</v>
      </c>
      <c r="C85" s="15"/>
      <c r="D85" s="15"/>
      <c r="E85" s="15"/>
      <c r="F85" s="37">
        <f ca="1">CF!D$40</f>
        <v>0</v>
      </c>
      <c r="G85" s="37">
        <f ca="1">CF!E$40</f>
        <v>-1884.683815190303</v>
      </c>
      <c r="H85" s="37">
        <f ca="1">CF!F$40</f>
        <v>3833.7471296736844</v>
      </c>
      <c r="I85" s="37">
        <f ca="1">CF!G$40</f>
        <v>24853.01972011711</v>
      </c>
      <c r="J85" s="37">
        <f ca="1">CF!H$40</f>
        <v>38790.727566757436</v>
      </c>
      <c r="K85" s="37">
        <f ca="1">CF!I$40</f>
        <v>43280.340043858057</v>
      </c>
      <c r="L85" s="37">
        <f ca="1">CF!J$40</f>
        <v>29847.34770430826</v>
      </c>
      <c r="M85" s="37">
        <f ca="1">CF!K$40</f>
        <v>51952.409885764719</v>
      </c>
      <c r="N85" s="37">
        <f ca="1">CF!L$40</f>
        <v>52322.048075224928</v>
      </c>
      <c r="O85" s="37">
        <f ca="1">CF!M$40</f>
        <v>49934.031614564294</v>
      </c>
      <c r="P85" s="37">
        <f ca="1">CF!N$40</f>
        <v>46089.974758769531</v>
      </c>
      <c r="Q85" s="37">
        <f ca="1">CF!O$40</f>
        <v>44888.810180747132</v>
      </c>
      <c r="R85" s="37">
        <f ca="1">CF!P$40</f>
        <v>45356.385269219871</v>
      </c>
      <c r="S85" s="37">
        <f ca="1">CF!Q$40</f>
        <v>44074.733972475493</v>
      </c>
      <c r="T85" s="37">
        <f ca="1">CF!R$40</f>
        <v>36792.506934076999</v>
      </c>
      <c r="U85" s="37">
        <f ca="1">CF!S$40</f>
        <v>39497.576043204674</v>
      </c>
      <c r="V85" s="37">
        <f ca="1">CF!T$40</f>
        <v>26755.423656923886</v>
      </c>
      <c r="W85" s="37">
        <f ca="1">CF!U$40</f>
        <v>11005.816868097498</v>
      </c>
      <c r="X85" s="37">
        <f ca="1">CF!V$40</f>
        <v>6085.6504638310444</v>
      </c>
      <c r="Y85" s="37">
        <f ca="1">CF!W$40</f>
        <v>4689.9136385086094</v>
      </c>
      <c r="Z85" s="37">
        <f ca="1">CF!X$40</f>
        <v>6224.605292607439</v>
      </c>
      <c r="AA85" s="37">
        <f ca="1">CF!Y$40</f>
        <v>2417.9522208909543</v>
      </c>
      <c r="AB85" s="489"/>
    </row>
    <row r="86" spans="1:28">
      <c r="A86" s="20"/>
      <c r="B86" s="15" t="s">
        <v>803</v>
      </c>
      <c r="C86" s="15"/>
      <c r="D86" s="15"/>
      <c r="E86" s="15"/>
      <c r="F86" s="142">
        <f ca="1">CF!D$66</f>
        <v>0</v>
      </c>
      <c r="G86" s="142">
        <f ca="1">CF!E$66</f>
        <v>-93.824260089390435</v>
      </c>
      <c r="H86" s="142">
        <f ca="1">CF!F$66</f>
        <v>-475.40832983642508</v>
      </c>
      <c r="I86" s="142">
        <f ca="1">CF!G$66</f>
        <v>0</v>
      </c>
      <c r="J86" s="142">
        <f ca="1">CF!H$66</f>
        <v>0</v>
      </c>
      <c r="K86" s="142">
        <f ca="1">CF!I$66</f>
        <v>-28.190186594245574</v>
      </c>
      <c r="L86" s="142">
        <f ca="1">CF!J$66</f>
        <v>0</v>
      </c>
      <c r="M86" s="142">
        <f ca="1">CF!K$66</f>
        <v>-652.80393976146297</v>
      </c>
      <c r="N86" s="142">
        <f ca="1">CF!L$66</f>
        <v>-545.88848847571899</v>
      </c>
      <c r="O86" s="142">
        <f ca="1">CF!M$66</f>
        <v>-1647.3848057183986</v>
      </c>
      <c r="P86" s="142">
        <f ca="1">CF!N$66</f>
        <v>-1547.0298040823643</v>
      </c>
      <c r="Q86" s="142">
        <f ca="1">CF!O$66</f>
        <v>-325.29274891530639</v>
      </c>
      <c r="R86" s="142">
        <f ca="1">CF!P$66</f>
        <v>-751.37555318416423</v>
      </c>
      <c r="S86" s="142">
        <f ca="1">CF!Q$66</f>
        <v>-4540.7427212411676</v>
      </c>
      <c r="T86" s="142">
        <f ca="1">CF!R$66</f>
        <v>-3751.3142819057398</v>
      </c>
      <c r="U86" s="142">
        <f ca="1">CF!S$66</f>
        <v>0</v>
      </c>
      <c r="V86" s="142">
        <f ca="1">CF!T$66</f>
        <v>-2407.4435722135208</v>
      </c>
      <c r="W86" s="142">
        <f ca="1">CF!U$66</f>
        <v>0</v>
      </c>
      <c r="X86" s="142">
        <f ca="1">CF!V$66</f>
        <v>0</v>
      </c>
      <c r="Y86" s="142">
        <f ca="1">CF!W$66</f>
        <v>0</v>
      </c>
      <c r="Z86" s="142">
        <f ca="1">CF!X$66</f>
        <v>0</v>
      </c>
      <c r="AA86" s="142">
        <f ca="1">CF!Y$66</f>
        <v>0</v>
      </c>
      <c r="AB86" s="489"/>
    </row>
    <row r="87" spans="1:28">
      <c r="A87" s="20"/>
      <c r="B87" s="15" t="s">
        <v>1429</v>
      </c>
      <c r="C87" s="15"/>
      <c r="D87" s="15"/>
      <c r="E87" s="15"/>
      <c r="F87" s="37">
        <f t="shared" ref="F87:AA87" ca="1" si="35">SUM(F85:F86)</f>
        <v>0</v>
      </c>
      <c r="G87" s="37">
        <f t="shared" ca="1" si="35"/>
        <v>-1978.5080752796935</v>
      </c>
      <c r="H87" s="37">
        <f t="shared" ca="1" si="35"/>
        <v>3358.3387998372591</v>
      </c>
      <c r="I87" s="37">
        <f t="shared" ca="1" si="35"/>
        <v>24853.01972011711</v>
      </c>
      <c r="J87" s="37">
        <f t="shared" ca="1" si="35"/>
        <v>38790.727566757436</v>
      </c>
      <c r="K87" s="37">
        <f t="shared" ca="1" si="35"/>
        <v>43252.149857263808</v>
      </c>
      <c r="L87" s="37">
        <f t="shared" ca="1" si="35"/>
        <v>29847.34770430826</v>
      </c>
      <c r="M87" s="37">
        <f t="shared" ca="1" si="35"/>
        <v>51299.605946003256</v>
      </c>
      <c r="N87" s="37">
        <f t="shared" ca="1" si="35"/>
        <v>51776.159586749207</v>
      </c>
      <c r="O87" s="37">
        <f t="shared" ca="1" si="35"/>
        <v>48286.646808845893</v>
      </c>
      <c r="P87" s="37">
        <f t="shared" ca="1" si="35"/>
        <v>44542.944954687169</v>
      </c>
      <c r="Q87" s="37">
        <f t="shared" ca="1" si="35"/>
        <v>44563.517431831824</v>
      </c>
      <c r="R87" s="37">
        <f t="shared" ca="1" si="35"/>
        <v>44605.009716035704</v>
      </c>
      <c r="S87" s="37">
        <f t="shared" ca="1" si="35"/>
        <v>39533.991251234329</v>
      </c>
      <c r="T87" s="37">
        <f t="shared" ca="1" si="35"/>
        <v>33041.192652171259</v>
      </c>
      <c r="U87" s="37">
        <f t="shared" ca="1" si="35"/>
        <v>39497.576043204674</v>
      </c>
      <c r="V87" s="37">
        <f t="shared" ca="1" si="35"/>
        <v>24347.980084710365</v>
      </c>
      <c r="W87" s="37">
        <f t="shared" ca="1" si="35"/>
        <v>11005.816868097498</v>
      </c>
      <c r="X87" s="37">
        <f t="shared" ca="1" si="35"/>
        <v>6085.6504638310444</v>
      </c>
      <c r="Y87" s="37">
        <f t="shared" ca="1" si="35"/>
        <v>4689.9136385086094</v>
      </c>
      <c r="Z87" s="37">
        <f t="shared" ca="1" si="35"/>
        <v>6224.605292607439</v>
      </c>
      <c r="AA87" s="37">
        <f t="shared" ca="1" si="35"/>
        <v>2417.9522208909543</v>
      </c>
      <c r="AB87" s="489"/>
    </row>
    <row r="88" spans="1:28">
      <c r="A88" s="20"/>
      <c r="B88" s="15" t="s">
        <v>1367</v>
      </c>
      <c r="C88" s="15"/>
      <c r="D88" s="15"/>
      <c r="E88" s="15"/>
      <c r="F88" s="142">
        <f ca="1">IF(CF!D$6&gt;Assm!$AB$73,0,'Debt Amort'!D$14)</f>
        <v>0</v>
      </c>
      <c r="G88" s="142">
        <f ca="1">IF(CF!E$6&gt;Assm!$AB$73,0,'Debt Amort'!E$14)</f>
        <v>0</v>
      </c>
      <c r="H88" s="142">
        <f ca="1">IF(CF!F$6&gt;Assm!$AB$73,0,'Debt Amort'!F$14)</f>
        <v>0</v>
      </c>
      <c r="I88" s="142">
        <f ca="1">IF(CF!G$6&gt;Assm!$AB$73,0,'Debt Amort'!G$14)</f>
        <v>6866.1388759198016</v>
      </c>
      <c r="J88" s="142">
        <f ca="1">IF(CF!H$6&gt;Assm!$AB$73,0,'Debt Amort'!H$14)</f>
        <v>28400.662896322785</v>
      </c>
      <c r="K88" s="142">
        <f ca="1">IF(CF!I$6&gt;Assm!$AB$73,0,'Debt Amort'!I$14)</f>
        <v>27982.044602879432</v>
      </c>
      <c r="L88" s="142">
        <f ca="1">IF(CF!J$6&gt;Assm!$AB$73,0,'Debt Amort'!J$14)</f>
        <v>28779.10200862803</v>
      </c>
      <c r="M88" s="142">
        <f ca="1">IF(CF!K$6&gt;Assm!$AB$73,0,'Debt Amort'!K$14)</f>
        <v>28451.014413264595</v>
      </c>
      <c r="N88" s="142">
        <f ca="1">IF(CF!L$6&gt;Assm!$AB$73,0,'Debt Amort'!L$14)</f>
        <v>27789.720964977005</v>
      </c>
      <c r="O88" s="142">
        <f ca="1">IF(CF!M$6&gt;Assm!$AB$73,0,'Debt Amort'!M$14)</f>
        <v>26908.899377556747</v>
      </c>
      <c r="P88" s="142">
        <f ca="1">IF(CF!N$6&gt;Assm!$AB$73,0,'Debt Amort'!N$14)</f>
        <v>24773.496132536115</v>
      </c>
      <c r="Q88" s="142">
        <f ca="1">IF(CF!O$6&gt;Assm!$AB$73,0,'Debt Amort'!O$14)</f>
        <v>22797.782993773566</v>
      </c>
      <c r="R88" s="142">
        <f ca="1">IF(CF!P$6&gt;Assm!$AB$73,0,'Debt Amort'!P$14)</f>
        <v>21842.239680064529</v>
      </c>
      <c r="S88" s="142">
        <f ca="1">IF(CF!Q$6&gt;Assm!$AB$73,0,'Debt Amort'!Q$14)</f>
        <v>21370.166261172559</v>
      </c>
      <c r="T88" s="142">
        <f ca="1">IF(CF!R$6&gt;Assm!$AB$73,0,'Debt Amort'!R$14)</f>
        <v>16968.23405998986</v>
      </c>
      <c r="U88" s="142">
        <f ca="1">IF(CF!S$6&gt;Assm!$AB$73,0,'Debt Amort'!S$14)</f>
        <v>15906.230675442101</v>
      </c>
      <c r="V88" s="142">
        <f ca="1">IF(CF!T$6&gt;Assm!$AB$73,0,'Debt Amort'!T$14)</f>
        <v>14953.280650627519</v>
      </c>
      <c r="W88" s="142">
        <f ca="1">IF(CF!U$6&gt;Assm!$AB$73,0,'Debt Amort'!U$14)</f>
        <v>12995.229841610077</v>
      </c>
      <c r="X88" s="142">
        <f ca="1">IF(CF!V$6&gt;Assm!$AB$73,0,'Debt Amort'!V$14)</f>
        <v>0</v>
      </c>
      <c r="Y88" s="142">
        <f ca="1">IF(CF!W$6&gt;Assm!$AB$73,0,'Debt Amort'!W$14)</f>
        <v>0</v>
      </c>
      <c r="Z88" s="142">
        <f ca="1">IF(CF!X$6&gt;Assm!$AB$73,0,'Debt Amort'!X$14)</f>
        <v>0</v>
      </c>
      <c r="AA88" s="142">
        <f ca="1">IF(CF!Y$6&gt;Assm!$AB$73,0,'Debt Amort'!Y$14)</f>
        <v>0</v>
      </c>
      <c r="AB88" s="489"/>
    </row>
    <row r="89" spans="1:28" s="15" customFormat="1" ht="13.5" thickBot="1">
      <c r="A89" s="48"/>
      <c r="B89" s="49" t="s">
        <v>1430</v>
      </c>
      <c r="C89" s="380" t="s">
        <v>1431</v>
      </c>
      <c r="D89" s="49"/>
      <c r="E89" s="49"/>
      <c r="F89" s="487" t="str">
        <f t="shared" ref="F89:AA89" ca="1" si="36">IF(F88=0,"N/A",F87/F88)</f>
        <v>N/A</v>
      </c>
      <c r="G89" s="487" t="str">
        <f t="shared" ca="1" si="36"/>
        <v>N/A</v>
      </c>
      <c r="H89" s="487" t="str">
        <f t="shared" ca="1" si="36"/>
        <v>N/A</v>
      </c>
      <c r="I89" s="487">
        <f t="shared" ca="1" si="36"/>
        <v>3.6196500200831943</v>
      </c>
      <c r="J89" s="487">
        <f t="shared" ca="1" si="36"/>
        <v>1.3658388083533051</v>
      </c>
      <c r="K89" s="487">
        <f t="shared" ca="1" si="36"/>
        <v>1.5457108467625356</v>
      </c>
      <c r="L89" s="487">
        <f t="shared" ca="1" si="36"/>
        <v>1.0371187987505646</v>
      </c>
      <c r="M89" s="487">
        <f t="shared" ca="1" si="36"/>
        <v>1.8030853030704614</v>
      </c>
      <c r="N89" s="487">
        <f t="shared" ca="1" si="36"/>
        <v>1.8631406789583089</v>
      </c>
      <c r="O89" s="487">
        <f t="shared" ca="1" si="36"/>
        <v>1.7944489713733578</v>
      </c>
      <c r="P89" s="487">
        <f t="shared" ca="1" si="36"/>
        <v>1.7980080290801981</v>
      </c>
      <c r="Q89" s="487">
        <f t="shared" ca="1" si="36"/>
        <v>1.9547303105746214</v>
      </c>
      <c r="R89" s="487">
        <f t="shared" ca="1" si="36"/>
        <v>2.0421445039240558</v>
      </c>
      <c r="S89" s="487">
        <f t="shared" ca="1" si="36"/>
        <v>1.8499618003938327</v>
      </c>
      <c r="T89" s="487">
        <f t="shared" ca="1" si="36"/>
        <v>1.9472381471965035</v>
      </c>
      <c r="U89" s="487">
        <f t="shared" ca="1" si="36"/>
        <v>2.4831512159688249</v>
      </c>
      <c r="V89" s="487">
        <f t="shared" ca="1" si="36"/>
        <v>1.6282701203557357</v>
      </c>
      <c r="W89" s="487">
        <f t="shared" ca="1" si="36"/>
        <v>0.84691205944333681</v>
      </c>
      <c r="X89" s="487" t="str">
        <f t="shared" ca="1" si="36"/>
        <v>N/A</v>
      </c>
      <c r="Y89" s="487" t="str">
        <f t="shared" ca="1" si="36"/>
        <v>N/A</v>
      </c>
      <c r="Z89" s="487" t="str">
        <f t="shared" ca="1" si="36"/>
        <v>N/A</v>
      </c>
      <c r="AA89" s="487" t="str">
        <f t="shared" ca="1" si="36"/>
        <v>N/A</v>
      </c>
      <c r="AB89" s="490"/>
    </row>
    <row r="90" spans="1:28">
      <c r="Z90" s="15"/>
      <c r="AB90" s="7"/>
    </row>
  </sheetData>
  <printOptions horizontalCentered="1"/>
  <pageMargins left="0.25" right="0.25" top="0.5" bottom="0.5" header="0.25" footer="0.25"/>
  <pageSetup scale="39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AE100"/>
  <sheetViews>
    <sheetView showGridLines="0" zoomScale="75" workbookViewId="0">
      <selection activeCell="I21" sqref="I21"/>
    </sheetView>
  </sheetViews>
  <sheetFormatPr defaultRowHeight="12.75"/>
  <cols>
    <col min="1" max="2" width="9.140625" style="15"/>
    <col min="3" max="4" width="11.7109375" style="15" customWidth="1"/>
    <col min="5" max="5" width="1.7109375" style="15" customWidth="1"/>
    <col min="6" max="28" width="10.7109375" style="15" customWidth="1"/>
    <col min="29" max="29" width="9.140625" style="15"/>
    <col min="30" max="16384" width="9.140625" style="7"/>
  </cols>
  <sheetData>
    <row r="1" spans="1:31" s="1" customFormat="1" ht="15.75">
      <c r="A1" s="1137" t="str">
        <f>CONCATENATE(TOC!B2," ",TOC!B6)</f>
        <v>EMPRESSA PRODUTORA DE ENERGÍA LTDA (EPE) *** DRAFT COPY ***</v>
      </c>
      <c r="AD1" s="15"/>
      <c r="AE1" s="15"/>
    </row>
    <row r="2" spans="1:31" s="1" customFormat="1" ht="15.75">
      <c r="A2" s="1137" t="str">
        <f>TOC!B3</f>
        <v>480 MW POWER PLANT (CUIABA, BRAZIL)</v>
      </c>
      <c r="AD2" s="15"/>
      <c r="AE2" s="15"/>
    </row>
    <row r="3" spans="1:31" s="1" customFormat="1" ht="15">
      <c r="A3" s="118" t="str">
        <f>TOC!B4</f>
        <v>ENRON INTERNATIONAL</v>
      </c>
      <c r="AD3" s="15"/>
      <c r="AE3" s="15"/>
    </row>
    <row r="4" spans="1:31" s="1" customFormat="1" ht="15">
      <c r="A4" s="932" t="s">
        <v>495</v>
      </c>
      <c r="B4" s="933"/>
      <c r="C4" s="933"/>
      <c r="D4" s="933"/>
      <c r="E4" s="933"/>
      <c r="F4" s="933"/>
      <c r="AD4" s="15"/>
      <c r="AE4" s="15"/>
    </row>
    <row r="5" spans="1:31" customFormat="1" ht="13.5" thickBot="1">
      <c r="A5" s="1"/>
      <c r="B5" s="7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D5" s="1309" t="s">
        <v>628</v>
      </c>
      <c r="AE5" s="15"/>
    </row>
    <row r="6" spans="1:31" s="15" customFormat="1">
      <c r="A6" s="412" t="s">
        <v>443</v>
      </c>
      <c r="B6" s="11"/>
      <c r="C6" s="11"/>
      <c r="D6" s="11"/>
      <c r="E6" s="11"/>
      <c r="F6" s="11">
        <f>CF!D6</f>
        <v>1</v>
      </c>
      <c r="G6" s="11">
        <f>CF!E6</f>
        <v>2</v>
      </c>
      <c r="H6" s="11">
        <f>CF!F6</f>
        <v>3</v>
      </c>
      <c r="I6" s="11">
        <f>CF!G6</f>
        <v>4</v>
      </c>
      <c r="J6" s="11">
        <f>CF!H6</f>
        <v>5</v>
      </c>
      <c r="K6" s="11">
        <f>CF!I6</f>
        <v>6</v>
      </c>
      <c r="L6" s="11">
        <f>CF!J6</f>
        <v>7</v>
      </c>
      <c r="M6" s="11">
        <f>CF!K6</f>
        <v>8</v>
      </c>
      <c r="N6" s="11">
        <f>CF!L6</f>
        <v>9</v>
      </c>
      <c r="O6" s="11">
        <f>CF!M6</f>
        <v>10</v>
      </c>
      <c r="P6" s="11">
        <f>CF!N6</f>
        <v>11</v>
      </c>
      <c r="Q6" s="11">
        <f>CF!O6</f>
        <v>12</v>
      </c>
      <c r="R6" s="11">
        <f>CF!P6</f>
        <v>13</v>
      </c>
      <c r="S6" s="11">
        <f>CF!Q6</f>
        <v>14</v>
      </c>
      <c r="T6" s="11">
        <f>CF!R6</f>
        <v>15</v>
      </c>
      <c r="U6" s="11">
        <f>CF!S6</f>
        <v>16</v>
      </c>
      <c r="V6" s="11">
        <f>CF!T6</f>
        <v>17</v>
      </c>
      <c r="W6" s="11">
        <f>CF!U6</f>
        <v>18</v>
      </c>
      <c r="X6" s="11">
        <f>CF!V6</f>
        <v>19</v>
      </c>
      <c r="Y6" s="11">
        <f>CF!W6</f>
        <v>20</v>
      </c>
      <c r="Z6" s="11">
        <f>CF!X6</f>
        <v>21</v>
      </c>
      <c r="AA6" s="11">
        <f>CF!Y6</f>
        <v>22</v>
      </c>
      <c r="AB6" s="424"/>
      <c r="AD6" s="1310" t="s">
        <v>1899</v>
      </c>
    </row>
    <row r="7" spans="1:31" s="15" customFormat="1" ht="13.5" thickBot="1">
      <c r="A7" s="455" t="s">
        <v>444</v>
      </c>
      <c r="B7" s="49"/>
      <c r="C7" s="49"/>
      <c r="D7" s="49"/>
      <c r="E7" s="49"/>
      <c r="F7" s="83">
        <f>CF!D7</f>
        <v>1998</v>
      </c>
      <c r="G7" s="83">
        <f>CF!E7</f>
        <v>1999</v>
      </c>
      <c r="H7" s="83">
        <f>CF!F7</f>
        <v>2000</v>
      </c>
      <c r="I7" s="83">
        <f>CF!G7</f>
        <v>2001</v>
      </c>
      <c r="J7" s="83">
        <f>CF!H7</f>
        <v>2002</v>
      </c>
      <c r="K7" s="83">
        <f>CF!I7</f>
        <v>2003</v>
      </c>
      <c r="L7" s="83">
        <f>CF!J7</f>
        <v>2004</v>
      </c>
      <c r="M7" s="83">
        <f>CF!K7</f>
        <v>2005</v>
      </c>
      <c r="N7" s="83">
        <f>CF!L7</f>
        <v>2006</v>
      </c>
      <c r="O7" s="83">
        <f>CF!M7</f>
        <v>2007</v>
      </c>
      <c r="P7" s="83">
        <f>CF!N7</f>
        <v>2008</v>
      </c>
      <c r="Q7" s="83">
        <f>CF!O7</f>
        <v>2009</v>
      </c>
      <c r="R7" s="83">
        <f>CF!P7</f>
        <v>2010</v>
      </c>
      <c r="S7" s="83">
        <f>CF!Q7</f>
        <v>2011</v>
      </c>
      <c r="T7" s="83">
        <f>CF!R7</f>
        <v>2012</v>
      </c>
      <c r="U7" s="83">
        <f>CF!S7</f>
        <v>2013</v>
      </c>
      <c r="V7" s="83">
        <f>CF!T7</f>
        <v>2014</v>
      </c>
      <c r="W7" s="83">
        <f>CF!U7</f>
        <v>2015</v>
      </c>
      <c r="X7" s="83">
        <f>CF!V7</f>
        <v>2016</v>
      </c>
      <c r="Y7" s="83">
        <f>CF!W7</f>
        <v>2017</v>
      </c>
      <c r="Z7" s="83">
        <f>CF!X7</f>
        <v>2018</v>
      </c>
      <c r="AA7" s="83">
        <f>CF!Y7</f>
        <v>2019</v>
      </c>
      <c r="AB7" s="425" t="s">
        <v>441</v>
      </c>
      <c r="AD7" s="787">
        <v>1</v>
      </c>
    </row>
    <row r="8" spans="1:31" customFormat="1">
      <c r="A8" s="416"/>
      <c r="B8" s="15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426"/>
      <c r="AD8" s="34">
        <f t="shared" ref="AD8:AD96" si="0">AD7+1</f>
        <v>2</v>
      </c>
      <c r="AE8" s="15"/>
    </row>
    <row r="9" spans="1:31" s="15" customFormat="1">
      <c r="A9" s="20" t="s">
        <v>817</v>
      </c>
      <c r="F9" s="218">
        <f ca="1">Rev_Exp!D12</f>
        <v>0</v>
      </c>
      <c r="G9" s="218">
        <f ca="1">Rev_Exp!E12</f>
        <v>9</v>
      </c>
      <c r="H9" s="218">
        <f ca="1">Rev_Exp!F12</f>
        <v>12</v>
      </c>
      <c r="I9" s="218">
        <f ca="1">Rev_Exp!G12</f>
        <v>12</v>
      </c>
      <c r="J9" s="218">
        <f ca="1">Rev_Exp!H12</f>
        <v>12</v>
      </c>
      <c r="K9" s="218">
        <f ca="1">Rev_Exp!I12</f>
        <v>12</v>
      </c>
      <c r="L9" s="218">
        <f ca="1">Rev_Exp!J12</f>
        <v>12</v>
      </c>
      <c r="M9" s="218">
        <f ca="1">Rev_Exp!K12</f>
        <v>12</v>
      </c>
      <c r="N9" s="218">
        <f ca="1">Rev_Exp!L12</f>
        <v>12</v>
      </c>
      <c r="O9" s="218">
        <f ca="1">Rev_Exp!M12</f>
        <v>12</v>
      </c>
      <c r="P9" s="218">
        <f ca="1">Rev_Exp!N12</f>
        <v>12</v>
      </c>
      <c r="Q9" s="218">
        <f ca="1">Rev_Exp!O12</f>
        <v>12</v>
      </c>
      <c r="R9" s="218">
        <f ca="1">Rev_Exp!P12</f>
        <v>12</v>
      </c>
      <c r="S9" s="218">
        <f ca="1">Rev_Exp!Q12</f>
        <v>12</v>
      </c>
      <c r="T9" s="218">
        <f ca="1">Rev_Exp!R12</f>
        <v>12</v>
      </c>
      <c r="U9" s="218">
        <f ca="1">Rev_Exp!S12</f>
        <v>12</v>
      </c>
      <c r="V9" s="218">
        <f ca="1">Rev_Exp!T12</f>
        <v>12</v>
      </c>
      <c r="W9" s="218">
        <f ca="1">Rev_Exp!U12</f>
        <v>12</v>
      </c>
      <c r="X9" s="218">
        <f ca="1">Rev_Exp!V12</f>
        <v>12</v>
      </c>
      <c r="Y9" s="218">
        <f ca="1">Rev_Exp!W12</f>
        <v>12</v>
      </c>
      <c r="Z9" s="218">
        <f ca="1">Rev_Exp!X12</f>
        <v>12</v>
      </c>
      <c r="AA9" s="218">
        <f ca="1">Rev_Exp!Y12</f>
        <v>4</v>
      </c>
      <c r="AB9" s="427">
        <f ca="1">SUM(F9:AA9)</f>
        <v>241</v>
      </c>
      <c r="AD9" s="34">
        <f t="shared" si="0"/>
        <v>3</v>
      </c>
    </row>
    <row r="10" spans="1:31" s="15" customFormat="1">
      <c r="A10" s="20"/>
      <c r="AB10" s="430"/>
      <c r="AD10" s="34">
        <f t="shared" si="0"/>
        <v>4</v>
      </c>
    </row>
    <row r="11" spans="1:31" s="15" customFormat="1">
      <c r="A11" s="27" t="s">
        <v>1879</v>
      </c>
      <c r="AB11" s="430"/>
      <c r="AD11" s="34">
        <f t="shared" si="0"/>
        <v>5</v>
      </c>
    </row>
    <row r="12" spans="1:31">
      <c r="A12" s="20" t="s">
        <v>516</v>
      </c>
      <c r="F12" s="766">
        <v>0</v>
      </c>
      <c r="G12" s="37">
        <f ca="1">F16</f>
        <v>0</v>
      </c>
      <c r="H12" s="37">
        <f t="shared" ref="H12:AA12" ca="1" si="1">G16</f>
        <v>-6461.118957461953</v>
      </c>
      <c r="I12" s="37">
        <f t="shared" ca="1" si="1"/>
        <v>-9612.159810875979</v>
      </c>
      <c r="J12" s="37">
        <f t="shared" ca="1" si="1"/>
        <v>-12623.676573780001</v>
      </c>
      <c r="K12" s="37">
        <f t="shared" ca="1" si="1"/>
        <v>-14275.348277103938</v>
      </c>
      <c r="L12" s="37">
        <f t="shared" ca="1" si="1"/>
        <v>-12554.965103876819</v>
      </c>
      <c r="M12" s="37">
        <f t="shared" ca="1" si="1"/>
        <v>-20522.529776944524</v>
      </c>
      <c r="N12" s="37">
        <f t="shared" ca="1" si="1"/>
        <v>-13688.989348474908</v>
      </c>
      <c r="O12" s="37">
        <f t="shared" ca="1" si="1"/>
        <v>-6173.0557007590269</v>
      </c>
      <c r="P12" s="37">
        <f t="shared" ca="1" si="1"/>
        <v>0</v>
      </c>
      <c r="Q12" s="37">
        <f t="shared" ca="1" si="1"/>
        <v>0</v>
      </c>
      <c r="R12" s="37">
        <f t="shared" ca="1" si="1"/>
        <v>0</v>
      </c>
      <c r="S12" s="37">
        <f t="shared" ca="1" si="1"/>
        <v>0</v>
      </c>
      <c r="T12" s="37">
        <f t="shared" ca="1" si="1"/>
        <v>0</v>
      </c>
      <c r="U12" s="37">
        <f t="shared" ca="1" si="1"/>
        <v>0</v>
      </c>
      <c r="V12" s="37">
        <f t="shared" ca="1" si="1"/>
        <v>0</v>
      </c>
      <c r="W12" s="37">
        <f t="shared" ca="1" si="1"/>
        <v>0</v>
      </c>
      <c r="X12" s="37">
        <f t="shared" ca="1" si="1"/>
        <v>-7495.2285138640063</v>
      </c>
      <c r="Y12" s="37">
        <f t="shared" ca="1" si="1"/>
        <v>-19208.796219559652</v>
      </c>
      <c r="Z12" s="37">
        <f t="shared" ca="1" si="1"/>
        <v>-32318.100750577731</v>
      </c>
      <c r="AA12" s="37">
        <f t="shared" ca="1" si="1"/>
        <v>-40297.915715595474</v>
      </c>
      <c r="AB12" s="435">
        <f>F12</f>
        <v>0</v>
      </c>
      <c r="AD12" s="34">
        <f t="shared" si="0"/>
        <v>6</v>
      </c>
    </row>
    <row r="13" spans="1:31">
      <c r="A13" s="20" t="s">
        <v>1880</v>
      </c>
      <c r="F13" s="142">
        <f ca="1">CF!D57</f>
        <v>0</v>
      </c>
      <c r="G13" s="142">
        <f ca="1">CF!E57</f>
        <v>-6461.118957461953</v>
      </c>
      <c r="H13" s="142">
        <f ca="1">CF!F57</f>
        <v>-3151.0408534140261</v>
      </c>
      <c r="I13" s="142">
        <f ca="1">CF!G57</f>
        <v>-3011.5167629040229</v>
      </c>
      <c r="J13" s="142">
        <f ca="1">CF!H57</f>
        <v>-1651.6717033239365</v>
      </c>
      <c r="K13" s="142">
        <f ca="1">CF!I57</f>
        <v>1720.3831732271194</v>
      </c>
      <c r="L13" s="142">
        <f ca="1">CF!J57</f>
        <v>-7967.5646730677072</v>
      </c>
      <c r="M13" s="142">
        <f ca="1">CF!K57</f>
        <v>6833.540428469616</v>
      </c>
      <c r="N13" s="142">
        <f ca="1">CF!L57</f>
        <v>7515.9336477158813</v>
      </c>
      <c r="O13" s="142">
        <f ca="1">CF!M57</f>
        <v>8470.1145731206234</v>
      </c>
      <c r="P13" s="142">
        <f ca="1">CF!N57</f>
        <v>5944.7963565306372</v>
      </c>
      <c r="Q13" s="142">
        <f ca="1">CF!O57</f>
        <v>6215.4120682037064</v>
      </c>
      <c r="R13" s="142">
        <f ca="1">CF!P57</f>
        <v>7153.9144703393631</v>
      </c>
      <c r="S13" s="142">
        <f ca="1">CF!Q57</f>
        <v>7772.6229549989566</v>
      </c>
      <c r="T13" s="142">
        <f ca="1">CF!R57</f>
        <v>5510.8880678318901</v>
      </c>
      <c r="U13" s="142">
        <f ca="1">CF!S57</f>
        <v>7093.2624647622661</v>
      </c>
      <c r="V13" s="142">
        <f ca="1">CF!T57</f>
        <v>2410.5049231865419</v>
      </c>
      <c r="W13" s="142">
        <f ca="1">CF!U57</f>
        <v>-7495.2285138640063</v>
      </c>
      <c r="X13" s="142">
        <f ca="1">CF!V57</f>
        <v>-11713.567705695645</v>
      </c>
      <c r="Y13" s="142">
        <f ca="1">CF!W57</f>
        <v>-13109.304531018079</v>
      </c>
      <c r="Z13" s="142">
        <f ca="1">CF!X57</f>
        <v>-7979.8149650177438</v>
      </c>
      <c r="AA13" s="142">
        <f ca="1">CF!Y57</f>
        <v>-2473.5587505032677</v>
      </c>
      <c r="AB13" s="436">
        <f ca="1">SUM(F13:AA13)</f>
        <v>1626.9857121162127</v>
      </c>
      <c r="AD13" s="34">
        <f t="shared" si="0"/>
        <v>7</v>
      </c>
    </row>
    <row r="14" spans="1:31">
      <c r="A14" s="20" t="s">
        <v>1881</v>
      </c>
      <c r="F14" s="37">
        <f ca="1">SUM(F12:F13)</f>
        <v>0</v>
      </c>
      <c r="G14" s="37">
        <f t="shared" ref="G14:AA14" ca="1" si="2">SUM(G12:G13)</f>
        <v>-6461.118957461953</v>
      </c>
      <c r="H14" s="37">
        <f t="shared" ca="1" si="2"/>
        <v>-9612.159810875979</v>
      </c>
      <c r="I14" s="37">
        <f t="shared" ca="1" si="2"/>
        <v>-12623.676573780001</v>
      </c>
      <c r="J14" s="37">
        <f t="shared" ca="1" si="2"/>
        <v>-14275.348277103938</v>
      </c>
      <c r="K14" s="37">
        <f t="shared" ca="1" si="2"/>
        <v>-12554.965103876819</v>
      </c>
      <c r="L14" s="37">
        <f t="shared" ca="1" si="2"/>
        <v>-20522.529776944524</v>
      </c>
      <c r="M14" s="37">
        <f t="shared" ca="1" si="2"/>
        <v>-13688.989348474908</v>
      </c>
      <c r="N14" s="37">
        <f t="shared" ca="1" si="2"/>
        <v>-6173.0557007590269</v>
      </c>
      <c r="O14" s="37">
        <f t="shared" ca="1" si="2"/>
        <v>2297.0588723615965</v>
      </c>
      <c r="P14" s="37">
        <f t="shared" ca="1" si="2"/>
        <v>5944.7963565306372</v>
      </c>
      <c r="Q14" s="37">
        <f t="shared" ca="1" si="2"/>
        <v>6215.4120682037064</v>
      </c>
      <c r="R14" s="37">
        <f t="shared" ca="1" si="2"/>
        <v>7153.9144703393631</v>
      </c>
      <c r="S14" s="37">
        <f t="shared" ca="1" si="2"/>
        <v>7772.6229549989566</v>
      </c>
      <c r="T14" s="37">
        <f t="shared" ca="1" si="2"/>
        <v>5510.8880678318901</v>
      </c>
      <c r="U14" s="37">
        <f t="shared" ca="1" si="2"/>
        <v>7093.2624647622661</v>
      </c>
      <c r="V14" s="37">
        <f t="shared" ca="1" si="2"/>
        <v>2410.5049231865419</v>
      </c>
      <c r="W14" s="37">
        <f t="shared" ca="1" si="2"/>
        <v>-7495.2285138640063</v>
      </c>
      <c r="X14" s="37">
        <f t="shared" ca="1" si="2"/>
        <v>-19208.796219559652</v>
      </c>
      <c r="Y14" s="37">
        <f t="shared" ca="1" si="2"/>
        <v>-32318.100750577731</v>
      </c>
      <c r="Z14" s="37">
        <f t="shared" ca="1" si="2"/>
        <v>-40297.915715595474</v>
      </c>
      <c r="AA14" s="37">
        <f t="shared" ca="1" si="2"/>
        <v>-42771.474466098742</v>
      </c>
      <c r="AB14" s="435">
        <f ca="1">SUM(AB12:AB13)</f>
        <v>1626.9857121162127</v>
      </c>
      <c r="AD14" s="34">
        <f t="shared" si="0"/>
        <v>8</v>
      </c>
    </row>
    <row r="15" spans="1:31">
      <c r="A15" s="20" t="s">
        <v>1882</v>
      </c>
      <c r="F15" s="142">
        <f ca="1">F23</f>
        <v>0</v>
      </c>
      <c r="G15" s="142">
        <f t="shared" ref="G15:AA15" ca="1" si="3">G23</f>
        <v>0</v>
      </c>
      <c r="H15" s="142">
        <f t="shared" ca="1" si="3"/>
        <v>0</v>
      </c>
      <c r="I15" s="142">
        <f t="shared" ca="1" si="3"/>
        <v>0</v>
      </c>
      <c r="J15" s="142">
        <f t="shared" ca="1" si="3"/>
        <v>0</v>
      </c>
      <c r="K15" s="142">
        <f t="shared" ca="1" si="3"/>
        <v>0</v>
      </c>
      <c r="L15" s="142">
        <f t="shared" ca="1" si="3"/>
        <v>0</v>
      </c>
      <c r="M15" s="142">
        <f t="shared" ca="1" si="3"/>
        <v>0</v>
      </c>
      <c r="N15" s="142">
        <f t="shared" ca="1" si="3"/>
        <v>0</v>
      </c>
      <c r="O15" s="142">
        <f t="shared" ca="1" si="3"/>
        <v>-2297.0588723615965</v>
      </c>
      <c r="P15" s="142">
        <f t="shared" ca="1" si="3"/>
        <v>-5944.7963565306372</v>
      </c>
      <c r="Q15" s="142">
        <f t="shared" ca="1" si="3"/>
        <v>-6215.4120682037064</v>
      </c>
      <c r="R15" s="142">
        <f t="shared" ca="1" si="3"/>
        <v>-7153.9144703393631</v>
      </c>
      <c r="S15" s="142">
        <f t="shared" ca="1" si="3"/>
        <v>-7772.6229549989566</v>
      </c>
      <c r="T15" s="142">
        <f t="shared" ca="1" si="3"/>
        <v>-5510.8880678318901</v>
      </c>
      <c r="U15" s="142">
        <f t="shared" ca="1" si="3"/>
        <v>-7093.2624647622661</v>
      </c>
      <c r="V15" s="142">
        <f t="shared" ca="1" si="3"/>
        <v>-2410.5049231865419</v>
      </c>
      <c r="W15" s="142">
        <f t="shared" ca="1" si="3"/>
        <v>0</v>
      </c>
      <c r="X15" s="142">
        <f t="shared" ca="1" si="3"/>
        <v>0</v>
      </c>
      <c r="Y15" s="142">
        <f t="shared" ca="1" si="3"/>
        <v>0</v>
      </c>
      <c r="Z15" s="142">
        <f t="shared" ca="1" si="3"/>
        <v>0</v>
      </c>
      <c r="AA15" s="142">
        <f t="shared" ca="1" si="3"/>
        <v>0</v>
      </c>
      <c r="AB15" s="436">
        <f ca="1">SUM(F15:AA15)</f>
        <v>-44398.460178214955</v>
      </c>
      <c r="AD15" s="34">
        <f t="shared" si="0"/>
        <v>9</v>
      </c>
    </row>
    <row r="16" spans="1:31">
      <c r="A16" s="20" t="s">
        <v>517</v>
      </c>
      <c r="F16" s="37">
        <f ca="1">SUM(F14:F15)</f>
        <v>0</v>
      </c>
      <c r="G16" s="37">
        <f t="shared" ref="G16:AA16" ca="1" si="4">SUM(G14:G15)</f>
        <v>-6461.118957461953</v>
      </c>
      <c r="H16" s="37">
        <f t="shared" ca="1" si="4"/>
        <v>-9612.159810875979</v>
      </c>
      <c r="I16" s="37">
        <f t="shared" ca="1" si="4"/>
        <v>-12623.676573780001</v>
      </c>
      <c r="J16" s="37">
        <f t="shared" ca="1" si="4"/>
        <v>-14275.348277103938</v>
      </c>
      <c r="K16" s="37">
        <f t="shared" ca="1" si="4"/>
        <v>-12554.965103876819</v>
      </c>
      <c r="L16" s="37">
        <f t="shared" ca="1" si="4"/>
        <v>-20522.529776944524</v>
      </c>
      <c r="M16" s="37">
        <f t="shared" ca="1" si="4"/>
        <v>-13688.989348474908</v>
      </c>
      <c r="N16" s="37">
        <f t="shared" ca="1" si="4"/>
        <v>-6173.0557007590269</v>
      </c>
      <c r="O16" s="37">
        <f t="shared" ca="1" si="4"/>
        <v>0</v>
      </c>
      <c r="P16" s="37">
        <f t="shared" ca="1" si="4"/>
        <v>0</v>
      </c>
      <c r="Q16" s="37">
        <f t="shared" ca="1" si="4"/>
        <v>0</v>
      </c>
      <c r="R16" s="37">
        <f t="shared" ca="1" si="4"/>
        <v>0</v>
      </c>
      <c r="S16" s="37">
        <f t="shared" ca="1" si="4"/>
        <v>0</v>
      </c>
      <c r="T16" s="37">
        <f t="shared" ca="1" si="4"/>
        <v>0</v>
      </c>
      <c r="U16" s="37">
        <f t="shared" ca="1" si="4"/>
        <v>0</v>
      </c>
      <c r="V16" s="37">
        <f t="shared" ca="1" si="4"/>
        <v>0</v>
      </c>
      <c r="W16" s="37">
        <f t="shared" ca="1" si="4"/>
        <v>-7495.2285138640063</v>
      </c>
      <c r="X16" s="37">
        <f t="shared" ca="1" si="4"/>
        <v>-19208.796219559652</v>
      </c>
      <c r="Y16" s="37">
        <f t="shared" ca="1" si="4"/>
        <v>-32318.100750577731</v>
      </c>
      <c r="Z16" s="37">
        <f t="shared" ca="1" si="4"/>
        <v>-40297.915715595474</v>
      </c>
      <c r="AA16" s="37">
        <f t="shared" ca="1" si="4"/>
        <v>-42771.474466098742</v>
      </c>
      <c r="AB16" s="435">
        <f ca="1">SUM(AB14:AB15)</f>
        <v>-42771.474466098742</v>
      </c>
      <c r="AD16" s="34">
        <f t="shared" si="0"/>
        <v>10</v>
      </c>
    </row>
    <row r="17" spans="1:30" s="15" customFormat="1">
      <c r="A17" s="20"/>
      <c r="AB17" s="430"/>
      <c r="AD17" s="34">
        <f t="shared" si="0"/>
        <v>11</v>
      </c>
    </row>
    <row r="18" spans="1:30" s="15" customFormat="1">
      <c r="A18" s="1305" t="s">
        <v>1883</v>
      </c>
      <c r="AB18" s="430"/>
      <c r="AD18" s="34">
        <f t="shared" si="0"/>
        <v>12</v>
      </c>
    </row>
    <row r="19" spans="1:30" s="15" customFormat="1">
      <c r="A19" s="150" t="s">
        <v>516</v>
      </c>
      <c r="F19" s="766">
        <v>0</v>
      </c>
      <c r="G19" s="37">
        <f ca="1">F26</f>
        <v>0</v>
      </c>
      <c r="H19" s="37">
        <f t="shared" ref="H19:AA19" ca="1" si="5">G26</f>
        <v>0</v>
      </c>
      <c r="I19" s="37">
        <f t="shared" ca="1" si="5"/>
        <v>0</v>
      </c>
      <c r="J19" s="37">
        <f t="shared" ca="1" si="5"/>
        <v>0</v>
      </c>
      <c r="K19" s="37">
        <f t="shared" ca="1" si="5"/>
        <v>0</v>
      </c>
      <c r="L19" s="37">
        <f t="shared" ca="1" si="5"/>
        <v>0</v>
      </c>
      <c r="M19" s="37">
        <f t="shared" ca="1" si="5"/>
        <v>0</v>
      </c>
      <c r="N19" s="37">
        <f t="shared" ca="1" si="5"/>
        <v>0</v>
      </c>
      <c r="O19" s="37">
        <f t="shared" ca="1" si="5"/>
        <v>0</v>
      </c>
      <c r="P19" s="37">
        <f t="shared" ca="1" si="5"/>
        <v>0</v>
      </c>
      <c r="Q19" s="37">
        <f t="shared" ca="1" si="5"/>
        <v>0</v>
      </c>
      <c r="R19" s="37">
        <f t="shared" ca="1" si="5"/>
        <v>0</v>
      </c>
      <c r="S19" s="37">
        <f t="shared" ca="1" si="5"/>
        <v>0</v>
      </c>
      <c r="T19" s="37">
        <f t="shared" ca="1" si="5"/>
        <v>0</v>
      </c>
      <c r="U19" s="37">
        <f t="shared" ca="1" si="5"/>
        <v>0</v>
      </c>
      <c r="V19" s="37">
        <f t="shared" ca="1" si="5"/>
        <v>0</v>
      </c>
      <c r="W19" s="37">
        <f t="shared" ca="1" si="5"/>
        <v>0</v>
      </c>
      <c r="X19" s="37">
        <f t="shared" ca="1" si="5"/>
        <v>0</v>
      </c>
      <c r="Y19" s="37">
        <f t="shared" ca="1" si="5"/>
        <v>0</v>
      </c>
      <c r="Z19" s="37">
        <f t="shared" ca="1" si="5"/>
        <v>0</v>
      </c>
      <c r="AA19" s="37">
        <f t="shared" ca="1" si="5"/>
        <v>0</v>
      </c>
      <c r="AB19" s="435">
        <f>F19</f>
        <v>0</v>
      </c>
      <c r="AD19" s="34">
        <f t="shared" si="0"/>
        <v>13</v>
      </c>
    </row>
    <row r="20" spans="1:30" s="15" customFormat="1">
      <c r="A20" s="150" t="s">
        <v>1884</v>
      </c>
      <c r="F20" s="37">
        <f>-E25</f>
        <v>0</v>
      </c>
      <c r="G20" s="37">
        <f t="shared" ref="G20:AA20" ca="1" si="6">-F25</f>
        <v>0</v>
      </c>
      <c r="H20" s="37">
        <f t="shared" ca="1" si="6"/>
        <v>-1978.5080752796939</v>
      </c>
      <c r="I20" s="37">
        <f t="shared" ca="1" si="6"/>
        <v>1379.8307245575661</v>
      </c>
      <c r="J20" s="37">
        <f t="shared" ca="1" si="6"/>
        <v>16671.930027313781</v>
      </c>
      <c r="K20" s="37">
        <f t="shared" ca="1" si="6"/>
        <v>18436.252277829073</v>
      </c>
      <c r="L20" s="37">
        <f t="shared" ca="1" si="6"/>
        <v>23037.723275599739</v>
      </c>
      <c r="M20" s="37">
        <f t="shared" ca="1" si="6"/>
        <v>15480.226551360614</v>
      </c>
      <c r="N20" s="37">
        <f t="shared" ca="1" si="6"/>
        <v>21837.504085495908</v>
      </c>
      <c r="O20" s="37">
        <f t="shared" ca="1" si="6"/>
        <v>28280.858371352006</v>
      </c>
      <c r="P20" s="37">
        <f t="shared" ca="1" si="6"/>
        <v>30079.767167019629</v>
      </c>
      <c r="Q20" s="37">
        <f t="shared" ca="1" si="6"/>
        <v>27560.950481135351</v>
      </c>
      <c r="R20" s="37">
        <f t="shared" ca="1" si="6"/>
        <v>26415.568276719325</v>
      </c>
      <c r="S20" s="37">
        <f t="shared" ca="1" si="6"/>
        <v>24119.324401939884</v>
      </c>
      <c r="T20" s="37">
        <f t="shared" ca="1" si="6"/>
        <v>16605.426996591443</v>
      </c>
      <c r="U20" s="37">
        <f t="shared" ca="1" si="6"/>
        <v>11387.093330093245</v>
      </c>
      <c r="V20" s="37">
        <f t="shared" ca="1" si="6"/>
        <v>18605.819212601644</v>
      </c>
      <c r="W20" s="37">
        <f t="shared" ca="1" si="6"/>
        <v>22005.082629765595</v>
      </c>
      <c r="X20" s="37">
        <f t="shared" ca="1" si="6"/>
        <v>20015.669656253016</v>
      </c>
      <c r="Y20" s="37">
        <f t="shared" ca="1" si="6"/>
        <v>26101.320120084059</v>
      </c>
      <c r="Z20" s="37">
        <f t="shared" ca="1" si="6"/>
        <v>30791.233758592669</v>
      </c>
      <c r="AA20" s="37">
        <f t="shared" ca="1" si="6"/>
        <v>37015.839051200106</v>
      </c>
      <c r="AB20" s="435">
        <f t="shared" ref="AB20:AB25" ca="1" si="7">SUM(F20:AA20)</f>
        <v>413848.91232022503</v>
      </c>
      <c r="AD20" s="34">
        <f t="shared" si="0"/>
        <v>14</v>
      </c>
    </row>
    <row r="21" spans="1:30" s="15" customFormat="1">
      <c r="A21" s="150" t="s">
        <v>1885</v>
      </c>
      <c r="F21" s="142">
        <f ca="1">CF!D73</f>
        <v>0</v>
      </c>
      <c r="G21" s="142">
        <f ca="1">CF!E73</f>
        <v>-1978.5080752796939</v>
      </c>
      <c r="H21" s="142">
        <f ca="1">CF!F73</f>
        <v>3358.33879983726</v>
      </c>
      <c r="I21" s="142">
        <f ca="1">CF!G73</f>
        <v>15292.099302756214</v>
      </c>
      <c r="J21" s="142">
        <f ca="1">CF!H73</f>
        <v>1764.3222505152912</v>
      </c>
      <c r="K21" s="142">
        <f ca="1">CF!I73</f>
        <v>4601.470997770668</v>
      </c>
      <c r="L21" s="142">
        <f ca="1">CF!J73</f>
        <v>-7557.4967242391258</v>
      </c>
      <c r="M21" s="142">
        <f ca="1">CF!K73</f>
        <v>6357.2775341352917</v>
      </c>
      <c r="N21" s="142">
        <f ca="1">CF!L73</f>
        <v>6443.3542858560959</v>
      </c>
      <c r="O21" s="142">
        <f ca="1">CF!M73</f>
        <v>4095.9676680292196</v>
      </c>
      <c r="P21" s="142">
        <f ca="1">CF!N73</f>
        <v>3425.9796706463603</v>
      </c>
      <c r="Q21" s="142">
        <f ca="1">CF!O73</f>
        <v>5070.0298637876822</v>
      </c>
      <c r="R21" s="142">
        <f ca="1">CF!P73</f>
        <v>4857.6705955599245</v>
      </c>
      <c r="S21" s="142">
        <f ca="1">CF!Q73</f>
        <v>258.72554965051404</v>
      </c>
      <c r="T21" s="142">
        <f ca="1">CF!R73</f>
        <v>292.55440133369211</v>
      </c>
      <c r="U21" s="142">
        <f ca="1">CF!S73</f>
        <v>14311.988347270662</v>
      </c>
      <c r="V21" s="142">
        <f ca="1">CF!T73</f>
        <v>5809.7683403504943</v>
      </c>
      <c r="W21" s="142">
        <f ca="1">CF!U73</f>
        <v>-1989.4129735125789</v>
      </c>
      <c r="X21" s="142">
        <f ca="1">CF!V73</f>
        <v>6085.6504638310435</v>
      </c>
      <c r="Y21" s="142">
        <f ca="1">CF!W73</f>
        <v>4689.9136385086094</v>
      </c>
      <c r="Z21" s="142">
        <f ca="1">CF!X73</f>
        <v>6224.605292607439</v>
      </c>
      <c r="AA21" s="142">
        <f ca="1">CF!Y73</f>
        <v>7602.4462208909536</v>
      </c>
      <c r="AB21" s="436">
        <f t="shared" ca="1" si="7"/>
        <v>89016.745450306014</v>
      </c>
      <c r="AD21" s="34">
        <f t="shared" si="0"/>
        <v>15</v>
      </c>
    </row>
    <row r="22" spans="1:30" s="15" customFormat="1">
      <c r="A22" s="150" t="s">
        <v>1886</v>
      </c>
      <c r="F22" s="37">
        <f ca="1">SUM(F19:F21)</f>
        <v>0</v>
      </c>
      <c r="G22" s="37">
        <f t="shared" ref="G22:AA22" ca="1" si="8">SUM(G19:G21)</f>
        <v>-1978.5080752796939</v>
      </c>
      <c r="H22" s="37">
        <f t="shared" ca="1" si="8"/>
        <v>1379.8307245575661</v>
      </c>
      <c r="I22" s="37">
        <f t="shared" ca="1" si="8"/>
        <v>16671.930027313781</v>
      </c>
      <c r="J22" s="37">
        <f t="shared" ca="1" si="8"/>
        <v>18436.252277829073</v>
      </c>
      <c r="K22" s="37">
        <f t="shared" ca="1" si="8"/>
        <v>23037.723275599739</v>
      </c>
      <c r="L22" s="37">
        <f t="shared" ca="1" si="8"/>
        <v>15480.226551360614</v>
      </c>
      <c r="M22" s="37">
        <f t="shared" ca="1" si="8"/>
        <v>21837.504085495908</v>
      </c>
      <c r="N22" s="37">
        <f t="shared" ca="1" si="8"/>
        <v>28280.858371352006</v>
      </c>
      <c r="O22" s="37">
        <f t="shared" ca="1" si="8"/>
        <v>32376.826039381223</v>
      </c>
      <c r="P22" s="37">
        <f t="shared" ca="1" si="8"/>
        <v>33505.746837665989</v>
      </c>
      <c r="Q22" s="37">
        <f t="shared" ca="1" si="8"/>
        <v>32630.980344923031</v>
      </c>
      <c r="R22" s="37">
        <f t="shared" ca="1" si="8"/>
        <v>31273.238872279249</v>
      </c>
      <c r="S22" s="37">
        <f t="shared" ca="1" si="8"/>
        <v>24378.049951590398</v>
      </c>
      <c r="T22" s="37">
        <f t="shared" ca="1" si="8"/>
        <v>16897.981397925134</v>
      </c>
      <c r="U22" s="37">
        <f t="shared" ca="1" si="8"/>
        <v>25699.081677363909</v>
      </c>
      <c r="V22" s="37">
        <f t="shared" ca="1" si="8"/>
        <v>24415.587552952136</v>
      </c>
      <c r="W22" s="37">
        <f t="shared" ca="1" si="8"/>
        <v>20015.669656253016</v>
      </c>
      <c r="X22" s="37">
        <f t="shared" ca="1" si="8"/>
        <v>26101.320120084059</v>
      </c>
      <c r="Y22" s="37">
        <f t="shared" ca="1" si="8"/>
        <v>30791.233758592669</v>
      </c>
      <c r="Z22" s="37">
        <f t="shared" ca="1" si="8"/>
        <v>37015.839051200106</v>
      </c>
      <c r="AA22" s="37">
        <f t="shared" ca="1" si="8"/>
        <v>44618.28527209106</v>
      </c>
      <c r="AB22" s="435">
        <f ca="1">SUM(AB19:AB21)</f>
        <v>502865.65777053102</v>
      </c>
      <c r="AD22" s="34">
        <f t="shared" si="0"/>
        <v>16</v>
      </c>
    </row>
    <row r="23" spans="1:30" s="15" customFormat="1">
      <c r="A23" s="150" t="s">
        <v>1882</v>
      </c>
      <c r="F23" s="37">
        <f ca="1">IF(OR(F14&lt;0,F22&lt;0),0,-MIN(F14,F22))</f>
        <v>0</v>
      </c>
      <c r="G23" s="37">
        <f t="shared" ref="G23:AA23" ca="1" si="9">IF(OR(G14&lt;0,G22&lt;0),0,-MIN(G14,G22))</f>
        <v>0</v>
      </c>
      <c r="H23" s="37">
        <f t="shared" ca="1" si="9"/>
        <v>0</v>
      </c>
      <c r="I23" s="37">
        <f t="shared" ca="1" si="9"/>
        <v>0</v>
      </c>
      <c r="J23" s="37">
        <f t="shared" ca="1" si="9"/>
        <v>0</v>
      </c>
      <c r="K23" s="37">
        <f t="shared" ca="1" si="9"/>
        <v>0</v>
      </c>
      <c r="L23" s="37">
        <f t="shared" ca="1" si="9"/>
        <v>0</v>
      </c>
      <c r="M23" s="37">
        <f t="shared" ca="1" si="9"/>
        <v>0</v>
      </c>
      <c r="N23" s="37">
        <f t="shared" ca="1" si="9"/>
        <v>0</v>
      </c>
      <c r="O23" s="37">
        <f t="shared" ca="1" si="9"/>
        <v>-2297.0588723615965</v>
      </c>
      <c r="P23" s="37">
        <f t="shared" ca="1" si="9"/>
        <v>-5944.7963565306372</v>
      </c>
      <c r="Q23" s="37">
        <f t="shared" ca="1" si="9"/>
        <v>-6215.4120682037064</v>
      </c>
      <c r="R23" s="37">
        <f t="shared" ca="1" si="9"/>
        <v>-7153.9144703393631</v>
      </c>
      <c r="S23" s="37">
        <f t="shared" ca="1" si="9"/>
        <v>-7772.6229549989566</v>
      </c>
      <c r="T23" s="37">
        <f t="shared" ca="1" si="9"/>
        <v>-5510.8880678318901</v>
      </c>
      <c r="U23" s="37">
        <f t="shared" ca="1" si="9"/>
        <v>-7093.2624647622661</v>
      </c>
      <c r="V23" s="37">
        <f t="shared" ca="1" si="9"/>
        <v>-2410.5049231865419</v>
      </c>
      <c r="W23" s="37">
        <f t="shared" ca="1" si="9"/>
        <v>0</v>
      </c>
      <c r="X23" s="37">
        <f t="shared" ca="1" si="9"/>
        <v>0</v>
      </c>
      <c r="Y23" s="37">
        <f t="shared" ca="1" si="9"/>
        <v>0</v>
      </c>
      <c r="Z23" s="37">
        <f t="shared" ca="1" si="9"/>
        <v>0</v>
      </c>
      <c r="AA23" s="37">
        <f t="shared" ca="1" si="9"/>
        <v>0</v>
      </c>
      <c r="AB23" s="435">
        <f t="shared" ca="1" si="7"/>
        <v>-44398.460178214955</v>
      </c>
      <c r="AD23" s="34">
        <f t="shared" si="0"/>
        <v>17</v>
      </c>
    </row>
    <row r="24" spans="1:30" s="15" customFormat="1">
      <c r="A24" s="150" t="s">
        <v>1887</v>
      </c>
      <c r="F24" s="37">
        <f ca="1">IF(F$7=YEAR(Endyr),-SUM(F22:F23)*Assm!$L$66,-SUM(F22:F23)*Assm!$L$64)</f>
        <v>0</v>
      </c>
      <c r="G24" s="37">
        <f ca="1">IF(G$7=YEAR(Endyr),-SUM(G22:G23)*Assm!$L$66,-SUM(G22:G23)*Assm!$L$64)</f>
        <v>0</v>
      </c>
      <c r="H24" s="37">
        <f ca="1">IF(H$7=YEAR(Endyr),-SUM(H22:H23)*Assm!$L$66,-SUM(H22:H23)*Assm!$L$64)</f>
        <v>0</v>
      </c>
      <c r="I24" s="37">
        <f ca="1">IF(I$7=YEAR(Endyr),-SUM(I22:I23)*Assm!$L$66,-SUM(I22:I23)*Assm!$L$64)</f>
        <v>0</v>
      </c>
      <c r="J24" s="37">
        <f ca="1">IF(J$7=YEAR(Endyr),-SUM(J22:J23)*Assm!$L$66,-SUM(J22:J23)*Assm!$L$64)</f>
        <v>0</v>
      </c>
      <c r="K24" s="37">
        <f ca="1">IF(K$7=YEAR(Endyr),-SUM(K22:K23)*Assm!$L$66,-SUM(K22:K23)*Assm!$L$64)</f>
        <v>0</v>
      </c>
      <c r="L24" s="37">
        <f ca="1">IF(L$7=YEAR(Endyr),-SUM(L22:L23)*Assm!$L$66,-SUM(L22:L23)*Assm!$L$64)</f>
        <v>0</v>
      </c>
      <c r="M24" s="37">
        <f ca="1">IF(M$7=YEAR(Endyr),-SUM(M22:M23)*Assm!$L$66,-SUM(M22:M23)*Assm!$L$64)</f>
        <v>0</v>
      </c>
      <c r="N24" s="37">
        <f ca="1">IF(N$7=YEAR(Endyr),-SUM(N22:N23)*Assm!$L$66,-SUM(N22:N23)*Assm!$L$64)</f>
        <v>0</v>
      </c>
      <c r="O24" s="37">
        <f ca="1">IF(O$7=YEAR(Endyr),-SUM(O22:O23)*Assm!$L$66,-SUM(O22:O23)*Assm!$L$64)</f>
        <v>0</v>
      </c>
      <c r="P24" s="37">
        <f ca="1">IF(P$7=YEAR(Endyr),-SUM(P22:P23)*Assm!$L$66,-SUM(P22:P23)*Assm!$L$64)</f>
        <v>0</v>
      </c>
      <c r="Q24" s="37">
        <f ca="1">IF(Q$7=YEAR(Endyr),-SUM(Q22:Q23)*Assm!$L$66,-SUM(Q22:Q23)*Assm!$L$64)</f>
        <v>0</v>
      </c>
      <c r="R24" s="37">
        <f ca="1">IF(R$7=YEAR(Endyr),-SUM(R22:R23)*Assm!$L$66,-SUM(R22:R23)*Assm!$L$64)</f>
        <v>0</v>
      </c>
      <c r="S24" s="37">
        <f ca="1">IF(S$7=YEAR(Endyr),-SUM(S22:S23)*Assm!$L$66,-SUM(S22:S23)*Assm!$L$64)</f>
        <v>0</v>
      </c>
      <c r="T24" s="37">
        <f ca="1">IF(T$7=YEAR(Endyr),-SUM(T22:T23)*Assm!$L$66,-SUM(T22:T23)*Assm!$L$64)</f>
        <v>0</v>
      </c>
      <c r="U24" s="37">
        <f ca="1">IF(U$7=YEAR(Endyr),-SUM(U22:U23)*Assm!$L$66,-SUM(U22:U23)*Assm!$L$64)</f>
        <v>0</v>
      </c>
      <c r="V24" s="37">
        <f ca="1">IF(V$7=YEAR(Endyr),-SUM(V22:V23)*Assm!$L$66,-SUM(V22:V23)*Assm!$L$64)</f>
        <v>0</v>
      </c>
      <c r="W24" s="37">
        <f ca="1">IF(W$7=YEAR(Endyr),-SUM(W22:W23)*Assm!$L$66,-SUM(W22:W23)*Assm!$L$64)</f>
        <v>0</v>
      </c>
      <c r="X24" s="37">
        <f ca="1">IF(X$7=YEAR(Endyr),-SUM(X22:X23)*Assm!$L$66,-SUM(X22:X23)*Assm!$L$64)</f>
        <v>0</v>
      </c>
      <c r="Y24" s="37">
        <f ca="1">IF(Y$7=YEAR(Endyr),-SUM(Y22:Y23)*Assm!$L$66,-SUM(Y22:Y23)*Assm!$L$64)</f>
        <v>0</v>
      </c>
      <c r="Z24" s="37">
        <f ca="1">IF(Z$7=YEAR(Endyr),-SUM(Z22:Z23)*Assm!$L$66,-SUM(Z22:Z23)*Assm!$L$64)</f>
        <v>0</v>
      </c>
      <c r="AA24" s="37">
        <f ca="1">IF(AA$7=YEAR(Endyr),-SUM(AA22:AA23)*Assm!$L$66,-SUM(AA22:AA23)*Assm!$L$64)</f>
        <v>-44618.28527209106</v>
      </c>
      <c r="AB24" s="435">
        <f t="shared" ca="1" si="7"/>
        <v>-44618.28527209106</v>
      </c>
      <c r="AD24" s="34">
        <f t="shared" si="0"/>
        <v>18</v>
      </c>
    </row>
    <row r="25" spans="1:30" s="15" customFormat="1">
      <c r="A25" s="150" t="s">
        <v>1888</v>
      </c>
      <c r="F25" s="142">
        <f ca="1">-SUM(F22:F24)*Assm!$L$65</f>
        <v>0</v>
      </c>
      <c r="G25" s="142">
        <f ca="1">-SUM(G22:G24)*Assm!$L$65</f>
        <v>1978.5080752796939</v>
      </c>
      <c r="H25" s="142">
        <f ca="1">-SUM(H22:H24)*Assm!$L$65</f>
        <v>-1379.8307245575661</v>
      </c>
      <c r="I25" s="142">
        <f ca="1">-SUM(I22:I24)*Assm!$L$65</f>
        <v>-16671.930027313781</v>
      </c>
      <c r="J25" s="142">
        <f ca="1">-SUM(J22:J24)*Assm!$L$65</f>
        <v>-18436.252277829073</v>
      </c>
      <c r="K25" s="142">
        <f ca="1">-SUM(K22:K24)*Assm!$L$65</f>
        <v>-23037.723275599739</v>
      </c>
      <c r="L25" s="142">
        <f ca="1">-SUM(L22:L24)*Assm!$L$65</f>
        <v>-15480.226551360614</v>
      </c>
      <c r="M25" s="142">
        <f ca="1">-SUM(M22:M24)*Assm!$L$65</f>
        <v>-21837.504085495908</v>
      </c>
      <c r="N25" s="142">
        <f ca="1">-SUM(N22:N24)*Assm!$L$65</f>
        <v>-28280.858371352006</v>
      </c>
      <c r="O25" s="142">
        <f ca="1">-SUM(O22:O24)*Assm!$L$65</f>
        <v>-30079.767167019629</v>
      </c>
      <c r="P25" s="142">
        <f ca="1">-SUM(P22:P24)*Assm!$L$65</f>
        <v>-27560.950481135351</v>
      </c>
      <c r="Q25" s="142">
        <f ca="1">-SUM(Q22:Q24)*Assm!$L$65</f>
        <v>-26415.568276719325</v>
      </c>
      <c r="R25" s="142">
        <f ca="1">-SUM(R22:R24)*Assm!$L$65</f>
        <v>-24119.324401939884</v>
      </c>
      <c r="S25" s="142">
        <f ca="1">-SUM(S22:S24)*Assm!$L$65</f>
        <v>-16605.426996591443</v>
      </c>
      <c r="T25" s="142">
        <f ca="1">-SUM(T22:T24)*Assm!$L$65</f>
        <v>-11387.093330093245</v>
      </c>
      <c r="U25" s="142">
        <f ca="1">-SUM(U22:U24)*Assm!$L$65</f>
        <v>-18605.819212601644</v>
      </c>
      <c r="V25" s="142">
        <f ca="1">-SUM(V22:V24)*Assm!$L$65</f>
        <v>-22005.082629765595</v>
      </c>
      <c r="W25" s="142">
        <f ca="1">-SUM(W22:W24)*Assm!$L$65</f>
        <v>-20015.669656253016</v>
      </c>
      <c r="X25" s="142">
        <f ca="1">-SUM(X22:X24)*Assm!$L$65</f>
        <v>-26101.320120084059</v>
      </c>
      <c r="Y25" s="142">
        <f ca="1">-SUM(Y22:Y24)*Assm!$L$65</f>
        <v>-30791.233758592669</v>
      </c>
      <c r="Z25" s="142">
        <f ca="1">-SUM(Z22:Z24)*Assm!$L$65</f>
        <v>-37015.839051200106</v>
      </c>
      <c r="AA25" s="142">
        <f ca="1">-SUM(AA22:AA24)*Assm!$L$65</f>
        <v>0</v>
      </c>
      <c r="AB25" s="436">
        <f t="shared" ca="1" si="7"/>
        <v>-413848.91232022503</v>
      </c>
      <c r="AD25" s="34">
        <f t="shared" si="0"/>
        <v>19</v>
      </c>
    </row>
    <row r="26" spans="1:30" s="15" customFormat="1">
      <c r="A26" s="150" t="s">
        <v>517</v>
      </c>
      <c r="F26" s="37">
        <f ca="1">SUM(F22:F25)</f>
        <v>0</v>
      </c>
      <c r="G26" s="37">
        <f t="shared" ref="G26:AA26" ca="1" si="10">SUM(G22:G25)</f>
        <v>0</v>
      </c>
      <c r="H26" s="37">
        <f t="shared" ca="1" si="10"/>
        <v>0</v>
      </c>
      <c r="I26" s="37">
        <f t="shared" ca="1" si="10"/>
        <v>0</v>
      </c>
      <c r="J26" s="37">
        <f t="shared" ca="1" si="10"/>
        <v>0</v>
      </c>
      <c r="K26" s="37">
        <f t="shared" ca="1" si="10"/>
        <v>0</v>
      </c>
      <c r="L26" s="37">
        <f t="shared" ca="1" si="10"/>
        <v>0</v>
      </c>
      <c r="M26" s="37">
        <f t="shared" ca="1" si="10"/>
        <v>0</v>
      </c>
      <c r="N26" s="37">
        <f t="shared" ca="1" si="10"/>
        <v>0</v>
      </c>
      <c r="O26" s="37">
        <f t="shared" ca="1" si="10"/>
        <v>0</v>
      </c>
      <c r="P26" s="37">
        <f t="shared" ca="1" si="10"/>
        <v>0</v>
      </c>
      <c r="Q26" s="37">
        <f t="shared" ca="1" si="10"/>
        <v>0</v>
      </c>
      <c r="R26" s="37">
        <f t="shared" ca="1" si="10"/>
        <v>0</v>
      </c>
      <c r="S26" s="37">
        <f t="shared" ca="1" si="10"/>
        <v>0</v>
      </c>
      <c r="T26" s="37">
        <f t="shared" ca="1" si="10"/>
        <v>0</v>
      </c>
      <c r="U26" s="37">
        <f t="shared" ca="1" si="10"/>
        <v>0</v>
      </c>
      <c r="V26" s="37">
        <f t="shared" ca="1" si="10"/>
        <v>0</v>
      </c>
      <c r="W26" s="37">
        <f t="shared" ca="1" si="10"/>
        <v>0</v>
      </c>
      <c r="X26" s="37">
        <f t="shared" ca="1" si="10"/>
        <v>0</v>
      </c>
      <c r="Y26" s="37">
        <f t="shared" ca="1" si="10"/>
        <v>0</v>
      </c>
      <c r="Z26" s="37">
        <f t="shared" ca="1" si="10"/>
        <v>0</v>
      </c>
      <c r="AA26" s="37">
        <f t="shared" ca="1" si="10"/>
        <v>0</v>
      </c>
      <c r="AB26" s="435">
        <f ca="1">SUM(AB22:AB25)</f>
        <v>0</v>
      </c>
      <c r="AD26" s="34">
        <f t="shared" si="0"/>
        <v>20</v>
      </c>
    </row>
    <row r="27" spans="1:30" s="15" customFormat="1">
      <c r="A27" s="20"/>
      <c r="AB27" s="430"/>
      <c r="AD27" s="34">
        <f t="shared" si="0"/>
        <v>21</v>
      </c>
    </row>
    <row r="28" spans="1:30" s="15" customFormat="1">
      <c r="A28" s="477" t="s">
        <v>948</v>
      </c>
      <c r="B28" s="233"/>
      <c r="C28" s="233"/>
      <c r="D28" s="233"/>
      <c r="E28" s="233"/>
      <c r="F28" s="929">
        <v>0</v>
      </c>
      <c r="G28" s="258">
        <f t="shared" ref="G28:AA28" ca="1" si="11">F31</f>
        <v>0</v>
      </c>
      <c r="H28" s="258">
        <f t="shared" ca="1" si="11"/>
        <v>-1978.5080752796939</v>
      </c>
      <c r="I28" s="258">
        <f t="shared" ca="1" si="11"/>
        <v>1379.8307245575661</v>
      </c>
      <c r="J28" s="258">
        <f t="shared" ca="1" si="11"/>
        <v>16671.930027313781</v>
      </c>
      <c r="K28" s="258">
        <f t="shared" ca="1" si="11"/>
        <v>18436.252277829073</v>
      </c>
      <c r="L28" s="258">
        <f t="shared" ca="1" si="11"/>
        <v>23037.723275599739</v>
      </c>
      <c r="M28" s="258">
        <f t="shared" ca="1" si="11"/>
        <v>15480.226551360614</v>
      </c>
      <c r="N28" s="258">
        <f t="shared" ca="1" si="11"/>
        <v>21837.504085495908</v>
      </c>
      <c r="O28" s="258">
        <f t="shared" ca="1" si="11"/>
        <v>28280.858371352006</v>
      </c>
      <c r="P28" s="258">
        <f t="shared" ca="1" si="11"/>
        <v>30079.767167019629</v>
      </c>
      <c r="Q28" s="258">
        <f t="shared" ca="1" si="11"/>
        <v>27560.950481135351</v>
      </c>
      <c r="R28" s="258">
        <f t="shared" ca="1" si="11"/>
        <v>26415.568276719325</v>
      </c>
      <c r="S28" s="258">
        <f t="shared" ca="1" si="11"/>
        <v>24119.324401939884</v>
      </c>
      <c r="T28" s="258">
        <f t="shared" ca="1" si="11"/>
        <v>16605.426996591443</v>
      </c>
      <c r="U28" s="258">
        <f t="shared" ca="1" si="11"/>
        <v>11387.093330093245</v>
      </c>
      <c r="V28" s="258">
        <f t="shared" ca="1" si="11"/>
        <v>18605.819212601644</v>
      </c>
      <c r="W28" s="258">
        <f t="shared" ca="1" si="11"/>
        <v>22005.082629765595</v>
      </c>
      <c r="X28" s="258">
        <f t="shared" ca="1" si="11"/>
        <v>20015.669656253016</v>
      </c>
      <c r="Y28" s="258">
        <f t="shared" ca="1" si="11"/>
        <v>26101.320120084059</v>
      </c>
      <c r="Z28" s="258">
        <f t="shared" ca="1" si="11"/>
        <v>30791.233758592669</v>
      </c>
      <c r="AA28" s="258">
        <f t="shared" ca="1" si="11"/>
        <v>37015.839051200106</v>
      </c>
      <c r="AB28" s="494">
        <f>F28</f>
        <v>0</v>
      </c>
      <c r="AD28" s="34">
        <f t="shared" si="0"/>
        <v>22</v>
      </c>
    </row>
    <row r="29" spans="1:30" s="15" customFormat="1">
      <c r="A29" s="422" t="s">
        <v>509</v>
      </c>
      <c r="B29" s="238"/>
      <c r="C29" s="238"/>
      <c r="D29" s="238"/>
      <c r="E29" s="238"/>
      <c r="F29" s="259">
        <f ca="1">IF(-F25+E25&gt;0,-F25+E25,0)</f>
        <v>0</v>
      </c>
      <c r="G29" s="259">
        <f t="shared" ref="G29:AA29" ca="1" si="12">IF(-G25+F25&gt;0,-G25+F25,0)</f>
        <v>0</v>
      </c>
      <c r="H29" s="259">
        <f t="shared" ca="1" si="12"/>
        <v>3358.33879983726</v>
      </c>
      <c r="I29" s="259">
        <f t="shared" ca="1" si="12"/>
        <v>15292.099302756214</v>
      </c>
      <c r="J29" s="259">
        <f t="shared" ca="1" si="12"/>
        <v>1764.3222505152917</v>
      </c>
      <c r="K29" s="259">
        <f t="shared" ca="1" si="12"/>
        <v>4601.4709977706661</v>
      </c>
      <c r="L29" s="259">
        <f t="shared" ca="1" si="12"/>
        <v>0</v>
      </c>
      <c r="M29" s="259">
        <f t="shared" ca="1" si="12"/>
        <v>6357.2775341352935</v>
      </c>
      <c r="N29" s="259">
        <f t="shared" ca="1" si="12"/>
        <v>6443.3542858560977</v>
      </c>
      <c r="O29" s="259">
        <f t="shared" ca="1" si="12"/>
        <v>1798.9087956676231</v>
      </c>
      <c r="P29" s="259">
        <f t="shared" ca="1" si="12"/>
        <v>0</v>
      </c>
      <c r="Q29" s="259">
        <f t="shared" ca="1" si="12"/>
        <v>0</v>
      </c>
      <c r="R29" s="259">
        <f t="shared" ca="1" si="12"/>
        <v>0</v>
      </c>
      <c r="S29" s="259">
        <f t="shared" ca="1" si="12"/>
        <v>0</v>
      </c>
      <c r="T29" s="259">
        <f t="shared" ca="1" si="12"/>
        <v>0</v>
      </c>
      <c r="U29" s="259">
        <f t="shared" ca="1" si="12"/>
        <v>7218.7258825083991</v>
      </c>
      <c r="V29" s="259">
        <f t="shared" ca="1" si="12"/>
        <v>3399.2634171639511</v>
      </c>
      <c r="W29" s="259">
        <f t="shared" ca="1" si="12"/>
        <v>0</v>
      </c>
      <c r="X29" s="259">
        <f t="shared" ca="1" si="12"/>
        <v>6085.6504638310435</v>
      </c>
      <c r="Y29" s="259">
        <f t="shared" ca="1" si="12"/>
        <v>4689.9136385086094</v>
      </c>
      <c r="Z29" s="259">
        <f t="shared" ca="1" si="12"/>
        <v>6224.6052926074371</v>
      </c>
      <c r="AA29" s="259">
        <f t="shared" ca="1" si="12"/>
        <v>0</v>
      </c>
      <c r="AB29" s="495">
        <f ca="1">SUM(F29:AA29)</f>
        <v>67233.930661157894</v>
      </c>
      <c r="AD29" s="34">
        <f t="shared" si="0"/>
        <v>23</v>
      </c>
    </row>
    <row r="30" spans="1:30" s="15" customFormat="1">
      <c r="A30" s="422" t="s">
        <v>950</v>
      </c>
      <c r="B30" s="238"/>
      <c r="C30" s="238"/>
      <c r="D30" s="238"/>
      <c r="E30" s="238"/>
      <c r="F30" s="260">
        <f ca="1">IF(-F25+E25&lt;0,-F25+E25,0)</f>
        <v>0</v>
      </c>
      <c r="G30" s="260">
        <f t="shared" ref="G30:AA30" ca="1" si="13">IF(-G25+F25&lt;0,-G25+F25,0)</f>
        <v>-1978.5080752796939</v>
      </c>
      <c r="H30" s="260">
        <f t="shared" ca="1" si="13"/>
        <v>0</v>
      </c>
      <c r="I30" s="260">
        <f t="shared" ca="1" si="13"/>
        <v>0</v>
      </c>
      <c r="J30" s="260">
        <f t="shared" ca="1" si="13"/>
        <v>0</v>
      </c>
      <c r="K30" s="260">
        <f t="shared" ca="1" si="13"/>
        <v>0</v>
      </c>
      <c r="L30" s="260">
        <f t="shared" ca="1" si="13"/>
        <v>-7557.4967242391249</v>
      </c>
      <c r="M30" s="260">
        <f t="shared" ca="1" si="13"/>
        <v>0</v>
      </c>
      <c r="N30" s="260">
        <f t="shared" ca="1" si="13"/>
        <v>0</v>
      </c>
      <c r="O30" s="260">
        <f t="shared" ca="1" si="13"/>
        <v>0</v>
      </c>
      <c r="P30" s="260">
        <f t="shared" ca="1" si="13"/>
        <v>-2518.8166858842778</v>
      </c>
      <c r="Q30" s="260">
        <f t="shared" ca="1" si="13"/>
        <v>-1145.3822044160261</v>
      </c>
      <c r="R30" s="260">
        <f t="shared" ca="1" si="13"/>
        <v>-2296.2438747794404</v>
      </c>
      <c r="S30" s="260">
        <f t="shared" ca="1" si="13"/>
        <v>-7513.8974053484417</v>
      </c>
      <c r="T30" s="260">
        <f t="shared" ca="1" si="13"/>
        <v>-5218.333666498198</v>
      </c>
      <c r="U30" s="260">
        <f t="shared" ca="1" si="13"/>
        <v>0</v>
      </c>
      <c r="V30" s="260">
        <f t="shared" ca="1" si="13"/>
        <v>0</v>
      </c>
      <c r="W30" s="260">
        <f t="shared" ca="1" si="13"/>
        <v>-1989.4129735125789</v>
      </c>
      <c r="X30" s="260">
        <f t="shared" ca="1" si="13"/>
        <v>0</v>
      </c>
      <c r="Y30" s="260">
        <f t="shared" ca="1" si="13"/>
        <v>0</v>
      </c>
      <c r="Z30" s="260">
        <f t="shared" ca="1" si="13"/>
        <v>0</v>
      </c>
      <c r="AA30" s="260">
        <f t="shared" ca="1" si="13"/>
        <v>-37015.839051200106</v>
      </c>
      <c r="AB30" s="496">
        <f ca="1">SUM(F30:AA30)</f>
        <v>-67233.93066115788</v>
      </c>
      <c r="AD30" s="34">
        <f t="shared" si="0"/>
        <v>24</v>
      </c>
    </row>
    <row r="31" spans="1:30">
      <c r="A31" s="423" t="s">
        <v>949</v>
      </c>
      <c r="B31" s="409"/>
      <c r="C31" s="409"/>
      <c r="D31" s="409"/>
      <c r="E31" s="409"/>
      <c r="F31" s="492">
        <f ca="1">SUM(F28:F30)</f>
        <v>0</v>
      </c>
      <c r="G31" s="492">
        <f t="shared" ref="G31:AA31" ca="1" si="14">SUM(G28:G30)</f>
        <v>-1978.5080752796939</v>
      </c>
      <c r="H31" s="492">
        <f t="shared" ca="1" si="14"/>
        <v>1379.8307245575661</v>
      </c>
      <c r="I31" s="492">
        <f t="shared" ca="1" si="14"/>
        <v>16671.930027313781</v>
      </c>
      <c r="J31" s="492">
        <f t="shared" ca="1" si="14"/>
        <v>18436.252277829073</v>
      </c>
      <c r="K31" s="492">
        <f t="shared" ca="1" si="14"/>
        <v>23037.723275599739</v>
      </c>
      <c r="L31" s="492">
        <f t="shared" ca="1" si="14"/>
        <v>15480.226551360614</v>
      </c>
      <c r="M31" s="492">
        <f t="shared" ca="1" si="14"/>
        <v>21837.504085495908</v>
      </c>
      <c r="N31" s="492">
        <f t="shared" ca="1" si="14"/>
        <v>28280.858371352006</v>
      </c>
      <c r="O31" s="492">
        <f t="shared" ca="1" si="14"/>
        <v>30079.767167019629</v>
      </c>
      <c r="P31" s="492">
        <f t="shared" ca="1" si="14"/>
        <v>27560.950481135351</v>
      </c>
      <c r="Q31" s="492">
        <f t="shared" ca="1" si="14"/>
        <v>26415.568276719325</v>
      </c>
      <c r="R31" s="492">
        <f t="shared" ca="1" si="14"/>
        <v>24119.324401939884</v>
      </c>
      <c r="S31" s="492">
        <f t="shared" ca="1" si="14"/>
        <v>16605.426996591443</v>
      </c>
      <c r="T31" s="492">
        <f t="shared" ca="1" si="14"/>
        <v>11387.093330093245</v>
      </c>
      <c r="U31" s="492">
        <f t="shared" ca="1" si="14"/>
        <v>18605.819212601644</v>
      </c>
      <c r="V31" s="492">
        <f t="shared" ca="1" si="14"/>
        <v>22005.082629765595</v>
      </c>
      <c r="W31" s="492">
        <f t="shared" ca="1" si="14"/>
        <v>20015.669656253016</v>
      </c>
      <c r="X31" s="492">
        <f t="shared" ca="1" si="14"/>
        <v>26101.320120084059</v>
      </c>
      <c r="Y31" s="492">
        <f t="shared" ca="1" si="14"/>
        <v>30791.233758592669</v>
      </c>
      <c r="Z31" s="492">
        <f t="shared" ca="1" si="14"/>
        <v>37015.839051200106</v>
      </c>
      <c r="AA31" s="492">
        <f t="shared" ca="1" si="14"/>
        <v>0</v>
      </c>
      <c r="AB31" s="497">
        <f ca="1">SUM(AB28:AB30)</f>
        <v>0</v>
      </c>
      <c r="AD31" s="34">
        <f t="shared" si="0"/>
        <v>25</v>
      </c>
    </row>
    <row r="32" spans="1:30">
      <c r="A32" s="20"/>
      <c r="AB32" s="430"/>
      <c r="AD32" s="34">
        <f t="shared" si="0"/>
        <v>26</v>
      </c>
    </row>
    <row r="33" spans="1:30">
      <c r="A33" s="27" t="s">
        <v>515</v>
      </c>
      <c r="AB33" s="430"/>
      <c r="AD33" s="34">
        <f t="shared" si="0"/>
        <v>27</v>
      </c>
    </row>
    <row r="34" spans="1:30">
      <c r="A34" s="20" t="s">
        <v>516</v>
      </c>
      <c r="F34" s="766">
        <v>0</v>
      </c>
      <c r="G34" s="37">
        <f t="shared" ref="G34:AA34" si="15">F37</f>
        <v>0</v>
      </c>
      <c r="H34" s="37">
        <f t="shared" ca="1" si="15"/>
        <v>0</v>
      </c>
      <c r="I34" s="37">
        <f t="shared" ca="1" si="15"/>
        <v>-1978.5080752796939</v>
      </c>
      <c r="J34" s="37">
        <f t="shared" ca="1" si="15"/>
        <v>1379.8307245575661</v>
      </c>
      <c r="K34" s="37">
        <f t="shared" ca="1" si="15"/>
        <v>16671.930027313781</v>
      </c>
      <c r="L34" s="37">
        <f t="shared" ca="1" si="15"/>
        <v>18436.252277829073</v>
      </c>
      <c r="M34" s="37">
        <f t="shared" ca="1" si="15"/>
        <v>23037.723275599739</v>
      </c>
      <c r="N34" s="37">
        <f t="shared" ca="1" si="15"/>
        <v>15480.226551360614</v>
      </c>
      <c r="O34" s="37">
        <f t="shared" ca="1" si="15"/>
        <v>21837.504085495908</v>
      </c>
      <c r="P34" s="37">
        <f t="shared" ca="1" si="15"/>
        <v>28280.858371352006</v>
      </c>
      <c r="Q34" s="37">
        <f t="shared" ca="1" si="15"/>
        <v>30079.767167019629</v>
      </c>
      <c r="R34" s="37">
        <f t="shared" ca="1" si="15"/>
        <v>27560.950481135351</v>
      </c>
      <c r="S34" s="37">
        <f t="shared" ca="1" si="15"/>
        <v>26415.568276719325</v>
      </c>
      <c r="T34" s="37">
        <f t="shared" ca="1" si="15"/>
        <v>24119.324401939884</v>
      </c>
      <c r="U34" s="37">
        <f t="shared" ca="1" si="15"/>
        <v>16605.426996591443</v>
      </c>
      <c r="V34" s="37">
        <f t="shared" ca="1" si="15"/>
        <v>11387.093330093245</v>
      </c>
      <c r="W34" s="37">
        <f t="shared" ca="1" si="15"/>
        <v>18605.819212601644</v>
      </c>
      <c r="X34" s="37">
        <f t="shared" ca="1" si="15"/>
        <v>22005.082629765595</v>
      </c>
      <c r="Y34" s="37">
        <f t="shared" ca="1" si="15"/>
        <v>20015.669656253016</v>
      </c>
      <c r="Z34" s="37">
        <f t="shared" ca="1" si="15"/>
        <v>26101.320120084059</v>
      </c>
      <c r="AA34" s="37">
        <f t="shared" ca="1" si="15"/>
        <v>30791.233758592669</v>
      </c>
      <c r="AB34" s="435">
        <f>F34</f>
        <v>0</v>
      </c>
      <c r="AD34" s="34">
        <f t="shared" si="0"/>
        <v>28</v>
      </c>
    </row>
    <row r="35" spans="1:30">
      <c r="A35" s="20" t="s">
        <v>951</v>
      </c>
      <c r="F35" s="37">
        <f>E29</f>
        <v>0</v>
      </c>
      <c r="G35" s="37">
        <f t="shared" ref="G35:AA35" ca="1" si="16">F29</f>
        <v>0</v>
      </c>
      <c r="H35" s="37">
        <f t="shared" ca="1" si="16"/>
        <v>0</v>
      </c>
      <c r="I35" s="37">
        <f t="shared" ca="1" si="16"/>
        <v>3358.33879983726</v>
      </c>
      <c r="J35" s="37">
        <f t="shared" ca="1" si="16"/>
        <v>15292.099302756214</v>
      </c>
      <c r="K35" s="37">
        <f t="shared" ca="1" si="16"/>
        <v>1764.3222505152917</v>
      </c>
      <c r="L35" s="37">
        <f t="shared" ca="1" si="16"/>
        <v>4601.4709977706661</v>
      </c>
      <c r="M35" s="37">
        <f t="shared" ca="1" si="16"/>
        <v>0</v>
      </c>
      <c r="N35" s="37">
        <f t="shared" ca="1" si="16"/>
        <v>6357.2775341352935</v>
      </c>
      <c r="O35" s="37">
        <f t="shared" ca="1" si="16"/>
        <v>6443.3542858560977</v>
      </c>
      <c r="P35" s="37">
        <f t="shared" ca="1" si="16"/>
        <v>1798.9087956676231</v>
      </c>
      <c r="Q35" s="37">
        <f t="shared" ca="1" si="16"/>
        <v>0</v>
      </c>
      <c r="R35" s="37">
        <f t="shared" ca="1" si="16"/>
        <v>0</v>
      </c>
      <c r="S35" s="37">
        <f t="shared" ca="1" si="16"/>
        <v>0</v>
      </c>
      <c r="T35" s="37">
        <f t="shared" ca="1" si="16"/>
        <v>0</v>
      </c>
      <c r="U35" s="37">
        <f t="shared" ca="1" si="16"/>
        <v>0</v>
      </c>
      <c r="V35" s="37">
        <f t="shared" ca="1" si="16"/>
        <v>7218.7258825083991</v>
      </c>
      <c r="W35" s="37">
        <f t="shared" ca="1" si="16"/>
        <v>3399.2634171639511</v>
      </c>
      <c r="X35" s="37">
        <f t="shared" ca="1" si="16"/>
        <v>0</v>
      </c>
      <c r="Y35" s="37">
        <f t="shared" ca="1" si="16"/>
        <v>6085.6504638310435</v>
      </c>
      <c r="Z35" s="37">
        <f t="shared" ca="1" si="16"/>
        <v>4689.9136385086094</v>
      </c>
      <c r="AA35" s="37">
        <f t="shared" ca="1" si="16"/>
        <v>6224.6052926074371</v>
      </c>
      <c r="AB35" s="435">
        <f ca="1">SUM(F35:AA35)</f>
        <v>67233.930661157894</v>
      </c>
      <c r="AD35" s="34">
        <f t="shared" si="0"/>
        <v>29</v>
      </c>
    </row>
    <row r="36" spans="1:30">
      <c r="A36" s="20" t="s">
        <v>952</v>
      </c>
      <c r="F36" s="142">
        <f>IF(F$7=YEAR(Endyr),F30,E30)</f>
        <v>0</v>
      </c>
      <c r="G36" s="142">
        <f t="shared" ref="G36:AA36" ca="1" si="17">IF(G$7=YEAR(Endyr),G30,F30)</f>
        <v>0</v>
      </c>
      <c r="H36" s="142">
        <f t="shared" ca="1" si="17"/>
        <v>-1978.5080752796939</v>
      </c>
      <c r="I36" s="142">
        <f t="shared" ca="1" si="17"/>
        <v>0</v>
      </c>
      <c r="J36" s="142">
        <f t="shared" ca="1" si="17"/>
        <v>0</v>
      </c>
      <c r="K36" s="142">
        <f t="shared" ca="1" si="17"/>
        <v>0</v>
      </c>
      <c r="L36" s="142">
        <f t="shared" ca="1" si="17"/>
        <v>0</v>
      </c>
      <c r="M36" s="142">
        <f t="shared" ca="1" si="17"/>
        <v>-7557.4967242391249</v>
      </c>
      <c r="N36" s="142">
        <f t="shared" ca="1" si="17"/>
        <v>0</v>
      </c>
      <c r="O36" s="142">
        <f t="shared" ca="1" si="17"/>
        <v>0</v>
      </c>
      <c r="P36" s="142">
        <f t="shared" ca="1" si="17"/>
        <v>0</v>
      </c>
      <c r="Q36" s="142">
        <f t="shared" ca="1" si="17"/>
        <v>-2518.8166858842778</v>
      </c>
      <c r="R36" s="142">
        <f t="shared" ca="1" si="17"/>
        <v>-1145.3822044160261</v>
      </c>
      <c r="S36" s="142">
        <f t="shared" ca="1" si="17"/>
        <v>-2296.2438747794404</v>
      </c>
      <c r="T36" s="142">
        <f t="shared" ca="1" si="17"/>
        <v>-7513.8974053484417</v>
      </c>
      <c r="U36" s="142">
        <f t="shared" ca="1" si="17"/>
        <v>-5218.333666498198</v>
      </c>
      <c r="V36" s="142">
        <f t="shared" ca="1" si="17"/>
        <v>0</v>
      </c>
      <c r="W36" s="142">
        <f t="shared" ca="1" si="17"/>
        <v>0</v>
      </c>
      <c r="X36" s="142">
        <f t="shared" ca="1" si="17"/>
        <v>-1989.4129735125789</v>
      </c>
      <c r="Y36" s="142">
        <f t="shared" ca="1" si="17"/>
        <v>0</v>
      </c>
      <c r="Z36" s="142">
        <f t="shared" ca="1" si="17"/>
        <v>0</v>
      </c>
      <c r="AA36" s="142">
        <f t="shared" ca="1" si="17"/>
        <v>-37015.839051200106</v>
      </c>
      <c r="AB36" s="436">
        <f ca="1">SUM(F36:AA36)</f>
        <v>-67233.93066115788</v>
      </c>
      <c r="AD36" s="34">
        <f t="shared" si="0"/>
        <v>30</v>
      </c>
    </row>
    <row r="37" spans="1:30">
      <c r="A37" s="20" t="s">
        <v>517</v>
      </c>
      <c r="F37" s="37">
        <f>SUM(F34:F36)</f>
        <v>0</v>
      </c>
      <c r="G37" s="37">
        <f ca="1">SUM(G34:G36)</f>
        <v>0</v>
      </c>
      <c r="H37" s="37">
        <f t="shared" ref="H37:W37" ca="1" si="18">SUM(H34:H36)</f>
        <v>-1978.5080752796939</v>
      </c>
      <c r="I37" s="37">
        <f t="shared" ca="1" si="18"/>
        <v>1379.8307245575661</v>
      </c>
      <c r="J37" s="37">
        <f t="shared" ca="1" si="18"/>
        <v>16671.930027313781</v>
      </c>
      <c r="K37" s="37">
        <f t="shared" ca="1" si="18"/>
        <v>18436.252277829073</v>
      </c>
      <c r="L37" s="37">
        <f t="shared" ca="1" si="18"/>
        <v>23037.723275599739</v>
      </c>
      <c r="M37" s="37">
        <f t="shared" ca="1" si="18"/>
        <v>15480.226551360614</v>
      </c>
      <c r="N37" s="37">
        <f t="shared" ca="1" si="18"/>
        <v>21837.504085495908</v>
      </c>
      <c r="O37" s="37">
        <f t="shared" ca="1" si="18"/>
        <v>28280.858371352006</v>
      </c>
      <c r="P37" s="37">
        <f t="shared" ca="1" si="18"/>
        <v>30079.767167019629</v>
      </c>
      <c r="Q37" s="37">
        <f t="shared" ca="1" si="18"/>
        <v>27560.950481135351</v>
      </c>
      <c r="R37" s="37">
        <f t="shared" ca="1" si="18"/>
        <v>26415.568276719325</v>
      </c>
      <c r="S37" s="37">
        <f t="shared" ca="1" si="18"/>
        <v>24119.324401939884</v>
      </c>
      <c r="T37" s="37">
        <f t="shared" ca="1" si="18"/>
        <v>16605.426996591443</v>
      </c>
      <c r="U37" s="37">
        <f t="shared" ca="1" si="18"/>
        <v>11387.093330093245</v>
      </c>
      <c r="V37" s="37">
        <f t="shared" ca="1" si="18"/>
        <v>18605.819212601644</v>
      </c>
      <c r="W37" s="37">
        <f t="shared" ca="1" si="18"/>
        <v>22005.082629765595</v>
      </c>
      <c r="X37" s="37">
        <f ca="1">SUM(X34:X36)</f>
        <v>20015.669656253016</v>
      </c>
      <c r="Y37" s="37">
        <f ca="1">SUM(Y34:Y36)</f>
        <v>26101.320120084059</v>
      </c>
      <c r="Z37" s="37">
        <f ca="1">SUM(Z34:Z36)</f>
        <v>30791.233758592669</v>
      </c>
      <c r="AA37" s="37">
        <f ca="1">SUM(AA34:AA36)</f>
        <v>0</v>
      </c>
      <c r="AB37" s="435">
        <f ca="1">SUM(AB34:AB36)</f>
        <v>0</v>
      </c>
      <c r="AD37" s="34">
        <f t="shared" si="0"/>
        <v>31</v>
      </c>
    </row>
    <row r="38" spans="1:30">
      <c r="A38" s="20"/>
      <c r="AB38" s="430"/>
      <c r="AD38" s="34">
        <f t="shared" si="0"/>
        <v>32</v>
      </c>
    </row>
    <row r="39" spans="1:30">
      <c r="A39" s="20" t="s">
        <v>1621</v>
      </c>
      <c r="D39" s="32">
        <f>Assm!$L$68</f>
        <v>0.05</v>
      </c>
      <c r="F39" s="37">
        <f>SUM(F34:F35)*$D$39</f>
        <v>0</v>
      </c>
      <c r="G39" s="37">
        <f t="shared" ref="G39:AA39" ca="1" si="19">SUM(G34:G35)*$D$39</f>
        <v>0</v>
      </c>
      <c r="H39" s="37">
        <f t="shared" ca="1" si="19"/>
        <v>0</v>
      </c>
      <c r="I39" s="37">
        <f t="shared" ca="1" si="19"/>
        <v>68.991536227878314</v>
      </c>
      <c r="J39" s="37">
        <f t="shared" ca="1" si="19"/>
        <v>833.59650136568916</v>
      </c>
      <c r="K39" s="37">
        <f t="shared" ca="1" si="19"/>
        <v>921.81261389145368</v>
      </c>
      <c r="L39" s="37">
        <f t="shared" ca="1" si="19"/>
        <v>1151.8861637799871</v>
      </c>
      <c r="M39" s="37">
        <f t="shared" ca="1" si="19"/>
        <v>1151.8861637799871</v>
      </c>
      <c r="N39" s="37">
        <f t="shared" ca="1" si="19"/>
        <v>1091.8752042747954</v>
      </c>
      <c r="O39" s="37">
        <f t="shared" ca="1" si="19"/>
        <v>1414.0429185676003</v>
      </c>
      <c r="P39" s="37">
        <f t="shared" ca="1" si="19"/>
        <v>1503.9883583509816</v>
      </c>
      <c r="Q39" s="37">
        <f t="shared" ca="1" si="19"/>
        <v>1503.9883583509816</v>
      </c>
      <c r="R39" s="37">
        <f t="shared" ca="1" si="19"/>
        <v>1378.0475240567675</v>
      </c>
      <c r="S39" s="37">
        <f t="shared" ca="1" si="19"/>
        <v>1320.7784138359664</v>
      </c>
      <c r="T39" s="37">
        <f t="shared" ca="1" si="19"/>
        <v>1205.9662200969942</v>
      </c>
      <c r="U39" s="37">
        <f t="shared" ca="1" si="19"/>
        <v>830.27134982957216</v>
      </c>
      <c r="V39" s="37">
        <f t="shared" ca="1" si="19"/>
        <v>930.29096063008228</v>
      </c>
      <c r="W39" s="37">
        <f t="shared" ca="1" si="19"/>
        <v>1100.2541314882799</v>
      </c>
      <c r="X39" s="37">
        <f t="shared" ca="1" si="19"/>
        <v>1100.2541314882799</v>
      </c>
      <c r="Y39" s="37">
        <f t="shared" ca="1" si="19"/>
        <v>1305.066006004203</v>
      </c>
      <c r="Z39" s="37">
        <f t="shared" ca="1" si="19"/>
        <v>1539.5616879296335</v>
      </c>
      <c r="AA39" s="37">
        <f t="shared" ca="1" si="19"/>
        <v>1850.7919525600055</v>
      </c>
      <c r="AB39" s="435">
        <f ca="1">SUM(F39:AA39)</f>
        <v>22203.350196509135</v>
      </c>
      <c r="AD39" s="34">
        <f t="shared" si="0"/>
        <v>33</v>
      </c>
    </row>
    <row r="40" spans="1:30">
      <c r="A40" s="417" t="s">
        <v>1622</v>
      </c>
      <c r="B40" s="31"/>
      <c r="C40" s="31"/>
      <c r="D40" s="60">
        <f>Assm!L69</f>
        <v>0.06</v>
      </c>
      <c r="E40" s="31"/>
      <c r="F40" s="59">
        <f>SUM(F34:F35)*$D$40</f>
        <v>0</v>
      </c>
      <c r="G40" s="59">
        <f t="shared" ref="G40:AA40" ca="1" si="20">SUM(G34:G35)*$D$40</f>
        <v>0</v>
      </c>
      <c r="H40" s="59">
        <f t="shared" ca="1" si="20"/>
        <v>0</v>
      </c>
      <c r="I40" s="59">
        <f t="shared" ca="1" si="20"/>
        <v>82.789843473453956</v>
      </c>
      <c r="J40" s="59">
        <f t="shared" ca="1" si="20"/>
        <v>1000.3158016388269</v>
      </c>
      <c r="K40" s="59">
        <f t="shared" ca="1" si="20"/>
        <v>1106.1751366697445</v>
      </c>
      <c r="L40" s="59">
        <f t="shared" ca="1" si="20"/>
        <v>1382.2633965359844</v>
      </c>
      <c r="M40" s="59">
        <f t="shared" ca="1" si="20"/>
        <v>1382.2633965359844</v>
      </c>
      <c r="N40" s="59">
        <f t="shared" ca="1" si="20"/>
        <v>1310.2502451297544</v>
      </c>
      <c r="O40" s="59">
        <f t="shared" ca="1" si="20"/>
        <v>1696.8515022811202</v>
      </c>
      <c r="P40" s="59">
        <f t="shared" ca="1" si="20"/>
        <v>1804.7860300211776</v>
      </c>
      <c r="Q40" s="59">
        <f t="shared" ca="1" si="20"/>
        <v>1804.7860300211776</v>
      </c>
      <c r="R40" s="59">
        <f t="shared" ca="1" si="20"/>
        <v>1653.657028868121</v>
      </c>
      <c r="S40" s="59">
        <f t="shared" ca="1" si="20"/>
        <v>1584.9340966031593</v>
      </c>
      <c r="T40" s="59">
        <f t="shared" ca="1" si="20"/>
        <v>1447.1594641163931</v>
      </c>
      <c r="U40" s="59">
        <f t="shared" ca="1" si="20"/>
        <v>996.32561979548655</v>
      </c>
      <c r="V40" s="59">
        <f t="shared" ca="1" si="20"/>
        <v>1116.3491527560986</v>
      </c>
      <c r="W40" s="59">
        <f t="shared" ca="1" si="20"/>
        <v>1320.3049577859356</v>
      </c>
      <c r="X40" s="59">
        <f t="shared" ca="1" si="20"/>
        <v>1320.3049577859356</v>
      </c>
      <c r="Y40" s="59">
        <f t="shared" ca="1" si="20"/>
        <v>1566.0792072050435</v>
      </c>
      <c r="Z40" s="59">
        <f t="shared" ca="1" si="20"/>
        <v>1847.47402551556</v>
      </c>
      <c r="AA40" s="59">
        <f t="shared" ca="1" si="20"/>
        <v>2220.9503430720065</v>
      </c>
      <c r="AB40" s="488">
        <f ca="1">SUM(F40:AA40)</f>
        <v>26644.02023581096</v>
      </c>
      <c r="AD40" s="34">
        <f t="shared" si="0"/>
        <v>34</v>
      </c>
    </row>
    <row r="41" spans="1:30">
      <c r="A41" s="20"/>
      <c r="AB41" s="430"/>
      <c r="AD41" s="34">
        <f t="shared" si="0"/>
        <v>35</v>
      </c>
    </row>
    <row r="42" spans="1:30">
      <c r="A42" s="27" t="s">
        <v>1620</v>
      </c>
      <c r="AB42" s="430"/>
      <c r="AD42" s="34">
        <f t="shared" si="0"/>
        <v>36</v>
      </c>
    </row>
    <row r="43" spans="1:30">
      <c r="A43" s="20" t="s">
        <v>1630</v>
      </c>
      <c r="F43" s="766">
        <v>0</v>
      </c>
      <c r="G43" s="37">
        <f t="shared" ref="G43:AA43" ca="1" si="21">F46</f>
        <v>0</v>
      </c>
      <c r="H43" s="37">
        <f t="shared" ca="1" si="21"/>
        <v>0</v>
      </c>
      <c r="I43" s="37">
        <f t="shared" ca="1" si="21"/>
        <v>0</v>
      </c>
      <c r="J43" s="37">
        <f t="shared" ca="1" si="21"/>
        <v>0</v>
      </c>
      <c r="K43" s="37">
        <f t="shared" ca="1" si="21"/>
        <v>0</v>
      </c>
      <c r="L43" s="37">
        <f t="shared" ca="1" si="21"/>
        <v>0</v>
      </c>
      <c r="M43" s="37">
        <f t="shared" ca="1" si="21"/>
        <v>0</v>
      </c>
      <c r="N43" s="37">
        <f t="shared" ca="1" si="21"/>
        <v>0</v>
      </c>
      <c r="O43" s="37">
        <f t="shared" ca="1" si="21"/>
        <v>0</v>
      </c>
      <c r="P43" s="37">
        <f t="shared" ca="1" si="21"/>
        <v>143.49868087627237</v>
      </c>
      <c r="Q43" s="37">
        <f t="shared" ca="1" si="21"/>
        <v>1972.1154333266497</v>
      </c>
      <c r="R43" s="37">
        <f t="shared" ca="1" si="21"/>
        <v>2094.1149503703759</v>
      </c>
      <c r="S43" s="37">
        <f t="shared" ca="1" si="21"/>
        <v>2286.7436373609212</v>
      </c>
      <c r="T43" s="37">
        <f t="shared" ca="1" si="21"/>
        <v>3347.9443580465067</v>
      </c>
      <c r="U43" s="37">
        <f t="shared" ca="1" si="21"/>
        <v>4224.7140470160375</v>
      </c>
      <c r="V43" s="37">
        <f t="shared" ca="1" si="21"/>
        <v>4224.7140470160375</v>
      </c>
      <c r="W43" s="37">
        <f t="shared" ca="1" si="21"/>
        <v>4224.7140470160375</v>
      </c>
      <c r="X43" s="37">
        <f t="shared" ca="1" si="21"/>
        <v>4224.7140470160375</v>
      </c>
      <c r="Y43" s="37">
        <f t="shared" ca="1" si="21"/>
        <v>4224.7140470160375</v>
      </c>
      <c r="Z43" s="37">
        <f t="shared" ca="1" si="21"/>
        <v>4224.7140470160375</v>
      </c>
      <c r="AA43" s="37">
        <f t="shared" ca="1" si="21"/>
        <v>629.91613511453215</v>
      </c>
      <c r="AB43" s="435">
        <f>F43</f>
        <v>0</v>
      </c>
      <c r="AD43" s="34">
        <f t="shared" si="0"/>
        <v>37</v>
      </c>
    </row>
    <row r="44" spans="1:30">
      <c r="A44" s="20" t="s">
        <v>1623</v>
      </c>
      <c r="F44" s="37">
        <f ca="1">-Taxes!D53</f>
        <v>0</v>
      </c>
      <c r="G44" s="37">
        <f ca="1">-Taxes!E53</f>
        <v>116.9419904737901</v>
      </c>
      <c r="H44" s="37">
        <f ca="1">-Taxes!F53</f>
        <v>620.0920187802451</v>
      </c>
      <c r="I44" s="37">
        <f ca="1">-Taxes!G53</f>
        <v>0</v>
      </c>
      <c r="J44" s="37">
        <f ca="1">-Taxes!H53</f>
        <v>0</v>
      </c>
      <c r="K44" s="37">
        <f ca="1">-Taxes!I53</f>
        <v>137.76635472643687</v>
      </c>
      <c r="L44" s="37">
        <f ca="1">-Taxes!J53</f>
        <v>0</v>
      </c>
      <c r="M44" s="37">
        <f ca="1">-Taxes!K53</f>
        <v>774.18295127764623</v>
      </c>
      <c r="N44" s="37">
        <f ca="1">-Taxes!L53</f>
        <v>648.07555710347651</v>
      </c>
      <c r="O44" s="37">
        <f ca="1">-Taxes!M53</f>
        <v>1946.9842711341616</v>
      </c>
      <c r="P44" s="37">
        <f ca="1">-Taxes!N53</f>
        <v>1828.6167524503774</v>
      </c>
      <c r="Q44" s="37">
        <f ca="1">-Taxes!O53</f>
        <v>121.99951704372602</v>
      </c>
      <c r="R44" s="37">
        <f ca="1">-Taxes!P53</f>
        <v>192.62868699054525</v>
      </c>
      <c r="S44" s="37">
        <f ca="1">-Taxes!Q53</f>
        <v>1061.2007206855856</v>
      </c>
      <c r="T44" s="37">
        <f ca="1">-Taxes!R53</f>
        <v>876.76968896953122</v>
      </c>
      <c r="U44" s="37">
        <f ca="1">-Taxes!S53</f>
        <v>0</v>
      </c>
      <c r="V44" s="37">
        <f ca="1">-Taxes!T53</f>
        <v>0</v>
      </c>
      <c r="W44" s="37">
        <f ca="1">-Taxes!U53</f>
        <v>0</v>
      </c>
      <c r="X44" s="37">
        <f ca="1">-Taxes!V53</f>
        <v>0</v>
      </c>
      <c r="Y44" s="37">
        <f ca="1">-Taxes!W53</f>
        <v>0</v>
      </c>
      <c r="Z44" s="37">
        <f ca="1">-Taxes!X53</f>
        <v>0</v>
      </c>
      <c r="AA44" s="37">
        <f ca="1">-Taxes!Y53</f>
        <v>0</v>
      </c>
      <c r="AB44" s="435">
        <f ca="1">SUM(F44:AA44)</f>
        <v>8325.2585096355215</v>
      </c>
      <c r="AD44" s="34">
        <f t="shared" si="0"/>
        <v>38</v>
      </c>
    </row>
    <row r="45" spans="1:30">
      <c r="A45" s="20" t="s">
        <v>41</v>
      </c>
      <c r="F45" s="142">
        <f ca="1">-F52</f>
        <v>0</v>
      </c>
      <c r="G45" s="142">
        <f t="shared" ref="G45:AA45" ca="1" si="22">-G52</f>
        <v>-116.9419904737901</v>
      </c>
      <c r="H45" s="142">
        <f t="shared" ca="1" si="22"/>
        <v>-620.0920187802451</v>
      </c>
      <c r="I45" s="142">
        <f t="shared" ca="1" si="22"/>
        <v>0</v>
      </c>
      <c r="J45" s="142">
        <f t="shared" ca="1" si="22"/>
        <v>0</v>
      </c>
      <c r="K45" s="142">
        <f t="shared" ca="1" si="22"/>
        <v>-137.76635472643693</v>
      </c>
      <c r="L45" s="142">
        <f t="shared" ca="1" si="22"/>
        <v>0</v>
      </c>
      <c r="M45" s="142">
        <f t="shared" ca="1" si="22"/>
        <v>-774.18295127764623</v>
      </c>
      <c r="N45" s="142">
        <f t="shared" ca="1" si="22"/>
        <v>-648.07555710347629</v>
      </c>
      <c r="O45" s="142">
        <f t="shared" ca="1" si="22"/>
        <v>-1803.4855902578893</v>
      </c>
      <c r="P45" s="142">
        <f t="shared" ca="1" si="22"/>
        <v>0</v>
      </c>
      <c r="Q45" s="142">
        <f t="shared" ca="1" si="22"/>
        <v>0</v>
      </c>
      <c r="R45" s="142">
        <f t="shared" ca="1" si="22"/>
        <v>0</v>
      </c>
      <c r="S45" s="142">
        <f t="shared" ca="1" si="22"/>
        <v>0</v>
      </c>
      <c r="T45" s="142">
        <f t="shared" ca="1" si="22"/>
        <v>0</v>
      </c>
      <c r="U45" s="142">
        <f t="shared" ca="1" si="22"/>
        <v>0</v>
      </c>
      <c r="V45" s="142">
        <f t="shared" ca="1" si="22"/>
        <v>0</v>
      </c>
      <c r="W45" s="142">
        <f t="shared" ca="1" si="22"/>
        <v>0</v>
      </c>
      <c r="X45" s="142">
        <f t="shared" ca="1" si="22"/>
        <v>0</v>
      </c>
      <c r="Y45" s="142">
        <f t="shared" ca="1" si="22"/>
        <v>0</v>
      </c>
      <c r="Z45" s="142">
        <f t="shared" ca="1" si="22"/>
        <v>-3594.7979119015054</v>
      </c>
      <c r="AA45" s="142">
        <f t="shared" ca="1" si="22"/>
        <v>-629.91613511453215</v>
      </c>
      <c r="AB45" s="436">
        <f ca="1">SUM(F45:AA45)</f>
        <v>-8325.2585096355215</v>
      </c>
      <c r="AD45" s="34">
        <f t="shared" si="0"/>
        <v>39</v>
      </c>
    </row>
    <row r="46" spans="1:30" s="15" customFormat="1">
      <c r="A46" s="20" t="s">
        <v>1624</v>
      </c>
      <c r="F46" s="37">
        <f t="shared" ref="F46:AB46" ca="1" si="23">SUM(F43:F45)</f>
        <v>0</v>
      </c>
      <c r="G46" s="37">
        <f t="shared" ca="1" si="23"/>
        <v>0</v>
      </c>
      <c r="H46" s="37">
        <f t="shared" ca="1" si="23"/>
        <v>0</v>
      </c>
      <c r="I46" s="37">
        <f t="shared" ca="1" si="23"/>
        <v>0</v>
      </c>
      <c r="J46" s="37">
        <f t="shared" ca="1" si="23"/>
        <v>0</v>
      </c>
      <c r="K46" s="37">
        <f t="shared" ca="1" si="23"/>
        <v>0</v>
      </c>
      <c r="L46" s="37">
        <f t="shared" ca="1" si="23"/>
        <v>0</v>
      </c>
      <c r="M46" s="37">
        <f t="shared" ca="1" si="23"/>
        <v>0</v>
      </c>
      <c r="N46" s="37">
        <f t="shared" ca="1" si="23"/>
        <v>0</v>
      </c>
      <c r="O46" s="37">
        <f t="shared" ca="1" si="23"/>
        <v>143.49868087627237</v>
      </c>
      <c r="P46" s="37">
        <f t="shared" ca="1" si="23"/>
        <v>1972.1154333266497</v>
      </c>
      <c r="Q46" s="37">
        <f t="shared" ca="1" si="23"/>
        <v>2094.1149503703759</v>
      </c>
      <c r="R46" s="37">
        <f t="shared" ca="1" si="23"/>
        <v>2286.7436373609212</v>
      </c>
      <c r="S46" s="37">
        <f t="shared" ca="1" si="23"/>
        <v>3347.9443580465067</v>
      </c>
      <c r="T46" s="37">
        <f t="shared" ca="1" si="23"/>
        <v>4224.7140470160375</v>
      </c>
      <c r="U46" s="37">
        <f t="shared" ca="1" si="23"/>
        <v>4224.7140470160375</v>
      </c>
      <c r="V46" s="37">
        <f t="shared" ca="1" si="23"/>
        <v>4224.7140470160375</v>
      </c>
      <c r="W46" s="37">
        <f t="shared" ca="1" si="23"/>
        <v>4224.7140470160375</v>
      </c>
      <c r="X46" s="37">
        <f t="shared" ca="1" si="23"/>
        <v>4224.7140470160375</v>
      </c>
      <c r="Y46" s="37">
        <f t="shared" ca="1" si="23"/>
        <v>4224.7140470160375</v>
      </c>
      <c r="Z46" s="37">
        <f t="shared" ca="1" si="23"/>
        <v>629.91613511453215</v>
      </c>
      <c r="AA46" s="37">
        <f t="shared" ca="1" si="23"/>
        <v>0</v>
      </c>
      <c r="AB46" s="435">
        <f t="shared" ca="1" si="23"/>
        <v>0</v>
      </c>
      <c r="AD46" s="34">
        <f t="shared" si="0"/>
        <v>40</v>
      </c>
    </row>
    <row r="47" spans="1:30">
      <c r="A47" s="20"/>
      <c r="AB47" s="430"/>
      <c r="AD47" s="34">
        <f t="shared" si="0"/>
        <v>41</v>
      </c>
    </row>
    <row r="48" spans="1:30">
      <c r="A48" s="20" t="s">
        <v>81</v>
      </c>
      <c r="F48" s="37">
        <f ca="1">CF!D54</f>
        <v>0</v>
      </c>
      <c r="G48" s="37">
        <f ca="1">CF!E54</f>
        <v>-6578.0609479357427</v>
      </c>
      <c r="H48" s="37">
        <f ca="1">CF!F54</f>
        <v>-3771.1328721942714</v>
      </c>
      <c r="I48" s="37">
        <f ca="1">CF!G54</f>
        <v>-3011.5167629040229</v>
      </c>
      <c r="J48" s="37">
        <f ca="1">CF!H54</f>
        <v>-1651.6717033239365</v>
      </c>
      <c r="K48" s="37">
        <f ca="1">CF!I54</f>
        <v>1582.6168185006825</v>
      </c>
      <c r="L48" s="37">
        <f ca="1">CF!J54</f>
        <v>-7967.5646730677072</v>
      </c>
      <c r="M48" s="37">
        <f ca="1">CF!K54</f>
        <v>6059.3574771919702</v>
      </c>
      <c r="N48" s="37">
        <f ca="1">CF!L54</f>
        <v>6867.8580906124052</v>
      </c>
      <c r="O48" s="37">
        <f ca="1">CF!M54</f>
        <v>6666.6289828627341</v>
      </c>
      <c r="P48" s="37">
        <f ca="1">CF!N54</f>
        <v>5944.7963565306372</v>
      </c>
      <c r="Q48" s="37">
        <f ca="1">CF!O54</f>
        <v>6215.4120682037064</v>
      </c>
      <c r="R48" s="37">
        <f ca="1">CF!P54</f>
        <v>7153.9144703393631</v>
      </c>
      <c r="S48" s="37">
        <f ca="1">CF!Q54</f>
        <v>7772.6229549989566</v>
      </c>
      <c r="T48" s="37">
        <f ca="1">CF!R54</f>
        <v>5510.8880678318901</v>
      </c>
      <c r="U48" s="37">
        <f ca="1">CF!S54</f>
        <v>7093.2624647622661</v>
      </c>
      <c r="V48" s="37">
        <f ca="1">CF!T54</f>
        <v>2410.5049231865419</v>
      </c>
      <c r="W48" s="37">
        <f ca="1">CF!U54</f>
        <v>-7495.2285138640063</v>
      </c>
      <c r="X48" s="37">
        <f ca="1">CF!V54</f>
        <v>-11713.567705695645</v>
      </c>
      <c r="Y48" s="37">
        <f ca="1">CF!W54</f>
        <v>-13109.304531018079</v>
      </c>
      <c r="Z48" s="37">
        <f ca="1">CF!X54</f>
        <v>-11574.612876919249</v>
      </c>
      <c r="AA48" s="37">
        <f ca="1">CF!Y54</f>
        <v>-3103.4748856177998</v>
      </c>
      <c r="AB48" s="435">
        <f ca="1">SUM(F48:AA48)</f>
        <v>-6698.2727975193047</v>
      </c>
      <c r="AD48" s="34">
        <f t="shared" si="0"/>
        <v>42</v>
      </c>
    </row>
    <row r="49" spans="1:30">
      <c r="A49" s="20" t="s">
        <v>82</v>
      </c>
      <c r="F49" s="37">
        <f ca="1">SUM($F48:F48)</f>
        <v>0</v>
      </c>
      <c r="G49" s="37">
        <f ca="1">SUM($F48:G48)</f>
        <v>-6578.0609479357427</v>
      </c>
      <c r="H49" s="37">
        <f ca="1">SUM($F48:H48)</f>
        <v>-10349.193820130015</v>
      </c>
      <c r="I49" s="37">
        <f ca="1">SUM($F48:I48)</f>
        <v>-13360.710583034037</v>
      </c>
      <c r="J49" s="37">
        <f ca="1">SUM($F48:J48)</f>
        <v>-15012.382286357973</v>
      </c>
      <c r="K49" s="37">
        <f ca="1">SUM($F48:K48)</f>
        <v>-13429.765467857291</v>
      </c>
      <c r="L49" s="37">
        <f ca="1">SUM($F48:L48)</f>
        <v>-21397.330140924998</v>
      </c>
      <c r="M49" s="37">
        <f ca="1">SUM($F48:M48)</f>
        <v>-15337.972663733028</v>
      </c>
      <c r="N49" s="37">
        <f ca="1">SUM($F48:N48)</f>
        <v>-8470.1145731206234</v>
      </c>
      <c r="O49" s="37">
        <f ca="1">SUM($F48:O48)</f>
        <v>-1803.4855902578893</v>
      </c>
      <c r="P49" s="37">
        <f ca="1">SUM($F48:P48)</f>
        <v>4141.310766272748</v>
      </c>
      <c r="Q49" s="37">
        <f ca="1">SUM($F48:Q48)</f>
        <v>10356.722834476455</v>
      </c>
      <c r="R49" s="37">
        <f ca="1">SUM($F48:R48)</f>
        <v>17510.63730481582</v>
      </c>
      <c r="S49" s="37">
        <f ca="1">SUM($F48:S48)</f>
        <v>25283.260259814779</v>
      </c>
      <c r="T49" s="37">
        <f ca="1">SUM($F48:T48)</f>
        <v>30794.148327646668</v>
      </c>
      <c r="U49" s="37">
        <f ca="1">SUM($F48:U48)</f>
        <v>37887.410792408933</v>
      </c>
      <c r="V49" s="37">
        <f ca="1">SUM($F48:V48)</f>
        <v>40297.915715595474</v>
      </c>
      <c r="W49" s="37">
        <f ca="1">SUM($F48:W48)</f>
        <v>32802.687201731467</v>
      </c>
      <c r="X49" s="37">
        <f ca="1">SUM($F48:X48)</f>
        <v>21089.119496035823</v>
      </c>
      <c r="Y49" s="37">
        <f ca="1">SUM($F48:Y48)</f>
        <v>7979.8149650177438</v>
      </c>
      <c r="Z49" s="37">
        <f ca="1">SUM($F48:Z48)</f>
        <v>-3594.7979119015054</v>
      </c>
      <c r="AA49" s="37">
        <f ca="1">SUM($F48:AA48)</f>
        <v>-6698.2727975193047</v>
      </c>
      <c r="AB49" s="435"/>
      <c r="AD49" s="34">
        <f t="shared" si="0"/>
        <v>43</v>
      </c>
    </row>
    <row r="50" spans="1:30">
      <c r="A50" s="20"/>
      <c r="AB50" s="430"/>
      <c r="AD50" s="34">
        <f t="shared" si="0"/>
        <v>44</v>
      </c>
    </row>
    <row r="51" spans="1:30">
      <c r="A51" s="20" t="s">
        <v>42</v>
      </c>
      <c r="F51" s="37">
        <f ca="1">SUM($F44:F44)+SUM($E45:E45)</f>
        <v>0</v>
      </c>
      <c r="G51" s="37">
        <f ca="1">SUM($F44:G44)+SUM($E45:F45)</f>
        <v>116.9419904737901</v>
      </c>
      <c r="H51" s="37">
        <f ca="1">SUM($F44:H44)+SUM($E45:G45)</f>
        <v>620.0920187802451</v>
      </c>
      <c r="I51" s="37">
        <f ca="1">SUM($F44:I44)+SUM($E45:H45)</f>
        <v>0</v>
      </c>
      <c r="J51" s="37">
        <f ca="1">SUM($F44:J44)+SUM($E45:I45)</f>
        <v>0</v>
      </c>
      <c r="K51" s="37">
        <f ca="1">SUM($F44:K44)+SUM($E45:J45)</f>
        <v>137.76635472643693</v>
      </c>
      <c r="L51" s="37">
        <f ca="1">SUM($F44:L44)+SUM($E45:K45)</f>
        <v>0</v>
      </c>
      <c r="M51" s="37">
        <f ca="1">SUM($F44:M44)+SUM($E45:L45)</f>
        <v>774.18295127764623</v>
      </c>
      <c r="N51" s="37">
        <f ca="1">SUM($F44:N44)+SUM($E45:M45)</f>
        <v>648.07555710347629</v>
      </c>
      <c r="O51" s="37">
        <f ca="1">SUM($F44:O44)+SUM($E45:N45)</f>
        <v>1946.9842711341616</v>
      </c>
      <c r="P51" s="37">
        <f ca="1">SUM($F44:P44)+SUM($E45:O45)</f>
        <v>1972.1154333266495</v>
      </c>
      <c r="Q51" s="37">
        <f ca="1">SUM($F44:Q44)+SUM($E45:P45)</f>
        <v>2094.1149503703755</v>
      </c>
      <c r="R51" s="37">
        <f ca="1">SUM($F44:R44)+SUM($E45:Q45)</f>
        <v>2286.7436373609207</v>
      </c>
      <c r="S51" s="37">
        <f ca="1">SUM($F44:S44)+SUM($E45:R45)</f>
        <v>3347.9443580465067</v>
      </c>
      <c r="T51" s="37">
        <f ca="1">SUM($F44:T44)+SUM($E45:S45)</f>
        <v>4224.7140470160375</v>
      </c>
      <c r="U51" s="37">
        <f ca="1">SUM($F44:U44)+SUM($E45:T45)</f>
        <v>4224.7140470160375</v>
      </c>
      <c r="V51" s="37">
        <f ca="1">SUM($F44:V44)+SUM($E45:U45)</f>
        <v>4224.7140470160375</v>
      </c>
      <c r="W51" s="37">
        <f ca="1">SUM($F44:W44)+SUM($E45:V45)</f>
        <v>4224.7140470160375</v>
      </c>
      <c r="X51" s="37">
        <f ca="1">SUM($F44:X44)+SUM($E45:W45)</f>
        <v>4224.7140470160375</v>
      </c>
      <c r="Y51" s="37">
        <f ca="1">SUM($F44:Y44)+SUM($E45:X45)</f>
        <v>4224.7140470160375</v>
      </c>
      <c r="Z51" s="37">
        <f ca="1">SUM($F44:Z44)+SUM($E45:Y45)</f>
        <v>4224.7140470160375</v>
      </c>
      <c r="AA51" s="37">
        <f ca="1">SUM($F44:AA44)+SUM($E45:Z45)</f>
        <v>629.91613511453215</v>
      </c>
      <c r="AB51" s="430"/>
      <c r="AD51" s="34">
        <f t="shared" si="0"/>
        <v>45</v>
      </c>
    </row>
    <row r="52" spans="1:30">
      <c r="A52" s="417" t="s">
        <v>43</v>
      </c>
      <c r="B52" s="31"/>
      <c r="C52" s="31"/>
      <c r="D52" s="31"/>
      <c r="E52" s="31"/>
      <c r="F52" s="59">
        <f t="shared" ref="F52:AA52" ca="1" si="24">IF(F49&lt;0,MIN(-F49,F51),0)</f>
        <v>0</v>
      </c>
      <c r="G52" s="59">
        <f t="shared" ca="1" si="24"/>
        <v>116.9419904737901</v>
      </c>
      <c r="H52" s="59">
        <f t="shared" ca="1" si="24"/>
        <v>620.0920187802451</v>
      </c>
      <c r="I52" s="59">
        <f t="shared" ca="1" si="24"/>
        <v>0</v>
      </c>
      <c r="J52" s="59">
        <f t="shared" ca="1" si="24"/>
        <v>0</v>
      </c>
      <c r="K52" s="59">
        <f t="shared" ca="1" si="24"/>
        <v>137.76635472643693</v>
      </c>
      <c r="L52" s="59">
        <f t="shared" ca="1" si="24"/>
        <v>0</v>
      </c>
      <c r="M52" s="59">
        <f t="shared" ca="1" si="24"/>
        <v>774.18295127764623</v>
      </c>
      <c r="N52" s="59">
        <f t="shared" ca="1" si="24"/>
        <v>648.07555710347629</v>
      </c>
      <c r="O52" s="59">
        <f t="shared" ca="1" si="24"/>
        <v>1803.4855902578893</v>
      </c>
      <c r="P52" s="59">
        <f t="shared" ca="1" si="24"/>
        <v>0</v>
      </c>
      <c r="Q52" s="59">
        <f t="shared" ca="1" si="24"/>
        <v>0</v>
      </c>
      <c r="R52" s="59">
        <f t="shared" ca="1" si="24"/>
        <v>0</v>
      </c>
      <c r="S52" s="59">
        <f t="shared" ca="1" si="24"/>
        <v>0</v>
      </c>
      <c r="T52" s="59">
        <f t="shared" ca="1" si="24"/>
        <v>0</v>
      </c>
      <c r="U52" s="59">
        <f t="shared" ca="1" si="24"/>
        <v>0</v>
      </c>
      <c r="V52" s="59">
        <f t="shared" ca="1" si="24"/>
        <v>0</v>
      </c>
      <c r="W52" s="59">
        <f t="shared" ca="1" si="24"/>
        <v>0</v>
      </c>
      <c r="X52" s="59">
        <f t="shared" ca="1" si="24"/>
        <v>0</v>
      </c>
      <c r="Y52" s="59">
        <f t="shared" ca="1" si="24"/>
        <v>0</v>
      </c>
      <c r="Z52" s="59">
        <f t="shared" ca="1" si="24"/>
        <v>3594.7979119015054</v>
      </c>
      <c r="AA52" s="59">
        <f t="shared" ca="1" si="24"/>
        <v>629.91613511453215</v>
      </c>
      <c r="AB52" s="488">
        <f ca="1">SUM(F52:AA52)</f>
        <v>8325.2585096355215</v>
      </c>
      <c r="AD52" s="34">
        <f t="shared" si="0"/>
        <v>46</v>
      </c>
    </row>
    <row r="53" spans="1:30">
      <c r="A53" s="20"/>
      <c r="AB53" s="430"/>
      <c r="AD53" s="34">
        <f t="shared" si="0"/>
        <v>47</v>
      </c>
    </row>
    <row r="54" spans="1:30">
      <c r="A54" s="27" t="s">
        <v>518</v>
      </c>
      <c r="F54" s="3">
        <f>F$7</f>
        <v>1998</v>
      </c>
      <c r="G54" s="3">
        <f t="shared" ref="G54:AA54" si="25">G$7</f>
        <v>1999</v>
      </c>
      <c r="H54" s="3">
        <f t="shared" si="25"/>
        <v>2000</v>
      </c>
      <c r="I54" s="3">
        <f t="shared" si="25"/>
        <v>2001</v>
      </c>
      <c r="J54" s="3">
        <f t="shared" si="25"/>
        <v>2002</v>
      </c>
      <c r="K54" s="3">
        <f t="shared" si="25"/>
        <v>2003</v>
      </c>
      <c r="L54" s="3">
        <f t="shared" si="25"/>
        <v>2004</v>
      </c>
      <c r="M54" s="3">
        <f t="shared" si="25"/>
        <v>2005</v>
      </c>
      <c r="N54" s="3">
        <f t="shared" si="25"/>
        <v>2006</v>
      </c>
      <c r="O54" s="3">
        <f t="shared" si="25"/>
        <v>2007</v>
      </c>
      <c r="P54" s="3">
        <f t="shared" si="25"/>
        <v>2008</v>
      </c>
      <c r="Q54" s="3">
        <f t="shared" si="25"/>
        <v>2009</v>
      </c>
      <c r="R54" s="3">
        <f t="shared" si="25"/>
        <v>2010</v>
      </c>
      <c r="S54" s="3">
        <f t="shared" si="25"/>
        <v>2011</v>
      </c>
      <c r="T54" s="3">
        <f t="shared" si="25"/>
        <v>2012</v>
      </c>
      <c r="U54" s="3">
        <f t="shared" si="25"/>
        <v>2013</v>
      </c>
      <c r="V54" s="3">
        <f t="shared" si="25"/>
        <v>2014</v>
      </c>
      <c r="W54" s="3">
        <f t="shared" si="25"/>
        <v>2015</v>
      </c>
      <c r="X54" s="3">
        <f t="shared" si="25"/>
        <v>2016</v>
      </c>
      <c r="Y54" s="3">
        <f t="shared" si="25"/>
        <v>2017</v>
      </c>
      <c r="Z54" s="3">
        <f t="shared" si="25"/>
        <v>2018</v>
      </c>
      <c r="AA54" s="3">
        <f t="shared" si="25"/>
        <v>2019</v>
      </c>
      <c r="AB54" s="498" t="s">
        <v>441</v>
      </c>
      <c r="AD54" s="34">
        <f t="shared" si="0"/>
        <v>48</v>
      </c>
    </row>
    <row r="55" spans="1:30">
      <c r="A55" s="20" t="s">
        <v>953</v>
      </c>
      <c r="D55" s="799">
        <v>1997</v>
      </c>
      <c r="AB55" s="430"/>
      <c r="AD55" s="34">
        <f t="shared" si="0"/>
        <v>49</v>
      </c>
    </row>
    <row r="56" spans="1:30">
      <c r="A56" s="20"/>
      <c r="AB56" s="430"/>
      <c r="AD56" s="34">
        <f t="shared" si="0"/>
        <v>50</v>
      </c>
    </row>
    <row r="57" spans="1:30">
      <c r="A57" s="20" t="s">
        <v>1463</v>
      </c>
      <c r="F57" s="766">
        <v>0</v>
      </c>
      <c r="G57" s="766">
        <v>0</v>
      </c>
      <c r="H57" s="766">
        <v>126</v>
      </c>
      <c r="I57" s="766">
        <v>10862</v>
      </c>
      <c r="J57" s="766">
        <v>6972</v>
      </c>
      <c r="K57" s="766">
        <v>6784</v>
      </c>
      <c r="L57" s="766">
        <v>869</v>
      </c>
      <c r="M57" s="766">
        <v>6733</v>
      </c>
      <c r="N57" s="766">
        <v>7921</v>
      </c>
      <c r="O57" s="766">
        <v>239</v>
      </c>
      <c r="P57" s="766">
        <v>239</v>
      </c>
      <c r="Q57" s="766">
        <v>8961</v>
      </c>
      <c r="R57" s="766">
        <v>8773</v>
      </c>
      <c r="S57" s="766">
        <v>239</v>
      </c>
      <c r="T57" s="766">
        <v>239</v>
      </c>
      <c r="U57" s="766">
        <v>14299</v>
      </c>
      <c r="V57" s="766">
        <v>239</v>
      </c>
      <c r="W57" s="766">
        <v>239</v>
      </c>
      <c r="X57" s="766">
        <v>6465</v>
      </c>
      <c r="Y57" s="766">
        <v>12264</v>
      </c>
      <c r="Z57" s="766">
        <v>239</v>
      </c>
      <c r="AA57" s="766">
        <v>239</v>
      </c>
      <c r="AB57" s="435">
        <f>SUM(F57:AA57)</f>
        <v>92941</v>
      </c>
      <c r="AD57" s="34">
        <f t="shared" si="0"/>
        <v>51</v>
      </c>
    </row>
    <row r="58" spans="1:30">
      <c r="A58" s="20" t="s">
        <v>1407</v>
      </c>
      <c r="C58" s="993">
        <v>0</v>
      </c>
      <c r="F58" s="998">
        <f>-F57*$C58</f>
        <v>0</v>
      </c>
      <c r="G58" s="998">
        <f t="shared" ref="G58:AA58" si="26">-G57*$C58</f>
        <v>0</v>
      </c>
      <c r="H58" s="998">
        <f t="shared" si="26"/>
        <v>0</v>
      </c>
      <c r="I58" s="998">
        <f t="shared" si="26"/>
        <v>0</v>
      </c>
      <c r="J58" s="998">
        <f t="shared" si="26"/>
        <v>0</v>
      </c>
      <c r="K58" s="998">
        <f t="shared" si="26"/>
        <v>0</v>
      </c>
      <c r="L58" s="998">
        <f t="shared" si="26"/>
        <v>0</v>
      </c>
      <c r="M58" s="998">
        <f t="shared" si="26"/>
        <v>0</v>
      </c>
      <c r="N58" s="998">
        <f t="shared" si="26"/>
        <v>0</v>
      </c>
      <c r="O58" s="998">
        <f t="shared" si="26"/>
        <v>0</v>
      </c>
      <c r="P58" s="998">
        <f t="shared" si="26"/>
        <v>0</v>
      </c>
      <c r="Q58" s="998">
        <f t="shared" si="26"/>
        <v>0</v>
      </c>
      <c r="R58" s="998">
        <f t="shared" si="26"/>
        <v>0</v>
      </c>
      <c r="S58" s="998">
        <f t="shared" si="26"/>
        <v>0</v>
      </c>
      <c r="T58" s="998">
        <f t="shared" si="26"/>
        <v>0</v>
      </c>
      <c r="U58" s="998">
        <f t="shared" si="26"/>
        <v>0</v>
      </c>
      <c r="V58" s="998">
        <f t="shared" si="26"/>
        <v>0</v>
      </c>
      <c r="W58" s="998">
        <f t="shared" si="26"/>
        <v>0</v>
      </c>
      <c r="X58" s="998">
        <f t="shared" si="26"/>
        <v>0</v>
      </c>
      <c r="Y58" s="998">
        <f t="shared" si="26"/>
        <v>0</v>
      </c>
      <c r="Z58" s="998">
        <f t="shared" si="26"/>
        <v>0</v>
      </c>
      <c r="AA58" s="998">
        <f t="shared" si="26"/>
        <v>0</v>
      </c>
      <c r="AB58" s="436">
        <f>SUM(F58:AA58)</f>
        <v>0</v>
      </c>
      <c r="AD58" s="34">
        <f t="shared" si="0"/>
        <v>52</v>
      </c>
    </row>
    <row r="59" spans="1:30">
      <c r="A59" s="20" t="s">
        <v>1463</v>
      </c>
      <c r="F59" s="222">
        <f>SUM(F57:F58)</f>
        <v>0</v>
      </c>
      <c r="G59" s="222">
        <f t="shared" ref="G59:AA59" si="27">SUM(G57:G58)</f>
        <v>0</v>
      </c>
      <c r="H59" s="222">
        <f t="shared" si="27"/>
        <v>126</v>
      </c>
      <c r="I59" s="222">
        <f t="shared" si="27"/>
        <v>10862</v>
      </c>
      <c r="J59" s="222">
        <f t="shared" si="27"/>
        <v>6972</v>
      </c>
      <c r="K59" s="222">
        <f t="shared" si="27"/>
        <v>6784</v>
      </c>
      <c r="L59" s="222">
        <f t="shared" si="27"/>
        <v>869</v>
      </c>
      <c r="M59" s="222">
        <f t="shared" si="27"/>
        <v>6733</v>
      </c>
      <c r="N59" s="222">
        <f t="shared" si="27"/>
        <v>7921</v>
      </c>
      <c r="O59" s="222">
        <f t="shared" si="27"/>
        <v>239</v>
      </c>
      <c r="P59" s="222">
        <f t="shared" si="27"/>
        <v>239</v>
      </c>
      <c r="Q59" s="222">
        <f t="shared" si="27"/>
        <v>8961</v>
      </c>
      <c r="R59" s="222">
        <f t="shared" si="27"/>
        <v>8773</v>
      </c>
      <c r="S59" s="222">
        <f t="shared" si="27"/>
        <v>239</v>
      </c>
      <c r="T59" s="222">
        <f t="shared" si="27"/>
        <v>239</v>
      </c>
      <c r="U59" s="222">
        <f t="shared" si="27"/>
        <v>14299</v>
      </c>
      <c r="V59" s="222">
        <f t="shared" si="27"/>
        <v>239</v>
      </c>
      <c r="W59" s="222">
        <f t="shared" si="27"/>
        <v>239</v>
      </c>
      <c r="X59" s="222">
        <f t="shared" si="27"/>
        <v>6465</v>
      </c>
      <c r="Y59" s="222">
        <f t="shared" si="27"/>
        <v>12264</v>
      </c>
      <c r="Z59" s="222">
        <f t="shared" si="27"/>
        <v>239</v>
      </c>
      <c r="AA59" s="222">
        <f t="shared" si="27"/>
        <v>239</v>
      </c>
      <c r="AB59" s="435">
        <f>SUM(F59:AA59)</f>
        <v>92941</v>
      </c>
      <c r="AD59" s="34">
        <f t="shared" si="0"/>
        <v>53</v>
      </c>
    </row>
    <row r="60" spans="1:30">
      <c r="A60" s="20" t="s">
        <v>907</v>
      </c>
      <c r="F60" s="1215">
        <v>0</v>
      </c>
      <c r="G60" s="1215">
        <v>0</v>
      </c>
      <c r="H60" s="1215">
        <v>0.25650000000000001</v>
      </c>
      <c r="I60" s="1215">
        <v>5.8999999999999999E-3</v>
      </c>
      <c r="J60" s="1215">
        <v>6.7100000000000007E-2</v>
      </c>
      <c r="K60" s="1215">
        <v>5.8400000000000001E-2</v>
      </c>
      <c r="L60" s="1215">
        <v>7.4200000000000002E-2</v>
      </c>
      <c r="M60" s="1215">
        <v>8.2699999999999996E-2</v>
      </c>
      <c r="N60" s="1215">
        <v>2.7099999999999999E-2</v>
      </c>
      <c r="O60" s="1215">
        <v>0.2697</v>
      </c>
      <c r="P60" s="1215">
        <v>0.2697</v>
      </c>
      <c r="Q60" s="1215">
        <v>5.2200000000000003E-2</v>
      </c>
      <c r="R60" s="1215">
        <v>4.5199999999999997E-2</v>
      </c>
      <c r="S60" s="1215">
        <v>0.2697</v>
      </c>
      <c r="T60" s="1215">
        <v>0.2697</v>
      </c>
      <c r="U60" s="1215">
        <v>4.9399999999999999E-2</v>
      </c>
      <c r="V60" s="1215">
        <v>0.2697</v>
      </c>
      <c r="W60" s="1215">
        <v>0.2697</v>
      </c>
      <c r="X60" s="1215">
        <v>7.2400000000000006E-2</v>
      </c>
      <c r="Y60" s="1215">
        <v>3.2300000000000002E-2</v>
      </c>
      <c r="Z60" s="1215">
        <v>0.2697</v>
      </c>
      <c r="AA60" s="1215">
        <v>0.2697</v>
      </c>
      <c r="AB60" s="435"/>
      <c r="AD60" s="34">
        <f t="shared" si="0"/>
        <v>54</v>
      </c>
    </row>
    <row r="61" spans="1:30">
      <c r="A61" s="20" t="s">
        <v>1386</v>
      </c>
      <c r="F61" s="222">
        <f>F59*F60</f>
        <v>0</v>
      </c>
      <c r="G61" s="222">
        <f t="shared" ref="G61:AA61" si="28">G59*G60</f>
        <v>0</v>
      </c>
      <c r="H61" s="222">
        <f t="shared" si="28"/>
        <v>32.319000000000003</v>
      </c>
      <c r="I61" s="222">
        <f t="shared" si="28"/>
        <v>64.085799999999992</v>
      </c>
      <c r="J61" s="222">
        <f t="shared" si="28"/>
        <v>467.82120000000003</v>
      </c>
      <c r="K61" s="222">
        <f t="shared" si="28"/>
        <v>396.18560000000002</v>
      </c>
      <c r="L61" s="222">
        <f t="shared" si="28"/>
        <v>64.479799999999997</v>
      </c>
      <c r="M61" s="222">
        <f t="shared" si="28"/>
        <v>556.81909999999993</v>
      </c>
      <c r="N61" s="222">
        <f t="shared" si="28"/>
        <v>214.6591</v>
      </c>
      <c r="O61" s="222">
        <f t="shared" si="28"/>
        <v>64.458299999999994</v>
      </c>
      <c r="P61" s="222">
        <f t="shared" si="28"/>
        <v>64.458299999999994</v>
      </c>
      <c r="Q61" s="222">
        <f t="shared" si="28"/>
        <v>467.76420000000002</v>
      </c>
      <c r="R61" s="222">
        <f t="shared" si="28"/>
        <v>396.53959999999995</v>
      </c>
      <c r="S61" s="222">
        <f t="shared" si="28"/>
        <v>64.458299999999994</v>
      </c>
      <c r="T61" s="222">
        <f t="shared" si="28"/>
        <v>64.458299999999994</v>
      </c>
      <c r="U61" s="222">
        <f t="shared" si="28"/>
        <v>706.37059999999997</v>
      </c>
      <c r="V61" s="222">
        <f t="shared" si="28"/>
        <v>64.458299999999994</v>
      </c>
      <c r="W61" s="222">
        <f t="shared" si="28"/>
        <v>64.458299999999994</v>
      </c>
      <c r="X61" s="222">
        <f t="shared" si="28"/>
        <v>468.06600000000003</v>
      </c>
      <c r="Y61" s="222">
        <f t="shared" si="28"/>
        <v>396.12720000000002</v>
      </c>
      <c r="Z61" s="222">
        <f t="shared" si="28"/>
        <v>64.458299999999994</v>
      </c>
      <c r="AA61" s="222">
        <f t="shared" si="28"/>
        <v>64.458299999999994</v>
      </c>
      <c r="AB61" s="435">
        <f>SUM(F61:AA61)</f>
        <v>4746.9035999999996</v>
      </c>
      <c r="AD61" s="34">
        <f t="shared" si="0"/>
        <v>55</v>
      </c>
    </row>
    <row r="62" spans="1:30">
      <c r="A62" s="20" t="s">
        <v>9</v>
      </c>
      <c r="F62" s="222">
        <f>F59-F61</f>
        <v>0</v>
      </c>
      <c r="G62" s="222">
        <f t="shared" ref="G62:AA62" si="29">G59-G61</f>
        <v>0</v>
      </c>
      <c r="H62" s="222">
        <f t="shared" si="29"/>
        <v>93.680999999999997</v>
      </c>
      <c r="I62" s="222">
        <f t="shared" si="29"/>
        <v>10797.914199999999</v>
      </c>
      <c r="J62" s="222">
        <f t="shared" si="29"/>
        <v>6504.1787999999997</v>
      </c>
      <c r="K62" s="222">
        <f t="shared" si="29"/>
        <v>6387.8144000000002</v>
      </c>
      <c r="L62" s="222">
        <f t="shared" si="29"/>
        <v>804.52020000000005</v>
      </c>
      <c r="M62" s="222">
        <f t="shared" si="29"/>
        <v>6176.1809000000003</v>
      </c>
      <c r="N62" s="222">
        <f t="shared" si="29"/>
        <v>7706.3409000000001</v>
      </c>
      <c r="O62" s="222">
        <f t="shared" si="29"/>
        <v>174.54169999999999</v>
      </c>
      <c r="P62" s="222">
        <f t="shared" si="29"/>
        <v>174.54169999999999</v>
      </c>
      <c r="Q62" s="222">
        <f t="shared" si="29"/>
        <v>8493.2358000000004</v>
      </c>
      <c r="R62" s="222">
        <f t="shared" si="29"/>
        <v>8376.4603999999999</v>
      </c>
      <c r="S62" s="222">
        <f t="shared" si="29"/>
        <v>174.54169999999999</v>
      </c>
      <c r="T62" s="222">
        <f t="shared" si="29"/>
        <v>174.54169999999999</v>
      </c>
      <c r="U62" s="222">
        <f t="shared" si="29"/>
        <v>13592.6294</v>
      </c>
      <c r="V62" s="222">
        <f t="shared" si="29"/>
        <v>174.54169999999999</v>
      </c>
      <c r="W62" s="222">
        <f t="shared" si="29"/>
        <v>174.54169999999999</v>
      </c>
      <c r="X62" s="222">
        <f t="shared" si="29"/>
        <v>5996.9340000000002</v>
      </c>
      <c r="Y62" s="222">
        <f t="shared" si="29"/>
        <v>11867.872799999999</v>
      </c>
      <c r="Z62" s="222">
        <f t="shared" si="29"/>
        <v>174.54169999999999</v>
      </c>
      <c r="AA62" s="222">
        <f t="shared" si="29"/>
        <v>174.54169999999999</v>
      </c>
      <c r="AB62" s="435">
        <f>SUM(F62:AA62)</f>
        <v>88194.096400000009</v>
      </c>
      <c r="AD62" s="34">
        <f t="shared" si="0"/>
        <v>56</v>
      </c>
    </row>
    <row r="63" spans="1:30">
      <c r="A63" s="20"/>
      <c r="AB63" s="430"/>
      <c r="AD63" s="34">
        <f t="shared" si="0"/>
        <v>57</v>
      </c>
    </row>
    <row r="64" spans="1:30">
      <c r="A64" s="20" t="s">
        <v>9</v>
      </c>
      <c r="F64" s="222">
        <f>F62</f>
        <v>0</v>
      </c>
      <c r="G64" s="222">
        <f t="shared" ref="G64:AA64" si="30">G62</f>
        <v>0</v>
      </c>
      <c r="H64" s="222">
        <f t="shared" si="30"/>
        <v>93.680999999999997</v>
      </c>
      <c r="I64" s="222">
        <f t="shared" si="30"/>
        <v>10797.914199999999</v>
      </c>
      <c r="J64" s="222">
        <f t="shared" si="30"/>
        <v>6504.1787999999997</v>
      </c>
      <c r="K64" s="222">
        <f t="shared" si="30"/>
        <v>6387.8144000000002</v>
      </c>
      <c r="L64" s="222">
        <f t="shared" si="30"/>
        <v>804.52020000000005</v>
      </c>
      <c r="M64" s="222">
        <f t="shared" si="30"/>
        <v>6176.1809000000003</v>
      </c>
      <c r="N64" s="222">
        <f t="shared" si="30"/>
        <v>7706.3409000000001</v>
      </c>
      <c r="O64" s="222">
        <f t="shared" si="30"/>
        <v>174.54169999999999</v>
      </c>
      <c r="P64" s="222">
        <f t="shared" si="30"/>
        <v>174.54169999999999</v>
      </c>
      <c r="Q64" s="222">
        <f t="shared" si="30"/>
        <v>8493.2358000000004</v>
      </c>
      <c r="R64" s="222">
        <f t="shared" si="30"/>
        <v>8376.4603999999999</v>
      </c>
      <c r="S64" s="222">
        <f t="shared" si="30"/>
        <v>174.54169999999999</v>
      </c>
      <c r="T64" s="222">
        <f t="shared" si="30"/>
        <v>174.54169999999999</v>
      </c>
      <c r="U64" s="222">
        <f t="shared" si="30"/>
        <v>13592.6294</v>
      </c>
      <c r="V64" s="222">
        <f t="shared" si="30"/>
        <v>174.54169999999999</v>
      </c>
      <c r="W64" s="222">
        <f t="shared" si="30"/>
        <v>174.54169999999999</v>
      </c>
      <c r="X64" s="222">
        <f t="shared" si="30"/>
        <v>5996.9340000000002</v>
      </c>
      <c r="Y64" s="222">
        <f t="shared" si="30"/>
        <v>11867.872799999999</v>
      </c>
      <c r="Z64" s="222">
        <f t="shared" si="30"/>
        <v>174.54169999999999</v>
      </c>
      <c r="AA64" s="222">
        <f t="shared" si="30"/>
        <v>174.54169999999999</v>
      </c>
      <c r="AB64" s="435">
        <f>SUM(F64:AA64)</f>
        <v>88194.096400000009</v>
      </c>
      <c r="AD64" s="34">
        <f t="shared" si="0"/>
        <v>58</v>
      </c>
    </row>
    <row r="65" spans="1:30">
      <c r="A65" s="20" t="s">
        <v>632</v>
      </c>
      <c r="D65" s="62"/>
      <c r="F65" s="1464">
        <f ca="1">Rev_Exp!D25</f>
        <v>1.0143570536828965</v>
      </c>
      <c r="G65" s="1464">
        <f ca="1">Rev_Exp!E25</f>
        <v>1.0374531835205993</v>
      </c>
      <c r="H65" s="1464">
        <f ca="1">Rev_Exp!F25</f>
        <v>1.0620799950339679</v>
      </c>
      <c r="I65" s="1464">
        <f ca="1">Rev_Exp!G25</f>
        <v>1.097180617479341</v>
      </c>
      <c r="J65" s="1464">
        <f ca="1">Rev_Exp!H25</f>
        <v>1.1321906668383659</v>
      </c>
      <c r="K65" s="1464">
        <f ca="1">Rev_Exp!I25</f>
        <v>1.166287045927733</v>
      </c>
      <c r="L65" s="1464">
        <f ca="1">Rev_Exp!J25</f>
        <v>1.2003493342906499</v>
      </c>
      <c r="M65" s="1464">
        <f ca="1">Rev_Exp!K25</f>
        <v>1.2346229437596627</v>
      </c>
      <c r="N65" s="1464">
        <f ca="1">Rev_Exp!L25</f>
        <v>1.2691909562879884</v>
      </c>
      <c r="O65" s="1464">
        <f ca="1">Rev_Exp!M25</f>
        <v>1.3038965761068158</v>
      </c>
      <c r="P65" s="1464">
        <f ca="1">Rev_Exp!N25</f>
        <v>1.3387797805891259</v>
      </c>
      <c r="Q65" s="1464">
        <f ca="1">Rev_Exp!O25</f>
        <v>1.3739510144936682</v>
      </c>
      <c r="R65" s="1464">
        <f ca="1">Rev_Exp!P25</f>
        <v>1.409454688092179</v>
      </c>
      <c r="S65" s="1464">
        <f ca="1">Rev_Exp!Q25</f>
        <v>1.4453629302678073</v>
      </c>
      <c r="T65" s="1464">
        <f ca="1">Rev_Exp!R25</f>
        <v>1.4818086105109716</v>
      </c>
      <c r="U65" s="1464">
        <f ca="1">Rev_Exp!S25</f>
        <v>1.5190107088932228</v>
      </c>
      <c r="V65" s="1464">
        <f ca="1">Rev_Exp!T25</f>
        <v>1.5573978315409176</v>
      </c>
      <c r="W65" s="1464">
        <f ca="1">Rev_Exp!U25</f>
        <v>1.5973303982415077</v>
      </c>
      <c r="X65" s="1464">
        <f ca="1">Rev_Exp!V25</f>
        <v>1.6389834445299432</v>
      </c>
      <c r="Y65" s="1464">
        <f ca="1">Rev_Exp!W25</f>
        <v>1.6825466987361488</v>
      </c>
      <c r="Z65" s="1464">
        <f ca="1">Rev_Exp!X25</f>
        <v>1.7280133273368676</v>
      </c>
      <c r="AA65" s="1464">
        <f ca="1">Rev_Exp!Y25</f>
        <v>1.7754357291063123</v>
      </c>
      <c r="AB65" s="431"/>
      <c r="AD65" s="34">
        <f t="shared" si="0"/>
        <v>59</v>
      </c>
    </row>
    <row r="66" spans="1:30">
      <c r="A66" s="20" t="s">
        <v>1480</v>
      </c>
      <c r="F66" s="37">
        <f ca="1">F64*F65</f>
        <v>0</v>
      </c>
      <c r="G66" s="37">
        <f t="shared" ref="G66:AA66" ca="1" si="31">G64*G65</f>
        <v>0</v>
      </c>
      <c r="H66" s="37">
        <f t="shared" ca="1" si="31"/>
        <v>99.496716014777149</v>
      </c>
      <c r="I66" s="37">
        <f t="shared" ca="1" si="31"/>
        <v>11847.262169444944</v>
      </c>
      <c r="J66" s="37">
        <f t="shared" ca="1" si="31"/>
        <v>7363.9705328079617</v>
      </c>
      <c r="K66" s="37">
        <f t="shared" ca="1" si="31"/>
        <v>7450.0251865106347</v>
      </c>
      <c r="L66" s="37">
        <f t="shared" ca="1" si="31"/>
        <v>965.70528649338064</v>
      </c>
      <c r="M66" s="37">
        <f t="shared" ca="1" si="31"/>
        <v>7625.2546439502039</v>
      </c>
      <c r="N66" s="37">
        <f t="shared" ca="1" si="31"/>
        <v>9780.8181763522371</v>
      </c>
      <c r="O66" s="37">
        <f t="shared" ca="1" si="31"/>
        <v>227.58432501786299</v>
      </c>
      <c r="P66" s="37">
        <f t="shared" ca="1" si="31"/>
        <v>233.67289882965304</v>
      </c>
      <c r="Q66" s="37">
        <f t="shared" ca="1" si="31"/>
        <v>11669.289943743943</v>
      </c>
      <c r="R66" s="37">
        <f t="shared" ca="1" si="31"/>
        <v>11806.241380398489</v>
      </c>
      <c r="S66" s="37">
        <f t="shared" ca="1" si="31"/>
        <v>252.27610296592454</v>
      </c>
      <c r="T66" s="37">
        <f t="shared" ca="1" si="31"/>
        <v>258.63739395322284</v>
      </c>
      <c r="U66" s="37">
        <f t="shared" ca="1" si="31"/>
        <v>20647.34962061686</v>
      </c>
      <c r="V66" s="37">
        <f t="shared" ca="1" si="31"/>
        <v>271.83086509346538</v>
      </c>
      <c r="W66" s="37">
        <f t="shared" ca="1" si="31"/>
        <v>278.80076317074975</v>
      </c>
      <c r="X66" s="37">
        <f t="shared" ca="1" si="31"/>
        <v>9828.8755439387296</v>
      </c>
      <c r="Y66" s="37">
        <f t="shared" ca="1" si="31"/>
        <v>19968.250200660532</v>
      </c>
      <c r="Z66" s="37">
        <f t="shared" ca="1" si="31"/>
        <v>301.61038377603336</v>
      </c>
      <c r="AA66" s="37">
        <f t="shared" ca="1" si="31"/>
        <v>309.88757039895523</v>
      </c>
      <c r="AB66" s="435">
        <f ca="1">SUM(F66:AA66)</f>
        <v>121186.83970413856</v>
      </c>
      <c r="AD66" s="34">
        <f t="shared" si="0"/>
        <v>60</v>
      </c>
    </row>
    <row r="67" spans="1:30">
      <c r="A67" s="20" t="s">
        <v>1482</v>
      </c>
      <c r="D67" s="199">
        <f>Duties_Maint</f>
        <v>0.1</v>
      </c>
      <c r="F67" s="142">
        <f ca="1">F66*$D67</f>
        <v>0</v>
      </c>
      <c r="G67" s="142">
        <f t="shared" ref="G67:AA67" ca="1" si="32">G66*$D67</f>
        <v>0</v>
      </c>
      <c r="H67" s="142">
        <f t="shared" ca="1" si="32"/>
        <v>9.949671601477716</v>
      </c>
      <c r="I67" s="142">
        <f t="shared" ca="1" si="32"/>
        <v>1184.7262169444946</v>
      </c>
      <c r="J67" s="142">
        <f t="shared" ca="1" si="32"/>
        <v>736.39705328079617</v>
      </c>
      <c r="K67" s="142">
        <f t="shared" ca="1" si="32"/>
        <v>745.0025186510635</v>
      </c>
      <c r="L67" s="142">
        <f t="shared" ca="1" si="32"/>
        <v>96.570528649338073</v>
      </c>
      <c r="M67" s="142">
        <f t="shared" ca="1" si="32"/>
        <v>762.52546439502044</v>
      </c>
      <c r="N67" s="142">
        <f t="shared" ca="1" si="32"/>
        <v>978.08181763522373</v>
      </c>
      <c r="O67" s="142">
        <f t="shared" ca="1" si="32"/>
        <v>22.758432501786302</v>
      </c>
      <c r="P67" s="142">
        <f t="shared" ca="1" si="32"/>
        <v>23.367289882965306</v>
      </c>
      <c r="Q67" s="142">
        <f t="shared" ca="1" si="32"/>
        <v>1166.9289943743943</v>
      </c>
      <c r="R67" s="142">
        <f t="shared" ca="1" si="32"/>
        <v>1180.624138039849</v>
      </c>
      <c r="S67" s="142">
        <f t="shared" ca="1" si="32"/>
        <v>25.227610296592456</v>
      </c>
      <c r="T67" s="142">
        <f t="shared" ca="1" si="32"/>
        <v>25.863739395322284</v>
      </c>
      <c r="U67" s="142">
        <f t="shared" ca="1" si="32"/>
        <v>2064.734962061686</v>
      </c>
      <c r="V67" s="142">
        <f t="shared" ca="1" si="32"/>
        <v>27.183086509346538</v>
      </c>
      <c r="W67" s="142">
        <f t="shared" ca="1" si="32"/>
        <v>27.880076317074977</v>
      </c>
      <c r="X67" s="142">
        <f t="shared" ca="1" si="32"/>
        <v>982.88755439387296</v>
      </c>
      <c r="Y67" s="142">
        <f t="shared" ca="1" si="32"/>
        <v>1996.8250200660532</v>
      </c>
      <c r="Z67" s="142">
        <f t="shared" ca="1" si="32"/>
        <v>30.161038377603337</v>
      </c>
      <c r="AA67" s="142">
        <f t="shared" ca="1" si="32"/>
        <v>30.988757039895525</v>
      </c>
      <c r="AB67" s="436">
        <f ca="1">SUM(F67:AA67)</f>
        <v>12118.683970413857</v>
      </c>
      <c r="AD67" s="34">
        <f t="shared" si="0"/>
        <v>61</v>
      </c>
    </row>
    <row r="68" spans="1:30">
      <c r="A68" s="20" t="s">
        <v>1481</v>
      </c>
      <c r="F68" s="37">
        <f ca="1">SUM(F66:F67)</f>
        <v>0</v>
      </c>
      <c r="G68" s="37">
        <f t="shared" ref="G68:AA68" ca="1" si="33">SUM(G66:G67)</f>
        <v>0</v>
      </c>
      <c r="H68" s="37">
        <f t="shared" ca="1" si="33"/>
        <v>109.44638761625487</v>
      </c>
      <c r="I68" s="37">
        <f t="shared" ca="1" si="33"/>
        <v>13031.988386389439</v>
      </c>
      <c r="J68" s="37">
        <f t="shared" ca="1" si="33"/>
        <v>8100.3675860887579</v>
      </c>
      <c r="K68" s="37">
        <f t="shared" ca="1" si="33"/>
        <v>8195.0277051616977</v>
      </c>
      <c r="L68" s="37">
        <f t="shared" ca="1" si="33"/>
        <v>1062.2758151427188</v>
      </c>
      <c r="M68" s="37">
        <f t="shared" ca="1" si="33"/>
        <v>8387.780108345225</v>
      </c>
      <c r="N68" s="37">
        <f t="shared" ca="1" si="33"/>
        <v>10758.899993987461</v>
      </c>
      <c r="O68" s="37">
        <f t="shared" ca="1" si="33"/>
        <v>250.3427575196493</v>
      </c>
      <c r="P68" s="37">
        <f t="shared" ca="1" si="33"/>
        <v>257.04018871261832</v>
      </c>
      <c r="Q68" s="37">
        <f t="shared" ca="1" si="33"/>
        <v>12836.218938118338</v>
      </c>
      <c r="R68" s="37">
        <f t="shared" ca="1" si="33"/>
        <v>12986.865518438339</v>
      </c>
      <c r="S68" s="37">
        <f t="shared" ca="1" si="33"/>
        <v>277.50371326251701</v>
      </c>
      <c r="T68" s="37">
        <f t="shared" ca="1" si="33"/>
        <v>284.50113334854512</v>
      </c>
      <c r="U68" s="37">
        <f t="shared" ca="1" si="33"/>
        <v>22712.084582678544</v>
      </c>
      <c r="V68" s="37">
        <f t="shared" ca="1" si="33"/>
        <v>299.01395160281191</v>
      </c>
      <c r="W68" s="37">
        <f t="shared" ca="1" si="33"/>
        <v>306.6808394878247</v>
      </c>
      <c r="X68" s="37">
        <f t="shared" ca="1" si="33"/>
        <v>10811.763098332602</v>
      </c>
      <c r="Y68" s="37">
        <f t="shared" ca="1" si="33"/>
        <v>21965.075220726583</v>
      </c>
      <c r="Z68" s="37">
        <f t="shared" ca="1" si="33"/>
        <v>331.77142215363671</v>
      </c>
      <c r="AA68" s="37">
        <f t="shared" ca="1" si="33"/>
        <v>340.87632743885075</v>
      </c>
      <c r="AB68" s="435">
        <f ca="1">SUM(F68:AA68)</f>
        <v>133305.52367455242</v>
      </c>
      <c r="AD68" s="34">
        <f t="shared" si="0"/>
        <v>62</v>
      </c>
    </row>
    <row r="69" spans="1:30">
      <c r="A69" s="20"/>
      <c r="AB69" s="430"/>
      <c r="AD69" s="34">
        <f t="shared" si="0"/>
        <v>63</v>
      </c>
    </row>
    <row r="70" spans="1:30">
      <c r="A70" s="477" t="s">
        <v>519</v>
      </c>
      <c r="B70" s="233"/>
      <c r="C70" s="233"/>
      <c r="D70" s="493"/>
      <c r="E70" s="233"/>
      <c r="F70" s="800">
        <f ca="1">F68</f>
        <v>0</v>
      </c>
      <c r="G70" s="800">
        <f ca="1">AVERAGE($G68:$Y68)</f>
        <v>6980.6776802610484</v>
      </c>
      <c r="H70" s="800">
        <f t="shared" ref="H70:R70" ca="1" si="34">AVERAGE($G68:$Y68)</f>
        <v>6980.6776802610484</v>
      </c>
      <c r="I70" s="800">
        <f t="shared" ca="1" si="34"/>
        <v>6980.6776802610484</v>
      </c>
      <c r="J70" s="800">
        <f t="shared" ca="1" si="34"/>
        <v>6980.6776802610484</v>
      </c>
      <c r="K70" s="800">
        <f t="shared" ca="1" si="34"/>
        <v>6980.6776802610484</v>
      </c>
      <c r="L70" s="800">
        <f t="shared" ca="1" si="34"/>
        <v>6980.6776802610484</v>
      </c>
      <c r="M70" s="800">
        <f t="shared" ca="1" si="34"/>
        <v>6980.6776802610484</v>
      </c>
      <c r="N70" s="800">
        <f t="shared" ca="1" si="34"/>
        <v>6980.6776802610484</v>
      </c>
      <c r="O70" s="800">
        <f t="shared" ca="1" si="34"/>
        <v>6980.6776802610484</v>
      </c>
      <c r="P70" s="800">
        <f t="shared" ca="1" si="34"/>
        <v>6980.6776802610484</v>
      </c>
      <c r="Q70" s="800">
        <f t="shared" ca="1" si="34"/>
        <v>6980.6776802610484</v>
      </c>
      <c r="R70" s="800">
        <f t="shared" ca="1" si="34"/>
        <v>6980.6776802610484</v>
      </c>
      <c r="S70" s="800">
        <f t="shared" ref="S70:Y70" ca="1" si="35">AVERAGE($G68:$Y68)</f>
        <v>6980.6776802610484</v>
      </c>
      <c r="T70" s="800">
        <f t="shared" ca="1" si="35"/>
        <v>6980.6776802610484</v>
      </c>
      <c r="U70" s="800">
        <f t="shared" ca="1" si="35"/>
        <v>6980.6776802610484</v>
      </c>
      <c r="V70" s="800">
        <f t="shared" ca="1" si="35"/>
        <v>6980.6776802610484</v>
      </c>
      <c r="W70" s="800">
        <f t="shared" ca="1" si="35"/>
        <v>6980.6776802610484</v>
      </c>
      <c r="X70" s="800">
        <f t="shared" ca="1" si="35"/>
        <v>6980.6776802610484</v>
      </c>
      <c r="Y70" s="800">
        <f t="shared" ca="1" si="35"/>
        <v>6980.6776802610484</v>
      </c>
      <c r="Z70" s="800">
        <f ca="1">Z68</f>
        <v>331.77142215363671</v>
      </c>
      <c r="AA70" s="800">
        <f ca="1">AA68</f>
        <v>340.87632743885075</v>
      </c>
      <c r="AB70" s="494">
        <f ca="1">SUM(F70:AA70)</f>
        <v>133305.52367455247</v>
      </c>
      <c r="AC70" s="252" t="str">
        <f ca="1">IF(ABS(AB70-AB68)&gt;0.01,"CHECK"," ")</f>
        <v xml:space="preserve"> </v>
      </c>
      <c r="AD70" s="34">
        <f t="shared" si="0"/>
        <v>64</v>
      </c>
    </row>
    <row r="71" spans="1:30">
      <c r="A71" s="423" t="s">
        <v>970</v>
      </c>
      <c r="B71" s="409"/>
      <c r="C71" s="409"/>
      <c r="D71" s="409"/>
      <c r="E71" s="409"/>
      <c r="F71" s="492">
        <f ca="1">F70-F68</f>
        <v>0</v>
      </c>
      <c r="G71" s="492">
        <f t="shared" ref="G71:V71" ca="1" si="36">G70-G68</f>
        <v>6980.6776802610484</v>
      </c>
      <c r="H71" s="492">
        <f t="shared" ca="1" si="36"/>
        <v>6871.2312926447939</v>
      </c>
      <c r="I71" s="492">
        <f t="shared" ca="1" si="36"/>
        <v>-6051.3107061283908</v>
      </c>
      <c r="J71" s="492">
        <f t="shared" ca="1" si="36"/>
        <v>-1119.6899058277095</v>
      </c>
      <c r="K71" s="492">
        <f t="shared" ca="1" si="36"/>
        <v>-1214.3500249006493</v>
      </c>
      <c r="L71" s="492">
        <f t="shared" ca="1" si="36"/>
        <v>5918.4018651183296</v>
      </c>
      <c r="M71" s="492">
        <f t="shared" ca="1" si="36"/>
        <v>-1407.1024280841766</v>
      </c>
      <c r="N71" s="492">
        <f t="shared" ca="1" si="36"/>
        <v>-3778.2223137264127</v>
      </c>
      <c r="O71" s="492">
        <f t="shared" ca="1" si="36"/>
        <v>6730.3349227413992</v>
      </c>
      <c r="P71" s="492">
        <f t="shared" ca="1" si="36"/>
        <v>6723.6374915484303</v>
      </c>
      <c r="Q71" s="492">
        <f t="shared" ca="1" si="36"/>
        <v>-5855.5412578572896</v>
      </c>
      <c r="R71" s="492">
        <f t="shared" ca="1" si="36"/>
        <v>-6006.1878381772904</v>
      </c>
      <c r="S71" s="492">
        <f t="shared" ca="1" si="36"/>
        <v>6703.1739669985318</v>
      </c>
      <c r="T71" s="492">
        <f t="shared" ca="1" si="36"/>
        <v>6696.176546912503</v>
      </c>
      <c r="U71" s="492">
        <f t="shared" ca="1" si="36"/>
        <v>-15731.406902417497</v>
      </c>
      <c r="V71" s="492">
        <f t="shared" ca="1" si="36"/>
        <v>6681.6637286582363</v>
      </c>
      <c r="W71" s="492">
        <f ca="1">W70-W68</f>
        <v>6673.996840773224</v>
      </c>
      <c r="X71" s="492">
        <f ca="1">X70-X68</f>
        <v>-3831.0854180715532</v>
      </c>
      <c r="Y71" s="492">
        <f ca="1">Y70-Y68</f>
        <v>-14984.397540465536</v>
      </c>
      <c r="Z71" s="492">
        <f ca="1">Z70-Z68</f>
        <v>0</v>
      </c>
      <c r="AA71" s="492">
        <f ca="1">AA70-AA68</f>
        <v>0</v>
      </c>
      <c r="AB71" s="497">
        <f ca="1">SUM(F71:AA71)</f>
        <v>-7.2759576141834259E-12</v>
      </c>
      <c r="AD71" s="34">
        <f t="shared" si="0"/>
        <v>65</v>
      </c>
    </row>
    <row r="72" spans="1:30">
      <c r="A72" s="20"/>
      <c r="AB72" s="430"/>
      <c r="AD72" s="34">
        <f t="shared" si="0"/>
        <v>66</v>
      </c>
    </row>
    <row r="73" spans="1:30">
      <c r="A73" s="456" t="s">
        <v>1387</v>
      </c>
      <c r="AB73" s="430"/>
      <c r="AD73" s="34">
        <f t="shared" si="0"/>
        <v>67</v>
      </c>
    </row>
    <row r="74" spans="1:30">
      <c r="A74" s="20" t="s">
        <v>520</v>
      </c>
      <c r="F74" s="766">
        <v>0</v>
      </c>
      <c r="G74" s="37">
        <f t="shared" ref="G74:AA74" ca="1" si="37">F77</f>
        <v>0</v>
      </c>
      <c r="H74" s="37">
        <f t="shared" ca="1" si="37"/>
        <v>6980.6776802610484</v>
      </c>
      <c r="I74" s="37">
        <f t="shared" ca="1" si="37"/>
        <v>13851.908972905841</v>
      </c>
      <c r="J74" s="37">
        <f t="shared" ca="1" si="37"/>
        <v>7800.5982667774515</v>
      </c>
      <c r="K74" s="37">
        <f t="shared" ca="1" si="37"/>
        <v>6680.9083609497411</v>
      </c>
      <c r="L74" s="37">
        <f t="shared" ca="1" si="37"/>
        <v>5466.5583360490928</v>
      </c>
      <c r="M74" s="37">
        <f t="shared" ca="1" si="37"/>
        <v>11384.960201167421</v>
      </c>
      <c r="N74" s="37">
        <f t="shared" ca="1" si="37"/>
        <v>9977.857773083244</v>
      </c>
      <c r="O74" s="37">
        <f t="shared" ca="1" si="37"/>
        <v>6199.6354593568303</v>
      </c>
      <c r="P74" s="37">
        <f t="shared" ca="1" si="37"/>
        <v>12929.97038209823</v>
      </c>
      <c r="Q74" s="37">
        <f t="shared" ca="1" si="37"/>
        <v>19653.607873646662</v>
      </c>
      <c r="R74" s="37">
        <f t="shared" ca="1" si="37"/>
        <v>13798.066615789372</v>
      </c>
      <c r="S74" s="37">
        <f t="shared" ca="1" si="37"/>
        <v>7791.8787776120807</v>
      </c>
      <c r="T74" s="37">
        <f t="shared" ca="1" si="37"/>
        <v>14495.052744610612</v>
      </c>
      <c r="U74" s="37">
        <f t="shared" ca="1" si="37"/>
        <v>21191.229291523116</v>
      </c>
      <c r="V74" s="37">
        <f t="shared" ca="1" si="37"/>
        <v>5459.8223891056186</v>
      </c>
      <c r="W74" s="37">
        <f t="shared" ca="1" si="37"/>
        <v>12141.486117763854</v>
      </c>
      <c r="X74" s="37">
        <f t="shared" ca="1" si="37"/>
        <v>18815.482958537079</v>
      </c>
      <c r="Y74" s="37">
        <f t="shared" ca="1" si="37"/>
        <v>14984.397540465525</v>
      </c>
      <c r="Z74" s="37">
        <f t="shared" ca="1" si="37"/>
        <v>0</v>
      </c>
      <c r="AA74" s="37">
        <f t="shared" ca="1" si="37"/>
        <v>0</v>
      </c>
      <c r="AB74" s="435">
        <f>F74</f>
        <v>0</v>
      </c>
      <c r="AD74" s="34">
        <f t="shared" si="0"/>
        <v>68</v>
      </c>
    </row>
    <row r="75" spans="1:30">
      <c r="A75" s="20" t="s">
        <v>971</v>
      </c>
      <c r="F75" s="37">
        <f t="shared" ref="F75:AA75" ca="1" si="38">F70</f>
        <v>0</v>
      </c>
      <c r="G75" s="37">
        <f t="shared" ca="1" si="38"/>
        <v>6980.6776802610484</v>
      </c>
      <c r="H75" s="37">
        <f t="shared" ca="1" si="38"/>
        <v>6980.6776802610484</v>
      </c>
      <c r="I75" s="37">
        <f t="shared" ca="1" si="38"/>
        <v>6980.6776802610484</v>
      </c>
      <c r="J75" s="37">
        <f t="shared" ca="1" si="38"/>
        <v>6980.6776802610484</v>
      </c>
      <c r="K75" s="37">
        <f t="shared" ca="1" si="38"/>
        <v>6980.6776802610484</v>
      </c>
      <c r="L75" s="37">
        <f t="shared" ca="1" si="38"/>
        <v>6980.6776802610484</v>
      </c>
      <c r="M75" s="37">
        <f t="shared" ca="1" si="38"/>
        <v>6980.6776802610484</v>
      </c>
      <c r="N75" s="37">
        <f t="shared" ca="1" si="38"/>
        <v>6980.6776802610484</v>
      </c>
      <c r="O75" s="37">
        <f t="shared" ca="1" si="38"/>
        <v>6980.6776802610484</v>
      </c>
      <c r="P75" s="37">
        <f t="shared" ca="1" si="38"/>
        <v>6980.6776802610484</v>
      </c>
      <c r="Q75" s="37">
        <f t="shared" ca="1" si="38"/>
        <v>6980.6776802610484</v>
      </c>
      <c r="R75" s="37">
        <f t="shared" ca="1" si="38"/>
        <v>6980.6776802610484</v>
      </c>
      <c r="S75" s="37">
        <f t="shared" ca="1" si="38"/>
        <v>6980.6776802610484</v>
      </c>
      <c r="T75" s="37">
        <f t="shared" ca="1" si="38"/>
        <v>6980.6776802610484</v>
      </c>
      <c r="U75" s="37">
        <f t="shared" ca="1" si="38"/>
        <v>6980.6776802610484</v>
      </c>
      <c r="V75" s="37">
        <f t="shared" ca="1" si="38"/>
        <v>6980.6776802610484</v>
      </c>
      <c r="W75" s="37">
        <f t="shared" ca="1" si="38"/>
        <v>6980.6776802610484</v>
      </c>
      <c r="X75" s="37">
        <f t="shared" ca="1" si="38"/>
        <v>6980.6776802610484</v>
      </c>
      <c r="Y75" s="37">
        <f t="shared" ca="1" si="38"/>
        <v>6980.6776802610484</v>
      </c>
      <c r="Z75" s="37">
        <f t="shared" ca="1" si="38"/>
        <v>331.77142215363671</v>
      </c>
      <c r="AA75" s="37">
        <f t="shared" ca="1" si="38"/>
        <v>340.87632743885075</v>
      </c>
      <c r="AB75" s="435">
        <f ca="1">SUM(F75:AA75)</f>
        <v>133305.52367455247</v>
      </c>
      <c r="AD75" s="34">
        <f t="shared" si="0"/>
        <v>69</v>
      </c>
    </row>
    <row r="76" spans="1:30">
      <c r="A76" s="20" t="s">
        <v>972</v>
      </c>
      <c r="F76" s="142">
        <f ca="1">-F68</f>
        <v>0</v>
      </c>
      <c r="G76" s="142">
        <f ca="1">-G68</f>
        <v>0</v>
      </c>
      <c r="H76" s="142">
        <f t="shared" ref="H76:W76" ca="1" si="39">-H68</f>
        <v>-109.44638761625487</v>
      </c>
      <c r="I76" s="142">
        <f t="shared" ca="1" si="39"/>
        <v>-13031.988386389439</v>
      </c>
      <c r="J76" s="142">
        <f t="shared" ca="1" si="39"/>
        <v>-8100.3675860887579</v>
      </c>
      <c r="K76" s="142">
        <f t="shared" ca="1" si="39"/>
        <v>-8195.0277051616977</v>
      </c>
      <c r="L76" s="142">
        <f t="shared" ca="1" si="39"/>
        <v>-1062.2758151427188</v>
      </c>
      <c r="M76" s="142">
        <f t="shared" ca="1" si="39"/>
        <v>-8387.780108345225</v>
      </c>
      <c r="N76" s="142">
        <f t="shared" ca="1" si="39"/>
        <v>-10758.899993987461</v>
      </c>
      <c r="O76" s="142">
        <f t="shared" ca="1" si="39"/>
        <v>-250.3427575196493</v>
      </c>
      <c r="P76" s="142">
        <f t="shared" ca="1" si="39"/>
        <v>-257.04018871261832</v>
      </c>
      <c r="Q76" s="142">
        <f t="shared" ca="1" si="39"/>
        <v>-12836.218938118338</v>
      </c>
      <c r="R76" s="142">
        <f t="shared" ca="1" si="39"/>
        <v>-12986.865518438339</v>
      </c>
      <c r="S76" s="142">
        <f t="shared" ca="1" si="39"/>
        <v>-277.50371326251701</v>
      </c>
      <c r="T76" s="142">
        <f t="shared" ca="1" si="39"/>
        <v>-284.50113334854512</v>
      </c>
      <c r="U76" s="142">
        <f t="shared" ca="1" si="39"/>
        <v>-22712.084582678544</v>
      </c>
      <c r="V76" s="142">
        <f t="shared" ca="1" si="39"/>
        <v>-299.01395160281191</v>
      </c>
      <c r="W76" s="142">
        <f t="shared" ca="1" si="39"/>
        <v>-306.6808394878247</v>
      </c>
      <c r="X76" s="142">
        <f ca="1">-X68</f>
        <v>-10811.763098332602</v>
      </c>
      <c r="Y76" s="142">
        <f ca="1">-Y68</f>
        <v>-21965.075220726583</v>
      </c>
      <c r="Z76" s="142">
        <f ca="1">-Z68</f>
        <v>-331.77142215363671</v>
      </c>
      <c r="AA76" s="142">
        <f ca="1">-AA68</f>
        <v>-340.87632743885075</v>
      </c>
      <c r="AB76" s="436">
        <f ca="1">SUM(F76:AA76)</f>
        <v>-133305.52367455242</v>
      </c>
      <c r="AD76" s="34">
        <f t="shared" si="0"/>
        <v>70</v>
      </c>
    </row>
    <row r="77" spans="1:30">
      <c r="A77" s="20" t="s">
        <v>521</v>
      </c>
      <c r="F77" s="37">
        <f ca="1">SUM(F74:F76)</f>
        <v>0</v>
      </c>
      <c r="G77" s="37">
        <f ca="1">SUM(G74:G76)</f>
        <v>6980.6776802610484</v>
      </c>
      <c r="H77" s="37">
        <f t="shared" ref="H77:W77" ca="1" si="40">SUM(H74:H76)</f>
        <v>13851.908972905841</v>
      </c>
      <c r="I77" s="37">
        <f t="shared" ca="1" si="40"/>
        <v>7800.5982667774515</v>
      </c>
      <c r="J77" s="37">
        <f t="shared" ca="1" si="40"/>
        <v>6680.9083609497411</v>
      </c>
      <c r="K77" s="37">
        <f t="shared" ca="1" si="40"/>
        <v>5466.5583360490928</v>
      </c>
      <c r="L77" s="37">
        <f t="shared" ca="1" si="40"/>
        <v>11384.960201167421</v>
      </c>
      <c r="M77" s="37">
        <f t="shared" ca="1" si="40"/>
        <v>9977.857773083244</v>
      </c>
      <c r="N77" s="37">
        <f t="shared" ca="1" si="40"/>
        <v>6199.6354593568303</v>
      </c>
      <c r="O77" s="37">
        <f t="shared" ca="1" si="40"/>
        <v>12929.97038209823</v>
      </c>
      <c r="P77" s="37">
        <f t="shared" ca="1" si="40"/>
        <v>19653.607873646662</v>
      </c>
      <c r="Q77" s="37">
        <f t="shared" ca="1" si="40"/>
        <v>13798.066615789372</v>
      </c>
      <c r="R77" s="37">
        <f t="shared" ca="1" si="40"/>
        <v>7791.8787776120807</v>
      </c>
      <c r="S77" s="37">
        <f t="shared" ca="1" si="40"/>
        <v>14495.052744610612</v>
      </c>
      <c r="T77" s="37">
        <f t="shared" ca="1" si="40"/>
        <v>21191.229291523116</v>
      </c>
      <c r="U77" s="37">
        <f t="shared" ca="1" si="40"/>
        <v>5459.8223891056186</v>
      </c>
      <c r="V77" s="37">
        <f t="shared" ca="1" si="40"/>
        <v>12141.486117763854</v>
      </c>
      <c r="W77" s="37">
        <f t="shared" ca="1" si="40"/>
        <v>18815.482958537079</v>
      </c>
      <c r="X77" s="37">
        <f ca="1">SUM(X74:X76)</f>
        <v>14984.397540465525</v>
      </c>
      <c r="Y77" s="37">
        <f ca="1">SUM(Y74:Y76)</f>
        <v>0</v>
      </c>
      <c r="Z77" s="37">
        <f ca="1">SUM(Z74:Z76)</f>
        <v>0</v>
      </c>
      <c r="AA77" s="37">
        <f ca="1">SUM(AA74:AA76)</f>
        <v>0</v>
      </c>
      <c r="AB77" s="435">
        <f ca="1">SUM(AB74:AB76)</f>
        <v>0</v>
      </c>
      <c r="AD77" s="34">
        <f t="shared" si="0"/>
        <v>71</v>
      </c>
    </row>
    <row r="78" spans="1:30">
      <c r="A78" s="20"/>
      <c r="AB78" s="430"/>
      <c r="AD78" s="34">
        <f t="shared" si="0"/>
        <v>72</v>
      </c>
    </row>
    <row r="79" spans="1:30">
      <c r="A79" s="20" t="s">
        <v>1386</v>
      </c>
      <c r="F79" s="222">
        <f t="shared" ref="F79:AA79" si="41">F61</f>
        <v>0</v>
      </c>
      <c r="G79" s="222">
        <f t="shared" si="41"/>
        <v>0</v>
      </c>
      <c r="H79" s="222">
        <f t="shared" si="41"/>
        <v>32.319000000000003</v>
      </c>
      <c r="I79" s="222">
        <f t="shared" si="41"/>
        <v>64.085799999999992</v>
      </c>
      <c r="J79" s="222">
        <f t="shared" si="41"/>
        <v>467.82120000000003</v>
      </c>
      <c r="K79" s="222">
        <f t="shared" si="41"/>
        <v>396.18560000000002</v>
      </c>
      <c r="L79" s="222">
        <f t="shared" si="41"/>
        <v>64.479799999999997</v>
      </c>
      <c r="M79" s="222">
        <f t="shared" si="41"/>
        <v>556.81909999999993</v>
      </c>
      <c r="N79" s="222">
        <f t="shared" si="41"/>
        <v>214.6591</v>
      </c>
      <c r="O79" s="222">
        <f t="shared" si="41"/>
        <v>64.458299999999994</v>
      </c>
      <c r="P79" s="222">
        <f t="shared" si="41"/>
        <v>64.458299999999994</v>
      </c>
      <c r="Q79" s="222">
        <f t="shared" si="41"/>
        <v>467.76420000000002</v>
      </c>
      <c r="R79" s="222">
        <f t="shared" si="41"/>
        <v>396.53959999999995</v>
      </c>
      <c r="S79" s="222">
        <f t="shared" si="41"/>
        <v>64.458299999999994</v>
      </c>
      <c r="T79" s="222">
        <f t="shared" si="41"/>
        <v>64.458299999999994</v>
      </c>
      <c r="U79" s="222">
        <f t="shared" si="41"/>
        <v>706.37059999999997</v>
      </c>
      <c r="V79" s="222">
        <f t="shared" si="41"/>
        <v>64.458299999999994</v>
      </c>
      <c r="W79" s="222">
        <f t="shared" si="41"/>
        <v>64.458299999999994</v>
      </c>
      <c r="X79" s="222">
        <f t="shared" si="41"/>
        <v>468.06600000000003</v>
      </c>
      <c r="Y79" s="222">
        <f t="shared" si="41"/>
        <v>396.12720000000002</v>
      </c>
      <c r="Z79" s="222">
        <f t="shared" si="41"/>
        <v>64.458299999999994</v>
      </c>
      <c r="AA79" s="222">
        <f t="shared" si="41"/>
        <v>64.458299999999994</v>
      </c>
      <c r="AB79" s="435">
        <f>SUM(F79:AA79)</f>
        <v>4746.9035999999996</v>
      </c>
      <c r="AD79" s="34">
        <f t="shared" si="0"/>
        <v>73</v>
      </c>
    </row>
    <row r="80" spans="1:30">
      <c r="A80" s="20" t="s">
        <v>1388</v>
      </c>
      <c r="D80" s="53">
        <f>Exch</f>
        <v>1.0649999999999999</v>
      </c>
      <c r="F80" s="53">
        <f>F79*$D80</f>
        <v>0</v>
      </c>
      <c r="G80" s="53">
        <f t="shared" ref="G80:AA80" si="42">G79*$D80</f>
        <v>0</v>
      </c>
      <c r="H80" s="53">
        <f t="shared" si="42"/>
        <v>34.419735000000003</v>
      </c>
      <c r="I80" s="53">
        <f t="shared" si="42"/>
        <v>68.251376999999991</v>
      </c>
      <c r="J80" s="53">
        <f t="shared" si="42"/>
        <v>498.229578</v>
      </c>
      <c r="K80" s="53">
        <f t="shared" si="42"/>
        <v>421.93766399999998</v>
      </c>
      <c r="L80" s="53">
        <f t="shared" si="42"/>
        <v>68.670986999999997</v>
      </c>
      <c r="M80" s="53">
        <f t="shared" si="42"/>
        <v>593.01234149999993</v>
      </c>
      <c r="N80" s="53">
        <f t="shared" si="42"/>
        <v>228.61194149999997</v>
      </c>
      <c r="O80" s="53">
        <f t="shared" si="42"/>
        <v>68.648089499999983</v>
      </c>
      <c r="P80" s="53">
        <f t="shared" si="42"/>
        <v>68.648089499999983</v>
      </c>
      <c r="Q80" s="53">
        <f t="shared" si="42"/>
        <v>498.16887300000002</v>
      </c>
      <c r="R80" s="53">
        <f t="shared" si="42"/>
        <v>422.31467399999991</v>
      </c>
      <c r="S80" s="53">
        <f t="shared" si="42"/>
        <v>68.648089499999983</v>
      </c>
      <c r="T80" s="53">
        <f t="shared" si="42"/>
        <v>68.648089499999983</v>
      </c>
      <c r="U80" s="53">
        <f t="shared" si="42"/>
        <v>752.28468899999996</v>
      </c>
      <c r="V80" s="53">
        <f t="shared" si="42"/>
        <v>68.648089499999983</v>
      </c>
      <c r="W80" s="53">
        <f t="shared" si="42"/>
        <v>68.648089499999983</v>
      </c>
      <c r="X80" s="53">
        <f t="shared" si="42"/>
        <v>498.49029000000002</v>
      </c>
      <c r="Y80" s="53">
        <f t="shared" si="42"/>
        <v>421.87546800000001</v>
      </c>
      <c r="Z80" s="53">
        <f t="shared" si="42"/>
        <v>68.648089499999983</v>
      </c>
      <c r="AA80" s="53">
        <f t="shared" si="42"/>
        <v>68.648089499999983</v>
      </c>
      <c r="AB80" s="430">
        <f>SUM(F80:AA80)</f>
        <v>5055.4523340000005</v>
      </c>
      <c r="AD80" s="34">
        <f t="shared" si="0"/>
        <v>74</v>
      </c>
    </row>
    <row r="81" spans="1:30">
      <c r="A81" s="20" t="s">
        <v>631</v>
      </c>
      <c r="D81" s="62"/>
      <c r="F81" s="262">
        <f ca="1">Rev_Exp!D26</f>
        <v>1.0458060039912167</v>
      </c>
      <c r="G81" s="262">
        <f ca="1">Rev_Exp!E26</f>
        <v>1.1347786591515447</v>
      </c>
      <c r="H81" s="262">
        <f ca="1">Rev_Exp!F26</f>
        <v>1.3015048368339124</v>
      </c>
      <c r="I81" s="262">
        <f ca="1">Rev_Exp!G26</f>
        <v>1.4211614171077698</v>
      </c>
      <c r="J81" s="262">
        <f ca="1">Rev_Exp!H26</f>
        <v>1.5466937113114996</v>
      </c>
      <c r="K81" s="262">
        <f ca="1">Rev_Exp!I26</f>
        <v>1.6755808839625042</v>
      </c>
      <c r="L81" s="262">
        <f ca="1">Rev_Exp!J26</f>
        <v>1.8096273546795039</v>
      </c>
      <c r="M81" s="262">
        <f ca="1">Rev_Exp!K26</f>
        <v>1.9513768310631414</v>
      </c>
      <c r="N81" s="262">
        <f ca="1">Rev_Exp!L26</f>
        <v>2.0977300933928777</v>
      </c>
      <c r="O81" s="262">
        <f ca="1">Rev_Exp!M26</f>
        <v>2.2550598503973429</v>
      </c>
      <c r="P81" s="262">
        <f ca="1">Rev_Exp!N26</f>
        <v>2.4241893391771434</v>
      </c>
      <c r="Q81" s="262">
        <f ca="1">Rev_Exp!O26</f>
        <v>2.6035770917136669</v>
      </c>
      <c r="R81" s="262">
        <f ca="1">Rev_Exp!P26</f>
        <v>2.7910346423170522</v>
      </c>
      <c r="S81" s="262">
        <f ca="1">Rev_Exp!Q26</f>
        <v>2.9919891365638813</v>
      </c>
      <c r="T81" s="262">
        <f ca="1">Rev_Exp!R26</f>
        <v>3.2074123543964816</v>
      </c>
      <c r="U81" s="262">
        <f ca="1">Rev_Exp!S26</f>
        <v>3.4362064378571429</v>
      </c>
      <c r="V81" s="262">
        <f ca="1">Rev_Exp!T26</f>
        <v>3.6767408885071422</v>
      </c>
      <c r="W81" s="262">
        <f ca="1">Rev_Exp!U26</f>
        <v>3.9328867884073979</v>
      </c>
      <c r="X81" s="262">
        <f ca="1">Rev_Exp!V26</f>
        <v>4.2042559768075041</v>
      </c>
      <c r="Y81" s="262">
        <f ca="1">Rev_Exp!W26</f>
        <v>4.4929477833336211</v>
      </c>
      <c r="Z81" s="262">
        <f ca="1">Rev_Exp!X26</f>
        <v>4.7984682326003112</v>
      </c>
      <c r="AA81" s="262">
        <f ca="1">Rev_Exp!Y26</f>
        <v>5.1247640724171344</v>
      </c>
      <c r="AB81" s="431"/>
      <c r="AD81" s="34">
        <f t="shared" si="0"/>
        <v>75</v>
      </c>
    </row>
    <row r="82" spans="1:30">
      <c r="A82" s="20" t="s">
        <v>1394</v>
      </c>
      <c r="F82" s="53">
        <f ca="1">F80*F81</f>
        <v>0</v>
      </c>
      <c r="G82" s="53">
        <f t="shared" ref="G82:AA82" ca="1" si="43">G80*G81</f>
        <v>0</v>
      </c>
      <c r="H82" s="53">
        <f t="shared" ca="1" si="43"/>
        <v>44.797451585041507</v>
      </c>
      <c r="I82" s="53">
        <f t="shared" ca="1" si="43"/>
        <v>96.996223656876637</v>
      </c>
      <c r="J82" s="53">
        <f t="shared" ca="1" si="43"/>
        <v>770.60855508198222</v>
      </c>
      <c r="K82" s="53">
        <f t="shared" ca="1" si="43"/>
        <v>706.99068402219405</v>
      </c>
      <c r="L82" s="53">
        <f t="shared" ca="1" si="43"/>
        <v>124.26889654804059</v>
      </c>
      <c r="M82" s="53">
        <f t="shared" ca="1" si="43"/>
        <v>1157.1905437376033</v>
      </c>
      <c r="N82" s="53">
        <f t="shared" ca="1" si="43"/>
        <v>479.56614939352204</v>
      </c>
      <c r="O82" s="53">
        <f t="shared" ca="1" si="43"/>
        <v>154.80555043793336</v>
      </c>
      <c r="P82" s="53">
        <f t="shared" ca="1" si="43"/>
        <v>166.41596672077836</v>
      </c>
      <c r="Q82" s="53">
        <f t="shared" ca="1" si="43"/>
        <v>1297.0210655476151</v>
      </c>
      <c r="R82" s="53">
        <f t="shared" ca="1" si="43"/>
        <v>1178.6948850928322</v>
      </c>
      <c r="S82" s="53">
        <f t="shared" ca="1" si="43"/>
        <v>205.394338029865</v>
      </c>
      <c r="T82" s="53">
        <f t="shared" ca="1" si="43"/>
        <v>220.18273036801534</v>
      </c>
      <c r="U82" s="53">
        <f t="shared" ca="1" si="43"/>
        <v>2585.0054914431585</v>
      </c>
      <c r="V82" s="53">
        <f t="shared" ca="1" si="43"/>
        <v>252.40123758254776</v>
      </c>
      <c r="W82" s="53">
        <f t="shared" ca="1" si="43"/>
        <v>269.98516424395854</v>
      </c>
      <c r="X82" s="53">
        <f t="shared" ca="1" si="43"/>
        <v>2095.780781113006</v>
      </c>
      <c r="Y82" s="53">
        <f t="shared" ca="1" si="43"/>
        <v>1895.464448793434</v>
      </c>
      <c r="Z82" s="53">
        <f t="shared" ca="1" si="43"/>
        <v>329.40567669445289</v>
      </c>
      <c r="AA82" s="53">
        <f t="shared" ca="1" si="43"/>
        <v>351.80526270967584</v>
      </c>
      <c r="AB82" s="430">
        <f ca="1">SUM(F82:AA82)</f>
        <v>14382.781102802535</v>
      </c>
      <c r="AD82" s="34">
        <f t="shared" si="0"/>
        <v>76</v>
      </c>
    </row>
    <row r="83" spans="1:30">
      <c r="A83" s="20" t="s">
        <v>1396</v>
      </c>
      <c r="F83" s="262">
        <f ca="1">Rev_Exp!D27</f>
        <v>1.0804</v>
      </c>
      <c r="G83" s="262">
        <f ca="1">Rev_Exp!E27</f>
        <v>1.1640250000000001</v>
      </c>
      <c r="H83" s="262">
        <f ca="1">Rev_Exp!F27</f>
        <v>1.8557916666666667</v>
      </c>
      <c r="I83" s="262">
        <f ca="1">Rev_Exp!G27</f>
        <v>1.7762172530894818</v>
      </c>
      <c r="J83" s="262">
        <f ca="1">Rev_Exp!H27</f>
        <v>1.9040823167445471</v>
      </c>
      <c r="K83" s="262">
        <f ca="1">Rev_Exp!I27</f>
        <v>2.0630970585159614</v>
      </c>
      <c r="L83" s="262">
        <f ca="1">Rev_Exp!J27</f>
        <v>2.1646877473553214</v>
      </c>
      <c r="M83" s="262">
        <f ca="1">Rev_Exp!K27</f>
        <v>2.2361082090630116</v>
      </c>
      <c r="N83" s="262">
        <f ca="1">Rev_Exp!L27</f>
        <v>2.3027862192387638</v>
      </c>
      <c r="O83" s="262">
        <f ca="1">Rev_Exp!M27</f>
        <v>2.3677358500106247</v>
      </c>
      <c r="P83" s="262">
        <f ca="1">Rev_Exp!N27</f>
        <v>2.4329667131936445</v>
      </c>
      <c r="Q83" s="262">
        <f ca="1">Rev_Exp!O27</f>
        <v>2.4970941347776465</v>
      </c>
      <c r="R83" s="262">
        <f ca="1">Rev_Exp!P27</f>
        <v>2.5602899799837568</v>
      </c>
      <c r="S83" s="262">
        <f ca="1">Rev_Exp!Q27</f>
        <v>2.6223805711397459</v>
      </c>
      <c r="T83" s="262">
        <f ca="1">Rev_Exp!R27</f>
        <v>2.6806160002247092</v>
      </c>
      <c r="U83" s="262">
        <f ca="1">Rev_Exp!S27</f>
        <v>2.7354586737388158</v>
      </c>
      <c r="V83" s="262">
        <f ca="1">Rev_Exp!T27</f>
        <v>2.7903438893562451</v>
      </c>
      <c r="W83" s="262">
        <f ca="1">Rev_Exp!U27</f>
        <v>2.8463067760959695</v>
      </c>
      <c r="X83" s="262">
        <f ca="1">Rev_Exp!V27</f>
        <v>2.9031828886711959</v>
      </c>
      <c r="Y83" s="262">
        <f ca="1">Rev_Exp!W27</f>
        <v>2.9612224191821213</v>
      </c>
      <c r="Z83" s="262">
        <f ca="1">Rev_Exp!X27</f>
        <v>3.0203892595286703</v>
      </c>
      <c r="AA83" s="262">
        <f ca="1">Rev_Exp!Y27</f>
        <v>3.0807225214616292</v>
      </c>
      <c r="AB83" s="431"/>
      <c r="AD83" s="34">
        <f t="shared" si="0"/>
        <v>77</v>
      </c>
    </row>
    <row r="84" spans="1:30">
      <c r="A84" s="20" t="s">
        <v>1395</v>
      </c>
      <c r="F84" s="37">
        <f ca="1">F82/F83</f>
        <v>0</v>
      </c>
      <c r="G84" s="37">
        <f t="shared" ref="G84:AA84" ca="1" si="44">G82/G83</f>
        <v>0</v>
      </c>
      <c r="H84" s="37">
        <f t="shared" ca="1" si="44"/>
        <v>24.139267564179622</v>
      </c>
      <c r="I84" s="37">
        <f t="shared" ca="1" si="44"/>
        <v>54.60831071658901</v>
      </c>
      <c r="J84" s="37">
        <f t="shared" ca="1" si="44"/>
        <v>404.71388673968107</v>
      </c>
      <c r="K84" s="37">
        <f t="shared" ca="1" si="44"/>
        <v>342.68416073975237</v>
      </c>
      <c r="L84" s="37">
        <f t="shared" ca="1" si="44"/>
        <v>57.407308144033458</v>
      </c>
      <c r="M84" s="37">
        <f t="shared" ca="1" si="44"/>
        <v>517.50203279406446</v>
      </c>
      <c r="N84" s="37">
        <f t="shared" ca="1" si="44"/>
        <v>208.25474175021469</v>
      </c>
      <c r="O84" s="37">
        <f t="shared" ca="1" si="44"/>
        <v>65.381258824644107</v>
      </c>
      <c r="P84" s="37">
        <f t="shared" ca="1" si="44"/>
        <v>68.400428915992734</v>
      </c>
      <c r="Q84" s="37">
        <f t="shared" ca="1" si="44"/>
        <v>519.412162915159</v>
      </c>
      <c r="R84" s="37">
        <f t="shared" ca="1" si="44"/>
        <v>460.37554117221919</v>
      </c>
      <c r="S84" s="37">
        <f t="shared" ca="1" si="44"/>
        <v>78.323619496843648</v>
      </c>
      <c r="T84" s="37">
        <f t="shared" ca="1" si="44"/>
        <v>82.138855527818222</v>
      </c>
      <c r="U84" s="37">
        <f t="shared" ca="1" si="44"/>
        <v>944.99891965466304</v>
      </c>
      <c r="V84" s="37">
        <f t="shared" ca="1" si="44"/>
        <v>90.455244081323173</v>
      </c>
      <c r="W84" s="37">
        <f t="shared" ca="1" si="44"/>
        <v>94.854555563498892</v>
      </c>
      <c r="X84" s="37">
        <f t="shared" ca="1" si="44"/>
        <v>721.89071838745144</v>
      </c>
      <c r="Y84" s="37">
        <f t="shared" ca="1" si="44"/>
        <v>640.09526488623385</v>
      </c>
      <c r="Z84" s="37">
        <f t="shared" ca="1" si="44"/>
        <v>109.06067012894107</v>
      </c>
      <c r="AA84" s="37">
        <f t="shared" ca="1" si="44"/>
        <v>114.19569930717554</v>
      </c>
      <c r="AB84" s="435">
        <f ca="1">SUM(F84:AA84)</f>
        <v>5598.8926473104775</v>
      </c>
      <c r="AD84" s="34">
        <f t="shared" si="0"/>
        <v>78</v>
      </c>
    </row>
    <row r="85" spans="1:30">
      <c r="A85" s="20"/>
      <c r="AB85" s="430"/>
      <c r="AD85" s="34">
        <f t="shared" si="0"/>
        <v>79</v>
      </c>
    </row>
    <row r="86" spans="1:30">
      <c r="A86" s="477" t="s">
        <v>519</v>
      </c>
      <c r="B86" s="233"/>
      <c r="C86" s="233"/>
      <c r="D86" s="493"/>
      <c r="E86" s="233"/>
      <c r="F86" s="800">
        <f ca="1">F84</f>
        <v>0</v>
      </c>
      <c r="G86" s="800">
        <f ca="1">AVERAGE($G84:$Y84)</f>
        <v>282.92822515128216</v>
      </c>
      <c r="H86" s="800">
        <f t="shared" ref="H86:Y86" ca="1" si="45">AVERAGE($G84:$Y84)</f>
        <v>282.92822515128216</v>
      </c>
      <c r="I86" s="800">
        <f t="shared" ca="1" si="45"/>
        <v>282.92822515128216</v>
      </c>
      <c r="J86" s="800">
        <f t="shared" ca="1" si="45"/>
        <v>282.92822515128216</v>
      </c>
      <c r="K86" s="800">
        <f t="shared" ca="1" si="45"/>
        <v>282.92822515128216</v>
      </c>
      <c r="L86" s="800">
        <f t="shared" ca="1" si="45"/>
        <v>282.92822515128216</v>
      </c>
      <c r="M86" s="800">
        <f t="shared" ca="1" si="45"/>
        <v>282.92822515128216</v>
      </c>
      <c r="N86" s="800">
        <f t="shared" ca="1" si="45"/>
        <v>282.92822515128216</v>
      </c>
      <c r="O86" s="800">
        <f t="shared" ca="1" si="45"/>
        <v>282.92822515128216</v>
      </c>
      <c r="P86" s="800">
        <f t="shared" ca="1" si="45"/>
        <v>282.92822515128216</v>
      </c>
      <c r="Q86" s="800">
        <f t="shared" ca="1" si="45"/>
        <v>282.92822515128216</v>
      </c>
      <c r="R86" s="800">
        <f t="shared" ca="1" si="45"/>
        <v>282.92822515128216</v>
      </c>
      <c r="S86" s="800">
        <f t="shared" ca="1" si="45"/>
        <v>282.92822515128216</v>
      </c>
      <c r="T86" s="800">
        <f t="shared" ca="1" si="45"/>
        <v>282.92822515128216</v>
      </c>
      <c r="U86" s="800">
        <f t="shared" ca="1" si="45"/>
        <v>282.92822515128216</v>
      </c>
      <c r="V86" s="800">
        <f t="shared" ca="1" si="45"/>
        <v>282.92822515128216</v>
      </c>
      <c r="W86" s="800">
        <f t="shared" ca="1" si="45"/>
        <v>282.92822515128216</v>
      </c>
      <c r="X86" s="800">
        <f t="shared" ca="1" si="45"/>
        <v>282.92822515128216</v>
      </c>
      <c r="Y86" s="800">
        <f t="shared" ca="1" si="45"/>
        <v>282.92822515128216</v>
      </c>
      <c r="Z86" s="800">
        <f ca="1">Z84</f>
        <v>109.06067012894107</v>
      </c>
      <c r="AA86" s="800">
        <f ca="1">AA84</f>
        <v>114.19569930717554</v>
      </c>
      <c r="AB86" s="494">
        <f ca="1">SUM(F86:AA86)</f>
        <v>5598.8926473104784</v>
      </c>
      <c r="AC86" s="252" t="str">
        <f ca="1">IF(ABS(AB86-AB84)&gt;0.01,"CHECK"," ")</f>
        <v xml:space="preserve"> </v>
      </c>
      <c r="AD86" s="34">
        <f t="shared" si="0"/>
        <v>80</v>
      </c>
    </row>
    <row r="87" spans="1:30">
      <c r="A87" s="423" t="s">
        <v>970</v>
      </c>
      <c r="B87" s="409"/>
      <c r="C87" s="409"/>
      <c r="D87" s="409"/>
      <c r="E87" s="409"/>
      <c r="F87" s="492">
        <f t="shared" ref="F87:AA87" ca="1" si="46">F86-F84</f>
        <v>0</v>
      </c>
      <c r="G87" s="492">
        <f t="shared" ca="1" si="46"/>
        <v>282.92822515128216</v>
      </c>
      <c r="H87" s="492">
        <f t="shared" ca="1" si="46"/>
        <v>258.78895758710252</v>
      </c>
      <c r="I87" s="492">
        <f t="shared" ca="1" si="46"/>
        <v>228.31991443469315</v>
      </c>
      <c r="J87" s="492">
        <f t="shared" ca="1" si="46"/>
        <v>-121.78566158839891</v>
      </c>
      <c r="K87" s="492">
        <f t="shared" ca="1" si="46"/>
        <v>-59.755935588470209</v>
      </c>
      <c r="L87" s="492">
        <f t="shared" ca="1" si="46"/>
        <v>225.5209170072487</v>
      </c>
      <c r="M87" s="492">
        <f t="shared" ca="1" si="46"/>
        <v>-234.5738076427823</v>
      </c>
      <c r="N87" s="492">
        <f t="shared" ca="1" si="46"/>
        <v>74.673483401067472</v>
      </c>
      <c r="O87" s="492">
        <f t="shared" ca="1" si="46"/>
        <v>217.54696632663806</v>
      </c>
      <c r="P87" s="492">
        <f t="shared" ca="1" si="46"/>
        <v>214.52779623528943</v>
      </c>
      <c r="Q87" s="492">
        <f t="shared" ca="1" si="46"/>
        <v>-236.48393776387684</v>
      </c>
      <c r="R87" s="492">
        <f t="shared" ca="1" si="46"/>
        <v>-177.44731602093702</v>
      </c>
      <c r="S87" s="492">
        <f t="shared" ca="1" si="46"/>
        <v>204.6046056544385</v>
      </c>
      <c r="T87" s="492">
        <f t="shared" ca="1" si="46"/>
        <v>200.78936962346393</v>
      </c>
      <c r="U87" s="492">
        <f t="shared" ca="1" si="46"/>
        <v>-662.07069450338088</v>
      </c>
      <c r="V87" s="492">
        <f t="shared" ca="1" si="46"/>
        <v>192.47298106995899</v>
      </c>
      <c r="W87" s="492">
        <f t="shared" ca="1" si="46"/>
        <v>188.07366958778329</v>
      </c>
      <c r="X87" s="492">
        <f t="shared" ca="1" si="46"/>
        <v>-438.96249323616928</v>
      </c>
      <c r="Y87" s="492">
        <f t="shared" ca="1" si="46"/>
        <v>-357.16703973495169</v>
      </c>
      <c r="Z87" s="492">
        <f t="shared" ca="1" si="46"/>
        <v>0</v>
      </c>
      <c r="AA87" s="492">
        <f t="shared" ca="1" si="46"/>
        <v>0</v>
      </c>
      <c r="AB87" s="497">
        <f ca="1">SUM(F87:AA87)</f>
        <v>-5.6843418860808015E-13</v>
      </c>
      <c r="AD87" s="34">
        <f t="shared" si="0"/>
        <v>81</v>
      </c>
    </row>
    <row r="88" spans="1:30">
      <c r="A88" s="20"/>
      <c r="AB88" s="430"/>
      <c r="AD88" s="34">
        <f t="shared" si="0"/>
        <v>82</v>
      </c>
    </row>
    <row r="89" spans="1:30">
      <c r="A89" s="456" t="s">
        <v>1401</v>
      </c>
      <c r="AB89" s="430"/>
      <c r="AD89" s="34">
        <f t="shared" si="0"/>
        <v>83</v>
      </c>
    </row>
    <row r="90" spans="1:30">
      <c r="A90" s="20" t="s">
        <v>520</v>
      </c>
      <c r="F90" s="766">
        <v>0</v>
      </c>
      <c r="G90" s="37">
        <f t="shared" ref="G90:AA90" ca="1" si="47">F93</f>
        <v>0</v>
      </c>
      <c r="H90" s="37">
        <f t="shared" ca="1" si="47"/>
        <v>282.92822515128216</v>
      </c>
      <c r="I90" s="37">
        <f t="shared" ca="1" si="47"/>
        <v>541.71718273838474</v>
      </c>
      <c r="J90" s="37">
        <f t="shared" ca="1" si="47"/>
        <v>770.03709717307788</v>
      </c>
      <c r="K90" s="37">
        <f t="shared" ca="1" si="47"/>
        <v>648.2514355846788</v>
      </c>
      <c r="L90" s="37">
        <f t="shared" ca="1" si="47"/>
        <v>588.49549999620854</v>
      </c>
      <c r="M90" s="37">
        <f t="shared" ca="1" si="47"/>
        <v>814.01641700345726</v>
      </c>
      <c r="N90" s="37">
        <f t="shared" ca="1" si="47"/>
        <v>579.44260936067508</v>
      </c>
      <c r="O90" s="37">
        <f t="shared" ca="1" si="47"/>
        <v>654.11609276174249</v>
      </c>
      <c r="P90" s="37">
        <f t="shared" ca="1" si="47"/>
        <v>871.66305908838058</v>
      </c>
      <c r="Q90" s="37">
        <f t="shared" ca="1" si="47"/>
        <v>1086.1908553236701</v>
      </c>
      <c r="R90" s="37">
        <f t="shared" ca="1" si="47"/>
        <v>849.70691755979317</v>
      </c>
      <c r="S90" s="37">
        <f t="shared" ca="1" si="47"/>
        <v>672.25960153885615</v>
      </c>
      <c r="T90" s="37">
        <f t="shared" ca="1" si="47"/>
        <v>876.86420719329465</v>
      </c>
      <c r="U90" s="37">
        <f t="shared" ca="1" si="47"/>
        <v>1077.6535768167587</v>
      </c>
      <c r="V90" s="37">
        <f t="shared" ca="1" si="47"/>
        <v>415.58288231337792</v>
      </c>
      <c r="W90" s="37">
        <f t="shared" ca="1" si="47"/>
        <v>608.05586338333694</v>
      </c>
      <c r="X90" s="37">
        <f t="shared" ca="1" si="47"/>
        <v>796.12953297112017</v>
      </c>
      <c r="Y90" s="37">
        <f t="shared" ca="1" si="47"/>
        <v>357.167039734951</v>
      </c>
      <c r="Z90" s="37">
        <f t="shared" ca="1" si="47"/>
        <v>0</v>
      </c>
      <c r="AA90" s="37">
        <f t="shared" ca="1" si="47"/>
        <v>0</v>
      </c>
      <c r="AB90" s="435">
        <f>F90</f>
        <v>0</v>
      </c>
      <c r="AD90" s="34">
        <f t="shared" si="0"/>
        <v>84</v>
      </c>
    </row>
    <row r="91" spans="1:30">
      <c r="A91" s="20" t="s">
        <v>971</v>
      </c>
      <c r="F91" s="37">
        <f t="shared" ref="F91:AA91" ca="1" si="48">F86</f>
        <v>0</v>
      </c>
      <c r="G91" s="37">
        <f t="shared" ca="1" si="48"/>
        <v>282.92822515128216</v>
      </c>
      <c r="H91" s="37">
        <f t="shared" ca="1" si="48"/>
        <v>282.92822515128216</v>
      </c>
      <c r="I91" s="37">
        <f t="shared" ca="1" si="48"/>
        <v>282.92822515128216</v>
      </c>
      <c r="J91" s="37">
        <f t="shared" ca="1" si="48"/>
        <v>282.92822515128216</v>
      </c>
      <c r="K91" s="37">
        <f t="shared" ca="1" si="48"/>
        <v>282.92822515128216</v>
      </c>
      <c r="L91" s="37">
        <f t="shared" ca="1" si="48"/>
        <v>282.92822515128216</v>
      </c>
      <c r="M91" s="37">
        <f t="shared" ca="1" si="48"/>
        <v>282.92822515128216</v>
      </c>
      <c r="N91" s="37">
        <f t="shared" ca="1" si="48"/>
        <v>282.92822515128216</v>
      </c>
      <c r="O91" s="37">
        <f t="shared" ca="1" si="48"/>
        <v>282.92822515128216</v>
      </c>
      <c r="P91" s="37">
        <f t="shared" ca="1" si="48"/>
        <v>282.92822515128216</v>
      </c>
      <c r="Q91" s="37">
        <f t="shared" ca="1" si="48"/>
        <v>282.92822515128216</v>
      </c>
      <c r="R91" s="37">
        <f t="shared" ca="1" si="48"/>
        <v>282.92822515128216</v>
      </c>
      <c r="S91" s="37">
        <f t="shared" ca="1" si="48"/>
        <v>282.92822515128216</v>
      </c>
      <c r="T91" s="37">
        <f t="shared" ca="1" si="48"/>
        <v>282.92822515128216</v>
      </c>
      <c r="U91" s="37">
        <f t="shared" ca="1" si="48"/>
        <v>282.92822515128216</v>
      </c>
      <c r="V91" s="37">
        <f t="shared" ca="1" si="48"/>
        <v>282.92822515128216</v>
      </c>
      <c r="W91" s="37">
        <f t="shared" ca="1" si="48"/>
        <v>282.92822515128216</v>
      </c>
      <c r="X91" s="37">
        <f t="shared" ca="1" si="48"/>
        <v>282.92822515128216</v>
      </c>
      <c r="Y91" s="37">
        <f t="shared" ca="1" si="48"/>
        <v>282.92822515128216</v>
      </c>
      <c r="Z91" s="37">
        <f t="shared" ca="1" si="48"/>
        <v>109.06067012894107</v>
      </c>
      <c r="AA91" s="37">
        <f t="shared" ca="1" si="48"/>
        <v>114.19569930717554</v>
      </c>
      <c r="AB91" s="435">
        <f ca="1">SUM(F91:AA91)</f>
        <v>5598.8926473104784</v>
      </c>
      <c r="AD91" s="34">
        <f t="shared" si="0"/>
        <v>85</v>
      </c>
    </row>
    <row r="92" spans="1:30">
      <c r="A92" s="20" t="s">
        <v>972</v>
      </c>
      <c r="F92" s="142">
        <f ca="1">-F84</f>
        <v>0</v>
      </c>
      <c r="G92" s="142">
        <f ca="1">-G84</f>
        <v>0</v>
      </c>
      <c r="H92" s="142">
        <f t="shared" ref="H92:W92" ca="1" si="49">-H84</f>
        <v>-24.139267564179622</v>
      </c>
      <c r="I92" s="142">
        <f t="shared" ca="1" si="49"/>
        <v>-54.60831071658901</v>
      </c>
      <c r="J92" s="142">
        <f t="shared" ca="1" si="49"/>
        <v>-404.71388673968107</v>
      </c>
      <c r="K92" s="142">
        <f t="shared" ca="1" si="49"/>
        <v>-342.68416073975237</v>
      </c>
      <c r="L92" s="142">
        <f t="shared" ca="1" si="49"/>
        <v>-57.407308144033458</v>
      </c>
      <c r="M92" s="142">
        <f t="shared" ca="1" si="49"/>
        <v>-517.50203279406446</v>
      </c>
      <c r="N92" s="142">
        <f t="shared" ca="1" si="49"/>
        <v>-208.25474175021469</v>
      </c>
      <c r="O92" s="142">
        <f t="shared" ca="1" si="49"/>
        <v>-65.381258824644107</v>
      </c>
      <c r="P92" s="142">
        <f t="shared" ca="1" si="49"/>
        <v>-68.400428915992734</v>
      </c>
      <c r="Q92" s="142">
        <f t="shared" ca="1" si="49"/>
        <v>-519.412162915159</v>
      </c>
      <c r="R92" s="142">
        <f t="shared" ca="1" si="49"/>
        <v>-460.37554117221919</v>
      </c>
      <c r="S92" s="142">
        <f t="shared" ca="1" si="49"/>
        <v>-78.323619496843648</v>
      </c>
      <c r="T92" s="142">
        <f t="shared" ca="1" si="49"/>
        <v>-82.138855527818222</v>
      </c>
      <c r="U92" s="142">
        <f t="shared" ca="1" si="49"/>
        <v>-944.99891965466304</v>
      </c>
      <c r="V92" s="142">
        <f t="shared" ca="1" si="49"/>
        <v>-90.455244081323173</v>
      </c>
      <c r="W92" s="142">
        <f t="shared" ca="1" si="49"/>
        <v>-94.854555563498892</v>
      </c>
      <c r="X92" s="142">
        <f ca="1">-X84</f>
        <v>-721.89071838745144</v>
      </c>
      <c r="Y92" s="142">
        <f ca="1">-Y84</f>
        <v>-640.09526488623385</v>
      </c>
      <c r="Z92" s="142">
        <f ca="1">-Z84</f>
        <v>-109.06067012894107</v>
      </c>
      <c r="AA92" s="142">
        <f ca="1">-AA84</f>
        <v>-114.19569930717554</v>
      </c>
      <c r="AB92" s="436">
        <f ca="1">SUM(F92:AA92)</f>
        <v>-5598.8926473104775</v>
      </c>
      <c r="AD92" s="34">
        <f t="shared" si="0"/>
        <v>86</v>
      </c>
    </row>
    <row r="93" spans="1:30">
      <c r="A93" s="417" t="s">
        <v>521</v>
      </c>
      <c r="B93" s="31"/>
      <c r="C93" s="31"/>
      <c r="D93" s="31"/>
      <c r="E93" s="31"/>
      <c r="F93" s="59">
        <f t="shared" ref="F93:AB93" ca="1" si="50">SUM(F90:F92)</f>
        <v>0</v>
      </c>
      <c r="G93" s="59">
        <f t="shared" ca="1" si="50"/>
        <v>282.92822515128216</v>
      </c>
      <c r="H93" s="59">
        <f t="shared" ca="1" si="50"/>
        <v>541.71718273838474</v>
      </c>
      <c r="I93" s="59">
        <f t="shared" ca="1" si="50"/>
        <v>770.03709717307788</v>
      </c>
      <c r="J93" s="59">
        <f t="shared" ca="1" si="50"/>
        <v>648.2514355846788</v>
      </c>
      <c r="K93" s="59">
        <f t="shared" ca="1" si="50"/>
        <v>588.49549999620854</v>
      </c>
      <c r="L93" s="59">
        <f t="shared" ca="1" si="50"/>
        <v>814.01641700345726</v>
      </c>
      <c r="M93" s="59">
        <f t="shared" ca="1" si="50"/>
        <v>579.44260936067508</v>
      </c>
      <c r="N93" s="59">
        <f t="shared" ca="1" si="50"/>
        <v>654.11609276174249</v>
      </c>
      <c r="O93" s="59">
        <f t="shared" ca="1" si="50"/>
        <v>871.66305908838058</v>
      </c>
      <c r="P93" s="59">
        <f t="shared" ca="1" si="50"/>
        <v>1086.1908553236701</v>
      </c>
      <c r="Q93" s="59">
        <f t="shared" ca="1" si="50"/>
        <v>849.70691755979317</v>
      </c>
      <c r="R93" s="59">
        <f t="shared" ca="1" si="50"/>
        <v>672.25960153885615</v>
      </c>
      <c r="S93" s="59">
        <f t="shared" ca="1" si="50"/>
        <v>876.86420719329465</v>
      </c>
      <c r="T93" s="59">
        <f t="shared" ca="1" si="50"/>
        <v>1077.6535768167587</v>
      </c>
      <c r="U93" s="59">
        <f t="shared" ca="1" si="50"/>
        <v>415.58288231337792</v>
      </c>
      <c r="V93" s="59">
        <f t="shared" ca="1" si="50"/>
        <v>608.05586338333694</v>
      </c>
      <c r="W93" s="59">
        <f t="shared" ca="1" si="50"/>
        <v>796.12953297112017</v>
      </c>
      <c r="X93" s="59">
        <f t="shared" ca="1" si="50"/>
        <v>357.167039734951</v>
      </c>
      <c r="Y93" s="59">
        <f t="shared" ca="1" si="50"/>
        <v>0</v>
      </c>
      <c r="Z93" s="59">
        <f t="shared" ca="1" si="50"/>
        <v>0</v>
      </c>
      <c r="AA93" s="59">
        <f t="shared" ca="1" si="50"/>
        <v>0</v>
      </c>
      <c r="AB93" s="488">
        <f t="shared" ca="1" si="50"/>
        <v>0</v>
      </c>
      <c r="AD93" s="34">
        <f t="shared" si="0"/>
        <v>87</v>
      </c>
    </row>
    <row r="94" spans="1:30">
      <c r="A94" s="20"/>
      <c r="AB94" s="430"/>
      <c r="AD94" s="34">
        <f t="shared" si="0"/>
        <v>88</v>
      </c>
    </row>
    <row r="95" spans="1:30">
      <c r="A95" s="27" t="s">
        <v>466</v>
      </c>
      <c r="AB95" s="430"/>
      <c r="AD95" s="34">
        <f t="shared" si="0"/>
        <v>89</v>
      </c>
    </row>
    <row r="96" spans="1:30">
      <c r="A96" s="20" t="s">
        <v>523</v>
      </c>
      <c r="F96" s="37">
        <f ca="1">AVERAGE(F74,F77)+AVERAGE(F90,F93)</f>
        <v>0</v>
      </c>
      <c r="G96" s="37">
        <f ca="1">AVERAGE(G74,G77)+AVERAGE(G90,G93)</f>
        <v>3631.8029527061653</v>
      </c>
      <c r="H96" s="37">
        <f t="shared" ref="H96:AA96" ca="1" si="51">AVERAGE(H74,H77)+AVERAGE(H90,H93)</f>
        <v>10828.616030528279</v>
      </c>
      <c r="I96" s="37">
        <f t="shared" ca="1" si="51"/>
        <v>11482.130759797377</v>
      </c>
      <c r="J96" s="37">
        <f t="shared" ca="1" si="51"/>
        <v>7949.8975802424748</v>
      </c>
      <c r="K96" s="37">
        <f t="shared" ca="1" si="51"/>
        <v>6692.1068162898609</v>
      </c>
      <c r="L96" s="37">
        <f t="shared" ca="1" si="51"/>
        <v>9127.0152271080897</v>
      </c>
      <c r="M96" s="37">
        <f t="shared" ca="1" si="51"/>
        <v>11378.138500307399</v>
      </c>
      <c r="N96" s="37">
        <f t="shared" ca="1" si="51"/>
        <v>8705.5259672812463</v>
      </c>
      <c r="O96" s="37">
        <f t="shared" ca="1" si="51"/>
        <v>10327.692496652591</v>
      </c>
      <c r="P96" s="37">
        <f t="shared" ca="1" si="51"/>
        <v>17270.716085078471</v>
      </c>
      <c r="Q96" s="37">
        <f t="shared" ca="1" si="51"/>
        <v>17693.786131159748</v>
      </c>
      <c r="R96" s="37">
        <f t="shared" ca="1" si="51"/>
        <v>11555.955956250051</v>
      </c>
      <c r="S96" s="37">
        <f t="shared" ca="1" si="51"/>
        <v>11918.027665477422</v>
      </c>
      <c r="T96" s="37">
        <f t="shared" ca="1" si="51"/>
        <v>18820.39991007189</v>
      </c>
      <c r="U96" s="37">
        <f t="shared" ca="1" si="51"/>
        <v>14072.144069879436</v>
      </c>
      <c r="V96" s="37">
        <f t="shared" ca="1" si="51"/>
        <v>9312.473626283092</v>
      </c>
      <c r="W96" s="37">
        <f t="shared" ca="1" si="51"/>
        <v>16180.577236327696</v>
      </c>
      <c r="X96" s="37">
        <f t="shared" ca="1" si="51"/>
        <v>17476.588535854338</v>
      </c>
      <c r="Y96" s="37">
        <f t="shared" ca="1" si="51"/>
        <v>7670.7822901002382</v>
      </c>
      <c r="Z96" s="37">
        <f t="shared" ca="1" si="51"/>
        <v>0</v>
      </c>
      <c r="AA96" s="37">
        <f t="shared" ca="1" si="51"/>
        <v>0</v>
      </c>
      <c r="AB96" s="499"/>
      <c r="AD96" s="34">
        <f t="shared" si="0"/>
        <v>90</v>
      </c>
    </row>
    <row r="97" spans="1:30">
      <c r="A97" s="20" t="s">
        <v>524</v>
      </c>
      <c r="F97" s="142">
        <f ca="1">IF(F$54&lt;YEAR(Startops1),0,(Wcap1+Wcap2+Wcap3)-CF!D62)</f>
        <v>0</v>
      </c>
      <c r="G97" s="142">
        <f ca="1">IF(G$54&lt;YEAR(Startops1),0,(Wcap1+Wcap2+Wcap3)-CF!E62)</f>
        <v>0</v>
      </c>
      <c r="H97" s="142">
        <f ca="1">IF(H$54&lt;YEAR(Startops1),0,(Wcap1+Wcap2+Wcap3)-CF!F62)</f>
        <v>0</v>
      </c>
      <c r="I97" s="142">
        <f ca="1">IF(I$54&lt;YEAR(Startops1),0,(Wcap1+Wcap2+Wcap3)-CF!G62)</f>
        <v>0</v>
      </c>
      <c r="J97" s="142">
        <f ca="1">IF(J$54&lt;YEAR(Startops1),0,(Wcap1+Wcap2+Wcap3)-CF!H62)</f>
        <v>0</v>
      </c>
      <c r="K97" s="142">
        <f ca="1">IF(K$54&lt;YEAR(Startops1),0,(Wcap1+Wcap2+Wcap3)-CF!I62)</f>
        <v>0</v>
      </c>
      <c r="L97" s="142">
        <f ca="1">IF(L$54&lt;YEAR(Startops1),0,(Wcap1+Wcap2+Wcap3)-CF!J62)</f>
        <v>0</v>
      </c>
      <c r="M97" s="142">
        <f ca="1">IF(M$54&lt;YEAR(Startops1),0,(Wcap1+Wcap2+Wcap3)-CF!K62)</f>
        <v>0</v>
      </c>
      <c r="N97" s="142">
        <f ca="1">IF(N$54&lt;YEAR(Startops1),0,(Wcap1+Wcap2+Wcap3)-CF!L62)</f>
        <v>0</v>
      </c>
      <c r="O97" s="142">
        <f ca="1">IF(O$54&lt;YEAR(Startops1),0,(Wcap1+Wcap2+Wcap3)-CF!M62)</f>
        <v>0</v>
      </c>
      <c r="P97" s="142">
        <f ca="1">IF(P$54&lt;YEAR(Startops1),0,(Wcap1+Wcap2+Wcap3)-CF!N62)</f>
        <v>0</v>
      </c>
      <c r="Q97" s="142">
        <f ca="1">IF(Q$54&lt;YEAR(Startops1),0,(Wcap1+Wcap2+Wcap3)-CF!O62)</f>
        <v>0</v>
      </c>
      <c r="R97" s="142">
        <f ca="1">IF(R$54&lt;YEAR(Startops1),0,(Wcap1+Wcap2+Wcap3)-CF!P62)</f>
        <v>0</v>
      </c>
      <c r="S97" s="142">
        <f ca="1">IF(S$54&lt;YEAR(Startops1),0,(Wcap1+Wcap2+Wcap3)-CF!Q62)</f>
        <v>0</v>
      </c>
      <c r="T97" s="142">
        <f ca="1">IF(T$54&lt;YEAR(Startops1),0,(Wcap1+Wcap2+Wcap3)-CF!R62)</f>
        <v>0</v>
      </c>
      <c r="U97" s="142">
        <f ca="1">IF(U$54&lt;YEAR(Startops1),0,(Wcap1+Wcap2+Wcap3)-CF!S62)</f>
        <v>0</v>
      </c>
      <c r="V97" s="142">
        <f ca="1">IF(V$54&lt;YEAR(Startops1),0,(Wcap1+Wcap2+Wcap3)-CF!T62)</f>
        <v>0</v>
      </c>
      <c r="W97" s="142">
        <f ca="1">IF(W$54&lt;YEAR(Startops1),0,(Wcap1+Wcap2+Wcap3)-CF!U62)</f>
        <v>0</v>
      </c>
      <c r="X97" s="142">
        <f ca="1">IF(X$54&lt;YEAR(Startops1),0,(Wcap1+Wcap2+Wcap3)-CF!V62)</f>
        <v>0</v>
      </c>
      <c r="Y97" s="142">
        <f ca="1">IF(Y$54&lt;YEAR(Startops1),0,(Wcap1+Wcap2+Wcap3)-CF!W62)</f>
        <v>0</v>
      </c>
      <c r="Z97" s="142">
        <f ca="1">IF(Z$54&lt;YEAR(Startops1),0,(Wcap1+Wcap2+Wcap3)-CF!X62)</f>
        <v>0</v>
      </c>
      <c r="AA97" s="142">
        <f ca="1">IF(AA$54&lt;YEAR(Startops1),0,(Wcap1+Wcap2+Wcap3)-CF!Y62)</f>
        <v>0</v>
      </c>
      <c r="AB97" s="432"/>
      <c r="AD97" s="34">
        <f>AD96+1</f>
        <v>91</v>
      </c>
    </row>
    <row r="98" spans="1:30">
      <c r="A98" s="20" t="s">
        <v>426</v>
      </c>
      <c r="F98" s="37">
        <f ca="1">SUM(F96:F97)</f>
        <v>0</v>
      </c>
      <c r="G98" s="37">
        <f t="shared" ref="G98:AA98" ca="1" si="52">SUM(G96:G97)</f>
        <v>3631.8029527061653</v>
      </c>
      <c r="H98" s="37">
        <f t="shared" ca="1" si="52"/>
        <v>10828.616030528279</v>
      </c>
      <c r="I98" s="37">
        <f t="shared" ca="1" si="52"/>
        <v>11482.130759797377</v>
      </c>
      <c r="J98" s="37">
        <f t="shared" ca="1" si="52"/>
        <v>7949.8975802424748</v>
      </c>
      <c r="K98" s="37">
        <f t="shared" ca="1" si="52"/>
        <v>6692.1068162898609</v>
      </c>
      <c r="L98" s="37">
        <f t="shared" ca="1" si="52"/>
        <v>9127.0152271080897</v>
      </c>
      <c r="M98" s="37">
        <f t="shared" ca="1" si="52"/>
        <v>11378.138500307399</v>
      </c>
      <c r="N98" s="37">
        <f t="shared" ca="1" si="52"/>
        <v>8705.5259672812463</v>
      </c>
      <c r="O98" s="37">
        <f t="shared" ca="1" si="52"/>
        <v>10327.692496652591</v>
      </c>
      <c r="P98" s="37">
        <f t="shared" ca="1" si="52"/>
        <v>17270.716085078471</v>
      </c>
      <c r="Q98" s="37">
        <f t="shared" ca="1" si="52"/>
        <v>17693.786131159748</v>
      </c>
      <c r="R98" s="37">
        <f t="shared" ca="1" si="52"/>
        <v>11555.955956250051</v>
      </c>
      <c r="S98" s="37">
        <f t="shared" ca="1" si="52"/>
        <v>11918.027665477422</v>
      </c>
      <c r="T98" s="37">
        <f t="shared" ca="1" si="52"/>
        <v>18820.39991007189</v>
      </c>
      <c r="U98" s="37">
        <f t="shared" ca="1" si="52"/>
        <v>14072.144069879436</v>
      </c>
      <c r="V98" s="37">
        <f t="shared" ca="1" si="52"/>
        <v>9312.473626283092</v>
      </c>
      <c r="W98" s="37">
        <f t="shared" ca="1" si="52"/>
        <v>16180.577236327696</v>
      </c>
      <c r="X98" s="37">
        <f t="shared" ca="1" si="52"/>
        <v>17476.588535854338</v>
      </c>
      <c r="Y98" s="37">
        <f t="shared" ca="1" si="52"/>
        <v>7670.7822901002382</v>
      </c>
      <c r="Z98" s="37">
        <f t="shared" ca="1" si="52"/>
        <v>0</v>
      </c>
      <c r="AA98" s="37">
        <f t="shared" ca="1" si="52"/>
        <v>0</v>
      </c>
      <c r="AB98" s="499"/>
      <c r="AD98" s="34">
        <f>AD97+1</f>
        <v>92</v>
      </c>
    </row>
    <row r="99" spans="1:30">
      <c r="A99" s="20"/>
      <c r="AB99" s="430"/>
      <c r="AD99" s="34">
        <f>AD98+1</f>
        <v>93</v>
      </c>
    </row>
    <row r="100" spans="1:30" ht="13.5" thickBot="1">
      <c r="A100" s="48" t="s">
        <v>973</v>
      </c>
      <c r="B100" s="49"/>
      <c r="C100" s="49"/>
      <c r="D100" s="618">
        <f>Assm!F97</f>
        <v>0.05</v>
      </c>
      <c r="E100" s="49"/>
      <c r="F100" s="51">
        <f ca="1">$D100*F98</f>
        <v>0</v>
      </c>
      <c r="G100" s="51">
        <f t="shared" ref="G100:AA100" ca="1" si="53">$D100*G98</f>
        <v>181.59014763530828</v>
      </c>
      <c r="H100" s="51">
        <f t="shared" ca="1" si="53"/>
        <v>541.43080152641403</v>
      </c>
      <c r="I100" s="51">
        <f t="shared" ca="1" si="53"/>
        <v>574.10653798986891</v>
      </c>
      <c r="J100" s="51">
        <f t="shared" ca="1" si="53"/>
        <v>397.49487901212376</v>
      </c>
      <c r="K100" s="51">
        <f t="shared" ca="1" si="53"/>
        <v>334.60534081449305</v>
      </c>
      <c r="L100" s="51">
        <f t="shared" ca="1" si="53"/>
        <v>456.35076135540453</v>
      </c>
      <c r="M100" s="51">
        <f t="shared" ca="1" si="53"/>
        <v>568.90692501537001</v>
      </c>
      <c r="N100" s="51">
        <f t="shared" ca="1" si="53"/>
        <v>435.27629836406231</v>
      </c>
      <c r="O100" s="51">
        <f t="shared" ca="1" si="53"/>
        <v>516.38462483262958</v>
      </c>
      <c r="P100" s="51">
        <f t="shared" ca="1" si="53"/>
        <v>863.53580425392363</v>
      </c>
      <c r="Q100" s="51">
        <f t="shared" ca="1" si="53"/>
        <v>884.68930655798749</v>
      </c>
      <c r="R100" s="51">
        <f t="shared" ca="1" si="53"/>
        <v>577.79779781250261</v>
      </c>
      <c r="S100" s="51">
        <f t="shared" ca="1" si="53"/>
        <v>595.90138327387115</v>
      </c>
      <c r="T100" s="51">
        <f t="shared" ca="1" si="53"/>
        <v>941.0199955035946</v>
      </c>
      <c r="U100" s="51">
        <f t="shared" ca="1" si="53"/>
        <v>703.60720349397184</v>
      </c>
      <c r="V100" s="51">
        <f t="shared" ca="1" si="53"/>
        <v>465.62368131415462</v>
      </c>
      <c r="W100" s="51">
        <f t="shared" ca="1" si="53"/>
        <v>809.02886181638485</v>
      </c>
      <c r="X100" s="51">
        <f t="shared" ca="1" si="53"/>
        <v>873.82942679271696</v>
      </c>
      <c r="Y100" s="51">
        <f t="shared" ca="1" si="53"/>
        <v>383.53911450501192</v>
      </c>
      <c r="Z100" s="51">
        <f t="shared" ca="1" si="53"/>
        <v>0</v>
      </c>
      <c r="AA100" s="51">
        <f t="shared" ca="1" si="53"/>
        <v>0</v>
      </c>
      <c r="AB100" s="484">
        <f ca="1">SUM(F100:AA100)</f>
        <v>11104.718891869794</v>
      </c>
      <c r="AD100" s="34">
        <f>AD99+1</f>
        <v>94</v>
      </c>
    </row>
  </sheetData>
  <printOptions horizontalCentered="1"/>
  <pageMargins left="0.25" right="0.25" top="0.5" bottom="0.5" header="0.25" footer="0.25"/>
  <pageSetup scale="34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1">
    <pageSetUpPr fitToPage="1"/>
  </sheetPr>
  <dimension ref="A1:Z113"/>
  <sheetViews>
    <sheetView showGridLines="0" zoomScale="80" workbookViewId="0">
      <selection activeCell="S34" sqref="S34"/>
    </sheetView>
  </sheetViews>
  <sheetFormatPr defaultRowHeight="12.75"/>
  <cols>
    <col min="1" max="1" width="28.7109375" style="7" customWidth="1"/>
    <col min="2" max="26" width="11.7109375" style="7" customWidth="1"/>
    <col min="27" max="39" width="7.7109375" style="7" customWidth="1"/>
    <col min="40" max="16384" width="9.140625" style="7"/>
  </cols>
  <sheetData>
    <row r="1" spans="1:25" s="15" customFormat="1" ht="15.75">
      <c r="A1" s="1137" t="str">
        <f>CONCATENATE(TOC!B2," ",TOC!B6)</f>
        <v>EMPRESSA PRODUTORA DE ENERGÍA LTDA (EPE) *** DRAFT COPY ***</v>
      </c>
    </row>
    <row r="2" spans="1:25" s="15" customFormat="1" ht="15.75">
      <c r="A2" s="1137" t="str">
        <f>TOC!B3</f>
        <v>480 MW POWER PLANT (CUIABA, BRAZIL)</v>
      </c>
    </row>
    <row r="3" spans="1:25" s="15" customFormat="1" ht="15">
      <c r="A3" s="118" t="str">
        <f>TOC!B4</f>
        <v>ENRON INTERNATIONAL</v>
      </c>
    </row>
    <row r="4" spans="1:25" s="15" customFormat="1" ht="15">
      <c r="A4" s="932" t="s">
        <v>1019</v>
      </c>
      <c r="B4" s="769"/>
      <c r="C4" s="769"/>
      <c r="D4" s="769"/>
      <c r="E4" s="769"/>
    </row>
    <row r="5" spans="1:25">
      <c r="A5" s="15"/>
    </row>
    <row r="6" spans="1:25" ht="13.5" thickBot="1">
      <c r="A6" s="15"/>
    </row>
    <row r="7" spans="1:25">
      <c r="A7" s="554" t="s">
        <v>434</v>
      </c>
      <c r="B7" s="11"/>
      <c r="C7" s="11"/>
      <c r="D7" s="11"/>
      <c r="E7" s="11"/>
      <c r="F7" s="11"/>
      <c r="G7" s="744" t="s">
        <v>1369</v>
      </c>
      <c r="H7" s="745">
        <f>Assm!S5</f>
        <v>0.3</v>
      </c>
      <c r="I7" s="746">
        <f>Assm!T5</f>
        <v>0.3</v>
      </c>
      <c r="J7" s="839">
        <f>Assm!U5</f>
        <v>0.4</v>
      </c>
      <c r="K7" s="414"/>
      <c r="M7" s="554" t="s">
        <v>1478</v>
      </c>
      <c r="N7" s="11"/>
      <c r="O7" s="11"/>
      <c r="P7" s="11"/>
      <c r="Q7" s="11"/>
      <c r="R7" s="11"/>
      <c r="S7" s="1211"/>
      <c r="T7" s="745">
        <f>H$7</f>
        <v>0.3</v>
      </c>
      <c r="U7" s="746">
        <f>I$7</f>
        <v>0.3</v>
      </c>
      <c r="V7" s="839">
        <f>J$7</f>
        <v>0.4</v>
      </c>
      <c r="W7" s="414"/>
      <c r="Y7" s="15"/>
    </row>
    <row r="8" spans="1:25">
      <c r="A8" s="575" t="s">
        <v>563</v>
      </c>
      <c r="B8" s="31"/>
      <c r="C8" s="31"/>
      <c r="D8" s="31"/>
      <c r="E8" s="31"/>
      <c r="F8" s="31"/>
      <c r="G8" s="750" t="s">
        <v>1370</v>
      </c>
      <c r="H8" s="751" t="s">
        <v>325</v>
      </c>
      <c r="I8" s="752" t="s">
        <v>327</v>
      </c>
      <c r="J8" s="752" t="s">
        <v>328</v>
      </c>
      <c r="K8" s="753" t="s">
        <v>426</v>
      </c>
      <c r="M8" s="20"/>
      <c r="N8" s="15"/>
      <c r="O8" s="15"/>
      <c r="P8" s="15"/>
      <c r="Q8" s="15"/>
      <c r="R8" s="15"/>
      <c r="S8" s="750" t="s">
        <v>567</v>
      </c>
      <c r="T8" s="751" t="str">
        <f>H$8</f>
        <v>Phase I</v>
      </c>
      <c r="U8" s="752" t="str">
        <f>I$8</f>
        <v>Phase II</v>
      </c>
      <c r="V8" s="752" t="str">
        <f>J$8</f>
        <v>Phase III</v>
      </c>
      <c r="W8" s="753" t="str">
        <f>K$8</f>
        <v>Total</v>
      </c>
      <c r="Y8" s="15"/>
    </row>
    <row r="9" spans="1:25">
      <c r="A9" s="20" t="s">
        <v>535</v>
      </c>
      <c r="B9" s="15"/>
      <c r="C9" s="15"/>
      <c r="D9" s="15"/>
      <c r="E9" s="15"/>
      <c r="F9" s="15"/>
      <c r="G9" s="802">
        <v>183361</v>
      </c>
      <c r="H9" s="720">
        <f>$G9*H$7</f>
        <v>55008.299999999996</v>
      </c>
      <c r="I9" s="142">
        <f t="shared" ref="I9:J20" si="0">$G9*I$7</f>
        <v>55008.299999999996</v>
      </c>
      <c r="J9" s="142">
        <f t="shared" si="0"/>
        <v>73344.400000000009</v>
      </c>
      <c r="K9" s="1237">
        <f>SUM(H9:J9)</f>
        <v>183361</v>
      </c>
      <c r="M9" s="20" t="s">
        <v>97</v>
      </c>
      <c r="N9" s="218"/>
      <c r="O9" s="218"/>
      <c r="P9" s="218"/>
      <c r="Q9" s="218"/>
      <c r="R9" s="218"/>
      <c r="S9" s="801">
        <v>26.393000000000001</v>
      </c>
      <c r="T9" s="90">
        <f>$S9*H$7</f>
        <v>7.9178999999999995</v>
      </c>
      <c r="U9" s="37">
        <f>$S9*I$7</f>
        <v>7.9178999999999995</v>
      </c>
      <c r="V9" s="37">
        <f>$S9*J$7</f>
        <v>10.557200000000002</v>
      </c>
      <c r="W9" s="418">
        <f>SUM(T9:V9)</f>
        <v>26.393000000000001</v>
      </c>
      <c r="Y9" s="15"/>
    </row>
    <row r="10" spans="1:25" s="15" customFormat="1">
      <c r="A10" s="20" t="s">
        <v>547</v>
      </c>
      <c r="G10" s="747">
        <f>SUM(G9)</f>
        <v>183361</v>
      </c>
      <c r="H10" s="90">
        <f>SUM(H9)</f>
        <v>55008.299999999996</v>
      </c>
      <c r="I10" s="37">
        <f>SUM(I9)</f>
        <v>55008.299999999996</v>
      </c>
      <c r="J10" s="37">
        <f>SUM(J9)</f>
        <v>73344.400000000009</v>
      </c>
      <c r="K10" s="418">
        <f>SUM(H10:J10)</f>
        <v>183361</v>
      </c>
      <c r="M10" s="20" t="s">
        <v>98</v>
      </c>
      <c r="N10" s="218"/>
      <c r="O10" s="218"/>
      <c r="P10" s="218"/>
      <c r="Q10" s="218"/>
      <c r="R10" s="218"/>
      <c r="S10" s="801">
        <v>447</v>
      </c>
      <c r="T10" s="90">
        <f t="shared" ref="T10:T27" si="1">$S10*H$7</f>
        <v>134.1</v>
      </c>
      <c r="U10" s="37">
        <f t="shared" ref="U10:U27" si="2">$S10*I$7</f>
        <v>134.1</v>
      </c>
      <c r="V10" s="37">
        <f t="shared" ref="V10:V27" si="3">$S10*J$7</f>
        <v>178.8</v>
      </c>
      <c r="W10" s="418">
        <f t="shared" ref="W10:W27" si="4">SUM(T10:V10)</f>
        <v>447</v>
      </c>
    </row>
    <row r="11" spans="1:25" s="218" customFormat="1">
      <c r="A11" s="560"/>
      <c r="G11" s="637"/>
      <c r="H11" s="722"/>
      <c r="K11" s="1238"/>
      <c r="M11" s="20" t="s">
        <v>1464</v>
      </c>
      <c r="S11" s="801">
        <v>355.834</v>
      </c>
      <c r="T11" s="90">
        <f t="shared" si="1"/>
        <v>106.75019999999999</v>
      </c>
      <c r="U11" s="37">
        <f t="shared" si="2"/>
        <v>106.75019999999999</v>
      </c>
      <c r="V11" s="37">
        <f t="shared" si="3"/>
        <v>142.33360000000002</v>
      </c>
      <c r="W11" s="418">
        <f t="shared" si="4"/>
        <v>355.834</v>
      </c>
    </row>
    <row r="12" spans="1:25">
      <c r="A12" s="20" t="s">
        <v>548</v>
      </c>
      <c r="B12" s="15"/>
      <c r="C12" s="15"/>
      <c r="D12" s="15"/>
      <c r="E12" s="15"/>
      <c r="F12" s="15"/>
      <c r="G12" s="801">
        <v>123.768</v>
      </c>
      <c r="H12" s="90">
        <f t="shared" ref="H12:H19" si="5">$G12*H$7</f>
        <v>37.130400000000002</v>
      </c>
      <c r="I12" s="37">
        <f t="shared" si="0"/>
        <v>37.130400000000002</v>
      </c>
      <c r="J12" s="37">
        <f t="shared" si="0"/>
        <v>49.507200000000005</v>
      </c>
      <c r="K12" s="418">
        <f t="shared" ref="K12:K19" si="6">SUM(H12:J12)</f>
        <v>123.768</v>
      </c>
      <c r="M12" s="20" t="s">
        <v>1465</v>
      </c>
      <c r="N12" s="218"/>
      <c r="O12" s="218"/>
      <c r="P12" s="218"/>
      <c r="Q12" s="218"/>
      <c r="R12" s="218"/>
      <c r="S12" s="801">
        <v>96.263000000000005</v>
      </c>
      <c r="T12" s="90">
        <f t="shared" si="1"/>
        <v>28.878900000000002</v>
      </c>
      <c r="U12" s="37">
        <f t="shared" si="2"/>
        <v>28.878900000000002</v>
      </c>
      <c r="V12" s="37">
        <f t="shared" si="3"/>
        <v>38.505200000000002</v>
      </c>
      <c r="W12" s="418">
        <f t="shared" si="4"/>
        <v>96.263000000000005</v>
      </c>
      <c r="Y12" s="15"/>
    </row>
    <row r="13" spans="1:25">
      <c r="A13" s="20" t="s">
        <v>549</v>
      </c>
      <c r="B13" s="15"/>
      <c r="C13" s="15"/>
      <c r="D13" s="15"/>
      <c r="E13" s="15"/>
      <c r="F13" s="15"/>
      <c r="G13" s="801">
        <v>4220</v>
      </c>
      <c r="H13" s="90">
        <f t="shared" si="5"/>
        <v>1266</v>
      </c>
      <c r="I13" s="37">
        <f t="shared" si="0"/>
        <v>1266</v>
      </c>
      <c r="J13" s="37">
        <f t="shared" si="0"/>
        <v>1688</v>
      </c>
      <c r="K13" s="418">
        <f t="shared" si="6"/>
        <v>4220</v>
      </c>
      <c r="M13" s="20" t="s">
        <v>99</v>
      </c>
      <c r="N13" s="218"/>
      <c r="O13" s="218"/>
      <c r="P13" s="218"/>
      <c r="Q13" s="218"/>
      <c r="R13" s="218"/>
      <c r="S13" s="801">
        <v>34.473999999999997</v>
      </c>
      <c r="T13" s="90">
        <f t="shared" si="1"/>
        <v>10.342199999999998</v>
      </c>
      <c r="U13" s="37">
        <f t="shared" si="2"/>
        <v>10.342199999999998</v>
      </c>
      <c r="V13" s="37">
        <f t="shared" si="3"/>
        <v>13.7896</v>
      </c>
      <c r="W13" s="418">
        <f t="shared" si="4"/>
        <v>34.473999999999997</v>
      </c>
      <c r="Y13" s="15"/>
    </row>
    <row r="14" spans="1:25">
      <c r="A14" s="20" t="s">
        <v>550</v>
      </c>
      <c r="B14" s="15"/>
      <c r="C14" s="15"/>
      <c r="D14" s="15"/>
      <c r="E14" s="15"/>
      <c r="F14" s="15"/>
      <c r="G14" s="801">
        <v>84.909000000000006</v>
      </c>
      <c r="H14" s="90">
        <f t="shared" si="5"/>
        <v>25.4727</v>
      </c>
      <c r="I14" s="37">
        <f t="shared" si="0"/>
        <v>25.4727</v>
      </c>
      <c r="J14" s="37">
        <f t="shared" si="0"/>
        <v>33.963600000000007</v>
      </c>
      <c r="K14" s="418">
        <f t="shared" si="6"/>
        <v>84.909000000000006</v>
      </c>
      <c r="M14" s="20" t="s">
        <v>100</v>
      </c>
      <c r="N14" s="218"/>
      <c r="O14" s="218"/>
      <c r="P14" s="218"/>
      <c r="Q14" s="218"/>
      <c r="R14" s="218"/>
      <c r="S14" s="801">
        <v>49.442</v>
      </c>
      <c r="T14" s="90">
        <f t="shared" si="1"/>
        <v>14.832599999999999</v>
      </c>
      <c r="U14" s="37">
        <f t="shared" si="2"/>
        <v>14.832599999999999</v>
      </c>
      <c r="V14" s="37">
        <f t="shared" si="3"/>
        <v>19.776800000000001</v>
      </c>
      <c r="W14" s="418">
        <f t="shared" si="4"/>
        <v>49.442</v>
      </c>
      <c r="Y14" s="15"/>
    </row>
    <row r="15" spans="1:25">
      <c r="A15" s="20" t="s">
        <v>551</v>
      </c>
      <c r="B15" s="15"/>
      <c r="C15" s="15"/>
      <c r="D15" s="15"/>
      <c r="E15" s="15"/>
      <c r="F15" s="15"/>
      <c r="G15" s="801">
        <v>40</v>
      </c>
      <c r="H15" s="90">
        <f t="shared" si="5"/>
        <v>12</v>
      </c>
      <c r="I15" s="37">
        <f t="shared" si="0"/>
        <v>12</v>
      </c>
      <c r="J15" s="37">
        <f t="shared" si="0"/>
        <v>16</v>
      </c>
      <c r="K15" s="418">
        <f t="shared" si="6"/>
        <v>40</v>
      </c>
      <c r="M15" s="20" t="s">
        <v>1466</v>
      </c>
      <c r="N15" s="218"/>
      <c r="O15" s="218"/>
      <c r="P15" s="218"/>
      <c r="Q15" s="218"/>
      <c r="R15" s="218"/>
      <c r="S15" s="801">
        <v>-450</v>
      </c>
      <c r="T15" s="90">
        <f t="shared" si="1"/>
        <v>-135</v>
      </c>
      <c r="U15" s="37">
        <f t="shared" si="2"/>
        <v>-135</v>
      </c>
      <c r="V15" s="37">
        <f t="shared" si="3"/>
        <v>-180</v>
      </c>
      <c r="W15" s="418">
        <f t="shared" si="4"/>
        <v>-450</v>
      </c>
      <c r="Y15" s="15"/>
    </row>
    <row r="16" spans="1:25">
      <c r="A16" s="20" t="s">
        <v>552</v>
      </c>
      <c r="B16" s="15"/>
      <c r="C16" s="15"/>
      <c r="D16" s="15"/>
      <c r="E16" s="15"/>
      <c r="F16" s="15"/>
      <c r="G16" s="801">
        <v>2999.25</v>
      </c>
      <c r="H16" s="90">
        <f t="shared" si="5"/>
        <v>899.77499999999998</v>
      </c>
      <c r="I16" s="37">
        <f t="shared" si="0"/>
        <v>899.77499999999998</v>
      </c>
      <c r="J16" s="37">
        <f t="shared" si="0"/>
        <v>1199.7</v>
      </c>
      <c r="K16" s="418">
        <f t="shared" si="6"/>
        <v>2999.25</v>
      </c>
      <c r="M16" s="20" t="s">
        <v>1467</v>
      </c>
      <c r="N16" s="218"/>
      <c r="O16" s="218"/>
      <c r="P16" s="218"/>
      <c r="Q16" s="218"/>
      <c r="R16" s="218"/>
      <c r="S16" s="801">
        <v>109.72199999999999</v>
      </c>
      <c r="T16" s="90">
        <f t="shared" si="1"/>
        <v>32.916599999999995</v>
      </c>
      <c r="U16" s="37">
        <f t="shared" si="2"/>
        <v>32.916599999999995</v>
      </c>
      <c r="V16" s="37">
        <f t="shared" si="3"/>
        <v>43.888800000000003</v>
      </c>
      <c r="W16" s="418">
        <f t="shared" si="4"/>
        <v>109.72199999999999</v>
      </c>
      <c r="Y16" s="15"/>
    </row>
    <row r="17" spans="1:25">
      <c r="A17" s="20" t="s">
        <v>553</v>
      </c>
      <c r="B17" s="15"/>
      <c r="C17" s="15"/>
      <c r="D17" s="15"/>
      <c r="E17" s="15"/>
      <c r="F17" s="15"/>
      <c r="G17" s="801">
        <v>51</v>
      </c>
      <c r="H17" s="90">
        <f t="shared" si="5"/>
        <v>15.299999999999999</v>
      </c>
      <c r="I17" s="37">
        <f t="shared" si="0"/>
        <v>15.299999999999999</v>
      </c>
      <c r="J17" s="37">
        <f t="shared" si="0"/>
        <v>20.400000000000002</v>
      </c>
      <c r="K17" s="418">
        <f t="shared" si="6"/>
        <v>51</v>
      </c>
      <c r="M17" s="20" t="s">
        <v>1468</v>
      </c>
      <c r="N17" s="218"/>
      <c r="O17" s="218"/>
      <c r="P17" s="218"/>
      <c r="Q17" s="218"/>
      <c r="R17" s="218"/>
      <c r="S17" s="801">
        <v>237.99799999999999</v>
      </c>
      <c r="T17" s="90">
        <f t="shared" si="1"/>
        <v>71.3994</v>
      </c>
      <c r="U17" s="37">
        <f t="shared" si="2"/>
        <v>71.3994</v>
      </c>
      <c r="V17" s="37">
        <f t="shared" si="3"/>
        <v>95.199200000000005</v>
      </c>
      <c r="W17" s="418">
        <f t="shared" si="4"/>
        <v>237.99799999999999</v>
      </c>
      <c r="Y17" s="15"/>
    </row>
    <row r="18" spans="1:25">
      <c r="A18" s="20" t="s">
        <v>554</v>
      </c>
      <c r="B18" s="15"/>
      <c r="C18" s="15"/>
      <c r="D18" s="15"/>
      <c r="E18" s="15"/>
      <c r="F18" s="15"/>
      <c r="G18" s="801">
        <v>500</v>
      </c>
      <c r="H18" s="90">
        <f t="shared" si="5"/>
        <v>150</v>
      </c>
      <c r="I18" s="37">
        <f t="shared" si="0"/>
        <v>150</v>
      </c>
      <c r="J18" s="37">
        <f t="shared" si="0"/>
        <v>200</v>
      </c>
      <c r="K18" s="418">
        <f t="shared" si="6"/>
        <v>500</v>
      </c>
      <c r="M18" s="20" t="s">
        <v>1469</v>
      </c>
      <c r="N18" s="218"/>
      <c r="O18" s="218"/>
      <c r="P18" s="218"/>
      <c r="Q18" s="218"/>
      <c r="R18" s="218"/>
      <c r="S18" s="801">
        <v>298.13200000000001</v>
      </c>
      <c r="T18" s="90">
        <f t="shared" si="1"/>
        <v>89.439599999999999</v>
      </c>
      <c r="U18" s="37">
        <f t="shared" si="2"/>
        <v>89.439599999999999</v>
      </c>
      <c r="V18" s="37">
        <f t="shared" si="3"/>
        <v>119.25280000000001</v>
      </c>
      <c r="W18" s="418">
        <f t="shared" si="4"/>
        <v>298.13200000000001</v>
      </c>
      <c r="Y18" s="15"/>
    </row>
    <row r="19" spans="1:25">
      <c r="A19" s="20" t="s">
        <v>555</v>
      </c>
      <c r="B19" s="15"/>
      <c r="C19" s="15"/>
      <c r="D19" s="15"/>
      <c r="E19" s="15"/>
      <c r="F19" s="15"/>
      <c r="G19" s="801">
        <v>16.3</v>
      </c>
      <c r="H19" s="90">
        <f t="shared" si="5"/>
        <v>4.8899999999999997</v>
      </c>
      <c r="I19" s="37">
        <f t="shared" si="0"/>
        <v>4.8899999999999997</v>
      </c>
      <c r="J19" s="37">
        <f t="shared" si="0"/>
        <v>6.5200000000000005</v>
      </c>
      <c r="K19" s="418">
        <f t="shared" si="6"/>
        <v>16.3</v>
      </c>
      <c r="M19" s="20" t="s">
        <v>1470</v>
      </c>
      <c r="N19" s="218"/>
      <c r="O19" s="218"/>
      <c r="P19" s="218"/>
      <c r="Q19" s="218"/>
      <c r="R19" s="218"/>
      <c r="S19" s="801">
        <v>10012.339</v>
      </c>
      <c r="T19" s="90">
        <f t="shared" si="1"/>
        <v>3003.7017000000001</v>
      </c>
      <c r="U19" s="37">
        <f t="shared" si="2"/>
        <v>3003.7017000000001</v>
      </c>
      <c r="V19" s="37">
        <f t="shared" si="3"/>
        <v>4004.9356000000002</v>
      </c>
      <c r="W19" s="418">
        <f t="shared" si="4"/>
        <v>10012.339</v>
      </c>
      <c r="Y19" s="15"/>
    </row>
    <row r="20" spans="1:25">
      <c r="A20" s="20" t="s">
        <v>556</v>
      </c>
      <c r="B20" s="15"/>
      <c r="C20" s="15"/>
      <c r="D20" s="15"/>
      <c r="E20" s="15"/>
      <c r="F20" s="15"/>
      <c r="G20" s="802">
        <v>6</v>
      </c>
      <c r="H20" s="720">
        <f>$G20*H$7</f>
        <v>1.7999999999999998</v>
      </c>
      <c r="I20" s="142">
        <f t="shared" si="0"/>
        <v>1.7999999999999998</v>
      </c>
      <c r="J20" s="142">
        <f t="shared" si="0"/>
        <v>2.4000000000000004</v>
      </c>
      <c r="K20" s="419">
        <f>SUM(H20:J20)</f>
        <v>6</v>
      </c>
      <c r="M20" s="20" t="s">
        <v>1471</v>
      </c>
      <c r="N20" s="218"/>
      <c r="O20" s="218"/>
      <c r="P20" s="218"/>
      <c r="Q20" s="218"/>
      <c r="R20" s="218"/>
      <c r="S20" s="801">
        <v>509.464</v>
      </c>
      <c r="T20" s="90">
        <f t="shared" si="1"/>
        <v>152.83920000000001</v>
      </c>
      <c r="U20" s="37">
        <f t="shared" si="2"/>
        <v>152.83920000000001</v>
      </c>
      <c r="V20" s="37">
        <f t="shared" si="3"/>
        <v>203.78560000000002</v>
      </c>
      <c r="W20" s="418">
        <f t="shared" si="4"/>
        <v>509.46400000000006</v>
      </c>
      <c r="Y20" s="15"/>
    </row>
    <row r="21" spans="1:25" s="15" customFormat="1">
      <c r="A21" s="20" t="s">
        <v>557</v>
      </c>
      <c r="G21" s="747">
        <f>SUM(G12:G20)</f>
        <v>8041.2269999999999</v>
      </c>
      <c r="H21" s="90">
        <f>SUM(H12:H20)</f>
        <v>2412.3681000000001</v>
      </c>
      <c r="I21" s="37">
        <f>SUM(I12:I20)</f>
        <v>2412.3681000000001</v>
      </c>
      <c r="J21" s="37">
        <f>SUM(J12:J20)</f>
        <v>3216.4908</v>
      </c>
      <c r="K21" s="418">
        <f>SUM(H21:J21)</f>
        <v>8041.2270000000008</v>
      </c>
      <c r="M21" s="20" t="s">
        <v>1472</v>
      </c>
      <c r="N21" s="218"/>
      <c r="O21" s="218"/>
      <c r="P21" s="218"/>
      <c r="Q21" s="218"/>
      <c r="R21" s="218"/>
      <c r="S21" s="801">
        <v>29.88</v>
      </c>
      <c r="T21" s="90">
        <f t="shared" si="1"/>
        <v>8.9639999999999986</v>
      </c>
      <c r="U21" s="37">
        <f t="shared" si="2"/>
        <v>8.9639999999999986</v>
      </c>
      <c r="V21" s="37">
        <f t="shared" si="3"/>
        <v>11.952</v>
      </c>
      <c r="W21" s="418">
        <f t="shared" si="4"/>
        <v>29.879999999999995</v>
      </c>
    </row>
    <row r="22" spans="1:25" s="218" customFormat="1">
      <c r="A22" s="560"/>
      <c r="G22" s="637"/>
      <c r="H22" s="722"/>
      <c r="K22" s="1238"/>
      <c r="M22" s="20" t="s">
        <v>1473</v>
      </c>
      <c r="S22" s="801">
        <v>47.648000000000003</v>
      </c>
      <c r="T22" s="90">
        <f t="shared" si="1"/>
        <v>14.294400000000001</v>
      </c>
      <c r="U22" s="37">
        <f t="shared" si="2"/>
        <v>14.294400000000001</v>
      </c>
      <c r="V22" s="37">
        <f t="shared" si="3"/>
        <v>19.059200000000001</v>
      </c>
      <c r="W22" s="418">
        <f t="shared" si="4"/>
        <v>47.648000000000003</v>
      </c>
    </row>
    <row r="23" spans="1:25">
      <c r="A23" s="20" t="s">
        <v>558</v>
      </c>
      <c r="B23" s="15"/>
      <c r="C23" s="15"/>
      <c r="D23" s="15"/>
      <c r="E23" s="15"/>
      <c r="F23" s="15"/>
      <c r="G23" s="801">
        <v>500</v>
      </c>
      <c r="H23" s="90">
        <f t="shared" ref="H23:J33" si="7">$G23*H$7</f>
        <v>150</v>
      </c>
      <c r="I23" s="37">
        <f t="shared" si="7"/>
        <v>150</v>
      </c>
      <c r="J23" s="37">
        <f t="shared" si="7"/>
        <v>200</v>
      </c>
      <c r="K23" s="418">
        <f t="shared" ref="K23:K33" si="8">SUM(H23:J23)</f>
        <v>500</v>
      </c>
      <c r="M23" s="20" t="s">
        <v>1474</v>
      </c>
      <c r="N23" s="218"/>
      <c r="O23" s="218"/>
      <c r="P23" s="218"/>
      <c r="Q23" s="218"/>
      <c r="R23" s="218"/>
      <c r="S23" s="801">
        <v>125.626</v>
      </c>
      <c r="T23" s="90">
        <f t="shared" si="1"/>
        <v>37.687800000000003</v>
      </c>
      <c r="U23" s="37">
        <f t="shared" si="2"/>
        <v>37.687800000000003</v>
      </c>
      <c r="V23" s="37">
        <f t="shared" si="3"/>
        <v>50.250400000000006</v>
      </c>
      <c r="W23" s="418">
        <f t="shared" si="4"/>
        <v>125.626</v>
      </c>
      <c r="Y23" s="15"/>
    </row>
    <row r="24" spans="1:25">
      <c r="A24" s="20" t="s">
        <v>559</v>
      </c>
      <c r="B24" s="15"/>
      <c r="C24" s="15"/>
      <c r="D24" s="15"/>
      <c r="E24" s="15"/>
      <c r="F24" s="15"/>
      <c r="G24" s="801">
        <v>15</v>
      </c>
      <c r="H24" s="90">
        <f t="shared" si="7"/>
        <v>4.5</v>
      </c>
      <c r="I24" s="37">
        <f t="shared" si="7"/>
        <v>4.5</v>
      </c>
      <c r="J24" s="37">
        <f t="shared" si="7"/>
        <v>6</v>
      </c>
      <c r="K24" s="418">
        <f>SUM(H24:J24)</f>
        <v>15</v>
      </c>
      <c r="M24" s="20" t="s">
        <v>1475</v>
      </c>
      <c r="N24" s="218"/>
      <c r="O24" s="218"/>
      <c r="P24" s="218"/>
      <c r="Q24" s="218"/>
      <c r="R24" s="218"/>
      <c r="S24" s="801">
        <v>21.873000000000001</v>
      </c>
      <c r="T24" s="90">
        <f t="shared" ref="T24:V26" si="9">$S24*H$7</f>
        <v>6.5619000000000005</v>
      </c>
      <c r="U24" s="37">
        <f t="shared" si="9"/>
        <v>6.5619000000000005</v>
      </c>
      <c r="V24" s="37">
        <f t="shared" si="9"/>
        <v>8.7492000000000001</v>
      </c>
      <c r="W24" s="418">
        <f>SUM(T24:V24)</f>
        <v>21.873000000000001</v>
      </c>
      <c r="Y24" s="15"/>
    </row>
    <row r="25" spans="1:25">
      <c r="A25" s="20" t="s">
        <v>538</v>
      </c>
      <c r="B25" s="15"/>
      <c r="C25" s="15"/>
      <c r="D25" s="15"/>
      <c r="E25" s="15"/>
      <c r="F25" s="15"/>
      <c r="G25" s="801">
        <v>600</v>
      </c>
      <c r="H25" s="90">
        <f t="shared" si="7"/>
        <v>180</v>
      </c>
      <c r="I25" s="37">
        <f t="shared" si="7"/>
        <v>180</v>
      </c>
      <c r="J25" s="37">
        <f t="shared" si="7"/>
        <v>240</v>
      </c>
      <c r="K25" s="418">
        <f t="shared" si="8"/>
        <v>600</v>
      </c>
      <c r="M25" s="20" t="s">
        <v>1120</v>
      </c>
      <c r="N25" s="218"/>
      <c r="O25" s="218"/>
      <c r="P25" s="218"/>
      <c r="Q25" s="218"/>
      <c r="R25" s="218"/>
      <c r="S25" s="801">
        <v>1085</v>
      </c>
      <c r="T25" s="90">
        <f>$S25*H$7</f>
        <v>325.5</v>
      </c>
      <c r="U25" s="37">
        <f>$S25*I$7</f>
        <v>325.5</v>
      </c>
      <c r="V25" s="37">
        <f>$S25*J$7</f>
        <v>434</v>
      </c>
      <c r="W25" s="418">
        <f>SUM(T25:V25)</f>
        <v>1085</v>
      </c>
      <c r="Y25" s="15"/>
    </row>
    <row r="26" spans="1:25">
      <c r="A26" s="20" t="s">
        <v>539</v>
      </c>
      <c r="B26" s="15"/>
      <c r="C26" s="15"/>
      <c r="D26" s="15"/>
      <c r="E26" s="15"/>
      <c r="F26" s="15"/>
      <c r="G26" s="802">
        <v>14365.566999999999</v>
      </c>
      <c r="H26" s="720">
        <f t="shared" si="7"/>
        <v>4309.6700999999994</v>
      </c>
      <c r="I26" s="142">
        <f t="shared" si="7"/>
        <v>4309.6700999999994</v>
      </c>
      <c r="J26" s="142">
        <f t="shared" si="7"/>
        <v>5746.2268000000004</v>
      </c>
      <c r="K26" s="419">
        <f t="shared" si="8"/>
        <v>14365.566999999999</v>
      </c>
      <c r="M26" s="20" t="s">
        <v>1476</v>
      </c>
      <c r="N26" s="218"/>
      <c r="O26" s="218"/>
      <c r="P26" s="218"/>
      <c r="Q26" s="218"/>
      <c r="R26" s="218"/>
      <c r="S26" s="801">
        <v>50.67</v>
      </c>
      <c r="T26" s="90">
        <f t="shared" si="9"/>
        <v>15.201000000000001</v>
      </c>
      <c r="U26" s="37">
        <f t="shared" si="9"/>
        <v>15.201000000000001</v>
      </c>
      <c r="V26" s="37">
        <f t="shared" si="9"/>
        <v>20.268000000000001</v>
      </c>
      <c r="W26" s="418">
        <f>SUM(T26:V26)</f>
        <v>50.67</v>
      </c>
      <c r="Y26" s="15"/>
    </row>
    <row r="27" spans="1:25" s="15" customFormat="1">
      <c r="A27" s="20" t="s">
        <v>560</v>
      </c>
      <c r="G27" s="747">
        <f>SUM(G23:G26)</f>
        <v>15480.566999999999</v>
      </c>
      <c r="H27" s="90">
        <f>SUM(H23:H26)</f>
        <v>4644.1700999999994</v>
      </c>
      <c r="I27" s="37">
        <f>SUM(I23:I26)</f>
        <v>4644.1700999999994</v>
      </c>
      <c r="J27" s="37">
        <f>SUM(J23:J26)</f>
        <v>6192.2268000000004</v>
      </c>
      <c r="K27" s="418">
        <f>SUM(H27:J27)</f>
        <v>15480.566999999999</v>
      </c>
      <c r="M27" s="20" t="s">
        <v>1477</v>
      </c>
      <c r="N27" s="218"/>
      <c r="O27" s="218"/>
      <c r="P27" s="218"/>
      <c r="Q27" s="218"/>
      <c r="R27" s="218"/>
      <c r="S27" s="801">
        <v>100</v>
      </c>
      <c r="T27" s="90">
        <f t="shared" si="1"/>
        <v>30</v>
      </c>
      <c r="U27" s="37">
        <f t="shared" si="2"/>
        <v>30</v>
      </c>
      <c r="V27" s="37">
        <f t="shared" si="3"/>
        <v>40</v>
      </c>
      <c r="W27" s="418">
        <f t="shared" si="4"/>
        <v>100</v>
      </c>
    </row>
    <row r="28" spans="1:25" s="218" customFormat="1">
      <c r="A28" s="560"/>
      <c r="G28" s="637"/>
      <c r="H28" s="722"/>
      <c r="K28" s="1238"/>
      <c r="M28" s="20" t="s">
        <v>1121</v>
      </c>
      <c r="S28" s="801">
        <v>9.4619999999999997</v>
      </c>
      <c r="T28" s="90">
        <f t="shared" ref="T28:V29" si="10">$S28*H$7</f>
        <v>2.8386</v>
      </c>
      <c r="U28" s="37">
        <f t="shared" si="10"/>
        <v>2.8386</v>
      </c>
      <c r="V28" s="37">
        <f t="shared" si="10"/>
        <v>3.7848000000000002</v>
      </c>
      <c r="W28" s="418">
        <f>SUM(T28:V28)</f>
        <v>9.4619999999999997</v>
      </c>
    </row>
    <row r="29" spans="1:25">
      <c r="A29" s="20" t="s">
        <v>536</v>
      </c>
      <c r="B29" s="15"/>
      <c r="C29" s="15"/>
      <c r="D29" s="15"/>
      <c r="E29" s="15"/>
      <c r="F29" s="15"/>
      <c r="G29" s="801">
        <v>394.91300000000001</v>
      </c>
      <c r="H29" s="90">
        <f>$G29*H$7</f>
        <v>118.4739</v>
      </c>
      <c r="I29" s="37">
        <f>$G29*I$7</f>
        <v>118.4739</v>
      </c>
      <c r="J29" s="37">
        <f>$G29*J$7</f>
        <v>157.96520000000001</v>
      </c>
      <c r="K29" s="418">
        <f>SUM(H29:J29)</f>
        <v>394.91300000000001</v>
      </c>
      <c r="M29" s="20" t="s">
        <v>1122</v>
      </c>
      <c r="N29" s="218"/>
      <c r="O29" s="218"/>
      <c r="P29" s="218"/>
      <c r="Q29" s="218"/>
      <c r="R29" s="218"/>
      <c r="S29" s="801">
        <v>3.238</v>
      </c>
      <c r="T29" s="90">
        <f t="shared" si="10"/>
        <v>0.97139999999999993</v>
      </c>
      <c r="U29" s="37">
        <f t="shared" si="10"/>
        <v>0.97139999999999993</v>
      </c>
      <c r="V29" s="37">
        <f t="shared" si="10"/>
        <v>1.2952000000000001</v>
      </c>
      <c r="W29" s="418">
        <f>SUM(T29:V29)</f>
        <v>3.238</v>
      </c>
      <c r="Y29" s="15"/>
    </row>
    <row r="30" spans="1:25" ht="13.5" thickBot="1">
      <c r="A30" s="20" t="s">
        <v>540</v>
      </c>
      <c r="B30" s="15"/>
      <c r="C30" s="15"/>
      <c r="D30" s="15"/>
      <c r="E30" s="15"/>
      <c r="F30" s="15"/>
      <c r="G30" s="801">
        <v>2921.7919999999999</v>
      </c>
      <c r="H30" s="90">
        <f t="shared" si="7"/>
        <v>876.5376</v>
      </c>
      <c r="I30" s="37">
        <f t="shared" si="7"/>
        <v>876.5376</v>
      </c>
      <c r="J30" s="37">
        <f t="shared" si="7"/>
        <v>1168.7167999999999</v>
      </c>
      <c r="K30" s="418">
        <f t="shared" si="8"/>
        <v>2921.7919999999999</v>
      </c>
      <c r="M30" s="48" t="s">
        <v>1187</v>
      </c>
      <c r="N30" s="49"/>
      <c r="O30" s="49"/>
      <c r="P30" s="49"/>
      <c r="Q30" s="49"/>
      <c r="R30" s="49"/>
      <c r="S30" s="748">
        <f>SUM(S9:S29)</f>
        <v>13200.457999999997</v>
      </c>
      <c r="T30" s="647">
        <f>SUM(T9:T29)</f>
        <v>3960.1374000000005</v>
      </c>
      <c r="U30" s="51">
        <f>SUM(U9:U29)</f>
        <v>3960.1374000000005</v>
      </c>
      <c r="V30" s="51">
        <v>3630.8274000000006</v>
      </c>
      <c r="W30" s="749">
        <f>SUM(T30:V30)</f>
        <v>11551.102200000001</v>
      </c>
      <c r="Y30" s="15"/>
    </row>
    <row r="31" spans="1:25" ht="13.5" thickBot="1">
      <c r="A31" s="20" t="s">
        <v>541</v>
      </c>
      <c r="B31" s="15"/>
      <c r="C31" s="15"/>
      <c r="D31" s="15"/>
      <c r="E31" s="15"/>
      <c r="F31" s="15"/>
      <c r="G31" s="801">
        <v>5096.75</v>
      </c>
      <c r="H31" s="90">
        <f t="shared" si="7"/>
        <v>1529.0249999999999</v>
      </c>
      <c r="I31" s="37">
        <f t="shared" si="7"/>
        <v>1529.0249999999999</v>
      </c>
      <c r="J31" s="37">
        <f t="shared" si="7"/>
        <v>2038.7</v>
      </c>
      <c r="K31" s="418">
        <f t="shared" si="8"/>
        <v>5096.75</v>
      </c>
      <c r="M31" s="15"/>
      <c r="Y31" s="15"/>
    </row>
    <row r="32" spans="1:25">
      <c r="A32" s="20" t="s">
        <v>537</v>
      </c>
      <c r="B32" s="15"/>
      <c r="C32" s="15"/>
      <c r="D32" s="15"/>
      <c r="E32" s="15"/>
      <c r="F32" s="15"/>
      <c r="G32" s="801">
        <v>45</v>
      </c>
      <c r="H32" s="90">
        <f>$G32*H$7</f>
        <v>13.5</v>
      </c>
      <c r="I32" s="37">
        <f>$G32*I$7</f>
        <v>13.5</v>
      </c>
      <c r="J32" s="37">
        <f>$G32*J$7</f>
        <v>18</v>
      </c>
      <c r="K32" s="418">
        <f>SUM(H32:J32)</f>
        <v>45</v>
      </c>
      <c r="M32" s="554" t="s">
        <v>1479</v>
      </c>
      <c r="N32" s="11"/>
      <c r="O32" s="11"/>
      <c r="P32" s="11"/>
      <c r="Q32" s="11"/>
      <c r="R32" s="11"/>
      <c r="S32" s="1211"/>
      <c r="T32" s="745">
        <f>H$7</f>
        <v>0.3</v>
      </c>
      <c r="U32" s="746">
        <f>I$7</f>
        <v>0.3</v>
      </c>
      <c r="V32" s="839">
        <f>J$7</f>
        <v>0.4</v>
      </c>
      <c r="W32" s="414"/>
      <c r="Y32" s="15"/>
    </row>
    <row r="33" spans="1:26">
      <c r="A33" s="20" t="s">
        <v>511</v>
      </c>
      <c r="B33" s="15"/>
      <c r="C33" s="15"/>
      <c r="D33" s="15"/>
      <c r="E33" s="15"/>
      <c r="F33" s="15"/>
      <c r="G33" s="802">
        <v>7881.134</v>
      </c>
      <c r="H33" s="720">
        <f t="shared" si="7"/>
        <v>2364.3402000000001</v>
      </c>
      <c r="I33" s="142">
        <f t="shared" si="7"/>
        <v>2364.3402000000001</v>
      </c>
      <c r="J33" s="142">
        <f t="shared" si="7"/>
        <v>3152.4536000000003</v>
      </c>
      <c r="K33" s="419">
        <f t="shared" si="8"/>
        <v>7881.134</v>
      </c>
      <c r="M33" s="20"/>
      <c r="N33" s="15"/>
      <c r="O33" s="15"/>
      <c r="P33" s="15"/>
      <c r="Q33" s="15"/>
      <c r="R33" s="15"/>
      <c r="S33" s="750" t="s">
        <v>567</v>
      </c>
      <c r="T33" s="751" t="str">
        <f>H$8</f>
        <v>Phase I</v>
      </c>
      <c r="U33" s="752" t="str">
        <f>I$8</f>
        <v>Phase II</v>
      </c>
      <c r="V33" s="752" t="str">
        <f>J$8</f>
        <v>Phase III</v>
      </c>
      <c r="W33" s="753" t="str">
        <f>K$8</f>
        <v>Total</v>
      </c>
      <c r="Y33" s="15"/>
    </row>
    <row r="34" spans="1:26">
      <c r="A34" s="20" t="s">
        <v>561</v>
      </c>
      <c r="B34" s="15"/>
      <c r="C34" s="15"/>
      <c r="D34" s="15"/>
      <c r="E34" s="15"/>
      <c r="F34" s="15"/>
      <c r="G34" s="747">
        <f>SUM(G29:G33)</f>
        <v>16339.589</v>
      </c>
      <c r="H34" s="90">
        <f>SUM(H29:H33)</f>
        <v>4901.8766999999998</v>
      </c>
      <c r="I34" s="37">
        <f>SUM(I29:I33)</f>
        <v>4901.8766999999998</v>
      </c>
      <c r="J34" s="37">
        <f>SUM(J29:J33)</f>
        <v>6535.8356000000003</v>
      </c>
      <c r="K34" s="418">
        <f>SUM(H34:J34)</f>
        <v>16339.589</v>
      </c>
      <c r="M34" s="20" t="s">
        <v>1123</v>
      </c>
      <c r="N34" s="218"/>
      <c r="O34" s="218"/>
      <c r="P34" s="218"/>
      <c r="Q34" s="218"/>
      <c r="R34" s="1696"/>
      <c r="S34" s="1687">
        <v>1008</v>
      </c>
      <c r="T34" s="90">
        <f t="shared" ref="T34:V36" si="11">$S34*H$7</f>
        <v>302.39999999999998</v>
      </c>
      <c r="U34" s="37">
        <f t="shared" si="11"/>
        <v>302.39999999999998</v>
      </c>
      <c r="V34" s="37">
        <f t="shared" si="11"/>
        <v>403.20000000000005</v>
      </c>
      <c r="W34" s="418">
        <f>SUM(T34:V34)</f>
        <v>1008</v>
      </c>
      <c r="Y34" s="15"/>
    </row>
    <row r="35" spans="1:26" s="218" customFormat="1">
      <c r="A35" s="560"/>
      <c r="G35" s="637"/>
      <c r="H35" s="722"/>
      <c r="K35" s="1238"/>
      <c r="M35" s="20" t="s">
        <v>1125</v>
      </c>
      <c r="R35" s="1696"/>
      <c r="S35" s="801">
        <v>1450</v>
      </c>
      <c r="T35" s="90">
        <f t="shared" si="11"/>
        <v>435</v>
      </c>
      <c r="U35" s="37">
        <f t="shared" si="11"/>
        <v>435</v>
      </c>
      <c r="V35" s="37">
        <f t="shared" si="11"/>
        <v>580</v>
      </c>
      <c r="W35" s="418">
        <f>SUM(T35:V35)</f>
        <v>1450</v>
      </c>
    </row>
    <row r="36" spans="1:26">
      <c r="A36" s="20" t="s">
        <v>542</v>
      </c>
      <c r="B36" s="15"/>
      <c r="C36" s="15"/>
      <c r="D36" s="15"/>
      <c r="E36" s="15"/>
      <c r="F36" s="15"/>
      <c r="G36" s="802">
        <v>15244</v>
      </c>
      <c r="H36" s="720">
        <f>$G36*H$7</f>
        <v>4573.2</v>
      </c>
      <c r="I36" s="142">
        <f>$G36*I$7</f>
        <v>4573.2</v>
      </c>
      <c r="J36" s="142">
        <f>$G36*J$7</f>
        <v>6097.6</v>
      </c>
      <c r="K36" s="419">
        <f>SUM(H36:J36)</f>
        <v>15244</v>
      </c>
      <c r="M36" s="20" t="s">
        <v>1124</v>
      </c>
      <c r="N36" s="218"/>
      <c r="O36" s="218"/>
      <c r="P36" s="218"/>
      <c r="Q36" s="218"/>
      <c r="R36" s="1696"/>
      <c r="S36" s="1688">
        <f>RAROC!B120</f>
        <v>1615</v>
      </c>
      <c r="T36" s="720">
        <f t="shared" si="11"/>
        <v>484.5</v>
      </c>
      <c r="U36" s="142">
        <f t="shared" si="11"/>
        <v>484.5</v>
      </c>
      <c r="V36" s="142">
        <f t="shared" si="11"/>
        <v>646</v>
      </c>
      <c r="W36" s="419">
        <f>SUM(T36:V36)</f>
        <v>1615</v>
      </c>
      <c r="X36" s="218"/>
      <c r="Y36" s="218"/>
      <c r="Z36" s="218"/>
    </row>
    <row r="37" spans="1:26" ht="13.5" thickBot="1">
      <c r="A37" s="20" t="s">
        <v>562</v>
      </c>
      <c r="B37" s="15"/>
      <c r="C37" s="15"/>
      <c r="D37" s="15"/>
      <c r="E37" s="15"/>
      <c r="F37" s="15"/>
      <c r="G37" s="747">
        <f>SUM(G36:G36)</f>
        <v>15244</v>
      </c>
      <c r="H37" s="90">
        <f>SUM(H36:H36)</f>
        <v>4573.2</v>
      </c>
      <c r="I37" s="37">
        <f>SUM(I36:I36)</f>
        <v>4573.2</v>
      </c>
      <c r="J37" s="37">
        <f>SUM(J36:J36)</f>
        <v>6097.6</v>
      </c>
      <c r="K37" s="418">
        <f>SUM(H37:J37)</f>
        <v>15244</v>
      </c>
      <c r="M37" s="48" t="s">
        <v>1187</v>
      </c>
      <c r="N37" s="49"/>
      <c r="O37" s="49"/>
      <c r="P37" s="49"/>
      <c r="Q37" s="51"/>
      <c r="R37" s="49"/>
      <c r="S37" s="748">
        <f>SUM(S34:S36)</f>
        <v>4073</v>
      </c>
      <c r="T37" s="647">
        <f>SUM(T34:T36)</f>
        <v>1221.9000000000001</v>
      </c>
      <c r="U37" s="51">
        <f>SUM(U34:U36)</f>
        <v>1221.9000000000001</v>
      </c>
      <c r="V37" s="51">
        <f>SUM(V34:V36)</f>
        <v>1629.2</v>
      </c>
      <c r="W37" s="749">
        <f>SUM(T37:V37)</f>
        <v>4073</v>
      </c>
      <c r="X37" s="218"/>
      <c r="Y37" s="218"/>
      <c r="Z37" s="218"/>
    </row>
    <row r="38" spans="1:26" s="218" customFormat="1" ht="13.5" thickBot="1">
      <c r="A38" s="560"/>
      <c r="G38" s="637"/>
      <c r="H38" s="722"/>
      <c r="K38" s="1238"/>
      <c r="M38" s="15"/>
      <c r="N38" s="7"/>
      <c r="O38" s="7"/>
      <c r="P38" s="7"/>
      <c r="Q38" s="1560"/>
      <c r="R38" s="7"/>
      <c r="S38" s="7"/>
      <c r="T38" s="7"/>
      <c r="U38" s="7"/>
      <c r="V38" s="7"/>
      <c r="W38" s="7"/>
    </row>
    <row r="39" spans="1:26" ht="13.5" thickBot="1">
      <c r="A39" s="1210" t="s">
        <v>326</v>
      </c>
      <c r="B39" s="1239"/>
      <c r="C39" s="1239"/>
      <c r="D39" s="1239"/>
      <c r="E39" s="1239"/>
      <c r="F39" s="1239"/>
      <c r="G39" s="1240">
        <f>SUM(G10,G21,G27,G34,G37)</f>
        <v>238466.38300000003</v>
      </c>
      <c r="H39" s="1241">
        <f>SUM(H10,H21,H27,H34,H37)</f>
        <v>71539.914899999989</v>
      </c>
      <c r="I39" s="1242">
        <f>SUM(I10,I21,I27,I34,I37)</f>
        <v>71539.914899999989</v>
      </c>
      <c r="J39" s="1242">
        <f>SUM(J10,J21,J27,J34,J37)</f>
        <v>95386.553200000024</v>
      </c>
      <c r="K39" s="1243">
        <f>SUM(H39:J39)</f>
        <v>238466.383</v>
      </c>
      <c r="M39" s="554" t="s">
        <v>1185</v>
      </c>
      <c r="N39" s="11"/>
      <c r="O39" s="11"/>
      <c r="P39" s="11"/>
      <c r="Q39" s="11"/>
      <c r="R39" s="11"/>
      <c r="S39" s="1393" t="s">
        <v>1140</v>
      </c>
      <c r="T39" s="1395" t="s">
        <v>1784</v>
      </c>
      <c r="U39" s="1399" t="s">
        <v>1141</v>
      </c>
      <c r="V39" s="1395" t="s">
        <v>1143</v>
      </c>
      <c r="W39" s="1401" t="s">
        <v>1151</v>
      </c>
      <c r="X39" s="218"/>
      <c r="Y39" s="218"/>
      <c r="Z39" s="218"/>
    </row>
    <row r="40" spans="1:26">
      <c r="A40" s="15"/>
      <c r="B40" s="15"/>
      <c r="C40" s="15"/>
      <c r="D40" s="15"/>
      <c r="E40" s="15"/>
      <c r="F40" s="15"/>
      <c r="G40" s="37"/>
      <c r="H40" s="37"/>
      <c r="I40" s="37"/>
      <c r="J40" s="37"/>
      <c r="K40" s="37"/>
      <c r="M40" s="456" t="s">
        <v>513</v>
      </c>
      <c r="N40" s="15"/>
      <c r="O40" s="15"/>
      <c r="P40" s="15"/>
      <c r="Q40" s="15"/>
      <c r="R40" s="15"/>
      <c r="S40" s="1394" t="s">
        <v>993</v>
      </c>
      <c r="T40" s="1396" t="s">
        <v>993</v>
      </c>
      <c r="U40" s="751" t="s">
        <v>1142</v>
      </c>
      <c r="V40" s="752" t="s">
        <v>468</v>
      </c>
      <c r="W40" s="753" t="s">
        <v>1142</v>
      </c>
      <c r="X40" s="218"/>
      <c r="Y40" s="218"/>
      <c r="Z40" s="218"/>
    </row>
    <row r="41" spans="1:26">
      <c r="A41" s="15"/>
      <c r="B41" s="15"/>
      <c r="C41" s="15"/>
      <c r="D41" s="15"/>
      <c r="E41" s="15"/>
      <c r="F41" s="15"/>
      <c r="G41" s="37"/>
      <c r="H41" s="37"/>
      <c r="I41" s="37"/>
      <c r="J41" s="37"/>
      <c r="K41" s="37"/>
      <c r="M41" s="20" t="s">
        <v>1095</v>
      </c>
      <c r="N41" s="15"/>
      <c r="O41" s="15"/>
      <c r="Q41" s="44" t="s">
        <v>1145</v>
      </c>
      <c r="R41" s="777">
        <v>0</v>
      </c>
      <c r="S41" s="825">
        <f>H76*R41</f>
        <v>0</v>
      </c>
      <c r="T41" s="57">
        <f>N113</f>
        <v>4742.3300000000008</v>
      </c>
      <c r="U41" s="90">
        <f>S41-T41</f>
        <v>-4742.3300000000008</v>
      </c>
      <c r="V41" s="1400">
        <v>0.5</v>
      </c>
      <c r="W41" s="418">
        <f>V41*U41</f>
        <v>-2371.1650000000004</v>
      </c>
      <c r="X41" s="218"/>
      <c r="Y41" s="218"/>
      <c r="Z41" s="218"/>
    </row>
    <row r="42" spans="1:26">
      <c r="A42" s="15"/>
      <c r="B42" s="15"/>
      <c r="C42" s="15"/>
      <c r="D42" s="15"/>
      <c r="E42" s="15"/>
      <c r="F42" s="15"/>
      <c r="G42" s="37"/>
      <c r="H42" s="37"/>
      <c r="I42" s="37"/>
      <c r="J42" s="37"/>
      <c r="K42" s="37"/>
      <c r="M42" s="20" t="s">
        <v>1096</v>
      </c>
      <c r="N42" s="15"/>
      <c r="O42" s="15"/>
      <c r="Q42" s="44" t="s">
        <v>1144</v>
      </c>
      <c r="R42" s="777">
        <v>1</v>
      </c>
      <c r="S42" s="825">
        <f>K76*R42</f>
        <v>2956.5554375000002</v>
      </c>
      <c r="T42" s="57">
        <f>M113</f>
        <v>2086.7700000000004</v>
      </c>
      <c r="U42" s="90">
        <f t="shared" ref="U42:U49" si="12">S42-T42</f>
        <v>869.78543749999972</v>
      </c>
      <c r="V42" s="1400">
        <v>0.5</v>
      </c>
      <c r="W42" s="418">
        <f t="shared" ref="W42:W49" si="13">V42*U42</f>
        <v>434.89271874999986</v>
      </c>
      <c r="X42" s="218"/>
      <c r="Y42" s="218"/>
      <c r="Z42" s="218"/>
    </row>
    <row r="43" spans="1:26">
      <c r="A43" s="15"/>
      <c r="B43" s="15"/>
      <c r="C43" s="15"/>
      <c r="D43" s="15"/>
      <c r="E43" s="15"/>
      <c r="F43" s="15"/>
      <c r="G43" s="37"/>
      <c r="H43" s="37"/>
      <c r="I43" s="37"/>
      <c r="J43" s="37"/>
      <c r="K43" s="37"/>
      <c r="M43" s="20" t="s">
        <v>1043</v>
      </c>
      <c r="N43" s="15"/>
      <c r="O43" s="15"/>
      <c r="Q43" s="44" t="s">
        <v>311</v>
      </c>
      <c r="R43" s="777">
        <v>1</v>
      </c>
      <c r="S43" s="825">
        <f>M76*R43</f>
        <v>438.99974999999989</v>
      </c>
      <c r="T43" s="1397">
        <v>0</v>
      </c>
      <c r="U43" s="90">
        <f t="shared" si="12"/>
        <v>438.99974999999989</v>
      </c>
      <c r="V43" s="1400">
        <v>1</v>
      </c>
      <c r="W43" s="418">
        <f t="shared" si="13"/>
        <v>438.99974999999989</v>
      </c>
      <c r="X43" s="218"/>
      <c r="Y43" s="218"/>
      <c r="Z43" s="218"/>
    </row>
    <row r="44" spans="1:26">
      <c r="A44" s="15"/>
      <c r="B44" s="15"/>
      <c r="C44" s="15"/>
      <c r="D44" s="15"/>
      <c r="E44" s="15"/>
      <c r="F44" s="15"/>
      <c r="G44" s="37"/>
      <c r="H44" s="37"/>
      <c r="I44" s="37"/>
      <c r="J44" s="37"/>
      <c r="K44" s="37"/>
      <c r="M44" s="20" t="s">
        <v>1094</v>
      </c>
      <c r="N44" s="15"/>
      <c r="O44" s="15"/>
      <c r="P44" s="15"/>
      <c r="Q44" s="44" t="s">
        <v>311</v>
      </c>
      <c r="R44" s="777">
        <v>0</v>
      </c>
      <c r="S44" s="825">
        <f>P76*R44</f>
        <v>0</v>
      </c>
      <c r="T44" s="57">
        <f>L113</f>
        <v>2661.49</v>
      </c>
      <c r="U44" s="90">
        <f t="shared" si="12"/>
        <v>-2661.49</v>
      </c>
      <c r="V44" s="1400">
        <v>1</v>
      </c>
      <c r="W44" s="418">
        <f t="shared" si="13"/>
        <v>-2661.49</v>
      </c>
      <c r="X44" s="218"/>
      <c r="Y44" s="218"/>
      <c r="Z44" s="218"/>
    </row>
    <row r="45" spans="1:26">
      <c r="A45" s="15"/>
      <c r="B45" s="15"/>
      <c r="C45" s="15"/>
      <c r="D45" s="15"/>
      <c r="E45" s="15"/>
      <c r="F45" s="15"/>
      <c r="G45" s="37"/>
      <c r="H45" s="37"/>
      <c r="I45" s="37"/>
      <c r="J45" s="37"/>
      <c r="K45" s="37"/>
      <c r="M45" s="20" t="s">
        <v>463</v>
      </c>
      <c r="N45" s="218"/>
      <c r="O45" s="218"/>
      <c r="P45" s="218"/>
      <c r="Q45" s="44" t="s">
        <v>311</v>
      </c>
      <c r="R45" s="777">
        <v>0</v>
      </c>
      <c r="S45" s="825">
        <f>R76*R45</f>
        <v>0</v>
      </c>
      <c r="T45" s="57">
        <f>O113</f>
        <v>2536.5</v>
      </c>
      <c r="U45" s="90">
        <f t="shared" si="12"/>
        <v>-2536.5</v>
      </c>
      <c r="V45" s="1400">
        <v>1</v>
      </c>
      <c r="W45" s="418">
        <f t="shared" si="13"/>
        <v>-2536.5</v>
      </c>
      <c r="X45" s="218"/>
      <c r="Y45" s="218"/>
      <c r="Z45" s="218"/>
    </row>
    <row r="46" spans="1:26">
      <c r="A46" s="15"/>
      <c r="B46" s="15"/>
      <c r="C46" s="15"/>
      <c r="D46" s="15"/>
      <c r="E46" s="15"/>
      <c r="F46" s="15"/>
      <c r="G46" s="37"/>
      <c r="H46" s="37"/>
      <c r="I46" s="37"/>
      <c r="J46" s="37"/>
      <c r="K46" s="37"/>
      <c r="M46" s="20" t="s">
        <v>1097</v>
      </c>
      <c r="N46" s="15"/>
      <c r="O46" s="15"/>
      <c r="Q46" s="44" t="s">
        <v>311</v>
      </c>
      <c r="R46" s="777">
        <v>0</v>
      </c>
      <c r="S46" s="825">
        <f>T76*R46</f>
        <v>0</v>
      </c>
      <c r="T46" s="1397">
        <v>0</v>
      </c>
      <c r="U46" s="90">
        <f t="shared" si="12"/>
        <v>0</v>
      </c>
      <c r="V46" s="1400">
        <v>1</v>
      </c>
      <c r="W46" s="418">
        <f t="shared" si="13"/>
        <v>0</v>
      </c>
      <c r="Y46" s="15"/>
    </row>
    <row r="47" spans="1:26">
      <c r="A47" s="15"/>
      <c r="B47" s="15"/>
      <c r="C47" s="15"/>
      <c r="D47" s="15"/>
      <c r="E47" s="15"/>
      <c r="F47" s="15"/>
      <c r="G47" s="37"/>
      <c r="H47" s="37"/>
      <c r="I47" s="37"/>
      <c r="J47" s="37"/>
      <c r="K47" s="37"/>
      <c r="M47" s="20" t="s">
        <v>1098</v>
      </c>
      <c r="N47" s="15"/>
      <c r="O47" s="15"/>
      <c r="Q47" s="44" t="s">
        <v>1144</v>
      </c>
      <c r="R47" s="777">
        <v>1</v>
      </c>
      <c r="S47" s="825">
        <f>W76*R47</f>
        <v>1457.5000264999999</v>
      </c>
      <c r="T47" s="57">
        <f>P113</f>
        <v>2216.6455000000001</v>
      </c>
      <c r="U47" s="90">
        <f t="shared" si="12"/>
        <v>-759.14547350000021</v>
      </c>
      <c r="V47" s="1400">
        <v>0.5</v>
      </c>
      <c r="W47" s="418">
        <f t="shared" si="13"/>
        <v>-379.5727367500001</v>
      </c>
      <c r="Y47" s="15"/>
    </row>
    <row r="48" spans="1:26">
      <c r="A48" s="15"/>
      <c r="B48" s="15"/>
      <c r="C48" s="15"/>
      <c r="D48" s="15"/>
      <c r="E48" s="15"/>
      <c r="F48" s="15"/>
      <c r="G48" s="37"/>
      <c r="H48" s="37"/>
      <c r="I48" s="37"/>
      <c r="J48" s="37"/>
      <c r="K48" s="37"/>
      <c r="M48" s="20" t="s">
        <v>1146</v>
      </c>
      <c r="N48" s="15"/>
      <c r="O48" s="15"/>
      <c r="Q48" s="44" t="s">
        <v>1145</v>
      </c>
      <c r="R48" s="777">
        <v>0</v>
      </c>
      <c r="S48" s="825">
        <f>Z76*R48</f>
        <v>0</v>
      </c>
      <c r="T48" s="1397">
        <v>0</v>
      </c>
      <c r="U48" s="90">
        <f t="shared" si="12"/>
        <v>0</v>
      </c>
      <c r="V48" s="1400">
        <v>1</v>
      </c>
      <c r="W48" s="418">
        <f t="shared" si="13"/>
        <v>0</v>
      </c>
      <c r="X48" s="218"/>
      <c r="Y48" s="218"/>
      <c r="Z48" s="218"/>
    </row>
    <row r="49" spans="1:26">
      <c r="A49" s="15"/>
      <c r="B49" s="15"/>
      <c r="C49" s="15"/>
      <c r="D49" s="15"/>
      <c r="E49" s="15"/>
      <c r="F49" s="15"/>
      <c r="G49" s="37"/>
      <c r="H49" s="37"/>
      <c r="I49" s="37"/>
      <c r="J49" s="37"/>
      <c r="K49" s="37"/>
      <c r="M49" s="20" t="s">
        <v>1147</v>
      </c>
      <c r="N49" s="15"/>
      <c r="O49" s="15"/>
      <c r="Q49" s="44" t="s">
        <v>371</v>
      </c>
      <c r="R49" s="777">
        <v>1</v>
      </c>
      <c r="S49" s="910">
        <f>T49-S43</f>
        <v>561.00025000000005</v>
      </c>
      <c r="T49" s="1398">
        <f>Q113</f>
        <v>1000</v>
      </c>
      <c r="U49" s="720">
        <f t="shared" si="12"/>
        <v>-438.99974999999995</v>
      </c>
      <c r="V49" s="1400">
        <v>1</v>
      </c>
      <c r="W49" s="419">
        <f t="shared" si="13"/>
        <v>-438.99974999999995</v>
      </c>
      <c r="Y49" s="15"/>
    </row>
    <row r="50" spans="1:26" ht="13.5" thickBot="1">
      <c r="A50" s="15"/>
      <c r="B50" s="15"/>
      <c r="C50" s="15"/>
      <c r="D50" s="15"/>
      <c r="E50" s="15"/>
      <c r="F50" s="15"/>
      <c r="G50" s="37"/>
      <c r="H50" s="37"/>
      <c r="I50" s="37"/>
      <c r="J50" s="37"/>
      <c r="K50" s="37"/>
      <c r="M50" s="48" t="s">
        <v>514</v>
      </c>
      <c r="N50" s="49"/>
      <c r="O50" s="49"/>
      <c r="P50" s="49"/>
      <c r="Q50" s="49"/>
      <c r="R50" s="49"/>
      <c r="S50" s="1392">
        <f>SUM(S41:S49)</f>
        <v>5414.055464</v>
      </c>
      <c r="T50" s="645">
        <f>SUM(T41:T49)</f>
        <v>15243.735500000001</v>
      </c>
      <c r="U50" s="647">
        <f>SUM(U41:U49)</f>
        <v>-9829.6800360000016</v>
      </c>
      <c r="V50" s="724"/>
      <c r="W50" s="749">
        <f>SUM(W41:W49)</f>
        <v>-7513.8350180000007</v>
      </c>
      <c r="Y50" s="15"/>
    </row>
    <row r="51" spans="1:26" ht="13.5" thickBot="1">
      <c r="A51" s="15"/>
      <c r="B51" s="15"/>
      <c r="C51" s="15"/>
      <c r="D51" s="15"/>
      <c r="E51" s="15"/>
      <c r="F51" s="15"/>
      <c r="G51" s="37"/>
      <c r="H51" s="37"/>
      <c r="I51" s="37"/>
      <c r="J51" s="37"/>
      <c r="K51" s="37"/>
      <c r="Y51" s="15"/>
    </row>
    <row r="52" spans="1:26">
      <c r="A52" s="412"/>
      <c r="B52" s="11"/>
      <c r="C52" s="11"/>
      <c r="D52" s="580" t="s">
        <v>437</v>
      </c>
      <c r="E52" s="580" t="s">
        <v>438</v>
      </c>
      <c r="F52" s="11"/>
      <c r="G52" s="11"/>
      <c r="H52" s="580" t="s">
        <v>1044</v>
      </c>
      <c r="I52" s="580" t="s">
        <v>1045</v>
      </c>
      <c r="J52" s="11"/>
      <c r="K52" s="580" t="s">
        <v>1053</v>
      </c>
      <c r="L52" s="11"/>
      <c r="M52" s="580" t="s">
        <v>1054</v>
      </c>
      <c r="N52" s="580" t="s">
        <v>1057</v>
      </c>
      <c r="O52" s="11"/>
      <c r="P52" s="580" t="s">
        <v>1060</v>
      </c>
      <c r="Q52" s="11"/>
      <c r="R52" s="580" t="s">
        <v>1061</v>
      </c>
      <c r="S52" s="11"/>
      <c r="T52" s="580" t="s">
        <v>1064</v>
      </c>
      <c r="U52" s="580" t="s">
        <v>1065</v>
      </c>
      <c r="V52" s="11"/>
      <c r="W52" s="580" t="s">
        <v>1085</v>
      </c>
      <c r="X52" s="580" t="s">
        <v>1086</v>
      </c>
      <c r="Y52" s="11"/>
      <c r="Z52" s="897" t="s">
        <v>1092</v>
      </c>
    </row>
    <row r="53" spans="1:26">
      <c r="A53" s="20"/>
      <c r="B53" s="15"/>
      <c r="C53" s="15"/>
      <c r="D53" s="15"/>
      <c r="E53" s="15"/>
      <c r="F53" s="15"/>
      <c r="G53" s="16" t="s">
        <v>462</v>
      </c>
      <c r="H53" s="15"/>
      <c r="I53" s="15"/>
      <c r="J53" s="16" t="s">
        <v>461</v>
      </c>
      <c r="K53" s="15"/>
      <c r="L53" s="16" t="s">
        <v>1043</v>
      </c>
      <c r="M53" s="15"/>
      <c r="N53" s="1232" t="s">
        <v>1058</v>
      </c>
      <c r="O53" s="16" t="s">
        <v>564</v>
      </c>
      <c r="P53" s="15"/>
      <c r="Q53" s="16" t="s">
        <v>463</v>
      </c>
      <c r="R53" s="15"/>
      <c r="S53" s="16" t="s">
        <v>1063</v>
      </c>
      <c r="T53" s="15"/>
      <c r="U53" s="1232" t="s">
        <v>1084</v>
      </c>
      <c r="V53" s="16" t="s">
        <v>259</v>
      </c>
      <c r="W53" s="15"/>
      <c r="X53" s="1232" t="s">
        <v>1084</v>
      </c>
      <c r="Y53" s="16" t="s">
        <v>1089</v>
      </c>
      <c r="Z53" s="21"/>
    </row>
    <row r="54" spans="1:26">
      <c r="A54" s="20"/>
      <c r="B54" s="16" t="s">
        <v>426</v>
      </c>
      <c r="C54" s="16" t="s">
        <v>1056</v>
      </c>
      <c r="D54" s="16" t="s">
        <v>1041</v>
      </c>
      <c r="E54" s="16" t="s">
        <v>1055</v>
      </c>
      <c r="F54" s="16" t="s">
        <v>1042</v>
      </c>
      <c r="G54" s="16" t="s">
        <v>1047</v>
      </c>
      <c r="H54" s="16" t="s">
        <v>462</v>
      </c>
      <c r="I54" s="1232" t="s">
        <v>1046</v>
      </c>
      <c r="J54" s="16" t="s">
        <v>1051</v>
      </c>
      <c r="K54" s="16" t="s">
        <v>461</v>
      </c>
      <c r="L54" s="16" t="s">
        <v>1052</v>
      </c>
      <c r="M54" s="16" t="s">
        <v>1043</v>
      </c>
      <c r="N54" s="1232" t="s">
        <v>1093</v>
      </c>
      <c r="O54" s="16" t="s">
        <v>1059</v>
      </c>
      <c r="P54" s="16" t="s">
        <v>564</v>
      </c>
      <c r="Q54" s="16" t="s">
        <v>1062</v>
      </c>
      <c r="R54" s="16" t="s">
        <v>463</v>
      </c>
      <c r="S54" s="16" t="s">
        <v>1062</v>
      </c>
      <c r="T54" s="16" t="s">
        <v>1063</v>
      </c>
      <c r="U54" s="1232" t="s">
        <v>1088</v>
      </c>
      <c r="V54" s="16" t="s">
        <v>1091</v>
      </c>
      <c r="W54" s="16" t="s">
        <v>259</v>
      </c>
      <c r="X54" s="1232" t="s">
        <v>1087</v>
      </c>
      <c r="Y54" s="16" t="s">
        <v>1090</v>
      </c>
      <c r="Z54" s="157" t="s">
        <v>1089</v>
      </c>
    </row>
    <row r="55" spans="1:26">
      <c r="A55" s="20" t="s">
        <v>1509</v>
      </c>
      <c r="B55" s="1219">
        <v>23953.384999999998</v>
      </c>
      <c r="C55" s="1222">
        <v>0</v>
      </c>
      <c r="D55" s="1223">
        <f>B55-C55</f>
        <v>23953.384999999998</v>
      </c>
      <c r="E55" s="1222">
        <v>0</v>
      </c>
      <c r="F55" s="1223">
        <f>D55-E55</f>
        <v>23953.384999999998</v>
      </c>
      <c r="G55" s="1227">
        <v>0</v>
      </c>
      <c r="H55" s="1223">
        <f>D55*G55</f>
        <v>0</v>
      </c>
      <c r="I55" s="1228">
        <f>SUM(D55,H55)</f>
        <v>23953.384999999998</v>
      </c>
      <c r="J55" s="1229">
        <v>0.05</v>
      </c>
      <c r="K55" s="1223">
        <f>I55*J55</f>
        <v>1197.6692499999999</v>
      </c>
      <c r="L55" s="1227">
        <v>0</v>
      </c>
      <c r="M55" s="1223">
        <f>E55*L55</f>
        <v>0</v>
      </c>
      <c r="N55" s="1228">
        <f>SUM(C55,E55,I55,K55,M55)</f>
        <v>25151.054249999997</v>
      </c>
      <c r="O55" s="1229">
        <v>0</v>
      </c>
      <c r="P55" s="1223">
        <f>N55*O55</f>
        <v>0</v>
      </c>
      <c r="Q55" s="1229">
        <v>0</v>
      </c>
      <c r="R55" s="1223">
        <f>$C55*Q55</f>
        <v>0</v>
      </c>
      <c r="S55" s="1229">
        <v>0.15</v>
      </c>
      <c r="T55" s="1223">
        <f>$C55*S55</f>
        <v>0</v>
      </c>
      <c r="U55" s="1228">
        <f>SUM(N55,P55,R55,T55,-K55)</f>
        <v>23953.384999999998</v>
      </c>
      <c r="V55" s="1229">
        <v>2.6499999999999999E-2</v>
      </c>
      <c r="W55" s="1223">
        <f>U55*V55</f>
        <v>634.76470249999988</v>
      </c>
      <c r="X55" s="1228">
        <f>SUM(N55,P55,R55,T55,W55)</f>
        <v>25785.818952499998</v>
      </c>
      <c r="Y55" s="1229">
        <v>2E-3</v>
      </c>
      <c r="Z55" s="1233">
        <f>X55*Y55</f>
        <v>51.571637904999996</v>
      </c>
    </row>
    <row r="56" spans="1:26">
      <c r="A56" s="20" t="s">
        <v>1512</v>
      </c>
      <c r="B56" s="1220">
        <v>9142.0580000000009</v>
      </c>
      <c r="C56" s="1224">
        <v>0</v>
      </c>
      <c r="D56" s="717">
        <f>B56-C56</f>
        <v>9142.0580000000009</v>
      </c>
      <c r="E56" s="1224">
        <v>0</v>
      </c>
      <c r="F56" s="717">
        <f>D56-E56</f>
        <v>9142.0580000000009</v>
      </c>
      <c r="G56" s="803">
        <v>0</v>
      </c>
      <c r="H56" s="717">
        <f>D56*G56</f>
        <v>0</v>
      </c>
      <c r="I56" s="1230">
        <f>SUM(D56,H56)</f>
        <v>9142.0580000000009</v>
      </c>
      <c r="J56" s="783">
        <v>0</v>
      </c>
      <c r="K56" s="717">
        <f>I56*J56</f>
        <v>0</v>
      </c>
      <c r="L56" s="803">
        <v>0</v>
      </c>
      <c r="M56" s="717">
        <f>E56*L56</f>
        <v>0</v>
      </c>
      <c r="N56" s="1230">
        <f>SUM(C56,E56,I56,K56,M56)</f>
        <v>9142.0580000000009</v>
      </c>
      <c r="O56" s="783">
        <v>0</v>
      </c>
      <c r="P56" s="717">
        <f>N56*O56</f>
        <v>0</v>
      </c>
      <c r="Q56" s="783">
        <v>0</v>
      </c>
      <c r="R56" s="717">
        <f>$C56*Q56</f>
        <v>0</v>
      </c>
      <c r="S56" s="783">
        <v>0.15</v>
      </c>
      <c r="T56" s="717">
        <f>$C56*S56</f>
        <v>0</v>
      </c>
      <c r="U56" s="1230">
        <f>SUM(N56,P56,R56,T56,-K56)</f>
        <v>9142.0580000000009</v>
      </c>
      <c r="V56" s="783">
        <v>2.6499999999999999E-2</v>
      </c>
      <c r="W56" s="717">
        <f>U56*V56</f>
        <v>242.26453700000002</v>
      </c>
      <c r="X56" s="1230">
        <f>SUM(N56,P56,R56,T56,W56)</f>
        <v>9384.322537</v>
      </c>
      <c r="Y56" s="783">
        <v>2E-3</v>
      </c>
      <c r="Z56" s="1234">
        <f>X56*Y56</f>
        <v>18.768645074000002</v>
      </c>
    </row>
    <row r="57" spans="1:26">
      <c r="A57" s="20" t="s">
        <v>1513</v>
      </c>
      <c r="B57" s="1221">
        <v>21904.558000000001</v>
      </c>
      <c r="C57" s="1225">
        <v>0</v>
      </c>
      <c r="D57" s="1226">
        <f>B57-C57</f>
        <v>21904.558000000001</v>
      </c>
      <c r="E57" s="1225">
        <v>0</v>
      </c>
      <c r="F57" s="1226">
        <f>D57-E57</f>
        <v>21904.558000000001</v>
      </c>
      <c r="G57" s="803">
        <v>0</v>
      </c>
      <c r="H57" s="1226">
        <f>D57*G57</f>
        <v>0</v>
      </c>
      <c r="I57" s="1231">
        <f>SUM(D57,H57)</f>
        <v>21904.558000000001</v>
      </c>
      <c r="J57" s="783">
        <v>0</v>
      </c>
      <c r="K57" s="1226">
        <f>I57*J57</f>
        <v>0</v>
      </c>
      <c r="L57" s="803">
        <v>0</v>
      </c>
      <c r="M57" s="1226">
        <f>E57*L57</f>
        <v>0</v>
      </c>
      <c r="N57" s="1231">
        <f>SUM(C57,E57,I57,K57,M57)</f>
        <v>21904.558000000001</v>
      </c>
      <c r="O57" s="783">
        <v>0</v>
      </c>
      <c r="P57" s="1226">
        <f>N57*O57</f>
        <v>0</v>
      </c>
      <c r="Q57" s="783">
        <v>0</v>
      </c>
      <c r="R57" s="1226">
        <f>$C57*Q57</f>
        <v>0</v>
      </c>
      <c r="S57" s="783">
        <v>0.15</v>
      </c>
      <c r="T57" s="1226">
        <f>$C57*S57</f>
        <v>0</v>
      </c>
      <c r="U57" s="1231">
        <f>SUM(N57,P57,R57,T57,-K57)</f>
        <v>21904.558000000001</v>
      </c>
      <c r="V57" s="783">
        <v>2.6499999999999999E-2</v>
      </c>
      <c r="W57" s="1226">
        <f>U57*V57</f>
        <v>580.47078699999997</v>
      </c>
      <c r="X57" s="1231">
        <f>SUM(N57,P57,R57,T57,W57)</f>
        <v>22485.028786999999</v>
      </c>
      <c r="Y57" s="783">
        <v>2E-3</v>
      </c>
      <c r="Z57" s="1235">
        <f>X57*Y57</f>
        <v>44.970057574000002</v>
      </c>
    </row>
    <row r="58" spans="1:26">
      <c r="A58" s="20" t="s">
        <v>1514</v>
      </c>
      <c r="B58" s="1201">
        <f>SUM(B55:B57)</f>
        <v>55000.001000000004</v>
      </c>
      <c r="C58" s="90">
        <f>SUM(C55:C57)</f>
        <v>0</v>
      </c>
      <c r="D58" s="57">
        <f>SUM(D55:D57)</f>
        <v>55000.001000000004</v>
      </c>
      <c r="E58" s="90">
        <f>SUM(E55:E57)</f>
        <v>0</v>
      </c>
      <c r="F58" s="57">
        <f>SUM(F55:F57)</f>
        <v>55000.001000000004</v>
      </c>
      <c r="G58" s="14"/>
      <c r="H58" s="57">
        <f>SUM(H55:H57)</f>
        <v>0</v>
      </c>
      <c r="I58" s="90">
        <f>SUM(I55:I57)</f>
        <v>55000.001000000004</v>
      </c>
      <c r="J58" s="15"/>
      <c r="K58" s="57">
        <f>SUM(K55:K57)</f>
        <v>1197.6692499999999</v>
      </c>
      <c r="L58" s="14"/>
      <c r="M58" s="57">
        <f>SUM(M55:M57)</f>
        <v>0</v>
      </c>
      <c r="N58" s="90">
        <f>SUM(N55:N57)</f>
        <v>56197.670249999996</v>
      </c>
      <c r="O58" s="15"/>
      <c r="P58" s="57">
        <f>SUM(P55:P57)</f>
        <v>0</v>
      </c>
      <c r="Q58" s="15"/>
      <c r="R58" s="57">
        <f>SUM(R55:R57)</f>
        <v>0</v>
      </c>
      <c r="S58" s="15"/>
      <c r="T58" s="57">
        <f>SUM(T55:T57)</f>
        <v>0</v>
      </c>
      <c r="U58" s="90">
        <f>SUM(U55:U57)</f>
        <v>55000.001000000004</v>
      </c>
      <c r="V58" s="15"/>
      <c r="W58" s="57">
        <f>SUM(W55:W57)</f>
        <v>1457.5000264999999</v>
      </c>
      <c r="X58" s="90">
        <f>SUM(X55:X57)</f>
        <v>57655.170276499994</v>
      </c>
      <c r="Y58" s="15"/>
      <c r="Z58" s="33">
        <f>SUM(Z55:Z57)</f>
        <v>115.310340553</v>
      </c>
    </row>
    <row r="59" spans="1:26">
      <c r="A59" s="20"/>
      <c r="B59" s="64"/>
      <c r="C59" s="14"/>
      <c r="D59" s="17"/>
      <c r="E59" s="14"/>
      <c r="F59" s="17"/>
      <c r="G59" s="14"/>
      <c r="H59" s="17"/>
      <c r="I59" s="14"/>
      <c r="J59" s="15"/>
      <c r="K59" s="17"/>
      <c r="L59" s="14"/>
      <c r="M59" s="17"/>
      <c r="N59" s="14"/>
      <c r="O59" s="15"/>
      <c r="P59" s="17"/>
      <c r="Q59" s="15"/>
      <c r="R59" s="17"/>
      <c r="S59" s="15"/>
      <c r="T59" s="17"/>
      <c r="U59" s="14"/>
      <c r="V59" s="15"/>
      <c r="W59" s="17"/>
      <c r="X59" s="14"/>
      <c r="Y59" s="15"/>
      <c r="Z59" s="21"/>
    </row>
    <row r="60" spans="1:26">
      <c r="A60" s="20" t="s">
        <v>1338</v>
      </c>
      <c r="B60" s="1220">
        <v>28.292999999999999</v>
      </c>
      <c r="C60" s="1224">
        <v>4.0119999999999996</v>
      </c>
      <c r="D60" s="717">
        <f t="shared" ref="D60:D73" si="14">B60-C60</f>
        <v>24.280999999999999</v>
      </c>
      <c r="E60" s="1224">
        <v>0.38700000000000001</v>
      </c>
      <c r="F60" s="717">
        <f t="shared" ref="F60:F73" si="15">D60-E60</f>
        <v>23.893999999999998</v>
      </c>
      <c r="G60" s="803">
        <v>0.03</v>
      </c>
      <c r="H60" s="717">
        <f t="shared" ref="H60:H73" si="16">D60*G60</f>
        <v>0.72842999999999991</v>
      </c>
      <c r="I60" s="1230">
        <f t="shared" ref="I60:I73" si="17">SUM(D60,H60)</f>
        <v>25.009429999999998</v>
      </c>
      <c r="J60" s="783">
        <v>0.05</v>
      </c>
      <c r="K60" s="717">
        <f t="shared" ref="K60:K73" si="18">I60*J60</f>
        <v>1.2504715</v>
      </c>
      <c r="L60" s="803">
        <v>0.25</v>
      </c>
      <c r="M60" s="717">
        <f>E60*L60</f>
        <v>9.6750000000000003E-2</v>
      </c>
      <c r="N60" s="1230">
        <f t="shared" ref="N60:N73" si="19">SUM(C60,E60,I60,K60,M60)</f>
        <v>30.755651499999995</v>
      </c>
      <c r="O60" s="783">
        <v>0</v>
      </c>
      <c r="P60" s="717">
        <f t="shared" ref="P60:P73" si="20">N60*O60</f>
        <v>0</v>
      </c>
      <c r="Q60" s="783">
        <v>0</v>
      </c>
      <c r="R60" s="717">
        <f t="shared" ref="R60:R73" si="21">$C60*Q60</f>
        <v>0</v>
      </c>
      <c r="S60" s="783">
        <v>0.15</v>
      </c>
      <c r="T60" s="717">
        <f t="shared" ref="T60:T73" si="22">$C60*S60</f>
        <v>0.60179999999999989</v>
      </c>
      <c r="U60" s="1230">
        <f t="shared" ref="U60:U73" si="23">SUM(N60,P60,R60,T60,-K60)</f>
        <v>30.106979999999997</v>
      </c>
      <c r="V60" s="783">
        <v>0</v>
      </c>
      <c r="W60" s="717">
        <f t="shared" ref="W60:W73" si="24">U60*V60</f>
        <v>0</v>
      </c>
      <c r="X60" s="1230">
        <f t="shared" ref="X60:X73" si="25">SUM(N60,P60,R60,T60,W60)</f>
        <v>31.357451499999996</v>
      </c>
      <c r="Y60" s="783">
        <v>2E-3</v>
      </c>
      <c r="Z60" s="1234">
        <f t="shared" ref="Z60:Z73" si="26">X60*Y60</f>
        <v>6.2714902999999989E-2</v>
      </c>
    </row>
    <row r="61" spans="1:26">
      <c r="A61" s="20" t="s">
        <v>1515</v>
      </c>
      <c r="B61" s="1220">
        <v>1125.615</v>
      </c>
      <c r="C61" s="1224">
        <v>159.607</v>
      </c>
      <c r="D61" s="717">
        <f t="shared" si="14"/>
        <v>966.00800000000004</v>
      </c>
      <c r="E61" s="1224">
        <v>15.398999999999999</v>
      </c>
      <c r="F61" s="717">
        <f t="shared" si="15"/>
        <v>950.60900000000004</v>
      </c>
      <c r="G61" s="803">
        <v>0.17</v>
      </c>
      <c r="H61" s="717">
        <f t="shared" si="16"/>
        <v>164.22136</v>
      </c>
      <c r="I61" s="1230">
        <f t="shared" si="17"/>
        <v>1130.22936</v>
      </c>
      <c r="J61" s="783">
        <v>0.1</v>
      </c>
      <c r="K61" s="717">
        <f t="shared" si="18"/>
        <v>113.02293600000002</v>
      </c>
      <c r="L61" s="803">
        <v>0.25</v>
      </c>
      <c r="M61" s="717">
        <f t="shared" ref="M61:M73" si="27">E61*L61</f>
        <v>3.8497499999999998</v>
      </c>
      <c r="N61" s="1230">
        <f t="shared" si="19"/>
        <v>1422.1080460000003</v>
      </c>
      <c r="O61" s="783">
        <v>0</v>
      </c>
      <c r="P61" s="717">
        <f t="shared" si="20"/>
        <v>0</v>
      </c>
      <c r="Q61" s="783">
        <v>0</v>
      </c>
      <c r="R61" s="717">
        <f t="shared" si="21"/>
        <v>0</v>
      </c>
      <c r="S61" s="783">
        <v>0.15</v>
      </c>
      <c r="T61" s="717">
        <f t="shared" si="22"/>
        <v>23.941050000000001</v>
      </c>
      <c r="U61" s="1230">
        <f t="shared" si="23"/>
        <v>1333.0261600000001</v>
      </c>
      <c r="V61" s="783">
        <v>0</v>
      </c>
      <c r="W61" s="717">
        <f t="shared" si="24"/>
        <v>0</v>
      </c>
      <c r="X61" s="1230">
        <f t="shared" si="25"/>
        <v>1446.0490960000002</v>
      </c>
      <c r="Y61" s="783">
        <v>2E-3</v>
      </c>
      <c r="Z61" s="1234">
        <f t="shared" si="26"/>
        <v>2.8920981920000006</v>
      </c>
    </row>
    <row r="62" spans="1:26">
      <c r="A62" s="20" t="s">
        <v>1516</v>
      </c>
      <c r="B62" s="1220">
        <v>3248.8180000000002</v>
      </c>
      <c r="C62" s="1224">
        <v>460.66699999999997</v>
      </c>
      <c r="D62" s="717">
        <f t="shared" si="14"/>
        <v>2788.1510000000003</v>
      </c>
      <c r="E62" s="1224">
        <v>44.444000000000003</v>
      </c>
      <c r="F62" s="717">
        <f t="shared" si="15"/>
        <v>2743.7070000000003</v>
      </c>
      <c r="G62" s="803">
        <v>0.03</v>
      </c>
      <c r="H62" s="717">
        <f t="shared" si="16"/>
        <v>83.644530000000003</v>
      </c>
      <c r="I62" s="1230">
        <f t="shared" si="17"/>
        <v>2871.7955300000003</v>
      </c>
      <c r="J62" s="783">
        <v>0</v>
      </c>
      <c r="K62" s="717">
        <f t="shared" si="18"/>
        <v>0</v>
      </c>
      <c r="L62" s="803">
        <v>0.25</v>
      </c>
      <c r="M62" s="717">
        <f t="shared" si="27"/>
        <v>11.111000000000001</v>
      </c>
      <c r="N62" s="1230">
        <f t="shared" si="19"/>
        <v>3388.0175300000001</v>
      </c>
      <c r="O62" s="783">
        <v>0</v>
      </c>
      <c r="P62" s="717">
        <f t="shared" si="20"/>
        <v>0</v>
      </c>
      <c r="Q62" s="783">
        <v>0</v>
      </c>
      <c r="R62" s="717">
        <f t="shared" si="21"/>
        <v>0</v>
      </c>
      <c r="S62" s="783">
        <v>0.15</v>
      </c>
      <c r="T62" s="717">
        <f t="shared" si="22"/>
        <v>69.100049999999996</v>
      </c>
      <c r="U62" s="1230">
        <f t="shared" si="23"/>
        <v>3457.1175800000001</v>
      </c>
      <c r="V62" s="783">
        <v>0</v>
      </c>
      <c r="W62" s="717">
        <f t="shared" si="24"/>
        <v>0</v>
      </c>
      <c r="X62" s="1230">
        <f t="shared" si="25"/>
        <v>3457.1175800000001</v>
      </c>
      <c r="Y62" s="783">
        <v>2E-3</v>
      </c>
      <c r="Z62" s="1234">
        <f t="shared" si="26"/>
        <v>6.9142351600000005</v>
      </c>
    </row>
    <row r="63" spans="1:26">
      <c r="A63" s="20" t="s">
        <v>1517</v>
      </c>
      <c r="B63" s="1220">
        <v>2962.386</v>
      </c>
      <c r="C63" s="1224">
        <v>420.053</v>
      </c>
      <c r="D63" s="717">
        <f t="shared" si="14"/>
        <v>2542.3330000000001</v>
      </c>
      <c r="E63" s="1224">
        <v>40.526000000000003</v>
      </c>
      <c r="F63" s="717">
        <f t="shared" si="15"/>
        <v>2501.8070000000002</v>
      </c>
      <c r="G63" s="803">
        <v>0.03</v>
      </c>
      <c r="H63" s="717">
        <f t="shared" si="16"/>
        <v>76.269989999999993</v>
      </c>
      <c r="I63" s="1230">
        <f t="shared" si="17"/>
        <v>2618.6029899999999</v>
      </c>
      <c r="J63" s="783">
        <v>0.1</v>
      </c>
      <c r="K63" s="717">
        <f t="shared" si="18"/>
        <v>261.860299</v>
      </c>
      <c r="L63" s="803">
        <v>0.25</v>
      </c>
      <c r="M63" s="717">
        <f t="shared" si="27"/>
        <v>10.131500000000001</v>
      </c>
      <c r="N63" s="1230">
        <f t="shared" si="19"/>
        <v>3351.1737889999999</v>
      </c>
      <c r="O63" s="783">
        <v>0</v>
      </c>
      <c r="P63" s="717">
        <f t="shared" si="20"/>
        <v>0</v>
      </c>
      <c r="Q63" s="783">
        <v>0</v>
      </c>
      <c r="R63" s="717">
        <f t="shared" si="21"/>
        <v>0</v>
      </c>
      <c r="S63" s="783">
        <v>0.15</v>
      </c>
      <c r="T63" s="717">
        <f t="shared" si="22"/>
        <v>63.007949999999994</v>
      </c>
      <c r="U63" s="1230">
        <f t="shared" si="23"/>
        <v>3152.3214400000002</v>
      </c>
      <c r="V63" s="783">
        <v>0</v>
      </c>
      <c r="W63" s="717">
        <f t="shared" si="24"/>
        <v>0</v>
      </c>
      <c r="X63" s="1230">
        <f t="shared" si="25"/>
        <v>3414.1817390000001</v>
      </c>
      <c r="Y63" s="783">
        <v>2E-3</v>
      </c>
      <c r="Z63" s="1234">
        <f t="shared" si="26"/>
        <v>6.828363478</v>
      </c>
    </row>
    <row r="64" spans="1:26">
      <c r="A64" s="20" t="s">
        <v>1518</v>
      </c>
      <c r="B64" s="1220">
        <v>56304.639000000003</v>
      </c>
      <c r="C64" s="1224">
        <v>7983.7389999999996</v>
      </c>
      <c r="D64" s="717">
        <f t="shared" si="14"/>
        <v>48320.9</v>
      </c>
      <c r="E64" s="1224">
        <v>770.25699999999995</v>
      </c>
      <c r="F64" s="717">
        <f t="shared" si="15"/>
        <v>47550.643000000004</v>
      </c>
      <c r="G64" s="803">
        <v>0.03</v>
      </c>
      <c r="H64" s="717">
        <f t="shared" si="16"/>
        <v>1449.627</v>
      </c>
      <c r="I64" s="1230">
        <f t="shared" si="17"/>
        <v>49770.527000000002</v>
      </c>
      <c r="J64" s="783">
        <v>0</v>
      </c>
      <c r="K64" s="717">
        <f t="shared" si="18"/>
        <v>0</v>
      </c>
      <c r="L64" s="803">
        <v>0.25</v>
      </c>
      <c r="M64" s="717">
        <f t="shared" si="27"/>
        <v>192.56424999999999</v>
      </c>
      <c r="N64" s="1230">
        <f t="shared" si="19"/>
        <v>58717.087250000004</v>
      </c>
      <c r="O64" s="783">
        <v>0</v>
      </c>
      <c r="P64" s="717">
        <f t="shared" si="20"/>
        <v>0</v>
      </c>
      <c r="Q64" s="783">
        <v>0</v>
      </c>
      <c r="R64" s="717">
        <f t="shared" si="21"/>
        <v>0</v>
      </c>
      <c r="S64" s="783">
        <v>0.15</v>
      </c>
      <c r="T64" s="717">
        <f t="shared" si="22"/>
        <v>1197.5608499999998</v>
      </c>
      <c r="U64" s="1230">
        <f t="shared" si="23"/>
        <v>59914.648100000006</v>
      </c>
      <c r="V64" s="783">
        <v>0</v>
      </c>
      <c r="W64" s="717">
        <f t="shared" si="24"/>
        <v>0</v>
      </c>
      <c r="X64" s="1230">
        <f t="shared" si="25"/>
        <v>59914.648100000006</v>
      </c>
      <c r="Y64" s="783">
        <v>2E-3</v>
      </c>
      <c r="Z64" s="1234">
        <f t="shared" si="26"/>
        <v>119.82929620000002</v>
      </c>
    </row>
    <row r="65" spans="1:26">
      <c r="A65" s="20" t="s">
        <v>1519</v>
      </c>
      <c r="B65" s="1220">
        <v>3833.9639999999999</v>
      </c>
      <c r="C65" s="1224">
        <v>543.63800000000003</v>
      </c>
      <c r="D65" s="717">
        <f t="shared" si="14"/>
        <v>3290.326</v>
      </c>
      <c r="E65" s="1224">
        <v>52.448999999999998</v>
      </c>
      <c r="F65" s="717">
        <f t="shared" si="15"/>
        <v>3237.877</v>
      </c>
      <c r="G65" s="803">
        <v>0.03</v>
      </c>
      <c r="H65" s="717">
        <f t="shared" si="16"/>
        <v>98.709779999999995</v>
      </c>
      <c r="I65" s="1230">
        <f t="shared" si="17"/>
        <v>3389.0357800000002</v>
      </c>
      <c r="J65" s="783">
        <v>0.08</v>
      </c>
      <c r="K65" s="717">
        <f t="shared" si="18"/>
        <v>271.12286240000003</v>
      </c>
      <c r="L65" s="803">
        <v>0.25</v>
      </c>
      <c r="M65" s="717">
        <f t="shared" si="27"/>
        <v>13.11225</v>
      </c>
      <c r="N65" s="1230">
        <f t="shared" si="19"/>
        <v>4269.3578924000003</v>
      </c>
      <c r="O65" s="783">
        <v>0</v>
      </c>
      <c r="P65" s="717">
        <f t="shared" si="20"/>
        <v>0</v>
      </c>
      <c r="Q65" s="783">
        <v>0</v>
      </c>
      <c r="R65" s="717">
        <f t="shared" si="21"/>
        <v>0</v>
      </c>
      <c r="S65" s="783">
        <v>0.15</v>
      </c>
      <c r="T65" s="717">
        <f t="shared" si="22"/>
        <v>81.545699999999997</v>
      </c>
      <c r="U65" s="1230">
        <f t="shared" si="23"/>
        <v>4079.7807299999999</v>
      </c>
      <c r="V65" s="783">
        <v>0</v>
      </c>
      <c r="W65" s="717">
        <f t="shared" si="24"/>
        <v>0</v>
      </c>
      <c r="X65" s="1230">
        <f t="shared" si="25"/>
        <v>4350.9035924</v>
      </c>
      <c r="Y65" s="783">
        <v>2E-3</v>
      </c>
      <c r="Z65" s="1234">
        <f t="shared" si="26"/>
        <v>8.7018071847999998</v>
      </c>
    </row>
    <row r="66" spans="1:26">
      <c r="A66" s="20" t="s">
        <v>1520</v>
      </c>
      <c r="B66" s="1220">
        <v>30728.833999999999</v>
      </c>
      <c r="C66" s="1224">
        <v>4357.2070000000003</v>
      </c>
      <c r="D66" s="717">
        <f t="shared" si="14"/>
        <v>26371.627</v>
      </c>
      <c r="E66" s="1224">
        <v>420.37599999999998</v>
      </c>
      <c r="F66" s="717">
        <f t="shared" si="15"/>
        <v>25951.251</v>
      </c>
      <c r="G66" s="803">
        <v>0.03</v>
      </c>
      <c r="H66" s="717">
        <f t="shared" si="16"/>
        <v>791.14881000000003</v>
      </c>
      <c r="I66" s="1230">
        <f t="shared" si="17"/>
        <v>27162.775809999999</v>
      </c>
      <c r="J66" s="783">
        <v>0</v>
      </c>
      <c r="K66" s="717">
        <f t="shared" si="18"/>
        <v>0</v>
      </c>
      <c r="L66" s="803">
        <v>0.25</v>
      </c>
      <c r="M66" s="717">
        <f t="shared" si="27"/>
        <v>105.09399999999999</v>
      </c>
      <c r="N66" s="1230">
        <f t="shared" si="19"/>
        <v>32045.452809999999</v>
      </c>
      <c r="O66" s="783">
        <v>0</v>
      </c>
      <c r="P66" s="717">
        <f t="shared" si="20"/>
        <v>0</v>
      </c>
      <c r="Q66" s="783">
        <v>0</v>
      </c>
      <c r="R66" s="717">
        <f t="shared" si="21"/>
        <v>0</v>
      </c>
      <c r="S66" s="783">
        <v>0.15</v>
      </c>
      <c r="T66" s="717">
        <f t="shared" si="22"/>
        <v>653.58105</v>
      </c>
      <c r="U66" s="1230">
        <f t="shared" si="23"/>
        <v>32699.03386</v>
      </c>
      <c r="V66" s="783">
        <v>0</v>
      </c>
      <c r="W66" s="717">
        <f t="shared" si="24"/>
        <v>0</v>
      </c>
      <c r="X66" s="1230">
        <f t="shared" si="25"/>
        <v>32699.03386</v>
      </c>
      <c r="Y66" s="783">
        <v>2E-3</v>
      </c>
      <c r="Z66" s="1234">
        <f t="shared" si="26"/>
        <v>65.39806772</v>
      </c>
    </row>
    <row r="67" spans="1:26">
      <c r="A67" s="20" t="s">
        <v>1521</v>
      </c>
      <c r="B67" s="1220">
        <v>4630.0959999999995</v>
      </c>
      <c r="C67" s="1224">
        <v>656.52599999999995</v>
      </c>
      <c r="D67" s="717">
        <f t="shared" si="14"/>
        <v>3973.5699999999997</v>
      </c>
      <c r="E67" s="1224">
        <v>63.34</v>
      </c>
      <c r="F67" s="717">
        <f t="shared" si="15"/>
        <v>3910.2299999999996</v>
      </c>
      <c r="G67" s="803">
        <v>0.03</v>
      </c>
      <c r="H67" s="717">
        <f t="shared" si="16"/>
        <v>119.20709999999998</v>
      </c>
      <c r="I67" s="1230">
        <f t="shared" si="17"/>
        <v>4092.7770999999998</v>
      </c>
      <c r="J67" s="783">
        <v>0.15</v>
      </c>
      <c r="K67" s="717">
        <f t="shared" si="18"/>
        <v>613.91656499999999</v>
      </c>
      <c r="L67" s="803">
        <v>0.25</v>
      </c>
      <c r="M67" s="717">
        <f t="shared" si="27"/>
        <v>15.835000000000001</v>
      </c>
      <c r="N67" s="1230">
        <f t="shared" si="19"/>
        <v>5442.3946649999989</v>
      </c>
      <c r="O67" s="783">
        <v>0</v>
      </c>
      <c r="P67" s="717">
        <f t="shared" si="20"/>
        <v>0</v>
      </c>
      <c r="Q67" s="783">
        <v>0</v>
      </c>
      <c r="R67" s="717">
        <f t="shared" si="21"/>
        <v>0</v>
      </c>
      <c r="S67" s="783">
        <v>0.15</v>
      </c>
      <c r="T67" s="717">
        <f t="shared" si="22"/>
        <v>98.478899999999996</v>
      </c>
      <c r="U67" s="1230">
        <f t="shared" si="23"/>
        <v>4926.9569999999985</v>
      </c>
      <c r="V67" s="783">
        <v>0</v>
      </c>
      <c r="W67" s="717">
        <f t="shared" si="24"/>
        <v>0</v>
      </c>
      <c r="X67" s="1230">
        <f t="shared" si="25"/>
        <v>5540.873564999999</v>
      </c>
      <c r="Y67" s="783">
        <v>2E-3</v>
      </c>
      <c r="Z67" s="1234">
        <f t="shared" si="26"/>
        <v>11.081747129999998</v>
      </c>
    </row>
    <row r="68" spans="1:26">
      <c r="A68" s="20" t="s">
        <v>1522</v>
      </c>
      <c r="B68" s="1220">
        <v>3780.1019999999999</v>
      </c>
      <c r="C68" s="1224">
        <v>536.00099999999998</v>
      </c>
      <c r="D68" s="717">
        <f t="shared" si="14"/>
        <v>3244.1009999999997</v>
      </c>
      <c r="E68" s="1224">
        <v>51.712000000000003</v>
      </c>
      <c r="F68" s="717">
        <f t="shared" si="15"/>
        <v>3192.3889999999997</v>
      </c>
      <c r="G68" s="803">
        <v>0.03</v>
      </c>
      <c r="H68" s="717">
        <f t="shared" si="16"/>
        <v>97.323029999999989</v>
      </c>
      <c r="I68" s="1230">
        <f t="shared" si="17"/>
        <v>3341.4240299999997</v>
      </c>
      <c r="J68" s="783">
        <v>0.08</v>
      </c>
      <c r="K68" s="717">
        <f t="shared" si="18"/>
        <v>267.31392239999997</v>
      </c>
      <c r="L68" s="803">
        <v>0.25</v>
      </c>
      <c r="M68" s="717">
        <f t="shared" si="27"/>
        <v>12.928000000000001</v>
      </c>
      <c r="N68" s="1230">
        <f t="shared" si="19"/>
        <v>4209.3789523999994</v>
      </c>
      <c r="O68" s="783">
        <v>0</v>
      </c>
      <c r="P68" s="717">
        <f t="shared" si="20"/>
        <v>0</v>
      </c>
      <c r="Q68" s="783">
        <v>0</v>
      </c>
      <c r="R68" s="717">
        <f t="shared" si="21"/>
        <v>0</v>
      </c>
      <c r="S68" s="783">
        <v>0.15</v>
      </c>
      <c r="T68" s="717">
        <f t="shared" si="22"/>
        <v>80.400149999999996</v>
      </c>
      <c r="U68" s="1230">
        <f t="shared" si="23"/>
        <v>4022.4651799999997</v>
      </c>
      <c r="V68" s="783">
        <v>0</v>
      </c>
      <c r="W68" s="717">
        <f t="shared" si="24"/>
        <v>0</v>
      </c>
      <c r="X68" s="1230">
        <f t="shared" si="25"/>
        <v>4289.7791023999998</v>
      </c>
      <c r="Y68" s="783">
        <v>2E-3</v>
      </c>
      <c r="Z68" s="1234">
        <f t="shared" si="26"/>
        <v>8.5795582047999996</v>
      </c>
    </row>
    <row r="69" spans="1:26">
      <c r="A69" s="20" t="s">
        <v>1523</v>
      </c>
      <c r="B69" s="1220">
        <v>125.67700000000001</v>
      </c>
      <c r="C69" s="1224">
        <v>17.82</v>
      </c>
      <c r="D69" s="717">
        <f t="shared" si="14"/>
        <v>107.857</v>
      </c>
      <c r="E69" s="1224">
        <v>1.7190000000000001</v>
      </c>
      <c r="F69" s="717">
        <f t="shared" si="15"/>
        <v>106.13800000000001</v>
      </c>
      <c r="G69" s="803">
        <v>0.03</v>
      </c>
      <c r="H69" s="717">
        <f t="shared" si="16"/>
        <v>3.2357099999999996</v>
      </c>
      <c r="I69" s="1230">
        <f t="shared" si="17"/>
        <v>111.09271</v>
      </c>
      <c r="J69" s="783">
        <v>0</v>
      </c>
      <c r="K69" s="717">
        <f t="shared" si="18"/>
        <v>0</v>
      </c>
      <c r="L69" s="803">
        <v>0.25</v>
      </c>
      <c r="M69" s="717">
        <f t="shared" si="27"/>
        <v>0.42975000000000002</v>
      </c>
      <c r="N69" s="1230">
        <f t="shared" si="19"/>
        <v>131.06146000000001</v>
      </c>
      <c r="O69" s="783">
        <v>0</v>
      </c>
      <c r="P69" s="717">
        <f t="shared" si="20"/>
        <v>0</v>
      </c>
      <c r="Q69" s="783">
        <v>0</v>
      </c>
      <c r="R69" s="717">
        <f t="shared" si="21"/>
        <v>0</v>
      </c>
      <c r="S69" s="783">
        <v>0.15</v>
      </c>
      <c r="T69" s="717">
        <f t="shared" si="22"/>
        <v>2.673</v>
      </c>
      <c r="U69" s="1230">
        <f t="shared" si="23"/>
        <v>133.73446000000001</v>
      </c>
      <c r="V69" s="783">
        <v>0</v>
      </c>
      <c r="W69" s="717">
        <f t="shared" si="24"/>
        <v>0</v>
      </c>
      <c r="X69" s="1230">
        <f t="shared" si="25"/>
        <v>133.73446000000001</v>
      </c>
      <c r="Y69" s="783">
        <v>2E-3</v>
      </c>
      <c r="Z69" s="1234">
        <f t="shared" si="26"/>
        <v>0.26746892000000005</v>
      </c>
    </row>
    <row r="70" spans="1:26">
      <c r="A70" s="20" t="s">
        <v>1524</v>
      </c>
      <c r="B70" s="1220">
        <v>18698.741999999998</v>
      </c>
      <c r="C70" s="1224">
        <v>2651.3960000000002</v>
      </c>
      <c r="D70" s="717">
        <f t="shared" si="14"/>
        <v>16047.345999999998</v>
      </c>
      <c r="E70" s="1224">
        <v>255.80199999999999</v>
      </c>
      <c r="F70" s="717">
        <f t="shared" si="15"/>
        <v>15791.543999999998</v>
      </c>
      <c r="G70" s="803">
        <v>0.03</v>
      </c>
      <c r="H70" s="717">
        <f t="shared" si="16"/>
        <v>481.42037999999991</v>
      </c>
      <c r="I70" s="1230">
        <f t="shared" si="17"/>
        <v>16528.766379999997</v>
      </c>
      <c r="J70" s="783">
        <v>0</v>
      </c>
      <c r="K70" s="717">
        <f t="shared" si="18"/>
        <v>0</v>
      </c>
      <c r="L70" s="803">
        <v>0.25</v>
      </c>
      <c r="M70" s="717">
        <f t="shared" si="27"/>
        <v>63.950499999999998</v>
      </c>
      <c r="N70" s="1230">
        <f t="shared" si="19"/>
        <v>19499.914879999997</v>
      </c>
      <c r="O70" s="783">
        <v>0</v>
      </c>
      <c r="P70" s="717">
        <f t="shared" si="20"/>
        <v>0</v>
      </c>
      <c r="Q70" s="783">
        <v>0</v>
      </c>
      <c r="R70" s="717">
        <f t="shared" si="21"/>
        <v>0</v>
      </c>
      <c r="S70" s="783">
        <v>0.15</v>
      </c>
      <c r="T70" s="717">
        <f t="shared" si="22"/>
        <v>397.70940000000002</v>
      </c>
      <c r="U70" s="1230">
        <f t="shared" si="23"/>
        <v>19897.624279999996</v>
      </c>
      <c r="V70" s="783">
        <v>0</v>
      </c>
      <c r="W70" s="717">
        <f t="shared" si="24"/>
        <v>0</v>
      </c>
      <c r="X70" s="1230">
        <f t="shared" si="25"/>
        <v>19897.624279999996</v>
      </c>
      <c r="Y70" s="783">
        <v>2E-3</v>
      </c>
      <c r="Z70" s="1234">
        <f t="shared" si="26"/>
        <v>39.79524855999999</v>
      </c>
    </row>
    <row r="71" spans="1:26">
      <c r="A71" s="20" t="s">
        <v>1525</v>
      </c>
      <c r="B71" s="1220">
        <v>514.13300000000004</v>
      </c>
      <c r="C71" s="1224">
        <v>72.902000000000001</v>
      </c>
      <c r="D71" s="717">
        <f t="shared" si="14"/>
        <v>441.23100000000005</v>
      </c>
      <c r="E71" s="1224">
        <v>7.0330000000000004</v>
      </c>
      <c r="F71" s="717">
        <f t="shared" si="15"/>
        <v>434.19800000000004</v>
      </c>
      <c r="G71" s="803">
        <v>0.2</v>
      </c>
      <c r="H71" s="717">
        <f t="shared" si="16"/>
        <v>88.246200000000016</v>
      </c>
      <c r="I71" s="1230">
        <f t="shared" si="17"/>
        <v>529.47720000000004</v>
      </c>
      <c r="J71" s="783">
        <v>0.1</v>
      </c>
      <c r="K71" s="717">
        <f t="shared" si="18"/>
        <v>52.947720000000004</v>
      </c>
      <c r="L71" s="803">
        <v>0.25</v>
      </c>
      <c r="M71" s="717">
        <f t="shared" si="27"/>
        <v>1.7582500000000001</v>
      </c>
      <c r="N71" s="1230">
        <f t="shared" si="19"/>
        <v>664.11816999999996</v>
      </c>
      <c r="O71" s="783">
        <v>0</v>
      </c>
      <c r="P71" s="717">
        <f t="shared" si="20"/>
        <v>0</v>
      </c>
      <c r="Q71" s="783">
        <v>0</v>
      </c>
      <c r="R71" s="717">
        <f t="shared" si="21"/>
        <v>0</v>
      </c>
      <c r="S71" s="783">
        <v>0.15</v>
      </c>
      <c r="T71" s="717">
        <f t="shared" si="22"/>
        <v>10.9353</v>
      </c>
      <c r="U71" s="1230">
        <f t="shared" si="23"/>
        <v>622.10574999999994</v>
      </c>
      <c r="V71" s="783">
        <v>0</v>
      </c>
      <c r="W71" s="717">
        <f t="shared" si="24"/>
        <v>0</v>
      </c>
      <c r="X71" s="1230">
        <f t="shared" si="25"/>
        <v>675.05346999999995</v>
      </c>
      <c r="Y71" s="783">
        <v>2E-3</v>
      </c>
      <c r="Z71" s="1234">
        <f t="shared" si="26"/>
        <v>1.3501069399999999</v>
      </c>
    </row>
    <row r="72" spans="1:26">
      <c r="A72" s="20" t="s">
        <v>1526</v>
      </c>
      <c r="B72" s="1220">
        <v>1303.2860000000001</v>
      </c>
      <c r="C72" s="1224">
        <v>184.8</v>
      </c>
      <c r="D72" s="717">
        <f t="shared" si="14"/>
        <v>1118.4860000000001</v>
      </c>
      <c r="E72" s="1224">
        <v>17.829000000000001</v>
      </c>
      <c r="F72" s="717">
        <f t="shared" si="15"/>
        <v>1100.6570000000002</v>
      </c>
      <c r="G72" s="803">
        <v>0.2</v>
      </c>
      <c r="H72" s="717">
        <f t="shared" si="16"/>
        <v>223.69720000000004</v>
      </c>
      <c r="I72" s="1230">
        <f t="shared" si="17"/>
        <v>1342.1832000000002</v>
      </c>
      <c r="J72" s="783">
        <v>0.1</v>
      </c>
      <c r="K72" s="717">
        <f t="shared" si="18"/>
        <v>134.21832000000003</v>
      </c>
      <c r="L72" s="803">
        <v>0.25</v>
      </c>
      <c r="M72" s="717">
        <f t="shared" si="27"/>
        <v>4.4572500000000002</v>
      </c>
      <c r="N72" s="1230">
        <f t="shared" si="19"/>
        <v>1683.4877700000002</v>
      </c>
      <c r="O72" s="783">
        <v>0</v>
      </c>
      <c r="P72" s="717">
        <f t="shared" si="20"/>
        <v>0</v>
      </c>
      <c r="Q72" s="783">
        <v>0</v>
      </c>
      <c r="R72" s="717">
        <f t="shared" si="21"/>
        <v>0</v>
      </c>
      <c r="S72" s="783">
        <v>0.15</v>
      </c>
      <c r="T72" s="717">
        <f t="shared" si="22"/>
        <v>27.720000000000002</v>
      </c>
      <c r="U72" s="1230">
        <f t="shared" si="23"/>
        <v>1576.9894500000003</v>
      </c>
      <c r="V72" s="783">
        <v>0</v>
      </c>
      <c r="W72" s="717">
        <f t="shared" si="24"/>
        <v>0</v>
      </c>
      <c r="X72" s="1230">
        <f t="shared" si="25"/>
        <v>1711.2077700000002</v>
      </c>
      <c r="Y72" s="783">
        <v>2E-3</v>
      </c>
      <c r="Z72" s="1234">
        <f t="shared" si="26"/>
        <v>3.4224155400000007</v>
      </c>
    </row>
    <row r="73" spans="1:26">
      <c r="A73" s="20" t="s">
        <v>1527</v>
      </c>
      <c r="B73" s="1221">
        <v>1076.415</v>
      </c>
      <c r="C73" s="1225">
        <v>152.631</v>
      </c>
      <c r="D73" s="1226">
        <f t="shared" si="14"/>
        <v>923.78399999999999</v>
      </c>
      <c r="E73" s="1225">
        <v>14.726000000000001</v>
      </c>
      <c r="F73" s="1226">
        <f t="shared" si="15"/>
        <v>909.05799999999999</v>
      </c>
      <c r="G73" s="803">
        <v>0.17</v>
      </c>
      <c r="H73" s="1226">
        <f t="shared" si="16"/>
        <v>157.04328000000001</v>
      </c>
      <c r="I73" s="1231">
        <f t="shared" si="17"/>
        <v>1080.82728</v>
      </c>
      <c r="J73" s="783">
        <v>0.04</v>
      </c>
      <c r="K73" s="1226">
        <f t="shared" si="18"/>
        <v>43.233091199999997</v>
      </c>
      <c r="L73" s="803">
        <v>0.25</v>
      </c>
      <c r="M73" s="1226">
        <f t="shared" si="27"/>
        <v>3.6815000000000002</v>
      </c>
      <c r="N73" s="1231">
        <f t="shared" si="19"/>
        <v>1295.0988711999998</v>
      </c>
      <c r="O73" s="783">
        <v>0</v>
      </c>
      <c r="P73" s="1226">
        <f t="shared" si="20"/>
        <v>0</v>
      </c>
      <c r="Q73" s="783">
        <v>0</v>
      </c>
      <c r="R73" s="1226">
        <f t="shared" si="21"/>
        <v>0</v>
      </c>
      <c r="S73" s="783">
        <v>0.15</v>
      </c>
      <c r="T73" s="1226">
        <f t="shared" si="22"/>
        <v>22.894649999999999</v>
      </c>
      <c r="U73" s="1231">
        <f t="shared" si="23"/>
        <v>1274.7604299999998</v>
      </c>
      <c r="V73" s="783">
        <v>0</v>
      </c>
      <c r="W73" s="1226">
        <f t="shared" si="24"/>
        <v>0</v>
      </c>
      <c r="X73" s="1231">
        <f t="shared" si="25"/>
        <v>1317.9935211999998</v>
      </c>
      <c r="Y73" s="783">
        <v>2E-3</v>
      </c>
      <c r="Z73" s="1235">
        <f t="shared" si="26"/>
        <v>2.6359870423999996</v>
      </c>
    </row>
    <row r="74" spans="1:26">
      <c r="A74" s="20" t="s">
        <v>1528</v>
      </c>
      <c r="B74" s="1201">
        <f>SUM(B60:B73)</f>
        <v>128360.99999999999</v>
      </c>
      <c r="C74" s="90">
        <f>SUM(C60:C73)</f>
        <v>18200.999</v>
      </c>
      <c r="D74" s="57">
        <f>SUM(D60:D73)</f>
        <v>110160.001</v>
      </c>
      <c r="E74" s="90">
        <f>SUM(E60:E73)</f>
        <v>1755.9989999999996</v>
      </c>
      <c r="F74" s="57">
        <f>SUM(F60:F73)</f>
        <v>108404.00200000001</v>
      </c>
      <c r="G74" s="14"/>
      <c r="H74" s="57">
        <f>SUM(H60:H73)</f>
        <v>3834.5227999999997</v>
      </c>
      <c r="I74" s="90">
        <f>SUM(I60:I73)</f>
        <v>113994.52379999998</v>
      </c>
      <c r="J74" s="15"/>
      <c r="K74" s="57">
        <f>SUM(K60:K73)</f>
        <v>1758.8861875</v>
      </c>
      <c r="L74" s="14"/>
      <c r="M74" s="57">
        <f>SUM(M60:M73)</f>
        <v>438.99974999999989</v>
      </c>
      <c r="N74" s="90">
        <f>SUM(N60:N73)</f>
        <v>136149.40773750001</v>
      </c>
      <c r="O74" s="15"/>
      <c r="P74" s="57">
        <f>SUM(P60:P73)</f>
        <v>0</v>
      </c>
      <c r="Q74" s="15"/>
      <c r="R74" s="57">
        <f>SUM(R60:R73)</f>
        <v>0</v>
      </c>
      <c r="S74" s="15"/>
      <c r="T74" s="57">
        <f>SUM(T60:T73)</f>
        <v>2730.1498499999998</v>
      </c>
      <c r="U74" s="90">
        <f>SUM(U60:U73)</f>
        <v>137120.67139999996</v>
      </c>
      <c r="V74" s="15"/>
      <c r="W74" s="57">
        <f>SUM(W60:W73)</f>
        <v>0</v>
      </c>
      <c r="X74" s="90">
        <f>SUM(X60:X73)</f>
        <v>138879.55758750002</v>
      </c>
      <c r="Y74" s="15"/>
      <c r="Z74" s="33">
        <f>SUM(Z60:Z73)</f>
        <v>277.75911517499998</v>
      </c>
    </row>
    <row r="75" spans="1:26">
      <c r="A75" s="20"/>
      <c r="B75" s="64"/>
      <c r="C75" s="14"/>
      <c r="D75" s="17"/>
      <c r="E75" s="14"/>
      <c r="F75" s="17"/>
      <c r="G75" s="14"/>
      <c r="H75" s="17"/>
      <c r="I75" s="14"/>
      <c r="J75" s="15"/>
      <c r="K75" s="17"/>
      <c r="L75" s="14"/>
      <c r="M75" s="17"/>
      <c r="N75" s="14"/>
      <c r="O75" s="15"/>
      <c r="P75" s="17"/>
      <c r="Q75" s="15"/>
      <c r="R75" s="17"/>
      <c r="S75" s="15"/>
      <c r="T75" s="17"/>
      <c r="U75" s="14"/>
      <c r="V75" s="15"/>
      <c r="W75" s="17"/>
      <c r="X75" s="14"/>
      <c r="Y75" s="15"/>
      <c r="Z75" s="21"/>
    </row>
    <row r="76" spans="1:26" ht="13.5" thickBot="1">
      <c r="A76" s="48" t="s">
        <v>1529</v>
      </c>
      <c r="B76" s="1236">
        <f>SUM(B58,B74)</f>
        <v>183361.00099999999</v>
      </c>
      <c r="C76" s="647">
        <f>SUM(C58,C74)</f>
        <v>18200.999</v>
      </c>
      <c r="D76" s="645">
        <f>SUM(D58,D74)</f>
        <v>165160.00200000001</v>
      </c>
      <c r="E76" s="647">
        <f>SUM(E58,E74)</f>
        <v>1755.9989999999996</v>
      </c>
      <c r="F76" s="645">
        <f>SUM(F58,F74)</f>
        <v>163404.00300000003</v>
      </c>
      <c r="G76" s="567"/>
      <c r="H76" s="645">
        <f>SUM(H58,H74)</f>
        <v>3834.5227999999997</v>
      </c>
      <c r="I76" s="647">
        <f>SUM(I58,I74)</f>
        <v>168994.52479999998</v>
      </c>
      <c r="J76" s="49"/>
      <c r="K76" s="645">
        <f>SUM(K58,K74)</f>
        <v>2956.5554375000002</v>
      </c>
      <c r="L76" s="567"/>
      <c r="M76" s="645">
        <f>SUM(M58,M74)</f>
        <v>438.99974999999989</v>
      </c>
      <c r="N76" s="647">
        <f>SUM(N58,N74)</f>
        <v>192347.0779875</v>
      </c>
      <c r="O76" s="49"/>
      <c r="P76" s="645">
        <f>SUM(P58,P74)</f>
        <v>0</v>
      </c>
      <c r="Q76" s="49"/>
      <c r="R76" s="645">
        <f>SUM(R58,R74)</f>
        <v>0</v>
      </c>
      <c r="S76" s="49"/>
      <c r="T76" s="645">
        <f>SUM(T58,T74)</f>
        <v>2730.1498499999998</v>
      </c>
      <c r="U76" s="647">
        <f>SUM(U58,U74)</f>
        <v>192120.67239999998</v>
      </c>
      <c r="V76" s="49"/>
      <c r="W76" s="645">
        <f>SUM(W58,W74)</f>
        <v>1457.5000264999999</v>
      </c>
      <c r="X76" s="647">
        <f>SUM(X58,X74)</f>
        <v>196534.72786400001</v>
      </c>
      <c r="Y76" s="49"/>
      <c r="Z76" s="52">
        <f>SUM(Z58,Z74)</f>
        <v>393.06945572799998</v>
      </c>
    </row>
    <row r="78" spans="1:26" ht="13.5" thickBot="1"/>
    <row r="79" spans="1:26">
      <c r="A79" s="554" t="s">
        <v>1183</v>
      </c>
      <c r="B79" s="556" t="s">
        <v>306</v>
      </c>
      <c r="C79" s="1279" t="s">
        <v>274</v>
      </c>
      <c r="D79" s="1280"/>
      <c r="E79" s="1279" t="s">
        <v>275</v>
      </c>
      <c r="F79" s="1280"/>
      <c r="G79" s="1279" t="s">
        <v>308</v>
      </c>
      <c r="H79" s="558"/>
      <c r="I79" s="558"/>
      <c r="J79" s="558"/>
      <c r="K79" s="1280"/>
      <c r="L79" s="1279" t="s">
        <v>309</v>
      </c>
      <c r="M79" s="558"/>
      <c r="N79" s="558"/>
      <c r="O79" s="558"/>
      <c r="P79" s="754"/>
      <c r="Q79" s="754"/>
      <c r="R79" s="754"/>
    </row>
    <row r="80" spans="1:26" ht="13.5" thickBot="1">
      <c r="A80" s="455" t="s">
        <v>1184</v>
      </c>
      <c r="B80" s="1270" t="s">
        <v>426</v>
      </c>
      <c r="C80" s="1271" t="s">
        <v>276</v>
      </c>
      <c r="D80" s="1281" t="s">
        <v>307</v>
      </c>
      <c r="E80" s="1271" t="s">
        <v>276</v>
      </c>
      <c r="F80" s="1281" t="s">
        <v>307</v>
      </c>
      <c r="G80" s="1271" t="s">
        <v>564</v>
      </c>
      <c r="H80" s="1272" t="s">
        <v>461</v>
      </c>
      <c r="I80" s="1272" t="s">
        <v>462</v>
      </c>
      <c r="J80" s="1272" t="s">
        <v>463</v>
      </c>
      <c r="K80" s="1281" t="s">
        <v>259</v>
      </c>
      <c r="L80" s="1271" t="s">
        <v>564</v>
      </c>
      <c r="M80" s="1272" t="s">
        <v>461</v>
      </c>
      <c r="N80" s="1272" t="s">
        <v>462</v>
      </c>
      <c r="O80" s="1272" t="s">
        <v>463</v>
      </c>
      <c r="P80" s="1272" t="s">
        <v>259</v>
      </c>
      <c r="Q80" s="1272" t="s">
        <v>310</v>
      </c>
      <c r="R80" s="1285" t="s">
        <v>426</v>
      </c>
    </row>
    <row r="81" spans="1:18">
      <c r="A81" s="1257"/>
      <c r="B81" s="1260"/>
      <c r="C81" s="1258"/>
      <c r="D81" s="1259"/>
      <c r="E81" s="1260"/>
      <c r="F81" s="1273"/>
      <c r="G81" s="1258"/>
      <c r="H81" s="1259"/>
      <c r="I81" s="1259"/>
      <c r="J81" s="1259"/>
      <c r="K81" s="1276"/>
      <c r="L81" s="1260"/>
      <c r="M81" s="1282"/>
      <c r="N81" s="1282"/>
      <c r="O81" s="1282"/>
      <c r="P81" s="1288"/>
      <c r="Q81" s="1293"/>
      <c r="R81" s="1292"/>
    </row>
    <row r="82" spans="1:18">
      <c r="A82" s="150" t="s">
        <v>277</v>
      </c>
      <c r="B82" s="1263">
        <v>48033</v>
      </c>
      <c r="C82" s="1261">
        <v>1</v>
      </c>
      <c r="D82" s="1262"/>
      <c r="E82" s="1266">
        <f t="shared" ref="E82:E110" si="28">$B82*C82</f>
        <v>48033</v>
      </c>
      <c r="F82" s="1274">
        <f t="shared" ref="F82:F110" si="29">$B82*D82</f>
        <v>0</v>
      </c>
      <c r="G82" s="1261">
        <v>0</v>
      </c>
      <c r="H82" s="1262">
        <v>0</v>
      </c>
      <c r="I82" s="1262">
        <v>0</v>
      </c>
      <c r="J82" s="1262">
        <v>0</v>
      </c>
      <c r="K82" s="1287">
        <v>0</v>
      </c>
      <c r="L82" s="1266">
        <f>$B82*G82</f>
        <v>0</v>
      </c>
      <c r="M82" s="1283">
        <f t="shared" ref="M82:M110" si="30">$B82*H82</f>
        <v>0</v>
      </c>
      <c r="N82" s="1283">
        <f t="shared" ref="N82:P97" si="31">$B82*I82</f>
        <v>0</v>
      </c>
      <c r="O82" s="1283">
        <f t="shared" si="31"/>
        <v>0</v>
      </c>
      <c r="P82" s="1289">
        <f t="shared" si="31"/>
        <v>0</v>
      </c>
      <c r="Q82" s="1291">
        <v>0</v>
      </c>
      <c r="R82" s="1234">
        <f t="shared" ref="R82:R111" si="32">SUM(L68:Q68)</f>
        <v>4222.5569523999993</v>
      </c>
    </row>
    <row r="83" spans="1:18">
      <c r="A83" s="150" t="s">
        <v>278</v>
      </c>
      <c r="B83" s="1263">
        <v>19986</v>
      </c>
      <c r="C83" s="1261">
        <v>1</v>
      </c>
      <c r="D83" s="1262"/>
      <c r="E83" s="1266">
        <f t="shared" si="28"/>
        <v>19986</v>
      </c>
      <c r="F83" s="1274">
        <f t="shared" si="29"/>
        <v>0</v>
      </c>
      <c r="G83" s="1261">
        <v>0</v>
      </c>
      <c r="H83" s="1262">
        <v>0</v>
      </c>
      <c r="I83" s="1262">
        <v>0</v>
      </c>
      <c r="J83" s="1262">
        <v>0</v>
      </c>
      <c r="K83" s="1287">
        <v>0</v>
      </c>
      <c r="L83" s="1266">
        <f t="shared" ref="L83:L110" si="33">$B83*G83</f>
        <v>0</v>
      </c>
      <c r="M83" s="1283">
        <f t="shared" si="30"/>
        <v>0</v>
      </c>
      <c r="N83" s="1283">
        <f t="shared" si="31"/>
        <v>0</v>
      </c>
      <c r="O83" s="1283">
        <f t="shared" si="31"/>
        <v>0</v>
      </c>
      <c r="P83" s="1289">
        <f t="shared" si="31"/>
        <v>0</v>
      </c>
      <c r="Q83" s="1291">
        <v>0</v>
      </c>
      <c r="R83" s="1234">
        <f t="shared" si="32"/>
        <v>131.74121000000002</v>
      </c>
    </row>
    <row r="84" spans="1:18">
      <c r="A84" s="150" t="s">
        <v>279</v>
      </c>
      <c r="B84" s="1263">
        <v>13454</v>
      </c>
      <c r="C84" s="1261">
        <v>1</v>
      </c>
      <c r="D84" s="1262"/>
      <c r="E84" s="1266">
        <f t="shared" si="28"/>
        <v>13454</v>
      </c>
      <c r="F84" s="1274">
        <f t="shared" si="29"/>
        <v>0</v>
      </c>
      <c r="G84" s="1261">
        <v>0</v>
      </c>
      <c r="H84" s="1262">
        <v>0</v>
      </c>
      <c r="I84" s="1262">
        <v>0.17</v>
      </c>
      <c r="J84" s="1262">
        <v>0</v>
      </c>
      <c r="K84" s="1287">
        <v>0</v>
      </c>
      <c r="L84" s="1266">
        <f t="shared" si="33"/>
        <v>0</v>
      </c>
      <c r="M84" s="1283">
        <f t="shared" si="30"/>
        <v>0</v>
      </c>
      <c r="N84" s="1283">
        <f t="shared" si="31"/>
        <v>2287.1800000000003</v>
      </c>
      <c r="O84" s="1283">
        <f t="shared" si="31"/>
        <v>0</v>
      </c>
      <c r="P84" s="1289">
        <f t="shared" si="31"/>
        <v>0</v>
      </c>
      <c r="Q84" s="1291">
        <v>0</v>
      </c>
      <c r="R84" s="1234">
        <f t="shared" si="32"/>
        <v>19564.115379999996</v>
      </c>
    </row>
    <row r="85" spans="1:18">
      <c r="A85" s="150" t="s">
        <v>280</v>
      </c>
      <c r="B85" s="1263">
        <v>2544</v>
      </c>
      <c r="C85" s="1261"/>
      <c r="D85" s="1262">
        <v>1</v>
      </c>
      <c r="E85" s="1266">
        <f t="shared" si="28"/>
        <v>0</v>
      </c>
      <c r="F85" s="1274">
        <f t="shared" si="29"/>
        <v>2544</v>
      </c>
      <c r="G85" s="1261">
        <v>0.17</v>
      </c>
      <c r="H85" s="1262">
        <v>0.1</v>
      </c>
      <c r="I85" s="1262">
        <v>0</v>
      </c>
      <c r="J85" s="1262">
        <v>0</v>
      </c>
      <c r="K85" s="1287">
        <v>2.6499999999999999E-2</v>
      </c>
      <c r="L85" s="1266">
        <f t="shared" si="33"/>
        <v>432.48</v>
      </c>
      <c r="M85" s="1283">
        <f t="shared" si="30"/>
        <v>254.4</v>
      </c>
      <c r="N85" s="1283">
        <f t="shared" si="31"/>
        <v>0</v>
      </c>
      <c r="O85" s="1283">
        <f t="shared" si="31"/>
        <v>0</v>
      </c>
      <c r="P85" s="1289">
        <f t="shared" si="31"/>
        <v>67.415999999999997</v>
      </c>
      <c r="Q85" s="1291">
        <v>0</v>
      </c>
      <c r="R85" s="1234">
        <f t="shared" si="32"/>
        <v>666.12641999999994</v>
      </c>
    </row>
    <row r="86" spans="1:18">
      <c r="A86" s="150" t="s">
        <v>281</v>
      </c>
      <c r="B86" s="1263">
        <v>170</v>
      </c>
      <c r="C86" s="1261"/>
      <c r="D86" s="1262">
        <v>1</v>
      </c>
      <c r="E86" s="1266">
        <f t="shared" si="28"/>
        <v>0</v>
      </c>
      <c r="F86" s="1274">
        <f t="shared" si="29"/>
        <v>170</v>
      </c>
      <c r="G86" s="1261">
        <v>0</v>
      </c>
      <c r="H86" s="1262">
        <v>0</v>
      </c>
      <c r="I86" s="1262">
        <v>0.17</v>
      </c>
      <c r="J86" s="1262">
        <v>0</v>
      </c>
      <c r="K86" s="1287">
        <v>0</v>
      </c>
      <c r="L86" s="1266">
        <f t="shared" si="33"/>
        <v>0</v>
      </c>
      <c r="M86" s="1283">
        <f t="shared" si="30"/>
        <v>0</v>
      </c>
      <c r="N86" s="1283">
        <f t="shared" si="31"/>
        <v>28.900000000000002</v>
      </c>
      <c r="O86" s="1283">
        <f t="shared" si="31"/>
        <v>0</v>
      </c>
      <c r="P86" s="1289">
        <f t="shared" si="31"/>
        <v>0</v>
      </c>
      <c r="Q86" s="1291">
        <v>0</v>
      </c>
      <c r="R86" s="1234">
        <f t="shared" si="32"/>
        <v>1688.1950200000001</v>
      </c>
    </row>
    <row r="87" spans="1:18">
      <c r="A87" s="150" t="s">
        <v>282</v>
      </c>
      <c r="B87" s="1263">
        <v>1069</v>
      </c>
      <c r="C87" s="1261">
        <v>1</v>
      </c>
      <c r="D87" s="1262"/>
      <c r="E87" s="1266">
        <f t="shared" si="28"/>
        <v>1069</v>
      </c>
      <c r="F87" s="1274">
        <f t="shared" si="29"/>
        <v>0</v>
      </c>
      <c r="G87" s="1261">
        <v>0</v>
      </c>
      <c r="H87" s="1262">
        <v>0</v>
      </c>
      <c r="I87" s="1262">
        <v>0.17</v>
      </c>
      <c r="J87" s="1262">
        <v>0</v>
      </c>
      <c r="K87" s="1287">
        <v>0</v>
      </c>
      <c r="L87" s="1266">
        <f t="shared" si="33"/>
        <v>0</v>
      </c>
      <c r="M87" s="1283">
        <f t="shared" si="30"/>
        <v>0</v>
      </c>
      <c r="N87" s="1283">
        <f t="shared" si="31"/>
        <v>181.73000000000002</v>
      </c>
      <c r="O87" s="1283">
        <f t="shared" si="31"/>
        <v>0</v>
      </c>
      <c r="P87" s="1289">
        <f t="shared" si="31"/>
        <v>0</v>
      </c>
      <c r="Q87" s="1291">
        <v>0</v>
      </c>
      <c r="R87" s="1234">
        <f t="shared" si="32"/>
        <v>1299.0303711999998</v>
      </c>
    </row>
    <row r="88" spans="1:18">
      <c r="A88" s="150" t="s">
        <v>283</v>
      </c>
      <c r="B88" s="1263">
        <v>2440</v>
      </c>
      <c r="C88" s="1261"/>
      <c r="D88" s="1262">
        <v>1</v>
      </c>
      <c r="E88" s="1266">
        <f t="shared" si="28"/>
        <v>0</v>
      </c>
      <c r="F88" s="1274">
        <f t="shared" si="29"/>
        <v>2440</v>
      </c>
      <c r="G88" s="1261">
        <v>7.0000000000000007E-2</v>
      </c>
      <c r="H88" s="1262">
        <v>0</v>
      </c>
      <c r="I88" s="1262">
        <v>0</v>
      </c>
      <c r="J88" s="1262">
        <v>0</v>
      </c>
      <c r="K88" s="1287">
        <v>2.6499999999999999E-2</v>
      </c>
      <c r="L88" s="1266">
        <f t="shared" si="33"/>
        <v>170.8</v>
      </c>
      <c r="M88" s="1283">
        <f t="shared" si="30"/>
        <v>0</v>
      </c>
      <c r="N88" s="1283">
        <f t="shared" si="31"/>
        <v>0</v>
      </c>
      <c r="O88" s="1283">
        <f t="shared" si="31"/>
        <v>0</v>
      </c>
      <c r="P88" s="1289">
        <f t="shared" si="31"/>
        <v>64.66</v>
      </c>
      <c r="Q88" s="1291">
        <v>0</v>
      </c>
      <c r="R88" s="1234">
        <f t="shared" si="32"/>
        <v>136588.40748749999</v>
      </c>
    </row>
    <row r="89" spans="1:18">
      <c r="A89" s="150" t="s">
        <v>284</v>
      </c>
      <c r="B89" s="1263">
        <v>899</v>
      </c>
      <c r="C89" s="1261">
        <v>1</v>
      </c>
      <c r="D89" s="1262"/>
      <c r="E89" s="1266">
        <f t="shared" si="28"/>
        <v>899</v>
      </c>
      <c r="F89" s="1274">
        <f t="shared" si="29"/>
        <v>0</v>
      </c>
      <c r="G89" s="1261">
        <v>0</v>
      </c>
      <c r="H89" s="1262">
        <v>0</v>
      </c>
      <c r="I89" s="1262">
        <v>0.17</v>
      </c>
      <c r="J89" s="1262">
        <v>0</v>
      </c>
      <c r="K89" s="1287">
        <v>0</v>
      </c>
      <c r="L89" s="1266">
        <f t="shared" si="33"/>
        <v>0</v>
      </c>
      <c r="M89" s="1283">
        <f t="shared" si="30"/>
        <v>0</v>
      </c>
      <c r="N89" s="1283">
        <f t="shared" si="31"/>
        <v>152.83000000000001</v>
      </c>
      <c r="O89" s="1283">
        <f t="shared" si="31"/>
        <v>0</v>
      </c>
      <c r="P89" s="1289">
        <f t="shared" si="31"/>
        <v>0</v>
      </c>
      <c r="Q89" s="1291">
        <v>0</v>
      </c>
      <c r="R89" s="1234">
        <f t="shared" si="32"/>
        <v>0</v>
      </c>
    </row>
    <row r="90" spans="1:18">
      <c r="A90" s="150" t="s">
        <v>285</v>
      </c>
      <c r="B90" s="1263">
        <v>574</v>
      </c>
      <c r="C90" s="1261"/>
      <c r="D90" s="1262">
        <v>1</v>
      </c>
      <c r="E90" s="1266">
        <f t="shared" si="28"/>
        <v>0</v>
      </c>
      <c r="F90" s="1274">
        <f t="shared" si="29"/>
        <v>574</v>
      </c>
      <c r="G90" s="1261">
        <v>7.0000000000000007E-2</v>
      </c>
      <c r="H90" s="1262">
        <v>0</v>
      </c>
      <c r="I90" s="1262">
        <v>0</v>
      </c>
      <c r="J90" s="1262">
        <v>0</v>
      </c>
      <c r="K90" s="1287">
        <v>2.6499999999999999E-2</v>
      </c>
      <c r="L90" s="1266">
        <f t="shared" si="33"/>
        <v>40.180000000000007</v>
      </c>
      <c r="M90" s="1283">
        <f t="shared" si="30"/>
        <v>0</v>
      </c>
      <c r="N90" s="1283">
        <f t="shared" si="31"/>
        <v>0</v>
      </c>
      <c r="O90" s="1283">
        <f t="shared" si="31"/>
        <v>0</v>
      </c>
      <c r="P90" s="1289">
        <f t="shared" si="31"/>
        <v>15.211</v>
      </c>
      <c r="Q90" s="1291">
        <v>0</v>
      </c>
      <c r="R90" s="1234">
        <f t="shared" si="32"/>
        <v>192786.07773749999</v>
      </c>
    </row>
    <row r="91" spans="1:18">
      <c r="A91" s="150" t="s">
        <v>286</v>
      </c>
      <c r="B91" s="1263">
        <v>1208</v>
      </c>
      <c r="C91" s="1261">
        <v>1</v>
      </c>
      <c r="D91" s="1262"/>
      <c r="E91" s="1266">
        <f t="shared" si="28"/>
        <v>1208</v>
      </c>
      <c r="F91" s="1274">
        <f t="shared" si="29"/>
        <v>0</v>
      </c>
      <c r="G91" s="1261">
        <v>0</v>
      </c>
      <c r="H91" s="1262">
        <v>0</v>
      </c>
      <c r="I91" s="1262">
        <v>0.17</v>
      </c>
      <c r="J91" s="1262">
        <v>0</v>
      </c>
      <c r="K91" s="1287">
        <v>0</v>
      </c>
      <c r="L91" s="1266">
        <f t="shared" si="33"/>
        <v>0</v>
      </c>
      <c r="M91" s="1283">
        <f t="shared" si="30"/>
        <v>0</v>
      </c>
      <c r="N91" s="1283">
        <f t="shared" si="31"/>
        <v>205.36</v>
      </c>
      <c r="O91" s="1283">
        <f t="shared" si="31"/>
        <v>0</v>
      </c>
      <c r="P91" s="1289">
        <f t="shared" si="31"/>
        <v>0</v>
      </c>
      <c r="Q91" s="1291">
        <v>0</v>
      </c>
      <c r="R91" s="1234">
        <f t="shared" si="32"/>
        <v>0</v>
      </c>
    </row>
    <row r="92" spans="1:18">
      <c r="A92" s="150" t="s">
        <v>287</v>
      </c>
      <c r="B92" s="1263">
        <v>293</v>
      </c>
      <c r="C92" s="1261"/>
      <c r="D92" s="1262">
        <v>1</v>
      </c>
      <c r="E92" s="1266">
        <f t="shared" si="28"/>
        <v>0</v>
      </c>
      <c r="F92" s="1274">
        <f t="shared" si="29"/>
        <v>293</v>
      </c>
      <c r="G92" s="1261">
        <v>7.0000000000000007E-2</v>
      </c>
      <c r="H92" s="1262">
        <v>0</v>
      </c>
      <c r="I92" s="1262">
        <v>0</v>
      </c>
      <c r="J92" s="1262">
        <v>0</v>
      </c>
      <c r="K92" s="1287">
        <v>2.6499999999999999E-2</v>
      </c>
      <c r="L92" s="1266">
        <f t="shared" si="33"/>
        <v>20.51</v>
      </c>
      <c r="M92" s="1283">
        <f t="shared" si="30"/>
        <v>0</v>
      </c>
      <c r="N92" s="1283">
        <f t="shared" si="31"/>
        <v>0</v>
      </c>
      <c r="O92" s="1283">
        <f t="shared" si="31"/>
        <v>0</v>
      </c>
      <c r="P92" s="1289">
        <f t="shared" si="31"/>
        <v>7.7645</v>
      </c>
      <c r="Q92" s="1291">
        <v>0</v>
      </c>
      <c r="R92" s="1234">
        <f t="shared" si="32"/>
        <v>0</v>
      </c>
    </row>
    <row r="93" spans="1:18">
      <c r="A93" s="150" t="s">
        <v>288</v>
      </c>
      <c r="B93" s="1263">
        <v>293</v>
      </c>
      <c r="C93" s="1261"/>
      <c r="D93" s="1262">
        <v>1</v>
      </c>
      <c r="E93" s="1266">
        <f t="shared" si="28"/>
        <v>0</v>
      </c>
      <c r="F93" s="1274">
        <f t="shared" si="29"/>
        <v>293</v>
      </c>
      <c r="G93" s="1261">
        <v>7.0000000000000007E-2</v>
      </c>
      <c r="H93" s="1262">
        <v>0.08</v>
      </c>
      <c r="I93" s="1262">
        <v>0</v>
      </c>
      <c r="J93" s="1262">
        <v>0</v>
      </c>
      <c r="K93" s="1287">
        <v>2.6499999999999999E-2</v>
      </c>
      <c r="L93" s="1266">
        <f t="shared" si="33"/>
        <v>20.51</v>
      </c>
      <c r="M93" s="1283">
        <f t="shared" si="30"/>
        <v>23.44</v>
      </c>
      <c r="N93" s="1283">
        <f t="shared" si="31"/>
        <v>0</v>
      </c>
      <c r="O93" s="1283">
        <f t="shared" si="31"/>
        <v>0</v>
      </c>
      <c r="P93" s="1289">
        <f t="shared" si="31"/>
        <v>7.7645</v>
      </c>
      <c r="Q93" s="1291">
        <v>0</v>
      </c>
      <c r="R93" s="1234">
        <f t="shared" si="32"/>
        <v>0</v>
      </c>
    </row>
    <row r="94" spans="1:18">
      <c r="A94" s="150" t="s">
        <v>289</v>
      </c>
      <c r="B94" s="1263">
        <v>1213</v>
      </c>
      <c r="C94" s="1261"/>
      <c r="D94" s="1262">
        <v>1</v>
      </c>
      <c r="E94" s="1266">
        <f t="shared" si="28"/>
        <v>0</v>
      </c>
      <c r="F94" s="1274">
        <f t="shared" si="29"/>
        <v>1213</v>
      </c>
      <c r="G94" s="1261">
        <v>7.0000000000000007E-2</v>
      </c>
      <c r="H94" s="1262">
        <v>0</v>
      </c>
      <c r="I94" s="1262">
        <v>0</v>
      </c>
      <c r="J94" s="1262">
        <v>0</v>
      </c>
      <c r="K94" s="1287">
        <v>2.6499999999999999E-2</v>
      </c>
      <c r="L94" s="1266">
        <f t="shared" si="33"/>
        <v>84.910000000000011</v>
      </c>
      <c r="M94" s="1283">
        <f t="shared" si="30"/>
        <v>0</v>
      </c>
      <c r="N94" s="1283">
        <f t="shared" si="31"/>
        <v>0</v>
      </c>
      <c r="O94" s="1283">
        <f t="shared" si="31"/>
        <v>0</v>
      </c>
      <c r="P94" s="1289">
        <f t="shared" si="31"/>
        <v>32.144500000000001</v>
      </c>
      <c r="Q94" s="1291">
        <v>0</v>
      </c>
      <c r="R94" s="1234">
        <f t="shared" si="32"/>
        <v>0</v>
      </c>
    </row>
    <row r="95" spans="1:18">
      <c r="A95" s="150" t="s">
        <v>290</v>
      </c>
      <c r="B95" s="1263">
        <v>3203</v>
      </c>
      <c r="C95" s="1261"/>
      <c r="D95" s="1262">
        <v>1</v>
      </c>
      <c r="E95" s="1266">
        <f t="shared" si="28"/>
        <v>0</v>
      </c>
      <c r="F95" s="1274">
        <f t="shared" si="29"/>
        <v>3203</v>
      </c>
      <c r="G95" s="1261">
        <v>7.0000000000000007E-2</v>
      </c>
      <c r="H95" s="1262">
        <v>0.08</v>
      </c>
      <c r="I95" s="1262">
        <v>0</v>
      </c>
      <c r="J95" s="1262">
        <v>0</v>
      </c>
      <c r="K95" s="1287">
        <v>2.6499999999999999E-2</v>
      </c>
      <c r="L95" s="1266">
        <f t="shared" si="33"/>
        <v>224.21</v>
      </c>
      <c r="M95" s="1283">
        <f t="shared" si="30"/>
        <v>256.24</v>
      </c>
      <c r="N95" s="1283">
        <f t="shared" si="31"/>
        <v>0</v>
      </c>
      <c r="O95" s="1283">
        <f t="shared" si="31"/>
        <v>0</v>
      </c>
      <c r="P95" s="1289">
        <f t="shared" si="31"/>
        <v>84.879499999999993</v>
      </c>
      <c r="Q95" s="1291">
        <v>0</v>
      </c>
      <c r="R95" s="1234">
        <f t="shared" si="32"/>
        <v>0</v>
      </c>
    </row>
    <row r="96" spans="1:18">
      <c r="A96" s="150" t="s">
        <v>291</v>
      </c>
      <c r="B96" s="1263">
        <v>2135</v>
      </c>
      <c r="C96" s="1261">
        <v>1</v>
      </c>
      <c r="D96" s="1262"/>
      <c r="E96" s="1266">
        <f t="shared" si="28"/>
        <v>2135</v>
      </c>
      <c r="F96" s="1274">
        <f t="shared" si="29"/>
        <v>0</v>
      </c>
      <c r="G96" s="1261">
        <v>0</v>
      </c>
      <c r="H96" s="1262">
        <v>0.08</v>
      </c>
      <c r="I96" s="1262">
        <v>0.17</v>
      </c>
      <c r="J96" s="1262">
        <v>0</v>
      </c>
      <c r="K96" s="1287">
        <v>0</v>
      </c>
      <c r="L96" s="1266">
        <f t="shared" si="33"/>
        <v>0</v>
      </c>
      <c r="M96" s="1283">
        <f t="shared" si="30"/>
        <v>170.8</v>
      </c>
      <c r="N96" s="1283">
        <f t="shared" si="31"/>
        <v>362.95000000000005</v>
      </c>
      <c r="O96" s="1283">
        <f t="shared" si="31"/>
        <v>0</v>
      </c>
      <c r="P96" s="1289">
        <f t="shared" si="31"/>
        <v>0</v>
      </c>
      <c r="Q96" s="1291">
        <v>0</v>
      </c>
      <c r="R96" s="1234">
        <f t="shared" si="32"/>
        <v>0</v>
      </c>
    </row>
    <row r="97" spans="1:18">
      <c r="A97" s="150" t="s">
        <v>292</v>
      </c>
      <c r="B97" s="1263">
        <v>831</v>
      </c>
      <c r="C97" s="1261"/>
      <c r="D97" s="1262">
        <v>1</v>
      </c>
      <c r="E97" s="1266">
        <f t="shared" si="28"/>
        <v>0</v>
      </c>
      <c r="F97" s="1274">
        <f t="shared" si="29"/>
        <v>831</v>
      </c>
      <c r="G97" s="1261">
        <v>7.0000000000000007E-2</v>
      </c>
      <c r="H97" s="1262">
        <v>0.08</v>
      </c>
      <c r="I97" s="1262">
        <v>0</v>
      </c>
      <c r="J97" s="1262">
        <v>0</v>
      </c>
      <c r="K97" s="1287">
        <v>2.6499999999999999E-2</v>
      </c>
      <c r="L97" s="1266">
        <f t="shared" si="33"/>
        <v>58.170000000000009</v>
      </c>
      <c r="M97" s="1283">
        <f t="shared" si="30"/>
        <v>66.48</v>
      </c>
      <c r="N97" s="1283">
        <f t="shared" si="31"/>
        <v>0</v>
      </c>
      <c r="O97" s="1283">
        <f t="shared" si="31"/>
        <v>0</v>
      </c>
      <c r="P97" s="1289">
        <f t="shared" si="31"/>
        <v>22.0215</v>
      </c>
      <c r="Q97" s="1291">
        <v>0</v>
      </c>
      <c r="R97" s="1234">
        <f t="shared" si="32"/>
        <v>0</v>
      </c>
    </row>
    <row r="98" spans="1:18">
      <c r="A98" s="150" t="s">
        <v>293</v>
      </c>
      <c r="B98" s="1263">
        <v>554</v>
      </c>
      <c r="C98" s="1261">
        <v>1</v>
      </c>
      <c r="D98" s="1262"/>
      <c r="E98" s="1266">
        <f t="shared" si="28"/>
        <v>554</v>
      </c>
      <c r="F98" s="1274">
        <f t="shared" si="29"/>
        <v>0</v>
      </c>
      <c r="G98" s="1261">
        <v>0</v>
      </c>
      <c r="H98" s="1262">
        <v>0.08</v>
      </c>
      <c r="I98" s="1262">
        <v>0.17</v>
      </c>
      <c r="J98" s="1262">
        <v>0</v>
      </c>
      <c r="K98" s="1287">
        <v>0</v>
      </c>
      <c r="L98" s="1266">
        <f t="shared" si="33"/>
        <v>0</v>
      </c>
      <c r="M98" s="1283">
        <f t="shared" si="30"/>
        <v>44.32</v>
      </c>
      <c r="N98" s="1283">
        <f t="shared" ref="N98:N110" si="34">$B98*I98</f>
        <v>94.18</v>
      </c>
      <c r="O98" s="1283">
        <f t="shared" ref="O98:O110" si="35">$B98*J98</f>
        <v>0</v>
      </c>
      <c r="P98" s="1289">
        <f t="shared" ref="P98:P110" si="36">$B98*K98</f>
        <v>0</v>
      </c>
      <c r="Q98" s="1291">
        <v>0</v>
      </c>
      <c r="R98" s="1234">
        <f t="shared" si="32"/>
        <v>2287.1800000000003</v>
      </c>
    </row>
    <row r="99" spans="1:18">
      <c r="A99" s="150" t="s">
        <v>294</v>
      </c>
      <c r="B99" s="1263">
        <v>736</v>
      </c>
      <c r="C99" s="1261"/>
      <c r="D99" s="1262">
        <v>1</v>
      </c>
      <c r="E99" s="1266">
        <f t="shared" si="28"/>
        <v>0</v>
      </c>
      <c r="F99" s="1274">
        <f t="shared" si="29"/>
        <v>736</v>
      </c>
      <c r="G99" s="1261">
        <v>0.17</v>
      </c>
      <c r="H99" s="1262">
        <v>0.04</v>
      </c>
      <c r="I99" s="1262">
        <v>0</v>
      </c>
      <c r="J99" s="1262">
        <v>0</v>
      </c>
      <c r="K99" s="1287">
        <v>2.6499999999999999E-2</v>
      </c>
      <c r="L99" s="1266">
        <f t="shared" si="33"/>
        <v>125.12</v>
      </c>
      <c r="M99" s="1283">
        <f t="shared" si="30"/>
        <v>29.44</v>
      </c>
      <c r="N99" s="1283">
        <f t="shared" si="34"/>
        <v>0</v>
      </c>
      <c r="O99" s="1283">
        <f t="shared" si="35"/>
        <v>0</v>
      </c>
      <c r="P99" s="1289">
        <f t="shared" si="36"/>
        <v>19.503999999999998</v>
      </c>
      <c r="Q99" s="1291">
        <v>0</v>
      </c>
      <c r="R99" s="1234">
        <f t="shared" si="32"/>
        <v>754.29600000000005</v>
      </c>
    </row>
    <row r="100" spans="1:18">
      <c r="A100" s="150" t="s">
        <v>295</v>
      </c>
      <c r="B100" s="1263">
        <v>69</v>
      </c>
      <c r="C100" s="1261"/>
      <c r="D100" s="1262">
        <v>1</v>
      </c>
      <c r="E100" s="1266">
        <f t="shared" si="28"/>
        <v>0</v>
      </c>
      <c r="F100" s="1274">
        <f t="shared" si="29"/>
        <v>69</v>
      </c>
      <c r="G100" s="1261">
        <v>7.0000000000000007E-2</v>
      </c>
      <c r="H100" s="1262">
        <v>0</v>
      </c>
      <c r="I100" s="1262">
        <v>0</v>
      </c>
      <c r="J100" s="1262">
        <v>0</v>
      </c>
      <c r="K100" s="1287">
        <v>2.6499999999999999E-2</v>
      </c>
      <c r="L100" s="1266">
        <f t="shared" si="33"/>
        <v>4.83</v>
      </c>
      <c r="M100" s="1283">
        <f t="shared" si="30"/>
        <v>0</v>
      </c>
      <c r="N100" s="1283">
        <f t="shared" si="34"/>
        <v>0</v>
      </c>
      <c r="O100" s="1283">
        <f t="shared" si="35"/>
        <v>0</v>
      </c>
      <c r="P100" s="1289">
        <f t="shared" si="36"/>
        <v>1.8285</v>
      </c>
      <c r="Q100" s="1291">
        <v>0</v>
      </c>
      <c r="R100" s="1234">
        <f t="shared" si="32"/>
        <v>28.900000000000002</v>
      </c>
    </row>
    <row r="101" spans="1:18">
      <c r="A101" s="150" t="s">
        <v>296</v>
      </c>
      <c r="B101" s="1263">
        <v>900</v>
      </c>
      <c r="C101" s="1261"/>
      <c r="D101" s="1262">
        <v>1</v>
      </c>
      <c r="E101" s="1266">
        <f t="shared" si="28"/>
        <v>0</v>
      </c>
      <c r="F101" s="1274">
        <f t="shared" si="29"/>
        <v>900</v>
      </c>
      <c r="G101" s="1261">
        <v>7.0000000000000007E-2</v>
      </c>
      <c r="H101" s="1262">
        <v>0.04</v>
      </c>
      <c r="I101" s="1262">
        <v>0</v>
      </c>
      <c r="J101" s="1262">
        <v>0</v>
      </c>
      <c r="K101" s="1287">
        <v>2.6499999999999999E-2</v>
      </c>
      <c r="L101" s="1266">
        <f t="shared" si="33"/>
        <v>63.000000000000007</v>
      </c>
      <c r="M101" s="1283">
        <f t="shared" si="30"/>
        <v>36</v>
      </c>
      <c r="N101" s="1283">
        <f t="shared" si="34"/>
        <v>0</v>
      </c>
      <c r="O101" s="1283">
        <f t="shared" si="35"/>
        <v>0</v>
      </c>
      <c r="P101" s="1289">
        <f t="shared" si="36"/>
        <v>23.849999999999998</v>
      </c>
      <c r="Q101" s="1291">
        <v>0</v>
      </c>
      <c r="R101" s="1234">
        <f t="shared" si="32"/>
        <v>181.73000000000002</v>
      </c>
    </row>
    <row r="102" spans="1:18">
      <c r="A102" s="150" t="s">
        <v>297</v>
      </c>
      <c r="B102" s="1263">
        <v>5627</v>
      </c>
      <c r="C102" s="1261"/>
      <c r="D102" s="1262">
        <v>1</v>
      </c>
      <c r="E102" s="1266">
        <f t="shared" si="28"/>
        <v>0</v>
      </c>
      <c r="F102" s="1274">
        <f t="shared" si="29"/>
        <v>5627</v>
      </c>
      <c r="G102" s="1261">
        <v>7.0000000000000007E-2</v>
      </c>
      <c r="H102" s="1262">
        <v>0</v>
      </c>
      <c r="I102" s="1262">
        <v>0</v>
      </c>
      <c r="J102" s="1262">
        <v>0</v>
      </c>
      <c r="K102" s="1287">
        <v>2.6499999999999999E-2</v>
      </c>
      <c r="L102" s="1266">
        <f t="shared" si="33"/>
        <v>393.89000000000004</v>
      </c>
      <c r="M102" s="1283">
        <f t="shared" si="30"/>
        <v>0</v>
      </c>
      <c r="N102" s="1283">
        <f t="shared" si="34"/>
        <v>0</v>
      </c>
      <c r="O102" s="1283">
        <f t="shared" si="35"/>
        <v>0</v>
      </c>
      <c r="P102" s="1289">
        <f t="shared" si="36"/>
        <v>149.1155</v>
      </c>
      <c r="Q102" s="1291">
        <v>0</v>
      </c>
      <c r="R102" s="1234">
        <f t="shared" si="32"/>
        <v>235.46</v>
      </c>
    </row>
    <row r="103" spans="1:18">
      <c r="A103" s="150" t="s">
        <v>298</v>
      </c>
      <c r="B103" s="1263">
        <v>311</v>
      </c>
      <c r="C103" s="1261"/>
      <c r="D103" s="1262">
        <v>1</v>
      </c>
      <c r="E103" s="1266">
        <f t="shared" si="28"/>
        <v>0</v>
      </c>
      <c r="F103" s="1274">
        <f t="shared" si="29"/>
        <v>311</v>
      </c>
      <c r="G103" s="1261">
        <v>7.0000000000000007E-2</v>
      </c>
      <c r="H103" s="1262">
        <v>0</v>
      </c>
      <c r="I103" s="1262">
        <v>0</v>
      </c>
      <c r="J103" s="1262">
        <v>0</v>
      </c>
      <c r="K103" s="1287">
        <v>2.6499999999999999E-2</v>
      </c>
      <c r="L103" s="1266">
        <f t="shared" si="33"/>
        <v>21.770000000000003</v>
      </c>
      <c r="M103" s="1283">
        <f t="shared" si="30"/>
        <v>0</v>
      </c>
      <c r="N103" s="1283">
        <f t="shared" si="34"/>
        <v>0</v>
      </c>
      <c r="O103" s="1283">
        <f t="shared" si="35"/>
        <v>0</v>
      </c>
      <c r="P103" s="1289">
        <f t="shared" si="36"/>
        <v>8.2415000000000003</v>
      </c>
      <c r="Q103" s="1291">
        <v>0</v>
      </c>
      <c r="R103" s="1234">
        <f t="shared" si="32"/>
        <v>152.83000000000001</v>
      </c>
    </row>
    <row r="104" spans="1:18">
      <c r="A104" s="150" t="s">
        <v>1338</v>
      </c>
      <c r="B104" s="1263">
        <v>293</v>
      </c>
      <c r="C104" s="1261"/>
      <c r="D104" s="1262">
        <v>1</v>
      </c>
      <c r="E104" s="1266">
        <f t="shared" si="28"/>
        <v>0</v>
      </c>
      <c r="F104" s="1274">
        <f t="shared" si="29"/>
        <v>293</v>
      </c>
      <c r="G104" s="1261">
        <v>0.17</v>
      </c>
      <c r="H104" s="1262">
        <v>0.05</v>
      </c>
      <c r="I104" s="1262">
        <v>0</v>
      </c>
      <c r="J104" s="1262">
        <v>0</v>
      </c>
      <c r="K104" s="1287">
        <v>2.6499999999999999E-2</v>
      </c>
      <c r="L104" s="1266">
        <f t="shared" si="33"/>
        <v>49.81</v>
      </c>
      <c r="M104" s="1283">
        <f t="shared" si="30"/>
        <v>14.65</v>
      </c>
      <c r="N104" s="1283">
        <f t="shared" si="34"/>
        <v>0</v>
      </c>
      <c r="O104" s="1283">
        <f t="shared" si="35"/>
        <v>0</v>
      </c>
      <c r="P104" s="1289">
        <f t="shared" si="36"/>
        <v>7.7645</v>
      </c>
      <c r="Q104" s="1291">
        <v>0</v>
      </c>
      <c r="R104" s="1234">
        <f t="shared" si="32"/>
        <v>55.391000000000005</v>
      </c>
    </row>
    <row r="105" spans="1:18">
      <c r="A105" s="150" t="s">
        <v>299</v>
      </c>
      <c r="B105" s="1263">
        <v>9074</v>
      </c>
      <c r="C105" s="1261"/>
      <c r="D105" s="1262">
        <v>1</v>
      </c>
      <c r="E105" s="1266">
        <f t="shared" si="28"/>
        <v>0</v>
      </c>
      <c r="F105" s="1274">
        <f t="shared" si="29"/>
        <v>9074</v>
      </c>
      <c r="G105" s="1261">
        <v>7.0000000000000007E-2</v>
      </c>
      <c r="H105" s="1262">
        <v>0</v>
      </c>
      <c r="I105" s="1262">
        <v>0</v>
      </c>
      <c r="J105" s="1262">
        <v>0</v>
      </c>
      <c r="K105" s="1287">
        <v>2.6499999999999999E-2</v>
      </c>
      <c r="L105" s="1266">
        <f t="shared" si="33"/>
        <v>635.18000000000006</v>
      </c>
      <c r="M105" s="1283">
        <f t="shared" si="30"/>
        <v>0</v>
      </c>
      <c r="N105" s="1283">
        <f t="shared" si="34"/>
        <v>0</v>
      </c>
      <c r="O105" s="1283">
        <f t="shared" si="35"/>
        <v>0</v>
      </c>
      <c r="P105" s="1289">
        <f t="shared" si="36"/>
        <v>240.46099999999998</v>
      </c>
      <c r="Q105" s="1291">
        <v>0</v>
      </c>
      <c r="R105" s="1234">
        <f t="shared" si="32"/>
        <v>205.36</v>
      </c>
    </row>
    <row r="106" spans="1:18">
      <c r="A106" s="150" t="s">
        <v>300</v>
      </c>
      <c r="B106" s="1263">
        <v>4516</v>
      </c>
      <c r="C106" s="1261"/>
      <c r="D106" s="1262">
        <v>1</v>
      </c>
      <c r="E106" s="1266">
        <f t="shared" si="28"/>
        <v>0</v>
      </c>
      <c r="F106" s="1274">
        <f t="shared" si="29"/>
        <v>4516</v>
      </c>
      <c r="G106" s="1261">
        <v>7.0000000000000007E-2</v>
      </c>
      <c r="H106" s="1262">
        <v>0</v>
      </c>
      <c r="I106" s="1262">
        <v>0</v>
      </c>
      <c r="J106" s="1262">
        <v>0</v>
      </c>
      <c r="K106" s="1287">
        <v>2.6499999999999999E-2</v>
      </c>
      <c r="L106" s="1266">
        <f t="shared" si="33"/>
        <v>316.12</v>
      </c>
      <c r="M106" s="1283">
        <f t="shared" si="30"/>
        <v>0</v>
      </c>
      <c r="N106" s="1283">
        <f t="shared" si="34"/>
        <v>0</v>
      </c>
      <c r="O106" s="1283">
        <f t="shared" si="35"/>
        <v>0</v>
      </c>
      <c r="P106" s="1289">
        <f t="shared" si="36"/>
        <v>119.67399999999999</v>
      </c>
      <c r="Q106" s="1291">
        <v>0</v>
      </c>
      <c r="R106" s="1234">
        <f t="shared" si="32"/>
        <v>28.274500000000003</v>
      </c>
    </row>
    <row r="107" spans="1:18">
      <c r="A107" s="150" t="s">
        <v>301</v>
      </c>
      <c r="B107" s="1263">
        <v>1505</v>
      </c>
      <c r="C107" s="1261">
        <v>1</v>
      </c>
      <c r="D107" s="1262"/>
      <c r="E107" s="1266">
        <f t="shared" si="28"/>
        <v>1505</v>
      </c>
      <c r="F107" s="1274">
        <f t="shared" si="29"/>
        <v>0</v>
      </c>
      <c r="G107" s="1261">
        <v>0</v>
      </c>
      <c r="H107" s="1262">
        <v>0</v>
      </c>
      <c r="I107" s="1262">
        <v>0</v>
      </c>
      <c r="J107" s="1262">
        <v>0</v>
      </c>
      <c r="K107" s="1287">
        <v>0</v>
      </c>
      <c r="L107" s="1266">
        <f t="shared" si="33"/>
        <v>0</v>
      </c>
      <c r="M107" s="1283">
        <f t="shared" si="30"/>
        <v>0</v>
      </c>
      <c r="N107" s="1283">
        <f t="shared" si="34"/>
        <v>0</v>
      </c>
      <c r="O107" s="1283">
        <f t="shared" si="35"/>
        <v>0</v>
      </c>
      <c r="P107" s="1289">
        <f t="shared" si="36"/>
        <v>0</v>
      </c>
      <c r="Q107" s="1291">
        <v>0</v>
      </c>
      <c r="R107" s="1234">
        <f t="shared" si="32"/>
        <v>51.714500000000001</v>
      </c>
    </row>
    <row r="108" spans="1:18">
      <c r="A108" s="150" t="s">
        <v>302</v>
      </c>
      <c r="B108" s="1263">
        <v>7940</v>
      </c>
      <c r="C108" s="1261">
        <v>1</v>
      </c>
      <c r="D108" s="1262"/>
      <c r="E108" s="1266">
        <f t="shared" si="28"/>
        <v>7940</v>
      </c>
      <c r="F108" s="1274">
        <f t="shared" si="29"/>
        <v>0</v>
      </c>
      <c r="G108" s="1261">
        <v>0</v>
      </c>
      <c r="H108" s="1262">
        <v>0.15</v>
      </c>
      <c r="I108" s="1262">
        <v>0.18</v>
      </c>
      <c r="J108" s="1262">
        <v>0</v>
      </c>
      <c r="K108" s="1287">
        <v>0</v>
      </c>
      <c r="L108" s="1266">
        <f t="shared" si="33"/>
        <v>0</v>
      </c>
      <c r="M108" s="1283">
        <f t="shared" si="30"/>
        <v>1191</v>
      </c>
      <c r="N108" s="1283">
        <f t="shared" si="34"/>
        <v>1429.2</v>
      </c>
      <c r="O108" s="1283">
        <f t="shared" si="35"/>
        <v>0</v>
      </c>
      <c r="P108" s="1289">
        <f t="shared" si="36"/>
        <v>0</v>
      </c>
      <c r="Q108" s="1291">
        <v>0</v>
      </c>
      <c r="R108" s="1234">
        <f t="shared" si="32"/>
        <v>117.05450000000002</v>
      </c>
    </row>
    <row r="109" spans="1:18">
      <c r="A109" s="20" t="s">
        <v>303</v>
      </c>
      <c r="B109" s="1263">
        <v>26720</v>
      </c>
      <c r="C109" s="1261"/>
      <c r="D109" s="1262">
        <v>1</v>
      </c>
      <c r="E109" s="1266">
        <f t="shared" si="28"/>
        <v>0</v>
      </c>
      <c r="F109" s="1274">
        <f t="shared" si="29"/>
        <v>26720</v>
      </c>
      <c r="G109" s="1261">
        <v>0</v>
      </c>
      <c r="H109" s="1262">
        <v>0</v>
      </c>
      <c r="I109" s="1262">
        <v>0</v>
      </c>
      <c r="J109" s="1262">
        <v>0.05</v>
      </c>
      <c r="K109" s="1287">
        <v>2.6499999999999999E-2</v>
      </c>
      <c r="L109" s="1266">
        <f t="shared" si="33"/>
        <v>0</v>
      </c>
      <c r="M109" s="1283">
        <f t="shared" si="30"/>
        <v>0</v>
      </c>
      <c r="N109" s="1283">
        <f t="shared" si="34"/>
        <v>0</v>
      </c>
      <c r="O109" s="1283">
        <f t="shared" si="35"/>
        <v>1336</v>
      </c>
      <c r="P109" s="1289">
        <f t="shared" si="36"/>
        <v>708.07999999999993</v>
      </c>
      <c r="Q109" s="1291">
        <v>0</v>
      </c>
      <c r="R109" s="1234">
        <f t="shared" si="32"/>
        <v>565.32950000000005</v>
      </c>
    </row>
    <row r="110" spans="1:18">
      <c r="A110" s="20" t="s">
        <v>304</v>
      </c>
      <c r="B110" s="1263">
        <v>24010</v>
      </c>
      <c r="C110" s="1261"/>
      <c r="D110" s="1262">
        <v>1</v>
      </c>
      <c r="E110" s="1266">
        <f t="shared" si="28"/>
        <v>0</v>
      </c>
      <c r="F110" s="1274">
        <f t="shared" si="29"/>
        <v>24010</v>
      </c>
      <c r="G110" s="1261">
        <v>0</v>
      </c>
      <c r="H110" s="1262">
        <v>0</v>
      </c>
      <c r="I110" s="1262">
        <v>0</v>
      </c>
      <c r="J110" s="1262">
        <v>0.05</v>
      </c>
      <c r="K110" s="1287">
        <v>2.6499999999999999E-2</v>
      </c>
      <c r="L110" s="1266">
        <f t="shared" si="33"/>
        <v>0</v>
      </c>
      <c r="M110" s="1283">
        <f t="shared" si="30"/>
        <v>0</v>
      </c>
      <c r="N110" s="1283">
        <f t="shared" si="34"/>
        <v>0</v>
      </c>
      <c r="O110" s="1283">
        <f t="shared" si="35"/>
        <v>1200.5</v>
      </c>
      <c r="P110" s="1289">
        <f t="shared" si="36"/>
        <v>636.26499999999999</v>
      </c>
      <c r="Q110" s="1291">
        <v>0</v>
      </c>
      <c r="R110" s="1234">
        <f t="shared" si="32"/>
        <v>533.75</v>
      </c>
    </row>
    <row r="111" spans="1:18">
      <c r="A111" s="150" t="s">
        <v>310</v>
      </c>
      <c r="B111" s="1266"/>
      <c r="C111" s="1264"/>
      <c r="D111" s="1265"/>
      <c r="E111" s="1266"/>
      <c r="F111" s="1274"/>
      <c r="G111" s="1264"/>
      <c r="H111" s="1265"/>
      <c r="I111" s="1265"/>
      <c r="J111" s="1265"/>
      <c r="K111" s="1277"/>
      <c r="L111" s="1266"/>
      <c r="M111" s="1283"/>
      <c r="N111" s="1283"/>
      <c r="O111" s="1283"/>
      <c r="P111" s="1289"/>
      <c r="Q111" s="1291">
        <v>1000</v>
      </c>
      <c r="R111" s="1234">
        <f t="shared" si="32"/>
        <v>146.67150000000001</v>
      </c>
    </row>
    <row r="112" spans="1:18" ht="13.5" thickBot="1">
      <c r="A112" s="150"/>
      <c r="B112" s="1266"/>
      <c r="C112" s="1264"/>
      <c r="D112" s="1265"/>
      <c r="E112" s="1266"/>
      <c r="F112" s="1274"/>
      <c r="G112" s="1264"/>
      <c r="H112" s="1265"/>
      <c r="I112" s="1265"/>
      <c r="J112" s="1265"/>
      <c r="K112" s="1277"/>
      <c r="L112" s="1266"/>
      <c r="M112" s="1283"/>
      <c r="N112" s="1283"/>
      <c r="O112" s="1283"/>
      <c r="P112" s="1289"/>
      <c r="Q112" s="1294"/>
      <c r="R112" s="1234"/>
    </row>
    <row r="113" spans="1:18" ht="13.5" thickBot="1">
      <c r="A113" s="627" t="s">
        <v>305</v>
      </c>
      <c r="B113" s="1269">
        <f>SUM(B82:B110)</f>
        <v>180600</v>
      </c>
      <c r="C113" s="1267"/>
      <c r="D113" s="1268"/>
      <c r="E113" s="1269">
        <f>SUM(E82:E110)</f>
        <v>96783</v>
      </c>
      <c r="F113" s="1275">
        <f>SUM(F82:F110)</f>
        <v>83817</v>
      </c>
      <c r="G113" s="1267"/>
      <c r="H113" s="1268"/>
      <c r="I113" s="1268"/>
      <c r="J113" s="1268"/>
      <c r="K113" s="1278"/>
      <c r="L113" s="1269">
        <f>SUM(L82:L110)</f>
        <v>2661.49</v>
      </c>
      <c r="M113" s="1284">
        <f>SUM(M82:M110)</f>
        <v>2086.7700000000004</v>
      </c>
      <c r="N113" s="1284">
        <f>SUM(N82:N110)</f>
        <v>4742.3300000000008</v>
      </c>
      <c r="O113" s="1284">
        <f>SUM(O82:O110)</f>
        <v>2536.5</v>
      </c>
      <c r="P113" s="1290">
        <f>SUM(P82:P110)</f>
        <v>2216.6455000000001</v>
      </c>
      <c r="Q113" s="1286">
        <f>SUM(Q82:Q111)</f>
        <v>1000</v>
      </c>
      <c r="R113" s="1286">
        <f>SUM(R82:R111)</f>
        <v>362290.1920786</v>
      </c>
    </row>
  </sheetData>
  <printOptions horizontalCentered="1"/>
  <pageMargins left="0.25" right="0.25" top="0.5" bottom="0.5" header="0.25" footer="0.25"/>
  <pageSetup scale="27" orientation="landscape" horizontalDpi="4294967294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BF107"/>
  <sheetViews>
    <sheetView showGridLines="0" zoomScale="75" zoomScaleNormal="90" workbookViewId="0">
      <pane xSplit="5" ySplit="8" topLeftCell="AO61" activePane="bottomRight" state="frozen"/>
      <selection pane="topRight"/>
      <selection pane="bottomLeft"/>
      <selection pane="bottomRight" activeCell="BA65" sqref="BA65"/>
    </sheetView>
  </sheetViews>
  <sheetFormatPr defaultRowHeight="12.75"/>
  <cols>
    <col min="1" max="1" width="4.7109375" style="302" customWidth="1"/>
    <col min="2" max="2" width="30.7109375" style="302" customWidth="1"/>
    <col min="3" max="3" width="10.7109375" style="302" customWidth="1"/>
    <col min="4" max="4" width="4.7109375" style="302" customWidth="1"/>
    <col min="5" max="8" width="10.7109375" style="302" customWidth="1"/>
    <col min="9" max="9" width="13.28515625" style="302" customWidth="1"/>
    <col min="10" max="10" width="10.7109375" style="302" customWidth="1"/>
    <col min="11" max="11" width="12.28515625" style="302" customWidth="1"/>
    <col min="12" max="13" width="10.7109375" style="302" customWidth="1"/>
    <col min="14" max="17" width="12.28515625" style="302" customWidth="1"/>
    <col min="18" max="20" width="10.7109375" style="302" customWidth="1"/>
    <col min="21" max="23" width="12.7109375" style="302" customWidth="1"/>
    <col min="24" max="28" width="10.7109375" style="302" customWidth="1"/>
    <col min="29" max="29" width="13.28515625" style="302" customWidth="1"/>
    <col min="30" max="30" width="10.7109375" style="302" customWidth="1"/>
    <col min="31" max="32" width="9.7109375" style="302" customWidth="1"/>
    <col min="33" max="33" width="10" style="302" customWidth="1"/>
    <col min="34" max="51" width="9.7109375" style="302" customWidth="1"/>
    <col min="52" max="52" width="1.7109375" style="302" customWidth="1"/>
    <col min="53" max="53" width="10.7109375" style="302" customWidth="1"/>
    <col min="54" max="54" width="9.140625" style="302"/>
    <col min="55" max="55" width="11.5703125" style="302" bestFit="1" customWidth="1"/>
    <col min="56" max="56" width="9.140625" style="302"/>
    <col min="57" max="57" width="13.85546875" style="302" bestFit="1" customWidth="1"/>
    <col min="58" max="58" width="11.5703125" style="302" bestFit="1" customWidth="1"/>
    <col min="59" max="16384" width="9.140625" style="302"/>
  </cols>
  <sheetData>
    <row r="1" spans="1:53" s="298" customFormat="1" ht="15.75">
      <c r="A1" s="1137" t="str">
        <f>CONCATENATE(TOC!B2," ",TOC!B6)</f>
        <v>EMPRESSA PRODUTORA DE ENERGÍA LTDA (EPE) *** DRAFT COPY ***</v>
      </c>
      <c r="B1" s="290"/>
      <c r="C1" s="291"/>
      <c r="D1" s="292"/>
      <c r="E1" s="293"/>
      <c r="F1" s="293"/>
      <c r="G1" s="293"/>
      <c r="H1" s="294"/>
      <c r="I1" s="293"/>
      <c r="J1" s="293"/>
      <c r="K1" s="295"/>
      <c r="L1" s="293"/>
      <c r="M1" s="293"/>
      <c r="N1" s="293"/>
      <c r="O1" s="293"/>
      <c r="P1" s="293"/>
      <c r="Q1" s="293"/>
      <c r="R1" s="293"/>
      <c r="S1" s="296"/>
      <c r="T1" s="293"/>
      <c r="U1" s="293"/>
      <c r="V1" s="293"/>
      <c r="W1" s="293"/>
      <c r="X1" s="293"/>
      <c r="Y1" s="293"/>
      <c r="Z1" s="297"/>
      <c r="AA1" s="297"/>
      <c r="AB1" s="292"/>
    </row>
    <row r="2" spans="1:53" s="298" customFormat="1" ht="15.75">
      <c r="A2" s="1137" t="str">
        <f>TOC!B3</f>
        <v>480 MW POWER PLANT (CUIABA, BRAZIL)</v>
      </c>
      <c r="B2" s="290"/>
      <c r="C2" s="291"/>
      <c r="D2" s="292"/>
      <c r="E2" s="293"/>
      <c r="F2" s="293"/>
      <c r="G2" s="293"/>
      <c r="H2" s="294"/>
      <c r="I2" s="293"/>
      <c r="J2" s="293"/>
      <c r="K2" s="295"/>
      <c r="L2" s="293"/>
      <c r="M2" s="293"/>
      <c r="N2" s="293"/>
      <c r="O2" s="293"/>
      <c r="P2" s="293"/>
      <c r="Q2" s="293"/>
      <c r="R2" s="293"/>
      <c r="S2" s="296"/>
      <c r="T2" s="293"/>
      <c r="U2" s="293"/>
      <c r="V2" s="293"/>
      <c r="W2" s="293"/>
      <c r="X2" s="293"/>
      <c r="Y2" s="293"/>
      <c r="Z2" s="297"/>
      <c r="AA2" s="297"/>
      <c r="AB2" s="292"/>
    </row>
    <row r="3" spans="1:53" s="298" customFormat="1" ht="15.75">
      <c r="A3" s="299" t="str">
        <f>Assm!A3</f>
        <v>ENRON INTERNATIONAL</v>
      </c>
      <c r="B3" s="299"/>
      <c r="C3" s="291"/>
      <c r="D3" s="292"/>
      <c r="E3" s="293"/>
      <c r="F3" s="300"/>
      <c r="G3" s="293"/>
      <c r="H3" s="294"/>
      <c r="I3" s="293"/>
      <c r="J3" s="293"/>
      <c r="K3" s="295"/>
      <c r="L3" s="293"/>
      <c r="M3" s="293"/>
      <c r="N3" s="293"/>
      <c r="O3" s="293"/>
      <c r="P3" s="293"/>
      <c r="Q3" s="293"/>
      <c r="R3" s="293"/>
      <c r="S3" s="293"/>
      <c r="T3" s="301"/>
      <c r="U3" s="301"/>
      <c r="V3" s="293"/>
      <c r="W3" s="293"/>
      <c r="X3" s="293"/>
      <c r="Y3" s="293"/>
      <c r="Z3" s="297"/>
      <c r="AA3" s="297"/>
      <c r="AB3" s="292"/>
    </row>
    <row r="4" spans="1:53" s="298" customFormat="1" ht="15.75">
      <c r="A4" s="934" t="s">
        <v>175</v>
      </c>
      <c r="B4" s="934"/>
      <c r="C4" s="935"/>
      <c r="D4" s="292"/>
      <c r="E4" s="293"/>
      <c r="F4" s="300"/>
      <c r="G4" s="293"/>
      <c r="H4" s="294"/>
      <c r="I4" s="293"/>
      <c r="J4" s="293"/>
      <c r="K4" s="295"/>
      <c r="L4" s="293"/>
      <c r="M4" s="293"/>
      <c r="N4" s="293"/>
      <c r="O4" s="293"/>
      <c r="P4" s="293"/>
      <c r="Q4" s="293"/>
      <c r="R4" s="293"/>
      <c r="S4" s="293"/>
      <c r="T4" s="293"/>
      <c r="U4" s="293"/>
      <c r="V4" s="293"/>
      <c r="W4" s="293"/>
      <c r="X4" s="293"/>
      <c r="Y4" s="293"/>
      <c r="Z4" s="297"/>
      <c r="AA4" s="297"/>
      <c r="AB4" s="292"/>
    </row>
    <row r="5" spans="1:53" s="298" customFormat="1" ht="13.5" thickBot="1">
      <c r="A5" s="292"/>
      <c r="B5" s="292"/>
      <c r="C5" s="292"/>
      <c r="D5" s="292"/>
      <c r="E5" s="297"/>
      <c r="F5" s="297"/>
      <c r="G5" s="297"/>
      <c r="H5" s="297"/>
      <c r="I5" s="297"/>
      <c r="J5" s="293"/>
      <c r="K5" s="293"/>
      <c r="L5" s="293"/>
      <c r="M5" s="293"/>
      <c r="N5" s="293"/>
      <c r="O5" s="293"/>
      <c r="P5" s="293"/>
      <c r="Q5" s="293"/>
      <c r="R5" s="293"/>
      <c r="S5" s="293"/>
      <c r="T5" s="293"/>
      <c r="U5" s="293"/>
      <c r="V5" s="293"/>
      <c r="W5" s="293"/>
      <c r="X5" s="293"/>
      <c r="Y5" s="293"/>
      <c r="Z5" s="293"/>
      <c r="AA5" s="297"/>
      <c r="AB5" s="292"/>
    </row>
    <row r="6" spans="1:53" s="303" customFormat="1">
      <c r="A6" s="500" t="s">
        <v>526</v>
      </c>
      <c r="B6" s="501"/>
      <c r="C6" s="501"/>
      <c r="D6" s="501"/>
      <c r="E6" s="930">
        <v>1</v>
      </c>
      <c r="F6" s="501">
        <f t="shared" ref="F6:AN6" si="0">E6+1</f>
        <v>2</v>
      </c>
      <c r="G6" s="501">
        <f t="shared" si="0"/>
        <v>3</v>
      </c>
      <c r="H6" s="501">
        <f t="shared" si="0"/>
        <v>4</v>
      </c>
      <c r="I6" s="501">
        <f t="shared" si="0"/>
        <v>5</v>
      </c>
      <c r="J6" s="501">
        <f t="shared" si="0"/>
        <v>6</v>
      </c>
      <c r="K6" s="501">
        <f t="shared" si="0"/>
        <v>7</v>
      </c>
      <c r="L6" s="501">
        <f t="shared" si="0"/>
        <v>8</v>
      </c>
      <c r="M6" s="501">
        <f t="shared" si="0"/>
        <v>9</v>
      </c>
      <c r="N6" s="501">
        <f t="shared" si="0"/>
        <v>10</v>
      </c>
      <c r="O6" s="501">
        <f t="shared" si="0"/>
        <v>11</v>
      </c>
      <c r="P6" s="501">
        <f t="shared" si="0"/>
        <v>12</v>
      </c>
      <c r="Q6" s="501">
        <f t="shared" si="0"/>
        <v>13</v>
      </c>
      <c r="R6" s="501">
        <f t="shared" si="0"/>
        <v>14</v>
      </c>
      <c r="S6" s="501">
        <f t="shared" si="0"/>
        <v>15</v>
      </c>
      <c r="T6" s="501">
        <f t="shared" si="0"/>
        <v>16</v>
      </c>
      <c r="U6" s="501">
        <f t="shared" si="0"/>
        <v>17</v>
      </c>
      <c r="V6" s="501">
        <f t="shared" si="0"/>
        <v>18</v>
      </c>
      <c r="W6" s="501">
        <f t="shared" si="0"/>
        <v>19</v>
      </c>
      <c r="X6" s="501">
        <f t="shared" si="0"/>
        <v>20</v>
      </c>
      <c r="Y6" s="501">
        <f t="shared" si="0"/>
        <v>21</v>
      </c>
      <c r="Z6" s="501">
        <f t="shared" si="0"/>
        <v>22</v>
      </c>
      <c r="AA6" s="501">
        <f t="shared" si="0"/>
        <v>23</v>
      </c>
      <c r="AB6" s="501">
        <f t="shared" si="0"/>
        <v>24</v>
      </c>
      <c r="AC6" s="501">
        <f t="shared" si="0"/>
        <v>25</v>
      </c>
      <c r="AD6" s="501">
        <f t="shared" si="0"/>
        <v>26</v>
      </c>
      <c r="AE6" s="501">
        <f t="shared" si="0"/>
        <v>27</v>
      </c>
      <c r="AF6" s="501">
        <f t="shared" si="0"/>
        <v>28</v>
      </c>
      <c r="AG6" s="501">
        <f t="shared" si="0"/>
        <v>29</v>
      </c>
      <c r="AH6" s="501">
        <f t="shared" si="0"/>
        <v>30</v>
      </c>
      <c r="AI6" s="501">
        <f t="shared" si="0"/>
        <v>31</v>
      </c>
      <c r="AJ6" s="501">
        <f t="shared" si="0"/>
        <v>32</v>
      </c>
      <c r="AK6" s="501">
        <f t="shared" si="0"/>
        <v>33</v>
      </c>
      <c r="AL6" s="501">
        <f t="shared" si="0"/>
        <v>34</v>
      </c>
      <c r="AM6" s="501">
        <f t="shared" si="0"/>
        <v>35</v>
      </c>
      <c r="AN6" s="501">
        <f t="shared" si="0"/>
        <v>36</v>
      </c>
      <c r="AO6" s="501">
        <f>AN6+1</f>
        <v>37</v>
      </c>
      <c r="AP6" s="501">
        <f>AO6+1</f>
        <v>38</v>
      </c>
      <c r="AQ6" s="501">
        <f>AP6+1</f>
        <v>39</v>
      </c>
      <c r="AR6" s="501">
        <f>AQ6+1</f>
        <v>40</v>
      </c>
      <c r="AS6" s="501">
        <f t="shared" ref="AS6:AY6" si="1">AR6+1</f>
        <v>41</v>
      </c>
      <c r="AT6" s="501">
        <f t="shared" si="1"/>
        <v>42</v>
      </c>
      <c r="AU6" s="501">
        <f t="shared" si="1"/>
        <v>43</v>
      </c>
      <c r="AV6" s="501">
        <f t="shared" si="1"/>
        <v>44</v>
      </c>
      <c r="AW6" s="501">
        <f t="shared" si="1"/>
        <v>45</v>
      </c>
      <c r="AX6" s="501">
        <f t="shared" si="1"/>
        <v>46</v>
      </c>
      <c r="AY6" s="501">
        <f t="shared" si="1"/>
        <v>47</v>
      </c>
      <c r="AZ6" s="502"/>
      <c r="BA6" s="514"/>
    </row>
    <row r="7" spans="1:53" s="303" customFormat="1" ht="13.5" thickBot="1">
      <c r="A7" s="503" t="s">
        <v>527</v>
      </c>
      <c r="B7" s="304"/>
      <c r="C7" s="304"/>
      <c r="D7" s="304"/>
      <c r="E7" s="305">
        <f>IDC!E7</f>
        <v>35765</v>
      </c>
      <c r="F7" s="305">
        <f>IDC!F7</f>
        <v>35796</v>
      </c>
      <c r="G7" s="305">
        <f>IDC!G7</f>
        <v>35827</v>
      </c>
      <c r="H7" s="305">
        <f>IDC!H7</f>
        <v>35855</v>
      </c>
      <c r="I7" s="305">
        <f>IDC!I7</f>
        <v>35886</v>
      </c>
      <c r="J7" s="305">
        <f>IDC!J7</f>
        <v>35916</v>
      </c>
      <c r="K7" s="305">
        <f>IDC!K7</f>
        <v>35947</v>
      </c>
      <c r="L7" s="305">
        <f>IDC!L7</f>
        <v>35977</v>
      </c>
      <c r="M7" s="305">
        <f>IDC!M7</f>
        <v>36008</v>
      </c>
      <c r="N7" s="305">
        <f>IDC!N7</f>
        <v>36039</v>
      </c>
      <c r="O7" s="305">
        <f>IDC!O7</f>
        <v>36069</v>
      </c>
      <c r="P7" s="305">
        <f>IDC!P7</f>
        <v>36100</v>
      </c>
      <c r="Q7" s="305">
        <f>IDC!Q7</f>
        <v>36130</v>
      </c>
      <c r="R7" s="305">
        <f>IDC!R7</f>
        <v>36161</v>
      </c>
      <c r="S7" s="305">
        <f>IDC!S7</f>
        <v>36192</v>
      </c>
      <c r="T7" s="305">
        <f>IDC!T7</f>
        <v>36220</v>
      </c>
      <c r="U7" s="305">
        <f>IDC!U7</f>
        <v>36251</v>
      </c>
      <c r="V7" s="305">
        <f>IDC!V7</f>
        <v>36281</v>
      </c>
      <c r="W7" s="305">
        <f>IDC!W7</f>
        <v>36312</v>
      </c>
      <c r="X7" s="305">
        <f>IDC!X7</f>
        <v>36342</v>
      </c>
      <c r="Y7" s="305">
        <f>IDC!Y7</f>
        <v>36373</v>
      </c>
      <c r="Z7" s="305">
        <f>IDC!Z7</f>
        <v>36404</v>
      </c>
      <c r="AA7" s="305">
        <f>IDC!AA7</f>
        <v>36434</v>
      </c>
      <c r="AB7" s="305">
        <f>IDC!AB7</f>
        <v>36465</v>
      </c>
      <c r="AC7" s="305">
        <f>IDC!AC7</f>
        <v>36495</v>
      </c>
      <c r="AD7" s="305">
        <f>IDC!AD7</f>
        <v>36526</v>
      </c>
      <c r="AE7" s="305">
        <f>IDC!AE7</f>
        <v>36557</v>
      </c>
      <c r="AF7" s="305">
        <f>IDC!AF7</f>
        <v>36586</v>
      </c>
      <c r="AG7" s="305">
        <f>IDC!AG7</f>
        <v>36617</v>
      </c>
      <c r="AH7" s="305">
        <f>IDC!AH7</f>
        <v>36647</v>
      </c>
      <c r="AI7" s="305">
        <f>IDC!AI7</f>
        <v>36678</v>
      </c>
      <c r="AJ7" s="305">
        <f>IDC!AJ7</f>
        <v>36708</v>
      </c>
      <c r="AK7" s="305">
        <f>IDC!AK7</f>
        <v>36739</v>
      </c>
      <c r="AL7" s="305">
        <f>IDC!AL7</f>
        <v>36770</v>
      </c>
      <c r="AM7" s="305">
        <f>IDC!AM7</f>
        <v>36800</v>
      </c>
      <c r="AN7" s="305">
        <f>IDC!AN7</f>
        <v>36831</v>
      </c>
      <c r="AO7" s="305">
        <f>IDC!AO7</f>
        <v>36861</v>
      </c>
      <c r="AP7" s="305">
        <f>IDC!AP7</f>
        <v>36892</v>
      </c>
      <c r="AQ7" s="305">
        <f>IDC!AQ7</f>
        <v>36923</v>
      </c>
      <c r="AR7" s="305">
        <f>IDC!AR7</f>
        <v>36951</v>
      </c>
      <c r="AS7" s="305">
        <f>IDC!AS7</f>
        <v>36982</v>
      </c>
      <c r="AT7" s="305">
        <f>IDC!AT7</f>
        <v>37012</v>
      </c>
      <c r="AU7" s="305">
        <f>IDC!AU7</f>
        <v>37043</v>
      </c>
      <c r="AV7" s="305">
        <f>IDC!AV7</f>
        <v>37073</v>
      </c>
      <c r="AW7" s="305">
        <f>IDC!AW7</f>
        <v>37104</v>
      </c>
      <c r="AX7" s="305">
        <f>IDC!AX7</f>
        <v>37135</v>
      </c>
      <c r="AY7" s="305">
        <f>IDC!AY7</f>
        <v>37165</v>
      </c>
      <c r="AZ7" s="306"/>
      <c r="BA7" s="515" t="s">
        <v>441</v>
      </c>
    </row>
    <row r="8" spans="1:53" s="303" customFormat="1">
      <c r="A8" s="504"/>
      <c r="B8" s="307"/>
      <c r="C8" s="505"/>
      <c r="D8" s="505"/>
      <c r="E8" s="505"/>
      <c r="F8" s="505"/>
      <c r="G8" s="505"/>
      <c r="H8" s="505"/>
      <c r="I8" s="505"/>
      <c r="J8" s="505"/>
      <c r="K8" s="505"/>
      <c r="L8" s="505"/>
      <c r="M8" s="505"/>
      <c r="N8" s="505"/>
      <c r="O8" s="505"/>
      <c r="P8" s="505"/>
      <c r="Q8" s="505"/>
      <c r="R8" s="505"/>
      <c r="S8" s="505"/>
      <c r="T8" s="505"/>
      <c r="U8" s="505"/>
      <c r="V8" s="505"/>
      <c r="W8" s="505"/>
      <c r="X8" s="505"/>
      <c r="Y8" s="505"/>
      <c r="Z8" s="505"/>
      <c r="AA8" s="505"/>
      <c r="AB8" s="505"/>
      <c r="AC8" s="505"/>
      <c r="AD8" s="505"/>
      <c r="AE8" s="505"/>
      <c r="AF8" s="505"/>
      <c r="AG8" s="505"/>
      <c r="AH8" s="505"/>
      <c r="AI8" s="505"/>
      <c r="AJ8" s="505"/>
      <c r="AK8" s="505"/>
      <c r="AL8" s="505"/>
      <c r="AM8" s="505"/>
      <c r="AN8" s="505"/>
      <c r="AO8" s="505"/>
      <c r="AP8" s="505"/>
      <c r="AQ8" s="505"/>
      <c r="AR8" s="505"/>
      <c r="AS8" s="505"/>
      <c r="AT8" s="505"/>
      <c r="AU8" s="505"/>
      <c r="AV8" s="505"/>
      <c r="AW8" s="505"/>
      <c r="AX8" s="505"/>
      <c r="AY8" s="505"/>
      <c r="AZ8" s="505"/>
      <c r="BA8" s="516"/>
    </row>
    <row r="9" spans="1:53" s="303" customFormat="1">
      <c r="A9" s="506" t="str">
        <f>Assm!N8</f>
        <v>EPC Turnkey Contract</v>
      </c>
      <c r="B9" s="307"/>
      <c r="C9" s="507">
        <f>Assm!V8</f>
        <v>238466.38300000003</v>
      </c>
      <c r="D9" s="505"/>
      <c r="E9" s="1461">
        <f>SUM(E73:E76,E78,E80,E82)</f>
        <v>5785.5510752688169</v>
      </c>
      <c r="F9" s="1461">
        <f t="shared" ref="F9:AF9" si="2">SUM(F73:F76,F78,F80,F82)</f>
        <v>0</v>
      </c>
      <c r="G9" s="1461">
        <f t="shared" si="2"/>
        <v>2859.0726445030782</v>
      </c>
      <c r="H9" s="1461">
        <f t="shared" si="2"/>
        <v>7901.0911231222517</v>
      </c>
      <c r="I9" s="1461">
        <f t="shared" si="2"/>
        <v>7609.2216951966784</v>
      </c>
      <c r="J9" s="1461">
        <f t="shared" si="2"/>
        <v>2560.745824591304</v>
      </c>
      <c r="K9" s="1461">
        <f t="shared" si="2"/>
        <v>19441.827415730339</v>
      </c>
      <c r="L9" s="1461">
        <f t="shared" si="2"/>
        <v>3248.0895700773858</v>
      </c>
      <c r="M9" s="1461">
        <f t="shared" si="2"/>
        <v>2817.1281223449446</v>
      </c>
      <c r="N9" s="1461">
        <f t="shared" si="2"/>
        <v>16456.19089376054</v>
      </c>
      <c r="O9" s="1461">
        <f t="shared" si="2"/>
        <v>3583.3097729184187</v>
      </c>
      <c r="P9" s="1461">
        <f t="shared" si="2"/>
        <v>1738.4937942068034</v>
      </c>
      <c r="Q9" s="1461">
        <f t="shared" si="2"/>
        <v>22611.76241916764</v>
      </c>
      <c r="R9" s="1461">
        <f t="shared" si="2"/>
        <v>474.48324873096453</v>
      </c>
      <c r="S9" s="1461">
        <f t="shared" si="2"/>
        <v>314.70227140643163</v>
      </c>
      <c r="T9" s="1461">
        <f t="shared" si="2"/>
        <v>1116.8736859688197</v>
      </c>
      <c r="U9" s="1461">
        <f t="shared" si="2"/>
        <v>12642.199893175075</v>
      </c>
      <c r="V9" s="1461">
        <f t="shared" si="2"/>
        <v>1878.3963341067285</v>
      </c>
      <c r="W9" s="1461">
        <f t="shared" si="2"/>
        <v>18648.33807193262</v>
      </c>
      <c r="X9" s="1461">
        <f t="shared" si="2"/>
        <v>2656.3478787878789</v>
      </c>
      <c r="Y9" s="1461">
        <f t="shared" si="2"/>
        <v>2029.332835742993</v>
      </c>
      <c r="Z9" s="1461">
        <f t="shared" si="2"/>
        <v>2337.781012328981</v>
      </c>
      <c r="AA9" s="1461">
        <f t="shared" si="2"/>
        <v>1785.0613108038913</v>
      </c>
      <c r="AB9" s="1461">
        <f t="shared" si="2"/>
        <v>1403.8916783689604</v>
      </c>
      <c r="AC9" s="1461">
        <f t="shared" si="2"/>
        <v>901.51725544997203</v>
      </c>
      <c r="AD9" s="1461">
        <f t="shared" si="2"/>
        <v>437.818741677763</v>
      </c>
      <c r="AE9" s="1461">
        <f t="shared" si="2"/>
        <v>725.7791769732404</v>
      </c>
      <c r="AF9" s="1461">
        <f t="shared" si="2"/>
        <v>554.57849253133406</v>
      </c>
      <c r="AG9" s="1422">
        <v>12500</v>
      </c>
      <c r="AH9" s="1422">
        <v>0</v>
      </c>
      <c r="AI9" s="1422">
        <v>0</v>
      </c>
      <c r="AJ9" s="1422">
        <v>0</v>
      </c>
      <c r="AK9" s="1422">
        <f>($C$15-SUM($E9:$AJ9))/4</f>
        <v>19057.457713317417</v>
      </c>
      <c r="AL9" s="1422">
        <v>0</v>
      </c>
      <c r="AM9" s="1422">
        <v>0</v>
      </c>
      <c r="AN9" s="1422">
        <v>0</v>
      </c>
      <c r="AO9" s="1422">
        <f>($C$15-SUM($E9:$AJ9))/4</f>
        <v>19057.457713317417</v>
      </c>
      <c r="AP9" s="1422">
        <v>0</v>
      </c>
      <c r="AQ9" s="1422">
        <v>0</v>
      </c>
      <c r="AR9" s="1422">
        <v>0</v>
      </c>
      <c r="AS9" s="1422">
        <f>($C$15-SUM($E9:$AJ9))/4</f>
        <v>19057.457713317417</v>
      </c>
      <c r="AT9" s="1422">
        <v>0</v>
      </c>
      <c r="AU9" s="1422">
        <v>0</v>
      </c>
      <c r="AV9" s="1422">
        <v>0</v>
      </c>
      <c r="AW9" s="1422">
        <f>($C$15-SUM($E9:$AJ9))/4</f>
        <v>19057.457713317417</v>
      </c>
      <c r="AX9" s="1422">
        <v>0</v>
      </c>
      <c r="AY9" s="1422">
        <v>0</v>
      </c>
      <c r="AZ9" s="505"/>
      <c r="BA9" s="517">
        <f t="shared" ref="BA9:BA15" si="3">SUM(E9:AY9)</f>
        <v>233249.4170921435</v>
      </c>
    </row>
    <row r="10" spans="1:53" s="303" customFormat="1">
      <c r="A10" s="506" t="str">
        <f>Assm!N9</f>
        <v>Approved Change Orders</v>
      </c>
      <c r="B10" s="307"/>
      <c r="C10" s="507">
        <f>Assm!V9</f>
        <v>13200.457999999997</v>
      </c>
      <c r="D10" s="505"/>
      <c r="E10" s="1420">
        <v>0</v>
      </c>
      <c r="F10" s="1420">
        <v>0</v>
      </c>
      <c r="G10" s="1420">
        <v>0</v>
      </c>
      <c r="H10" s="1420">
        <v>0</v>
      </c>
      <c r="I10" s="1420">
        <v>0</v>
      </c>
      <c r="J10" s="1420">
        <v>0</v>
      </c>
      <c r="K10" s="1420">
        <v>0</v>
      </c>
      <c r="L10" s="1420">
        <v>0</v>
      </c>
      <c r="M10" s="1420">
        <v>0</v>
      </c>
      <c r="N10" s="1420">
        <v>0</v>
      </c>
      <c r="O10" s="1420">
        <v>0</v>
      </c>
      <c r="P10" s="1420">
        <v>0</v>
      </c>
      <c r="Q10" s="1420">
        <v>0</v>
      </c>
      <c r="R10" s="1420">
        <v>0</v>
      </c>
      <c r="S10" s="1420">
        <v>0</v>
      </c>
      <c r="T10" s="1420">
        <v>0</v>
      </c>
      <c r="U10" s="1420">
        <v>0</v>
      </c>
      <c r="V10" s="1420">
        <v>0</v>
      </c>
      <c r="W10" s="1420">
        <v>0</v>
      </c>
      <c r="X10" s="1420">
        <v>0</v>
      </c>
      <c r="Y10" s="1420">
        <v>0</v>
      </c>
      <c r="Z10" s="1420">
        <v>0</v>
      </c>
      <c r="AA10" s="1420">
        <v>0</v>
      </c>
      <c r="AB10" s="1420">
        <v>0</v>
      </c>
      <c r="AC10" s="1420">
        <v>0</v>
      </c>
      <c r="AD10" s="1420">
        <v>0</v>
      </c>
      <c r="AE10" s="1420">
        <v>0</v>
      </c>
      <c r="AF10" s="1420">
        <v>0</v>
      </c>
      <c r="AG10" s="1420">
        <v>0</v>
      </c>
      <c r="AH10" s="1420">
        <v>0</v>
      </c>
      <c r="AI10" s="1420">
        <v>0</v>
      </c>
      <c r="AJ10" s="1420">
        <v>0</v>
      </c>
      <c r="AK10" s="1420">
        <v>0</v>
      </c>
      <c r="AL10" s="1420">
        <v>0</v>
      </c>
      <c r="AM10" s="1420">
        <v>0</v>
      </c>
      <c r="AN10" s="1420">
        <v>0</v>
      </c>
      <c r="AO10" s="1420">
        <v>0</v>
      </c>
      <c r="AP10" s="1420">
        <v>0</v>
      </c>
      <c r="AQ10" s="1420">
        <v>0</v>
      </c>
      <c r="AR10" s="1420">
        <v>0</v>
      </c>
      <c r="AS10" s="1420">
        <v>0</v>
      </c>
      <c r="AT10" s="1420">
        <v>0</v>
      </c>
      <c r="AU10" s="1420">
        <v>0</v>
      </c>
      <c r="AV10" s="1420">
        <v>0</v>
      </c>
      <c r="AW10" s="1420">
        <v>0</v>
      </c>
      <c r="AX10" s="1420">
        <v>0</v>
      </c>
      <c r="AY10" s="1420">
        <v>0</v>
      </c>
      <c r="AZ10" s="505"/>
      <c r="BA10" s="517">
        <f t="shared" si="3"/>
        <v>0</v>
      </c>
    </row>
    <row r="11" spans="1:53" s="303" customFormat="1">
      <c r="A11" s="506" t="str">
        <f>Assm!N10</f>
        <v>Pending Change Orders</v>
      </c>
      <c r="B11" s="307"/>
      <c r="C11" s="507">
        <f>Assm!V10</f>
        <v>4073</v>
      </c>
      <c r="D11" s="505"/>
      <c r="E11" s="1420">
        <v>0</v>
      </c>
      <c r="F11" s="1420">
        <v>0</v>
      </c>
      <c r="G11" s="1420">
        <v>0</v>
      </c>
      <c r="H11" s="1420">
        <v>0</v>
      </c>
      <c r="I11" s="1420">
        <v>0</v>
      </c>
      <c r="J11" s="1420">
        <v>0</v>
      </c>
      <c r="K11" s="1420">
        <v>0</v>
      </c>
      <c r="L11" s="1420">
        <v>0</v>
      </c>
      <c r="M11" s="1420">
        <v>0</v>
      </c>
      <c r="N11" s="1420">
        <v>0</v>
      </c>
      <c r="O11" s="1420">
        <v>0</v>
      </c>
      <c r="P11" s="1420">
        <v>0</v>
      </c>
      <c r="Q11" s="1420">
        <v>0</v>
      </c>
      <c r="R11" s="1420">
        <v>0</v>
      </c>
      <c r="S11" s="1420">
        <v>0</v>
      </c>
      <c r="T11" s="1420">
        <v>0</v>
      </c>
      <c r="U11" s="1420">
        <v>0</v>
      </c>
      <c r="V11" s="1420">
        <v>0</v>
      </c>
      <c r="W11" s="1420">
        <v>0</v>
      </c>
      <c r="X11" s="1420">
        <v>0</v>
      </c>
      <c r="Y11" s="1420">
        <v>0</v>
      </c>
      <c r="Z11" s="1420">
        <v>0</v>
      </c>
      <c r="AA11" s="1420">
        <v>0</v>
      </c>
      <c r="AB11" s="1420">
        <v>0</v>
      </c>
      <c r="AC11" s="1420">
        <v>0</v>
      </c>
      <c r="AD11" s="1420">
        <v>0</v>
      </c>
      <c r="AE11" s="1420">
        <v>0</v>
      </c>
      <c r="AF11" s="1420">
        <v>0</v>
      </c>
      <c r="AG11" s="1420">
        <v>0</v>
      </c>
      <c r="AH11" s="1420">
        <v>0</v>
      </c>
      <c r="AI11" s="1420">
        <v>0</v>
      </c>
      <c r="AJ11" s="1420">
        <v>0</v>
      </c>
      <c r="AK11" s="1420">
        <v>0</v>
      </c>
      <c r="AL11" s="1420">
        <v>0</v>
      </c>
      <c r="AM11" s="1420">
        <v>0</v>
      </c>
      <c r="AN11" s="1420">
        <v>0</v>
      </c>
      <c r="AO11" s="1420">
        <v>0</v>
      </c>
      <c r="AP11" s="1420">
        <v>0</v>
      </c>
      <c r="AQ11" s="1420">
        <v>0</v>
      </c>
      <c r="AR11" s="1420">
        <v>0</v>
      </c>
      <c r="AS11" s="1420">
        <v>0</v>
      </c>
      <c r="AT11" s="1420">
        <v>0</v>
      </c>
      <c r="AU11" s="1420">
        <v>0</v>
      </c>
      <c r="AV11" s="1420">
        <v>0</v>
      </c>
      <c r="AW11" s="1420">
        <v>0</v>
      </c>
      <c r="AX11" s="1420">
        <v>0</v>
      </c>
      <c r="AY11" s="1420">
        <v>0</v>
      </c>
      <c r="AZ11" s="505"/>
      <c r="BA11" s="517">
        <f t="shared" si="3"/>
        <v>0</v>
      </c>
    </row>
    <row r="12" spans="1:53" s="303" customFormat="1">
      <c r="A12" s="506" t="str">
        <f>Assm!N11</f>
        <v>Onshore Payment Adjustment</v>
      </c>
      <c r="B12" s="307"/>
      <c r="C12" s="507">
        <f>Assm!V11</f>
        <v>-7675.2338898564803</v>
      </c>
      <c r="D12" s="505"/>
      <c r="E12" s="1420">
        <v>0</v>
      </c>
      <c r="F12" s="1420">
        <v>0</v>
      </c>
      <c r="G12" s="1420">
        <v>0</v>
      </c>
      <c r="H12" s="1420">
        <v>0</v>
      </c>
      <c r="I12" s="1420">
        <v>0</v>
      </c>
      <c r="J12" s="1420">
        <v>0</v>
      </c>
      <c r="K12" s="1420">
        <v>0</v>
      </c>
      <c r="L12" s="1420">
        <v>0</v>
      </c>
      <c r="M12" s="1420">
        <v>0</v>
      </c>
      <c r="N12" s="1420">
        <v>0</v>
      </c>
      <c r="O12" s="1420">
        <v>0</v>
      </c>
      <c r="P12" s="1420">
        <v>0</v>
      </c>
      <c r="Q12" s="1420">
        <v>0</v>
      </c>
      <c r="R12" s="1420">
        <v>0</v>
      </c>
      <c r="S12" s="1420">
        <v>0</v>
      </c>
      <c r="T12" s="1420">
        <v>0</v>
      </c>
      <c r="U12" s="1420">
        <v>0</v>
      </c>
      <c r="V12" s="1420">
        <v>0</v>
      </c>
      <c r="W12" s="1420">
        <v>0</v>
      </c>
      <c r="X12" s="1420">
        <v>0</v>
      </c>
      <c r="Y12" s="1420">
        <v>0</v>
      </c>
      <c r="Z12" s="1420">
        <v>0</v>
      </c>
      <c r="AA12" s="1420">
        <v>0</v>
      </c>
      <c r="AB12" s="1420">
        <v>0</v>
      </c>
      <c r="AC12" s="1420">
        <v>0</v>
      </c>
      <c r="AD12" s="1420">
        <v>0</v>
      </c>
      <c r="AE12" s="1420">
        <v>0</v>
      </c>
      <c r="AF12" s="1420">
        <v>0</v>
      </c>
      <c r="AG12" s="1420">
        <v>0</v>
      </c>
      <c r="AH12" s="1420">
        <v>0</v>
      </c>
      <c r="AI12" s="1420">
        <v>0</v>
      </c>
      <c r="AJ12" s="1420">
        <v>0</v>
      </c>
      <c r="AK12" s="1420">
        <v>0</v>
      </c>
      <c r="AL12" s="1420">
        <v>0</v>
      </c>
      <c r="AM12" s="1420">
        <v>0</v>
      </c>
      <c r="AN12" s="1420">
        <v>0</v>
      </c>
      <c r="AO12" s="1420">
        <v>0</v>
      </c>
      <c r="AP12" s="1420">
        <v>0</v>
      </c>
      <c r="AQ12" s="1420">
        <v>0</v>
      </c>
      <c r="AR12" s="1420">
        <v>0</v>
      </c>
      <c r="AS12" s="1420">
        <v>0</v>
      </c>
      <c r="AT12" s="1420">
        <v>0</v>
      </c>
      <c r="AU12" s="1420">
        <v>0</v>
      </c>
      <c r="AV12" s="1420">
        <v>0</v>
      </c>
      <c r="AW12" s="1420">
        <v>0</v>
      </c>
      <c r="AX12" s="1420">
        <v>0</v>
      </c>
      <c r="AY12" s="1420">
        <v>0</v>
      </c>
      <c r="AZ12" s="505"/>
      <c r="BA12" s="517">
        <f t="shared" si="3"/>
        <v>0</v>
      </c>
    </row>
    <row r="13" spans="1:53" s="303" customFormat="1">
      <c r="A13" s="506" t="str">
        <f>Assm!N12</f>
        <v>Turnkey Tax Adjustment (0=Off, 1=On)</v>
      </c>
      <c r="B13" s="307"/>
      <c r="C13" s="507">
        <f>Assm!V12</f>
        <v>-7513.8350180000007</v>
      </c>
      <c r="D13" s="505"/>
      <c r="E13" s="1420">
        <v>0</v>
      </c>
      <c r="F13" s="1420">
        <v>0</v>
      </c>
      <c r="G13" s="1420">
        <v>0</v>
      </c>
      <c r="H13" s="1420">
        <v>0</v>
      </c>
      <c r="I13" s="1420">
        <v>0</v>
      </c>
      <c r="J13" s="1420">
        <v>0</v>
      </c>
      <c r="K13" s="1420">
        <v>0</v>
      </c>
      <c r="L13" s="1420">
        <v>0</v>
      </c>
      <c r="M13" s="1420">
        <v>0</v>
      </c>
      <c r="N13" s="1420">
        <v>0</v>
      </c>
      <c r="O13" s="1420">
        <v>0</v>
      </c>
      <c r="P13" s="1420">
        <v>0</v>
      </c>
      <c r="Q13" s="1420">
        <v>0</v>
      </c>
      <c r="R13" s="1420">
        <v>0</v>
      </c>
      <c r="S13" s="1420">
        <v>0</v>
      </c>
      <c r="T13" s="1420">
        <v>0</v>
      </c>
      <c r="U13" s="1420">
        <v>0</v>
      </c>
      <c r="V13" s="1420">
        <v>0</v>
      </c>
      <c r="W13" s="1420">
        <v>0</v>
      </c>
      <c r="X13" s="1420">
        <v>0</v>
      </c>
      <c r="Y13" s="1420">
        <v>0</v>
      </c>
      <c r="Z13" s="1420">
        <v>0</v>
      </c>
      <c r="AA13" s="1420">
        <v>0</v>
      </c>
      <c r="AB13" s="1420">
        <v>0</v>
      </c>
      <c r="AC13" s="1420">
        <v>0</v>
      </c>
      <c r="AD13" s="1420">
        <v>0</v>
      </c>
      <c r="AE13" s="1420">
        <v>0</v>
      </c>
      <c r="AF13" s="1420">
        <v>0</v>
      </c>
      <c r="AG13" s="1420">
        <v>0</v>
      </c>
      <c r="AH13" s="1420">
        <v>0</v>
      </c>
      <c r="AI13" s="1420">
        <v>0</v>
      </c>
      <c r="AJ13" s="1420">
        <v>0</v>
      </c>
      <c r="AK13" s="1420">
        <v>0</v>
      </c>
      <c r="AL13" s="1420">
        <v>0</v>
      </c>
      <c r="AM13" s="1420">
        <v>0</v>
      </c>
      <c r="AN13" s="1420">
        <v>0</v>
      </c>
      <c r="AO13" s="1420">
        <v>0</v>
      </c>
      <c r="AP13" s="1420">
        <v>0</v>
      </c>
      <c r="AQ13" s="1420">
        <v>0</v>
      </c>
      <c r="AR13" s="1420">
        <v>0</v>
      </c>
      <c r="AS13" s="1420">
        <v>0</v>
      </c>
      <c r="AT13" s="1420">
        <v>0</v>
      </c>
      <c r="AU13" s="1420">
        <v>0</v>
      </c>
      <c r="AV13" s="1420">
        <v>0</v>
      </c>
      <c r="AW13" s="1420">
        <v>0</v>
      </c>
      <c r="AX13" s="1420">
        <v>0</v>
      </c>
      <c r="AY13" s="1420">
        <v>0</v>
      </c>
      <c r="AZ13" s="505"/>
      <c r="BA13" s="517">
        <f t="shared" si="3"/>
        <v>0</v>
      </c>
    </row>
    <row r="14" spans="1:53" s="303" customFormat="1">
      <c r="A14" s="506" t="str">
        <f>Assm!N13</f>
        <v>Delay/Performance Damages From SCC (0=Off, 1=On)</v>
      </c>
      <c r="B14" s="307"/>
      <c r="C14" s="508">
        <f>Assm!V13</f>
        <v>-7301.3549999999996</v>
      </c>
      <c r="D14" s="509"/>
      <c r="E14" s="1421">
        <v>0</v>
      </c>
      <c r="F14" s="1421">
        <v>0</v>
      </c>
      <c r="G14" s="1421">
        <v>0</v>
      </c>
      <c r="H14" s="1421">
        <v>0</v>
      </c>
      <c r="I14" s="1421">
        <v>0</v>
      </c>
      <c r="J14" s="1421">
        <v>0</v>
      </c>
      <c r="K14" s="1421">
        <v>0</v>
      </c>
      <c r="L14" s="1421">
        <v>0</v>
      </c>
      <c r="M14" s="1421">
        <v>0</v>
      </c>
      <c r="N14" s="1421">
        <v>0</v>
      </c>
      <c r="O14" s="1421">
        <v>0</v>
      </c>
      <c r="P14" s="1421">
        <v>0</v>
      </c>
      <c r="Q14" s="1421">
        <v>0</v>
      </c>
      <c r="R14" s="1421">
        <v>0</v>
      </c>
      <c r="S14" s="1421">
        <v>0</v>
      </c>
      <c r="T14" s="1421">
        <v>0</v>
      </c>
      <c r="U14" s="1421">
        <v>0</v>
      </c>
      <c r="V14" s="1421">
        <v>0</v>
      </c>
      <c r="W14" s="1421">
        <v>0</v>
      </c>
      <c r="X14" s="1421">
        <v>0</v>
      </c>
      <c r="Y14" s="1421">
        <v>0</v>
      </c>
      <c r="Z14" s="1421">
        <v>0</v>
      </c>
      <c r="AA14" s="1421">
        <v>0</v>
      </c>
      <c r="AB14" s="1421">
        <v>0</v>
      </c>
      <c r="AC14" s="1421">
        <v>0</v>
      </c>
      <c r="AD14" s="1421">
        <v>0</v>
      </c>
      <c r="AE14" s="1421">
        <v>0</v>
      </c>
      <c r="AF14" s="1421">
        <v>0</v>
      </c>
      <c r="AG14" s="1421">
        <v>0</v>
      </c>
      <c r="AH14" s="1421">
        <v>0</v>
      </c>
      <c r="AI14" s="1421">
        <v>0</v>
      </c>
      <c r="AJ14" s="1421">
        <v>0</v>
      </c>
      <c r="AK14" s="1421">
        <v>0</v>
      </c>
      <c r="AL14" s="1421">
        <v>0</v>
      </c>
      <c r="AM14" s="1421">
        <v>0</v>
      </c>
      <c r="AN14" s="1421">
        <v>0</v>
      </c>
      <c r="AO14" s="1421">
        <v>0</v>
      </c>
      <c r="AP14" s="1421">
        <v>0</v>
      </c>
      <c r="AQ14" s="1421">
        <v>0</v>
      </c>
      <c r="AR14" s="1421">
        <v>0</v>
      </c>
      <c r="AS14" s="1421">
        <v>0</v>
      </c>
      <c r="AT14" s="1421">
        <v>0</v>
      </c>
      <c r="AU14" s="1421">
        <v>0</v>
      </c>
      <c r="AV14" s="1421">
        <v>0</v>
      </c>
      <c r="AW14" s="1421">
        <v>0</v>
      </c>
      <c r="AX14" s="1421">
        <v>0</v>
      </c>
      <c r="AY14" s="1421">
        <v>0</v>
      </c>
      <c r="AZ14" s="509"/>
      <c r="BA14" s="518">
        <f t="shared" si="3"/>
        <v>0</v>
      </c>
    </row>
    <row r="15" spans="1:53" s="303" customFormat="1">
      <c r="A15" s="506" t="str">
        <f>Assm!N14</f>
        <v>Total Turnkey Construction</v>
      </c>
      <c r="B15" s="307"/>
      <c r="C15" s="507">
        <f>SUM(C9:C14)</f>
        <v>233249.4170921435</v>
      </c>
      <c r="D15" s="505"/>
      <c r="E15" s="507">
        <f t="shared" ref="E15:AN15" si="4">SUM(E9:E14)</f>
        <v>5785.5510752688169</v>
      </c>
      <c r="F15" s="507">
        <f t="shared" si="4"/>
        <v>0</v>
      </c>
      <c r="G15" s="507">
        <f t="shared" si="4"/>
        <v>2859.0726445030782</v>
      </c>
      <c r="H15" s="507">
        <f t="shared" si="4"/>
        <v>7901.0911231222517</v>
      </c>
      <c r="I15" s="507">
        <f t="shared" si="4"/>
        <v>7609.2216951966784</v>
      </c>
      <c r="J15" s="507">
        <f t="shared" si="4"/>
        <v>2560.745824591304</v>
      </c>
      <c r="K15" s="507">
        <f t="shared" si="4"/>
        <v>19441.827415730339</v>
      </c>
      <c r="L15" s="507">
        <f t="shared" si="4"/>
        <v>3248.0895700773858</v>
      </c>
      <c r="M15" s="507">
        <f t="shared" si="4"/>
        <v>2817.1281223449446</v>
      </c>
      <c r="N15" s="507">
        <f t="shared" si="4"/>
        <v>16456.19089376054</v>
      </c>
      <c r="O15" s="507">
        <f t="shared" si="4"/>
        <v>3583.3097729184187</v>
      </c>
      <c r="P15" s="507">
        <f t="shared" si="4"/>
        <v>1738.4937942068034</v>
      </c>
      <c r="Q15" s="507">
        <f t="shared" si="4"/>
        <v>22611.76241916764</v>
      </c>
      <c r="R15" s="507">
        <f t="shared" si="4"/>
        <v>474.48324873096453</v>
      </c>
      <c r="S15" s="507">
        <f t="shared" si="4"/>
        <v>314.70227140643163</v>
      </c>
      <c r="T15" s="507">
        <f t="shared" si="4"/>
        <v>1116.8736859688197</v>
      </c>
      <c r="U15" s="507">
        <f t="shared" si="4"/>
        <v>12642.199893175075</v>
      </c>
      <c r="V15" s="507">
        <f t="shared" si="4"/>
        <v>1878.3963341067285</v>
      </c>
      <c r="W15" s="507">
        <f t="shared" si="4"/>
        <v>18648.33807193262</v>
      </c>
      <c r="X15" s="507">
        <f t="shared" si="4"/>
        <v>2656.3478787878789</v>
      </c>
      <c r="Y15" s="507">
        <f t="shared" si="4"/>
        <v>2029.332835742993</v>
      </c>
      <c r="Z15" s="507">
        <f t="shared" si="4"/>
        <v>2337.781012328981</v>
      </c>
      <c r="AA15" s="507">
        <f t="shared" si="4"/>
        <v>1785.0613108038913</v>
      </c>
      <c r="AB15" s="507">
        <f t="shared" si="4"/>
        <v>1403.8916783689604</v>
      </c>
      <c r="AC15" s="507">
        <f t="shared" si="4"/>
        <v>901.51725544997203</v>
      </c>
      <c r="AD15" s="507">
        <f t="shared" si="4"/>
        <v>437.818741677763</v>
      </c>
      <c r="AE15" s="507">
        <f t="shared" si="4"/>
        <v>725.7791769732404</v>
      </c>
      <c r="AF15" s="507">
        <f t="shared" si="4"/>
        <v>554.57849253133406</v>
      </c>
      <c r="AG15" s="507">
        <f t="shared" si="4"/>
        <v>12500</v>
      </c>
      <c r="AH15" s="507">
        <f t="shared" si="4"/>
        <v>0</v>
      </c>
      <c r="AI15" s="507">
        <f t="shared" si="4"/>
        <v>0</v>
      </c>
      <c r="AJ15" s="507">
        <f t="shared" si="4"/>
        <v>0</v>
      </c>
      <c r="AK15" s="507">
        <f t="shared" si="4"/>
        <v>19057.457713317417</v>
      </c>
      <c r="AL15" s="507">
        <f t="shared" si="4"/>
        <v>0</v>
      </c>
      <c r="AM15" s="507">
        <f t="shared" si="4"/>
        <v>0</v>
      </c>
      <c r="AN15" s="507">
        <f t="shared" si="4"/>
        <v>0</v>
      </c>
      <c r="AO15" s="507">
        <f>SUM(AO9:AO14)</f>
        <v>19057.457713317417</v>
      </c>
      <c r="AP15" s="507">
        <f>SUM(AP9:AP14)</f>
        <v>0</v>
      </c>
      <c r="AQ15" s="507">
        <f>SUM(AQ9:AQ14)</f>
        <v>0</v>
      </c>
      <c r="AR15" s="507">
        <f>SUM(AR9:AR14)</f>
        <v>0</v>
      </c>
      <c r="AS15" s="507">
        <f>SUM(AS9:AS14)</f>
        <v>19057.457713317417</v>
      </c>
      <c r="AT15" s="507">
        <f t="shared" ref="AT15:AY15" si="5">SUM(AT9:AT14)</f>
        <v>0</v>
      </c>
      <c r="AU15" s="507">
        <f t="shared" si="5"/>
        <v>0</v>
      </c>
      <c r="AV15" s="507">
        <f t="shared" si="5"/>
        <v>0</v>
      </c>
      <c r="AW15" s="507">
        <f t="shared" si="5"/>
        <v>19057.457713317417</v>
      </c>
      <c r="AX15" s="507">
        <f t="shared" si="5"/>
        <v>0</v>
      </c>
      <c r="AY15" s="507">
        <f t="shared" si="5"/>
        <v>0</v>
      </c>
      <c r="AZ15" s="505"/>
      <c r="BA15" s="517">
        <f t="shared" si="3"/>
        <v>233249.4170921435</v>
      </c>
    </row>
    <row r="16" spans="1:53" s="303" customFormat="1">
      <c r="A16" s="506"/>
      <c r="B16" s="307"/>
      <c r="C16" s="505"/>
      <c r="D16" s="505"/>
      <c r="E16" s="505"/>
      <c r="F16" s="505"/>
      <c r="G16" s="505"/>
      <c r="H16" s="505"/>
      <c r="I16" s="505"/>
      <c r="J16" s="505"/>
      <c r="K16" s="505"/>
      <c r="L16" s="505"/>
      <c r="M16" s="505"/>
      <c r="N16" s="505"/>
      <c r="O16" s="505"/>
      <c r="P16" s="505"/>
      <c r="Q16" s="505"/>
      <c r="R16" s="505"/>
      <c r="S16" s="505"/>
      <c r="T16" s="505"/>
      <c r="U16" s="505"/>
      <c r="V16" s="505"/>
      <c r="W16" s="505"/>
      <c r="X16" s="505"/>
      <c r="Y16" s="505"/>
      <c r="Z16" s="505"/>
      <c r="AA16" s="505"/>
      <c r="AB16" s="505"/>
      <c r="AC16" s="507"/>
      <c r="AD16" s="505"/>
      <c r="AE16" s="505"/>
      <c r="AF16" s="505"/>
      <c r="AG16" s="505"/>
      <c r="AH16" s="505"/>
      <c r="AI16" s="505"/>
      <c r="AJ16" s="505"/>
      <c r="AK16" s="505"/>
      <c r="AL16" s="505"/>
      <c r="AM16" s="505"/>
      <c r="AN16" s="505"/>
      <c r="AO16" s="505"/>
      <c r="AP16" s="505"/>
      <c r="AQ16" s="505"/>
      <c r="AR16" s="505"/>
      <c r="AS16" s="505"/>
      <c r="AT16" s="505"/>
      <c r="AU16" s="505"/>
      <c r="AV16" s="505"/>
      <c r="AW16" s="505"/>
      <c r="AX16" s="505"/>
      <c r="AY16" s="505"/>
      <c r="AZ16" s="505"/>
      <c r="BA16" s="516"/>
    </row>
    <row r="17" spans="1:53" s="303" customFormat="1">
      <c r="A17" s="506" t="str">
        <f>Assm!N16</f>
        <v>Diesel Fuel Inventory</v>
      </c>
      <c r="B17" s="307"/>
      <c r="C17" s="507">
        <f>Assm!V16</f>
        <v>1735</v>
      </c>
      <c r="D17" s="505"/>
      <c r="E17" s="1461">
        <f>SUM(E81,E84)</f>
        <v>0</v>
      </c>
      <c r="F17" s="1461">
        <f t="shared" ref="F17:AF17" si="6">SUM(F81,F84)</f>
        <v>0</v>
      </c>
      <c r="G17" s="1461">
        <f t="shared" si="6"/>
        <v>0</v>
      </c>
      <c r="H17" s="1461">
        <f t="shared" si="6"/>
        <v>0</v>
      </c>
      <c r="I17" s="1461">
        <f t="shared" si="6"/>
        <v>0</v>
      </c>
      <c r="J17" s="1461">
        <f t="shared" si="6"/>
        <v>0</v>
      </c>
      <c r="K17" s="1461">
        <f t="shared" si="6"/>
        <v>0</v>
      </c>
      <c r="L17" s="1461">
        <f t="shared" si="6"/>
        <v>0</v>
      </c>
      <c r="M17" s="1461">
        <f t="shared" si="6"/>
        <v>0</v>
      </c>
      <c r="N17" s="1461">
        <f t="shared" si="6"/>
        <v>0</v>
      </c>
      <c r="O17" s="1461">
        <f t="shared" si="6"/>
        <v>0</v>
      </c>
      <c r="P17" s="1461">
        <f t="shared" si="6"/>
        <v>0</v>
      </c>
      <c r="Q17" s="1461">
        <f t="shared" si="6"/>
        <v>0</v>
      </c>
      <c r="R17" s="1461">
        <f t="shared" si="6"/>
        <v>0</v>
      </c>
      <c r="S17" s="1461">
        <f t="shared" si="6"/>
        <v>0</v>
      </c>
      <c r="T17" s="1461">
        <f t="shared" si="6"/>
        <v>0</v>
      </c>
      <c r="U17" s="1461">
        <f t="shared" si="6"/>
        <v>0</v>
      </c>
      <c r="V17" s="1461">
        <f t="shared" si="6"/>
        <v>0</v>
      </c>
      <c r="W17" s="1461">
        <f t="shared" si="6"/>
        <v>0</v>
      </c>
      <c r="X17" s="1461">
        <f t="shared" si="6"/>
        <v>0</v>
      </c>
      <c r="Y17" s="1461">
        <f t="shared" si="6"/>
        <v>0</v>
      </c>
      <c r="Z17" s="1461">
        <f t="shared" si="6"/>
        <v>0</v>
      </c>
      <c r="AA17" s="1461">
        <f t="shared" si="6"/>
        <v>0</v>
      </c>
      <c r="AB17" s="1461">
        <f t="shared" si="6"/>
        <v>0</v>
      </c>
      <c r="AC17" s="1461">
        <f t="shared" si="6"/>
        <v>0</v>
      </c>
      <c r="AD17" s="1461">
        <f t="shared" si="6"/>
        <v>653.32889480692404</v>
      </c>
      <c r="AE17" s="1461">
        <f t="shared" si="6"/>
        <v>0</v>
      </c>
      <c r="AF17" s="1461">
        <f t="shared" si="6"/>
        <v>0</v>
      </c>
      <c r="AG17" s="1422">
        <f>($C$22-SUM($E17:$AF17))/17</f>
        <v>437.96628383488678</v>
      </c>
      <c r="AH17" s="1422">
        <f t="shared" ref="AH17:AW17" si="7">($C$22-SUM($E17:$AF17))/17</f>
        <v>437.96628383488678</v>
      </c>
      <c r="AI17" s="1422">
        <f t="shared" si="7"/>
        <v>437.96628383488678</v>
      </c>
      <c r="AJ17" s="1422">
        <f t="shared" si="7"/>
        <v>437.96628383488678</v>
      </c>
      <c r="AK17" s="1422">
        <f t="shared" si="7"/>
        <v>437.96628383488678</v>
      </c>
      <c r="AL17" s="1422">
        <f t="shared" si="7"/>
        <v>437.96628383488678</v>
      </c>
      <c r="AM17" s="1422">
        <f t="shared" si="7"/>
        <v>437.96628383488678</v>
      </c>
      <c r="AN17" s="1422">
        <f t="shared" si="7"/>
        <v>437.96628383488678</v>
      </c>
      <c r="AO17" s="1422">
        <f t="shared" si="7"/>
        <v>437.96628383488678</v>
      </c>
      <c r="AP17" s="1422">
        <f t="shared" si="7"/>
        <v>437.96628383488678</v>
      </c>
      <c r="AQ17" s="1422">
        <f t="shared" si="7"/>
        <v>437.96628383488678</v>
      </c>
      <c r="AR17" s="1422">
        <f t="shared" si="7"/>
        <v>437.96628383488678</v>
      </c>
      <c r="AS17" s="1422">
        <f t="shared" si="7"/>
        <v>437.96628383488678</v>
      </c>
      <c r="AT17" s="1422">
        <f t="shared" si="7"/>
        <v>437.96628383488678</v>
      </c>
      <c r="AU17" s="1422">
        <f t="shared" si="7"/>
        <v>437.96628383488678</v>
      </c>
      <c r="AV17" s="1422">
        <f t="shared" si="7"/>
        <v>437.96628383488678</v>
      </c>
      <c r="AW17" s="1422">
        <f t="shared" si="7"/>
        <v>437.96628383488678</v>
      </c>
      <c r="AX17" s="1422">
        <v>0</v>
      </c>
      <c r="AY17" s="1422">
        <v>0</v>
      </c>
      <c r="AZ17" s="505"/>
      <c r="BA17" s="517">
        <f>SUM(E17:AY17)</f>
        <v>8098.7557199999992</v>
      </c>
    </row>
    <row r="18" spans="1:53" s="303" customFormat="1">
      <c r="A18" s="506" t="str">
        <f>Assm!N17</f>
        <v>Land &amp; Rights Of Way</v>
      </c>
      <c r="B18" s="307"/>
      <c r="C18" s="507">
        <f>Assm!V17</f>
        <v>540</v>
      </c>
      <c r="D18" s="505"/>
      <c r="E18" s="1420">
        <v>0</v>
      </c>
      <c r="F18" s="1420">
        <v>0</v>
      </c>
      <c r="G18" s="1420">
        <v>0</v>
      </c>
      <c r="H18" s="1420">
        <v>0</v>
      </c>
      <c r="I18" s="1420">
        <v>0</v>
      </c>
      <c r="J18" s="1420">
        <v>0</v>
      </c>
      <c r="K18" s="1420">
        <v>0</v>
      </c>
      <c r="L18" s="1420">
        <v>0</v>
      </c>
      <c r="M18" s="1420">
        <v>0</v>
      </c>
      <c r="N18" s="1420">
        <v>0</v>
      </c>
      <c r="O18" s="1420">
        <v>0</v>
      </c>
      <c r="P18" s="1420">
        <v>0</v>
      </c>
      <c r="Q18" s="1420">
        <v>0</v>
      </c>
      <c r="R18" s="1420">
        <v>0</v>
      </c>
      <c r="S18" s="1420">
        <v>0</v>
      </c>
      <c r="T18" s="1420">
        <v>0</v>
      </c>
      <c r="U18" s="1420">
        <v>0</v>
      </c>
      <c r="V18" s="1420">
        <v>0</v>
      </c>
      <c r="W18" s="1420">
        <v>0</v>
      </c>
      <c r="X18" s="1420">
        <v>0</v>
      </c>
      <c r="Y18" s="1420">
        <v>0</v>
      </c>
      <c r="Z18" s="1420">
        <v>0</v>
      </c>
      <c r="AA18" s="1420">
        <v>0</v>
      </c>
      <c r="AB18" s="1420">
        <v>0</v>
      </c>
      <c r="AC18" s="1422">
        <v>0</v>
      </c>
      <c r="AD18" s="1422">
        <v>0</v>
      </c>
      <c r="AE18" s="1422">
        <v>0</v>
      </c>
      <c r="AF18" s="1422">
        <v>0</v>
      </c>
      <c r="AG18" s="1422">
        <v>0</v>
      </c>
      <c r="AH18" s="1422">
        <v>0</v>
      </c>
      <c r="AI18" s="1422">
        <v>0</v>
      </c>
      <c r="AJ18" s="1422">
        <v>0</v>
      </c>
      <c r="AK18" s="1422">
        <v>0</v>
      </c>
      <c r="AL18" s="1422">
        <v>0</v>
      </c>
      <c r="AM18" s="1422">
        <v>0</v>
      </c>
      <c r="AN18" s="1422">
        <v>0</v>
      </c>
      <c r="AO18" s="1422">
        <v>0</v>
      </c>
      <c r="AP18" s="1422">
        <v>0</v>
      </c>
      <c r="AQ18" s="1422">
        <v>0</v>
      </c>
      <c r="AR18" s="1422">
        <v>0</v>
      </c>
      <c r="AS18" s="1422">
        <v>0</v>
      </c>
      <c r="AT18" s="1422">
        <v>0</v>
      </c>
      <c r="AU18" s="1422">
        <v>0</v>
      </c>
      <c r="AV18" s="1422">
        <v>0</v>
      </c>
      <c r="AW18" s="1422">
        <v>0</v>
      </c>
      <c r="AX18" s="1422">
        <v>0</v>
      </c>
      <c r="AY18" s="1422">
        <v>0</v>
      </c>
      <c r="AZ18" s="505"/>
      <c r="BA18" s="517">
        <f>SUM(E18:AY18)</f>
        <v>0</v>
      </c>
    </row>
    <row r="19" spans="1:53" s="303" customFormat="1">
      <c r="A19" s="506" t="str">
        <f>Assm!N18</f>
        <v>Owner's Engineer (Parson's)</v>
      </c>
      <c r="B19" s="307"/>
      <c r="C19" s="507">
        <f>Assm!V18</f>
        <v>1925</v>
      </c>
      <c r="D19" s="505"/>
      <c r="E19" s="1420">
        <v>0</v>
      </c>
      <c r="F19" s="1420">
        <v>0</v>
      </c>
      <c r="G19" s="1420">
        <v>0</v>
      </c>
      <c r="H19" s="1420">
        <v>0</v>
      </c>
      <c r="I19" s="1420">
        <v>0</v>
      </c>
      <c r="J19" s="1420">
        <v>0</v>
      </c>
      <c r="K19" s="1420">
        <v>0</v>
      </c>
      <c r="L19" s="1420">
        <v>0</v>
      </c>
      <c r="M19" s="1420">
        <v>0</v>
      </c>
      <c r="N19" s="1420">
        <v>0</v>
      </c>
      <c r="O19" s="1420">
        <v>0</v>
      </c>
      <c r="P19" s="1420">
        <v>0</v>
      </c>
      <c r="Q19" s="1420">
        <v>0</v>
      </c>
      <c r="R19" s="1420">
        <v>0</v>
      </c>
      <c r="S19" s="1420">
        <v>0</v>
      </c>
      <c r="T19" s="1420">
        <v>0</v>
      </c>
      <c r="U19" s="1420">
        <v>0</v>
      </c>
      <c r="V19" s="1420">
        <v>0</v>
      </c>
      <c r="W19" s="1420">
        <v>0</v>
      </c>
      <c r="X19" s="1420">
        <v>0</v>
      </c>
      <c r="Y19" s="1420">
        <v>0</v>
      </c>
      <c r="Z19" s="1420">
        <v>0</v>
      </c>
      <c r="AA19" s="1420">
        <v>0</v>
      </c>
      <c r="AB19" s="1420">
        <v>0</v>
      </c>
      <c r="AC19" s="1422">
        <v>0</v>
      </c>
      <c r="AD19" s="1422">
        <v>0</v>
      </c>
      <c r="AE19" s="1422">
        <v>0</v>
      </c>
      <c r="AF19" s="1422">
        <v>0</v>
      </c>
      <c r="AG19" s="1422">
        <v>0</v>
      </c>
      <c r="AH19" s="1422">
        <v>0</v>
      </c>
      <c r="AI19" s="1422">
        <v>0</v>
      </c>
      <c r="AJ19" s="1422">
        <v>0</v>
      </c>
      <c r="AK19" s="1422">
        <v>0</v>
      </c>
      <c r="AL19" s="1422">
        <v>0</v>
      </c>
      <c r="AM19" s="1422">
        <v>0</v>
      </c>
      <c r="AN19" s="1422">
        <v>0</v>
      </c>
      <c r="AO19" s="1422">
        <v>0</v>
      </c>
      <c r="AP19" s="1422">
        <v>0</v>
      </c>
      <c r="AQ19" s="1422">
        <v>0</v>
      </c>
      <c r="AR19" s="1422">
        <v>0</v>
      </c>
      <c r="AS19" s="1422">
        <v>0</v>
      </c>
      <c r="AT19" s="1422">
        <v>0</v>
      </c>
      <c r="AU19" s="1422">
        <v>0</v>
      </c>
      <c r="AV19" s="1422">
        <v>0</v>
      </c>
      <c r="AW19" s="1422">
        <v>0</v>
      </c>
      <c r="AX19" s="1422">
        <v>0</v>
      </c>
      <c r="AY19" s="1422">
        <v>0</v>
      </c>
      <c r="AZ19" s="505"/>
      <c r="BA19" s="517">
        <f>SUM(E19:AY19)</f>
        <v>0</v>
      </c>
    </row>
    <row r="20" spans="1:53" s="303" customFormat="1">
      <c r="A20" s="506" t="str">
        <f>Assm!N19</f>
        <v>Environmental &amp; Permitting</v>
      </c>
      <c r="B20" s="307"/>
      <c r="C20" s="507">
        <f>Assm!V19</f>
        <v>1256.7557199999994</v>
      </c>
      <c r="D20" s="505"/>
      <c r="E20" s="1420">
        <v>0</v>
      </c>
      <c r="F20" s="1420">
        <v>0</v>
      </c>
      <c r="G20" s="1420">
        <v>0</v>
      </c>
      <c r="H20" s="1420">
        <v>0</v>
      </c>
      <c r="I20" s="1420">
        <v>0</v>
      </c>
      <c r="J20" s="1420">
        <v>0</v>
      </c>
      <c r="K20" s="1420">
        <v>0</v>
      </c>
      <c r="L20" s="1420">
        <v>0</v>
      </c>
      <c r="M20" s="1420">
        <v>0</v>
      </c>
      <c r="N20" s="1420">
        <v>0</v>
      </c>
      <c r="O20" s="1420">
        <v>0</v>
      </c>
      <c r="P20" s="1420">
        <v>0</v>
      </c>
      <c r="Q20" s="1420">
        <v>0</v>
      </c>
      <c r="R20" s="1420">
        <v>0</v>
      </c>
      <c r="S20" s="1420">
        <v>0</v>
      </c>
      <c r="T20" s="1420">
        <v>0</v>
      </c>
      <c r="U20" s="1420">
        <v>0</v>
      </c>
      <c r="V20" s="1420">
        <v>0</v>
      </c>
      <c r="W20" s="1420">
        <v>0</v>
      </c>
      <c r="X20" s="1420">
        <v>0</v>
      </c>
      <c r="Y20" s="1420">
        <v>0</v>
      </c>
      <c r="Z20" s="1420">
        <v>0</v>
      </c>
      <c r="AA20" s="1420">
        <v>0</v>
      </c>
      <c r="AB20" s="1420">
        <v>0</v>
      </c>
      <c r="AC20" s="1422">
        <v>0</v>
      </c>
      <c r="AD20" s="1422">
        <v>0</v>
      </c>
      <c r="AE20" s="1422">
        <v>0</v>
      </c>
      <c r="AF20" s="1422">
        <v>0</v>
      </c>
      <c r="AG20" s="1422">
        <v>0</v>
      </c>
      <c r="AH20" s="1422">
        <v>0</v>
      </c>
      <c r="AI20" s="1422">
        <v>0</v>
      </c>
      <c r="AJ20" s="1422">
        <v>0</v>
      </c>
      <c r="AK20" s="1422">
        <v>0</v>
      </c>
      <c r="AL20" s="1422">
        <v>0</v>
      </c>
      <c r="AM20" s="1422">
        <v>0</v>
      </c>
      <c r="AN20" s="1422">
        <v>0</v>
      </c>
      <c r="AO20" s="1422">
        <v>0</v>
      </c>
      <c r="AP20" s="1422">
        <v>0</v>
      </c>
      <c r="AQ20" s="1422">
        <v>0</v>
      </c>
      <c r="AR20" s="1422">
        <v>0</v>
      </c>
      <c r="AS20" s="1422">
        <v>0</v>
      </c>
      <c r="AT20" s="1422">
        <v>0</v>
      </c>
      <c r="AU20" s="1422">
        <v>0</v>
      </c>
      <c r="AV20" s="1422">
        <v>0</v>
      </c>
      <c r="AW20" s="1422">
        <v>0</v>
      </c>
      <c r="AX20" s="1422">
        <v>0</v>
      </c>
      <c r="AY20" s="1422">
        <v>0</v>
      </c>
      <c r="AZ20" s="505"/>
      <c r="BA20" s="517">
        <f>SUM(E20:AY20)</f>
        <v>0</v>
      </c>
    </row>
    <row r="21" spans="1:53" s="303" customFormat="1">
      <c r="A21" s="506" t="str">
        <f>Assm!N20</f>
        <v>Consulting Fee</v>
      </c>
      <c r="B21" s="307"/>
      <c r="C21" s="508">
        <f>Assm!V20</f>
        <v>2642</v>
      </c>
      <c r="D21" s="509"/>
      <c r="E21" s="1421">
        <v>0</v>
      </c>
      <c r="F21" s="1421">
        <v>0</v>
      </c>
      <c r="G21" s="1421">
        <v>0</v>
      </c>
      <c r="H21" s="1421">
        <v>0</v>
      </c>
      <c r="I21" s="1421">
        <v>0</v>
      </c>
      <c r="J21" s="1421">
        <v>0</v>
      </c>
      <c r="K21" s="1421">
        <v>0</v>
      </c>
      <c r="L21" s="1421">
        <v>0</v>
      </c>
      <c r="M21" s="1421">
        <v>0</v>
      </c>
      <c r="N21" s="1421">
        <v>0</v>
      </c>
      <c r="O21" s="1421">
        <v>0</v>
      </c>
      <c r="P21" s="1421">
        <v>0</v>
      </c>
      <c r="Q21" s="1421">
        <v>0</v>
      </c>
      <c r="R21" s="1421">
        <v>0</v>
      </c>
      <c r="S21" s="1421">
        <v>0</v>
      </c>
      <c r="T21" s="1421">
        <v>0</v>
      </c>
      <c r="U21" s="1421">
        <v>0</v>
      </c>
      <c r="V21" s="1421">
        <v>0</v>
      </c>
      <c r="W21" s="1421">
        <v>0</v>
      </c>
      <c r="X21" s="1421">
        <v>0</v>
      </c>
      <c r="Y21" s="1421">
        <v>0</v>
      </c>
      <c r="Z21" s="1421">
        <v>0</v>
      </c>
      <c r="AA21" s="1421">
        <v>0</v>
      </c>
      <c r="AB21" s="1421">
        <v>0</v>
      </c>
      <c r="AC21" s="1423">
        <v>0</v>
      </c>
      <c r="AD21" s="1423">
        <v>0</v>
      </c>
      <c r="AE21" s="1423">
        <v>0</v>
      </c>
      <c r="AF21" s="1423">
        <v>0</v>
      </c>
      <c r="AG21" s="1423">
        <v>0</v>
      </c>
      <c r="AH21" s="1423">
        <v>0</v>
      </c>
      <c r="AI21" s="1423">
        <v>0</v>
      </c>
      <c r="AJ21" s="1423">
        <v>0</v>
      </c>
      <c r="AK21" s="1423">
        <v>0</v>
      </c>
      <c r="AL21" s="1423">
        <v>0</v>
      </c>
      <c r="AM21" s="1423">
        <v>0</v>
      </c>
      <c r="AN21" s="1423">
        <v>0</v>
      </c>
      <c r="AO21" s="1423">
        <v>0</v>
      </c>
      <c r="AP21" s="1423">
        <v>0</v>
      </c>
      <c r="AQ21" s="1423">
        <v>0</v>
      </c>
      <c r="AR21" s="1423">
        <v>0</v>
      </c>
      <c r="AS21" s="1423">
        <v>0</v>
      </c>
      <c r="AT21" s="1423">
        <v>0</v>
      </c>
      <c r="AU21" s="1423">
        <v>0</v>
      </c>
      <c r="AV21" s="1423">
        <v>0</v>
      </c>
      <c r="AW21" s="1423">
        <v>0</v>
      </c>
      <c r="AX21" s="1423">
        <v>0</v>
      </c>
      <c r="AY21" s="1423">
        <v>0</v>
      </c>
      <c r="AZ21" s="509"/>
      <c r="BA21" s="518">
        <f>SUM(E21:AY21)</f>
        <v>0</v>
      </c>
    </row>
    <row r="22" spans="1:53" s="303" customFormat="1">
      <c r="A22" s="506" t="str">
        <f>Assm!N21</f>
        <v>Total Other Construction</v>
      </c>
      <c r="B22" s="307"/>
      <c r="C22" s="507">
        <f>SUM(C17:C21)</f>
        <v>8098.7557199999992</v>
      </c>
      <c r="D22" s="505"/>
      <c r="E22" s="507">
        <f t="shared" ref="E22:AN22" si="8">SUM(E17:E21)</f>
        <v>0</v>
      </c>
      <c r="F22" s="507">
        <f t="shared" si="8"/>
        <v>0</v>
      </c>
      <c r="G22" s="507">
        <f t="shared" si="8"/>
        <v>0</v>
      </c>
      <c r="H22" s="507">
        <f t="shared" si="8"/>
        <v>0</v>
      </c>
      <c r="I22" s="507">
        <f t="shared" si="8"/>
        <v>0</v>
      </c>
      <c r="J22" s="507">
        <f t="shared" si="8"/>
        <v>0</v>
      </c>
      <c r="K22" s="507">
        <f t="shared" si="8"/>
        <v>0</v>
      </c>
      <c r="L22" s="507">
        <f t="shared" si="8"/>
        <v>0</v>
      </c>
      <c r="M22" s="507">
        <f t="shared" si="8"/>
        <v>0</v>
      </c>
      <c r="N22" s="507">
        <f t="shared" si="8"/>
        <v>0</v>
      </c>
      <c r="O22" s="507">
        <f t="shared" si="8"/>
        <v>0</v>
      </c>
      <c r="P22" s="507">
        <f t="shared" si="8"/>
        <v>0</v>
      </c>
      <c r="Q22" s="507">
        <f t="shared" si="8"/>
        <v>0</v>
      </c>
      <c r="R22" s="507">
        <f t="shared" si="8"/>
        <v>0</v>
      </c>
      <c r="S22" s="507">
        <f t="shared" si="8"/>
        <v>0</v>
      </c>
      <c r="T22" s="507">
        <f t="shared" si="8"/>
        <v>0</v>
      </c>
      <c r="U22" s="507">
        <f t="shared" si="8"/>
        <v>0</v>
      </c>
      <c r="V22" s="507">
        <f t="shared" si="8"/>
        <v>0</v>
      </c>
      <c r="W22" s="507">
        <f t="shared" si="8"/>
        <v>0</v>
      </c>
      <c r="X22" s="507">
        <f t="shared" si="8"/>
        <v>0</v>
      </c>
      <c r="Y22" s="507">
        <f t="shared" si="8"/>
        <v>0</v>
      </c>
      <c r="Z22" s="507">
        <f t="shared" si="8"/>
        <v>0</v>
      </c>
      <c r="AA22" s="507">
        <f t="shared" si="8"/>
        <v>0</v>
      </c>
      <c r="AB22" s="507">
        <f t="shared" si="8"/>
        <v>0</v>
      </c>
      <c r="AC22" s="507">
        <f t="shared" si="8"/>
        <v>0</v>
      </c>
      <c r="AD22" s="507">
        <f t="shared" si="8"/>
        <v>653.32889480692404</v>
      </c>
      <c r="AE22" s="507">
        <f t="shared" si="8"/>
        <v>0</v>
      </c>
      <c r="AF22" s="507">
        <f t="shared" si="8"/>
        <v>0</v>
      </c>
      <c r="AG22" s="507">
        <f t="shared" si="8"/>
        <v>437.96628383488678</v>
      </c>
      <c r="AH22" s="507">
        <f t="shared" si="8"/>
        <v>437.96628383488678</v>
      </c>
      <c r="AI22" s="507">
        <f t="shared" si="8"/>
        <v>437.96628383488678</v>
      </c>
      <c r="AJ22" s="507">
        <f t="shared" si="8"/>
        <v>437.96628383488678</v>
      </c>
      <c r="AK22" s="507">
        <f t="shared" si="8"/>
        <v>437.96628383488678</v>
      </c>
      <c r="AL22" s="507">
        <f t="shared" si="8"/>
        <v>437.96628383488678</v>
      </c>
      <c r="AM22" s="507">
        <f t="shared" si="8"/>
        <v>437.96628383488678</v>
      </c>
      <c r="AN22" s="507">
        <f t="shared" si="8"/>
        <v>437.96628383488678</v>
      </c>
      <c r="AO22" s="507">
        <f>SUM(AO17:AO21)</f>
        <v>437.96628383488678</v>
      </c>
      <c r="AP22" s="507">
        <f>SUM(AP17:AP21)</f>
        <v>437.96628383488678</v>
      </c>
      <c r="AQ22" s="507">
        <f>SUM(AQ17:AQ21)</f>
        <v>437.96628383488678</v>
      </c>
      <c r="AR22" s="507">
        <f>SUM(AR17:AR21)</f>
        <v>437.96628383488678</v>
      </c>
      <c r="AS22" s="507">
        <f t="shared" ref="AS22:AY22" si="9">SUM(AS17:AS21)</f>
        <v>437.96628383488678</v>
      </c>
      <c r="AT22" s="507">
        <f t="shared" si="9"/>
        <v>437.96628383488678</v>
      </c>
      <c r="AU22" s="507">
        <f t="shared" si="9"/>
        <v>437.96628383488678</v>
      </c>
      <c r="AV22" s="507">
        <f t="shared" si="9"/>
        <v>437.96628383488678</v>
      </c>
      <c r="AW22" s="507">
        <f t="shared" si="9"/>
        <v>437.96628383488678</v>
      </c>
      <c r="AX22" s="507">
        <f t="shared" si="9"/>
        <v>0</v>
      </c>
      <c r="AY22" s="507">
        <f t="shared" si="9"/>
        <v>0</v>
      </c>
      <c r="AZ22" s="505"/>
      <c r="BA22" s="517">
        <f>SUM(BA17:BA21)</f>
        <v>8098.7557199999992</v>
      </c>
    </row>
    <row r="23" spans="1:53" s="303" customFormat="1">
      <c r="A23" s="506"/>
      <c r="B23" s="307"/>
      <c r="C23" s="505"/>
      <c r="D23" s="505"/>
      <c r="E23" s="505"/>
      <c r="F23" s="505"/>
      <c r="G23" s="505"/>
      <c r="H23" s="505"/>
      <c r="I23" s="505"/>
      <c r="J23" s="505"/>
      <c r="K23" s="505"/>
      <c r="L23" s="505"/>
      <c r="M23" s="505"/>
      <c r="N23" s="505"/>
      <c r="O23" s="505"/>
      <c r="P23" s="505"/>
      <c r="Q23" s="505"/>
      <c r="R23" s="505"/>
      <c r="S23" s="505"/>
      <c r="T23" s="505"/>
      <c r="U23" s="505"/>
      <c r="V23" s="505"/>
      <c r="W23" s="505"/>
      <c r="X23" s="505"/>
      <c r="Y23" s="505"/>
      <c r="Z23" s="505"/>
      <c r="AA23" s="505"/>
      <c r="AB23" s="505"/>
      <c r="AC23" s="505"/>
      <c r="AD23" s="505"/>
      <c r="AE23" s="505"/>
      <c r="AF23" s="505"/>
      <c r="AG23" s="505"/>
      <c r="AH23" s="505"/>
      <c r="AI23" s="505"/>
      <c r="AJ23" s="505"/>
      <c r="AK23" s="505"/>
      <c r="AL23" s="505"/>
      <c r="AM23" s="505"/>
      <c r="AN23" s="505"/>
      <c r="AO23" s="505"/>
      <c r="AP23" s="505"/>
      <c r="AQ23" s="505"/>
      <c r="AR23" s="505"/>
      <c r="AS23" s="505"/>
      <c r="AT23" s="505"/>
      <c r="AU23" s="505"/>
      <c r="AV23" s="505"/>
      <c r="AW23" s="505"/>
      <c r="AX23" s="505"/>
      <c r="AY23" s="505"/>
      <c r="AZ23" s="505"/>
      <c r="BA23" s="516"/>
    </row>
    <row r="24" spans="1:53" s="303" customFormat="1">
      <c r="A24" s="506" t="str">
        <f>Assm!N26</f>
        <v>Upfront Fee</v>
      </c>
      <c r="B24" s="307"/>
      <c r="C24" s="507">
        <f ca="1">Assm!V26</f>
        <v>29527.516798665871</v>
      </c>
      <c r="D24" s="505"/>
      <c r="E24" s="507">
        <f t="shared" ref="E24:AY24" ca="1" si="10">IF(E$7=Fin_Close,$C24,0)</f>
        <v>0</v>
      </c>
      <c r="F24" s="507">
        <f t="shared" ca="1" si="10"/>
        <v>0</v>
      </c>
      <c r="G24" s="507">
        <f t="shared" ca="1" si="10"/>
        <v>0</v>
      </c>
      <c r="H24" s="507">
        <f t="shared" ca="1" si="10"/>
        <v>0</v>
      </c>
      <c r="I24" s="507">
        <f t="shared" ca="1" si="10"/>
        <v>0</v>
      </c>
      <c r="J24" s="507">
        <f t="shared" ca="1" si="10"/>
        <v>0</v>
      </c>
      <c r="K24" s="507">
        <f t="shared" ca="1" si="10"/>
        <v>0</v>
      </c>
      <c r="L24" s="507">
        <f t="shared" ca="1" si="10"/>
        <v>0</v>
      </c>
      <c r="M24" s="507">
        <f t="shared" ca="1" si="10"/>
        <v>0</v>
      </c>
      <c r="N24" s="507">
        <f t="shared" ca="1" si="10"/>
        <v>0</v>
      </c>
      <c r="O24" s="507">
        <f t="shared" ca="1" si="10"/>
        <v>0</v>
      </c>
      <c r="P24" s="507">
        <f t="shared" ca="1" si="10"/>
        <v>0</v>
      </c>
      <c r="Q24" s="507">
        <f t="shared" ca="1" si="10"/>
        <v>0</v>
      </c>
      <c r="R24" s="507">
        <f t="shared" ca="1" si="10"/>
        <v>0</v>
      </c>
      <c r="S24" s="507">
        <f t="shared" ca="1" si="10"/>
        <v>0</v>
      </c>
      <c r="T24" s="507">
        <f t="shared" ca="1" si="10"/>
        <v>0</v>
      </c>
      <c r="U24" s="507">
        <f t="shared" ca="1" si="10"/>
        <v>0</v>
      </c>
      <c r="V24" s="507">
        <f t="shared" ca="1" si="10"/>
        <v>0</v>
      </c>
      <c r="W24" s="507">
        <f t="shared" ca="1" si="10"/>
        <v>0</v>
      </c>
      <c r="X24" s="507">
        <f t="shared" ca="1" si="10"/>
        <v>0</v>
      </c>
      <c r="Y24" s="507">
        <f t="shared" ca="1" si="10"/>
        <v>0</v>
      </c>
      <c r="Z24" s="507">
        <f t="shared" ca="1" si="10"/>
        <v>0</v>
      </c>
      <c r="AA24" s="507">
        <f t="shared" ca="1" si="10"/>
        <v>0</v>
      </c>
      <c r="AB24" s="507">
        <f t="shared" ca="1" si="10"/>
        <v>0</v>
      </c>
      <c r="AC24" s="507">
        <f t="shared" ca="1" si="10"/>
        <v>0</v>
      </c>
      <c r="AD24" s="507">
        <f t="shared" ca="1" si="10"/>
        <v>0</v>
      </c>
      <c r="AE24" s="507">
        <f t="shared" ca="1" si="10"/>
        <v>0</v>
      </c>
      <c r="AF24" s="507">
        <f t="shared" ca="1" si="10"/>
        <v>0</v>
      </c>
      <c r="AG24" s="507">
        <f t="shared" ca="1" si="10"/>
        <v>0</v>
      </c>
      <c r="AH24" s="507">
        <f t="shared" ca="1" si="10"/>
        <v>0</v>
      </c>
      <c r="AI24" s="507">
        <f t="shared" ca="1" si="10"/>
        <v>0</v>
      </c>
      <c r="AJ24" s="507">
        <f t="shared" ca="1" si="10"/>
        <v>0</v>
      </c>
      <c r="AK24" s="507">
        <f t="shared" ca="1" si="10"/>
        <v>0</v>
      </c>
      <c r="AL24" s="507">
        <f t="shared" ca="1" si="10"/>
        <v>29527.516798665871</v>
      </c>
      <c r="AM24" s="507">
        <f t="shared" ca="1" si="10"/>
        <v>0</v>
      </c>
      <c r="AN24" s="507">
        <f t="shared" ca="1" si="10"/>
        <v>0</v>
      </c>
      <c r="AO24" s="507">
        <f t="shared" ca="1" si="10"/>
        <v>0</v>
      </c>
      <c r="AP24" s="507">
        <f t="shared" ca="1" si="10"/>
        <v>0</v>
      </c>
      <c r="AQ24" s="507">
        <f t="shared" ca="1" si="10"/>
        <v>0</v>
      </c>
      <c r="AR24" s="507">
        <f t="shared" ca="1" si="10"/>
        <v>0</v>
      </c>
      <c r="AS24" s="507">
        <f t="shared" ca="1" si="10"/>
        <v>0</v>
      </c>
      <c r="AT24" s="507">
        <f t="shared" ca="1" si="10"/>
        <v>0</v>
      </c>
      <c r="AU24" s="507">
        <f t="shared" ca="1" si="10"/>
        <v>0</v>
      </c>
      <c r="AV24" s="507">
        <f t="shared" ca="1" si="10"/>
        <v>0</v>
      </c>
      <c r="AW24" s="507">
        <f t="shared" ca="1" si="10"/>
        <v>0</v>
      </c>
      <c r="AX24" s="507">
        <f t="shared" ca="1" si="10"/>
        <v>0</v>
      </c>
      <c r="AY24" s="507">
        <f t="shared" ca="1" si="10"/>
        <v>0</v>
      </c>
      <c r="AZ24" s="505"/>
      <c r="BA24" s="517">
        <f t="shared" ref="BA24:BA29" ca="1" si="11">SUM(E24:AY24)</f>
        <v>29527.516798665871</v>
      </c>
    </row>
    <row r="25" spans="1:53" s="303" customFormat="1">
      <c r="A25" s="506" t="str">
        <f>Assm!N27</f>
        <v>Financing Costs (Borrower And Lender)</v>
      </c>
      <c r="B25" s="307"/>
      <c r="C25" s="507">
        <f>Assm!V27</f>
        <v>7419.875</v>
      </c>
      <c r="D25" s="505"/>
      <c r="E25" s="1420">
        <v>0</v>
      </c>
      <c r="F25" s="1420">
        <v>0</v>
      </c>
      <c r="G25" s="1420">
        <v>0</v>
      </c>
      <c r="H25" s="1420">
        <v>0</v>
      </c>
      <c r="I25" s="1420">
        <v>0</v>
      </c>
      <c r="J25" s="1420">
        <v>0</v>
      </c>
      <c r="K25" s="1420">
        <v>0</v>
      </c>
      <c r="L25" s="1420">
        <v>0</v>
      </c>
      <c r="M25" s="1420">
        <v>0</v>
      </c>
      <c r="N25" s="1420">
        <v>0</v>
      </c>
      <c r="O25" s="1420">
        <v>0</v>
      </c>
      <c r="P25" s="1420">
        <v>0</v>
      </c>
      <c r="Q25" s="1420">
        <v>0</v>
      </c>
      <c r="R25" s="1420">
        <v>0</v>
      </c>
      <c r="S25" s="1420">
        <v>0</v>
      </c>
      <c r="T25" s="1420">
        <v>0</v>
      </c>
      <c r="U25" s="1420">
        <v>0</v>
      </c>
      <c r="V25" s="1420">
        <v>0</v>
      </c>
      <c r="W25" s="1420">
        <v>0</v>
      </c>
      <c r="X25" s="1420">
        <v>0</v>
      </c>
      <c r="Y25" s="1420">
        <v>0</v>
      </c>
      <c r="Z25" s="1420">
        <v>0</v>
      </c>
      <c r="AA25" s="1420">
        <v>0</v>
      </c>
      <c r="AB25" s="1420">
        <v>0</v>
      </c>
      <c r="AC25" s="1420">
        <v>0</v>
      </c>
      <c r="AD25" s="1420">
        <v>0</v>
      </c>
      <c r="AE25" s="1420">
        <v>0</v>
      </c>
      <c r="AF25" s="1420">
        <v>0</v>
      </c>
      <c r="AG25" s="1420">
        <v>0</v>
      </c>
      <c r="AH25" s="1420">
        <v>0</v>
      </c>
      <c r="AI25" s="1420">
        <v>0</v>
      </c>
      <c r="AJ25" s="1422">
        <f>$C25</f>
        <v>7419.875</v>
      </c>
      <c r="AK25" s="1420">
        <v>0</v>
      </c>
      <c r="AL25" s="1420">
        <v>0</v>
      </c>
      <c r="AM25" s="1420">
        <v>0</v>
      </c>
      <c r="AN25" s="1420">
        <v>0</v>
      </c>
      <c r="AO25" s="1420">
        <v>0</v>
      </c>
      <c r="AP25" s="1420">
        <v>0</v>
      </c>
      <c r="AQ25" s="1420">
        <v>0</v>
      </c>
      <c r="AR25" s="1420">
        <v>0</v>
      </c>
      <c r="AS25" s="1420">
        <v>0</v>
      </c>
      <c r="AT25" s="1420">
        <v>0</v>
      </c>
      <c r="AU25" s="1420">
        <v>0</v>
      </c>
      <c r="AV25" s="1420">
        <v>0</v>
      </c>
      <c r="AW25" s="1420">
        <v>0</v>
      </c>
      <c r="AX25" s="1420">
        <v>0</v>
      </c>
      <c r="AY25" s="1420">
        <v>0</v>
      </c>
      <c r="AZ25" s="505"/>
      <c r="BA25" s="517">
        <f t="shared" si="11"/>
        <v>7419.875</v>
      </c>
    </row>
    <row r="26" spans="1:53" s="303" customFormat="1">
      <c r="A26" s="506" t="str">
        <f>Assm!N28</f>
        <v>Financing Costs (Other)</v>
      </c>
      <c r="B26" s="307"/>
      <c r="C26" s="507">
        <f>Assm!V28</f>
        <v>0</v>
      </c>
      <c r="D26" s="505"/>
      <c r="E26" s="1420">
        <v>0</v>
      </c>
      <c r="F26" s="1420">
        <v>0</v>
      </c>
      <c r="G26" s="1420">
        <v>0</v>
      </c>
      <c r="H26" s="1420">
        <v>0</v>
      </c>
      <c r="I26" s="1420">
        <v>0</v>
      </c>
      <c r="J26" s="1420">
        <v>0</v>
      </c>
      <c r="K26" s="1420">
        <v>0</v>
      </c>
      <c r="L26" s="1420">
        <v>0</v>
      </c>
      <c r="M26" s="1420">
        <v>0</v>
      </c>
      <c r="N26" s="1420">
        <v>0</v>
      </c>
      <c r="O26" s="1420">
        <v>0</v>
      </c>
      <c r="P26" s="1420">
        <v>0</v>
      </c>
      <c r="Q26" s="1420">
        <v>0</v>
      </c>
      <c r="R26" s="1420">
        <v>0</v>
      </c>
      <c r="S26" s="1420">
        <v>0</v>
      </c>
      <c r="T26" s="1420">
        <v>0</v>
      </c>
      <c r="U26" s="1420">
        <v>0</v>
      </c>
      <c r="V26" s="1420">
        <v>0</v>
      </c>
      <c r="W26" s="1420">
        <v>0</v>
      </c>
      <c r="X26" s="1420">
        <v>0</v>
      </c>
      <c r="Y26" s="1420">
        <v>0</v>
      </c>
      <c r="Z26" s="1420">
        <v>0</v>
      </c>
      <c r="AA26" s="1420">
        <v>0</v>
      </c>
      <c r="AB26" s="1420">
        <v>0</v>
      </c>
      <c r="AC26" s="1420">
        <v>0</v>
      </c>
      <c r="AD26" s="1420">
        <v>0</v>
      </c>
      <c r="AE26" s="1420">
        <v>0</v>
      </c>
      <c r="AF26" s="1420">
        <v>0</v>
      </c>
      <c r="AG26" s="1420">
        <v>0</v>
      </c>
      <c r="AH26" s="1420">
        <v>0</v>
      </c>
      <c r="AI26" s="1420">
        <v>0</v>
      </c>
      <c r="AJ26" s="1422">
        <f>$C26</f>
        <v>0</v>
      </c>
      <c r="AK26" s="1420">
        <v>0</v>
      </c>
      <c r="AL26" s="1420">
        <v>0</v>
      </c>
      <c r="AM26" s="1420">
        <v>0</v>
      </c>
      <c r="AN26" s="1420">
        <v>0</v>
      </c>
      <c r="AO26" s="1420">
        <v>0</v>
      </c>
      <c r="AP26" s="1420">
        <v>0</v>
      </c>
      <c r="AQ26" s="1420">
        <v>0</v>
      </c>
      <c r="AR26" s="1420">
        <v>0</v>
      </c>
      <c r="AS26" s="1420">
        <v>0</v>
      </c>
      <c r="AT26" s="1420">
        <v>0</v>
      </c>
      <c r="AU26" s="1420">
        <v>0</v>
      </c>
      <c r="AV26" s="1420">
        <v>0</v>
      </c>
      <c r="AW26" s="1420">
        <v>0</v>
      </c>
      <c r="AX26" s="1420">
        <v>0</v>
      </c>
      <c r="AY26" s="1420">
        <v>0</v>
      </c>
      <c r="AZ26" s="505"/>
      <c r="BA26" s="517">
        <f t="shared" si="11"/>
        <v>0</v>
      </c>
    </row>
    <row r="27" spans="1:53" s="303" customFormat="1">
      <c r="A27" s="506" t="str">
        <f>Assm!N29</f>
        <v>3rd Party Legal Fees</v>
      </c>
      <c r="B27" s="307"/>
      <c r="C27" s="507">
        <f>Assm!V29</f>
        <v>4288.125</v>
      </c>
      <c r="D27" s="505"/>
      <c r="E27" s="1461">
        <f>E77</f>
        <v>0</v>
      </c>
      <c r="F27" s="1461">
        <f t="shared" ref="F27:AB27" si="12">F77</f>
        <v>0</v>
      </c>
      <c r="G27" s="1461">
        <f t="shared" si="12"/>
        <v>0</v>
      </c>
      <c r="H27" s="1461">
        <f t="shared" si="12"/>
        <v>0</v>
      </c>
      <c r="I27" s="1461">
        <f t="shared" si="12"/>
        <v>0</v>
      </c>
      <c r="J27" s="1461">
        <f t="shared" si="12"/>
        <v>0</v>
      </c>
      <c r="K27" s="1461">
        <f t="shared" si="12"/>
        <v>0</v>
      </c>
      <c r="L27" s="1461">
        <f t="shared" si="12"/>
        <v>0</v>
      </c>
      <c r="M27" s="1461">
        <f t="shared" si="12"/>
        <v>0</v>
      </c>
      <c r="N27" s="1461">
        <f t="shared" si="12"/>
        <v>0</v>
      </c>
      <c r="O27" s="1461">
        <f t="shared" si="12"/>
        <v>0</v>
      </c>
      <c r="P27" s="1461">
        <f t="shared" si="12"/>
        <v>0</v>
      </c>
      <c r="Q27" s="1461">
        <f t="shared" si="12"/>
        <v>0</v>
      </c>
      <c r="R27" s="1461">
        <f t="shared" si="12"/>
        <v>0</v>
      </c>
      <c r="S27" s="1461">
        <f t="shared" si="12"/>
        <v>0</v>
      </c>
      <c r="T27" s="1461">
        <f t="shared" si="12"/>
        <v>0</v>
      </c>
      <c r="U27" s="1461">
        <f t="shared" si="12"/>
        <v>104.76570326409495</v>
      </c>
      <c r="V27" s="1461">
        <f t="shared" si="12"/>
        <v>0</v>
      </c>
      <c r="W27" s="1461">
        <f t="shared" si="12"/>
        <v>638.97383337127246</v>
      </c>
      <c r="X27" s="1461">
        <f t="shared" si="12"/>
        <v>488.21542699724517</v>
      </c>
      <c r="Y27" s="1461">
        <f t="shared" si="12"/>
        <v>0</v>
      </c>
      <c r="Z27" s="1461">
        <f t="shared" si="12"/>
        <v>0</v>
      </c>
      <c r="AA27" s="1461">
        <f t="shared" si="12"/>
        <v>197.61140296979008</v>
      </c>
      <c r="AB27" s="1461">
        <f t="shared" si="12"/>
        <v>0</v>
      </c>
      <c r="AC27" s="1420">
        <v>0</v>
      </c>
      <c r="AD27" s="1420">
        <v>0</v>
      </c>
      <c r="AE27" s="1420">
        <v>0</v>
      </c>
      <c r="AF27" s="1420">
        <v>0</v>
      </c>
      <c r="AG27" s="1420">
        <v>0</v>
      </c>
      <c r="AH27" s="1420">
        <v>0</v>
      </c>
      <c r="AI27" s="1420">
        <v>0</v>
      </c>
      <c r="AJ27" s="1422">
        <f>$C27-SUM($E27:AI27)</f>
        <v>2858.5586333975971</v>
      </c>
      <c r="AK27" s="1420">
        <v>0</v>
      </c>
      <c r="AL27" s="1420">
        <v>0</v>
      </c>
      <c r="AM27" s="1420">
        <v>0</v>
      </c>
      <c r="AN27" s="1420">
        <v>0</v>
      </c>
      <c r="AO27" s="1420">
        <v>0</v>
      </c>
      <c r="AP27" s="1420">
        <v>0</v>
      </c>
      <c r="AQ27" s="1420">
        <v>0</v>
      </c>
      <c r="AR27" s="1420">
        <v>0</v>
      </c>
      <c r="AS27" s="1420">
        <v>0</v>
      </c>
      <c r="AT27" s="1420">
        <v>0</v>
      </c>
      <c r="AU27" s="1420">
        <v>0</v>
      </c>
      <c r="AV27" s="1420">
        <v>0</v>
      </c>
      <c r="AW27" s="1420">
        <v>0</v>
      </c>
      <c r="AX27" s="1420">
        <v>0</v>
      </c>
      <c r="AY27" s="1420">
        <v>0</v>
      </c>
      <c r="AZ27" s="505"/>
      <c r="BA27" s="517">
        <f t="shared" si="11"/>
        <v>4288.125</v>
      </c>
    </row>
    <row r="28" spans="1:53" s="303" customFormat="1">
      <c r="A28" s="506" t="str">
        <f>Assm!N30</f>
        <v>Construction Insurance</v>
      </c>
      <c r="B28" s="307"/>
      <c r="C28" s="508">
        <f>Assm!V30</f>
        <v>5702.18</v>
      </c>
      <c r="D28" s="505"/>
      <c r="E28" s="1462">
        <f>E79</f>
        <v>0</v>
      </c>
      <c r="F28" s="1462">
        <f t="shared" ref="F28:AB28" si="13">F79</f>
        <v>0</v>
      </c>
      <c r="G28" s="1462">
        <f t="shared" si="13"/>
        <v>0</v>
      </c>
      <c r="H28" s="1462">
        <f t="shared" si="13"/>
        <v>0</v>
      </c>
      <c r="I28" s="1462">
        <f t="shared" si="13"/>
        <v>60.492290209790212</v>
      </c>
      <c r="J28" s="1462">
        <f t="shared" si="13"/>
        <v>466.01193913043483</v>
      </c>
      <c r="K28" s="1462">
        <f t="shared" si="13"/>
        <v>0</v>
      </c>
      <c r="L28" s="1462">
        <f t="shared" si="13"/>
        <v>902.44755803955286</v>
      </c>
      <c r="M28" s="1462">
        <f t="shared" si="13"/>
        <v>0</v>
      </c>
      <c r="N28" s="1462">
        <f t="shared" si="13"/>
        <v>0</v>
      </c>
      <c r="O28" s="1462">
        <f t="shared" si="13"/>
        <v>0</v>
      </c>
      <c r="P28" s="1462">
        <f t="shared" si="13"/>
        <v>0</v>
      </c>
      <c r="Q28" s="1462">
        <f t="shared" si="13"/>
        <v>0</v>
      </c>
      <c r="R28" s="1462">
        <f t="shared" si="13"/>
        <v>0</v>
      </c>
      <c r="S28" s="1462">
        <f t="shared" si="13"/>
        <v>0</v>
      </c>
      <c r="T28" s="1462">
        <f t="shared" si="13"/>
        <v>0</v>
      </c>
      <c r="U28" s="1462">
        <f t="shared" si="13"/>
        <v>934.1471394658754</v>
      </c>
      <c r="V28" s="1462">
        <f t="shared" si="13"/>
        <v>0</v>
      </c>
      <c r="W28" s="1462">
        <f t="shared" si="13"/>
        <v>0</v>
      </c>
      <c r="X28" s="1462">
        <f t="shared" si="13"/>
        <v>0</v>
      </c>
      <c r="Y28" s="1462">
        <f t="shared" si="13"/>
        <v>0</v>
      </c>
      <c r="Z28" s="1462">
        <f t="shared" si="13"/>
        <v>0</v>
      </c>
      <c r="AA28" s="1462">
        <f t="shared" si="13"/>
        <v>0</v>
      </c>
      <c r="AB28" s="1462">
        <f t="shared" si="13"/>
        <v>0</v>
      </c>
      <c r="AC28" s="1421">
        <v>0</v>
      </c>
      <c r="AD28" s="1421">
        <v>0</v>
      </c>
      <c r="AE28" s="1421">
        <v>0</v>
      </c>
      <c r="AF28" s="1421">
        <v>0</v>
      </c>
      <c r="AG28" s="1421">
        <v>0</v>
      </c>
      <c r="AH28" s="1421">
        <v>0</v>
      </c>
      <c r="AI28" s="1421">
        <v>0</v>
      </c>
      <c r="AJ28" s="1423">
        <f>$C28-SUM($E28:AI28)</f>
        <v>3339.081073154347</v>
      </c>
      <c r="AK28" s="1421">
        <v>0</v>
      </c>
      <c r="AL28" s="1421">
        <v>0</v>
      </c>
      <c r="AM28" s="1421">
        <v>0</v>
      </c>
      <c r="AN28" s="1421">
        <v>0</v>
      </c>
      <c r="AO28" s="1421">
        <v>0</v>
      </c>
      <c r="AP28" s="1421">
        <v>0</v>
      </c>
      <c r="AQ28" s="1421">
        <v>0</v>
      </c>
      <c r="AR28" s="1421">
        <v>0</v>
      </c>
      <c r="AS28" s="1421">
        <v>0</v>
      </c>
      <c r="AT28" s="1421">
        <v>0</v>
      </c>
      <c r="AU28" s="1421">
        <v>0</v>
      </c>
      <c r="AV28" s="1421">
        <v>0</v>
      </c>
      <c r="AW28" s="1421">
        <v>0</v>
      </c>
      <c r="AX28" s="1421">
        <v>0</v>
      </c>
      <c r="AY28" s="1421">
        <v>0</v>
      </c>
      <c r="AZ28" s="505"/>
      <c r="BA28" s="518">
        <f t="shared" si="11"/>
        <v>5702.18</v>
      </c>
    </row>
    <row r="29" spans="1:53" s="303" customFormat="1">
      <c r="A29" s="506" t="str">
        <f>Assm!N31</f>
        <v>Total 3rd Party Dev / Financing Costs</v>
      </c>
      <c r="B29" s="307"/>
      <c r="C29" s="507">
        <f ca="1">SUM(C24:C28)</f>
        <v>46937.696798665871</v>
      </c>
      <c r="D29" s="505"/>
      <c r="E29" s="507">
        <f t="shared" ref="E29:AN29" ca="1" si="14">SUM(E24:E28)</f>
        <v>0</v>
      </c>
      <c r="F29" s="507">
        <f t="shared" ca="1" si="14"/>
        <v>0</v>
      </c>
      <c r="G29" s="507">
        <f t="shared" ca="1" si="14"/>
        <v>0</v>
      </c>
      <c r="H29" s="507">
        <f t="shared" ca="1" si="14"/>
        <v>0</v>
      </c>
      <c r="I29" s="507">
        <f t="shared" ca="1" si="14"/>
        <v>60.492290209790212</v>
      </c>
      <c r="J29" s="507">
        <f t="shared" ca="1" si="14"/>
        <v>466.01193913043483</v>
      </c>
      <c r="K29" s="507">
        <f t="shared" ca="1" si="14"/>
        <v>0</v>
      </c>
      <c r="L29" s="507">
        <f t="shared" ca="1" si="14"/>
        <v>902.44755803955286</v>
      </c>
      <c r="M29" s="507">
        <f t="shared" ca="1" si="14"/>
        <v>0</v>
      </c>
      <c r="N29" s="507">
        <f t="shared" ca="1" si="14"/>
        <v>0</v>
      </c>
      <c r="O29" s="507">
        <f t="shared" ca="1" si="14"/>
        <v>0</v>
      </c>
      <c r="P29" s="507">
        <f t="shared" ca="1" si="14"/>
        <v>0</v>
      </c>
      <c r="Q29" s="507">
        <f t="shared" ca="1" si="14"/>
        <v>0</v>
      </c>
      <c r="R29" s="507">
        <f t="shared" ca="1" si="14"/>
        <v>0</v>
      </c>
      <c r="S29" s="507">
        <f t="shared" ca="1" si="14"/>
        <v>0</v>
      </c>
      <c r="T29" s="507">
        <f t="shared" ca="1" si="14"/>
        <v>0</v>
      </c>
      <c r="U29" s="507">
        <f t="shared" ca="1" si="14"/>
        <v>1038.9128427299704</v>
      </c>
      <c r="V29" s="507">
        <f t="shared" ca="1" si="14"/>
        <v>0</v>
      </c>
      <c r="W29" s="507">
        <f t="shared" ca="1" si="14"/>
        <v>638.97383337127246</v>
      </c>
      <c r="X29" s="507">
        <f t="shared" ca="1" si="14"/>
        <v>488.21542699724517</v>
      </c>
      <c r="Y29" s="507">
        <f t="shared" ca="1" si="14"/>
        <v>0</v>
      </c>
      <c r="Z29" s="507">
        <f t="shared" ca="1" si="14"/>
        <v>0</v>
      </c>
      <c r="AA29" s="507">
        <f t="shared" ca="1" si="14"/>
        <v>197.61140296979008</v>
      </c>
      <c r="AB29" s="507">
        <f t="shared" ca="1" si="14"/>
        <v>0</v>
      </c>
      <c r="AC29" s="507">
        <f t="shared" ca="1" si="14"/>
        <v>0</v>
      </c>
      <c r="AD29" s="507">
        <f t="shared" ca="1" si="14"/>
        <v>0</v>
      </c>
      <c r="AE29" s="507">
        <f t="shared" ca="1" si="14"/>
        <v>0</v>
      </c>
      <c r="AF29" s="507">
        <f t="shared" ca="1" si="14"/>
        <v>0</v>
      </c>
      <c r="AG29" s="507">
        <f t="shared" ca="1" si="14"/>
        <v>0</v>
      </c>
      <c r="AH29" s="507">
        <f t="shared" ca="1" si="14"/>
        <v>0</v>
      </c>
      <c r="AI29" s="507">
        <f t="shared" ca="1" si="14"/>
        <v>0</v>
      </c>
      <c r="AJ29" s="507">
        <f t="shared" ca="1" si="14"/>
        <v>13617.514706551945</v>
      </c>
      <c r="AK29" s="507">
        <f t="shared" ca="1" si="14"/>
        <v>0</v>
      </c>
      <c r="AL29" s="507">
        <f t="shared" ca="1" si="14"/>
        <v>29527.516798665871</v>
      </c>
      <c r="AM29" s="507">
        <f t="shared" ca="1" si="14"/>
        <v>0</v>
      </c>
      <c r="AN29" s="507">
        <f t="shared" ca="1" si="14"/>
        <v>0</v>
      </c>
      <c r="AO29" s="507">
        <f ca="1">SUM(AO24:AO28)</f>
        <v>0</v>
      </c>
      <c r="AP29" s="507">
        <f ca="1">SUM(AP24:AP28)</f>
        <v>0</v>
      </c>
      <c r="AQ29" s="507">
        <f ca="1">SUM(AQ24:AQ28)</f>
        <v>0</v>
      </c>
      <c r="AR29" s="507">
        <f ca="1">SUM(AR24:AR28)</f>
        <v>0</v>
      </c>
      <c r="AS29" s="507">
        <f t="shared" ref="AS29:AY29" ca="1" si="15">SUM(AS24:AS28)</f>
        <v>0</v>
      </c>
      <c r="AT29" s="507">
        <f t="shared" ca="1" si="15"/>
        <v>0</v>
      </c>
      <c r="AU29" s="507">
        <f t="shared" ca="1" si="15"/>
        <v>0</v>
      </c>
      <c r="AV29" s="507">
        <f t="shared" ca="1" si="15"/>
        <v>0</v>
      </c>
      <c r="AW29" s="507">
        <f t="shared" ca="1" si="15"/>
        <v>0</v>
      </c>
      <c r="AX29" s="507">
        <f t="shared" ca="1" si="15"/>
        <v>0</v>
      </c>
      <c r="AY29" s="507">
        <f t="shared" ca="1" si="15"/>
        <v>0</v>
      </c>
      <c r="AZ29" s="505"/>
      <c r="BA29" s="517">
        <f t="shared" ca="1" si="11"/>
        <v>46937.696798665871</v>
      </c>
    </row>
    <row r="30" spans="1:53" s="303" customFormat="1">
      <c r="A30" s="506"/>
      <c r="B30" s="307"/>
      <c r="C30" s="505"/>
      <c r="D30" s="505"/>
      <c r="E30" s="505"/>
      <c r="F30" s="505"/>
      <c r="G30" s="505"/>
      <c r="H30" s="505"/>
      <c r="I30" s="505"/>
      <c r="J30" s="505"/>
      <c r="K30" s="505"/>
      <c r="L30" s="505"/>
      <c r="M30" s="505"/>
      <c r="N30" s="505"/>
      <c r="O30" s="505"/>
      <c r="P30" s="505"/>
      <c r="Q30" s="505"/>
      <c r="R30" s="505"/>
      <c r="S30" s="505"/>
      <c r="T30" s="505"/>
      <c r="U30" s="505"/>
      <c r="V30" s="505"/>
      <c r="W30" s="505"/>
      <c r="X30" s="505"/>
      <c r="Y30" s="505"/>
      <c r="Z30" s="505"/>
      <c r="AA30" s="505"/>
      <c r="AB30" s="505"/>
      <c r="AC30" s="505"/>
      <c r="AD30" s="505"/>
      <c r="AE30" s="505"/>
      <c r="AF30" s="505"/>
      <c r="AG30" s="505"/>
      <c r="AH30" s="505"/>
      <c r="AI30" s="505"/>
      <c r="AJ30" s="505"/>
      <c r="AK30" s="505"/>
      <c r="AL30" s="505"/>
      <c r="AM30" s="505"/>
      <c r="AN30" s="505"/>
      <c r="AO30" s="505"/>
      <c r="AP30" s="505"/>
      <c r="AQ30" s="505"/>
      <c r="AR30" s="505"/>
      <c r="AS30" s="505"/>
      <c r="AT30" s="505"/>
      <c r="AU30" s="505"/>
      <c r="AV30" s="505"/>
      <c r="AW30" s="505"/>
      <c r="AX30" s="505"/>
      <c r="AY30" s="505"/>
      <c r="AZ30" s="505"/>
      <c r="BA30" s="516"/>
    </row>
    <row r="31" spans="1:53" s="303" customFormat="1">
      <c r="A31" s="506" t="str">
        <f>Assm!N33</f>
        <v>Development Costs</v>
      </c>
      <c r="B31" s="307"/>
      <c r="C31" s="507">
        <f>Assm!V33</f>
        <v>14055.919734200002</v>
      </c>
      <c r="D31" s="505"/>
      <c r="E31" s="1461">
        <f>SUM(E83,E85,E86)</f>
        <v>217.68458781362006</v>
      </c>
      <c r="F31" s="1461">
        <f t="shared" ref="F31:AB31" si="16">SUM(F83,F85,F86)</f>
        <v>598.66518254674986</v>
      </c>
      <c r="G31" s="1461">
        <f t="shared" si="16"/>
        <v>470.54265611257694</v>
      </c>
      <c r="H31" s="1461">
        <f t="shared" si="16"/>
        <v>1352.7625329815303</v>
      </c>
      <c r="I31" s="1461">
        <f t="shared" si="16"/>
        <v>3910.0559440559441</v>
      </c>
      <c r="J31" s="1461">
        <f t="shared" si="16"/>
        <v>1334.5060869565218</v>
      </c>
      <c r="K31" s="1461">
        <f t="shared" si="16"/>
        <v>1134.6447709593779</v>
      </c>
      <c r="L31" s="1461">
        <f t="shared" si="16"/>
        <v>980.8297506448838</v>
      </c>
      <c r="M31" s="1461">
        <f t="shared" si="16"/>
        <v>0</v>
      </c>
      <c r="N31" s="1461">
        <f t="shared" si="16"/>
        <v>4247.1453119730186</v>
      </c>
      <c r="O31" s="1461">
        <f t="shared" si="16"/>
        <v>364.85736753574429</v>
      </c>
      <c r="P31" s="1461">
        <f t="shared" si="16"/>
        <v>3503.6377484001346</v>
      </c>
      <c r="Q31" s="1461">
        <f t="shared" si="16"/>
        <v>931.06389487647164</v>
      </c>
      <c r="R31" s="1461">
        <f t="shared" si="16"/>
        <v>437.83147208121824</v>
      </c>
      <c r="S31" s="1461">
        <f t="shared" si="16"/>
        <v>1084.6929484695854</v>
      </c>
      <c r="T31" s="1461">
        <f t="shared" si="16"/>
        <v>1281.8211080178173</v>
      </c>
      <c r="U31" s="1461">
        <f t="shared" si="16"/>
        <v>1416.9481008902076</v>
      </c>
      <c r="V31" s="1461">
        <f t="shared" si="16"/>
        <v>1244.3863109048723</v>
      </c>
      <c r="W31" s="1461">
        <f t="shared" si="16"/>
        <v>0</v>
      </c>
      <c r="X31" s="1461">
        <f t="shared" si="16"/>
        <v>1930.117443526171</v>
      </c>
      <c r="Y31" s="1461">
        <f t="shared" si="16"/>
        <v>913.36499817318236</v>
      </c>
      <c r="Z31" s="1461">
        <f t="shared" si="16"/>
        <v>1047.3828226603548</v>
      </c>
      <c r="AA31" s="1461">
        <f t="shared" si="16"/>
        <v>1001.7245263696876</v>
      </c>
      <c r="AB31" s="1461">
        <f t="shared" si="16"/>
        <v>1203.6765017943517</v>
      </c>
      <c r="AC31" s="1420">
        <v>0</v>
      </c>
      <c r="AD31" s="1420">
        <v>0</v>
      </c>
      <c r="AE31" s="1420">
        <v>0</v>
      </c>
      <c r="AF31" s="1420">
        <v>0</v>
      </c>
      <c r="AG31" s="1420">
        <v>0</v>
      </c>
      <c r="AH31" s="1420">
        <v>0</v>
      </c>
      <c r="AI31" s="1420">
        <v>0</v>
      </c>
      <c r="AJ31" s="1422">
        <f>$C31-SUM($E31:AI31)</f>
        <v>-16552.422333544018</v>
      </c>
      <c r="AK31" s="1420">
        <v>0</v>
      </c>
      <c r="AL31" s="1420">
        <v>0</v>
      </c>
      <c r="AM31" s="1420">
        <v>0</v>
      </c>
      <c r="AN31" s="1420">
        <v>0</v>
      </c>
      <c r="AO31" s="1420">
        <v>0</v>
      </c>
      <c r="AP31" s="1420">
        <v>0</v>
      </c>
      <c r="AQ31" s="1420">
        <v>0</v>
      </c>
      <c r="AR31" s="1420">
        <v>0</v>
      </c>
      <c r="AS31" s="1420">
        <v>0</v>
      </c>
      <c r="AT31" s="1420">
        <v>0</v>
      </c>
      <c r="AU31" s="1420">
        <v>0</v>
      </c>
      <c r="AV31" s="1420">
        <v>0</v>
      </c>
      <c r="AW31" s="1420">
        <v>0</v>
      </c>
      <c r="AX31" s="1420">
        <v>0</v>
      </c>
      <c r="AY31" s="1420">
        <v>0</v>
      </c>
      <c r="AZ31" s="505"/>
      <c r="BA31" s="517">
        <f>SUM(E31:AY31)</f>
        <v>14055.919734200004</v>
      </c>
    </row>
    <row r="32" spans="1:53" s="303" customFormat="1">
      <c r="A32" s="506" t="str">
        <f>Assm!N34</f>
        <v>Operations Mobilization - Plant</v>
      </c>
      <c r="B32" s="307"/>
      <c r="C32" s="507">
        <f>Assm!V34</f>
        <v>6540</v>
      </c>
      <c r="D32" s="505"/>
      <c r="E32" s="1420">
        <v>0</v>
      </c>
      <c r="F32" s="1420">
        <v>0</v>
      </c>
      <c r="G32" s="1420">
        <v>0</v>
      </c>
      <c r="H32" s="1420">
        <v>0</v>
      </c>
      <c r="I32" s="1420">
        <v>0</v>
      </c>
      <c r="J32" s="1420">
        <v>0</v>
      </c>
      <c r="K32" s="1420">
        <v>0</v>
      </c>
      <c r="L32" s="1420">
        <v>0</v>
      </c>
      <c r="M32" s="1420">
        <v>0</v>
      </c>
      <c r="N32" s="1420">
        <v>0</v>
      </c>
      <c r="O32" s="1420">
        <v>0</v>
      </c>
      <c r="P32" s="1420">
        <v>0</v>
      </c>
      <c r="Q32" s="1420">
        <v>0</v>
      </c>
      <c r="R32" s="1420">
        <v>0</v>
      </c>
      <c r="S32" s="1420">
        <v>0</v>
      </c>
      <c r="T32" s="1420">
        <v>0</v>
      </c>
      <c r="U32" s="1420">
        <v>0</v>
      </c>
      <c r="V32" s="1420">
        <v>0</v>
      </c>
      <c r="W32" s="1420">
        <v>0</v>
      </c>
      <c r="X32" s="1420">
        <v>0</v>
      </c>
      <c r="Y32" s="1420">
        <v>0</v>
      </c>
      <c r="Z32" s="1420">
        <v>0</v>
      </c>
      <c r="AA32" s="1420">
        <v>0</v>
      </c>
      <c r="AB32" s="1420">
        <v>0</v>
      </c>
      <c r="AC32" s="1420">
        <v>0</v>
      </c>
      <c r="AD32" s="1420">
        <v>0</v>
      </c>
      <c r="AE32" s="1420">
        <v>0</v>
      </c>
      <c r="AF32" s="1420">
        <v>0</v>
      </c>
      <c r="AG32" s="1420">
        <v>0</v>
      </c>
      <c r="AH32" s="1420">
        <v>0</v>
      </c>
      <c r="AI32" s="1420">
        <v>0</v>
      </c>
      <c r="AJ32" s="1422">
        <f>$C32</f>
        <v>6540</v>
      </c>
      <c r="AK32" s="1420">
        <v>0</v>
      </c>
      <c r="AL32" s="1420">
        <v>0</v>
      </c>
      <c r="AM32" s="1420">
        <v>0</v>
      </c>
      <c r="AN32" s="1420">
        <v>0</v>
      </c>
      <c r="AO32" s="1420">
        <v>0</v>
      </c>
      <c r="AP32" s="1420">
        <v>0</v>
      </c>
      <c r="AQ32" s="1420">
        <v>0</v>
      </c>
      <c r="AR32" s="1420">
        <v>0</v>
      </c>
      <c r="AS32" s="1420">
        <v>0</v>
      </c>
      <c r="AT32" s="1420">
        <v>0</v>
      </c>
      <c r="AU32" s="1420">
        <v>0</v>
      </c>
      <c r="AV32" s="1420">
        <v>0</v>
      </c>
      <c r="AW32" s="1420">
        <v>0</v>
      </c>
      <c r="AX32" s="1420">
        <v>0</v>
      </c>
      <c r="AY32" s="1420">
        <v>0</v>
      </c>
      <c r="AZ32" s="505"/>
      <c r="BA32" s="517">
        <f>SUM(E32:AY32)</f>
        <v>6540</v>
      </c>
    </row>
    <row r="33" spans="1:58" s="303" customFormat="1">
      <c r="A33" s="506" t="str">
        <f>Assm!N35</f>
        <v>Operations Mobilization - WTF</v>
      </c>
      <c r="B33" s="307"/>
      <c r="C33" s="508">
        <f>Assm!V35</f>
        <v>97</v>
      </c>
      <c r="D33" s="505"/>
      <c r="E33" s="1421">
        <v>0</v>
      </c>
      <c r="F33" s="1421">
        <v>0</v>
      </c>
      <c r="G33" s="1421">
        <v>0</v>
      </c>
      <c r="H33" s="1421">
        <v>0</v>
      </c>
      <c r="I33" s="1421">
        <v>0</v>
      </c>
      <c r="J33" s="1421">
        <v>0</v>
      </c>
      <c r="K33" s="1421">
        <v>0</v>
      </c>
      <c r="L33" s="1421">
        <v>0</v>
      </c>
      <c r="M33" s="1421">
        <v>0</v>
      </c>
      <c r="N33" s="1421">
        <v>0</v>
      </c>
      <c r="O33" s="1421">
        <v>0</v>
      </c>
      <c r="P33" s="1421">
        <v>0</v>
      </c>
      <c r="Q33" s="1421">
        <v>0</v>
      </c>
      <c r="R33" s="1421">
        <v>0</v>
      </c>
      <c r="S33" s="1421">
        <v>0</v>
      </c>
      <c r="T33" s="1421">
        <v>0</v>
      </c>
      <c r="U33" s="1421">
        <v>0</v>
      </c>
      <c r="V33" s="1421">
        <v>0</v>
      </c>
      <c r="W33" s="1421">
        <v>0</v>
      </c>
      <c r="X33" s="1421">
        <v>0</v>
      </c>
      <c r="Y33" s="1421">
        <v>0</v>
      </c>
      <c r="Z33" s="1421">
        <v>0</v>
      </c>
      <c r="AA33" s="1421">
        <v>0</v>
      </c>
      <c r="AB33" s="1421">
        <v>0</v>
      </c>
      <c r="AC33" s="1421">
        <v>0</v>
      </c>
      <c r="AD33" s="1421">
        <v>0</v>
      </c>
      <c r="AE33" s="1421">
        <v>0</v>
      </c>
      <c r="AF33" s="1421">
        <v>0</v>
      </c>
      <c r="AG33" s="1421">
        <v>0</v>
      </c>
      <c r="AH33" s="1421">
        <v>0</v>
      </c>
      <c r="AI33" s="1421">
        <v>0</v>
      </c>
      <c r="AJ33" s="1423">
        <f>$C33</f>
        <v>97</v>
      </c>
      <c r="AK33" s="1421">
        <v>0</v>
      </c>
      <c r="AL33" s="1421">
        <v>0</v>
      </c>
      <c r="AM33" s="1421">
        <v>0</v>
      </c>
      <c r="AN33" s="1421">
        <v>0</v>
      </c>
      <c r="AO33" s="1421">
        <v>0</v>
      </c>
      <c r="AP33" s="1421">
        <v>0</v>
      </c>
      <c r="AQ33" s="1421">
        <v>0</v>
      </c>
      <c r="AR33" s="1421">
        <v>0</v>
      </c>
      <c r="AS33" s="1421">
        <v>0</v>
      </c>
      <c r="AT33" s="1421">
        <v>0</v>
      </c>
      <c r="AU33" s="1421">
        <v>0</v>
      </c>
      <c r="AV33" s="1421">
        <v>0</v>
      </c>
      <c r="AW33" s="1421">
        <v>0</v>
      </c>
      <c r="AX33" s="1421">
        <v>0</v>
      </c>
      <c r="AY33" s="1421">
        <v>0</v>
      </c>
      <c r="AZ33" s="505"/>
      <c r="BA33" s="518">
        <f>SUM(E33:AY33)</f>
        <v>97</v>
      </c>
    </row>
    <row r="34" spans="1:58" s="303" customFormat="1">
      <c r="A34" s="506" t="str">
        <f>Assm!N36</f>
        <v>Total Development Costs / Fees</v>
      </c>
      <c r="B34" s="307"/>
      <c r="C34" s="507">
        <f>SUM(C31:C33)</f>
        <v>20692.919734200004</v>
      </c>
      <c r="D34" s="505"/>
      <c r="E34" s="507">
        <f t="shared" ref="E34:AN34" si="17">SUM(E31:E33)</f>
        <v>217.68458781362006</v>
      </c>
      <c r="F34" s="507">
        <f t="shared" si="17"/>
        <v>598.66518254674986</v>
      </c>
      <c r="G34" s="507">
        <f t="shared" si="17"/>
        <v>470.54265611257694</v>
      </c>
      <c r="H34" s="507">
        <f t="shared" si="17"/>
        <v>1352.7625329815303</v>
      </c>
      <c r="I34" s="507">
        <f t="shared" si="17"/>
        <v>3910.0559440559441</v>
      </c>
      <c r="J34" s="507">
        <f t="shared" si="17"/>
        <v>1334.5060869565218</v>
      </c>
      <c r="K34" s="507">
        <f t="shared" si="17"/>
        <v>1134.6447709593779</v>
      </c>
      <c r="L34" s="507">
        <f t="shared" si="17"/>
        <v>980.8297506448838</v>
      </c>
      <c r="M34" s="507">
        <f t="shared" si="17"/>
        <v>0</v>
      </c>
      <c r="N34" s="507">
        <f t="shared" si="17"/>
        <v>4247.1453119730186</v>
      </c>
      <c r="O34" s="507">
        <f t="shared" si="17"/>
        <v>364.85736753574429</v>
      </c>
      <c r="P34" s="507">
        <f t="shared" si="17"/>
        <v>3503.6377484001346</v>
      </c>
      <c r="Q34" s="507">
        <f t="shared" si="17"/>
        <v>931.06389487647164</v>
      </c>
      <c r="R34" s="507">
        <f t="shared" si="17"/>
        <v>437.83147208121824</v>
      </c>
      <c r="S34" s="507">
        <f t="shared" si="17"/>
        <v>1084.6929484695854</v>
      </c>
      <c r="T34" s="507">
        <f t="shared" si="17"/>
        <v>1281.8211080178173</v>
      </c>
      <c r="U34" s="507">
        <f t="shared" si="17"/>
        <v>1416.9481008902076</v>
      </c>
      <c r="V34" s="507">
        <f t="shared" si="17"/>
        <v>1244.3863109048723</v>
      </c>
      <c r="W34" s="507">
        <f t="shared" si="17"/>
        <v>0</v>
      </c>
      <c r="X34" s="507">
        <f t="shared" si="17"/>
        <v>1930.117443526171</v>
      </c>
      <c r="Y34" s="507">
        <f t="shared" si="17"/>
        <v>913.36499817318236</v>
      </c>
      <c r="Z34" s="507">
        <f t="shared" si="17"/>
        <v>1047.3828226603548</v>
      </c>
      <c r="AA34" s="507">
        <f t="shared" si="17"/>
        <v>1001.7245263696876</v>
      </c>
      <c r="AB34" s="507">
        <f t="shared" si="17"/>
        <v>1203.6765017943517</v>
      </c>
      <c r="AC34" s="507">
        <f t="shared" si="17"/>
        <v>0</v>
      </c>
      <c r="AD34" s="507">
        <f t="shared" si="17"/>
        <v>0</v>
      </c>
      <c r="AE34" s="507">
        <f t="shared" si="17"/>
        <v>0</v>
      </c>
      <c r="AF34" s="507">
        <f t="shared" si="17"/>
        <v>0</v>
      </c>
      <c r="AG34" s="507">
        <f t="shared" si="17"/>
        <v>0</v>
      </c>
      <c r="AH34" s="507">
        <f t="shared" si="17"/>
        <v>0</v>
      </c>
      <c r="AI34" s="507">
        <f t="shared" si="17"/>
        <v>0</v>
      </c>
      <c r="AJ34" s="507">
        <f t="shared" si="17"/>
        <v>-9915.4223335440183</v>
      </c>
      <c r="AK34" s="507">
        <f t="shared" si="17"/>
        <v>0</v>
      </c>
      <c r="AL34" s="507">
        <f t="shared" si="17"/>
        <v>0</v>
      </c>
      <c r="AM34" s="507">
        <f t="shared" si="17"/>
        <v>0</v>
      </c>
      <c r="AN34" s="507">
        <f t="shared" si="17"/>
        <v>0</v>
      </c>
      <c r="AO34" s="507">
        <f>SUM(AO31:AO33)</f>
        <v>0</v>
      </c>
      <c r="AP34" s="507">
        <f>SUM(AP31:AP33)</f>
        <v>0</v>
      </c>
      <c r="AQ34" s="507">
        <f>SUM(AQ31:AQ33)</f>
        <v>0</v>
      </c>
      <c r="AR34" s="507">
        <f>SUM(AR31:AR33)</f>
        <v>0</v>
      </c>
      <c r="AS34" s="507">
        <f t="shared" ref="AS34:AY34" si="18">SUM(AS31:AS33)</f>
        <v>0</v>
      </c>
      <c r="AT34" s="507">
        <f t="shared" si="18"/>
        <v>0</v>
      </c>
      <c r="AU34" s="507">
        <f t="shared" si="18"/>
        <v>0</v>
      </c>
      <c r="AV34" s="507">
        <f t="shared" si="18"/>
        <v>0</v>
      </c>
      <c r="AW34" s="507">
        <f t="shared" si="18"/>
        <v>0</v>
      </c>
      <c r="AX34" s="507">
        <f t="shared" si="18"/>
        <v>0</v>
      </c>
      <c r="AY34" s="507">
        <f t="shared" si="18"/>
        <v>0</v>
      </c>
      <c r="AZ34" s="505"/>
      <c r="BA34" s="517">
        <f>SUM(E34:AY34)</f>
        <v>20692.919734200004</v>
      </c>
    </row>
    <row r="35" spans="1:58" s="303" customFormat="1">
      <c r="A35" s="506"/>
      <c r="B35" s="307"/>
      <c r="C35" s="505"/>
      <c r="D35" s="505"/>
      <c r="E35" s="1428">
        <f>E64+E65</f>
        <v>7598.2078853046587</v>
      </c>
      <c r="F35" s="1428">
        <f t="shared" ref="F35:AF35" si="19">F64+F65</f>
        <v>0</v>
      </c>
      <c r="G35" s="1428">
        <f t="shared" si="19"/>
        <v>2638.5224274406332</v>
      </c>
      <c r="H35" s="1428">
        <f t="shared" si="19"/>
        <v>9410.7299912049257</v>
      </c>
      <c r="I35" s="1428">
        <f t="shared" si="19"/>
        <v>12938.664335664338</v>
      </c>
      <c r="J35" s="1428">
        <f t="shared" si="19"/>
        <v>5260.8695652173919</v>
      </c>
      <c r="K35" s="1428">
        <f t="shared" si="19"/>
        <v>18755.412273120139</v>
      </c>
      <c r="L35" s="1428">
        <f t="shared" si="19"/>
        <v>5760.9630266552022</v>
      </c>
      <c r="M35" s="1428">
        <f t="shared" si="19"/>
        <v>5692.4384027187762</v>
      </c>
      <c r="N35" s="1428">
        <f t="shared" si="19"/>
        <v>21168.1239460371</v>
      </c>
      <c r="O35" s="1428">
        <f t="shared" si="19"/>
        <v>6065.0159798149707</v>
      </c>
      <c r="P35" s="1428">
        <f t="shared" si="19"/>
        <v>9453.0001684068702</v>
      </c>
      <c r="Q35" s="1428">
        <f t="shared" si="19"/>
        <v>14376.499751285028</v>
      </c>
      <c r="R35" s="1428">
        <f t="shared" si="19"/>
        <v>1524.4502538071065</v>
      </c>
      <c r="S35" s="1428">
        <f t="shared" si="19"/>
        <v>0</v>
      </c>
      <c r="T35" s="1428">
        <f t="shared" si="19"/>
        <v>1919.3897550111358</v>
      </c>
      <c r="U35" s="1428">
        <f t="shared" si="19"/>
        <v>26661.343026706229</v>
      </c>
      <c r="V35" s="1428">
        <f t="shared" si="19"/>
        <v>0</v>
      </c>
      <c r="W35" s="1428">
        <f t="shared" si="19"/>
        <v>18268.648987024812</v>
      </c>
      <c r="X35" s="1428">
        <f t="shared" si="19"/>
        <v>2521.5531680440772</v>
      </c>
      <c r="Y35" s="1428">
        <f t="shared" si="19"/>
        <v>0</v>
      </c>
      <c r="Z35" s="1428">
        <f t="shared" si="19"/>
        <v>1807.0348020600322</v>
      </c>
      <c r="AA35" s="1428">
        <f t="shared" si="19"/>
        <v>1897.1277982590886</v>
      </c>
      <c r="AB35" s="1428">
        <f t="shared" si="19"/>
        <v>834.19446091433917</v>
      </c>
      <c r="AC35" s="1428">
        <f t="shared" si="19"/>
        <v>1475.7389379541644</v>
      </c>
      <c r="AD35" s="1428">
        <f t="shared" si="19"/>
        <v>1208.9136706613406</v>
      </c>
      <c r="AE35" s="1428">
        <f t="shared" si="19"/>
        <v>2951.9192714189344</v>
      </c>
      <c r="AF35" s="1428">
        <f t="shared" si="19"/>
        <v>0</v>
      </c>
      <c r="AG35" s="505"/>
      <c r="AH35" s="505"/>
      <c r="AI35" s="505"/>
      <c r="AJ35" s="505"/>
      <c r="AK35" s="505"/>
      <c r="AL35" s="505"/>
      <c r="AM35" s="505"/>
      <c r="AN35" s="505"/>
      <c r="AO35" s="505"/>
      <c r="AP35" s="505"/>
      <c r="AQ35" s="505"/>
      <c r="AR35" s="505"/>
      <c r="AS35" s="505"/>
      <c r="AT35" s="505"/>
      <c r="AU35" s="505"/>
      <c r="AV35" s="505"/>
      <c r="AW35" s="505"/>
      <c r="AX35" s="505"/>
      <c r="AY35" s="505"/>
      <c r="AZ35" s="505"/>
      <c r="BA35" s="1430">
        <v>28264.878155891714</v>
      </c>
    </row>
    <row r="36" spans="1:58" s="303" customFormat="1">
      <c r="A36" s="506" t="str">
        <f>Assm!N38</f>
        <v xml:space="preserve">Working Capital </v>
      </c>
      <c r="B36" s="307"/>
      <c r="C36" s="507">
        <f ca="1">Assm!V38</f>
        <v>0</v>
      </c>
      <c r="D36" s="505"/>
      <c r="E36" s="1420">
        <f>E35-E47</f>
        <v>1594.9722222222217</v>
      </c>
      <c r="F36" s="1420">
        <f t="shared" ref="F36:AB36" si="20">F35-F47</f>
        <v>-598.66518254674986</v>
      </c>
      <c r="G36" s="1420">
        <f t="shared" si="20"/>
        <v>-691.09287317502185</v>
      </c>
      <c r="H36" s="1420">
        <f t="shared" si="20"/>
        <v>156.87633510114392</v>
      </c>
      <c r="I36" s="1420">
        <f t="shared" si="20"/>
        <v>1358.8944062019254</v>
      </c>
      <c r="J36" s="1420">
        <f t="shared" si="20"/>
        <v>899.60571453913144</v>
      </c>
      <c r="K36" s="1420">
        <f t="shared" si="20"/>
        <v>-1821.0599135695775</v>
      </c>
      <c r="L36" s="1420">
        <f t="shared" si="20"/>
        <v>629.59614789337957</v>
      </c>
      <c r="M36" s="1420">
        <f t="shared" si="20"/>
        <v>2875.3102803738316</v>
      </c>
      <c r="N36" s="1420">
        <f t="shared" si="20"/>
        <v>464.7877403035418</v>
      </c>
      <c r="O36" s="1420">
        <f t="shared" si="20"/>
        <v>2116.8488393608077</v>
      </c>
      <c r="P36" s="1420">
        <f t="shared" si="20"/>
        <v>4210.8686257999325</v>
      </c>
      <c r="Q36" s="1420">
        <f t="shared" si="20"/>
        <v>-9166.3265627590845</v>
      </c>
      <c r="R36" s="1420">
        <f t="shared" si="20"/>
        <v>612.13553299492378</v>
      </c>
      <c r="S36" s="1420">
        <f t="shared" si="20"/>
        <v>-1399.3952198760171</v>
      </c>
      <c r="T36" s="1420">
        <f t="shared" si="20"/>
        <v>-479.30503897550102</v>
      </c>
      <c r="U36" s="1420">
        <f t="shared" si="20"/>
        <v>11563.282189910977</v>
      </c>
      <c r="V36" s="1420">
        <f t="shared" si="20"/>
        <v>-3122.7826450116008</v>
      </c>
      <c r="W36" s="1420">
        <f t="shared" si="20"/>
        <v>-1018.6629182790821</v>
      </c>
      <c r="X36" s="1420">
        <f t="shared" si="20"/>
        <v>-2553.1275812672184</v>
      </c>
      <c r="Y36" s="1420">
        <f t="shared" si="20"/>
        <v>-2942.6978339161751</v>
      </c>
      <c r="Z36" s="1420">
        <f t="shared" si="20"/>
        <v>-1578.1290329293033</v>
      </c>
      <c r="AA36" s="1420">
        <f t="shared" si="20"/>
        <v>-1087.2694418842802</v>
      </c>
      <c r="AB36" s="1420">
        <f t="shared" si="20"/>
        <v>-1773.3737192489725</v>
      </c>
      <c r="AC36" s="1420">
        <f>AC35-AC47</f>
        <v>-1315.3439966461713</v>
      </c>
      <c r="AD36" s="1420">
        <f>AD35-AD47</f>
        <v>117.76603417665342</v>
      </c>
      <c r="AE36" s="1420">
        <f>AE35-AE47</f>
        <v>-814.78862154261287</v>
      </c>
      <c r="AF36" s="1420">
        <f>AF35-AF47</f>
        <v>-2338.5543066445371</v>
      </c>
      <c r="AG36" s="1422">
        <f>-SUM($E36:$AF36)/17</f>
        <v>358.80181290549626</v>
      </c>
      <c r="AH36" s="1422">
        <f t="shared" ref="AH36:AW36" si="21">-SUM($E36:$AF36)/17</f>
        <v>358.80181290549626</v>
      </c>
      <c r="AI36" s="1422">
        <f t="shared" si="21"/>
        <v>358.80181290549626</v>
      </c>
      <c r="AJ36" s="1422">
        <f t="shared" si="21"/>
        <v>358.80181290549626</v>
      </c>
      <c r="AK36" s="1422">
        <f t="shared" si="21"/>
        <v>358.80181290549626</v>
      </c>
      <c r="AL36" s="1422">
        <f t="shared" si="21"/>
        <v>358.80181290549626</v>
      </c>
      <c r="AM36" s="1422">
        <f t="shared" si="21"/>
        <v>358.80181290549626</v>
      </c>
      <c r="AN36" s="1422">
        <f t="shared" si="21"/>
        <v>358.80181290549626</v>
      </c>
      <c r="AO36" s="1422">
        <f t="shared" si="21"/>
        <v>358.80181290549626</v>
      </c>
      <c r="AP36" s="1422">
        <f t="shared" si="21"/>
        <v>358.80181290549626</v>
      </c>
      <c r="AQ36" s="1422">
        <f t="shared" si="21"/>
        <v>358.80181290549626</v>
      </c>
      <c r="AR36" s="1422">
        <f t="shared" si="21"/>
        <v>358.80181290549626</v>
      </c>
      <c r="AS36" s="1422">
        <f t="shared" si="21"/>
        <v>358.80181290549626</v>
      </c>
      <c r="AT36" s="1422">
        <f t="shared" si="21"/>
        <v>358.80181290549626</v>
      </c>
      <c r="AU36" s="1422">
        <f t="shared" si="21"/>
        <v>358.80181290549626</v>
      </c>
      <c r="AV36" s="1422">
        <f t="shared" si="21"/>
        <v>358.80181290549626</v>
      </c>
      <c r="AW36" s="1422">
        <f t="shared" si="21"/>
        <v>358.80181290549626</v>
      </c>
      <c r="AX36" s="1422">
        <v>0</v>
      </c>
      <c r="AY36" s="1422">
        <v>0</v>
      </c>
      <c r="AZ36" s="505"/>
      <c r="BA36" s="517">
        <f>SUM(E36:AY36)</f>
        <v>0</v>
      </c>
      <c r="BE36" s="1429"/>
    </row>
    <row r="37" spans="1:58" s="303" customFormat="1">
      <c r="A37" s="506" t="str">
        <f>Assm!N39</f>
        <v>Spare Parts - Plant</v>
      </c>
      <c r="B37" s="307"/>
      <c r="C37" s="507">
        <f>Assm!V39</f>
        <v>4544.4939999999997</v>
      </c>
      <c r="D37" s="505"/>
      <c r="E37" s="1420">
        <v>0</v>
      </c>
      <c r="F37" s="1420">
        <f t="shared" ref="F37:AC38" ca="1" si="22">IF(F$6=Term_C1,$C37,0)*0</f>
        <v>0</v>
      </c>
      <c r="G37" s="1420">
        <f t="shared" ca="1" si="22"/>
        <v>0</v>
      </c>
      <c r="H37" s="1420">
        <f t="shared" ca="1" si="22"/>
        <v>0</v>
      </c>
      <c r="I37" s="1420">
        <f t="shared" ca="1" si="22"/>
        <v>0</v>
      </c>
      <c r="J37" s="1420">
        <f t="shared" ca="1" si="22"/>
        <v>0</v>
      </c>
      <c r="K37" s="1420">
        <f t="shared" ca="1" si="22"/>
        <v>0</v>
      </c>
      <c r="L37" s="1420">
        <f t="shared" ca="1" si="22"/>
        <v>0</v>
      </c>
      <c r="M37" s="1420">
        <f t="shared" ca="1" si="22"/>
        <v>0</v>
      </c>
      <c r="N37" s="1420">
        <f t="shared" ca="1" si="22"/>
        <v>0</v>
      </c>
      <c r="O37" s="1420">
        <f t="shared" ca="1" si="22"/>
        <v>0</v>
      </c>
      <c r="P37" s="1420">
        <f t="shared" ca="1" si="22"/>
        <v>0</v>
      </c>
      <c r="Q37" s="1420">
        <f t="shared" ca="1" si="22"/>
        <v>0</v>
      </c>
      <c r="R37" s="1420">
        <f t="shared" ca="1" si="22"/>
        <v>0</v>
      </c>
      <c r="S37" s="1420">
        <f t="shared" ca="1" si="22"/>
        <v>0</v>
      </c>
      <c r="T37" s="1420">
        <f t="shared" ca="1" si="22"/>
        <v>0</v>
      </c>
      <c r="U37" s="1420">
        <f t="shared" ca="1" si="22"/>
        <v>0</v>
      </c>
      <c r="V37" s="1420">
        <f t="shared" ca="1" si="22"/>
        <v>0</v>
      </c>
      <c r="W37" s="1420">
        <f t="shared" ca="1" si="22"/>
        <v>0</v>
      </c>
      <c r="X37" s="1420">
        <f t="shared" ca="1" si="22"/>
        <v>0</v>
      </c>
      <c r="Y37" s="1420">
        <f t="shared" ca="1" si="22"/>
        <v>0</v>
      </c>
      <c r="Z37" s="1420">
        <f t="shared" ca="1" si="22"/>
        <v>0</v>
      </c>
      <c r="AA37" s="1420">
        <f t="shared" ca="1" si="22"/>
        <v>0</v>
      </c>
      <c r="AB37" s="1420">
        <f t="shared" ca="1" si="22"/>
        <v>0</v>
      </c>
      <c r="AC37" s="1420">
        <f t="shared" ca="1" si="22"/>
        <v>0</v>
      </c>
      <c r="AD37" s="1420">
        <f t="shared" ref="AC37:AF38" ca="1" si="23">IF(AD$6=Term_C1,$C37,0)*0</f>
        <v>0</v>
      </c>
      <c r="AE37" s="1420">
        <f t="shared" ca="1" si="23"/>
        <v>0</v>
      </c>
      <c r="AF37" s="1420">
        <f t="shared" ca="1" si="23"/>
        <v>0</v>
      </c>
      <c r="AG37" s="1422">
        <f>$C37/17</f>
        <v>267.32317647058824</v>
      </c>
      <c r="AH37" s="1422">
        <f t="shared" ref="AH37:AW38" si="24">$C37/17</f>
        <v>267.32317647058824</v>
      </c>
      <c r="AI37" s="1422">
        <f t="shared" si="24"/>
        <v>267.32317647058824</v>
      </c>
      <c r="AJ37" s="1422">
        <f t="shared" si="24"/>
        <v>267.32317647058824</v>
      </c>
      <c r="AK37" s="1422">
        <f t="shared" si="24"/>
        <v>267.32317647058824</v>
      </c>
      <c r="AL37" s="1422">
        <f t="shared" si="24"/>
        <v>267.32317647058824</v>
      </c>
      <c r="AM37" s="1422">
        <f t="shared" si="24"/>
        <v>267.32317647058824</v>
      </c>
      <c r="AN37" s="1422">
        <f t="shared" si="24"/>
        <v>267.32317647058824</v>
      </c>
      <c r="AO37" s="1422">
        <f t="shared" si="24"/>
        <v>267.32317647058824</v>
      </c>
      <c r="AP37" s="1422">
        <f t="shared" si="24"/>
        <v>267.32317647058824</v>
      </c>
      <c r="AQ37" s="1422">
        <f t="shared" si="24"/>
        <v>267.32317647058824</v>
      </c>
      <c r="AR37" s="1422">
        <f t="shared" si="24"/>
        <v>267.32317647058824</v>
      </c>
      <c r="AS37" s="1422">
        <f t="shared" si="24"/>
        <v>267.32317647058824</v>
      </c>
      <c r="AT37" s="1422">
        <f t="shared" si="24"/>
        <v>267.32317647058824</v>
      </c>
      <c r="AU37" s="1422">
        <f t="shared" si="24"/>
        <v>267.32317647058824</v>
      </c>
      <c r="AV37" s="1422">
        <f t="shared" si="24"/>
        <v>267.32317647058824</v>
      </c>
      <c r="AW37" s="1422">
        <f t="shared" si="24"/>
        <v>267.32317647058824</v>
      </c>
      <c r="AX37" s="1422">
        <v>0</v>
      </c>
      <c r="AY37" s="1422">
        <v>0</v>
      </c>
      <c r="AZ37" s="505"/>
      <c r="BA37" s="517">
        <f ca="1">SUM(E37:AY37)</f>
        <v>4544.4940000000006</v>
      </c>
    </row>
    <row r="38" spans="1:58" s="303" customFormat="1">
      <c r="A38" s="506" t="str">
        <f>Assm!N40</f>
        <v>Spare Parts - WTF</v>
      </c>
      <c r="B38" s="307"/>
      <c r="C38" s="508">
        <f>Assm!V40</f>
        <v>100</v>
      </c>
      <c r="D38" s="509"/>
      <c r="E38" s="1421">
        <v>0</v>
      </c>
      <c r="F38" s="1421">
        <f t="shared" ca="1" si="22"/>
        <v>0</v>
      </c>
      <c r="G38" s="1421">
        <f t="shared" ca="1" si="22"/>
        <v>0</v>
      </c>
      <c r="H38" s="1421">
        <f t="shared" ca="1" si="22"/>
        <v>0</v>
      </c>
      <c r="I38" s="1421">
        <f t="shared" ca="1" si="22"/>
        <v>0</v>
      </c>
      <c r="J38" s="1421">
        <f t="shared" ca="1" si="22"/>
        <v>0</v>
      </c>
      <c r="K38" s="1421">
        <f t="shared" ca="1" si="22"/>
        <v>0</v>
      </c>
      <c r="L38" s="1421">
        <f t="shared" ca="1" si="22"/>
        <v>0</v>
      </c>
      <c r="M38" s="1421">
        <f t="shared" ca="1" si="22"/>
        <v>0</v>
      </c>
      <c r="N38" s="1421">
        <f t="shared" ca="1" si="22"/>
        <v>0</v>
      </c>
      <c r="O38" s="1421">
        <f t="shared" ca="1" si="22"/>
        <v>0</v>
      </c>
      <c r="P38" s="1421">
        <f t="shared" ca="1" si="22"/>
        <v>0</v>
      </c>
      <c r="Q38" s="1421">
        <f t="shared" ca="1" si="22"/>
        <v>0</v>
      </c>
      <c r="R38" s="1421">
        <f t="shared" ca="1" si="22"/>
        <v>0</v>
      </c>
      <c r="S38" s="1421">
        <f t="shared" ca="1" si="22"/>
        <v>0</v>
      </c>
      <c r="T38" s="1421">
        <f t="shared" ca="1" si="22"/>
        <v>0</v>
      </c>
      <c r="U38" s="1421">
        <f t="shared" ca="1" si="22"/>
        <v>0</v>
      </c>
      <c r="V38" s="1421">
        <f t="shared" ca="1" si="22"/>
        <v>0</v>
      </c>
      <c r="W38" s="1421">
        <f t="shared" ca="1" si="22"/>
        <v>0</v>
      </c>
      <c r="X38" s="1421">
        <f t="shared" ca="1" si="22"/>
        <v>0</v>
      </c>
      <c r="Y38" s="1421">
        <f t="shared" ca="1" si="22"/>
        <v>0</v>
      </c>
      <c r="Z38" s="1421">
        <f t="shared" ca="1" si="22"/>
        <v>0</v>
      </c>
      <c r="AA38" s="1421">
        <f t="shared" ca="1" si="22"/>
        <v>0</v>
      </c>
      <c r="AB38" s="1421">
        <f t="shared" ca="1" si="22"/>
        <v>0</v>
      </c>
      <c r="AC38" s="1421">
        <f t="shared" ca="1" si="23"/>
        <v>0</v>
      </c>
      <c r="AD38" s="1421">
        <f t="shared" ca="1" si="23"/>
        <v>0</v>
      </c>
      <c r="AE38" s="1421">
        <f t="shared" ca="1" si="23"/>
        <v>0</v>
      </c>
      <c r="AF38" s="1421">
        <f t="shared" ca="1" si="23"/>
        <v>0</v>
      </c>
      <c r="AG38" s="1423">
        <f>$C38/17</f>
        <v>5.882352941176471</v>
      </c>
      <c r="AH38" s="1423">
        <f t="shared" si="24"/>
        <v>5.882352941176471</v>
      </c>
      <c r="AI38" s="1423">
        <f t="shared" si="24"/>
        <v>5.882352941176471</v>
      </c>
      <c r="AJ38" s="1423">
        <f t="shared" si="24"/>
        <v>5.882352941176471</v>
      </c>
      <c r="AK38" s="1423">
        <f t="shared" si="24"/>
        <v>5.882352941176471</v>
      </c>
      <c r="AL38" s="1423">
        <f t="shared" si="24"/>
        <v>5.882352941176471</v>
      </c>
      <c r="AM38" s="1423">
        <f t="shared" si="24"/>
        <v>5.882352941176471</v>
      </c>
      <c r="AN38" s="1423">
        <f t="shared" si="24"/>
        <v>5.882352941176471</v>
      </c>
      <c r="AO38" s="1423">
        <f t="shared" si="24"/>
        <v>5.882352941176471</v>
      </c>
      <c r="AP38" s="1423">
        <f t="shared" si="24"/>
        <v>5.882352941176471</v>
      </c>
      <c r="AQ38" s="1423">
        <f t="shared" si="24"/>
        <v>5.882352941176471</v>
      </c>
      <c r="AR38" s="1423">
        <f t="shared" si="24"/>
        <v>5.882352941176471</v>
      </c>
      <c r="AS38" s="1423">
        <f t="shared" si="24"/>
        <v>5.882352941176471</v>
      </c>
      <c r="AT38" s="1423">
        <f t="shared" si="24"/>
        <v>5.882352941176471</v>
      </c>
      <c r="AU38" s="1423">
        <f t="shared" si="24"/>
        <v>5.882352941176471</v>
      </c>
      <c r="AV38" s="1423">
        <f t="shared" si="24"/>
        <v>5.882352941176471</v>
      </c>
      <c r="AW38" s="1423">
        <f t="shared" si="24"/>
        <v>5.882352941176471</v>
      </c>
      <c r="AX38" s="1423">
        <v>0</v>
      </c>
      <c r="AY38" s="1423">
        <v>0</v>
      </c>
      <c r="AZ38" s="509"/>
      <c r="BA38" s="518">
        <f ca="1">SUM(E38:AY38)</f>
        <v>99.999999999999972</v>
      </c>
    </row>
    <row r="39" spans="1:58" s="303" customFormat="1">
      <c r="A39" s="506" t="str">
        <f>Assm!N41</f>
        <v>Total Other Costs</v>
      </c>
      <c r="B39" s="307"/>
      <c r="C39" s="507">
        <f ca="1">SUM(C36:C38)</f>
        <v>4644.4939999999997</v>
      </c>
      <c r="D39" s="505"/>
      <c r="E39" s="507">
        <f t="shared" ref="E39:AN39" si="25">SUM(E36:E38)</f>
        <v>1594.9722222222217</v>
      </c>
      <c r="F39" s="507">
        <f t="shared" ca="1" si="25"/>
        <v>-598.66518254674986</v>
      </c>
      <c r="G39" s="507">
        <f t="shared" ca="1" si="25"/>
        <v>-691.09287317502185</v>
      </c>
      <c r="H39" s="507">
        <f t="shared" ca="1" si="25"/>
        <v>156.87633510114392</v>
      </c>
      <c r="I39" s="507">
        <f t="shared" ca="1" si="25"/>
        <v>1358.8944062019254</v>
      </c>
      <c r="J39" s="507">
        <f t="shared" ca="1" si="25"/>
        <v>899.60571453913144</v>
      </c>
      <c r="K39" s="507">
        <f t="shared" ca="1" si="25"/>
        <v>-1821.0599135695775</v>
      </c>
      <c r="L39" s="507">
        <f t="shared" ca="1" si="25"/>
        <v>629.59614789337957</v>
      </c>
      <c r="M39" s="507">
        <f t="shared" ca="1" si="25"/>
        <v>2875.3102803738316</v>
      </c>
      <c r="N39" s="507">
        <f t="shared" ca="1" si="25"/>
        <v>464.7877403035418</v>
      </c>
      <c r="O39" s="507">
        <f t="shared" ca="1" si="25"/>
        <v>2116.8488393608077</v>
      </c>
      <c r="P39" s="507">
        <f t="shared" ca="1" si="25"/>
        <v>4210.8686257999325</v>
      </c>
      <c r="Q39" s="507">
        <f t="shared" ca="1" si="25"/>
        <v>-9166.3265627590845</v>
      </c>
      <c r="R39" s="507">
        <f t="shared" ca="1" si="25"/>
        <v>612.13553299492378</v>
      </c>
      <c r="S39" s="507">
        <f t="shared" ca="1" si="25"/>
        <v>-1399.3952198760171</v>
      </c>
      <c r="T39" s="507">
        <f t="shared" ca="1" si="25"/>
        <v>-479.30503897550102</v>
      </c>
      <c r="U39" s="507">
        <f t="shared" ca="1" si="25"/>
        <v>11563.282189910977</v>
      </c>
      <c r="V39" s="507">
        <f t="shared" ca="1" si="25"/>
        <v>-3122.7826450116008</v>
      </c>
      <c r="W39" s="507">
        <f t="shared" ca="1" si="25"/>
        <v>-1018.6629182790821</v>
      </c>
      <c r="X39" s="507">
        <f t="shared" ca="1" si="25"/>
        <v>-2553.1275812672184</v>
      </c>
      <c r="Y39" s="507">
        <f t="shared" ca="1" si="25"/>
        <v>-2942.6978339161751</v>
      </c>
      <c r="Z39" s="507">
        <f t="shared" ca="1" si="25"/>
        <v>-1578.1290329293033</v>
      </c>
      <c r="AA39" s="507">
        <f t="shared" ca="1" si="25"/>
        <v>-1087.2694418842802</v>
      </c>
      <c r="AB39" s="507">
        <f t="shared" ca="1" si="25"/>
        <v>-1773.3737192489725</v>
      </c>
      <c r="AC39" s="507">
        <f t="shared" ca="1" si="25"/>
        <v>-1315.3439966461713</v>
      </c>
      <c r="AD39" s="507">
        <f t="shared" ca="1" si="25"/>
        <v>117.76603417665342</v>
      </c>
      <c r="AE39" s="507">
        <f t="shared" ca="1" si="25"/>
        <v>-814.78862154261287</v>
      </c>
      <c r="AF39" s="507">
        <f t="shared" ca="1" si="25"/>
        <v>-2338.5543066445371</v>
      </c>
      <c r="AG39" s="507">
        <f t="shared" si="25"/>
        <v>632.00734231726096</v>
      </c>
      <c r="AH39" s="507">
        <f t="shared" si="25"/>
        <v>632.00734231726096</v>
      </c>
      <c r="AI39" s="507">
        <f t="shared" si="25"/>
        <v>632.00734231726096</v>
      </c>
      <c r="AJ39" s="507">
        <f t="shared" si="25"/>
        <v>632.00734231726096</v>
      </c>
      <c r="AK39" s="507">
        <f t="shared" si="25"/>
        <v>632.00734231726096</v>
      </c>
      <c r="AL39" s="507">
        <f t="shared" si="25"/>
        <v>632.00734231726096</v>
      </c>
      <c r="AM39" s="507">
        <f t="shared" si="25"/>
        <v>632.00734231726096</v>
      </c>
      <c r="AN39" s="507">
        <f t="shared" si="25"/>
        <v>632.00734231726096</v>
      </c>
      <c r="AO39" s="507">
        <f>SUM(AO36:AO38)</f>
        <v>632.00734231726096</v>
      </c>
      <c r="AP39" s="507">
        <f>SUM(AP36:AP38)</f>
        <v>632.00734231726096</v>
      </c>
      <c r="AQ39" s="507">
        <f>SUM(AQ36:AQ38)</f>
        <v>632.00734231726096</v>
      </c>
      <c r="AR39" s="507">
        <f>SUM(AR36:AR38)</f>
        <v>632.00734231726096</v>
      </c>
      <c r="AS39" s="507">
        <f t="shared" ref="AS39:AY39" si="26">SUM(AS36:AS38)</f>
        <v>632.00734231726096</v>
      </c>
      <c r="AT39" s="507">
        <f t="shared" si="26"/>
        <v>632.00734231726096</v>
      </c>
      <c r="AU39" s="507">
        <f t="shared" si="26"/>
        <v>632.00734231726096</v>
      </c>
      <c r="AV39" s="507">
        <f t="shared" si="26"/>
        <v>632.00734231726096</v>
      </c>
      <c r="AW39" s="507">
        <f t="shared" si="26"/>
        <v>632.00734231726096</v>
      </c>
      <c r="AX39" s="507">
        <f t="shared" si="26"/>
        <v>0</v>
      </c>
      <c r="AY39" s="507">
        <f t="shared" si="26"/>
        <v>0</v>
      </c>
      <c r="AZ39" s="505"/>
      <c r="BA39" s="517">
        <f ca="1">SUM(E39:AY39)</f>
        <v>4644.4939999999979</v>
      </c>
    </row>
    <row r="40" spans="1:58" s="303" customFormat="1">
      <c r="A40" s="506"/>
      <c r="B40" s="307"/>
      <c r="C40" s="505"/>
      <c r="D40" s="505"/>
      <c r="E40" s="505"/>
      <c r="F40" s="505"/>
      <c r="G40" s="505"/>
      <c r="H40" s="505"/>
      <c r="I40" s="505"/>
      <c r="J40" s="505"/>
      <c r="K40" s="505"/>
      <c r="L40" s="505"/>
      <c r="M40" s="505"/>
      <c r="N40" s="505"/>
      <c r="O40" s="505"/>
      <c r="P40" s="505"/>
      <c r="Q40" s="505"/>
      <c r="R40" s="505"/>
      <c r="S40" s="505"/>
      <c r="T40" s="505"/>
      <c r="U40" s="505"/>
      <c r="V40" s="505"/>
      <c r="W40" s="505"/>
      <c r="X40" s="505"/>
      <c r="Y40" s="505"/>
      <c r="Z40" s="505"/>
      <c r="AA40" s="505"/>
      <c r="AB40" s="505"/>
      <c r="AC40" s="505"/>
      <c r="AD40" s="505"/>
      <c r="AE40" s="505"/>
      <c r="AF40" s="505"/>
      <c r="AG40" s="505"/>
      <c r="AH40" s="505"/>
      <c r="AI40" s="505"/>
      <c r="AJ40" s="505"/>
      <c r="AK40" s="505"/>
      <c r="AL40" s="505"/>
      <c r="AM40" s="505"/>
      <c r="AN40" s="505"/>
      <c r="AO40" s="505"/>
      <c r="AP40" s="505"/>
      <c r="AQ40" s="505"/>
      <c r="AR40" s="505"/>
      <c r="AS40" s="505"/>
      <c r="AT40" s="505"/>
      <c r="AU40" s="505"/>
      <c r="AV40" s="505"/>
      <c r="AW40" s="505"/>
      <c r="AX40" s="505"/>
      <c r="AY40" s="505"/>
      <c r="AZ40" s="505"/>
      <c r="BA40" s="516"/>
    </row>
    <row r="41" spans="1:58" s="303" customFormat="1">
      <c r="A41" s="506" t="str">
        <f>Assm!N43</f>
        <v>Contingency - Diesel Burned</v>
      </c>
      <c r="B41" s="307"/>
      <c r="C41" s="507">
        <f>Assm!V43</f>
        <v>0</v>
      </c>
      <c r="D41" s="505"/>
      <c r="E41" s="1420">
        <v>0</v>
      </c>
      <c r="F41" s="1420">
        <v>0</v>
      </c>
      <c r="G41" s="1420">
        <v>0</v>
      </c>
      <c r="H41" s="1420">
        <v>0</v>
      </c>
      <c r="I41" s="1420">
        <v>0</v>
      </c>
      <c r="J41" s="1420">
        <v>0</v>
      </c>
      <c r="K41" s="1420">
        <v>0</v>
      </c>
      <c r="L41" s="1420">
        <v>0</v>
      </c>
      <c r="M41" s="1420">
        <v>0</v>
      </c>
      <c r="N41" s="1420">
        <v>0</v>
      </c>
      <c r="O41" s="1420">
        <v>0</v>
      </c>
      <c r="P41" s="1420">
        <v>0</v>
      </c>
      <c r="Q41" s="1420">
        <v>0</v>
      </c>
      <c r="R41" s="1420">
        <v>0</v>
      </c>
      <c r="S41" s="1420">
        <v>0</v>
      </c>
      <c r="T41" s="1420">
        <v>0</v>
      </c>
      <c r="U41" s="1420">
        <v>0</v>
      </c>
      <c r="V41" s="1420">
        <v>0</v>
      </c>
      <c r="W41" s="1420">
        <v>0</v>
      </c>
      <c r="X41" s="1420">
        <v>0</v>
      </c>
      <c r="Y41" s="1420">
        <v>0</v>
      </c>
      <c r="Z41" s="1420">
        <v>0</v>
      </c>
      <c r="AA41" s="1420">
        <v>0</v>
      </c>
      <c r="AB41" s="1420">
        <v>0</v>
      </c>
      <c r="AC41" s="1420">
        <v>0</v>
      </c>
      <c r="AD41" s="1420">
        <v>0</v>
      </c>
      <c r="AE41" s="1420">
        <v>0</v>
      </c>
      <c r="AF41" s="1420">
        <v>0</v>
      </c>
      <c r="AG41" s="1422">
        <v>0</v>
      </c>
      <c r="AH41" s="1422">
        <v>0</v>
      </c>
      <c r="AI41" s="1422">
        <v>0</v>
      </c>
      <c r="AJ41" s="1422">
        <v>0</v>
      </c>
      <c r="AK41" s="1422">
        <v>0</v>
      </c>
      <c r="AL41" s="1422">
        <v>0</v>
      </c>
      <c r="AM41" s="1422">
        <v>0</v>
      </c>
      <c r="AN41" s="1422">
        <v>0</v>
      </c>
      <c r="AO41" s="1422">
        <v>0</v>
      </c>
      <c r="AP41" s="1422">
        <v>0</v>
      </c>
      <c r="AQ41" s="1422">
        <v>0</v>
      </c>
      <c r="AR41" s="1422">
        <v>0</v>
      </c>
      <c r="AS41" s="1422">
        <v>0</v>
      </c>
      <c r="AT41" s="1422">
        <v>0</v>
      </c>
      <c r="AU41" s="1422">
        <v>0</v>
      </c>
      <c r="AV41" s="1422">
        <v>0</v>
      </c>
      <c r="AW41" s="1422">
        <f>C41</f>
        <v>0</v>
      </c>
      <c r="AX41" s="1422">
        <v>0</v>
      </c>
      <c r="AY41" s="1422">
        <v>0</v>
      </c>
      <c r="AZ41" s="505"/>
      <c r="BA41" s="517">
        <f>SUM(E41:AY41)</f>
        <v>0</v>
      </c>
    </row>
    <row r="42" spans="1:58" s="303" customFormat="1">
      <c r="A42" s="506" t="str">
        <f>Assm!N44</f>
        <v>Contingency - Change Orders</v>
      </c>
      <c r="B42" s="307"/>
      <c r="C42" s="507">
        <f>Assm!V44</f>
        <v>4179.4083333333328</v>
      </c>
      <c r="D42" s="505"/>
      <c r="E42" s="1420">
        <v>0</v>
      </c>
      <c r="F42" s="1420">
        <v>0</v>
      </c>
      <c r="G42" s="1420">
        <v>0</v>
      </c>
      <c r="H42" s="1420">
        <v>0</v>
      </c>
      <c r="I42" s="1420">
        <v>0</v>
      </c>
      <c r="J42" s="1420">
        <v>0</v>
      </c>
      <c r="K42" s="1420">
        <v>0</v>
      </c>
      <c r="L42" s="1420">
        <v>0</v>
      </c>
      <c r="M42" s="1420">
        <v>0</v>
      </c>
      <c r="N42" s="1420">
        <v>0</v>
      </c>
      <c r="O42" s="1420">
        <v>0</v>
      </c>
      <c r="P42" s="1420">
        <v>0</v>
      </c>
      <c r="Q42" s="1420">
        <v>0</v>
      </c>
      <c r="R42" s="1420">
        <v>0</v>
      </c>
      <c r="S42" s="1420">
        <v>0</v>
      </c>
      <c r="T42" s="1420">
        <v>0</v>
      </c>
      <c r="U42" s="1420">
        <v>0</v>
      </c>
      <c r="V42" s="1420">
        <v>0</v>
      </c>
      <c r="W42" s="1420">
        <v>0</v>
      </c>
      <c r="X42" s="1420">
        <v>0</v>
      </c>
      <c r="Y42" s="1420">
        <v>0</v>
      </c>
      <c r="Z42" s="1420">
        <v>0</v>
      </c>
      <c r="AA42" s="1420">
        <v>0</v>
      </c>
      <c r="AB42" s="1420">
        <v>0</v>
      </c>
      <c r="AC42" s="1420">
        <v>0</v>
      </c>
      <c r="AD42" s="1420">
        <v>0</v>
      </c>
      <c r="AE42" s="1420">
        <v>0</v>
      </c>
      <c r="AF42" s="1420">
        <v>0</v>
      </c>
      <c r="AG42" s="1422">
        <v>0</v>
      </c>
      <c r="AH42" s="1422">
        <v>0</v>
      </c>
      <c r="AI42" s="1422">
        <v>0</v>
      </c>
      <c r="AJ42" s="1422">
        <v>0</v>
      </c>
      <c r="AK42" s="1422">
        <v>0</v>
      </c>
      <c r="AL42" s="1422">
        <v>0</v>
      </c>
      <c r="AM42" s="1422">
        <v>0</v>
      </c>
      <c r="AN42" s="1422">
        <v>0</v>
      </c>
      <c r="AO42" s="1422">
        <v>0</v>
      </c>
      <c r="AP42" s="1422">
        <v>0</v>
      </c>
      <c r="AQ42" s="1422">
        <v>0</v>
      </c>
      <c r="AR42" s="1422">
        <v>0</v>
      </c>
      <c r="AS42" s="1422">
        <v>0</v>
      </c>
      <c r="AT42" s="1422">
        <v>0</v>
      </c>
      <c r="AU42" s="1422">
        <v>0</v>
      </c>
      <c r="AV42" s="1422">
        <v>0</v>
      </c>
      <c r="AW42" s="1422">
        <f>C42</f>
        <v>4179.4083333333328</v>
      </c>
      <c r="AX42" s="1422">
        <v>0</v>
      </c>
      <c r="AY42" s="1422">
        <v>0</v>
      </c>
      <c r="AZ42" s="505"/>
      <c r="BA42" s="517">
        <f>SUM(E42:AY42)</f>
        <v>4179.4083333333328</v>
      </c>
    </row>
    <row r="43" spans="1:58" s="303" customFormat="1">
      <c r="A43" s="506" t="str">
        <f>Assm!N45</f>
        <v>Contingency - Other</v>
      </c>
      <c r="B43" s="307"/>
      <c r="C43" s="508">
        <f>Assm!V45</f>
        <v>0</v>
      </c>
      <c r="D43" s="509"/>
      <c r="E43" s="1421">
        <v>0</v>
      </c>
      <c r="F43" s="1421">
        <v>0</v>
      </c>
      <c r="G43" s="1421">
        <v>0</v>
      </c>
      <c r="H43" s="1421">
        <v>0</v>
      </c>
      <c r="I43" s="1421">
        <v>0</v>
      </c>
      <c r="J43" s="1421">
        <v>0</v>
      </c>
      <c r="K43" s="1421">
        <v>0</v>
      </c>
      <c r="L43" s="1421">
        <v>0</v>
      </c>
      <c r="M43" s="1421">
        <v>0</v>
      </c>
      <c r="N43" s="1421">
        <v>0</v>
      </c>
      <c r="O43" s="1421">
        <v>0</v>
      </c>
      <c r="P43" s="1421">
        <v>0</v>
      </c>
      <c r="Q43" s="1421">
        <v>0</v>
      </c>
      <c r="R43" s="1421">
        <v>0</v>
      </c>
      <c r="S43" s="1421">
        <v>0</v>
      </c>
      <c r="T43" s="1421">
        <v>0</v>
      </c>
      <c r="U43" s="1421">
        <v>0</v>
      </c>
      <c r="V43" s="1421">
        <v>0</v>
      </c>
      <c r="W43" s="1421">
        <v>0</v>
      </c>
      <c r="X43" s="1421">
        <v>0</v>
      </c>
      <c r="Y43" s="1421">
        <v>0</v>
      </c>
      <c r="Z43" s="1421">
        <v>0</v>
      </c>
      <c r="AA43" s="1421">
        <v>0</v>
      </c>
      <c r="AB43" s="1421">
        <v>0</v>
      </c>
      <c r="AC43" s="1421">
        <v>0</v>
      </c>
      <c r="AD43" s="1421">
        <v>0</v>
      </c>
      <c r="AE43" s="1421">
        <v>0</v>
      </c>
      <c r="AF43" s="1421">
        <v>0</v>
      </c>
      <c r="AG43" s="1423">
        <v>0</v>
      </c>
      <c r="AH43" s="1423">
        <v>0</v>
      </c>
      <c r="AI43" s="1423">
        <v>0</v>
      </c>
      <c r="AJ43" s="1423">
        <v>0</v>
      </c>
      <c r="AK43" s="1423">
        <v>0</v>
      </c>
      <c r="AL43" s="1423">
        <v>0</v>
      </c>
      <c r="AM43" s="1423">
        <v>0</v>
      </c>
      <c r="AN43" s="1423">
        <v>0</v>
      </c>
      <c r="AO43" s="1423">
        <v>0</v>
      </c>
      <c r="AP43" s="1423">
        <v>0</v>
      </c>
      <c r="AQ43" s="1423">
        <v>0</v>
      </c>
      <c r="AR43" s="1423">
        <v>0</v>
      </c>
      <c r="AS43" s="1423">
        <v>0</v>
      </c>
      <c r="AT43" s="1423">
        <v>0</v>
      </c>
      <c r="AU43" s="1423">
        <v>0</v>
      </c>
      <c r="AV43" s="1423">
        <v>0</v>
      </c>
      <c r="AW43" s="1423">
        <f>C43</f>
        <v>0</v>
      </c>
      <c r="AX43" s="1423">
        <v>0</v>
      </c>
      <c r="AY43" s="1423">
        <v>0</v>
      </c>
      <c r="AZ43" s="509"/>
      <c r="BA43" s="518">
        <f>SUM(E43:AY43)</f>
        <v>0</v>
      </c>
    </row>
    <row r="44" spans="1:58" s="303" customFormat="1">
      <c r="A44" s="506" t="str">
        <f>Assm!N46</f>
        <v>Total Contingency</v>
      </c>
      <c r="B44" s="307"/>
      <c r="C44" s="507">
        <f>SUM(C41:C43)</f>
        <v>4179.4083333333328</v>
      </c>
      <c r="D44" s="505"/>
      <c r="E44" s="507">
        <f t="shared" ref="E44:AM44" si="27">SUM(E41:E43)</f>
        <v>0</v>
      </c>
      <c r="F44" s="507">
        <f t="shared" si="27"/>
        <v>0</v>
      </c>
      <c r="G44" s="507">
        <f t="shared" si="27"/>
        <v>0</v>
      </c>
      <c r="H44" s="507">
        <f t="shared" si="27"/>
        <v>0</v>
      </c>
      <c r="I44" s="507">
        <f t="shared" si="27"/>
        <v>0</v>
      </c>
      <c r="J44" s="507">
        <f t="shared" si="27"/>
        <v>0</v>
      </c>
      <c r="K44" s="507">
        <f t="shared" si="27"/>
        <v>0</v>
      </c>
      <c r="L44" s="507">
        <f t="shared" si="27"/>
        <v>0</v>
      </c>
      <c r="M44" s="507">
        <f t="shared" si="27"/>
        <v>0</v>
      </c>
      <c r="N44" s="507">
        <f t="shared" si="27"/>
        <v>0</v>
      </c>
      <c r="O44" s="507">
        <f t="shared" si="27"/>
        <v>0</v>
      </c>
      <c r="P44" s="507">
        <f t="shared" si="27"/>
        <v>0</v>
      </c>
      <c r="Q44" s="507">
        <f t="shared" si="27"/>
        <v>0</v>
      </c>
      <c r="R44" s="507">
        <f t="shared" si="27"/>
        <v>0</v>
      </c>
      <c r="S44" s="507">
        <f t="shared" si="27"/>
        <v>0</v>
      </c>
      <c r="T44" s="507">
        <f t="shared" si="27"/>
        <v>0</v>
      </c>
      <c r="U44" s="507">
        <f t="shared" si="27"/>
        <v>0</v>
      </c>
      <c r="V44" s="507">
        <f t="shared" si="27"/>
        <v>0</v>
      </c>
      <c r="W44" s="507">
        <f t="shared" si="27"/>
        <v>0</v>
      </c>
      <c r="X44" s="507">
        <f t="shared" si="27"/>
        <v>0</v>
      </c>
      <c r="Y44" s="507">
        <f t="shared" si="27"/>
        <v>0</v>
      </c>
      <c r="Z44" s="507">
        <f t="shared" si="27"/>
        <v>0</v>
      </c>
      <c r="AA44" s="507">
        <f t="shared" si="27"/>
        <v>0</v>
      </c>
      <c r="AB44" s="507">
        <f t="shared" si="27"/>
        <v>0</v>
      </c>
      <c r="AC44" s="507">
        <f t="shared" si="27"/>
        <v>0</v>
      </c>
      <c r="AD44" s="507">
        <f t="shared" si="27"/>
        <v>0</v>
      </c>
      <c r="AE44" s="507">
        <f t="shared" si="27"/>
        <v>0</v>
      </c>
      <c r="AF44" s="507">
        <f t="shared" si="27"/>
        <v>0</v>
      </c>
      <c r="AG44" s="507">
        <f t="shared" si="27"/>
        <v>0</v>
      </c>
      <c r="AH44" s="507">
        <f t="shared" si="27"/>
        <v>0</v>
      </c>
      <c r="AI44" s="507">
        <f t="shared" si="27"/>
        <v>0</v>
      </c>
      <c r="AJ44" s="507">
        <f t="shared" si="27"/>
        <v>0</v>
      </c>
      <c r="AK44" s="507">
        <f t="shared" si="27"/>
        <v>0</v>
      </c>
      <c r="AL44" s="507">
        <f t="shared" si="27"/>
        <v>0</v>
      </c>
      <c r="AM44" s="507">
        <f t="shared" si="27"/>
        <v>0</v>
      </c>
      <c r="AN44" s="507">
        <f t="shared" ref="AN44:AY44" si="28">SUM(AN41:AN43)</f>
        <v>0</v>
      </c>
      <c r="AO44" s="507">
        <f t="shared" si="28"/>
        <v>0</v>
      </c>
      <c r="AP44" s="507">
        <f t="shared" si="28"/>
        <v>0</v>
      </c>
      <c r="AQ44" s="507">
        <f t="shared" si="28"/>
        <v>0</v>
      </c>
      <c r="AR44" s="507">
        <f t="shared" si="28"/>
        <v>0</v>
      </c>
      <c r="AS44" s="507">
        <f t="shared" si="28"/>
        <v>0</v>
      </c>
      <c r="AT44" s="507">
        <f t="shared" si="28"/>
        <v>0</v>
      </c>
      <c r="AU44" s="507">
        <f t="shared" si="28"/>
        <v>0</v>
      </c>
      <c r="AV44" s="507">
        <f t="shared" si="28"/>
        <v>0</v>
      </c>
      <c r="AW44" s="507">
        <f t="shared" si="28"/>
        <v>4179.4083333333328</v>
      </c>
      <c r="AX44" s="507">
        <f t="shared" si="28"/>
        <v>0</v>
      </c>
      <c r="AY44" s="507">
        <f t="shared" si="28"/>
        <v>0</v>
      </c>
      <c r="AZ44" s="505"/>
      <c r="BA44" s="517">
        <f>SUM(E44:AY44)</f>
        <v>4179.4083333333328</v>
      </c>
    </row>
    <row r="45" spans="1:58" s="303" customFormat="1">
      <c r="A45" s="506"/>
      <c r="B45" s="307"/>
      <c r="C45" s="505"/>
      <c r="D45" s="505"/>
      <c r="E45" s="505"/>
      <c r="F45" s="505"/>
      <c r="G45" s="505"/>
      <c r="H45" s="505"/>
      <c r="I45" s="505"/>
      <c r="J45" s="505"/>
      <c r="K45" s="505"/>
      <c r="L45" s="505"/>
      <c r="M45" s="505"/>
      <c r="N45" s="505"/>
      <c r="O45" s="505"/>
      <c r="P45" s="505"/>
      <c r="Q45" s="505"/>
      <c r="R45" s="505"/>
      <c r="S45" s="505"/>
      <c r="T45" s="505"/>
      <c r="U45" s="505"/>
      <c r="V45" s="505"/>
      <c r="W45" s="505"/>
      <c r="X45" s="505"/>
      <c r="Y45" s="505"/>
      <c r="Z45" s="505"/>
      <c r="AA45" s="505"/>
      <c r="AB45" s="505"/>
      <c r="AC45" s="505"/>
      <c r="AD45" s="505"/>
      <c r="AE45" s="505"/>
      <c r="AF45" s="505"/>
      <c r="AG45" s="505"/>
      <c r="AH45" s="505"/>
      <c r="AI45" s="505"/>
      <c r="AJ45" s="505"/>
      <c r="AK45" s="505"/>
      <c r="AL45" s="505"/>
      <c r="AM45" s="505"/>
      <c r="AN45" s="505"/>
      <c r="AO45" s="505"/>
      <c r="AP45" s="505"/>
      <c r="AQ45" s="505"/>
      <c r="AR45" s="505"/>
      <c r="AS45" s="505"/>
      <c r="AT45" s="505"/>
      <c r="AU45" s="505"/>
      <c r="AV45" s="505"/>
      <c r="AW45" s="505"/>
      <c r="AX45" s="505"/>
      <c r="AY45" s="505"/>
      <c r="AZ45" s="505"/>
      <c r="BA45" s="516"/>
    </row>
    <row r="46" spans="1:58" s="303" customFormat="1" ht="13.5" thickBot="1">
      <c r="A46" s="1164" t="s">
        <v>1344</v>
      </c>
      <c r="B46" s="1165"/>
      <c r="C46" s="1166">
        <f ca="1">SUM(C15,C22,C29,C34,C39,C44)</f>
        <v>317802.6916783427</v>
      </c>
      <c r="D46" s="304"/>
      <c r="E46" s="1166">
        <f t="shared" ref="E46:AY46" ca="1" si="29">SUM(E15,E22,E29,E34,E39,E44)</f>
        <v>7598.2078853046587</v>
      </c>
      <c r="F46" s="1166">
        <f t="shared" ca="1" si="29"/>
        <v>0</v>
      </c>
      <c r="G46" s="1166">
        <f t="shared" ca="1" si="29"/>
        <v>2638.5224274406332</v>
      </c>
      <c r="H46" s="1166">
        <f t="shared" ca="1" si="29"/>
        <v>9410.7299912049257</v>
      </c>
      <c r="I46" s="1166">
        <f t="shared" ca="1" si="29"/>
        <v>12938.664335664338</v>
      </c>
      <c r="J46" s="1166">
        <f t="shared" ca="1" si="29"/>
        <v>5260.8695652173919</v>
      </c>
      <c r="K46" s="1166">
        <f t="shared" ca="1" si="29"/>
        <v>18755.412273120139</v>
      </c>
      <c r="L46" s="1166">
        <f t="shared" ca="1" si="29"/>
        <v>5760.9630266552022</v>
      </c>
      <c r="M46" s="1166">
        <f t="shared" ca="1" si="29"/>
        <v>5692.4384027187762</v>
      </c>
      <c r="N46" s="1166">
        <f t="shared" ca="1" si="29"/>
        <v>21168.1239460371</v>
      </c>
      <c r="O46" s="1166">
        <f t="shared" ca="1" si="29"/>
        <v>6065.0159798149707</v>
      </c>
      <c r="P46" s="1166">
        <f t="shared" ca="1" si="29"/>
        <v>9453.0001684068702</v>
      </c>
      <c r="Q46" s="1166">
        <f t="shared" ca="1" si="29"/>
        <v>14376.499751285028</v>
      </c>
      <c r="R46" s="1166">
        <f t="shared" ca="1" si="29"/>
        <v>1524.4502538071065</v>
      </c>
      <c r="S46" s="1166">
        <f t="shared" ca="1" si="29"/>
        <v>0</v>
      </c>
      <c r="T46" s="1166">
        <f t="shared" ca="1" si="29"/>
        <v>1919.3897550111358</v>
      </c>
      <c r="U46" s="1166">
        <f t="shared" ca="1" si="29"/>
        <v>26661.343026706229</v>
      </c>
      <c r="V46" s="1166">
        <f t="shared" ca="1" si="29"/>
        <v>0</v>
      </c>
      <c r="W46" s="1166">
        <f t="shared" ca="1" si="29"/>
        <v>18268.648987024812</v>
      </c>
      <c r="X46" s="1166">
        <f t="shared" ca="1" si="29"/>
        <v>2521.5531680440772</v>
      </c>
      <c r="Y46" s="1166">
        <f t="shared" ca="1" si="29"/>
        <v>0</v>
      </c>
      <c r="Z46" s="1166">
        <f t="shared" ca="1" si="29"/>
        <v>1807.0348020600322</v>
      </c>
      <c r="AA46" s="1166">
        <f t="shared" ca="1" si="29"/>
        <v>1897.1277982590886</v>
      </c>
      <c r="AB46" s="1166">
        <f t="shared" ca="1" si="29"/>
        <v>834.19446091433929</v>
      </c>
      <c r="AC46" s="1166">
        <f t="shared" ca="1" si="29"/>
        <v>-413.82674119619924</v>
      </c>
      <c r="AD46" s="1166">
        <f t="shared" ca="1" si="29"/>
        <v>1208.9136706613406</v>
      </c>
      <c r="AE46" s="1166">
        <f t="shared" ca="1" si="29"/>
        <v>-89.009444569372477</v>
      </c>
      <c r="AF46" s="1166">
        <f t="shared" ca="1" si="29"/>
        <v>-1783.9758141132029</v>
      </c>
      <c r="AG46" s="1166">
        <f t="shared" ca="1" si="29"/>
        <v>13569.973626152148</v>
      </c>
      <c r="AH46" s="1166">
        <f t="shared" ca="1" si="29"/>
        <v>1069.9736261521477</v>
      </c>
      <c r="AI46" s="1166">
        <f t="shared" ca="1" si="29"/>
        <v>1069.9736261521477</v>
      </c>
      <c r="AJ46" s="1166">
        <f t="shared" ca="1" si="29"/>
        <v>4772.0659991600742</v>
      </c>
      <c r="AK46" s="1166">
        <f t="shared" ca="1" si="29"/>
        <v>20127.431339469567</v>
      </c>
      <c r="AL46" s="1166">
        <f t="shared" ca="1" si="29"/>
        <v>30597.490424818021</v>
      </c>
      <c r="AM46" s="1166">
        <f t="shared" ca="1" si="29"/>
        <v>1069.9736261521477</v>
      </c>
      <c r="AN46" s="1166">
        <f t="shared" ca="1" si="29"/>
        <v>1069.9736261521477</v>
      </c>
      <c r="AO46" s="1166">
        <f t="shared" ca="1" si="29"/>
        <v>20127.431339469567</v>
      </c>
      <c r="AP46" s="1166">
        <f t="shared" ca="1" si="29"/>
        <v>1069.9736261521477</v>
      </c>
      <c r="AQ46" s="1166">
        <f t="shared" ca="1" si="29"/>
        <v>1069.9736261521477</v>
      </c>
      <c r="AR46" s="1166">
        <f t="shared" ca="1" si="29"/>
        <v>1069.9736261521477</v>
      </c>
      <c r="AS46" s="1166">
        <f t="shared" ca="1" si="29"/>
        <v>20127.431339469567</v>
      </c>
      <c r="AT46" s="1166">
        <f t="shared" ca="1" si="29"/>
        <v>1069.9736261521477</v>
      </c>
      <c r="AU46" s="1166">
        <f t="shared" ca="1" si="29"/>
        <v>1069.9736261521477</v>
      </c>
      <c r="AV46" s="1166">
        <f t="shared" ca="1" si="29"/>
        <v>1069.9736261521477</v>
      </c>
      <c r="AW46" s="1166">
        <f t="shared" ca="1" si="29"/>
        <v>24306.8396728029</v>
      </c>
      <c r="AX46" s="1166">
        <f t="shared" ca="1" si="29"/>
        <v>0</v>
      </c>
      <c r="AY46" s="1166">
        <f t="shared" ca="1" si="29"/>
        <v>0</v>
      </c>
      <c r="AZ46" s="304"/>
      <c r="BA46" s="1167">
        <f ca="1">SUM(E46:AY46)</f>
        <v>317802.6916783427</v>
      </c>
      <c r="BC46" s="1424">
        <f ca="1">0.0434*BA46</f>
        <v>13792.636818840074</v>
      </c>
      <c r="BF46" s="1424"/>
    </row>
    <row r="47" spans="1:58" s="303" customFormat="1">
      <c r="A47" s="510"/>
      <c r="B47" s="505"/>
      <c r="C47" s="505"/>
      <c r="D47" s="505"/>
      <c r="E47" s="1428">
        <v>6003.235663082437</v>
      </c>
      <c r="F47" s="1428">
        <v>598.66518254674986</v>
      </c>
      <c r="G47" s="1428">
        <v>3329.6153006156551</v>
      </c>
      <c r="H47" s="1428">
        <v>9253.8536561037818</v>
      </c>
      <c r="I47" s="1428">
        <v>11579.769929462413</v>
      </c>
      <c r="J47" s="1428">
        <v>4361.2638506782605</v>
      </c>
      <c r="K47" s="1428">
        <v>20576.472186689716</v>
      </c>
      <c r="L47" s="1428">
        <v>5131.3668787618226</v>
      </c>
      <c r="M47" s="1428">
        <v>2817.1281223449446</v>
      </c>
      <c r="N47" s="1428">
        <v>20703.336205733558</v>
      </c>
      <c r="O47" s="1428">
        <v>3948.167140454163</v>
      </c>
      <c r="P47" s="1428">
        <v>5242.1315426069377</v>
      </c>
      <c r="Q47" s="1428">
        <v>23542.826314044112</v>
      </c>
      <c r="R47" s="1428">
        <v>912.31472081218271</v>
      </c>
      <c r="S47" s="1428">
        <v>1399.3952198760171</v>
      </c>
      <c r="T47" s="1428">
        <v>2398.6947939866368</v>
      </c>
      <c r="U47" s="1428">
        <v>15098.060836795252</v>
      </c>
      <c r="V47" s="1428">
        <v>3122.7826450116008</v>
      </c>
      <c r="W47" s="1428">
        <v>19287.311905303894</v>
      </c>
      <c r="X47" s="1428">
        <v>5074.6807493112956</v>
      </c>
      <c r="Y47" s="1428">
        <v>2942.6978339161751</v>
      </c>
      <c r="Z47" s="1428">
        <v>3385.1638349893356</v>
      </c>
      <c r="AA47" s="1428">
        <v>2984.3972401433689</v>
      </c>
      <c r="AB47" s="1428">
        <v>2607.5681801633118</v>
      </c>
      <c r="AC47" s="1428">
        <v>2791.0829346003356</v>
      </c>
      <c r="AD47" s="1428">
        <v>1091.1476364846872</v>
      </c>
      <c r="AE47" s="1428">
        <v>3766.7078929615473</v>
      </c>
      <c r="AF47" s="1428">
        <v>2338.5543066445371</v>
      </c>
      <c r="AG47" s="505"/>
      <c r="AH47" s="505"/>
      <c r="AI47" s="505"/>
      <c r="AJ47" s="505"/>
      <c r="AK47" s="505"/>
      <c r="AL47" s="505"/>
      <c r="AM47" s="505"/>
      <c r="AN47" s="505"/>
      <c r="AO47" s="505"/>
      <c r="AP47" s="505"/>
      <c r="AQ47" s="505"/>
      <c r="AR47" s="505"/>
      <c r="AS47" s="505"/>
      <c r="AT47" s="505"/>
      <c r="AU47" s="505"/>
      <c r="AV47" s="505"/>
      <c r="AW47" s="505"/>
      <c r="AX47" s="505"/>
      <c r="AY47" s="505"/>
      <c r="AZ47" s="505"/>
      <c r="BA47" s="516"/>
      <c r="BB47" s="303" t="s">
        <v>628</v>
      </c>
    </row>
    <row r="48" spans="1:58" s="303" customFormat="1">
      <c r="A48" s="510"/>
      <c r="B48" s="505"/>
      <c r="C48" s="505"/>
      <c r="D48" s="505"/>
      <c r="E48" s="505"/>
      <c r="F48" s="505"/>
      <c r="G48" s="505"/>
      <c r="H48" s="505"/>
      <c r="I48" s="505"/>
      <c r="J48" s="505"/>
      <c r="K48" s="505"/>
      <c r="L48" s="505"/>
      <c r="M48" s="505"/>
      <c r="N48" s="505"/>
      <c r="O48" s="505"/>
      <c r="P48" s="505"/>
      <c r="Q48" s="505"/>
      <c r="R48" s="505"/>
      <c r="S48" s="505"/>
      <c r="T48" s="505"/>
      <c r="U48" s="505"/>
      <c r="V48" s="505"/>
      <c r="W48" s="505"/>
      <c r="X48" s="505"/>
      <c r="Y48" s="505"/>
      <c r="Z48" s="505"/>
      <c r="AA48" s="505"/>
      <c r="AB48" s="505"/>
      <c r="AC48" s="505"/>
      <c r="AD48" s="505"/>
      <c r="AE48" s="505"/>
      <c r="AF48" s="505"/>
      <c r="AG48" s="505"/>
      <c r="AH48" s="505"/>
      <c r="AI48" s="505"/>
      <c r="AJ48" s="505"/>
      <c r="AK48" s="505"/>
      <c r="AL48" s="505"/>
      <c r="AM48" s="505"/>
      <c r="AN48" s="505"/>
      <c r="AO48" s="505"/>
      <c r="AP48" s="505"/>
      <c r="AQ48" s="505"/>
      <c r="AR48" s="505"/>
      <c r="AS48" s="505"/>
      <c r="AT48" s="505"/>
      <c r="AU48" s="505"/>
      <c r="AV48" s="505"/>
      <c r="AW48" s="505"/>
      <c r="AX48" s="505"/>
      <c r="AY48" s="505"/>
      <c r="AZ48" s="505"/>
      <c r="BA48" s="516"/>
      <c r="BB48" s="1299" t="s">
        <v>629</v>
      </c>
    </row>
    <row r="49" spans="1:54" s="303" customFormat="1">
      <c r="A49" s="1168" t="s">
        <v>512</v>
      </c>
      <c r="B49" s="317"/>
      <c r="C49" s="317"/>
      <c r="D49" s="317"/>
      <c r="E49" s="1169">
        <f t="shared" ref="E49:AN49" si="30">E7</f>
        <v>35765</v>
      </c>
      <c r="F49" s="1169">
        <f t="shared" si="30"/>
        <v>35796</v>
      </c>
      <c r="G49" s="1169">
        <f t="shared" si="30"/>
        <v>35827</v>
      </c>
      <c r="H49" s="1169">
        <f t="shared" si="30"/>
        <v>35855</v>
      </c>
      <c r="I49" s="1169">
        <f t="shared" si="30"/>
        <v>35886</v>
      </c>
      <c r="J49" s="1169">
        <f t="shared" si="30"/>
        <v>35916</v>
      </c>
      <c r="K49" s="1169">
        <f t="shared" si="30"/>
        <v>35947</v>
      </c>
      <c r="L49" s="1169">
        <f t="shared" si="30"/>
        <v>35977</v>
      </c>
      <c r="M49" s="1169">
        <f t="shared" si="30"/>
        <v>36008</v>
      </c>
      <c r="N49" s="1169">
        <f t="shared" si="30"/>
        <v>36039</v>
      </c>
      <c r="O49" s="1169">
        <f t="shared" si="30"/>
        <v>36069</v>
      </c>
      <c r="P49" s="1169">
        <f t="shared" si="30"/>
        <v>36100</v>
      </c>
      <c r="Q49" s="1169">
        <f t="shared" si="30"/>
        <v>36130</v>
      </c>
      <c r="R49" s="1169">
        <f t="shared" si="30"/>
        <v>36161</v>
      </c>
      <c r="S49" s="1169">
        <f t="shared" si="30"/>
        <v>36192</v>
      </c>
      <c r="T49" s="1169">
        <f t="shared" si="30"/>
        <v>36220</v>
      </c>
      <c r="U49" s="1169">
        <f t="shared" si="30"/>
        <v>36251</v>
      </c>
      <c r="V49" s="1169">
        <f t="shared" si="30"/>
        <v>36281</v>
      </c>
      <c r="W49" s="1169">
        <f t="shared" si="30"/>
        <v>36312</v>
      </c>
      <c r="X49" s="1169">
        <f t="shared" si="30"/>
        <v>36342</v>
      </c>
      <c r="Y49" s="1169">
        <f t="shared" si="30"/>
        <v>36373</v>
      </c>
      <c r="Z49" s="1169">
        <f t="shared" si="30"/>
        <v>36404</v>
      </c>
      <c r="AA49" s="1169">
        <f t="shared" si="30"/>
        <v>36434</v>
      </c>
      <c r="AB49" s="1169">
        <f t="shared" si="30"/>
        <v>36465</v>
      </c>
      <c r="AC49" s="1169">
        <f t="shared" si="30"/>
        <v>36495</v>
      </c>
      <c r="AD49" s="1169">
        <f t="shared" si="30"/>
        <v>36526</v>
      </c>
      <c r="AE49" s="1169">
        <f t="shared" si="30"/>
        <v>36557</v>
      </c>
      <c r="AF49" s="1169">
        <f t="shared" si="30"/>
        <v>36586</v>
      </c>
      <c r="AG49" s="1169">
        <f t="shared" si="30"/>
        <v>36617</v>
      </c>
      <c r="AH49" s="1169">
        <f t="shared" si="30"/>
        <v>36647</v>
      </c>
      <c r="AI49" s="1169">
        <f t="shared" si="30"/>
        <v>36678</v>
      </c>
      <c r="AJ49" s="1169">
        <f t="shared" si="30"/>
        <v>36708</v>
      </c>
      <c r="AK49" s="1169">
        <f t="shared" si="30"/>
        <v>36739</v>
      </c>
      <c r="AL49" s="1169">
        <f t="shared" si="30"/>
        <v>36770</v>
      </c>
      <c r="AM49" s="1169">
        <f t="shared" si="30"/>
        <v>36800</v>
      </c>
      <c r="AN49" s="1169">
        <f t="shared" si="30"/>
        <v>36831</v>
      </c>
      <c r="AO49" s="1169">
        <f>AO7</f>
        <v>36861</v>
      </c>
      <c r="AP49" s="1169">
        <f>AP7</f>
        <v>36892</v>
      </c>
      <c r="AQ49" s="1169">
        <f>AQ7</f>
        <v>36923</v>
      </c>
      <c r="AR49" s="1169">
        <f>AR7</f>
        <v>36951</v>
      </c>
      <c r="AS49" s="1169">
        <f t="shared" ref="AS49:AY49" si="31">AS7</f>
        <v>36982</v>
      </c>
      <c r="AT49" s="1169">
        <f t="shared" si="31"/>
        <v>37012</v>
      </c>
      <c r="AU49" s="1169">
        <f t="shared" si="31"/>
        <v>37043</v>
      </c>
      <c r="AV49" s="1169">
        <f t="shared" si="31"/>
        <v>37073</v>
      </c>
      <c r="AW49" s="1169">
        <f t="shared" si="31"/>
        <v>37104</v>
      </c>
      <c r="AX49" s="1169">
        <f t="shared" si="31"/>
        <v>37135</v>
      </c>
      <c r="AY49" s="1169">
        <f t="shared" si="31"/>
        <v>37165</v>
      </c>
      <c r="AZ49" s="317"/>
      <c r="BA49" s="519"/>
      <c r="BB49" s="1298">
        <v>1</v>
      </c>
    </row>
    <row r="50" spans="1:54" s="303" customFormat="1">
      <c r="A50" s="1431" t="s">
        <v>1544</v>
      </c>
      <c r="B50" s="318"/>
      <c r="C50" s="318"/>
      <c r="D50" s="318"/>
      <c r="E50" s="1170">
        <f t="shared" ref="E50:AY50" si="32">E$6</f>
        <v>1</v>
      </c>
      <c r="F50" s="1170">
        <f t="shared" si="32"/>
        <v>2</v>
      </c>
      <c r="G50" s="1170">
        <f t="shared" si="32"/>
        <v>3</v>
      </c>
      <c r="H50" s="1170">
        <f t="shared" si="32"/>
        <v>4</v>
      </c>
      <c r="I50" s="1170">
        <f t="shared" si="32"/>
        <v>5</v>
      </c>
      <c r="J50" s="1170">
        <f t="shared" si="32"/>
        <v>6</v>
      </c>
      <c r="K50" s="1170">
        <f t="shared" si="32"/>
        <v>7</v>
      </c>
      <c r="L50" s="1170">
        <f t="shared" si="32"/>
        <v>8</v>
      </c>
      <c r="M50" s="1170">
        <f t="shared" si="32"/>
        <v>9</v>
      </c>
      <c r="N50" s="1170">
        <f t="shared" si="32"/>
        <v>10</v>
      </c>
      <c r="O50" s="1170">
        <f t="shared" si="32"/>
        <v>11</v>
      </c>
      <c r="P50" s="1170">
        <f t="shared" si="32"/>
        <v>12</v>
      </c>
      <c r="Q50" s="1170">
        <f t="shared" si="32"/>
        <v>13</v>
      </c>
      <c r="R50" s="1170">
        <f t="shared" si="32"/>
        <v>14</v>
      </c>
      <c r="S50" s="1170">
        <f t="shared" si="32"/>
        <v>15</v>
      </c>
      <c r="T50" s="1170">
        <f t="shared" si="32"/>
        <v>16</v>
      </c>
      <c r="U50" s="1170">
        <f t="shared" si="32"/>
        <v>17</v>
      </c>
      <c r="V50" s="1170">
        <f t="shared" si="32"/>
        <v>18</v>
      </c>
      <c r="W50" s="1170">
        <f t="shared" si="32"/>
        <v>19</v>
      </c>
      <c r="X50" s="1170">
        <f t="shared" si="32"/>
        <v>20</v>
      </c>
      <c r="Y50" s="1170">
        <f t="shared" si="32"/>
        <v>21</v>
      </c>
      <c r="Z50" s="1170">
        <f t="shared" si="32"/>
        <v>22</v>
      </c>
      <c r="AA50" s="1170">
        <f t="shared" si="32"/>
        <v>23</v>
      </c>
      <c r="AB50" s="1170">
        <f t="shared" si="32"/>
        <v>24</v>
      </c>
      <c r="AC50" s="1170">
        <f t="shared" si="32"/>
        <v>25</v>
      </c>
      <c r="AD50" s="1170">
        <f t="shared" si="32"/>
        <v>26</v>
      </c>
      <c r="AE50" s="1170">
        <f t="shared" si="32"/>
        <v>27</v>
      </c>
      <c r="AF50" s="1170">
        <f t="shared" si="32"/>
        <v>28</v>
      </c>
      <c r="AG50" s="1170">
        <f t="shared" si="32"/>
        <v>29</v>
      </c>
      <c r="AH50" s="1170">
        <f t="shared" si="32"/>
        <v>30</v>
      </c>
      <c r="AI50" s="1170">
        <f t="shared" si="32"/>
        <v>31</v>
      </c>
      <c r="AJ50" s="1170">
        <f t="shared" si="32"/>
        <v>32</v>
      </c>
      <c r="AK50" s="1170">
        <f t="shared" si="32"/>
        <v>33</v>
      </c>
      <c r="AL50" s="1170">
        <f t="shared" si="32"/>
        <v>34</v>
      </c>
      <c r="AM50" s="1170">
        <f t="shared" si="32"/>
        <v>35</v>
      </c>
      <c r="AN50" s="1170">
        <f t="shared" si="32"/>
        <v>36</v>
      </c>
      <c r="AO50" s="1170">
        <f t="shared" si="32"/>
        <v>37</v>
      </c>
      <c r="AP50" s="1170">
        <f t="shared" si="32"/>
        <v>38</v>
      </c>
      <c r="AQ50" s="1170">
        <f t="shared" si="32"/>
        <v>39</v>
      </c>
      <c r="AR50" s="1170">
        <f t="shared" si="32"/>
        <v>40</v>
      </c>
      <c r="AS50" s="1170">
        <f t="shared" si="32"/>
        <v>41</v>
      </c>
      <c r="AT50" s="1170">
        <f t="shared" si="32"/>
        <v>42</v>
      </c>
      <c r="AU50" s="1170">
        <f t="shared" si="32"/>
        <v>43</v>
      </c>
      <c r="AV50" s="1170">
        <f t="shared" si="32"/>
        <v>44</v>
      </c>
      <c r="AW50" s="1170">
        <f t="shared" si="32"/>
        <v>45</v>
      </c>
      <c r="AX50" s="1170">
        <f t="shared" si="32"/>
        <v>46</v>
      </c>
      <c r="AY50" s="1170">
        <f t="shared" si="32"/>
        <v>47</v>
      </c>
      <c r="AZ50" s="318"/>
      <c r="BA50" s="520"/>
      <c r="BB50" s="909">
        <f t="shared" ref="BB50:BB55" si="33">BB49+1</f>
        <v>2</v>
      </c>
    </row>
    <row r="51" spans="1:54" s="303" customFormat="1">
      <c r="A51" s="511"/>
      <c r="B51" s="318" t="s">
        <v>1342</v>
      </c>
      <c r="C51" s="318"/>
      <c r="D51" s="318"/>
      <c r="E51" s="1371">
        <v>17597.057994999996</v>
      </c>
      <c r="F51" s="1372">
        <v>1397.8552036613273</v>
      </c>
      <c r="G51" s="1372">
        <v>2273.3633226544607</v>
      </c>
      <c r="H51" s="1372">
        <v>9273.5192212389375</v>
      </c>
      <c r="I51" s="1372">
        <v>18485.536735505924</v>
      </c>
      <c r="J51" s="1372">
        <v>14354.112989053649</v>
      </c>
      <c r="K51" s="1372">
        <v>4275.9969933059592</v>
      </c>
      <c r="L51" s="1372">
        <v>3607.0608979190979</v>
      </c>
      <c r="M51" s="1372">
        <v>4841.5171438462303</v>
      </c>
      <c r="N51" s="1372">
        <v>23049.646501340554</v>
      </c>
      <c r="O51" s="1372">
        <v>6063.75272426625</v>
      </c>
      <c r="P51" s="1372">
        <v>2696.0378900985729</v>
      </c>
      <c r="Q51" s="1372">
        <v>15198.530186508269</v>
      </c>
      <c r="R51" s="1372">
        <v>2695.4191365322272</v>
      </c>
      <c r="S51" s="1372">
        <v>6046.6083291547548</v>
      </c>
      <c r="T51" s="1372">
        <v>6041.0982613614478</v>
      </c>
      <c r="U51" s="1372">
        <v>21394.260121886393</v>
      </c>
      <c r="V51" s="1372">
        <v>2653.5465510754261</v>
      </c>
      <c r="W51" s="1372">
        <v>2719.8949566116717</v>
      </c>
      <c r="X51" s="1372">
        <v>2714.0941769433875</v>
      </c>
      <c r="Y51" s="1372">
        <v>2317.5148769219509</v>
      </c>
      <c r="Z51" s="1372">
        <v>21060.844107100798</v>
      </c>
      <c r="AA51" s="1372">
        <v>1759.5945269183844</v>
      </c>
      <c r="AB51" s="1372">
        <v>14240.739885008703</v>
      </c>
      <c r="AC51" s="1372">
        <v>1477.4692936796682</v>
      </c>
      <c r="AD51" s="1372">
        <v>1487.9203024052833</v>
      </c>
      <c r="AE51" s="1372">
        <v>13400.854035372115</v>
      </c>
      <c r="AF51" s="1372">
        <v>14004.443973113332</v>
      </c>
      <c r="AG51" s="1372">
        <v>1338.0922710101529</v>
      </c>
      <c r="AH51" s="1372">
        <v>0</v>
      </c>
      <c r="AI51" s="1372">
        <v>0</v>
      </c>
      <c r="AJ51" s="1372">
        <v>0</v>
      </c>
      <c r="AK51" s="1372">
        <v>0</v>
      </c>
      <c r="AL51" s="1372">
        <v>0</v>
      </c>
      <c r="AM51" s="1372">
        <v>0</v>
      </c>
      <c r="AN51" s="1373">
        <v>0</v>
      </c>
      <c r="AO51" s="1373">
        <v>0</v>
      </c>
      <c r="AP51" s="1373">
        <v>0</v>
      </c>
      <c r="AQ51" s="1373">
        <v>0</v>
      </c>
      <c r="AR51" s="1373">
        <v>0</v>
      </c>
      <c r="AS51" s="1373">
        <v>0</v>
      </c>
      <c r="AT51" s="1373">
        <v>0</v>
      </c>
      <c r="AU51" s="1373">
        <v>0</v>
      </c>
      <c r="AV51" s="1373">
        <v>0</v>
      </c>
      <c r="AW51" s="1373">
        <v>0</v>
      </c>
      <c r="AX51" s="1373">
        <v>0</v>
      </c>
      <c r="AY51" s="1373">
        <v>0</v>
      </c>
      <c r="AZ51" s="318"/>
      <c r="BA51" s="841">
        <f>SUM(E51:AY51)</f>
        <v>238466.3826094949</v>
      </c>
      <c r="BB51" s="909">
        <f t="shared" si="33"/>
        <v>3</v>
      </c>
    </row>
    <row r="52" spans="1:54" s="303" customFormat="1">
      <c r="A52" s="511"/>
      <c r="B52" s="318" t="s">
        <v>1343</v>
      </c>
      <c r="C52" s="318"/>
      <c r="D52" s="318"/>
      <c r="E52" s="840">
        <f>SUM($E51:E51)</f>
        <v>17597.057994999996</v>
      </c>
      <c r="F52" s="840">
        <f>SUM($E51:F51)</f>
        <v>18994.913198661321</v>
      </c>
      <c r="G52" s="840">
        <f>SUM($E51:G51)</f>
        <v>21268.276521315784</v>
      </c>
      <c r="H52" s="840">
        <f>SUM($E51:H51)</f>
        <v>30541.795742554721</v>
      </c>
      <c r="I52" s="840">
        <f>SUM($E51:I51)</f>
        <v>49027.332478060649</v>
      </c>
      <c r="J52" s="840">
        <f>SUM($E51:J51)</f>
        <v>63381.445467114296</v>
      </c>
      <c r="K52" s="840">
        <f>SUM($E51:K51)</f>
        <v>67657.44246042025</v>
      </c>
      <c r="L52" s="840">
        <f>SUM($E51:L51)</f>
        <v>71264.503358339352</v>
      </c>
      <c r="M52" s="840">
        <f>SUM($E51:M51)</f>
        <v>76106.02050218558</v>
      </c>
      <c r="N52" s="840">
        <f>SUM($E51:N51)</f>
        <v>99155.667003526134</v>
      </c>
      <c r="O52" s="840">
        <f>SUM($E51:O51)</f>
        <v>105219.41972779238</v>
      </c>
      <c r="P52" s="840">
        <f>SUM($E51:P51)</f>
        <v>107915.45761789095</v>
      </c>
      <c r="Q52" s="840">
        <f>SUM($E51:Q51)</f>
        <v>123113.98780439922</v>
      </c>
      <c r="R52" s="840">
        <f>SUM($E51:R51)</f>
        <v>125809.40694093145</v>
      </c>
      <c r="S52" s="840">
        <f>SUM($E51:S51)</f>
        <v>131856.01527008621</v>
      </c>
      <c r="T52" s="840">
        <f>SUM($E51:T51)</f>
        <v>137897.11353144766</v>
      </c>
      <c r="U52" s="840">
        <f>SUM($E51:U51)</f>
        <v>159291.37365333404</v>
      </c>
      <c r="V52" s="840">
        <f>SUM($E51:V51)</f>
        <v>161944.92020440946</v>
      </c>
      <c r="W52" s="840">
        <f>SUM($E51:W51)</f>
        <v>164664.81516102114</v>
      </c>
      <c r="X52" s="840">
        <f>SUM($E51:X51)</f>
        <v>167378.90933796452</v>
      </c>
      <c r="Y52" s="840">
        <f>SUM($E51:Y51)</f>
        <v>169696.42421488647</v>
      </c>
      <c r="Z52" s="840">
        <f>SUM($E51:Z51)</f>
        <v>190757.26832198727</v>
      </c>
      <c r="AA52" s="840">
        <f>SUM($E51:AA51)</f>
        <v>192516.86284890564</v>
      </c>
      <c r="AB52" s="840">
        <f>SUM($E51:AB51)</f>
        <v>206757.60273391433</v>
      </c>
      <c r="AC52" s="840">
        <f>SUM($E51:AC51)</f>
        <v>208235.072027594</v>
      </c>
      <c r="AD52" s="840">
        <f>SUM($E51:AD51)</f>
        <v>209722.99232999928</v>
      </c>
      <c r="AE52" s="840">
        <f>SUM($E51:AE51)</f>
        <v>223123.8463653714</v>
      </c>
      <c r="AF52" s="840">
        <f>SUM($E51:AF51)</f>
        <v>237128.29033848475</v>
      </c>
      <c r="AG52" s="840">
        <f>SUM($E51:AG51)</f>
        <v>238466.3826094949</v>
      </c>
      <c r="AH52" s="840">
        <f>SUM($E51:AH51)</f>
        <v>238466.3826094949</v>
      </c>
      <c r="AI52" s="840">
        <f>SUM($E51:AI51)</f>
        <v>238466.3826094949</v>
      </c>
      <c r="AJ52" s="840">
        <f>SUM($E51:AJ51)</f>
        <v>238466.3826094949</v>
      </c>
      <c r="AK52" s="840">
        <f>SUM($E51:AK51)</f>
        <v>238466.3826094949</v>
      </c>
      <c r="AL52" s="840">
        <f>SUM($E51:AL51)</f>
        <v>238466.3826094949</v>
      </c>
      <c r="AM52" s="840">
        <f>SUM($E51:AM51)</f>
        <v>238466.3826094949</v>
      </c>
      <c r="AN52" s="840">
        <f>SUM($E51:AN51)</f>
        <v>238466.3826094949</v>
      </c>
      <c r="AO52" s="840">
        <f>SUM($E51:AO51)</f>
        <v>238466.3826094949</v>
      </c>
      <c r="AP52" s="840">
        <f>SUM($E51:AP51)</f>
        <v>238466.3826094949</v>
      </c>
      <c r="AQ52" s="840">
        <f>SUM($E51:AQ51)</f>
        <v>238466.3826094949</v>
      </c>
      <c r="AR52" s="840">
        <f>SUM($E51:AR51)</f>
        <v>238466.3826094949</v>
      </c>
      <c r="AS52" s="840">
        <f>SUM($E51:AS51)</f>
        <v>238466.3826094949</v>
      </c>
      <c r="AT52" s="840">
        <f>SUM($E51:AT51)</f>
        <v>238466.3826094949</v>
      </c>
      <c r="AU52" s="840">
        <f>SUM($E51:AU51)</f>
        <v>238466.3826094949</v>
      </c>
      <c r="AV52" s="840">
        <f>SUM($E51:AV51)</f>
        <v>238466.3826094949</v>
      </c>
      <c r="AW52" s="840">
        <f>SUM($E51:AW51)</f>
        <v>238466.3826094949</v>
      </c>
      <c r="AX52" s="840">
        <f>SUM($E51:AX51)</f>
        <v>238466.3826094949</v>
      </c>
      <c r="AY52" s="840">
        <f>SUM($E51:AY51)</f>
        <v>238466.3826094949</v>
      </c>
      <c r="AZ52" s="318"/>
      <c r="BA52" s="520"/>
      <c r="BB52" s="909">
        <f t="shared" si="33"/>
        <v>4</v>
      </c>
    </row>
    <row r="53" spans="1:54" s="303" customFormat="1">
      <c r="A53" s="511"/>
      <c r="B53" s="318"/>
      <c r="C53" s="318"/>
      <c r="D53" s="318"/>
      <c r="E53" s="318"/>
      <c r="F53" s="318"/>
      <c r="G53" s="318"/>
      <c r="H53" s="318"/>
      <c r="I53" s="318"/>
      <c r="J53" s="318"/>
      <c r="K53" s="318"/>
      <c r="L53" s="318"/>
      <c r="M53" s="318"/>
      <c r="N53" s="318"/>
      <c r="O53" s="318"/>
      <c r="P53" s="318"/>
      <c r="Q53" s="318"/>
      <c r="R53" s="318"/>
      <c r="S53" s="318"/>
      <c r="T53" s="318"/>
      <c r="U53" s="318"/>
      <c r="V53" s="318"/>
      <c r="W53" s="318"/>
      <c r="X53" s="318"/>
      <c r="Y53" s="318"/>
      <c r="Z53" s="318"/>
      <c r="AA53" s="318"/>
      <c r="AB53" s="318"/>
      <c r="AC53" s="318"/>
      <c r="AD53" s="318"/>
      <c r="AE53" s="318"/>
      <c r="AF53" s="318"/>
      <c r="AG53" s="318"/>
      <c r="AH53" s="318"/>
      <c r="AI53" s="318"/>
      <c r="AJ53" s="318"/>
      <c r="AK53" s="318"/>
      <c r="AL53" s="318"/>
      <c r="AM53" s="318"/>
      <c r="AN53" s="318"/>
      <c r="AO53" s="318"/>
      <c r="AP53" s="318"/>
      <c r="AQ53" s="318"/>
      <c r="AR53" s="318"/>
      <c r="AS53" s="318"/>
      <c r="AT53" s="318"/>
      <c r="AU53" s="318"/>
      <c r="AV53" s="318"/>
      <c r="AW53" s="318"/>
      <c r="AX53" s="318"/>
      <c r="AY53" s="318"/>
      <c r="AZ53" s="318"/>
      <c r="BA53" s="520"/>
      <c r="BB53" s="909">
        <f t="shared" si="33"/>
        <v>5</v>
      </c>
    </row>
    <row r="54" spans="1:54" s="303" customFormat="1">
      <c r="A54" s="511"/>
      <c r="B54" s="318" t="s">
        <v>234</v>
      </c>
      <c r="C54" s="318"/>
      <c r="D54" s="318"/>
      <c r="E54" s="319">
        <f t="shared" ref="E54:AN54" si="34">E51/$BA$51</f>
        <v>7.3792615136936884E-2</v>
      </c>
      <c r="F54" s="319">
        <f t="shared" si="34"/>
        <v>5.861854356009632E-3</v>
      </c>
      <c r="G54" s="319">
        <f t="shared" si="34"/>
        <v>9.5332654346388501E-3</v>
      </c>
      <c r="H54" s="319">
        <f t="shared" si="34"/>
        <v>3.8888161592256644E-2</v>
      </c>
      <c r="I54" s="319">
        <f t="shared" si="34"/>
        <v>7.7518418039566023E-2</v>
      </c>
      <c r="J54" s="319">
        <f t="shared" si="34"/>
        <v>6.0193444593653667E-2</v>
      </c>
      <c r="K54" s="319">
        <f t="shared" si="34"/>
        <v>1.7931236036352338E-2</v>
      </c>
      <c r="L54" s="319">
        <f t="shared" si="34"/>
        <v>1.5126077136943483E-2</v>
      </c>
      <c r="M54" s="319">
        <f t="shared" si="34"/>
        <v>2.030272397671477E-2</v>
      </c>
      <c r="N54" s="319">
        <f t="shared" si="34"/>
        <v>9.6657844385076006E-2</v>
      </c>
      <c r="O54" s="319">
        <f t="shared" si="34"/>
        <v>2.5428123905397861E-2</v>
      </c>
      <c r="P54" s="319">
        <f t="shared" si="34"/>
        <v>1.130573567895111E-2</v>
      </c>
      <c r="Q54" s="319">
        <f t="shared" si="34"/>
        <v>6.373447703694532E-2</v>
      </c>
      <c r="R54" s="319">
        <f t="shared" si="34"/>
        <v>1.1303140958640536E-2</v>
      </c>
      <c r="S54" s="319">
        <f t="shared" si="34"/>
        <v>2.5356229515405077E-2</v>
      </c>
      <c r="T54" s="319">
        <f t="shared" si="34"/>
        <v>2.5333123248882261E-2</v>
      </c>
      <c r="U54" s="319">
        <f t="shared" si="34"/>
        <v>8.9716042520429237E-2</v>
      </c>
      <c r="V54" s="319">
        <f t="shared" si="34"/>
        <v>1.1127549812422789E-2</v>
      </c>
      <c r="W54" s="319">
        <f t="shared" si="34"/>
        <v>1.1405779409442741E-2</v>
      </c>
      <c r="X54" s="319">
        <f t="shared" si="34"/>
        <v>1.1381454053370295E-2</v>
      </c>
      <c r="Y54" s="319">
        <f t="shared" si="34"/>
        <v>9.7184133526990301E-3</v>
      </c>
      <c r="Z54" s="319">
        <f t="shared" si="34"/>
        <v>8.8317874732009416E-2</v>
      </c>
      <c r="AA54" s="319">
        <f t="shared" si="34"/>
        <v>7.3787948962174745E-3</v>
      </c>
      <c r="AB54" s="319">
        <f t="shared" si="34"/>
        <v>5.9718018653928645E-2</v>
      </c>
      <c r="AC54" s="319">
        <f t="shared" si="34"/>
        <v>6.1957131127330671E-3</v>
      </c>
      <c r="AD54" s="319">
        <f t="shared" si="34"/>
        <v>6.2395390332307555E-3</v>
      </c>
      <c r="AE54" s="319">
        <f t="shared" si="34"/>
        <v>5.6195988250960026E-2</v>
      </c>
      <c r="AF54" s="319">
        <f t="shared" si="34"/>
        <v>5.8727120442995821E-2</v>
      </c>
      <c r="AG54" s="319">
        <f t="shared" si="34"/>
        <v>5.6112406971903081E-3</v>
      </c>
      <c r="AH54" s="319">
        <f t="shared" si="34"/>
        <v>0</v>
      </c>
      <c r="AI54" s="319">
        <f t="shared" si="34"/>
        <v>0</v>
      </c>
      <c r="AJ54" s="319">
        <f t="shared" si="34"/>
        <v>0</v>
      </c>
      <c r="AK54" s="319">
        <f t="shared" si="34"/>
        <v>0</v>
      </c>
      <c r="AL54" s="319">
        <f t="shared" si="34"/>
        <v>0</v>
      </c>
      <c r="AM54" s="319">
        <f t="shared" si="34"/>
        <v>0</v>
      </c>
      <c r="AN54" s="319">
        <f t="shared" si="34"/>
        <v>0</v>
      </c>
      <c r="AO54" s="319">
        <f>AO51/$BA$51</f>
        <v>0</v>
      </c>
      <c r="AP54" s="319">
        <f>AP51/$BA$51</f>
        <v>0</v>
      </c>
      <c r="AQ54" s="319">
        <f>AQ51/$BA$51</f>
        <v>0</v>
      </c>
      <c r="AR54" s="319">
        <f>AR51/$BA$51</f>
        <v>0</v>
      </c>
      <c r="AS54" s="319">
        <f t="shared" ref="AS54:AY54" si="35">AS51/$BA$51</f>
        <v>0</v>
      </c>
      <c r="AT54" s="319">
        <f t="shared" si="35"/>
        <v>0</v>
      </c>
      <c r="AU54" s="319">
        <f t="shared" si="35"/>
        <v>0</v>
      </c>
      <c r="AV54" s="319">
        <f t="shared" si="35"/>
        <v>0</v>
      </c>
      <c r="AW54" s="319">
        <f t="shared" si="35"/>
        <v>0</v>
      </c>
      <c r="AX54" s="319">
        <f t="shared" si="35"/>
        <v>0</v>
      </c>
      <c r="AY54" s="319">
        <f t="shared" si="35"/>
        <v>0</v>
      </c>
      <c r="AZ54" s="318"/>
      <c r="BA54" s="521">
        <f>SUM(E54:AY54)</f>
        <v>1</v>
      </c>
      <c r="BB54" s="909">
        <f t="shared" si="33"/>
        <v>6</v>
      </c>
    </row>
    <row r="55" spans="1:54" s="303" customFormat="1">
      <c r="A55" s="511"/>
      <c r="B55" s="318" t="s">
        <v>235</v>
      </c>
      <c r="C55" s="318"/>
      <c r="D55" s="318"/>
      <c r="E55" s="319">
        <f>SUM($E54:E54)</f>
        <v>7.3792615136936884E-2</v>
      </c>
      <c r="F55" s="319">
        <f>SUM($E54:F54)</f>
        <v>7.9654469492946522E-2</v>
      </c>
      <c r="G55" s="319">
        <f>SUM($E54:G54)</f>
        <v>8.9187734927585374E-2</v>
      </c>
      <c r="H55" s="319">
        <f>SUM($E54:H54)</f>
        <v>0.12807589651984203</v>
      </c>
      <c r="I55" s="319">
        <f>SUM($E54:I54)</f>
        <v>0.20559431455940805</v>
      </c>
      <c r="J55" s="319">
        <f>SUM($E54:J54)</f>
        <v>0.26578775915306174</v>
      </c>
      <c r="K55" s="319">
        <f>SUM($E54:K54)</f>
        <v>0.28371899518941407</v>
      </c>
      <c r="L55" s="319">
        <f>SUM($E54:L54)</f>
        <v>0.29884507232635754</v>
      </c>
      <c r="M55" s="319">
        <f>SUM($E54:M54)</f>
        <v>0.31914779630307233</v>
      </c>
      <c r="N55" s="319">
        <f>SUM($E54:N54)</f>
        <v>0.41580564068814835</v>
      </c>
      <c r="O55" s="319">
        <f>SUM($E54:O54)</f>
        <v>0.44123376459354618</v>
      </c>
      <c r="P55" s="319">
        <f>SUM($E54:P54)</f>
        <v>0.45253950027249729</v>
      </c>
      <c r="Q55" s="319">
        <f>SUM($E54:Q54)</f>
        <v>0.51627397730944258</v>
      </c>
      <c r="R55" s="319">
        <f>SUM($E54:R54)</f>
        <v>0.52757711826808307</v>
      </c>
      <c r="S55" s="319">
        <f>SUM($E54:S54)</f>
        <v>0.55293334778348813</v>
      </c>
      <c r="T55" s="319">
        <f>SUM($E54:T54)</f>
        <v>0.57826647103237039</v>
      </c>
      <c r="U55" s="319">
        <f>SUM($E54:U54)</f>
        <v>0.66798251355279958</v>
      </c>
      <c r="V55" s="319">
        <f>SUM($E54:V54)</f>
        <v>0.67911006336522239</v>
      </c>
      <c r="W55" s="319">
        <f>SUM($E54:W54)</f>
        <v>0.69051584277466516</v>
      </c>
      <c r="X55" s="319">
        <f>SUM($E54:X54)</f>
        <v>0.70189729682803548</v>
      </c>
      <c r="Y55" s="319">
        <f>SUM($E54:Y54)</f>
        <v>0.71161571018073455</v>
      </c>
      <c r="Z55" s="319">
        <f>SUM($E54:Z54)</f>
        <v>0.79993358491274402</v>
      </c>
      <c r="AA55" s="319">
        <f>SUM($E54:AA54)</f>
        <v>0.80731237980896153</v>
      </c>
      <c r="AB55" s="319">
        <f>SUM($E54:AB54)</f>
        <v>0.86703039846289021</v>
      </c>
      <c r="AC55" s="319">
        <f>SUM($E54:AC54)</f>
        <v>0.87322611157562324</v>
      </c>
      <c r="AD55" s="319">
        <f>SUM($E54:AD54)</f>
        <v>0.87946565060885395</v>
      </c>
      <c r="AE55" s="319">
        <f>SUM($E54:AE54)</f>
        <v>0.93566163885981402</v>
      </c>
      <c r="AF55" s="319">
        <f>SUM($E54:AF54)</f>
        <v>0.99438875930280979</v>
      </c>
      <c r="AG55" s="319">
        <f>SUM($E54:AG54)</f>
        <v>1</v>
      </c>
      <c r="AH55" s="319">
        <f>SUM($E54:AH54)</f>
        <v>1</v>
      </c>
      <c r="AI55" s="319">
        <f>SUM($E54:AI54)</f>
        <v>1</v>
      </c>
      <c r="AJ55" s="319">
        <f>SUM($E54:AJ54)</f>
        <v>1</v>
      </c>
      <c r="AK55" s="319">
        <f>SUM($E54:AK54)</f>
        <v>1</v>
      </c>
      <c r="AL55" s="319">
        <f>SUM($E54:AL54)</f>
        <v>1</v>
      </c>
      <c r="AM55" s="319">
        <f>SUM($E54:AM54)</f>
        <v>1</v>
      </c>
      <c r="AN55" s="319">
        <f>SUM($E54:AN54)</f>
        <v>1</v>
      </c>
      <c r="AO55" s="319">
        <f>SUM($E54:AO54)</f>
        <v>1</v>
      </c>
      <c r="AP55" s="319">
        <f>SUM($E54:AP54)</f>
        <v>1</v>
      </c>
      <c r="AQ55" s="319">
        <f>SUM($E54:AQ54)</f>
        <v>1</v>
      </c>
      <c r="AR55" s="319">
        <f>SUM($E54:AR54)</f>
        <v>1</v>
      </c>
      <c r="AS55" s="319">
        <f>SUM($E54:AS54)</f>
        <v>1</v>
      </c>
      <c r="AT55" s="319">
        <f>SUM($E54:AT54)</f>
        <v>1</v>
      </c>
      <c r="AU55" s="319">
        <f>SUM($E54:AU54)</f>
        <v>1</v>
      </c>
      <c r="AV55" s="319">
        <f>SUM($E54:AV54)</f>
        <v>1</v>
      </c>
      <c r="AW55" s="319">
        <f>SUM($E54:AW54)</f>
        <v>1</v>
      </c>
      <c r="AX55" s="319">
        <f>SUM($E54:AX54)</f>
        <v>1</v>
      </c>
      <c r="AY55" s="319">
        <f>SUM($E54:AY54)</f>
        <v>1</v>
      </c>
      <c r="AZ55" s="318"/>
      <c r="BA55" s="521"/>
      <c r="BB55" s="909">
        <f t="shared" si="33"/>
        <v>7</v>
      </c>
    </row>
    <row r="56" spans="1:54" s="303" customFormat="1">
      <c r="A56" s="523"/>
      <c r="B56" s="524"/>
      <c r="C56" s="524"/>
      <c r="D56" s="524"/>
      <c r="E56" s="524"/>
      <c r="F56" s="524"/>
      <c r="G56" s="524"/>
      <c r="H56" s="524"/>
      <c r="I56" s="524"/>
      <c r="J56" s="524"/>
      <c r="K56" s="524"/>
      <c r="L56" s="524"/>
      <c r="M56" s="524"/>
      <c r="N56" s="524"/>
      <c r="O56" s="524"/>
      <c r="P56" s="524"/>
      <c r="Q56" s="524"/>
      <c r="R56" s="524"/>
      <c r="S56" s="524"/>
      <c r="T56" s="524"/>
      <c r="U56" s="524"/>
      <c r="V56" s="524"/>
      <c r="W56" s="524"/>
      <c r="X56" s="524"/>
      <c r="Y56" s="524"/>
      <c r="Z56" s="524"/>
      <c r="AA56" s="524"/>
      <c r="AB56" s="524"/>
      <c r="AC56" s="524"/>
      <c r="AD56" s="524"/>
      <c r="AE56" s="524"/>
      <c r="AF56" s="524"/>
      <c r="AG56" s="524"/>
      <c r="AH56" s="524"/>
      <c r="AI56" s="524"/>
      <c r="AJ56" s="524"/>
      <c r="AK56" s="524"/>
      <c r="AL56" s="524"/>
      <c r="AM56" s="524"/>
      <c r="AN56" s="524"/>
      <c r="AO56" s="524"/>
      <c r="AP56" s="524"/>
      <c r="AQ56" s="524"/>
      <c r="AR56" s="524"/>
      <c r="AS56" s="524"/>
      <c r="AT56" s="524"/>
      <c r="AU56" s="524"/>
      <c r="AV56" s="524"/>
      <c r="AW56" s="524"/>
      <c r="AX56" s="524"/>
      <c r="AY56" s="524"/>
      <c r="AZ56" s="524"/>
      <c r="BA56" s="842"/>
    </row>
    <row r="57" spans="1:54" ht="13.5" thickBot="1">
      <c r="A57" s="512"/>
      <c r="B57" s="513"/>
      <c r="C57" s="513"/>
      <c r="D57" s="513"/>
      <c r="E57" s="513"/>
      <c r="F57" s="513"/>
      <c r="G57" s="513"/>
      <c r="H57" s="513"/>
      <c r="I57" s="513"/>
      <c r="J57" s="513"/>
      <c r="K57" s="513"/>
      <c r="L57" s="513"/>
      <c r="M57" s="513"/>
      <c r="N57" s="513"/>
      <c r="O57" s="513"/>
      <c r="P57" s="513"/>
      <c r="Q57" s="513"/>
      <c r="R57" s="513"/>
      <c r="S57" s="513"/>
      <c r="T57" s="513"/>
      <c r="U57" s="513"/>
      <c r="V57" s="513"/>
      <c r="W57" s="513"/>
      <c r="X57" s="513"/>
      <c r="Y57" s="513"/>
      <c r="Z57" s="513"/>
      <c r="AA57" s="513"/>
      <c r="AB57" s="513"/>
      <c r="AC57" s="513"/>
      <c r="AD57" s="513"/>
      <c r="AE57" s="513"/>
      <c r="AF57" s="513"/>
      <c r="AG57" s="513"/>
      <c r="AH57" s="513"/>
      <c r="AI57" s="513"/>
      <c r="AJ57" s="513"/>
      <c r="AK57" s="513"/>
      <c r="AL57" s="513"/>
      <c r="AM57" s="513"/>
      <c r="AN57" s="513"/>
      <c r="AO57" s="513"/>
      <c r="AP57" s="513"/>
      <c r="AQ57" s="513"/>
      <c r="AR57" s="513"/>
      <c r="AS57" s="513"/>
      <c r="AT57" s="513"/>
      <c r="AU57" s="513"/>
      <c r="AV57" s="513"/>
      <c r="AW57" s="513"/>
      <c r="AX57" s="513"/>
      <c r="AY57" s="513"/>
      <c r="AZ57" s="513"/>
      <c r="BA57" s="522"/>
    </row>
    <row r="59" spans="1:54" ht="13.5" thickBot="1"/>
    <row r="60" spans="1:54">
      <c r="A60" s="1432"/>
      <c r="B60" s="1433"/>
      <c r="C60" s="1433"/>
      <c r="D60" s="1433"/>
      <c r="E60" s="1433"/>
      <c r="F60" s="1433"/>
      <c r="G60" s="1433"/>
      <c r="H60" s="1433"/>
      <c r="I60" s="1433"/>
      <c r="J60" s="1433"/>
      <c r="K60" s="1433"/>
      <c r="L60" s="1433"/>
      <c r="M60" s="1433"/>
      <c r="N60" s="1433"/>
      <c r="O60" s="1433"/>
      <c r="P60" s="1433"/>
      <c r="Q60" s="1433"/>
      <c r="R60" s="1433"/>
      <c r="S60" s="1433"/>
      <c r="T60" s="1433"/>
      <c r="U60" s="1433"/>
      <c r="V60" s="1433"/>
      <c r="W60" s="1433"/>
      <c r="X60" s="1433"/>
      <c r="Y60" s="1433"/>
      <c r="Z60" s="1433"/>
      <c r="AA60" s="1433"/>
      <c r="AB60" s="1433"/>
      <c r="AC60" s="1433"/>
      <c r="AD60" s="1433"/>
      <c r="AE60" s="1433"/>
      <c r="AF60" s="1433"/>
      <c r="AG60" s="1433"/>
      <c r="AH60" s="1433"/>
      <c r="AI60" s="1433"/>
      <c r="AJ60" s="1433"/>
      <c r="AK60" s="1433"/>
      <c r="AL60" s="1433"/>
      <c r="AM60" s="1433"/>
      <c r="AN60" s="1433"/>
      <c r="AO60" s="1433"/>
      <c r="AP60" s="1433"/>
      <c r="AQ60" s="1433"/>
      <c r="AR60" s="1433"/>
      <c r="AS60" s="1433"/>
      <c r="AT60" s="1433"/>
      <c r="AU60" s="1433"/>
      <c r="AV60" s="1433"/>
      <c r="AW60" s="1433"/>
      <c r="AX60" s="1433"/>
      <c r="AY60" s="1433"/>
      <c r="AZ60" s="1433"/>
      <c r="BA60" s="1434" t="s">
        <v>426</v>
      </c>
    </row>
    <row r="61" spans="1:54" ht="18">
      <c r="A61" s="1435" t="s">
        <v>1959</v>
      </c>
      <c r="B61" s="1436"/>
      <c r="C61" s="1436"/>
      <c r="D61" s="1436"/>
      <c r="E61" s="1437">
        <f>E7</f>
        <v>35765</v>
      </c>
      <c r="F61" s="1437">
        <f t="shared" ref="F61:AB61" si="36">F7</f>
        <v>35796</v>
      </c>
      <c r="G61" s="1437">
        <f t="shared" si="36"/>
        <v>35827</v>
      </c>
      <c r="H61" s="1437">
        <f t="shared" si="36"/>
        <v>35855</v>
      </c>
      <c r="I61" s="1437">
        <f t="shared" si="36"/>
        <v>35886</v>
      </c>
      <c r="J61" s="1437">
        <f t="shared" si="36"/>
        <v>35916</v>
      </c>
      <c r="K61" s="1437">
        <f t="shared" si="36"/>
        <v>35947</v>
      </c>
      <c r="L61" s="1437">
        <f t="shared" si="36"/>
        <v>35977</v>
      </c>
      <c r="M61" s="1437">
        <f t="shared" si="36"/>
        <v>36008</v>
      </c>
      <c r="N61" s="1437">
        <f t="shared" si="36"/>
        <v>36039</v>
      </c>
      <c r="O61" s="1437">
        <f t="shared" si="36"/>
        <v>36069</v>
      </c>
      <c r="P61" s="1437">
        <f t="shared" si="36"/>
        <v>36100</v>
      </c>
      <c r="Q61" s="1437">
        <f t="shared" si="36"/>
        <v>36130</v>
      </c>
      <c r="R61" s="1437">
        <f t="shared" si="36"/>
        <v>36161</v>
      </c>
      <c r="S61" s="1437">
        <f t="shared" si="36"/>
        <v>36192</v>
      </c>
      <c r="T61" s="1437">
        <f t="shared" si="36"/>
        <v>36220</v>
      </c>
      <c r="U61" s="1437">
        <f t="shared" si="36"/>
        <v>36251</v>
      </c>
      <c r="V61" s="1437">
        <f t="shared" si="36"/>
        <v>36281</v>
      </c>
      <c r="W61" s="1437">
        <f t="shared" si="36"/>
        <v>36312</v>
      </c>
      <c r="X61" s="1437">
        <f t="shared" si="36"/>
        <v>36342</v>
      </c>
      <c r="Y61" s="1437">
        <f t="shared" si="36"/>
        <v>36373</v>
      </c>
      <c r="Z61" s="1437">
        <f t="shared" si="36"/>
        <v>36404</v>
      </c>
      <c r="AA61" s="1437">
        <f t="shared" si="36"/>
        <v>36434</v>
      </c>
      <c r="AB61" s="1437">
        <f t="shared" si="36"/>
        <v>36465</v>
      </c>
      <c r="AC61" s="1437">
        <f>AC7</f>
        <v>36495</v>
      </c>
      <c r="AD61" s="1437">
        <f>AD7</f>
        <v>36526</v>
      </c>
      <c r="AE61" s="1437">
        <f>AE7</f>
        <v>36557</v>
      </c>
      <c r="AF61" s="1437">
        <f>AF7</f>
        <v>36586</v>
      </c>
      <c r="AG61" s="1437">
        <f t="shared" ref="AG61:AZ61" si="37">AG7</f>
        <v>36617</v>
      </c>
      <c r="AH61" s="1437">
        <f t="shared" si="37"/>
        <v>36647</v>
      </c>
      <c r="AI61" s="1437">
        <f t="shared" si="37"/>
        <v>36678</v>
      </c>
      <c r="AJ61" s="1437">
        <f t="shared" si="37"/>
        <v>36708</v>
      </c>
      <c r="AK61" s="1437">
        <f t="shared" si="37"/>
        <v>36739</v>
      </c>
      <c r="AL61" s="1437">
        <f t="shared" si="37"/>
        <v>36770</v>
      </c>
      <c r="AM61" s="1437">
        <f t="shared" si="37"/>
        <v>36800</v>
      </c>
      <c r="AN61" s="1437">
        <f t="shared" si="37"/>
        <v>36831</v>
      </c>
      <c r="AO61" s="1437">
        <f t="shared" si="37"/>
        <v>36861</v>
      </c>
      <c r="AP61" s="1437">
        <f t="shared" si="37"/>
        <v>36892</v>
      </c>
      <c r="AQ61" s="1437">
        <f t="shared" si="37"/>
        <v>36923</v>
      </c>
      <c r="AR61" s="1437">
        <f t="shared" si="37"/>
        <v>36951</v>
      </c>
      <c r="AS61" s="1437">
        <f t="shared" si="37"/>
        <v>36982</v>
      </c>
      <c r="AT61" s="1437">
        <f t="shared" si="37"/>
        <v>37012</v>
      </c>
      <c r="AU61" s="1437">
        <f t="shared" si="37"/>
        <v>37043</v>
      </c>
      <c r="AV61" s="1437">
        <f t="shared" si="37"/>
        <v>37073</v>
      </c>
      <c r="AW61" s="1437">
        <f t="shared" si="37"/>
        <v>37104</v>
      </c>
      <c r="AX61" s="1437">
        <f t="shared" si="37"/>
        <v>37135</v>
      </c>
      <c r="AY61" s="1437">
        <f t="shared" si="37"/>
        <v>37165</v>
      </c>
      <c r="AZ61" s="1437">
        <f t="shared" si="37"/>
        <v>0</v>
      </c>
      <c r="BA61" s="1438" t="s">
        <v>1960</v>
      </c>
    </row>
    <row r="62" spans="1:54">
      <c r="A62" s="1439" t="s">
        <v>1961</v>
      </c>
      <c r="B62" s="1440"/>
      <c r="C62" s="1440"/>
      <c r="D62" s="1440"/>
      <c r="E62" s="1440"/>
      <c r="F62" s="1440"/>
      <c r="G62" s="1440"/>
      <c r="H62" s="1440"/>
      <c r="I62" s="1440"/>
      <c r="J62" s="1440"/>
      <c r="K62" s="1440"/>
      <c r="L62" s="1440"/>
      <c r="M62" s="1440"/>
      <c r="N62" s="1440"/>
      <c r="O62" s="1440"/>
      <c r="P62" s="1440"/>
      <c r="Q62" s="1440"/>
      <c r="R62" s="1440"/>
      <c r="S62" s="1440"/>
      <c r="T62" s="1440"/>
      <c r="U62" s="1440"/>
      <c r="V62" s="1440"/>
      <c r="W62" s="1440"/>
      <c r="X62" s="1440"/>
      <c r="Y62" s="1440"/>
      <c r="Z62" s="1440"/>
      <c r="AA62" s="1440"/>
      <c r="AB62" s="1565"/>
      <c r="AC62" s="1565"/>
      <c r="AD62" s="1565"/>
      <c r="AE62" s="1565"/>
      <c r="AF62" s="1565"/>
      <c r="AG62" s="1565"/>
      <c r="AH62" s="1565"/>
      <c r="AI62" s="1565"/>
      <c r="AJ62" s="1565"/>
      <c r="AK62" s="1565"/>
      <c r="AL62" s="1565"/>
      <c r="AM62" s="1565"/>
      <c r="AN62" s="1565"/>
      <c r="AO62" s="1565"/>
      <c r="AP62" s="1565"/>
      <c r="AQ62" s="1565"/>
      <c r="AR62" s="1565"/>
      <c r="AS62" s="1565"/>
      <c r="AT62" s="1565"/>
      <c r="AU62" s="1565"/>
      <c r="AV62" s="1565"/>
      <c r="AW62" s="1565"/>
      <c r="AX62" s="1565"/>
      <c r="AY62" s="1565"/>
      <c r="AZ62" s="1565"/>
      <c r="BA62" s="1441"/>
    </row>
    <row r="63" spans="1:54" s="1700" customFormat="1">
      <c r="A63" s="1697" t="s">
        <v>1962</v>
      </c>
      <c r="B63" s="1690"/>
      <c r="C63" s="1690"/>
      <c r="D63" s="1690"/>
      <c r="E63" s="1698"/>
      <c r="F63" s="1698"/>
      <c r="G63" s="1698"/>
      <c r="H63" s="1698"/>
      <c r="I63" s="1698"/>
      <c r="J63" s="1698"/>
      <c r="K63" s="1698"/>
      <c r="L63" s="1698"/>
      <c r="M63" s="1698"/>
      <c r="N63" s="1698"/>
      <c r="O63" s="1698"/>
      <c r="P63" s="1698"/>
      <c r="Q63" s="1698"/>
      <c r="R63" s="1698"/>
      <c r="S63" s="1698"/>
      <c r="T63" s="1698"/>
      <c r="U63" s="1698"/>
      <c r="V63" s="1698"/>
      <c r="W63" s="1698"/>
      <c r="X63" s="1698"/>
      <c r="Y63" s="1698"/>
      <c r="Z63" s="1698"/>
      <c r="AA63" s="1698"/>
      <c r="AB63" s="1698"/>
      <c r="AC63" s="1698"/>
      <c r="AD63" s="1698"/>
      <c r="AE63" s="1698"/>
      <c r="AF63" s="1698"/>
      <c r="AG63" s="1698"/>
      <c r="AH63" s="1698"/>
      <c r="AI63" s="1698"/>
      <c r="AJ63" s="1698"/>
      <c r="AK63" s="1698"/>
      <c r="AL63" s="1698"/>
      <c r="AM63" s="1698"/>
      <c r="AN63" s="1698"/>
      <c r="AO63" s="1698"/>
      <c r="AP63" s="1698"/>
      <c r="AQ63" s="1698"/>
      <c r="AR63" s="1698"/>
      <c r="AS63" s="1698"/>
      <c r="AT63" s="1698"/>
      <c r="AU63" s="1698"/>
      <c r="AV63" s="1698"/>
      <c r="AW63" s="1698"/>
      <c r="AX63" s="1698"/>
      <c r="AY63" s="1698"/>
      <c r="AZ63" s="1690"/>
      <c r="BA63" s="1699"/>
    </row>
    <row r="64" spans="1:54" s="1700" customFormat="1">
      <c r="A64" s="1689"/>
      <c r="B64" s="1690" t="s">
        <v>1963</v>
      </c>
      <c r="C64" s="1690"/>
      <c r="D64" s="1690"/>
      <c r="E64" s="1446">
        <v>7598.2078853046587</v>
      </c>
      <c r="F64" s="1446">
        <v>0</v>
      </c>
      <c r="G64" s="1446">
        <v>2638.5224274406332</v>
      </c>
      <c r="H64" s="1446">
        <v>9410.7299912049257</v>
      </c>
      <c r="I64" s="1446">
        <v>12938.664335664338</v>
      </c>
      <c r="J64" s="1446">
        <v>5260.8695652173919</v>
      </c>
      <c r="K64" s="1446">
        <v>18755.412273120139</v>
      </c>
      <c r="L64" s="1446">
        <v>5760.9630266552022</v>
      </c>
      <c r="M64" s="1446">
        <v>5692.4384027187762</v>
      </c>
      <c r="N64" s="1446">
        <v>21168.1239460371</v>
      </c>
      <c r="O64" s="1446">
        <v>3569.6383515559291</v>
      </c>
      <c r="P64" s="1446">
        <v>0</v>
      </c>
      <c r="Q64" s="1446">
        <v>0</v>
      </c>
      <c r="R64" s="1446">
        <v>0</v>
      </c>
      <c r="S64" s="1446">
        <v>0</v>
      </c>
      <c r="T64" s="1446">
        <v>0</v>
      </c>
      <c r="U64" s="1446">
        <v>0</v>
      </c>
      <c r="V64" s="1446">
        <v>0</v>
      </c>
      <c r="W64" s="1446">
        <v>0</v>
      </c>
      <c r="X64" s="1446">
        <v>0</v>
      </c>
      <c r="Y64" s="1446">
        <v>0</v>
      </c>
      <c r="Z64" s="1446">
        <v>0</v>
      </c>
      <c r="AA64" s="1446">
        <v>0</v>
      </c>
      <c r="AB64" s="1446">
        <v>0</v>
      </c>
      <c r="AC64" s="1446">
        <v>0</v>
      </c>
      <c r="AD64" s="1446">
        <v>0</v>
      </c>
      <c r="AE64" s="1446">
        <v>0</v>
      </c>
      <c r="AF64" s="1446">
        <v>0</v>
      </c>
      <c r="AG64" s="1446">
        <v>0</v>
      </c>
      <c r="AH64" s="1446">
        <v>0</v>
      </c>
      <c r="AI64" s="1446">
        <v>0</v>
      </c>
      <c r="AJ64" s="1446">
        <v>0</v>
      </c>
      <c r="AK64" s="1446">
        <v>0</v>
      </c>
      <c r="AL64" s="1446">
        <v>0</v>
      </c>
      <c r="AM64" s="1446">
        <v>0</v>
      </c>
      <c r="AN64" s="1446">
        <v>0</v>
      </c>
      <c r="AO64" s="1446">
        <v>0</v>
      </c>
      <c r="AP64" s="1446">
        <v>0</v>
      </c>
      <c r="AQ64" s="1446">
        <v>0</v>
      </c>
      <c r="AR64" s="1446">
        <v>0</v>
      </c>
      <c r="AS64" s="1446">
        <v>0</v>
      </c>
      <c r="AT64" s="1446">
        <v>0</v>
      </c>
      <c r="AU64" s="1446">
        <v>0</v>
      </c>
      <c r="AV64" s="1446">
        <v>0</v>
      </c>
      <c r="AW64" s="1446">
        <v>0</v>
      </c>
      <c r="AX64" s="1446">
        <v>0</v>
      </c>
      <c r="AY64" s="1446">
        <v>0</v>
      </c>
      <c r="AZ64" s="1446">
        <v>0</v>
      </c>
      <c r="BA64" s="1701">
        <f>SUM(E64:AZ64)</f>
        <v>92793.570204919088</v>
      </c>
    </row>
    <row r="65" spans="1:53">
      <c r="A65" s="1445"/>
      <c r="B65" s="1443" t="s">
        <v>1964</v>
      </c>
      <c r="C65" s="1440"/>
      <c r="D65" s="1440"/>
      <c r="E65" s="1446">
        <v>0</v>
      </c>
      <c r="F65" s="1446">
        <v>0</v>
      </c>
      <c r="G65" s="1446">
        <v>0</v>
      </c>
      <c r="H65" s="1446">
        <v>0</v>
      </c>
      <c r="I65" s="1446">
        <v>0</v>
      </c>
      <c r="J65" s="1446">
        <v>0</v>
      </c>
      <c r="K65" s="1446">
        <v>0</v>
      </c>
      <c r="L65" s="1446">
        <v>0</v>
      </c>
      <c r="M65" s="1446">
        <v>0</v>
      </c>
      <c r="N65" s="1446">
        <v>0</v>
      </c>
      <c r="O65" s="1446">
        <v>2495.3776282590411</v>
      </c>
      <c r="P65" s="1446">
        <v>9453.0001684068702</v>
      </c>
      <c r="Q65" s="1446">
        <v>14376.499751285028</v>
      </c>
      <c r="R65" s="1446">
        <v>1524.4502538071065</v>
      </c>
      <c r="S65" s="1446">
        <v>0</v>
      </c>
      <c r="T65" s="1446">
        <v>1919.3897550111358</v>
      </c>
      <c r="U65" s="1446">
        <v>26661.343026706229</v>
      </c>
      <c r="V65" s="1446">
        <v>0</v>
      </c>
      <c r="W65" s="1446">
        <v>18268.648987024812</v>
      </c>
      <c r="X65" s="1446">
        <v>2521.5531680440772</v>
      </c>
      <c r="Y65" s="1446">
        <v>0</v>
      </c>
      <c r="Z65" s="1446">
        <v>1807.0348020600322</v>
      </c>
      <c r="AA65" s="1446">
        <v>1897.1277982590886</v>
      </c>
      <c r="AB65" s="1446">
        <v>834.19446091433917</v>
      </c>
      <c r="AC65" s="1446">
        <v>1475.7389379541644</v>
      </c>
      <c r="AD65" s="1446">
        <v>1208.9136706613406</v>
      </c>
      <c r="AE65" s="1446">
        <v>2951.9192714189344</v>
      </c>
      <c r="AF65" s="1446">
        <v>0</v>
      </c>
      <c r="AG65" s="1446">
        <v>0</v>
      </c>
      <c r="AH65" s="1446">
        <v>0</v>
      </c>
      <c r="AI65" s="1446">
        <v>0</v>
      </c>
      <c r="AJ65" s="1446">
        <v>0</v>
      </c>
      <c r="AK65" s="1446">
        <v>0</v>
      </c>
      <c r="AL65" s="1446">
        <v>0</v>
      </c>
      <c r="AM65" s="1446">
        <v>0</v>
      </c>
      <c r="AN65" s="1446">
        <v>0</v>
      </c>
      <c r="AO65" s="1446">
        <v>0</v>
      </c>
      <c r="AP65" s="1446">
        <v>0</v>
      </c>
      <c r="AQ65" s="1446">
        <v>0</v>
      </c>
      <c r="AR65" s="1446">
        <v>0</v>
      </c>
      <c r="AS65" s="1446">
        <v>0</v>
      </c>
      <c r="AT65" s="1446">
        <v>0</v>
      </c>
      <c r="AU65" s="1446">
        <v>0</v>
      </c>
      <c r="AV65" s="1446">
        <v>0</v>
      </c>
      <c r="AW65" s="1446">
        <v>0</v>
      </c>
      <c r="AX65" s="1446">
        <v>0</v>
      </c>
      <c r="AY65" s="1446">
        <v>0</v>
      </c>
      <c r="AZ65" s="1446">
        <v>0</v>
      </c>
      <c r="BA65" s="1447">
        <f>SUM(E65:AY65)</f>
        <v>87395.191679812197</v>
      </c>
    </row>
    <row r="66" spans="1:53">
      <c r="A66" s="1445"/>
      <c r="B66" s="1443" t="s">
        <v>1965</v>
      </c>
      <c r="C66" s="1440"/>
      <c r="D66" s="1440"/>
      <c r="E66" s="1446">
        <v>0</v>
      </c>
      <c r="F66" s="1446">
        <v>17.951914514692788</v>
      </c>
      <c r="G66" s="1446">
        <v>0</v>
      </c>
      <c r="H66" s="1446">
        <v>1.0114335971855761</v>
      </c>
      <c r="I66" s="1446">
        <v>1.1468531468531469</v>
      </c>
      <c r="J66" s="1446">
        <v>1.6234782608695653</v>
      </c>
      <c r="K66" s="1446">
        <v>4.828867761452031</v>
      </c>
      <c r="L66" s="1446">
        <v>6.4918314703353399</v>
      </c>
      <c r="M66" s="1446">
        <v>12.253186066270178</v>
      </c>
      <c r="N66" s="1446">
        <v>27.605396290050589</v>
      </c>
      <c r="O66" s="1446">
        <v>77.100084104289309</v>
      </c>
      <c r="P66" s="1446">
        <v>91.417985853822842</v>
      </c>
      <c r="Q66" s="1446">
        <v>126.95489968496103</v>
      </c>
      <c r="R66" s="1446">
        <v>7.8157360406091376</v>
      </c>
      <c r="S66" s="1446">
        <v>24.446333785354515</v>
      </c>
      <c r="T66" s="1446">
        <v>153.47605790645881</v>
      </c>
      <c r="U66" s="1446">
        <v>29.95655192878338</v>
      </c>
      <c r="V66" s="1446">
        <v>159.88604988399072</v>
      </c>
      <c r="W66" s="1446">
        <v>155.82982016844977</v>
      </c>
      <c r="X66" s="1446">
        <v>136.33774104683198</v>
      </c>
      <c r="Y66" s="1446">
        <v>95.466360457226372</v>
      </c>
      <c r="Z66" s="1446">
        <v>34.310820371430061</v>
      </c>
      <c r="AA66" s="1446">
        <v>16.903937532002047</v>
      </c>
      <c r="AB66" s="1446">
        <v>28.818687262703492</v>
      </c>
      <c r="AC66" s="1446">
        <v>26.646143096702069</v>
      </c>
      <c r="AD66" s="1446">
        <v>5.2141588992454508</v>
      </c>
      <c r="AE66" s="1446">
        <v>0</v>
      </c>
      <c r="AF66" s="1446">
        <v>0</v>
      </c>
      <c r="AG66" s="1446">
        <v>0</v>
      </c>
      <c r="AH66" s="1446">
        <v>0</v>
      </c>
      <c r="AI66" s="1446">
        <v>0</v>
      </c>
      <c r="AJ66" s="1446">
        <v>0</v>
      </c>
      <c r="AK66" s="1446">
        <v>0</v>
      </c>
      <c r="AL66" s="1446">
        <v>0</v>
      </c>
      <c r="AM66" s="1446">
        <v>0</v>
      </c>
      <c r="AN66" s="1446">
        <v>0</v>
      </c>
      <c r="AO66" s="1446">
        <v>0</v>
      </c>
      <c r="AP66" s="1446">
        <v>0</v>
      </c>
      <c r="AQ66" s="1446">
        <v>0</v>
      </c>
      <c r="AR66" s="1446">
        <v>0</v>
      </c>
      <c r="AS66" s="1446">
        <v>0</v>
      </c>
      <c r="AT66" s="1446">
        <v>0</v>
      </c>
      <c r="AU66" s="1446">
        <v>0</v>
      </c>
      <c r="AV66" s="1446">
        <v>0</v>
      </c>
      <c r="AW66" s="1446">
        <v>0</v>
      </c>
      <c r="AX66" s="1446">
        <v>0</v>
      </c>
      <c r="AY66" s="1446">
        <v>0</v>
      </c>
      <c r="AZ66" s="1446">
        <v>0</v>
      </c>
      <c r="BA66" s="1447">
        <f>SUM(E66:AY66)</f>
        <v>1243.4943291305699</v>
      </c>
    </row>
    <row r="67" spans="1:53">
      <c r="A67" s="1445"/>
      <c r="B67" s="1443" t="s">
        <v>1966</v>
      </c>
      <c r="C67" s="1440"/>
      <c r="D67" s="1440"/>
      <c r="E67" s="1446">
        <v>0</v>
      </c>
      <c r="F67" s="1446">
        <v>0</v>
      </c>
      <c r="G67" s="1446">
        <v>0</v>
      </c>
      <c r="H67" s="1446">
        <v>0</v>
      </c>
      <c r="I67" s="1446">
        <v>0</v>
      </c>
      <c r="J67" s="1446">
        <v>0</v>
      </c>
      <c r="K67" s="1446">
        <v>0</v>
      </c>
      <c r="L67" s="1446">
        <v>0</v>
      </c>
      <c r="M67" s="1446">
        <v>0</v>
      </c>
      <c r="N67" s="1446">
        <v>0</v>
      </c>
      <c r="O67" s="1446">
        <v>0</v>
      </c>
      <c r="P67" s="1446">
        <v>0</v>
      </c>
      <c r="Q67" s="1446">
        <v>0</v>
      </c>
      <c r="R67" s="1446">
        <v>0</v>
      </c>
      <c r="S67" s="1446">
        <v>0</v>
      </c>
      <c r="T67" s="1446">
        <v>0</v>
      </c>
      <c r="U67" s="1446">
        <v>0</v>
      </c>
      <c r="V67" s="1446">
        <v>0</v>
      </c>
      <c r="W67" s="1446">
        <v>0</v>
      </c>
      <c r="X67" s="1446">
        <v>0</v>
      </c>
      <c r="Y67" s="1446">
        <v>0</v>
      </c>
      <c r="Z67" s="1446">
        <v>0</v>
      </c>
      <c r="AA67" s="1446">
        <v>0</v>
      </c>
      <c r="AB67" s="1446">
        <v>0</v>
      </c>
      <c r="AC67" s="1446">
        <v>0</v>
      </c>
      <c r="AD67" s="1446">
        <v>0</v>
      </c>
      <c r="AE67" s="1446">
        <v>0</v>
      </c>
      <c r="AF67" s="1446">
        <v>0</v>
      </c>
      <c r="AG67" s="1446">
        <v>0</v>
      </c>
      <c r="AH67" s="1446">
        <v>0</v>
      </c>
      <c r="AI67" s="1446">
        <v>0</v>
      </c>
      <c r="AJ67" s="1446">
        <v>0</v>
      </c>
      <c r="AK67" s="1446">
        <v>0</v>
      </c>
      <c r="AL67" s="1446">
        <v>0</v>
      </c>
      <c r="AM67" s="1446">
        <v>0</v>
      </c>
      <c r="AN67" s="1446">
        <v>0</v>
      </c>
      <c r="AO67" s="1446">
        <v>0</v>
      </c>
      <c r="AP67" s="1446">
        <v>0</v>
      </c>
      <c r="AQ67" s="1446">
        <v>0</v>
      </c>
      <c r="AR67" s="1446">
        <v>0</v>
      </c>
      <c r="AS67" s="1446">
        <v>0</v>
      </c>
      <c r="AT67" s="1446">
        <v>0</v>
      </c>
      <c r="AU67" s="1446">
        <v>0</v>
      </c>
      <c r="AV67" s="1446">
        <v>0</v>
      </c>
      <c r="AW67" s="1446">
        <v>0</v>
      </c>
      <c r="AX67" s="1446">
        <v>0</v>
      </c>
      <c r="AY67" s="1446">
        <v>0</v>
      </c>
      <c r="AZ67" s="1446">
        <v>0</v>
      </c>
      <c r="BA67" s="1447">
        <f>SUM(E67:AY67)</f>
        <v>0</v>
      </c>
    </row>
    <row r="68" spans="1:53">
      <c r="A68" s="1445"/>
      <c r="B68" s="1443" t="s">
        <v>1967</v>
      </c>
      <c r="C68" s="1440"/>
      <c r="D68" s="1440"/>
      <c r="E68" s="1446">
        <v>0</v>
      </c>
      <c r="F68" s="1446">
        <v>0</v>
      </c>
      <c r="G68" s="1446">
        <v>0</v>
      </c>
      <c r="H68" s="1446">
        <v>0</v>
      </c>
      <c r="I68" s="1446">
        <v>0</v>
      </c>
      <c r="J68" s="1446">
        <v>0</v>
      </c>
      <c r="K68" s="1446">
        <v>0</v>
      </c>
      <c r="L68" s="1446">
        <v>0</v>
      </c>
      <c r="M68" s="1446">
        <v>0</v>
      </c>
      <c r="N68" s="1446">
        <v>0</v>
      </c>
      <c r="O68" s="1446">
        <v>0</v>
      </c>
      <c r="P68" s="1446">
        <v>0</v>
      </c>
      <c r="Q68" s="1446">
        <v>0</v>
      </c>
      <c r="R68" s="1446">
        <v>0</v>
      </c>
      <c r="S68" s="1446">
        <v>0</v>
      </c>
      <c r="T68" s="1446">
        <v>0</v>
      </c>
      <c r="U68" s="1446">
        <v>0</v>
      </c>
      <c r="V68" s="1446">
        <v>0</v>
      </c>
      <c r="W68" s="1446">
        <v>0</v>
      </c>
      <c r="X68" s="1446">
        <v>0</v>
      </c>
      <c r="Y68" s="1446">
        <v>0</v>
      </c>
      <c r="Z68" s="1446">
        <v>0</v>
      </c>
      <c r="AA68" s="1446">
        <v>0</v>
      </c>
      <c r="AB68" s="1446">
        <v>0</v>
      </c>
      <c r="AC68" s="1446">
        <v>0</v>
      </c>
      <c r="AD68" s="1446">
        <v>0</v>
      </c>
      <c r="AE68" s="1446">
        <v>0</v>
      </c>
      <c r="AF68" s="1446">
        <v>0</v>
      </c>
      <c r="AG68" s="1446">
        <v>0</v>
      </c>
      <c r="AH68" s="1446">
        <v>0</v>
      </c>
      <c r="AI68" s="1446">
        <v>0</v>
      </c>
      <c r="AJ68" s="1446">
        <v>0</v>
      </c>
      <c r="AK68" s="1446">
        <v>0</v>
      </c>
      <c r="AL68" s="1446">
        <v>0</v>
      </c>
      <c r="AM68" s="1446">
        <v>0</v>
      </c>
      <c r="AN68" s="1446">
        <v>0</v>
      </c>
      <c r="AO68" s="1446">
        <v>0</v>
      </c>
      <c r="AP68" s="1446">
        <v>0</v>
      </c>
      <c r="AQ68" s="1446">
        <v>0</v>
      </c>
      <c r="AR68" s="1446">
        <v>0</v>
      </c>
      <c r="AS68" s="1446">
        <v>0</v>
      </c>
      <c r="AT68" s="1446">
        <v>0</v>
      </c>
      <c r="AU68" s="1446">
        <v>0</v>
      </c>
      <c r="AV68" s="1446">
        <v>0</v>
      </c>
      <c r="AW68" s="1446">
        <v>0</v>
      </c>
      <c r="AX68" s="1446">
        <v>0</v>
      </c>
      <c r="AY68" s="1446">
        <v>0</v>
      </c>
      <c r="AZ68" s="1446">
        <v>0</v>
      </c>
      <c r="BA68" s="1447">
        <f>SUM(E68:AY68)</f>
        <v>0</v>
      </c>
    </row>
    <row r="69" spans="1:53">
      <c r="A69" s="1445"/>
      <c r="B69" s="1443" t="s">
        <v>5</v>
      </c>
      <c r="C69" s="1440"/>
      <c r="D69" s="1440"/>
      <c r="E69" s="1448">
        <v>0</v>
      </c>
      <c r="F69" s="1448">
        <v>0</v>
      </c>
      <c r="G69" s="1448">
        <v>0</v>
      </c>
      <c r="H69" s="1448">
        <v>0</v>
      </c>
      <c r="I69" s="1448">
        <v>0</v>
      </c>
      <c r="J69" s="1448">
        <v>0</v>
      </c>
      <c r="K69" s="1448">
        <v>0</v>
      </c>
      <c r="L69" s="1448">
        <v>0</v>
      </c>
      <c r="M69" s="1448">
        <v>0</v>
      </c>
      <c r="N69" s="1448">
        <v>0</v>
      </c>
      <c r="O69" s="1448">
        <v>0</v>
      </c>
      <c r="P69" s="1448">
        <v>0</v>
      </c>
      <c r="Q69" s="1448">
        <v>0</v>
      </c>
      <c r="R69" s="1448">
        <v>0</v>
      </c>
      <c r="S69" s="1448">
        <v>0</v>
      </c>
      <c r="T69" s="1448">
        <v>0</v>
      </c>
      <c r="U69" s="1448">
        <v>0</v>
      </c>
      <c r="V69" s="1448">
        <v>0</v>
      </c>
      <c r="W69" s="1448">
        <v>763.09933416799447</v>
      </c>
      <c r="X69" s="1448">
        <v>1006.3190082644628</v>
      </c>
      <c r="Y69" s="1448">
        <v>953.32382692207329</v>
      </c>
      <c r="Z69" s="1448">
        <v>950.08282266035474</v>
      </c>
      <c r="AA69" s="1448">
        <v>935.20409114183315</v>
      </c>
      <c r="AB69" s="1448">
        <v>950.89268216570451</v>
      </c>
      <c r="AC69" s="1448">
        <v>1021.451716042482</v>
      </c>
      <c r="AD69" s="1448">
        <v>1015.330331779849</v>
      </c>
      <c r="AE69" s="1448">
        <v>1030.5655498088599</v>
      </c>
      <c r="AF69" s="1448">
        <v>1049.2468379785953</v>
      </c>
      <c r="AG69" s="1448">
        <v>0</v>
      </c>
      <c r="AH69" s="1448">
        <v>0</v>
      </c>
      <c r="AI69" s="1448">
        <v>0</v>
      </c>
      <c r="AJ69" s="1448">
        <v>0</v>
      </c>
      <c r="AK69" s="1448">
        <v>0</v>
      </c>
      <c r="AL69" s="1448">
        <v>0</v>
      </c>
      <c r="AM69" s="1448">
        <v>0</v>
      </c>
      <c r="AN69" s="1448">
        <v>0</v>
      </c>
      <c r="AO69" s="1448">
        <v>0</v>
      </c>
      <c r="AP69" s="1448">
        <v>0</v>
      </c>
      <c r="AQ69" s="1448">
        <v>0</v>
      </c>
      <c r="AR69" s="1448">
        <v>0</v>
      </c>
      <c r="AS69" s="1448">
        <v>0</v>
      </c>
      <c r="AT69" s="1448">
        <v>0</v>
      </c>
      <c r="AU69" s="1448">
        <v>0</v>
      </c>
      <c r="AV69" s="1448">
        <v>0</v>
      </c>
      <c r="AW69" s="1448">
        <v>0</v>
      </c>
      <c r="AX69" s="1448">
        <v>0</v>
      </c>
      <c r="AY69" s="1448">
        <v>0</v>
      </c>
      <c r="AZ69" s="1448">
        <v>1049.2468379785953</v>
      </c>
      <c r="BA69" s="1460">
        <f>SUM(E69:AY69)</f>
        <v>9675.5162009322103</v>
      </c>
    </row>
    <row r="70" spans="1:53">
      <c r="A70" s="1445"/>
      <c r="B70" s="1449" t="s">
        <v>1968</v>
      </c>
      <c r="C70" s="1440"/>
      <c r="D70" s="1440"/>
      <c r="E70" s="1450">
        <f>SUM(E64:E68)</f>
        <v>7598.2078853046587</v>
      </c>
      <c r="F70" s="1450">
        <f t="shared" ref="F70:AB70" si="38">SUM(F64:F68)</f>
        <v>17.951914514692788</v>
      </c>
      <c r="G70" s="1450">
        <f t="shared" si="38"/>
        <v>2638.5224274406332</v>
      </c>
      <c r="H70" s="1450">
        <f t="shared" si="38"/>
        <v>9411.7414248021105</v>
      </c>
      <c r="I70" s="1450">
        <f t="shared" si="38"/>
        <v>12939.811188811191</v>
      </c>
      <c r="J70" s="1450">
        <f t="shared" si="38"/>
        <v>5262.4930434782618</v>
      </c>
      <c r="K70" s="1450">
        <f t="shared" si="38"/>
        <v>18760.24114088159</v>
      </c>
      <c r="L70" s="1450">
        <f t="shared" si="38"/>
        <v>5767.4548581255376</v>
      </c>
      <c r="M70" s="1450">
        <f t="shared" si="38"/>
        <v>5704.6915887850464</v>
      </c>
      <c r="N70" s="1450">
        <f t="shared" si="38"/>
        <v>21195.729342327151</v>
      </c>
      <c r="O70" s="1450">
        <f t="shared" si="38"/>
        <v>6142.1160639192603</v>
      </c>
      <c r="P70" s="1450">
        <f t="shared" si="38"/>
        <v>9544.418154260693</v>
      </c>
      <c r="Q70" s="1450">
        <f t="shared" si="38"/>
        <v>14503.454650969989</v>
      </c>
      <c r="R70" s="1450">
        <f t="shared" si="38"/>
        <v>1532.2659898477157</v>
      </c>
      <c r="S70" s="1450">
        <f t="shared" si="38"/>
        <v>24.446333785354515</v>
      </c>
      <c r="T70" s="1450">
        <f t="shared" si="38"/>
        <v>2072.8658129175947</v>
      </c>
      <c r="U70" s="1450">
        <f t="shared" si="38"/>
        <v>26691.299578635011</v>
      </c>
      <c r="V70" s="1450">
        <f t="shared" si="38"/>
        <v>159.88604988399072</v>
      </c>
      <c r="W70" s="1450">
        <f t="shared" si="38"/>
        <v>18424.47880719326</v>
      </c>
      <c r="X70" s="1450">
        <f t="shared" si="38"/>
        <v>2657.8909090909092</v>
      </c>
      <c r="Y70" s="1450">
        <f t="shared" si="38"/>
        <v>95.466360457226372</v>
      </c>
      <c r="Z70" s="1450">
        <f t="shared" si="38"/>
        <v>1841.3456224314623</v>
      </c>
      <c r="AA70" s="1450">
        <f t="shared" si="38"/>
        <v>1914.0317357910908</v>
      </c>
      <c r="AB70" s="1450">
        <f t="shared" si="38"/>
        <v>863.01314817704269</v>
      </c>
      <c r="AC70" s="1450">
        <f>SUM(AC64:AC68)</f>
        <v>1502.3850810508663</v>
      </c>
      <c r="AD70" s="1450">
        <f>SUM(AD64:AD68)</f>
        <v>1214.127829560586</v>
      </c>
      <c r="AE70" s="1450">
        <f>SUM(AE64:AE68)</f>
        <v>2951.9192714189344</v>
      </c>
      <c r="AF70" s="1450">
        <f>SUM(AF64:AF68)</f>
        <v>0</v>
      </c>
      <c r="AG70" s="1450">
        <f t="shared" ref="AG70:AZ70" si="39">SUM(AG64:AG68)</f>
        <v>0</v>
      </c>
      <c r="AH70" s="1450">
        <f t="shared" si="39"/>
        <v>0</v>
      </c>
      <c r="AI70" s="1450">
        <f t="shared" si="39"/>
        <v>0</v>
      </c>
      <c r="AJ70" s="1450">
        <f t="shared" si="39"/>
        <v>0</v>
      </c>
      <c r="AK70" s="1450">
        <f t="shared" si="39"/>
        <v>0</v>
      </c>
      <c r="AL70" s="1450">
        <f t="shared" si="39"/>
        <v>0</v>
      </c>
      <c r="AM70" s="1450">
        <f t="shared" si="39"/>
        <v>0</v>
      </c>
      <c r="AN70" s="1450">
        <f t="shared" si="39"/>
        <v>0</v>
      </c>
      <c r="AO70" s="1450">
        <f t="shared" si="39"/>
        <v>0</v>
      </c>
      <c r="AP70" s="1450">
        <f t="shared" si="39"/>
        <v>0</v>
      </c>
      <c r="AQ70" s="1450">
        <f t="shared" si="39"/>
        <v>0</v>
      </c>
      <c r="AR70" s="1450">
        <f t="shared" si="39"/>
        <v>0</v>
      </c>
      <c r="AS70" s="1450">
        <f t="shared" ref="AS70:AY70" si="40">SUM(AS64:AS68)</f>
        <v>0</v>
      </c>
      <c r="AT70" s="1450">
        <f t="shared" si="40"/>
        <v>0</v>
      </c>
      <c r="AU70" s="1450">
        <f t="shared" si="40"/>
        <v>0</v>
      </c>
      <c r="AV70" s="1450">
        <f t="shared" si="40"/>
        <v>0</v>
      </c>
      <c r="AW70" s="1450">
        <f t="shared" si="40"/>
        <v>0</v>
      </c>
      <c r="AX70" s="1450">
        <f t="shared" si="40"/>
        <v>0</v>
      </c>
      <c r="AY70" s="1450">
        <f t="shared" si="40"/>
        <v>0</v>
      </c>
      <c r="AZ70" s="1450">
        <f t="shared" si="39"/>
        <v>0</v>
      </c>
      <c r="BA70" s="1447">
        <f>SUM(BA64:BA69)</f>
        <v>191107.77241479408</v>
      </c>
    </row>
    <row r="71" spans="1:53">
      <c r="A71" s="1451"/>
      <c r="B71" s="1440"/>
      <c r="C71" s="1440"/>
      <c r="D71" s="1440"/>
      <c r="E71" s="1440"/>
      <c r="F71" s="1440"/>
      <c r="G71" s="1440"/>
      <c r="H71" s="1440"/>
      <c r="I71" s="1440"/>
      <c r="J71" s="1440"/>
      <c r="K71" s="1440"/>
      <c r="L71" s="1440"/>
      <c r="M71" s="1440"/>
      <c r="N71" s="1440"/>
      <c r="O71" s="1440"/>
      <c r="P71" s="1440"/>
      <c r="Q71" s="1440"/>
      <c r="R71" s="1440"/>
      <c r="S71" s="1440"/>
      <c r="T71" s="1440"/>
      <c r="U71" s="1440"/>
      <c r="V71" s="1440"/>
      <c r="W71" s="1440"/>
      <c r="X71" s="1440"/>
      <c r="Y71" s="1440"/>
      <c r="Z71" s="1440"/>
      <c r="AA71" s="1440"/>
      <c r="AB71" s="1440"/>
      <c r="AC71" s="1440"/>
      <c r="AD71" s="1440"/>
      <c r="AE71" s="1440"/>
      <c r="AF71" s="1440"/>
      <c r="AG71" s="1440"/>
      <c r="AH71" s="1440"/>
      <c r="AI71" s="1440"/>
      <c r="AJ71" s="1440"/>
      <c r="AK71" s="1440"/>
      <c r="AL71" s="1440"/>
      <c r="AM71" s="1440"/>
      <c r="AN71" s="1440"/>
      <c r="AO71" s="1440"/>
      <c r="AP71" s="1440"/>
      <c r="AQ71" s="1440"/>
      <c r="AR71" s="1440"/>
      <c r="AS71" s="1440"/>
      <c r="AT71" s="1440"/>
      <c r="AU71" s="1440"/>
      <c r="AV71" s="1440"/>
      <c r="AW71" s="1440"/>
      <c r="AX71" s="1440"/>
      <c r="AY71" s="1440"/>
      <c r="AZ71" s="1440"/>
      <c r="BA71" s="1444"/>
    </row>
    <row r="72" spans="1:53">
      <c r="A72" s="1442" t="s">
        <v>0</v>
      </c>
      <c r="B72" s="1443"/>
      <c r="C72" s="1440"/>
      <c r="D72" s="1440"/>
      <c r="E72" s="1440"/>
      <c r="F72" s="1440"/>
      <c r="G72" s="1440"/>
      <c r="H72" s="1440"/>
      <c r="I72" s="1440"/>
      <c r="J72" s="1440"/>
      <c r="K72" s="1440"/>
      <c r="L72" s="1440"/>
      <c r="M72" s="1440"/>
      <c r="N72" s="1440"/>
      <c r="O72" s="1440"/>
      <c r="P72" s="1440"/>
      <c r="Q72" s="1440"/>
      <c r="R72" s="1440"/>
      <c r="S72" s="1440"/>
      <c r="T72" s="1440"/>
      <c r="U72" s="1440"/>
      <c r="V72" s="1440"/>
      <c r="W72" s="1440"/>
      <c r="X72" s="1440"/>
      <c r="Y72" s="1440"/>
      <c r="Z72" s="1440"/>
      <c r="AA72" s="1440"/>
      <c r="AB72" s="1440"/>
      <c r="AC72" s="1440"/>
      <c r="AD72" s="1440"/>
      <c r="AE72" s="1440"/>
      <c r="AF72" s="1440"/>
      <c r="AG72" s="1440"/>
      <c r="AH72" s="1440"/>
      <c r="AI72" s="1440"/>
      <c r="AJ72" s="1440"/>
      <c r="AK72" s="1440"/>
      <c r="AL72" s="1440"/>
      <c r="AM72" s="1440"/>
      <c r="AN72" s="1440"/>
      <c r="AO72" s="1440"/>
      <c r="AP72" s="1440"/>
      <c r="AQ72" s="1440"/>
      <c r="AR72" s="1440"/>
      <c r="AS72" s="1440"/>
      <c r="AT72" s="1440"/>
      <c r="AU72" s="1440"/>
      <c r="AV72" s="1440"/>
      <c r="AW72" s="1440"/>
      <c r="AX72" s="1440"/>
      <c r="AY72" s="1440"/>
      <c r="AZ72" s="1440"/>
      <c r="BA72" s="1444"/>
    </row>
    <row r="73" spans="1:53">
      <c r="A73" s="1442"/>
      <c r="B73" s="1443" t="s">
        <v>595</v>
      </c>
      <c r="C73" s="1440"/>
      <c r="D73" s="1440"/>
      <c r="E73" s="1452">
        <v>5785.5510752688169</v>
      </c>
      <c r="F73" s="1452">
        <v>0</v>
      </c>
      <c r="G73" s="1452">
        <v>2859.0726445030782</v>
      </c>
      <c r="H73" s="1452">
        <v>7901.0911231222517</v>
      </c>
      <c r="I73" s="1452">
        <v>7609.2216951966784</v>
      </c>
      <c r="J73" s="1452">
        <v>2560.745824591304</v>
      </c>
      <c r="K73" s="1452">
        <v>7796.9997493517722</v>
      </c>
      <c r="L73" s="1452">
        <v>3248.0895700773858</v>
      </c>
      <c r="M73" s="1452">
        <v>2817.1281223449446</v>
      </c>
      <c r="N73" s="1452">
        <v>4543.8770657672858</v>
      </c>
      <c r="O73" s="1452">
        <v>2646.7521194280907</v>
      </c>
      <c r="P73" s="1452">
        <v>1635.2556753115525</v>
      </c>
      <c r="Q73" s="1452">
        <v>3815.3632067650474</v>
      </c>
      <c r="R73" s="1452">
        <v>389.63288832487314</v>
      </c>
      <c r="S73" s="1452">
        <v>293.66404494382022</v>
      </c>
      <c r="T73" s="1452">
        <v>1104.1788084632517</v>
      </c>
      <c r="U73" s="1452">
        <v>1561.9776913946587</v>
      </c>
      <c r="V73" s="1452">
        <v>1256.1234048723898</v>
      </c>
      <c r="W73" s="1452">
        <v>923.27295128613696</v>
      </c>
      <c r="X73" s="1452">
        <v>632.66033608815439</v>
      </c>
      <c r="Y73" s="1452">
        <v>582.51203611879544</v>
      </c>
      <c r="Z73" s="1452">
        <v>593.12382562555263</v>
      </c>
      <c r="AA73" s="1452">
        <v>455.17644649257551</v>
      </c>
      <c r="AB73" s="1452">
        <v>1066.5415977531597</v>
      </c>
      <c r="AC73" s="1452">
        <v>724.28259921743995</v>
      </c>
      <c r="AD73" s="1452">
        <v>374.04377496671106</v>
      </c>
      <c r="AE73" s="1452">
        <v>317.2498313469755</v>
      </c>
      <c r="AF73" s="1452">
        <v>554.57849253133406</v>
      </c>
      <c r="AG73" s="1452">
        <v>0</v>
      </c>
      <c r="AH73" s="1452">
        <v>0</v>
      </c>
      <c r="AI73" s="1452">
        <v>0</v>
      </c>
      <c r="AJ73" s="1452">
        <v>0</v>
      </c>
      <c r="AK73" s="1452">
        <v>0</v>
      </c>
      <c r="AL73" s="1452">
        <v>0</v>
      </c>
      <c r="AM73" s="1452">
        <v>0</v>
      </c>
      <c r="AN73" s="1452">
        <v>0</v>
      </c>
      <c r="AO73" s="1452">
        <v>0</v>
      </c>
      <c r="AP73" s="1452">
        <v>0</v>
      </c>
      <c r="AQ73" s="1452">
        <v>0</v>
      </c>
      <c r="AR73" s="1452">
        <v>0</v>
      </c>
      <c r="AS73" s="1452">
        <v>0</v>
      </c>
      <c r="AT73" s="1452">
        <v>0</v>
      </c>
      <c r="AU73" s="1452">
        <v>0</v>
      </c>
      <c r="AV73" s="1452">
        <v>0</v>
      </c>
      <c r="AW73" s="1452">
        <v>0</v>
      </c>
      <c r="AX73" s="1452">
        <v>0</v>
      </c>
      <c r="AY73" s="1452">
        <v>0</v>
      </c>
      <c r="AZ73" s="1452">
        <v>554.57849253133406</v>
      </c>
      <c r="BA73" s="1453">
        <f>SUM(E73:AY73)</f>
        <v>64048.166601154029</v>
      </c>
    </row>
    <row r="74" spans="1:53">
      <c r="A74" s="1442"/>
      <c r="B74" s="1443" t="s">
        <v>596</v>
      </c>
      <c r="C74" s="1440"/>
      <c r="D74" s="1440"/>
      <c r="E74" s="1452">
        <v>0</v>
      </c>
      <c r="F74" s="1452">
        <v>0</v>
      </c>
      <c r="G74" s="1452">
        <v>0</v>
      </c>
      <c r="H74" s="1452">
        <v>0</v>
      </c>
      <c r="I74" s="1452">
        <v>0</v>
      </c>
      <c r="J74" s="1452">
        <v>0</v>
      </c>
      <c r="K74" s="1452">
        <v>11644.827666378565</v>
      </c>
      <c r="L74" s="1452">
        <v>0</v>
      </c>
      <c r="M74" s="1452">
        <v>0</v>
      </c>
      <c r="N74" s="1452">
        <v>11659.466298482293</v>
      </c>
      <c r="O74" s="1452">
        <v>0</v>
      </c>
      <c r="P74" s="1452">
        <v>0</v>
      </c>
      <c r="Q74" s="1452">
        <v>18599.237323826899</v>
      </c>
      <c r="R74" s="1452">
        <v>61.294416243654823</v>
      </c>
      <c r="S74" s="1452">
        <v>0</v>
      </c>
      <c r="T74" s="1452">
        <v>0</v>
      </c>
      <c r="U74" s="1452">
        <v>10362.384569732938</v>
      </c>
      <c r="V74" s="1452">
        <v>0</v>
      </c>
      <c r="W74" s="1452">
        <v>16606.775000000001</v>
      </c>
      <c r="X74" s="1452">
        <v>0</v>
      </c>
      <c r="Y74" s="1452">
        <v>0</v>
      </c>
      <c r="Z74" s="1452">
        <v>0</v>
      </c>
      <c r="AA74" s="1452">
        <v>0</v>
      </c>
      <c r="AB74" s="1452">
        <v>0</v>
      </c>
      <c r="AC74" s="1452">
        <v>0</v>
      </c>
      <c r="AD74" s="1452">
        <v>0</v>
      </c>
      <c r="AE74" s="1452">
        <v>0</v>
      </c>
      <c r="AF74" s="1452">
        <v>0</v>
      </c>
      <c r="AG74" s="1452">
        <v>0</v>
      </c>
      <c r="AH74" s="1452">
        <v>0</v>
      </c>
      <c r="AI74" s="1452">
        <v>0</v>
      </c>
      <c r="AJ74" s="1452">
        <v>0</v>
      </c>
      <c r="AK74" s="1452">
        <v>0</v>
      </c>
      <c r="AL74" s="1452">
        <v>0</v>
      </c>
      <c r="AM74" s="1452">
        <v>0</v>
      </c>
      <c r="AN74" s="1452">
        <v>0</v>
      </c>
      <c r="AO74" s="1452">
        <v>0</v>
      </c>
      <c r="AP74" s="1452">
        <v>0</v>
      </c>
      <c r="AQ74" s="1452">
        <v>0</v>
      </c>
      <c r="AR74" s="1452">
        <v>0</v>
      </c>
      <c r="AS74" s="1452">
        <v>0</v>
      </c>
      <c r="AT74" s="1452">
        <v>0</v>
      </c>
      <c r="AU74" s="1452">
        <v>0</v>
      </c>
      <c r="AV74" s="1452">
        <v>0</v>
      </c>
      <c r="AW74" s="1452">
        <v>0</v>
      </c>
      <c r="AX74" s="1452">
        <v>0</v>
      </c>
      <c r="AY74" s="1452">
        <v>0</v>
      </c>
      <c r="AZ74" s="1452">
        <v>0</v>
      </c>
      <c r="BA74" s="1453">
        <f t="shared" ref="BA74:BA85" si="41">SUM(E74:AY74)</f>
        <v>68933.985274664359</v>
      </c>
    </row>
    <row r="75" spans="1:53">
      <c r="A75" s="1445"/>
      <c r="B75" s="1443" t="s">
        <v>597</v>
      </c>
      <c r="C75" s="1440"/>
      <c r="D75" s="1440"/>
      <c r="E75" s="1452">
        <v>0</v>
      </c>
      <c r="F75" s="1452">
        <v>0</v>
      </c>
      <c r="G75" s="1452">
        <v>0</v>
      </c>
      <c r="H75" s="1452">
        <v>0</v>
      </c>
      <c r="I75" s="1452">
        <v>0</v>
      </c>
      <c r="J75" s="1452">
        <v>0</v>
      </c>
      <c r="K75" s="1452">
        <v>0</v>
      </c>
      <c r="L75" s="1452">
        <v>0</v>
      </c>
      <c r="M75" s="1452">
        <v>0</v>
      </c>
      <c r="N75" s="1452">
        <v>0</v>
      </c>
      <c r="O75" s="1452">
        <v>0</v>
      </c>
      <c r="P75" s="1452">
        <v>0</v>
      </c>
      <c r="Q75" s="1452">
        <v>0</v>
      </c>
      <c r="R75" s="1452">
        <v>0</v>
      </c>
      <c r="S75" s="1452">
        <v>0</v>
      </c>
      <c r="T75" s="1452">
        <v>0</v>
      </c>
      <c r="U75" s="1452">
        <v>0</v>
      </c>
      <c r="V75" s="1452">
        <v>0</v>
      </c>
      <c r="W75" s="1452">
        <v>0</v>
      </c>
      <c r="X75" s="1452">
        <v>0</v>
      </c>
      <c r="Y75" s="1452">
        <v>0</v>
      </c>
      <c r="Z75" s="1452">
        <v>177.46424595536601</v>
      </c>
      <c r="AA75" s="1452">
        <v>0</v>
      </c>
      <c r="AB75" s="1452">
        <v>0</v>
      </c>
      <c r="AC75" s="1452">
        <v>0</v>
      </c>
      <c r="AD75" s="1452">
        <v>0</v>
      </c>
      <c r="AE75" s="1452">
        <v>0</v>
      </c>
      <c r="AF75" s="1452">
        <v>0</v>
      </c>
      <c r="AG75" s="1452">
        <v>0</v>
      </c>
      <c r="AH75" s="1452">
        <v>0</v>
      </c>
      <c r="AI75" s="1452">
        <v>0</v>
      </c>
      <c r="AJ75" s="1452">
        <v>0</v>
      </c>
      <c r="AK75" s="1452">
        <v>0</v>
      </c>
      <c r="AL75" s="1452">
        <v>0</v>
      </c>
      <c r="AM75" s="1452">
        <v>0</v>
      </c>
      <c r="AN75" s="1452">
        <v>0</v>
      </c>
      <c r="AO75" s="1452">
        <v>0</v>
      </c>
      <c r="AP75" s="1452">
        <v>0</v>
      </c>
      <c r="AQ75" s="1452">
        <v>0</v>
      </c>
      <c r="AR75" s="1452">
        <v>0</v>
      </c>
      <c r="AS75" s="1452">
        <v>0</v>
      </c>
      <c r="AT75" s="1452">
        <v>0</v>
      </c>
      <c r="AU75" s="1452">
        <v>0</v>
      </c>
      <c r="AV75" s="1452">
        <v>0</v>
      </c>
      <c r="AW75" s="1452">
        <v>0</v>
      </c>
      <c r="AX75" s="1452">
        <v>0</v>
      </c>
      <c r="AY75" s="1452">
        <v>0</v>
      </c>
      <c r="AZ75" s="1452">
        <v>0</v>
      </c>
      <c r="BA75" s="1453">
        <f t="shared" si="41"/>
        <v>177.46424595536601</v>
      </c>
    </row>
    <row r="76" spans="1:53">
      <c r="A76" s="1445"/>
      <c r="B76" s="1443" t="s">
        <v>598</v>
      </c>
      <c r="C76" s="1440"/>
      <c r="D76" s="1440"/>
      <c r="E76" s="1452">
        <v>0</v>
      </c>
      <c r="F76" s="1452">
        <v>0</v>
      </c>
      <c r="G76" s="1452">
        <v>0</v>
      </c>
      <c r="H76" s="1452">
        <v>0</v>
      </c>
      <c r="I76" s="1452">
        <v>0</v>
      </c>
      <c r="J76" s="1452">
        <v>0</v>
      </c>
      <c r="K76" s="1452">
        <v>0</v>
      </c>
      <c r="L76" s="1452">
        <v>0</v>
      </c>
      <c r="M76" s="1452">
        <v>0</v>
      </c>
      <c r="N76" s="1452">
        <v>0</v>
      </c>
      <c r="O76" s="1452">
        <v>0</v>
      </c>
      <c r="P76" s="1452">
        <v>0</v>
      </c>
      <c r="Q76" s="1452">
        <v>0</v>
      </c>
      <c r="R76" s="1452">
        <v>0</v>
      </c>
      <c r="S76" s="1452">
        <v>0</v>
      </c>
      <c r="T76" s="1452">
        <v>0</v>
      </c>
      <c r="U76" s="1452">
        <v>708.60522255192882</v>
      </c>
      <c r="V76" s="1452">
        <v>171.69373549883991</v>
      </c>
      <c r="W76" s="1452">
        <v>1056.9314819030276</v>
      </c>
      <c r="X76" s="1452">
        <v>1996.6278842975207</v>
      </c>
      <c r="Y76" s="1452">
        <v>1423.3285244532597</v>
      </c>
      <c r="Z76" s="1452">
        <v>1288.6938407116477</v>
      </c>
      <c r="AA76" s="1452">
        <v>937.25199180747552</v>
      </c>
      <c r="AB76" s="1452">
        <v>337.35008061580066</v>
      </c>
      <c r="AC76" s="1452">
        <v>177.23465623253213</v>
      </c>
      <c r="AD76" s="1452">
        <v>63.774966711051931</v>
      </c>
      <c r="AE76" s="1452">
        <v>408.5293456262649</v>
      </c>
      <c r="AF76" s="1452">
        <v>0</v>
      </c>
      <c r="AG76" s="1452">
        <v>0</v>
      </c>
      <c r="AH76" s="1452">
        <v>0</v>
      </c>
      <c r="AI76" s="1452">
        <v>0</v>
      </c>
      <c r="AJ76" s="1452">
        <v>0</v>
      </c>
      <c r="AK76" s="1452">
        <v>0</v>
      </c>
      <c r="AL76" s="1452">
        <v>0</v>
      </c>
      <c r="AM76" s="1452">
        <v>0</v>
      </c>
      <c r="AN76" s="1452">
        <v>0</v>
      </c>
      <c r="AO76" s="1452">
        <v>0</v>
      </c>
      <c r="AP76" s="1452">
        <v>0</v>
      </c>
      <c r="AQ76" s="1452">
        <v>0</v>
      </c>
      <c r="AR76" s="1452">
        <v>0</v>
      </c>
      <c r="AS76" s="1452">
        <v>0</v>
      </c>
      <c r="AT76" s="1452">
        <v>0</v>
      </c>
      <c r="AU76" s="1452">
        <v>0</v>
      </c>
      <c r="AV76" s="1452">
        <v>0</v>
      </c>
      <c r="AW76" s="1452">
        <v>0</v>
      </c>
      <c r="AX76" s="1452">
        <v>0</v>
      </c>
      <c r="AY76" s="1452">
        <v>0</v>
      </c>
      <c r="AZ76" s="1452">
        <v>0</v>
      </c>
      <c r="BA76" s="1453">
        <f t="shared" si="41"/>
        <v>8570.0217304093494</v>
      </c>
    </row>
    <row r="77" spans="1:53">
      <c r="A77" s="1445"/>
      <c r="B77" s="1443" t="s">
        <v>599</v>
      </c>
      <c r="C77" s="1440"/>
      <c r="D77" s="1440"/>
      <c r="E77" s="1452">
        <v>0</v>
      </c>
      <c r="F77" s="1452">
        <v>0</v>
      </c>
      <c r="G77" s="1452">
        <v>0</v>
      </c>
      <c r="H77" s="1452">
        <v>0</v>
      </c>
      <c r="I77" s="1452">
        <v>0</v>
      </c>
      <c r="J77" s="1452">
        <v>0</v>
      </c>
      <c r="K77" s="1452">
        <v>0</v>
      </c>
      <c r="L77" s="1452">
        <v>0</v>
      </c>
      <c r="M77" s="1452">
        <v>0</v>
      </c>
      <c r="N77" s="1452">
        <v>0</v>
      </c>
      <c r="O77" s="1452">
        <v>0</v>
      </c>
      <c r="P77" s="1452">
        <v>0</v>
      </c>
      <c r="Q77" s="1452">
        <v>0</v>
      </c>
      <c r="R77" s="1452">
        <v>0</v>
      </c>
      <c r="S77" s="1452">
        <v>0</v>
      </c>
      <c r="T77" s="1452">
        <v>0</v>
      </c>
      <c r="U77" s="1452">
        <v>104.76570326409495</v>
      </c>
      <c r="V77" s="1452">
        <v>0</v>
      </c>
      <c r="W77" s="1452">
        <v>638.97383337127246</v>
      </c>
      <c r="X77" s="1452">
        <v>488.21542699724517</v>
      </c>
      <c r="Y77" s="1452">
        <v>0</v>
      </c>
      <c r="Z77" s="1452">
        <v>0</v>
      </c>
      <c r="AA77" s="1452">
        <v>197.61140296979008</v>
      </c>
      <c r="AB77" s="1452">
        <v>0</v>
      </c>
      <c r="AC77" s="1452">
        <v>0</v>
      </c>
      <c r="AD77" s="1452">
        <v>0</v>
      </c>
      <c r="AE77" s="1452">
        <v>0</v>
      </c>
      <c r="AF77" s="1452">
        <v>0</v>
      </c>
      <c r="AG77" s="1452">
        <v>0</v>
      </c>
      <c r="AH77" s="1452">
        <v>0</v>
      </c>
      <c r="AI77" s="1452">
        <v>0</v>
      </c>
      <c r="AJ77" s="1452">
        <v>0</v>
      </c>
      <c r="AK77" s="1452">
        <v>0</v>
      </c>
      <c r="AL77" s="1452">
        <v>0</v>
      </c>
      <c r="AM77" s="1452">
        <v>0</v>
      </c>
      <c r="AN77" s="1452">
        <v>0</v>
      </c>
      <c r="AO77" s="1452">
        <v>0</v>
      </c>
      <c r="AP77" s="1452">
        <v>0</v>
      </c>
      <c r="AQ77" s="1452">
        <v>0</v>
      </c>
      <c r="AR77" s="1452">
        <v>0</v>
      </c>
      <c r="AS77" s="1452">
        <v>0</v>
      </c>
      <c r="AT77" s="1452">
        <v>0</v>
      </c>
      <c r="AU77" s="1452">
        <v>0</v>
      </c>
      <c r="AV77" s="1452">
        <v>0</v>
      </c>
      <c r="AW77" s="1452">
        <v>0</v>
      </c>
      <c r="AX77" s="1452">
        <v>0</v>
      </c>
      <c r="AY77" s="1452">
        <v>0</v>
      </c>
      <c r="AZ77" s="1452">
        <v>0</v>
      </c>
      <c r="BA77" s="1453">
        <f t="shared" si="41"/>
        <v>1429.5663666024027</v>
      </c>
    </row>
    <row r="78" spans="1:53">
      <c r="A78" s="1445"/>
      <c r="B78" s="1443" t="s">
        <v>600</v>
      </c>
      <c r="C78" s="1440"/>
      <c r="D78" s="1440"/>
      <c r="E78" s="1452">
        <v>0</v>
      </c>
      <c r="F78" s="1452">
        <v>0</v>
      </c>
      <c r="G78" s="1452">
        <v>0</v>
      </c>
      <c r="H78" s="1452">
        <v>0</v>
      </c>
      <c r="I78" s="1452">
        <v>0</v>
      </c>
      <c r="J78" s="1452">
        <v>0</v>
      </c>
      <c r="K78" s="1452">
        <v>0</v>
      </c>
      <c r="L78" s="1452">
        <v>0</v>
      </c>
      <c r="M78" s="1452">
        <v>0</v>
      </c>
      <c r="N78" s="1452">
        <v>252.84752951096121</v>
      </c>
      <c r="O78" s="1452">
        <v>77.09087468460892</v>
      </c>
      <c r="P78" s="1452">
        <v>103.23811889525092</v>
      </c>
      <c r="Q78" s="1452">
        <v>106.2441054551484</v>
      </c>
      <c r="R78" s="1452">
        <v>23.555944162436546</v>
      </c>
      <c r="S78" s="1452">
        <v>21.038226462611394</v>
      </c>
      <c r="T78" s="1452">
        <v>12.694877505567929</v>
      </c>
      <c r="U78" s="1452">
        <v>9.2324094955489624</v>
      </c>
      <c r="V78" s="1452">
        <v>2.7696925754060326</v>
      </c>
      <c r="W78" s="1452">
        <v>0</v>
      </c>
      <c r="X78" s="1452">
        <v>27.059658402203858</v>
      </c>
      <c r="Y78" s="1452">
        <v>23.49227517093794</v>
      </c>
      <c r="Z78" s="1452">
        <v>25.521417052489205</v>
      </c>
      <c r="AA78" s="1452">
        <v>19.047619047619047</v>
      </c>
      <c r="AB78" s="1452">
        <v>0</v>
      </c>
      <c r="AC78" s="1452">
        <v>0</v>
      </c>
      <c r="AD78" s="1452">
        <v>0</v>
      </c>
      <c r="AE78" s="1452">
        <v>0</v>
      </c>
      <c r="AF78" s="1452">
        <v>0</v>
      </c>
      <c r="AG78" s="1452">
        <v>0</v>
      </c>
      <c r="AH78" s="1452">
        <v>0</v>
      </c>
      <c r="AI78" s="1452">
        <v>0</v>
      </c>
      <c r="AJ78" s="1452">
        <v>0</v>
      </c>
      <c r="AK78" s="1452">
        <v>0</v>
      </c>
      <c r="AL78" s="1452">
        <v>0</v>
      </c>
      <c r="AM78" s="1452">
        <v>0</v>
      </c>
      <c r="AN78" s="1452">
        <v>0</v>
      </c>
      <c r="AO78" s="1452">
        <v>0</v>
      </c>
      <c r="AP78" s="1452">
        <v>0</v>
      </c>
      <c r="AQ78" s="1452">
        <v>0</v>
      </c>
      <c r="AR78" s="1452">
        <v>0</v>
      </c>
      <c r="AS78" s="1452">
        <v>0</v>
      </c>
      <c r="AT78" s="1452">
        <v>0</v>
      </c>
      <c r="AU78" s="1452">
        <v>0</v>
      </c>
      <c r="AV78" s="1452">
        <v>0</v>
      </c>
      <c r="AW78" s="1452">
        <v>0</v>
      </c>
      <c r="AX78" s="1452">
        <v>0</v>
      </c>
      <c r="AY78" s="1452">
        <v>0</v>
      </c>
      <c r="AZ78" s="1452">
        <v>0</v>
      </c>
      <c r="BA78" s="1453">
        <f t="shared" si="41"/>
        <v>703.83274842079015</v>
      </c>
    </row>
    <row r="79" spans="1:53">
      <c r="A79" s="1445"/>
      <c r="B79" s="1443" t="s">
        <v>1914</v>
      </c>
      <c r="C79" s="1440"/>
      <c r="D79" s="1440"/>
      <c r="E79" s="1452">
        <v>0</v>
      </c>
      <c r="F79" s="1452">
        <v>0</v>
      </c>
      <c r="G79" s="1452">
        <v>0</v>
      </c>
      <c r="H79" s="1452">
        <v>0</v>
      </c>
      <c r="I79" s="1452">
        <v>60.492290209790212</v>
      </c>
      <c r="J79" s="1452">
        <v>466.01193913043483</v>
      </c>
      <c r="K79" s="1452">
        <v>0</v>
      </c>
      <c r="L79" s="1452">
        <v>902.44755803955286</v>
      </c>
      <c r="M79" s="1452">
        <v>0</v>
      </c>
      <c r="N79" s="1452">
        <v>0</v>
      </c>
      <c r="O79" s="1452">
        <v>0</v>
      </c>
      <c r="P79" s="1452">
        <v>0</v>
      </c>
      <c r="Q79" s="1452">
        <v>0</v>
      </c>
      <c r="R79" s="1452">
        <v>0</v>
      </c>
      <c r="S79" s="1452">
        <v>0</v>
      </c>
      <c r="T79" s="1452">
        <v>0</v>
      </c>
      <c r="U79" s="1452">
        <v>934.1471394658754</v>
      </c>
      <c r="V79" s="1452">
        <v>0</v>
      </c>
      <c r="W79" s="1452">
        <v>0</v>
      </c>
      <c r="X79" s="1452">
        <v>0</v>
      </c>
      <c r="Y79" s="1452">
        <v>0</v>
      </c>
      <c r="Z79" s="1452">
        <v>0</v>
      </c>
      <c r="AA79" s="1452">
        <v>0</v>
      </c>
      <c r="AB79" s="1452">
        <v>0</v>
      </c>
      <c r="AC79" s="1452">
        <v>0</v>
      </c>
      <c r="AD79" s="1452">
        <v>0</v>
      </c>
      <c r="AE79" s="1452">
        <v>0</v>
      </c>
      <c r="AF79" s="1452">
        <v>0</v>
      </c>
      <c r="AG79" s="1452">
        <v>0</v>
      </c>
      <c r="AH79" s="1452">
        <v>0</v>
      </c>
      <c r="AI79" s="1452">
        <v>0</v>
      </c>
      <c r="AJ79" s="1452">
        <v>0</v>
      </c>
      <c r="AK79" s="1452">
        <v>0</v>
      </c>
      <c r="AL79" s="1452">
        <v>0</v>
      </c>
      <c r="AM79" s="1452">
        <v>0</v>
      </c>
      <c r="AN79" s="1452">
        <v>0</v>
      </c>
      <c r="AO79" s="1452">
        <v>0</v>
      </c>
      <c r="AP79" s="1452">
        <v>0</v>
      </c>
      <c r="AQ79" s="1452">
        <v>0</v>
      </c>
      <c r="AR79" s="1452">
        <v>0</v>
      </c>
      <c r="AS79" s="1452">
        <v>0</v>
      </c>
      <c r="AT79" s="1452">
        <v>0</v>
      </c>
      <c r="AU79" s="1452">
        <v>0</v>
      </c>
      <c r="AV79" s="1452">
        <v>0</v>
      </c>
      <c r="AW79" s="1452">
        <v>0</v>
      </c>
      <c r="AX79" s="1452">
        <v>0</v>
      </c>
      <c r="AY79" s="1452">
        <v>0</v>
      </c>
      <c r="AZ79" s="1452">
        <v>0</v>
      </c>
      <c r="BA79" s="1453">
        <f t="shared" si="41"/>
        <v>2363.0989268456533</v>
      </c>
    </row>
    <row r="80" spans="1:53">
      <c r="A80" s="1445"/>
      <c r="B80" s="1443" t="s">
        <v>601</v>
      </c>
      <c r="C80" s="1440"/>
      <c r="D80" s="1440"/>
      <c r="E80" s="1452">
        <v>0</v>
      </c>
      <c r="F80" s="1452">
        <v>0</v>
      </c>
      <c r="G80" s="1452">
        <v>0</v>
      </c>
      <c r="H80" s="1452">
        <v>0</v>
      </c>
      <c r="I80" s="1452">
        <v>0</v>
      </c>
      <c r="J80" s="1452">
        <v>0</v>
      </c>
      <c r="K80" s="1452">
        <v>0</v>
      </c>
      <c r="L80" s="1452">
        <v>0</v>
      </c>
      <c r="M80" s="1452">
        <v>0</v>
      </c>
      <c r="N80" s="1452">
        <v>0</v>
      </c>
      <c r="O80" s="1452">
        <v>859.46677880571906</v>
      </c>
      <c r="P80" s="1452">
        <v>0</v>
      </c>
      <c r="Q80" s="1452">
        <v>90.917783120543859</v>
      </c>
      <c r="R80" s="1452">
        <v>0</v>
      </c>
      <c r="S80" s="1452">
        <v>0</v>
      </c>
      <c r="T80" s="1452">
        <v>0</v>
      </c>
      <c r="U80" s="1452">
        <v>0</v>
      </c>
      <c r="V80" s="1452">
        <v>447.80950116009279</v>
      </c>
      <c r="W80" s="1452">
        <v>61.358638743455494</v>
      </c>
      <c r="X80" s="1452">
        <v>0</v>
      </c>
      <c r="Y80" s="1452">
        <v>0</v>
      </c>
      <c r="Z80" s="1452">
        <v>0</v>
      </c>
      <c r="AA80" s="1452">
        <v>0</v>
      </c>
      <c r="AB80" s="1452">
        <v>0</v>
      </c>
      <c r="AC80" s="1452">
        <v>0</v>
      </c>
      <c r="AD80" s="1452">
        <v>0</v>
      </c>
      <c r="AE80" s="1452">
        <v>0</v>
      </c>
      <c r="AF80" s="1452">
        <v>0</v>
      </c>
      <c r="AG80" s="1452">
        <v>0</v>
      </c>
      <c r="AH80" s="1452">
        <v>0</v>
      </c>
      <c r="AI80" s="1452">
        <v>0</v>
      </c>
      <c r="AJ80" s="1452">
        <v>0</v>
      </c>
      <c r="AK80" s="1452">
        <v>0</v>
      </c>
      <c r="AL80" s="1452">
        <v>0</v>
      </c>
      <c r="AM80" s="1452">
        <v>0</v>
      </c>
      <c r="AN80" s="1452">
        <v>0</v>
      </c>
      <c r="AO80" s="1452">
        <v>0</v>
      </c>
      <c r="AP80" s="1452">
        <v>0</v>
      </c>
      <c r="AQ80" s="1452">
        <v>0</v>
      </c>
      <c r="AR80" s="1452">
        <v>0</v>
      </c>
      <c r="AS80" s="1452">
        <v>0</v>
      </c>
      <c r="AT80" s="1452">
        <v>0</v>
      </c>
      <c r="AU80" s="1452">
        <v>0</v>
      </c>
      <c r="AV80" s="1452">
        <v>0</v>
      </c>
      <c r="AW80" s="1452">
        <v>0</v>
      </c>
      <c r="AX80" s="1452">
        <v>0</v>
      </c>
      <c r="AY80" s="1452">
        <v>0</v>
      </c>
      <c r="AZ80" s="1452">
        <v>0</v>
      </c>
      <c r="BA80" s="1453">
        <f t="shared" si="41"/>
        <v>1459.5527018298112</v>
      </c>
    </row>
    <row r="81" spans="1:53">
      <c r="A81" s="1445"/>
      <c r="B81" s="1443" t="s">
        <v>1</v>
      </c>
      <c r="C81" s="1440"/>
      <c r="D81" s="1440"/>
      <c r="E81" s="1452">
        <v>0</v>
      </c>
      <c r="F81" s="1452">
        <v>0</v>
      </c>
      <c r="G81" s="1452">
        <v>0</v>
      </c>
      <c r="H81" s="1452">
        <v>0</v>
      </c>
      <c r="I81" s="1452">
        <v>0</v>
      </c>
      <c r="J81" s="1452">
        <v>0</v>
      </c>
      <c r="K81" s="1452">
        <v>0</v>
      </c>
      <c r="L81" s="1452">
        <v>0</v>
      </c>
      <c r="M81" s="1452">
        <v>0</v>
      </c>
      <c r="N81" s="1452">
        <v>0</v>
      </c>
      <c r="O81" s="1452">
        <v>0</v>
      </c>
      <c r="P81" s="1452">
        <v>0</v>
      </c>
      <c r="Q81" s="1452">
        <v>0</v>
      </c>
      <c r="R81" s="1452">
        <v>0</v>
      </c>
      <c r="S81" s="1452">
        <v>0</v>
      </c>
      <c r="T81" s="1452">
        <v>0</v>
      </c>
      <c r="U81" s="1452">
        <v>0</v>
      </c>
      <c r="V81" s="1452">
        <v>0</v>
      </c>
      <c r="W81" s="1452">
        <v>0</v>
      </c>
      <c r="X81" s="1452">
        <v>0</v>
      </c>
      <c r="Y81" s="1452">
        <v>0</v>
      </c>
      <c r="Z81" s="1452">
        <v>0</v>
      </c>
      <c r="AA81" s="1452">
        <v>0</v>
      </c>
      <c r="AB81" s="1452">
        <v>0</v>
      </c>
      <c r="AC81" s="1452">
        <v>0</v>
      </c>
      <c r="AD81" s="1452">
        <v>0</v>
      </c>
      <c r="AE81" s="1452">
        <v>0</v>
      </c>
      <c r="AF81" s="1452">
        <v>0</v>
      </c>
      <c r="AG81" s="1452">
        <v>0</v>
      </c>
      <c r="AH81" s="1452">
        <v>0</v>
      </c>
      <c r="AI81" s="1452">
        <v>0</v>
      </c>
      <c r="AJ81" s="1452">
        <v>0</v>
      </c>
      <c r="AK81" s="1452">
        <v>0</v>
      </c>
      <c r="AL81" s="1452">
        <v>0</v>
      </c>
      <c r="AM81" s="1452">
        <v>0</v>
      </c>
      <c r="AN81" s="1452">
        <v>0</v>
      </c>
      <c r="AO81" s="1452">
        <v>0</v>
      </c>
      <c r="AP81" s="1452">
        <v>0</v>
      </c>
      <c r="AQ81" s="1452">
        <v>0</v>
      </c>
      <c r="AR81" s="1452">
        <v>0</v>
      </c>
      <c r="AS81" s="1452">
        <v>0</v>
      </c>
      <c r="AT81" s="1452">
        <v>0</v>
      </c>
      <c r="AU81" s="1452">
        <v>0</v>
      </c>
      <c r="AV81" s="1452">
        <v>0</v>
      </c>
      <c r="AW81" s="1452">
        <v>0</v>
      </c>
      <c r="AX81" s="1452">
        <v>0</v>
      </c>
      <c r="AY81" s="1452">
        <v>0</v>
      </c>
      <c r="AZ81" s="1452">
        <v>0</v>
      </c>
      <c r="BA81" s="1453">
        <f t="shared" si="41"/>
        <v>0</v>
      </c>
    </row>
    <row r="82" spans="1:53">
      <c r="A82" s="1445"/>
      <c r="B82" s="1443" t="s">
        <v>602</v>
      </c>
      <c r="C82" s="1440"/>
      <c r="D82" s="1440"/>
      <c r="E82" s="1452">
        <v>0</v>
      </c>
      <c r="F82" s="1452">
        <v>0</v>
      </c>
      <c r="G82" s="1452">
        <v>0</v>
      </c>
      <c r="H82" s="1452">
        <v>0</v>
      </c>
      <c r="I82" s="1452">
        <v>0</v>
      </c>
      <c r="J82" s="1452">
        <v>0</v>
      </c>
      <c r="K82" s="1452">
        <v>0</v>
      </c>
      <c r="L82" s="1452">
        <v>0</v>
      </c>
      <c r="M82" s="1452">
        <v>0</v>
      </c>
      <c r="N82" s="1452">
        <v>0</v>
      </c>
      <c r="O82" s="1452">
        <v>0</v>
      </c>
      <c r="P82" s="1452">
        <v>0</v>
      </c>
      <c r="Q82" s="1452">
        <v>0</v>
      </c>
      <c r="R82" s="1452">
        <v>0</v>
      </c>
      <c r="S82" s="1452">
        <v>0</v>
      </c>
      <c r="T82" s="1452">
        <v>0</v>
      </c>
      <c r="U82" s="1452">
        <v>0</v>
      </c>
      <c r="V82" s="1452">
        <v>0</v>
      </c>
      <c r="W82" s="1452">
        <v>0</v>
      </c>
      <c r="X82" s="1452">
        <v>0</v>
      </c>
      <c r="Y82" s="1452">
        <v>0</v>
      </c>
      <c r="Z82" s="1452">
        <v>252.97768298392552</v>
      </c>
      <c r="AA82" s="1452">
        <v>373.58525345622121</v>
      </c>
      <c r="AB82" s="1452">
        <v>0</v>
      </c>
      <c r="AC82" s="1452">
        <v>0</v>
      </c>
      <c r="AD82" s="1452">
        <v>0</v>
      </c>
      <c r="AE82" s="1452">
        <v>0</v>
      </c>
      <c r="AF82" s="1452">
        <v>0</v>
      </c>
      <c r="AG82" s="1452">
        <v>0</v>
      </c>
      <c r="AH82" s="1452">
        <v>0</v>
      </c>
      <c r="AI82" s="1452">
        <v>0</v>
      </c>
      <c r="AJ82" s="1452">
        <v>0</v>
      </c>
      <c r="AK82" s="1452">
        <v>0</v>
      </c>
      <c r="AL82" s="1452">
        <v>0</v>
      </c>
      <c r="AM82" s="1452">
        <v>0</v>
      </c>
      <c r="AN82" s="1452">
        <v>0</v>
      </c>
      <c r="AO82" s="1452">
        <v>0</v>
      </c>
      <c r="AP82" s="1452">
        <v>0</v>
      </c>
      <c r="AQ82" s="1452">
        <v>0</v>
      </c>
      <c r="AR82" s="1452">
        <v>0</v>
      </c>
      <c r="AS82" s="1452">
        <v>0</v>
      </c>
      <c r="AT82" s="1452">
        <v>0</v>
      </c>
      <c r="AU82" s="1452">
        <v>0</v>
      </c>
      <c r="AV82" s="1452">
        <v>0</v>
      </c>
      <c r="AW82" s="1452">
        <v>0</v>
      </c>
      <c r="AX82" s="1452">
        <v>0</v>
      </c>
      <c r="AY82" s="1452">
        <v>0</v>
      </c>
      <c r="AZ82" s="1452">
        <v>0</v>
      </c>
      <c r="BA82" s="1453">
        <f t="shared" si="41"/>
        <v>626.5629364401467</v>
      </c>
    </row>
    <row r="83" spans="1:53">
      <c r="A83" s="1445"/>
      <c r="B83" s="1443" t="s">
        <v>4</v>
      </c>
      <c r="C83" s="1440"/>
      <c r="D83" s="1440"/>
      <c r="E83" s="1452">
        <v>0</v>
      </c>
      <c r="F83" s="1452">
        <v>0</v>
      </c>
      <c r="G83" s="1452">
        <v>0</v>
      </c>
      <c r="H83" s="1452">
        <v>0</v>
      </c>
      <c r="I83" s="1452">
        <v>0</v>
      </c>
      <c r="J83" s="1452">
        <v>0</v>
      </c>
      <c r="K83" s="1452">
        <v>0</v>
      </c>
      <c r="L83" s="1452">
        <v>0</v>
      </c>
      <c r="M83" s="1452">
        <v>0</v>
      </c>
      <c r="N83" s="1452">
        <v>0</v>
      </c>
      <c r="O83" s="1452">
        <v>0</v>
      </c>
      <c r="P83" s="1452">
        <v>0</v>
      </c>
      <c r="Q83" s="1452">
        <v>0</v>
      </c>
      <c r="R83" s="1452">
        <v>0</v>
      </c>
      <c r="S83" s="1452">
        <v>0</v>
      </c>
      <c r="T83" s="1452">
        <v>0</v>
      </c>
      <c r="U83" s="1452">
        <v>0</v>
      </c>
      <c r="V83" s="1452">
        <v>0</v>
      </c>
      <c r="W83" s="1452">
        <v>0</v>
      </c>
      <c r="X83" s="1452">
        <v>0</v>
      </c>
      <c r="Y83" s="1452">
        <v>0</v>
      </c>
      <c r="Z83" s="1452">
        <v>0</v>
      </c>
      <c r="AA83" s="1452">
        <v>0</v>
      </c>
      <c r="AB83" s="1452">
        <v>0</v>
      </c>
      <c r="AC83" s="1452">
        <v>0</v>
      </c>
      <c r="AD83" s="1452">
        <v>0</v>
      </c>
      <c r="AE83" s="1452">
        <v>0</v>
      </c>
      <c r="AF83" s="1452">
        <v>0</v>
      </c>
      <c r="AG83" s="1452">
        <v>0</v>
      </c>
      <c r="AH83" s="1452">
        <v>0</v>
      </c>
      <c r="AI83" s="1452">
        <v>0</v>
      </c>
      <c r="AJ83" s="1452">
        <v>0</v>
      </c>
      <c r="AK83" s="1452">
        <v>0</v>
      </c>
      <c r="AL83" s="1452">
        <v>0</v>
      </c>
      <c r="AM83" s="1452">
        <v>0</v>
      </c>
      <c r="AN83" s="1452">
        <v>0</v>
      </c>
      <c r="AO83" s="1452">
        <v>0</v>
      </c>
      <c r="AP83" s="1452">
        <v>0</v>
      </c>
      <c r="AQ83" s="1452">
        <v>0</v>
      </c>
      <c r="AR83" s="1452">
        <v>0</v>
      </c>
      <c r="AS83" s="1452">
        <v>0</v>
      </c>
      <c r="AT83" s="1452">
        <v>0</v>
      </c>
      <c r="AU83" s="1452">
        <v>0</v>
      </c>
      <c r="AV83" s="1452">
        <v>0</v>
      </c>
      <c r="AW83" s="1452">
        <v>0</v>
      </c>
      <c r="AX83" s="1452">
        <v>0</v>
      </c>
      <c r="AY83" s="1452">
        <v>0</v>
      </c>
      <c r="AZ83" s="1452">
        <v>0</v>
      </c>
      <c r="BA83" s="1453">
        <f t="shared" si="41"/>
        <v>0</v>
      </c>
    </row>
    <row r="84" spans="1:53">
      <c r="A84" s="1445"/>
      <c r="B84" s="1443" t="s">
        <v>3</v>
      </c>
      <c r="C84" s="1440"/>
      <c r="D84" s="1440"/>
      <c r="E84" s="1452">
        <v>0</v>
      </c>
      <c r="F84" s="1452">
        <v>0</v>
      </c>
      <c r="G84" s="1452">
        <v>0</v>
      </c>
      <c r="H84" s="1452">
        <v>0</v>
      </c>
      <c r="I84" s="1452">
        <v>0</v>
      </c>
      <c r="J84" s="1452">
        <v>0</v>
      </c>
      <c r="K84" s="1452">
        <v>0</v>
      </c>
      <c r="L84" s="1452">
        <v>0</v>
      </c>
      <c r="M84" s="1452">
        <v>0</v>
      </c>
      <c r="N84" s="1452">
        <v>0</v>
      </c>
      <c r="O84" s="1452">
        <v>0</v>
      </c>
      <c r="P84" s="1452">
        <v>0</v>
      </c>
      <c r="Q84" s="1452">
        <v>0</v>
      </c>
      <c r="R84" s="1452">
        <v>0</v>
      </c>
      <c r="S84" s="1452">
        <v>0</v>
      </c>
      <c r="T84" s="1452">
        <v>0</v>
      </c>
      <c r="U84" s="1452">
        <v>0</v>
      </c>
      <c r="V84" s="1452">
        <v>0</v>
      </c>
      <c r="W84" s="1452">
        <v>0</v>
      </c>
      <c r="X84" s="1452">
        <v>0</v>
      </c>
      <c r="Y84" s="1452">
        <v>0</v>
      </c>
      <c r="Z84" s="1452">
        <v>0</v>
      </c>
      <c r="AA84" s="1452">
        <v>0</v>
      </c>
      <c r="AB84" s="1452">
        <v>0</v>
      </c>
      <c r="AC84" s="1452">
        <v>0</v>
      </c>
      <c r="AD84" s="1452">
        <v>653.32889480692404</v>
      </c>
      <c r="AE84" s="1452">
        <v>0</v>
      </c>
      <c r="AF84" s="1452">
        <v>0</v>
      </c>
      <c r="AG84" s="1452">
        <v>0</v>
      </c>
      <c r="AH84" s="1452">
        <v>0</v>
      </c>
      <c r="AI84" s="1452">
        <v>0</v>
      </c>
      <c r="AJ84" s="1452">
        <v>0</v>
      </c>
      <c r="AK84" s="1452">
        <v>0</v>
      </c>
      <c r="AL84" s="1452">
        <v>0</v>
      </c>
      <c r="AM84" s="1452">
        <v>0</v>
      </c>
      <c r="AN84" s="1452">
        <v>0</v>
      </c>
      <c r="AO84" s="1452">
        <v>0</v>
      </c>
      <c r="AP84" s="1452">
        <v>0</v>
      </c>
      <c r="AQ84" s="1452">
        <v>0</v>
      </c>
      <c r="AR84" s="1452">
        <v>0</v>
      </c>
      <c r="AS84" s="1452">
        <v>0</v>
      </c>
      <c r="AT84" s="1452">
        <v>0</v>
      </c>
      <c r="AU84" s="1452">
        <v>0</v>
      </c>
      <c r="AV84" s="1452">
        <v>0</v>
      </c>
      <c r="AW84" s="1452">
        <v>0</v>
      </c>
      <c r="AX84" s="1452">
        <v>0</v>
      </c>
      <c r="AY84" s="1452">
        <v>0</v>
      </c>
      <c r="AZ84" s="1452">
        <v>0</v>
      </c>
      <c r="BA84" s="1453">
        <f t="shared" si="41"/>
        <v>653.32889480692404</v>
      </c>
    </row>
    <row r="85" spans="1:53">
      <c r="A85" s="1445"/>
      <c r="B85" s="1443" t="s">
        <v>525</v>
      </c>
      <c r="C85" s="1440"/>
      <c r="D85" s="1440"/>
      <c r="E85" s="1452">
        <v>0</v>
      </c>
      <c r="F85" s="1452">
        <v>0</v>
      </c>
      <c r="G85" s="1452">
        <v>0</v>
      </c>
      <c r="H85" s="1452">
        <v>0</v>
      </c>
      <c r="I85" s="1452">
        <v>0</v>
      </c>
      <c r="J85" s="1452">
        <v>0</v>
      </c>
      <c r="K85" s="1452">
        <v>0</v>
      </c>
      <c r="L85" s="1452">
        <v>0</v>
      </c>
      <c r="M85" s="1452">
        <v>0</v>
      </c>
      <c r="N85" s="1452">
        <v>0</v>
      </c>
      <c r="O85" s="1452">
        <v>0</v>
      </c>
      <c r="P85" s="1452">
        <v>0</v>
      </c>
      <c r="Q85" s="1452">
        <v>0</v>
      </c>
      <c r="R85" s="1452">
        <v>0</v>
      </c>
      <c r="S85" s="1452">
        <v>0</v>
      </c>
      <c r="T85" s="1452">
        <v>0</v>
      </c>
      <c r="U85" s="1452">
        <v>0</v>
      </c>
      <c r="V85" s="1452">
        <v>0</v>
      </c>
      <c r="W85" s="1452">
        <v>0</v>
      </c>
      <c r="X85" s="1452">
        <v>0</v>
      </c>
      <c r="Y85" s="1452">
        <v>0</v>
      </c>
      <c r="Z85" s="1452">
        <v>0</v>
      </c>
      <c r="AA85" s="1452">
        <v>0</v>
      </c>
      <c r="AB85" s="1452">
        <v>0</v>
      </c>
      <c r="AC85" s="1452">
        <v>0</v>
      </c>
      <c r="AD85" s="1452">
        <v>0</v>
      </c>
      <c r="AE85" s="1452">
        <v>0</v>
      </c>
      <c r="AF85" s="1452">
        <v>0</v>
      </c>
      <c r="AG85" s="1452">
        <v>0</v>
      </c>
      <c r="AH85" s="1452">
        <v>0</v>
      </c>
      <c r="AI85" s="1452">
        <v>0</v>
      </c>
      <c r="AJ85" s="1452">
        <v>0</v>
      </c>
      <c r="AK85" s="1452">
        <v>0</v>
      </c>
      <c r="AL85" s="1452">
        <v>0</v>
      </c>
      <c r="AM85" s="1452">
        <v>0</v>
      </c>
      <c r="AN85" s="1452">
        <v>0</v>
      </c>
      <c r="AO85" s="1452">
        <v>0</v>
      </c>
      <c r="AP85" s="1452">
        <v>0</v>
      </c>
      <c r="AQ85" s="1452">
        <v>0</v>
      </c>
      <c r="AR85" s="1452">
        <v>0</v>
      </c>
      <c r="AS85" s="1452">
        <v>0</v>
      </c>
      <c r="AT85" s="1452">
        <v>0</v>
      </c>
      <c r="AU85" s="1452">
        <v>0</v>
      </c>
      <c r="AV85" s="1452">
        <v>0</v>
      </c>
      <c r="AW85" s="1452">
        <v>0</v>
      </c>
      <c r="AX85" s="1452">
        <v>0</v>
      </c>
      <c r="AY85" s="1452">
        <v>0</v>
      </c>
      <c r="AZ85" s="1452">
        <v>0</v>
      </c>
      <c r="BA85" s="1453">
        <f t="shared" si="41"/>
        <v>0</v>
      </c>
    </row>
    <row r="86" spans="1:53">
      <c r="A86" s="1445"/>
      <c r="B86" s="1443" t="s">
        <v>2</v>
      </c>
      <c r="C86" s="1440"/>
      <c r="D86" s="1440"/>
      <c r="E86" s="1454">
        <v>217.68458781362006</v>
      </c>
      <c r="F86" s="1454">
        <v>598.66518254674986</v>
      </c>
      <c r="G86" s="1454">
        <v>470.54265611257694</v>
      </c>
      <c r="H86" s="1454">
        <v>1352.7625329815303</v>
      </c>
      <c r="I86" s="1454">
        <v>3910.0559440559441</v>
      </c>
      <c r="J86" s="1454">
        <v>1334.5060869565218</v>
      </c>
      <c r="K86" s="1454">
        <v>1134.6447709593779</v>
      </c>
      <c r="L86" s="1454">
        <v>980.8297506448838</v>
      </c>
      <c r="M86" s="1454">
        <v>0</v>
      </c>
      <c r="N86" s="1454">
        <v>4247.1453119730186</v>
      </c>
      <c r="O86" s="1454">
        <v>364.85736753574429</v>
      </c>
      <c r="P86" s="1454">
        <v>3503.6377484001346</v>
      </c>
      <c r="Q86" s="1454">
        <v>931.06389487647164</v>
      </c>
      <c r="R86" s="1454">
        <v>437.83147208121824</v>
      </c>
      <c r="S86" s="1454">
        <v>1084.6929484695854</v>
      </c>
      <c r="T86" s="1454">
        <v>1281.8211080178173</v>
      </c>
      <c r="U86" s="1454">
        <v>1416.9481008902076</v>
      </c>
      <c r="V86" s="1454">
        <v>1244.3863109048723</v>
      </c>
      <c r="W86" s="1454">
        <v>0</v>
      </c>
      <c r="X86" s="1454">
        <v>1930.117443526171</v>
      </c>
      <c r="Y86" s="1454">
        <v>913.36499817318236</v>
      </c>
      <c r="Z86" s="1454">
        <v>1047.3828226603548</v>
      </c>
      <c r="AA86" s="1454">
        <v>1001.7245263696876</v>
      </c>
      <c r="AB86" s="1454">
        <v>1203.6765017943517</v>
      </c>
      <c r="AC86" s="1454">
        <v>1889.5656791503634</v>
      </c>
      <c r="AD86" s="1454">
        <v>0</v>
      </c>
      <c r="AE86" s="1454">
        <v>3040.928715988307</v>
      </c>
      <c r="AF86" s="1454">
        <v>1783.9758141132031</v>
      </c>
      <c r="AG86" s="1454">
        <v>0</v>
      </c>
      <c r="AH86" s="1454">
        <v>0</v>
      </c>
      <c r="AI86" s="1454">
        <v>0</v>
      </c>
      <c r="AJ86" s="1454">
        <v>0</v>
      </c>
      <c r="AK86" s="1454">
        <v>0</v>
      </c>
      <c r="AL86" s="1454">
        <v>0</v>
      </c>
      <c r="AM86" s="1454">
        <v>0</v>
      </c>
      <c r="AN86" s="1454">
        <v>0</v>
      </c>
      <c r="AO86" s="1454">
        <v>0</v>
      </c>
      <c r="AP86" s="1454">
        <v>0</v>
      </c>
      <c r="AQ86" s="1454">
        <v>0</v>
      </c>
      <c r="AR86" s="1454">
        <v>0</v>
      </c>
      <c r="AS86" s="1454">
        <v>0</v>
      </c>
      <c r="AT86" s="1454">
        <v>0</v>
      </c>
      <c r="AU86" s="1454">
        <v>0</v>
      </c>
      <c r="AV86" s="1454">
        <v>0</v>
      </c>
      <c r="AW86" s="1454">
        <v>0</v>
      </c>
      <c r="AX86" s="1454">
        <v>0</v>
      </c>
      <c r="AY86" s="1454">
        <v>0</v>
      </c>
      <c r="AZ86" s="1454">
        <v>1783.9758141132031</v>
      </c>
      <c r="BA86" s="1455">
        <f>SUM(E86:AY86)</f>
        <v>37322.812276995901</v>
      </c>
    </row>
    <row r="87" spans="1:53">
      <c r="A87" s="1445"/>
      <c r="B87" s="1449" t="s">
        <v>603</v>
      </c>
      <c r="C87" s="1440"/>
      <c r="D87" s="1440"/>
      <c r="E87" s="1456">
        <f>SUM(E73:E86)</f>
        <v>6003.235663082437</v>
      </c>
      <c r="F87" s="1456">
        <f t="shared" ref="F87:AB87" si="42">SUM(F73:F86)</f>
        <v>598.66518254674986</v>
      </c>
      <c r="G87" s="1456">
        <f t="shared" si="42"/>
        <v>3329.6153006156551</v>
      </c>
      <c r="H87" s="1456">
        <f t="shared" si="42"/>
        <v>9253.8536561037818</v>
      </c>
      <c r="I87" s="1456">
        <f t="shared" si="42"/>
        <v>11579.769929462413</v>
      </c>
      <c r="J87" s="1456">
        <f t="shared" si="42"/>
        <v>4361.2638506782605</v>
      </c>
      <c r="K87" s="1456">
        <f t="shared" si="42"/>
        <v>20576.472186689716</v>
      </c>
      <c r="L87" s="1456">
        <f t="shared" si="42"/>
        <v>5131.3668787618226</v>
      </c>
      <c r="M87" s="1456">
        <f t="shared" si="42"/>
        <v>2817.1281223449446</v>
      </c>
      <c r="N87" s="1456">
        <f t="shared" si="42"/>
        <v>20703.336205733558</v>
      </c>
      <c r="O87" s="1456">
        <f t="shared" si="42"/>
        <v>3948.167140454163</v>
      </c>
      <c r="P87" s="1456">
        <f t="shared" si="42"/>
        <v>5242.1315426069377</v>
      </c>
      <c r="Q87" s="1456">
        <f t="shared" si="42"/>
        <v>23542.826314044112</v>
      </c>
      <c r="R87" s="1456">
        <f t="shared" si="42"/>
        <v>912.31472081218271</v>
      </c>
      <c r="S87" s="1456">
        <f t="shared" si="42"/>
        <v>1399.3952198760171</v>
      </c>
      <c r="T87" s="1456">
        <f t="shared" si="42"/>
        <v>2398.6947939866368</v>
      </c>
      <c r="U87" s="1456">
        <f t="shared" si="42"/>
        <v>15098.060836795252</v>
      </c>
      <c r="V87" s="1456">
        <f t="shared" si="42"/>
        <v>3122.7826450116008</v>
      </c>
      <c r="W87" s="1456">
        <f t="shared" si="42"/>
        <v>19287.311905303894</v>
      </c>
      <c r="X87" s="1456">
        <f t="shared" si="42"/>
        <v>5074.6807493112956</v>
      </c>
      <c r="Y87" s="1456">
        <f t="shared" si="42"/>
        <v>2942.6978339161751</v>
      </c>
      <c r="Z87" s="1456">
        <f t="shared" si="42"/>
        <v>3385.1638349893356</v>
      </c>
      <c r="AA87" s="1456">
        <f t="shared" si="42"/>
        <v>2984.3972401433689</v>
      </c>
      <c r="AB87" s="1456">
        <f t="shared" si="42"/>
        <v>2607.5681801633118</v>
      </c>
      <c r="AC87" s="1456">
        <f>SUM(AC73:AC86)</f>
        <v>2791.0829346003356</v>
      </c>
      <c r="AD87" s="1456">
        <f>SUM(AD73:AD86)</f>
        <v>1091.1476364846872</v>
      </c>
      <c r="AE87" s="1456">
        <f>SUM(AE73:AE86)</f>
        <v>3766.7078929615473</v>
      </c>
      <c r="AF87" s="1456">
        <f>SUM(AF73:AF86)</f>
        <v>2338.5543066445371</v>
      </c>
      <c r="AG87" s="1456">
        <f t="shared" ref="AG87:AZ87" si="43">SUM(AG73:AG86)</f>
        <v>0</v>
      </c>
      <c r="AH87" s="1456">
        <f t="shared" si="43"/>
        <v>0</v>
      </c>
      <c r="AI87" s="1456">
        <f t="shared" si="43"/>
        <v>0</v>
      </c>
      <c r="AJ87" s="1456">
        <f t="shared" si="43"/>
        <v>0</v>
      </c>
      <c r="AK87" s="1456">
        <f t="shared" si="43"/>
        <v>0</v>
      </c>
      <c r="AL87" s="1456">
        <f t="shared" si="43"/>
        <v>0</v>
      </c>
      <c r="AM87" s="1456">
        <f t="shared" si="43"/>
        <v>0</v>
      </c>
      <c r="AN87" s="1456">
        <f t="shared" si="43"/>
        <v>0</v>
      </c>
      <c r="AO87" s="1456">
        <f t="shared" si="43"/>
        <v>0</v>
      </c>
      <c r="AP87" s="1456">
        <f t="shared" si="43"/>
        <v>0</v>
      </c>
      <c r="AQ87" s="1456">
        <f t="shared" si="43"/>
        <v>0</v>
      </c>
      <c r="AR87" s="1456">
        <f t="shared" si="43"/>
        <v>0</v>
      </c>
      <c r="AS87" s="1456">
        <f t="shared" ref="AS87:AY87" si="44">SUM(AS73:AS86)</f>
        <v>0</v>
      </c>
      <c r="AT87" s="1456">
        <f t="shared" si="44"/>
        <v>0</v>
      </c>
      <c r="AU87" s="1456">
        <f t="shared" si="44"/>
        <v>0</v>
      </c>
      <c r="AV87" s="1456">
        <f t="shared" si="44"/>
        <v>0</v>
      </c>
      <c r="AW87" s="1456">
        <f t="shared" si="44"/>
        <v>0</v>
      </c>
      <c r="AX87" s="1456">
        <f t="shared" si="44"/>
        <v>0</v>
      </c>
      <c r="AY87" s="1456">
        <f t="shared" si="44"/>
        <v>0</v>
      </c>
      <c r="AZ87" s="1456">
        <f t="shared" si="43"/>
        <v>2338.5543066445371</v>
      </c>
      <c r="BA87" s="1453">
        <f>SUM(BA73:BA86)</f>
        <v>186288.39270412474</v>
      </c>
    </row>
    <row r="88" spans="1:53" ht="13.5" thickBot="1">
      <c r="A88" s="1457"/>
      <c r="B88" s="1458"/>
      <c r="C88" s="1458"/>
      <c r="D88" s="1458"/>
      <c r="E88" s="1458"/>
      <c r="F88" s="1458"/>
      <c r="G88" s="1458"/>
      <c r="H88" s="1458"/>
      <c r="I88" s="1458"/>
      <c r="J88" s="1458"/>
      <c r="K88" s="1458"/>
      <c r="L88" s="1458"/>
      <c r="M88" s="1458"/>
      <c r="N88" s="1458"/>
      <c r="O88" s="1458"/>
      <c r="P88" s="1458"/>
      <c r="Q88" s="1458"/>
      <c r="R88" s="1458"/>
      <c r="S88" s="1458"/>
      <c r="T88" s="1458"/>
      <c r="U88" s="1458"/>
      <c r="V88" s="1458"/>
      <c r="W88" s="1458"/>
      <c r="X88" s="1458"/>
      <c r="Y88" s="1458"/>
      <c r="Z88" s="1458"/>
      <c r="AA88" s="1458"/>
      <c r="AB88" s="1458"/>
      <c r="AC88" s="1458"/>
      <c r="AD88" s="1458"/>
      <c r="AE88" s="1458"/>
      <c r="AF88" s="1458"/>
      <c r="AG88" s="1458"/>
      <c r="AH88" s="1458"/>
      <c r="AI88" s="1458"/>
      <c r="AJ88" s="1458"/>
      <c r="AK88" s="1458"/>
      <c r="AL88" s="1458"/>
      <c r="AM88" s="1458"/>
      <c r="AN88" s="1458"/>
      <c r="AO88" s="1458"/>
      <c r="AP88" s="1458"/>
      <c r="AQ88" s="1458"/>
      <c r="AR88" s="1458"/>
      <c r="AS88" s="1458"/>
      <c r="AT88" s="1458"/>
      <c r="AU88" s="1458"/>
      <c r="AV88" s="1458"/>
      <c r="AW88" s="1458"/>
      <c r="AX88" s="1458"/>
      <c r="AY88" s="1458"/>
      <c r="AZ88" s="1458"/>
      <c r="BA88" s="1459"/>
    </row>
    <row r="90" spans="1:53">
      <c r="A90" s="1"/>
      <c r="AE90" s="1463"/>
    </row>
    <row r="91" spans="1:53">
      <c r="A91" s="1"/>
    </row>
    <row r="92" spans="1:53">
      <c r="A92" s="1"/>
    </row>
    <row r="93" spans="1:53">
      <c r="A93" s="1"/>
    </row>
    <row r="94" spans="1:53">
      <c r="A94" s="1"/>
    </row>
    <row r="95" spans="1:53">
      <c r="A95" s="1"/>
    </row>
    <row r="96" spans="1:53">
      <c r="A96" s="1"/>
    </row>
    <row r="97" spans="1:1">
      <c r="A97" s="1"/>
    </row>
    <row r="98" spans="1:1">
      <c r="A98" s="1"/>
    </row>
    <row r="99" spans="1:1">
      <c r="A99" s="1"/>
    </row>
    <row r="100" spans="1:1">
      <c r="A100" s="1"/>
    </row>
    <row r="101" spans="1:1">
      <c r="A101" s="1"/>
    </row>
    <row r="102" spans="1:1">
      <c r="A102" s="1"/>
    </row>
    <row r="103" spans="1:1">
      <c r="A103" s="1"/>
    </row>
    <row r="104" spans="1:1">
      <c r="A104" s="1"/>
    </row>
    <row r="105" spans="1:1">
      <c r="A105" s="1"/>
    </row>
    <row r="106" spans="1:1">
      <c r="A106" s="1"/>
    </row>
    <row r="107" spans="1:1">
      <c r="A107" s="1"/>
    </row>
  </sheetData>
  <printOptions horizontalCentered="1"/>
  <pageMargins left="0.25" right="0.25" top="0.5" bottom="0.5" header="0.25" footer="0.25"/>
  <pageSetup scale="20" orientation="landscape" horizontalDpi="4294967292" verticalDpi="2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F110"/>
  <sheetViews>
    <sheetView showGridLines="0" zoomScale="70" zoomScaleNormal="90" workbookViewId="0">
      <pane xSplit="4" ySplit="13" topLeftCell="AN56" activePane="bottomRight" state="frozen"/>
      <selection pane="topRight"/>
      <selection pane="bottomLeft"/>
      <selection pane="bottomRight" activeCell="E77" sqref="E77:AZ77"/>
    </sheetView>
  </sheetViews>
  <sheetFormatPr defaultRowHeight="12.75"/>
  <cols>
    <col min="1" max="1" width="20.7109375" style="15" customWidth="1"/>
    <col min="2" max="3" width="11.7109375" style="15" customWidth="1"/>
    <col min="4" max="4" width="1.7109375" style="15" customWidth="1"/>
    <col min="5" max="28" width="9.7109375" style="15" customWidth="1"/>
    <col min="29" max="29" width="10.5703125" style="15" customWidth="1"/>
    <col min="30" max="30" width="9.7109375" style="15" customWidth="1"/>
    <col min="31" max="31" width="10.28515625" style="15" bestFit="1" customWidth="1"/>
    <col min="32" max="34" width="9.7109375" style="15" customWidth="1"/>
    <col min="35" max="35" width="10.28515625" style="15" bestFit="1" customWidth="1"/>
    <col min="36" max="52" width="9.7109375" style="15" customWidth="1"/>
    <col min="53" max="53" width="10.7109375" style="15" customWidth="1"/>
    <col min="54" max="16384" width="9.140625" style="7"/>
  </cols>
  <sheetData>
    <row r="1" spans="1:54" s="1" customFormat="1" ht="15.75">
      <c r="A1" s="1137" t="str">
        <f>CONCATENATE(TOC!B2," ",TOC!B6)</f>
        <v>EMPRESSA PRODUTORA DE ENERGÍA LTDA (EPE) *** DRAFT COPY ***</v>
      </c>
      <c r="AD1" s="15"/>
      <c r="AE1" s="15"/>
    </row>
    <row r="2" spans="1:54" s="1" customFormat="1" ht="15.75">
      <c r="A2" s="1137" t="str">
        <f>TOC!B3</f>
        <v>480 MW POWER PLANT (CUIABA, BRAZIL)</v>
      </c>
      <c r="AD2" s="15"/>
      <c r="AE2" s="15"/>
    </row>
    <row r="3" spans="1:54" s="1" customFormat="1" ht="15">
      <c r="A3" s="118" t="str">
        <f>TOC!B4</f>
        <v>ENRON INTERNATIONAL</v>
      </c>
      <c r="AD3" s="15"/>
      <c r="AE3" s="15"/>
    </row>
    <row r="4" spans="1:54" s="1" customFormat="1" ht="15">
      <c r="A4" s="932" t="s">
        <v>176</v>
      </c>
      <c r="B4" s="933"/>
      <c r="C4" s="933"/>
      <c r="D4" s="933"/>
      <c r="E4" s="933"/>
      <c r="F4" s="933"/>
      <c r="AD4" s="15"/>
      <c r="AE4" s="15"/>
    </row>
    <row r="5" spans="1:54" customFormat="1" ht="13.5" thickBot="1">
      <c r="A5" s="1"/>
      <c r="B5" s="15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5"/>
      <c r="AE5" s="15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t="s">
        <v>628</v>
      </c>
    </row>
    <row r="6" spans="1:54" s="15" customFormat="1" ht="13.5" thickBot="1">
      <c r="A6" s="412" t="s">
        <v>526</v>
      </c>
      <c r="B6" s="11"/>
      <c r="C6" s="11"/>
      <c r="D6" s="11"/>
      <c r="E6" s="931">
        <v>1</v>
      </c>
      <c r="F6" s="190">
        <f t="shared" ref="F6:AN6" si="0">E6+1</f>
        <v>2</v>
      </c>
      <c r="G6" s="190">
        <f t="shared" si="0"/>
        <v>3</v>
      </c>
      <c r="H6" s="190">
        <f t="shared" si="0"/>
        <v>4</v>
      </c>
      <c r="I6" s="190">
        <f t="shared" si="0"/>
        <v>5</v>
      </c>
      <c r="J6" s="190">
        <f t="shared" si="0"/>
        <v>6</v>
      </c>
      <c r="K6" s="190">
        <f t="shared" si="0"/>
        <v>7</v>
      </c>
      <c r="L6" s="190">
        <f t="shared" si="0"/>
        <v>8</v>
      </c>
      <c r="M6" s="190">
        <f t="shared" si="0"/>
        <v>9</v>
      </c>
      <c r="N6" s="190">
        <f t="shared" si="0"/>
        <v>10</v>
      </c>
      <c r="O6" s="190">
        <f t="shared" si="0"/>
        <v>11</v>
      </c>
      <c r="P6" s="190">
        <f t="shared" si="0"/>
        <v>12</v>
      </c>
      <c r="Q6" s="190">
        <f t="shared" si="0"/>
        <v>13</v>
      </c>
      <c r="R6" s="190">
        <f t="shared" si="0"/>
        <v>14</v>
      </c>
      <c r="S6" s="190">
        <f t="shared" si="0"/>
        <v>15</v>
      </c>
      <c r="T6" s="190">
        <f t="shared" si="0"/>
        <v>16</v>
      </c>
      <c r="U6" s="190">
        <f t="shared" si="0"/>
        <v>17</v>
      </c>
      <c r="V6" s="190">
        <f t="shared" si="0"/>
        <v>18</v>
      </c>
      <c r="W6" s="190">
        <f t="shared" si="0"/>
        <v>19</v>
      </c>
      <c r="X6" s="190">
        <f t="shared" si="0"/>
        <v>20</v>
      </c>
      <c r="Y6" s="190">
        <f t="shared" si="0"/>
        <v>21</v>
      </c>
      <c r="Z6" s="190">
        <f t="shared" si="0"/>
        <v>22</v>
      </c>
      <c r="AA6" s="190">
        <f t="shared" si="0"/>
        <v>23</v>
      </c>
      <c r="AB6" s="190">
        <f t="shared" si="0"/>
        <v>24</v>
      </c>
      <c r="AC6" s="190">
        <f t="shared" si="0"/>
        <v>25</v>
      </c>
      <c r="AD6" s="190">
        <f t="shared" si="0"/>
        <v>26</v>
      </c>
      <c r="AE6" s="190">
        <f t="shared" si="0"/>
        <v>27</v>
      </c>
      <c r="AF6" s="190">
        <f t="shared" si="0"/>
        <v>28</v>
      </c>
      <c r="AG6" s="190">
        <f t="shared" si="0"/>
        <v>29</v>
      </c>
      <c r="AH6" s="190">
        <f t="shared" si="0"/>
        <v>30</v>
      </c>
      <c r="AI6" s="190">
        <f t="shared" si="0"/>
        <v>31</v>
      </c>
      <c r="AJ6" s="190">
        <f t="shared" si="0"/>
        <v>32</v>
      </c>
      <c r="AK6" s="190">
        <f t="shared" si="0"/>
        <v>33</v>
      </c>
      <c r="AL6" s="190">
        <f t="shared" si="0"/>
        <v>34</v>
      </c>
      <c r="AM6" s="190">
        <f t="shared" si="0"/>
        <v>35</v>
      </c>
      <c r="AN6" s="190">
        <f t="shared" si="0"/>
        <v>36</v>
      </c>
      <c r="AO6" s="190">
        <f>AN6+1</f>
        <v>37</v>
      </c>
      <c r="AP6" s="190">
        <f>AO6+1</f>
        <v>38</v>
      </c>
      <c r="AQ6" s="190">
        <f>AP6+1</f>
        <v>39</v>
      </c>
      <c r="AR6" s="190">
        <f>AQ6+1</f>
        <v>40</v>
      </c>
      <c r="AS6" s="190">
        <f t="shared" ref="AS6:AZ6" si="1">AR6+1</f>
        <v>41</v>
      </c>
      <c r="AT6" s="190">
        <f t="shared" si="1"/>
        <v>42</v>
      </c>
      <c r="AU6" s="190">
        <f t="shared" si="1"/>
        <v>43</v>
      </c>
      <c r="AV6" s="190">
        <f t="shared" si="1"/>
        <v>44</v>
      </c>
      <c r="AW6" s="190">
        <f t="shared" si="1"/>
        <v>45</v>
      </c>
      <c r="AX6" s="190">
        <f t="shared" si="1"/>
        <v>46</v>
      </c>
      <c r="AY6" s="190">
        <f t="shared" si="1"/>
        <v>47</v>
      </c>
      <c r="AZ6" s="190">
        <f t="shared" si="1"/>
        <v>48</v>
      </c>
      <c r="BA6" s="424"/>
      <c r="BB6" s="262" t="s">
        <v>630</v>
      </c>
    </row>
    <row r="7" spans="1:54" s="15" customFormat="1" ht="13.5" thickBot="1">
      <c r="A7" s="455" t="s">
        <v>527</v>
      </c>
      <c r="B7" s="263"/>
      <c r="C7" s="263"/>
      <c r="D7" s="263"/>
      <c r="E7" s="264">
        <f>Startconst</f>
        <v>35765</v>
      </c>
      <c r="F7" s="264">
        <f t="shared" ref="F7:AZ7" si="2">EDATE(E7,1)</f>
        <v>35796</v>
      </c>
      <c r="G7" s="264">
        <f t="shared" si="2"/>
        <v>35827</v>
      </c>
      <c r="H7" s="264">
        <f t="shared" si="2"/>
        <v>35855</v>
      </c>
      <c r="I7" s="264">
        <f t="shared" si="2"/>
        <v>35886</v>
      </c>
      <c r="J7" s="264">
        <f t="shared" si="2"/>
        <v>35916</v>
      </c>
      <c r="K7" s="264">
        <f t="shared" si="2"/>
        <v>35947</v>
      </c>
      <c r="L7" s="264">
        <f t="shared" si="2"/>
        <v>35977</v>
      </c>
      <c r="M7" s="264">
        <f t="shared" si="2"/>
        <v>36008</v>
      </c>
      <c r="N7" s="264">
        <f t="shared" si="2"/>
        <v>36039</v>
      </c>
      <c r="O7" s="264">
        <f t="shared" si="2"/>
        <v>36069</v>
      </c>
      <c r="P7" s="264">
        <f t="shared" si="2"/>
        <v>36100</v>
      </c>
      <c r="Q7" s="264">
        <f t="shared" si="2"/>
        <v>36130</v>
      </c>
      <c r="R7" s="264">
        <f t="shared" si="2"/>
        <v>36161</v>
      </c>
      <c r="S7" s="264">
        <f t="shared" si="2"/>
        <v>36192</v>
      </c>
      <c r="T7" s="264">
        <f t="shared" si="2"/>
        <v>36220</v>
      </c>
      <c r="U7" s="264">
        <f t="shared" si="2"/>
        <v>36251</v>
      </c>
      <c r="V7" s="264">
        <f t="shared" si="2"/>
        <v>36281</v>
      </c>
      <c r="W7" s="264">
        <f t="shared" si="2"/>
        <v>36312</v>
      </c>
      <c r="X7" s="264">
        <f t="shared" si="2"/>
        <v>36342</v>
      </c>
      <c r="Y7" s="264">
        <f t="shared" si="2"/>
        <v>36373</v>
      </c>
      <c r="Z7" s="264">
        <f t="shared" si="2"/>
        <v>36404</v>
      </c>
      <c r="AA7" s="264">
        <f t="shared" si="2"/>
        <v>36434</v>
      </c>
      <c r="AB7" s="264">
        <f t="shared" si="2"/>
        <v>36465</v>
      </c>
      <c r="AC7" s="264">
        <f t="shared" si="2"/>
        <v>36495</v>
      </c>
      <c r="AD7" s="264">
        <f t="shared" si="2"/>
        <v>36526</v>
      </c>
      <c r="AE7" s="264">
        <f t="shared" si="2"/>
        <v>36557</v>
      </c>
      <c r="AF7" s="264">
        <f t="shared" si="2"/>
        <v>36586</v>
      </c>
      <c r="AG7" s="264">
        <f t="shared" si="2"/>
        <v>36617</v>
      </c>
      <c r="AH7" s="264">
        <f t="shared" si="2"/>
        <v>36647</v>
      </c>
      <c r="AI7" s="264">
        <f t="shared" si="2"/>
        <v>36678</v>
      </c>
      <c r="AJ7" s="264">
        <f t="shared" si="2"/>
        <v>36708</v>
      </c>
      <c r="AK7" s="264">
        <f t="shared" si="2"/>
        <v>36739</v>
      </c>
      <c r="AL7" s="264">
        <f t="shared" si="2"/>
        <v>36770</v>
      </c>
      <c r="AM7" s="264">
        <f t="shared" si="2"/>
        <v>36800</v>
      </c>
      <c r="AN7" s="264">
        <f t="shared" si="2"/>
        <v>36831</v>
      </c>
      <c r="AO7" s="264">
        <f t="shared" si="2"/>
        <v>36861</v>
      </c>
      <c r="AP7" s="264">
        <f t="shared" si="2"/>
        <v>36892</v>
      </c>
      <c r="AQ7" s="264">
        <f t="shared" si="2"/>
        <v>36923</v>
      </c>
      <c r="AR7" s="264">
        <f t="shared" si="2"/>
        <v>36951</v>
      </c>
      <c r="AS7" s="264">
        <f t="shared" si="2"/>
        <v>36982</v>
      </c>
      <c r="AT7" s="264">
        <f t="shared" si="2"/>
        <v>37012</v>
      </c>
      <c r="AU7" s="264">
        <f t="shared" si="2"/>
        <v>37043</v>
      </c>
      <c r="AV7" s="264">
        <f t="shared" si="2"/>
        <v>37073</v>
      </c>
      <c r="AW7" s="264">
        <f t="shared" si="2"/>
        <v>37104</v>
      </c>
      <c r="AX7" s="264">
        <f t="shared" si="2"/>
        <v>37135</v>
      </c>
      <c r="AY7" s="264">
        <f t="shared" si="2"/>
        <v>37165</v>
      </c>
      <c r="AZ7" s="264">
        <f t="shared" si="2"/>
        <v>37196</v>
      </c>
      <c r="BA7" s="1315" t="s">
        <v>441</v>
      </c>
      <c r="BB7" s="787">
        <v>1</v>
      </c>
    </row>
    <row r="8" spans="1:54" s="15" customFormat="1">
      <c r="A8" s="412"/>
      <c r="BA8" s="430"/>
      <c r="BB8" s="34">
        <f>BB7+1</f>
        <v>2</v>
      </c>
    </row>
    <row r="9" spans="1:54" s="15" customFormat="1">
      <c r="A9" s="477"/>
      <c r="B9" s="377" t="s">
        <v>1345</v>
      </c>
      <c r="C9" s="525" t="s">
        <v>426</v>
      </c>
      <c r="BA9" s="430"/>
      <c r="BB9" s="34">
        <f t="shared" ref="BB9:BB86" si="3">BB8+1</f>
        <v>3</v>
      </c>
    </row>
    <row r="10" spans="1:54">
      <c r="A10" s="422" t="s">
        <v>528</v>
      </c>
      <c r="B10" s="259">
        <f ca="1">Est_Cost1-Est_Idc1-Est_Wh1-Est_Commit1</f>
        <v>317802.6916783427</v>
      </c>
      <c r="C10" s="526">
        <f ca="1">Est_Cost1</f>
        <v>343894.5031887361</v>
      </c>
      <c r="BA10" s="430"/>
      <c r="BB10" s="34">
        <f t="shared" si="3"/>
        <v>4</v>
      </c>
    </row>
    <row r="11" spans="1:54">
      <c r="A11" s="422" t="s">
        <v>448</v>
      </c>
      <c r="B11" s="238"/>
      <c r="C11" s="527">
        <f>Int_BL</f>
        <v>0.06</v>
      </c>
      <c r="BA11" s="430"/>
      <c r="BB11" s="34">
        <f t="shared" si="3"/>
        <v>5</v>
      </c>
    </row>
    <row r="12" spans="1:54">
      <c r="A12" s="422" t="s">
        <v>110</v>
      </c>
      <c r="B12" s="238"/>
      <c r="C12" s="527">
        <f ca="1">Assm!$AB$74</f>
        <v>8.1845296353378921E-2</v>
      </c>
      <c r="BA12" s="430"/>
      <c r="BB12" s="34">
        <f t="shared" si="3"/>
        <v>6</v>
      </c>
    </row>
    <row r="13" spans="1:54">
      <c r="A13" s="423" t="s">
        <v>111</v>
      </c>
      <c r="B13" s="409"/>
      <c r="C13" s="528">
        <f>Assm!$AB$59</f>
        <v>0.13</v>
      </c>
      <c r="BA13" s="430"/>
      <c r="BB13" s="34">
        <f t="shared" si="3"/>
        <v>7</v>
      </c>
    </row>
    <row r="14" spans="1:54">
      <c r="A14" s="20" t="s">
        <v>323</v>
      </c>
      <c r="BA14" s="430"/>
      <c r="BB14" s="34">
        <f t="shared" si="3"/>
        <v>8</v>
      </c>
    </row>
    <row r="15" spans="1:54">
      <c r="A15" s="128" t="s">
        <v>530</v>
      </c>
      <c r="BA15" s="430"/>
      <c r="BB15" s="34">
        <f t="shared" si="3"/>
        <v>9</v>
      </c>
    </row>
    <row r="16" spans="1:54">
      <c r="A16" s="20" t="s">
        <v>531</v>
      </c>
      <c r="E16" s="766">
        <v>0</v>
      </c>
      <c r="F16" s="37">
        <f t="shared" ref="F16:AN16" ca="1" si="4">E21</f>
        <v>7598.2078853046587</v>
      </c>
      <c r="G16" s="37">
        <f t="shared" ca="1" si="4"/>
        <v>7598.2078853046587</v>
      </c>
      <c r="H16" s="37">
        <f t="shared" ca="1" si="4"/>
        <v>10236.730312745292</v>
      </c>
      <c r="I16" s="37">
        <f t="shared" ca="1" si="4"/>
        <v>19647.460303950218</v>
      </c>
      <c r="J16" s="37">
        <f t="shared" ca="1" si="4"/>
        <v>32586.124639614558</v>
      </c>
      <c r="K16" s="37">
        <f t="shared" ca="1" si="4"/>
        <v>37846.99420483195</v>
      </c>
      <c r="L16" s="37">
        <f t="shared" ca="1" si="4"/>
        <v>56602.406477952085</v>
      </c>
      <c r="M16" s="37">
        <f t="shared" ca="1" si="4"/>
        <v>62363.36950460729</v>
      </c>
      <c r="N16" s="37">
        <f t="shared" ca="1" si="4"/>
        <v>68055.80790732606</v>
      </c>
      <c r="O16" s="37">
        <f t="shared" ca="1" si="4"/>
        <v>89223.931853363159</v>
      </c>
      <c r="P16" s="37">
        <f t="shared" ca="1" si="4"/>
        <v>95296.287179143605</v>
      </c>
      <c r="Q16" s="37">
        <f t="shared" ca="1" si="4"/>
        <v>104791.81215377653</v>
      </c>
      <c r="R16" s="37">
        <f t="shared" ca="1" si="4"/>
        <v>119281.17362167625</v>
      </c>
      <c r="S16" s="37">
        <f t="shared" ca="1" si="4"/>
        <v>120965.91698456371</v>
      </c>
      <c r="T16" s="37">
        <f t="shared" ca="1" si="4"/>
        <v>121131.6366715028</v>
      </c>
      <c r="U16" s="37">
        <f t="shared" ca="1" si="4"/>
        <v>123223.36619912622</v>
      </c>
      <c r="V16" s="37">
        <f t="shared" ca="1" si="4"/>
        <v>150142.12374058281</v>
      </c>
      <c r="W16" s="37">
        <f t="shared" ca="1" si="4"/>
        <v>150479.46817314555</v>
      </c>
      <c r="X16" s="37">
        <f t="shared" ca="1" si="4"/>
        <v>169141.17729229826</v>
      </c>
      <c r="Y16" s="37">
        <f t="shared" ca="1" si="4"/>
        <v>172119.25036429177</v>
      </c>
      <c r="Z16" s="37">
        <f t="shared" ca="1" si="4"/>
        <v>172585.87201228808</v>
      </c>
      <c r="AA16" s="37">
        <f t="shared" ca="1" si="4"/>
        <v>174867.58810380928</v>
      </c>
      <c r="AB16" s="37">
        <f t="shared" ca="1" si="4"/>
        <v>177253.084030292</v>
      </c>
      <c r="AC16" s="37">
        <f t="shared" ca="1" si="4"/>
        <v>178586.55267388769</v>
      </c>
      <c r="AD16" s="37">
        <f t="shared" ca="1" si="4"/>
        <v>178676.17339797603</v>
      </c>
      <c r="AE16" s="37">
        <f t="shared" ca="1" si="4"/>
        <v>180393.83448056909</v>
      </c>
      <c r="AF16" s="37">
        <f t="shared" ca="1" si="4"/>
        <v>180819.8589157254</v>
      </c>
      <c r="AG16" s="37">
        <f t="shared" ca="1" si="4"/>
        <v>179548.43781222249</v>
      </c>
      <c r="AH16" s="37">
        <f t="shared" ca="1" si="4"/>
        <v>193668.64587614156</v>
      </c>
      <c r="AI16" s="37">
        <f t="shared" ca="1" si="4"/>
        <v>195335.14928161309</v>
      </c>
      <c r="AJ16" s="37">
        <f t="shared" ca="1" si="4"/>
        <v>197011.45564829328</v>
      </c>
      <c r="AK16" s="37">
        <f t="shared" ca="1" si="4"/>
        <v>202410.60352064722</v>
      </c>
      <c r="AL16" s="37">
        <f t="shared" ca="1" si="4"/>
        <v>223242.03926591363</v>
      </c>
      <c r="AM16" s="37">
        <f t="shared" ca="1" si="4"/>
        <v>255043.13976181627</v>
      </c>
      <c r="AN16" s="37">
        <f t="shared" ca="1" si="4"/>
        <v>257434.29494293316</v>
      </c>
      <c r="AO16" s="37">
        <f ca="1">AN21</f>
        <v>259844.02243709358</v>
      </c>
      <c r="AP16" s="37">
        <f ca="1">AO21</f>
        <v>281403.93468728091</v>
      </c>
      <c r="AQ16" s="37">
        <f ca="1">AP21</f>
        <v>283999.83648597368</v>
      </c>
      <c r="AR16" s="37">
        <f ca="1">AQ21</f>
        <v>286615.90088273468</v>
      </c>
      <c r="AS16" s="37">
        <f t="shared" ref="AS16:AZ16" ca="1" si="5">AR21</f>
        <v>289252.28448224021</v>
      </c>
      <c r="AT16" s="37">
        <f t="shared" ca="1" si="5"/>
        <v>311040.61329571984</v>
      </c>
      <c r="AU16" s="37">
        <f t="shared" ca="1" si="5"/>
        <v>313866.70578928431</v>
      </c>
      <c r="AV16" s="37">
        <f t="shared" ca="1" si="5"/>
        <v>316714.74879233271</v>
      </c>
      <c r="AW16" s="37">
        <f t="shared" ca="1" si="5"/>
        <v>319584.91279640677</v>
      </c>
      <c r="AX16" s="37">
        <f t="shared" ca="1" si="5"/>
        <v>343894.50318873598</v>
      </c>
      <c r="AY16" s="37">
        <f t="shared" ca="1" si="5"/>
        <v>343894.50318873598</v>
      </c>
      <c r="AZ16" s="37">
        <f t="shared" ca="1" si="5"/>
        <v>343894.50318873598</v>
      </c>
      <c r="BA16" s="435">
        <f>E16</f>
        <v>0</v>
      </c>
      <c r="BB16" s="34">
        <f t="shared" si="3"/>
        <v>10</v>
      </c>
    </row>
    <row r="17" spans="1:58">
      <c r="A17" s="20" t="s">
        <v>532</v>
      </c>
      <c r="E17" s="37">
        <f ca="1">Drawdown!E46</f>
        <v>7598.2078853046587</v>
      </c>
      <c r="F17" s="37">
        <f ca="1">Drawdown!F46</f>
        <v>0</v>
      </c>
      <c r="G17" s="37">
        <f ca="1">Drawdown!G46</f>
        <v>2638.5224274406332</v>
      </c>
      <c r="H17" s="37">
        <f ca="1">Drawdown!H46</f>
        <v>9410.7299912049257</v>
      </c>
      <c r="I17" s="37">
        <f ca="1">Drawdown!I46</f>
        <v>12938.664335664338</v>
      </c>
      <c r="J17" s="37">
        <f ca="1">Drawdown!J46</f>
        <v>5260.8695652173919</v>
      </c>
      <c r="K17" s="37">
        <f ca="1">Drawdown!K46</f>
        <v>18755.412273120139</v>
      </c>
      <c r="L17" s="37">
        <f ca="1">Drawdown!L46</f>
        <v>5760.9630266552022</v>
      </c>
      <c r="M17" s="37">
        <f ca="1">Drawdown!M46</f>
        <v>5692.4384027187762</v>
      </c>
      <c r="N17" s="37">
        <f ca="1">Drawdown!N46</f>
        <v>21168.1239460371</v>
      </c>
      <c r="O17" s="37">
        <f ca="1">Drawdown!O46</f>
        <v>6065.0159798149707</v>
      </c>
      <c r="P17" s="37">
        <f ca="1">Drawdown!P46</f>
        <v>9453.0001684068702</v>
      </c>
      <c r="Q17" s="37">
        <f ca="1">Drawdown!Q46</f>
        <v>14376.499751285028</v>
      </c>
      <c r="R17" s="37">
        <f ca="1">Drawdown!R46</f>
        <v>1524.4502538071065</v>
      </c>
      <c r="S17" s="37">
        <f ca="1">Drawdown!S46</f>
        <v>0</v>
      </c>
      <c r="T17" s="37">
        <f ca="1">Drawdown!T46</f>
        <v>1919.3897550111358</v>
      </c>
      <c r="U17" s="37">
        <f ca="1">Drawdown!U46</f>
        <v>26661.343026706229</v>
      </c>
      <c r="V17" s="37">
        <f ca="1">Drawdown!V46</f>
        <v>0</v>
      </c>
      <c r="W17" s="37">
        <f ca="1">Drawdown!W46</f>
        <v>18268.648987024812</v>
      </c>
      <c r="X17" s="37">
        <f ca="1">Drawdown!X46</f>
        <v>2521.5531680440772</v>
      </c>
      <c r="Y17" s="37">
        <f ca="1">Drawdown!Y46</f>
        <v>0</v>
      </c>
      <c r="Z17" s="37">
        <f ca="1">Drawdown!Z46</f>
        <v>1807.0348020600322</v>
      </c>
      <c r="AA17" s="37">
        <f ca="1">Drawdown!AA46</f>
        <v>1897.1277982590886</v>
      </c>
      <c r="AB17" s="37">
        <f ca="1">Drawdown!AB46</f>
        <v>834.19446091433929</v>
      </c>
      <c r="AC17" s="37">
        <f ca="1">Drawdown!AC46</f>
        <v>-413.82674119619924</v>
      </c>
      <c r="AD17" s="37">
        <f ca="1">Drawdown!AD46</f>
        <v>1208.9136706613406</v>
      </c>
      <c r="AE17" s="37">
        <f ca="1">Drawdown!AE46</f>
        <v>-89.009444569372477</v>
      </c>
      <c r="AF17" s="37">
        <f ca="1">Drawdown!AF46</f>
        <v>-1783.9758141132029</v>
      </c>
      <c r="AG17" s="37">
        <f ca="1">Drawdown!AG46</f>
        <v>13569.973626152148</v>
      </c>
      <c r="AH17" s="37">
        <f ca="1">Drawdown!AH46</f>
        <v>1069.9736261521477</v>
      </c>
      <c r="AI17" s="37">
        <f ca="1">Drawdown!AI46</f>
        <v>1069.9736261521477</v>
      </c>
      <c r="AJ17" s="37">
        <f ca="1">Drawdown!AJ46</f>
        <v>4772.0659991600742</v>
      </c>
      <c r="AK17" s="37">
        <f ca="1">Drawdown!AK46</f>
        <v>20127.431339469567</v>
      </c>
      <c r="AL17" s="37">
        <f ca="1">Drawdown!AL46</f>
        <v>30597.490424818021</v>
      </c>
      <c r="AM17" s="37">
        <f ca="1">Drawdown!AM46</f>
        <v>1069.9736261521477</v>
      </c>
      <c r="AN17" s="37">
        <f ca="1">Drawdown!AN46</f>
        <v>1069.9736261521477</v>
      </c>
      <c r="AO17" s="37">
        <f ca="1">Drawdown!AO46</f>
        <v>20127.431339469567</v>
      </c>
      <c r="AP17" s="37">
        <f ca="1">Drawdown!AP46</f>
        <v>1069.9736261521477</v>
      </c>
      <c r="AQ17" s="37">
        <f ca="1">Drawdown!AQ46</f>
        <v>1069.9736261521477</v>
      </c>
      <c r="AR17" s="37">
        <f ca="1">Drawdown!AR46</f>
        <v>1069.9736261521477</v>
      </c>
      <c r="AS17" s="37">
        <f ca="1">Drawdown!AS46</f>
        <v>20127.431339469567</v>
      </c>
      <c r="AT17" s="37">
        <f ca="1">Drawdown!AT46</f>
        <v>1069.9736261521477</v>
      </c>
      <c r="AU17" s="37">
        <f ca="1">Drawdown!AU46</f>
        <v>1069.9736261521477</v>
      </c>
      <c r="AV17" s="37">
        <f ca="1">Drawdown!AV46</f>
        <v>1069.9736261521477</v>
      </c>
      <c r="AW17" s="37">
        <f ca="1">Drawdown!AW46</f>
        <v>24306.8396728029</v>
      </c>
      <c r="AX17" s="37">
        <f ca="1">Drawdown!AX46</f>
        <v>0</v>
      </c>
      <c r="AY17" s="37">
        <f ca="1">Drawdown!AY46</f>
        <v>0</v>
      </c>
      <c r="AZ17" s="37">
        <f>Drawdown!AZ46</f>
        <v>0</v>
      </c>
      <c r="BA17" s="435">
        <f ca="1">SUM(E17:AZ17)</f>
        <v>317802.6916783427</v>
      </c>
      <c r="BB17" s="34">
        <f t="shared" si="3"/>
        <v>11</v>
      </c>
    </row>
    <row r="18" spans="1:58">
      <c r="A18" s="20" t="s">
        <v>317</v>
      </c>
      <c r="E18" s="37">
        <f t="shared" ref="E18:AN18" ca="1" si="6">E54</f>
        <v>0</v>
      </c>
      <c r="F18" s="37">
        <f t="shared" ca="1" si="6"/>
        <v>0</v>
      </c>
      <c r="G18" s="37">
        <f t="shared" ca="1" si="6"/>
        <v>0</v>
      </c>
      <c r="H18" s="37">
        <f t="shared" ca="1" si="6"/>
        <v>0</v>
      </c>
      <c r="I18" s="37">
        <f t="shared" ca="1" si="6"/>
        <v>0</v>
      </c>
      <c r="J18" s="37">
        <f t="shared" ca="1" si="6"/>
        <v>0</v>
      </c>
      <c r="K18" s="37">
        <f t="shared" ca="1" si="6"/>
        <v>0</v>
      </c>
      <c r="L18" s="37">
        <f t="shared" ca="1" si="6"/>
        <v>0</v>
      </c>
      <c r="M18" s="37">
        <f t="shared" ca="1" si="6"/>
        <v>0</v>
      </c>
      <c r="N18" s="37">
        <f t="shared" ca="1" si="6"/>
        <v>0</v>
      </c>
      <c r="O18" s="37">
        <f t="shared" ca="1" si="6"/>
        <v>6.2384440706476036</v>
      </c>
      <c r="P18" s="37">
        <f t="shared" ca="1" si="6"/>
        <v>36.146085292139723</v>
      </c>
      <c r="Q18" s="37">
        <f t="shared" ca="1" si="6"/>
        <v>95.932459122499679</v>
      </c>
      <c r="R18" s="37">
        <f t="shared" ca="1" si="6"/>
        <v>136.2491427183036</v>
      </c>
      <c r="S18" s="37">
        <f t="shared" ca="1" si="6"/>
        <v>140.86173389822315</v>
      </c>
      <c r="T18" s="37">
        <f t="shared" ca="1" si="6"/>
        <v>146.48880672044641</v>
      </c>
      <c r="U18" s="37">
        <f t="shared" ca="1" si="6"/>
        <v>218.80233753780126</v>
      </c>
      <c r="V18" s="37">
        <f t="shared" ca="1" si="6"/>
        <v>286.74276767831861</v>
      </c>
      <c r="W18" s="37">
        <f t="shared" ca="1" si="6"/>
        <v>334.10111230869427</v>
      </c>
      <c r="X18" s="37">
        <f t="shared" ca="1" si="6"/>
        <v>388.0419183570059</v>
      </c>
      <c r="Y18" s="37">
        <f t="shared" ca="1" si="6"/>
        <v>396.62840079686316</v>
      </c>
      <c r="Z18" s="37">
        <f t="shared" ca="1" si="6"/>
        <v>403.47909604199475</v>
      </c>
      <c r="AA18" s="37">
        <f t="shared" ca="1" si="6"/>
        <v>415.11290899009845</v>
      </c>
      <c r="AB18" s="37">
        <f t="shared" ca="1" si="6"/>
        <v>424.38305527915014</v>
      </c>
      <c r="AC18" s="37">
        <f t="shared" ca="1" si="6"/>
        <v>427.93034549185228</v>
      </c>
      <c r="AD18" s="37">
        <f t="shared" ca="1" si="6"/>
        <v>432.43530014193772</v>
      </c>
      <c r="AE18" s="37">
        <f t="shared" ca="1" si="6"/>
        <v>437.77879776682607</v>
      </c>
      <c r="AF18" s="37">
        <f t="shared" ca="1" si="6"/>
        <v>435.67150401874807</v>
      </c>
      <c r="AG18" s="37">
        <f t="shared" ca="1" si="6"/>
        <v>467.69927210189684</v>
      </c>
      <c r="AH18" s="37">
        <f t="shared" ca="1" si="6"/>
        <v>507.05031242149227</v>
      </c>
      <c r="AI18" s="37">
        <f t="shared" ca="1" si="6"/>
        <v>515.38282944884998</v>
      </c>
      <c r="AJ18" s="37">
        <f t="shared" ca="1" si="6"/>
        <v>533.0195922147708</v>
      </c>
      <c r="AK18" s="37">
        <f t="shared" ca="1" si="6"/>
        <v>598.40374492731416</v>
      </c>
      <c r="AL18" s="37">
        <f t="shared" ca="1" si="6"/>
        <v>1109.9382932882381</v>
      </c>
      <c r="AM18" s="37">
        <f t="shared" ca="1" si="6"/>
        <v>1239.686216794762</v>
      </c>
      <c r="AN18" s="37">
        <f t="shared" ca="1" si="6"/>
        <v>1257.8960653599468</v>
      </c>
      <c r="AO18" s="37">
        <f ca="1">AO54</f>
        <v>1348.8134110710434</v>
      </c>
      <c r="AP18" s="37">
        <f ca="1">AP54</f>
        <v>1440.4369198195589</v>
      </c>
      <c r="AQ18" s="37">
        <f ca="1">AQ54</f>
        <v>1460.2060167889185</v>
      </c>
      <c r="AR18" s="37">
        <f ca="1">AR54</f>
        <v>1480.1286620768494</v>
      </c>
      <c r="AS18" s="37">
        <f t="shared" ref="AS18:AZ18" ca="1" si="7">AS54</f>
        <v>1572.7721079538007</v>
      </c>
      <c r="AT18" s="37">
        <f t="shared" ca="1" si="7"/>
        <v>1666.1351236402938</v>
      </c>
      <c r="AU18" s="37">
        <f t="shared" ca="1" si="7"/>
        <v>1687.6572384513354</v>
      </c>
      <c r="AV18" s="37">
        <f t="shared" ca="1" si="7"/>
        <v>1709.3465174250321</v>
      </c>
      <c r="AW18" s="37">
        <f t="shared" ca="1" si="7"/>
        <v>0</v>
      </c>
      <c r="AX18" s="37">
        <f t="shared" ca="1" si="7"/>
        <v>0</v>
      </c>
      <c r="AY18" s="37">
        <f t="shared" ca="1" si="7"/>
        <v>0</v>
      </c>
      <c r="AZ18" s="37">
        <f t="shared" ca="1" si="7"/>
        <v>0</v>
      </c>
      <c r="BA18" s="435">
        <f ca="1">SUM(E18:AZ18)</f>
        <v>23757.596540015653</v>
      </c>
      <c r="BB18" s="34">
        <f t="shared" si="3"/>
        <v>12</v>
      </c>
    </row>
    <row r="19" spans="1:58">
      <c r="A19" s="20" t="s">
        <v>103</v>
      </c>
      <c r="E19" s="37">
        <f ca="1">E59</f>
        <v>0</v>
      </c>
      <c r="F19" s="37">
        <f t="shared" ref="F19:AN19" ca="1" si="8">F59</f>
        <v>0</v>
      </c>
      <c r="G19" s="37">
        <f t="shared" ca="1" si="8"/>
        <v>0</v>
      </c>
      <c r="H19" s="37">
        <f t="shared" ca="1" si="8"/>
        <v>0</v>
      </c>
      <c r="I19" s="37">
        <f t="shared" ca="1" si="8"/>
        <v>0</v>
      </c>
      <c r="J19" s="37">
        <f t="shared" ca="1" si="8"/>
        <v>0</v>
      </c>
      <c r="K19" s="37">
        <f t="shared" ca="1" si="8"/>
        <v>0</v>
      </c>
      <c r="L19" s="37">
        <f t="shared" ca="1" si="8"/>
        <v>0</v>
      </c>
      <c r="M19" s="37">
        <f t="shared" ca="1" si="8"/>
        <v>0</v>
      </c>
      <c r="N19" s="37">
        <f t="shared" ca="1" si="8"/>
        <v>0</v>
      </c>
      <c r="O19" s="37">
        <f t="shared" ca="1" si="8"/>
        <v>1.1009018948201654</v>
      </c>
      <c r="P19" s="37">
        <f t="shared" ca="1" si="8"/>
        <v>6.3787209339070108</v>
      </c>
      <c r="Q19" s="37">
        <f t="shared" ca="1" si="8"/>
        <v>16.929257492205828</v>
      </c>
      <c r="R19" s="37">
        <f t="shared" ca="1" si="8"/>
        <v>24.043966362053578</v>
      </c>
      <c r="S19" s="37">
        <f t="shared" ca="1" si="8"/>
        <v>24.85795304086291</v>
      </c>
      <c r="T19" s="37">
        <f t="shared" ca="1" si="8"/>
        <v>25.850965891843487</v>
      </c>
      <c r="U19" s="37">
        <f t="shared" ca="1" si="8"/>
        <v>38.612177212553163</v>
      </c>
      <c r="V19" s="37">
        <f t="shared" ca="1" si="8"/>
        <v>50.601664884409168</v>
      </c>
      <c r="W19" s="37">
        <f t="shared" ca="1" si="8"/>
        <v>58.959019819181343</v>
      </c>
      <c r="X19" s="37">
        <f t="shared" ca="1" si="8"/>
        <v>68.477985592412807</v>
      </c>
      <c r="Y19" s="37">
        <f t="shared" ca="1" si="8"/>
        <v>69.993247199446444</v>
      </c>
      <c r="Z19" s="37">
        <f t="shared" ca="1" si="8"/>
        <v>71.202193419175543</v>
      </c>
      <c r="AA19" s="37">
        <f t="shared" ca="1" si="8"/>
        <v>73.255219233546796</v>
      </c>
      <c r="AB19" s="37">
        <f t="shared" ca="1" si="8"/>
        <v>74.891127402202969</v>
      </c>
      <c r="AC19" s="37">
        <f t="shared" ca="1" si="8"/>
        <v>75.517119792679821</v>
      </c>
      <c r="AD19" s="37">
        <f t="shared" ca="1" si="8"/>
        <v>76.312111789753715</v>
      </c>
      <c r="AE19" s="37">
        <f t="shared" ca="1" si="8"/>
        <v>77.255081958851662</v>
      </c>
      <c r="AF19" s="37">
        <f t="shared" ca="1" si="8"/>
        <v>76.883206591543782</v>
      </c>
      <c r="AG19" s="37">
        <f t="shared" ca="1" si="8"/>
        <v>82.535165665040623</v>
      </c>
      <c r="AH19" s="37">
        <f t="shared" ca="1" si="8"/>
        <v>89.479466897910399</v>
      </c>
      <c r="AI19" s="37">
        <f t="shared" ca="1" si="8"/>
        <v>90.949911079208832</v>
      </c>
      <c r="AJ19" s="37">
        <f t="shared" ca="1" si="8"/>
        <v>94.062280979077201</v>
      </c>
      <c r="AK19" s="37">
        <f t="shared" ca="1" si="8"/>
        <v>105.60066086952604</v>
      </c>
      <c r="AL19" s="37">
        <f t="shared" ca="1" si="8"/>
        <v>55.204925634061574</v>
      </c>
      <c r="AM19" s="37">
        <f t="shared" ca="1" si="8"/>
        <v>61.658189307965173</v>
      </c>
      <c r="AN19" s="37">
        <f t="shared" ca="1" si="8"/>
        <v>62.563891311335446</v>
      </c>
      <c r="AO19" s="37">
        <f ca="1">AO59</f>
        <v>67.085841170329971</v>
      </c>
      <c r="AP19" s="37">
        <f ca="1">AP59</f>
        <v>71.642913412435277</v>
      </c>
      <c r="AQ19" s="37">
        <f ca="1">AQ59</f>
        <v>72.626167647959392</v>
      </c>
      <c r="AR19" s="37">
        <f ca="1">AR59</f>
        <v>73.617058905792945</v>
      </c>
      <c r="AS19" s="37">
        <f t="shared" ref="AS19:AZ19" ca="1" si="9">AS59</f>
        <v>78.224859691698597</v>
      </c>
      <c r="AT19" s="37">
        <f t="shared" ca="1" si="9"/>
        <v>82.868449672431055</v>
      </c>
      <c r="AU19" s="37">
        <f t="shared" ca="1" si="9"/>
        <v>83.938893637483758</v>
      </c>
      <c r="AV19" s="37">
        <f t="shared" ca="1" si="9"/>
        <v>85.017651835159896</v>
      </c>
      <c r="AW19" s="37">
        <f t="shared" ca="1" si="9"/>
        <v>0</v>
      </c>
      <c r="AX19" s="37">
        <f t="shared" ca="1" si="9"/>
        <v>0</v>
      </c>
      <c r="AY19" s="37">
        <f t="shared" ca="1" si="9"/>
        <v>0</v>
      </c>
      <c r="AZ19" s="37">
        <f t="shared" ca="1" si="9"/>
        <v>0</v>
      </c>
      <c r="BA19" s="435">
        <f ca="1">SUM(E19:AZ19)</f>
        <v>2168.1982482288668</v>
      </c>
      <c r="BB19" s="34">
        <f t="shared" si="3"/>
        <v>13</v>
      </c>
    </row>
    <row r="20" spans="1:58" s="1694" customFormat="1">
      <c r="A20" s="1689" t="s">
        <v>1263</v>
      </c>
      <c r="B20" s="1690"/>
      <c r="C20" s="1690"/>
      <c r="D20" s="1690"/>
      <c r="E20" s="1691">
        <f ca="1">E106</f>
        <v>0</v>
      </c>
      <c r="F20" s="1691">
        <f t="shared" ref="F20:AZ20" ca="1" si="10">F106</f>
        <v>0</v>
      </c>
      <c r="G20" s="1691">
        <f t="shared" ca="1" si="10"/>
        <v>0</v>
      </c>
      <c r="H20" s="1691">
        <f t="shared" ca="1" si="10"/>
        <v>0</v>
      </c>
      <c r="I20" s="1691">
        <f t="shared" ca="1" si="10"/>
        <v>0</v>
      </c>
      <c r="J20" s="1691">
        <f t="shared" ca="1" si="10"/>
        <v>0</v>
      </c>
      <c r="K20" s="1691">
        <f t="shared" ca="1" si="10"/>
        <v>0</v>
      </c>
      <c r="L20" s="1691">
        <f t="shared" ca="1" si="10"/>
        <v>0</v>
      </c>
      <c r="M20" s="1691">
        <f t="shared" ca="1" si="10"/>
        <v>0</v>
      </c>
      <c r="N20" s="1691">
        <f t="shared" ca="1" si="10"/>
        <v>0</v>
      </c>
      <c r="O20" s="1691">
        <f t="shared" ca="1" si="10"/>
        <v>0</v>
      </c>
      <c r="P20" s="1691">
        <f t="shared" ca="1" si="10"/>
        <v>0</v>
      </c>
      <c r="Q20" s="1691">
        <f t="shared" ca="1" si="10"/>
        <v>0</v>
      </c>
      <c r="R20" s="1691">
        <f t="shared" ca="1" si="10"/>
        <v>0</v>
      </c>
      <c r="S20" s="1691">
        <f t="shared" ca="1" si="10"/>
        <v>0</v>
      </c>
      <c r="T20" s="1691">
        <f t="shared" ca="1" si="10"/>
        <v>0</v>
      </c>
      <c r="U20" s="1691">
        <f t="shared" ca="1" si="10"/>
        <v>0</v>
      </c>
      <c r="V20" s="1691">
        <f t="shared" ca="1" si="10"/>
        <v>0</v>
      </c>
      <c r="W20" s="1691">
        <f t="shared" ca="1" si="10"/>
        <v>0</v>
      </c>
      <c r="X20" s="1691">
        <f t="shared" ca="1" si="10"/>
        <v>0</v>
      </c>
      <c r="Y20" s="1691">
        <f t="shared" ca="1" si="10"/>
        <v>0</v>
      </c>
      <c r="Z20" s="1691">
        <f t="shared" ca="1" si="10"/>
        <v>0</v>
      </c>
      <c r="AA20" s="1691">
        <f t="shared" ca="1" si="10"/>
        <v>0</v>
      </c>
      <c r="AB20" s="1691">
        <f t="shared" ca="1" si="10"/>
        <v>0</v>
      </c>
      <c r="AC20" s="1691">
        <f t="shared" ca="1" si="10"/>
        <v>0</v>
      </c>
      <c r="AD20" s="1691">
        <f t="shared" ca="1" si="10"/>
        <v>0</v>
      </c>
      <c r="AE20" s="1691">
        <f t="shared" ca="1" si="10"/>
        <v>0</v>
      </c>
      <c r="AF20" s="1691">
        <f t="shared" ca="1" si="10"/>
        <v>0</v>
      </c>
      <c r="AG20" s="1691">
        <f t="shared" ca="1" si="10"/>
        <v>0</v>
      </c>
      <c r="AH20" s="1691">
        <f t="shared" ca="1" si="10"/>
        <v>0</v>
      </c>
      <c r="AI20" s="1691">
        <f t="shared" ca="1" si="10"/>
        <v>0</v>
      </c>
      <c r="AJ20" s="1691">
        <f t="shared" ca="1" si="10"/>
        <v>0</v>
      </c>
      <c r="AK20" s="1691">
        <f t="shared" ca="1" si="10"/>
        <v>0</v>
      </c>
      <c r="AL20" s="1691">
        <f t="shared" ca="1" si="10"/>
        <v>38.466852162352474</v>
      </c>
      <c r="AM20" s="1691">
        <f t="shared" ca="1" si="10"/>
        <v>19.837148862016921</v>
      </c>
      <c r="AN20" s="1691">
        <f t="shared" ca="1" si="10"/>
        <v>19.293911337021459</v>
      </c>
      <c r="AO20" s="1691">
        <f t="shared" ca="1" si="10"/>
        <v>16.581658476353471</v>
      </c>
      <c r="AP20" s="1691">
        <f t="shared" ca="1" si="10"/>
        <v>13.848339308663917</v>
      </c>
      <c r="AQ20" s="1691">
        <f t="shared" ca="1" si="10"/>
        <v>13.258586172025396</v>
      </c>
      <c r="AR20" s="1691">
        <f t="shared" ca="1" si="10"/>
        <v>12.664252370794893</v>
      </c>
      <c r="AS20" s="1691">
        <f t="shared" ca="1" si="10"/>
        <v>9.9005063646108127</v>
      </c>
      <c r="AT20" s="1691">
        <f t="shared" ca="1" si="10"/>
        <v>7.1152940996054399</v>
      </c>
      <c r="AU20" s="1691">
        <f t="shared" ca="1" si="10"/>
        <v>6.4732448073904898</v>
      </c>
      <c r="AV20" s="1691">
        <f t="shared" ca="1" si="10"/>
        <v>5.8262086617339142</v>
      </c>
      <c r="AW20" s="1691">
        <f t="shared" ca="1" si="10"/>
        <v>2.7507195263045232</v>
      </c>
      <c r="AX20" s="1691">
        <f t="shared" ca="1" si="10"/>
        <v>1.6427561022640017E-14</v>
      </c>
      <c r="AY20" s="1691">
        <f t="shared" ca="1" si="10"/>
        <v>1.6427561022640017E-14</v>
      </c>
      <c r="AZ20" s="1691">
        <f t="shared" ca="1" si="10"/>
        <v>1.6427561022640017E-14</v>
      </c>
      <c r="BA20" s="1692">
        <f ca="1">SUM(E20:AZ20)</f>
        <v>166.01672214887378</v>
      </c>
      <c r="BB20" s="1693">
        <f t="shared" si="3"/>
        <v>14</v>
      </c>
    </row>
    <row r="21" spans="1:58">
      <c r="A21" s="20" t="s">
        <v>533</v>
      </c>
      <c r="E21" s="37">
        <f ca="1">SUM(E16:E20)</f>
        <v>7598.2078853046587</v>
      </c>
      <c r="F21" s="37">
        <f t="shared" ref="F21:AN21" ca="1" si="11">SUM(F16:F20)</f>
        <v>7598.2078853046587</v>
      </c>
      <c r="G21" s="37">
        <f t="shared" ca="1" si="11"/>
        <v>10236.730312745292</v>
      </c>
      <c r="H21" s="37">
        <f t="shared" ca="1" si="11"/>
        <v>19647.460303950218</v>
      </c>
      <c r="I21" s="37">
        <f t="shared" ca="1" si="11"/>
        <v>32586.124639614558</v>
      </c>
      <c r="J21" s="37">
        <f t="shared" ca="1" si="11"/>
        <v>37846.99420483195</v>
      </c>
      <c r="K21" s="37">
        <f t="shared" ca="1" si="11"/>
        <v>56602.406477952085</v>
      </c>
      <c r="L21" s="37">
        <f t="shared" ca="1" si="11"/>
        <v>62363.36950460729</v>
      </c>
      <c r="M21" s="37">
        <f t="shared" ca="1" si="11"/>
        <v>68055.80790732606</v>
      </c>
      <c r="N21" s="37">
        <f t="shared" ca="1" si="11"/>
        <v>89223.931853363159</v>
      </c>
      <c r="O21" s="37">
        <f t="shared" ca="1" si="11"/>
        <v>95296.287179143605</v>
      </c>
      <c r="P21" s="37">
        <f t="shared" ca="1" si="11"/>
        <v>104791.81215377653</v>
      </c>
      <c r="Q21" s="37">
        <f t="shared" ca="1" si="11"/>
        <v>119281.17362167625</v>
      </c>
      <c r="R21" s="37">
        <f t="shared" ca="1" si="11"/>
        <v>120965.91698456371</v>
      </c>
      <c r="S21" s="37">
        <f t="shared" ca="1" si="11"/>
        <v>121131.6366715028</v>
      </c>
      <c r="T21" s="37">
        <f t="shared" ca="1" si="11"/>
        <v>123223.36619912622</v>
      </c>
      <c r="U21" s="37">
        <f t="shared" ca="1" si="11"/>
        <v>150142.12374058281</v>
      </c>
      <c r="V21" s="37">
        <f t="shared" ca="1" si="11"/>
        <v>150479.46817314555</v>
      </c>
      <c r="W21" s="37">
        <f t="shared" ca="1" si="11"/>
        <v>169141.17729229826</v>
      </c>
      <c r="X21" s="37">
        <f t="shared" ca="1" si="11"/>
        <v>172119.25036429177</v>
      </c>
      <c r="Y21" s="37">
        <f t="shared" ca="1" si="11"/>
        <v>172585.87201228808</v>
      </c>
      <c r="Z21" s="37">
        <f t="shared" ca="1" si="11"/>
        <v>174867.58810380928</v>
      </c>
      <c r="AA21" s="37">
        <f t="shared" ca="1" si="11"/>
        <v>177253.084030292</v>
      </c>
      <c r="AB21" s="37">
        <f t="shared" ca="1" si="11"/>
        <v>178586.55267388769</v>
      </c>
      <c r="AC21" s="37">
        <f t="shared" ca="1" si="11"/>
        <v>178676.17339797603</v>
      </c>
      <c r="AD21" s="37">
        <f t="shared" ca="1" si="11"/>
        <v>180393.83448056909</v>
      </c>
      <c r="AE21" s="37">
        <f t="shared" ca="1" si="11"/>
        <v>180819.8589157254</v>
      </c>
      <c r="AF21" s="37">
        <f t="shared" ca="1" si="11"/>
        <v>179548.43781222249</v>
      </c>
      <c r="AG21" s="37">
        <f t="shared" ca="1" si="11"/>
        <v>193668.64587614156</v>
      </c>
      <c r="AH21" s="37">
        <f t="shared" ca="1" si="11"/>
        <v>195335.14928161309</v>
      </c>
      <c r="AI21" s="37">
        <f t="shared" ca="1" si="11"/>
        <v>197011.45564829328</v>
      </c>
      <c r="AJ21" s="37">
        <f t="shared" ca="1" si="11"/>
        <v>202410.60352064722</v>
      </c>
      <c r="AK21" s="37">
        <f t="shared" ca="1" si="11"/>
        <v>223242.03926591363</v>
      </c>
      <c r="AL21" s="37">
        <f t="shared" ca="1" si="11"/>
        <v>255043.13976181627</v>
      </c>
      <c r="AM21" s="37">
        <f t="shared" ca="1" si="11"/>
        <v>257434.29494293316</v>
      </c>
      <c r="AN21" s="37">
        <f t="shared" ca="1" si="11"/>
        <v>259844.02243709358</v>
      </c>
      <c r="AO21" s="37">
        <f ca="1">SUM(AO16:AO20)</f>
        <v>281403.93468728091</v>
      </c>
      <c r="AP21" s="37">
        <f ca="1">SUM(AP16:AP20)</f>
        <v>283999.83648597368</v>
      </c>
      <c r="AQ21" s="37">
        <f ca="1">SUM(AQ16:AQ20)</f>
        <v>286615.90088273468</v>
      </c>
      <c r="AR21" s="37">
        <f ca="1">SUM(AR16:AR20)</f>
        <v>289252.28448224021</v>
      </c>
      <c r="AS21" s="37">
        <f t="shared" ref="AS21:AZ21" ca="1" si="12">SUM(AS16:AS20)</f>
        <v>311040.61329571984</v>
      </c>
      <c r="AT21" s="37">
        <f t="shared" ca="1" si="12"/>
        <v>313866.70578928431</v>
      </c>
      <c r="AU21" s="37">
        <f t="shared" ca="1" si="12"/>
        <v>316714.74879233271</v>
      </c>
      <c r="AV21" s="37">
        <f t="shared" ca="1" si="12"/>
        <v>319584.91279640677</v>
      </c>
      <c r="AW21" s="37">
        <f t="shared" ca="1" si="12"/>
        <v>343894.50318873598</v>
      </c>
      <c r="AX21" s="37">
        <f t="shared" ca="1" si="12"/>
        <v>343894.50318873598</v>
      </c>
      <c r="AY21" s="37">
        <f t="shared" ca="1" si="12"/>
        <v>343894.50318873598</v>
      </c>
      <c r="AZ21" s="37">
        <f t="shared" ca="1" si="12"/>
        <v>343894.50318873598</v>
      </c>
      <c r="BA21" s="435">
        <f ca="1">SUM(BA16:BA20)</f>
        <v>343894.5031887361</v>
      </c>
      <c r="BB21" s="34">
        <f t="shared" si="3"/>
        <v>15</v>
      </c>
      <c r="BC21" s="1425"/>
      <c r="BF21" s="1425"/>
    </row>
    <row r="22" spans="1:58">
      <c r="A22" s="20" t="s">
        <v>974</v>
      </c>
      <c r="E22" s="67">
        <f ca="1">SUM($E17:E17)/$B10</f>
        <v>2.3908569953192921E-2</v>
      </c>
      <c r="F22" s="67">
        <f ca="1">SUM($E17:F17)/$B10</f>
        <v>2.3908569953192921E-2</v>
      </c>
      <c r="G22" s="67">
        <f ca="1">SUM($E17:G17)/$B10</f>
        <v>3.2210961646310356E-2</v>
      </c>
      <c r="H22" s="67">
        <f ca="1">SUM($E17:H17)/$B10</f>
        <v>6.1822825351762534E-2</v>
      </c>
      <c r="I22" s="67">
        <f ca="1">SUM($E17:I17)/$B10</f>
        <v>0.10253571002663475</v>
      </c>
      <c r="J22" s="67">
        <f ca="1">SUM($E17:J17)/$B10</f>
        <v>0.11908959614205529</v>
      </c>
      <c r="K22" s="67">
        <f ca="1">SUM($E17:K17)/$B10</f>
        <v>0.1781054974047892</v>
      </c>
      <c r="L22" s="67">
        <f ca="1">SUM($E17:L17)/$B10</f>
        <v>0.19623298083241869</v>
      </c>
      <c r="M22" s="67">
        <f ca="1">SUM($E17:M17)/$B10</f>
        <v>0.21414484423627006</v>
      </c>
      <c r="N22" s="67">
        <f ca="1">SUM($E17:N17)/$B10</f>
        <v>0.28075259961507587</v>
      </c>
      <c r="O22" s="67">
        <f ca="1">SUM($E17:O17)/$B10</f>
        <v>0.29983681802677375</v>
      </c>
      <c r="P22" s="67">
        <f ca="1">SUM($E17:P17)/$B10</f>
        <v>0.3295816893445237</v>
      </c>
      <c r="Q22" s="67">
        <f ca="1">SUM($E17:Q17)/$B10</f>
        <v>0.37481887621465854</v>
      </c>
      <c r="R22" s="67">
        <f ca="1">SUM($E17:R17)/$B10</f>
        <v>0.37961572121857073</v>
      </c>
      <c r="S22" s="67">
        <f ca="1">SUM($E17:S17)/$B10</f>
        <v>0.37961572121857073</v>
      </c>
      <c r="T22" s="67">
        <f ca="1">SUM($E17:T17)/$B10</f>
        <v>0.38565528540499933</v>
      </c>
      <c r="U22" s="67">
        <f ca="1">SUM($E17:U17)/$B10</f>
        <v>0.46954803938359352</v>
      </c>
      <c r="V22" s="67">
        <f ca="1">SUM($E17:V17)/$B10</f>
        <v>0.46954803938359352</v>
      </c>
      <c r="W22" s="67">
        <f ca="1">SUM($E17:W17)/$B10</f>
        <v>0.52703228814985337</v>
      </c>
      <c r="X22" s="67">
        <f ca="1">SUM($E17:X17)/$B10</f>
        <v>0.534966623616704</v>
      </c>
      <c r="Y22" s="67">
        <f ca="1">SUM($E17:Y17)/$B10</f>
        <v>0.534966623616704</v>
      </c>
      <c r="Z22" s="67">
        <f ca="1">SUM($E17:Z17)/$B10</f>
        <v>0.54065265098329707</v>
      </c>
      <c r="AA22" s="67">
        <f ca="1">SUM($E17:AA17)/$B10</f>
        <v>0.54662216555298249</v>
      </c>
      <c r="AB22" s="67">
        <f ca="1">SUM($E17:AB17)/$B10</f>
        <v>0.54924704722566087</v>
      </c>
      <c r="AC22" s="67">
        <f ca="1">SUM($E17:AC17)/$B10</f>
        <v>0.54794489733193052</v>
      </c>
      <c r="AD22" s="67">
        <f ca="1">SUM($E17:AD17)/$B10</f>
        <v>0.55174887288757146</v>
      </c>
      <c r="AE22" s="67">
        <f ca="1">SUM($E17:AE17)/$B10</f>
        <v>0.55146879519502801</v>
      </c>
      <c r="AF22" s="67">
        <f ca="1">SUM($E17:AF17)/$B10</f>
        <v>0.54585532538867787</v>
      </c>
      <c r="AG22" s="67">
        <f ca="1">SUM($E17:AG17)/$B10</f>
        <v>0.58855469195001175</v>
      </c>
      <c r="AH22" s="67">
        <f ca="1">SUM($E17:AH17)/$B10</f>
        <v>0.59192147786520188</v>
      </c>
      <c r="AI22" s="67">
        <f ca="1">SUM($E17:AI17)/$B10</f>
        <v>0.59528826378039201</v>
      </c>
      <c r="AJ22" s="67">
        <f ca="1">SUM($E17:AJ17)/$B10</f>
        <v>0.61030407744124682</v>
      </c>
      <c r="AK22" s="67">
        <f ca="1">SUM($E17:AK17)/$B10</f>
        <v>0.67363718274999951</v>
      </c>
      <c r="AL22" s="67">
        <f ca="1">SUM($E17:AL17)/$B10</f>
        <v>0.76991544352630104</v>
      </c>
      <c r="AM22" s="67">
        <f ca="1">SUM($E17:AM17)/$B10</f>
        <v>0.77328222944149116</v>
      </c>
      <c r="AN22" s="67">
        <f ca="1">SUM($E17:AN17)/$B10</f>
        <v>0.77664901535668118</v>
      </c>
      <c r="AO22" s="67">
        <f ca="1">SUM($E17:AO17)/$B10</f>
        <v>0.83998212066543398</v>
      </c>
      <c r="AP22" s="67">
        <f ca="1">SUM($E17:AP17)/$B10</f>
        <v>0.84334890658062411</v>
      </c>
      <c r="AQ22" s="67">
        <f ca="1">SUM($E17:AQ17)/$B10</f>
        <v>0.84671569249581413</v>
      </c>
      <c r="AR22" s="67">
        <f ca="1">SUM($E17:AR17)/$B10</f>
        <v>0.85008247841100426</v>
      </c>
      <c r="AS22" s="67">
        <f ca="1">SUM($E17:AS17)/$B10</f>
        <v>0.91341558371975706</v>
      </c>
      <c r="AT22" s="67">
        <f ca="1">SUM($E17:AT17)/$B10</f>
        <v>0.91678236963494719</v>
      </c>
      <c r="AU22" s="67">
        <f ca="1">SUM($E17:AU17)/$B10</f>
        <v>0.92014915555013721</v>
      </c>
      <c r="AV22" s="67">
        <f ca="1">SUM($E17:AV17)/$B10</f>
        <v>0.92351594146532734</v>
      </c>
      <c r="AW22" s="67">
        <f ca="1">SUM($E17:AW17)/$B10</f>
        <v>1</v>
      </c>
      <c r="AX22" s="67">
        <f ca="1">SUM($E17:AX17)/$B10</f>
        <v>1</v>
      </c>
      <c r="AY22" s="67">
        <f ca="1">SUM($E17:AY17)/$B10</f>
        <v>1</v>
      </c>
      <c r="AZ22" s="67">
        <f ca="1">SUM($E17:AZ17)/$B10</f>
        <v>1</v>
      </c>
      <c r="BA22" s="430"/>
      <c r="BB22" s="34">
        <f t="shared" si="3"/>
        <v>16</v>
      </c>
    </row>
    <row r="23" spans="1:58">
      <c r="A23" s="20" t="s">
        <v>975</v>
      </c>
      <c r="E23" s="67">
        <f ca="1">E21/$C10</f>
        <v>2.2094589517572521E-2</v>
      </c>
      <c r="F23" s="67">
        <f t="shared" ref="F23:AN23" ca="1" si="13">F21/$C10</f>
        <v>2.2094589517572521E-2</v>
      </c>
      <c r="G23" s="67">
        <f t="shared" ca="1" si="13"/>
        <v>2.976706582346032E-2</v>
      </c>
      <c r="H23" s="67">
        <f t="shared" ca="1" si="13"/>
        <v>5.713223131446013E-2</v>
      </c>
      <c r="I23" s="67">
        <f t="shared" ca="1" si="13"/>
        <v>9.4756166026098557E-2</v>
      </c>
      <c r="J23" s="67">
        <f t="shared" ca="1" si="13"/>
        <v>0.1100540830222598</v>
      </c>
      <c r="K23" s="67">
        <f t="shared" ca="1" si="13"/>
        <v>0.16459235594960228</v>
      </c>
      <c r="L23" s="67">
        <f t="shared" ca="1" si="13"/>
        <v>0.18134447897930209</v>
      </c>
      <c r="M23" s="67">
        <f t="shared" ca="1" si="13"/>
        <v>0.19789734141221701</v>
      </c>
      <c r="N23" s="67">
        <f t="shared" ca="1" si="13"/>
        <v>0.25945146266090591</v>
      </c>
      <c r="O23" s="67">
        <f t="shared" ca="1" si="13"/>
        <v>0.27710907355458114</v>
      </c>
      <c r="P23" s="67">
        <f t="shared" ca="1" si="13"/>
        <v>0.30472081170853932</v>
      </c>
      <c r="Q23" s="67">
        <f t="shared" ca="1" si="13"/>
        <v>0.34685396979495303</v>
      </c>
      <c r="R23" s="67">
        <f t="shared" ca="1" si="13"/>
        <v>0.35175298198405697</v>
      </c>
      <c r="S23" s="67">
        <f t="shared" ca="1" si="13"/>
        <v>0.35223487304484002</v>
      </c>
      <c r="T23" s="67">
        <f t="shared" ca="1" si="13"/>
        <v>0.35831734749042732</v>
      </c>
      <c r="U23" s="67">
        <f t="shared" ca="1" si="13"/>
        <v>0.43659355514089693</v>
      </c>
      <c r="V23" s="67">
        <f t="shared" ca="1" si="13"/>
        <v>0.4375745083967203</v>
      </c>
      <c r="W23" s="67">
        <f t="shared" ca="1" si="13"/>
        <v>0.49184030487242258</v>
      </c>
      <c r="X23" s="67">
        <f t="shared" ca="1" si="13"/>
        <v>0.50050014980852808</v>
      </c>
      <c r="Y23" s="67">
        <f t="shared" ca="1" si="13"/>
        <v>0.5018570242094551</v>
      </c>
      <c r="Z23" s="67">
        <f t="shared" ca="1" si="13"/>
        <v>0.50849195460341068</v>
      </c>
      <c r="AA23" s="67">
        <f t="shared" ca="1" si="13"/>
        <v>0.51542866311245461</v>
      </c>
      <c r="AB23" s="67">
        <f t="shared" ca="1" si="13"/>
        <v>0.51930621460348225</v>
      </c>
      <c r="AC23" s="67">
        <f t="shared" ca="1" si="13"/>
        <v>0.51956681988579223</v>
      </c>
      <c r="AD23" s="67">
        <f t="shared" ca="1" si="13"/>
        <v>0.52456155247577596</v>
      </c>
      <c r="AE23" s="67">
        <f t="shared" ca="1" si="13"/>
        <v>0.52580037551948855</v>
      </c>
      <c r="AF23" s="67">
        <f t="shared" ca="1" si="13"/>
        <v>0.52210325011703596</v>
      </c>
      <c r="AG23" s="67">
        <f t="shared" ca="1" si="13"/>
        <v>0.56316295864098875</v>
      </c>
      <c r="AH23" s="67">
        <f t="shared" ca="1" si="13"/>
        <v>0.56800893143211806</v>
      </c>
      <c r="AI23" s="67">
        <f t="shared" ca="1" si="13"/>
        <v>0.57288340994554809</v>
      </c>
      <c r="AJ23" s="67">
        <f t="shared" ca="1" si="13"/>
        <v>0.58858342207802106</v>
      </c>
      <c r="AK23" s="67">
        <f t="shared" ca="1" si="13"/>
        <v>0.64915849830665651</v>
      </c>
      <c r="AL23" s="67">
        <f t="shared" ca="1" si="13"/>
        <v>0.74163191733786904</v>
      </c>
      <c r="AM23" s="67">
        <f t="shared" ca="1" si="13"/>
        <v>0.74858508221530995</v>
      </c>
      <c r="AN23" s="67">
        <f t="shared" ca="1" si="13"/>
        <v>0.75559225293719234</v>
      </c>
      <c r="AO23" s="67">
        <f ca="1">AO21/$C10</f>
        <v>0.81828564306199703</v>
      </c>
      <c r="AP23" s="67">
        <f ca="1">AP21/$C10</f>
        <v>0.82583418418324928</v>
      </c>
      <c r="AQ23" s="67">
        <f ca="1">AQ21/$C10</f>
        <v>0.83344135548870413</v>
      </c>
      <c r="AR23" s="67">
        <f ca="1">AR21/$C10</f>
        <v>0.84110761236416987</v>
      </c>
      <c r="AS23" s="67">
        <f t="shared" ref="AS23:AZ23" ca="1" si="14">AS21/$C10</f>
        <v>0.90446520782280315</v>
      </c>
      <c r="AT23" s="67">
        <f t="shared" ca="1" si="14"/>
        <v>0.91268311321925399</v>
      </c>
      <c r="AU23" s="67">
        <f t="shared" ca="1" si="14"/>
        <v>0.92096484781122945</v>
      </c>
      <c r="AV23" s="67">
        <f t="shared" ca="1" si="14"/>
        <v>0.92931090736571698</v>
      </c>
      <c r="AW23" s="67">
        <f t="shared" ca="1" si="14"/>
        <v>0.99999999999999967</v>
      </c>
      <c r="AX23" s="67">
        <f t="shared" ca="1" si="14"/>
        <v>0.99999999999999967</v>
      </c>
      <c r="AY23" s="67">
        <f t="shared" ca="1" si="14"/>
        <v>0.99999999999999967</v>
      </c>
      <c r="AZ23" s="67">
        <f t="shared" ca="1" si="14"/>
        <v>0.99999999999999967</v>
      </c>
      <c r="BA23" s="430"/>
      <c r="BB23" s="34">
        <f t="shared" si="3"/>
        <v>17</v>
      </c>
    </row>
    <row r="24" spans="1:58">
      <c r="A24" s="20"/>
      <c r="BA24" s="430"/>
      <c r="BB24" s="34">
        <f t="shared" si="3"/>
        <v>18</v>
      </c>
    </row>
    <row r="25" spans="1:58">
      <c r="A25" s="128" t="s">
        <v>801</v>
      </c>
      <c r="P25" s="111"/>
      <c r="Q25" s="65"/>
      <c r="BA25" s="430"/>
      <c r="BB25" s="34">
        <f t="shared" si="3"/>
        <v>19</v>
      </c>
    </row>
    <row r="26" spans="1:58">
      <c r="A26" s="20" t="s">
        <v>516</v>
      </c>
      <c r="E26" s="766">
        <v>0</v>
      </c>
      <c r="F26" s="37">
        <f t="shared" ref="F26:AN26" ca="1" si="15">E31</f>
        <v>0</v>
      </c>
      <c r="G26" s="37">
        <f t="shared" ca="1" si="15"/>
        <v>0</v>
      </c>
      <c r="H26" s="37">
        <f t="shared" ca="1" si="15"/>
        <v>0</v>
      </c>
      <c r="I26" s="37">
        <f t="shared" ca="1" si="15"/>
        <v>0</v>
      </c>
      <c r="J26" s="37">
        <f t="shared" ca="1" si="15"/>
        <v>0</v>
      </c>
      <c r="K26" s="37">
        <f t="shared" ca="1" si="15"/>
        <v>0</v>
      </c>
      <c r="L26" s="37">
        <f t="shared" ca="1" si="15"/>
        <v>0</v>
      </c>
      <c r="M26" s="37">
        <f t="shared" ca="1" si="15"/>
        <v>0</v>
      </c>
      <c r="N26" s="37">
        <f t="shared" ca="1" si="15"/>
        <v>0</v>
      </c>
      <c r="O26" s="37">
        <f t="shared" ca="1" si="15"/>
        <v>0</v>
      </c>
      <c r="P26" s="37">
        <f t="shared" ca="1" si="15"/>
        <v>2502.7169742245096</v>
      </c>
      <c r="Q26" s="37">
        <f t="shared" ca="1" si="15"/>
        <v>11998.241948857425</v>
      </c>
      <c r="R26" s="37">
        <f t="shared" ca="1" si="15"/>
        <v>26487.603416757163</v>
      </c>
      <c r="S26" s="37">
        <f t="shared" ca="1" si="15"/>
        <v>28172.346779644628</v>
      </c>
      <c r="T26" s="37">
        <f t="shared" ca="1" si="15"/>
        <v>28338.066466583714</v>
      </c>
      <c r="U26" s="37">
        <f t="shared" ca="1" si="15"/>
        <v>30429.795994207139</v>
      </c>
      <c r="V26" s="37">
        <f t="shared" ca="1" si="15"/>
        <v>57348.553535663727</v>
      </c>
      <c r="W26" s="37">
        <f t="shared" ca="1" si="15"/>
        <v>57685.897968226454</v>
      </c>
      <c r="X26" s="37">
        <f t="shared" ca="1" si="15"/>
        <v>76347.607087379147</v>
      </c>
      <c r="Y26" s="37">
        <f t="shared" ca="1" si="15"/>
        <v>79325.680159372641</v>
      </c>
      <c r="Z26" s="37">
        <f t="shared" ca="1" si="15"/>
        <v>79792.301807368945</v>
      </c>
      <c r="AA26" s="37">
        <f t="shared" ca="1" si="15"/>
        <v>82074.017898890146</v>
      </c>
      <c r="AB26" s="37">
        <f t="shared" ca="1" si="15"/>
        <v>84459.513825372866</v>
      </c>
      <c r="AC26" s="37">
        <f t="shared" ca="1" si="15"/>
        <v>85792.982468968548</v>
      </c>
      <c r="AD26" s="37">
        <f t="shared" ca="1" si="15"/>
        <v>85882.603193056886</v>
      </c>
      <c r="AE26" s="37">
        <f t="shared" ca="1" si="15"/>
        <v>87600.264275649912</v>
      </c>
      <c r="AF26" s="37">
        <f t="shared" ca="1" si="15"/>
        <v>88026.288710806213</v>
      </c>
      <c r="AG26" s="37">
        <f t="shared" ca="1" si="15"/>
        <v>86754.867607303298</v>
      </c>
      <c r="AH26" s="37">
        <f t="shared" ca="1" si="15"/>
        <v>100875.07567122238</v>
      </c>
      <c r="AI26" s="37">
        <f t="shared" ca="1" si="15"/>
        <v>102541.57907669393</v>
      </c>
      <c r="AJ26" s="37">
        <f t="shared" ca="1" si="15"/>
        <v>104217.88544337414</v>
      </c>
      <c r="AK26" s="37">
        <f t="shared" ca="1" si="15"/>
        <v>109617.03331572805</v>
      </c>
      <c r="AL26" s="37">
        <f t="shared" ca="1" si="15"/>
        <v>130448.46906099447</v>
      </c>
      <c r="AM26" s="37">
        <f t="shared" ca="1" si="15"/>
        <v>0</v>
      </c>
      <c r="AN26" s="37">
        <f t="shared" ca="1" si="15"/>
        <v>0</v>
      </c>
      <c r="AO26" s="37">
        <f ca="1">AN31</f>
        <v>0</v>
      </c>
      <c r="AP26" s="37">
        <f ca="1">AO31</f>
        <v>0</v>
      </c>
      <c r="AQ26" s="37">
        <f ca="1">AP31</f>
        <v>0</v>
      </c>
      <c r="AR26" s="37">
        <f ca="1">AQ31</f>
        <v>0</v>
      </c>
      <c r="AS26" s="37">
        <f t="shared" ref="AS26:AZ26" ca="1" si="16">AR31</f>
        <v>0</v>
      </c>
      <c r="AT26" s="37">
        <f t="shared" ca="1" si="16"/>
        <v>0</v>
      </c>
      <c r="AU26" s="37">
        <f t="shared" ca="1" si="16"/>
        <v>0</v>
      </c>
      <c r="AV26" s="37">
        <f t="shared" ca="1" si="16"/>
        <v>0</v>
      </c>
      <c r="AW26" s="37">
        <f t="shared" ca="1" si="16"/>
        <v>0</v>
      </c>
      <c r="AX26" s="37">
        <f t="shared" ca="1" si="16"/>
        <v>0</v>
      </c>
      <c r="AY26" s="37">
        <f t="shared" ca="1" si="16"/>
        <v>0</v>
      </c>
      <c r="AZ26" s="37">
        <f t="shared" ca="1" si="16"/>
        <v>0</v>
      </c>
      <c r="BA26" s="435">
        <f>E26</f>
        <v>0</v>
      </c>
      <c r="BB26" s="34">
        <f t="shared" si="3"/>
        <v>20</v>
      </c>
    </row>
    <row r="27" spans="1:58">
      <c r="A27" s="20" t="s">
        <v>141</v>
      </c>
      <c r="D27" s="15">
        <v>0</v>
      </c>
      <c r="E27" s="37">
        <f ca="1">IF(E$7=Fin_Close,-E26,0)</f>
        <v>0</v>
      </c>
      <c r="F27" s="37">
        <f t="shared" ref="F27:AN27" ca="1" si="17">IF(F$7=Fin_Close,-F26,0)</f>
        <v>0</v>
      </c>
      <c r="G27" s="37">
        <f t="shared" ca="1" si="17"/>
        <v>0</v>
      </c>
      <c r="H27" s="37">
        <f t="shared" ca="1" si="17"/>
        <v>0</v>
      </c>
      <c r="I27" s="37">
        <f t="shared" ca="1" si="17"/>
        <v>0</v>
      </c>
      <c r="J27" s="37">
        <f t="shared" ca="1" si="17"/>
        <v>0</v>
      </c>
      <c r="K27" s="37">
        <f t="shared" ca="1" si="17"/>
        <v>0</v>
      </c>
      <c r="L27" s="37">
        <f t="shared" ca="1" si="17"/>
        <v>0</v>
      </c>
      <c r="M27" s="37">
        <f t="shared" ca="1" si="17"/>
        <v>0</v>
      </c>
      <c r="N27" s="37">
        <f t="shared" ca="1" si="17"/>
        <v>0</v>
      </c>
      <c r="O27" s="37">
        <f t="shared" ca="1" si="17"/>
        <v>0</v>
      </c>
      <c r="P27" s="37">
        <f t="shared" ca="1" si="17"/>
        <v>0</v>
      </c>
      <c r="Q27" s="37">
        <f t="shared" ca="1" si="17"/>
        <v>0</v>
      </c>
      <c r="R27" s="37">
        <f t="shared" ca="1" si="17"/>
        <v>0</v>
      </c>
      <c r="S27" s="37">
        <f t="shared" ca="1" si="17"/>
        <v>0</v>
      </c>
      <c r="T27" s="37">
        <f t="shared" ca="1" si="17"/>
        <v>0</v>
      </c>
      <c r="U27" s="37">
        <f t="shared" ca="1" si="17"/>
        <v>0</v>
      </c>
      <c r="V27" s="37">
        <f t="shared" ca="1" si="17"/>
        <v>0</v>
      </c>
      <c r="W27" s="37">
        <f t="shared" ca="1" si="17"/>
        <v>0</v>
      </c>
      <c r="X27" s="37">
        <f t="shared" ca="1" si="17"/>
        <v>0</v>
      </c>
      <c r="Y27" s="37">
        <f t="shared" ca="1" si="17"/>
        <v>0</v>
      </c>
      <c r="Z27" s="37">
        <f t="shared" ca="1" si="17"/>
        <v>0</v>
      </c>
      <c r="AA27" s="37">
        <f t="shared" ca="1" si="17"/>
        <v>0</v>
      </c>
      <c r="AB27" s="37">
        <f t="shared" ca="1" si="17"/>
        <v>0</v>
      </c>
      <c r="AC27" s="37">
        <f t="shared" ca="1" si="17"/>
        <v>0</v>
      </c>
      <c r="AD27" s="37">
        <f t="shared" ca="1" si="17"/>
        <v>0</v>
      </c>
      <c r="AE27" s="37">
        <f t="shared" ca="1" si="17"/>
        <v>0</v>
      </c>
      <c r="AF27" s="37">
        <f t="shared" ca="1" si="17"/>
        <v>0</v>
      </c>
      <c r="AG27" s="37">
        <f t="shared" ca="1" si="17"/>
        <v>0</v>
      </c>
      <c r="AH27" s="37">
        <f t="shared" ca="1" si="17"/>
        <v>0</v>
      </c>
      <c r="AI27" s="37">
        <f t="shared" ca="1" si="17"/>
        <v>0</v>
      </c>
      <c r="AJ27" s="37">
        <f t="shared" ca="1" si="17"/>
        <v>0</v>
      </c>
      <c r="AK27" s="37">
        <f t="shared" ca="1" si="17"/>
        <v>0</v>
      </c>
      <c r="AL27" s="37">
        <f t="shared" ca="1" si="17"/>
        <v>-130448.46906099447</v>
      </c>
      <c r="AM27" s="37">
        <f t="shared" ca="1" si="17"/>
        <v>0</v>
      </c>
      <c r="AN27" s="37">
        <f t="shared" ca="1" si="17"/>
        <v>0</v>
      </c>
      <c r="AO27" s="37">
        <f ca="1">IF(AO$7=Fin_Close,-AO26,0)</f>
        <v>0</v>
      </c>
      <c r="AP27" s="37">
        <f ca="1">IF(AP$7=Fin_Close,-AP26,0)</f>
        <v>0</v>
      </c>
      <c r="AQ27" s="37">
        <f ca="1">IF(AQ$7=Fin_Close,-AQ26,0)</f>
        <v>0</v>
      </c>
      <c r="AR27" s="37">
        <f ca="1">IF(AR$7=Fin_Close,-AR26,0)</f>
        <v>0</v>
      </c>
      <c r="AS27" s="37">
        <f t="shared" ref="AS27:AZ27" ca="1" si="18">IF(AS$7=Fin_Close,-AS26,0)</f>
        <v>0</v>
      </c>
      <c r="AT27" s="37">
        <f t="shared" ca="1" si="18"/>
        <v>0</v>
      </c>
      <c r="AU27" s="37">
        <f t="shared" ca="1" si="18"/>
        <v>0</v>
      </c>
      <c r="AV27" s="37">
        <f t="shared" ca="1" si="18"/>
        <v>0</v>
      </c>
      <c r="AW27" s="37">
        <f t="shared" ca="1" si="18"/>
        <v>0</v>
      </c>
      <c r="AX27" s="37">
        <f t="shared" ca="1" si="18"/>
        <v>0</v>
      </c>
      <c r="AY27" s="37">
        <f t="shared" ca="1" si="18"/>
        <v>0</v>
      </c>
      <c r="AZ27" s="37">
        <f t="shared" ca="1" si="18"/>
        <v>0</v>
      </c>
      <c r="BA27" s="435">
        <f ca="1">SUM(E27:AZ27)</f>
        <v>-130448.46906099447</v>
      </c>
      <c r="BB27" s="34">
        <f t="shared" si="3"/>
        <v>21</v>
      </c>
    </row>
    <row r="28" spans="1:58">
      <c r="A28" s="20" t="s">
        <v>532</v>
      </c>
      <c r="E28" s="37">
        <f t="shared" ref="E28:AN28" ca="1" si="19">IF(E$7&lt;Fin_Close,E17-E81,0)</f>
        <v>0</v>
      </c>
      <c r="F28" s="37">
        <f t="shared" ca="1" si="19"/>
        <v>0</v>
      </c>
      <c r="G28" s="37">
        <f t="shared" ca="1" si="19"/>
        <v>0</v>
      </c>
      <c r="H28" s="37">
        <f t="shared" ca="1" si="19"/>
        <v>0</v>
      </c>
      <c r="I28" s="37">
        <f t="shared" ca="1" si="19"/>
        <v>0</v>
      </c>
      <c r="J28" s="37">
        <f t="shared" ca="1" si="19"/>
        <v>0</v>
      </c>
      <c r="K28" s="37">
        <f t="shared" ca="1" si="19"/>
        <v>0</v>
      </c>
      <c r="L28" s="37">
        <f t="shared" ca="1" si="19"/>
        <v>0</v>
      </c>
      <c r="M28" s="37">
        <f t="shared" ca="1" si="19"/>
        <v>0</v>
      </c>
      <c r="N28" s="37">
        <f t="shared" ca="1" si="19"/>
        <v>0</v>
      </c>
      <c r="O28" s="37">
        <f t="shared" ca="1" si="19"/>
        <v>2495.3776282590416</v>
      </c>
      <c r="P28" s="37">
        <f t="shared" ca="1" si="19"/>
        <v>9453.0001684068702</v>
      </c>
      <c r="Q28" s="37">
        <f t="shared" ca="1" si="19"/>
        <v>14376.499751285028</v>
      </c>
      <c r="R28" s="37">
        <f t="shared" ca="1" si="19"/>
        <v>1524.4502538071065</v>
      </c>
      <c r="S28" s="37">
        <f t="shared" ca="1" si="19"/>
        <v>0</v>
      </c>
      <c r="T28" s="37">
        <f t="shared" ca="1" si="19"/>
        <v>1919.3897550111358</v>
      </c>
      <c r="U28" s="37">
        <f t="shared" ca="1" si="19"/>
        <v>26661.343026706229</v>
      </c>
      <c r="V28" s="37">
        <f t="shared" ca="1" si="19"/>
        <v>0</v>
      </c>
      <c r="W28" s="37">
        <f t="shared" ca="1" si="19"/>
        <v>18268.648987024812</v>
      </c>
      <c r="X28" s="37">
        <f t="shared" ca="1" si="19"/>
        <v>2521.5531680440772</v>
      </c>
      <c r="Y28" s="37">
        <f t="shared" ca="1" si="19"/>
        <v>0</v>
      </c>
      <c r="Z28" s="37">
        <f t="shared" ca="1" si="19"/>
        <v>1807.0348020600322</v>
      </c>
      <c r="AA28" s="37">
        <f t="shared" ca="1" si="19"/>
        <v>1897.1277982590886</v>
      </c>
      <c r="AB28" s="37">
        <f t="shared" ca="1" si="19"/>
        <v>834.19446091433929</v>
      </c>
      <c r="AC28" s="37">
        <f t="shared" ca="1" si="19"/>
        <v>-413.82674119619924</v>
      </c>
      <c r="AD28" s="37">
        <f t="shared" ca="1" si="19"/>
        <v>1208.9136706613406</v>
      </c>
      <c r="AE28" s="37">
        <f t="shared" ca="1" si="19"/>
        <v>-89.009444569372477</v>
      </c>
      <c r="AF28" s="37">
        <f t="shared" ca="1" si="19"/>
        <v>-1783.9758141132029</v>
      </c>
      <c r="AG28" s="37">
        <f t="shared" ca="1" si="19"/>
        <v>13569.973626152148</v>
      </c>
      <c r="AH28" s="37">
        <f t="shared" ca="1" si="19"/>
        <v>1069.9736261521477</v>
      </c>
      <c r="AI28" s="37">
        <f t="shared" ca="1" si="19"/>
        <v>1069.9736261521477</v>
      </c>
      <c r="AJ28" s="37">
        <f t="shared" ca="1" si="19"/>
        <v>4772.0659991600742</v>
      </c>
      <c r="AK28" s="37">
        <f t="shared" ca="1" si="19"/>
        <v>20127.431339469567</v>
      </c>
      <c r="AL28" s="37">
        <f t="shared" ca="1" si="19"/>
        <v>0</v>
      </c>
      <c r="AM28" s="37">
        <f t="shared" ca="1" si="19"/>
        <v>0</v>
      </c>
      <c r="AN28" s="37">
        <f t="shared" ca="1" si="19"/>
        <v>0</v>
      </c>
      <c r="AO28" s="37">
        <f ca="1">IF(AO$7&lt;Fin_Close,AO17-AO81,0)</f>
        <v>0</v>
      </c>
      <c r="AP28" s="37">
        <f ca="1">IF(AP$7&lt;Fin_Close,AP17-AP81,0)</f>
        <v>0</v>
      </c>
      <c r="AQ28" s="37">
        <f ca="1">IF(AQ$7&lt;Fin_Close,AQ17-AQ81,0)</f>
        <v>0</v>
      </c>
      <c r="AR28" s="37">
        <f ca="1">IF(AR$7&lt;Fin_Close,AR17-AR81,0)</f>
        <v>0</v>
      </c>
      <c r="AS28" s="37">
        <f t="shared" ref="AS28:AZ28" ca="1" si="20">IF(AS$7&lt;Fin_Close,AS17-AS81,0)</f>
        <v>0</v>
      </c>
      <c r="AT28" s="37">
        <f t="shared" ca="1" si="20"/>
        <v>0</v>
      </c>
      <c r="AU28" s="37">
        <f t="shared" ca="1" si="20"/>
        <v>0</v>
      </c>
      <c r="AV28" s="37">
        <f t="shared" ca="1" si="20"/>
        <v>0</v>
      </c>
      <c r="AW28" s="37">
        <f t="shared" ca="1" si="20"/>
        <v>0</v>
      </c>
      <c r="AX28" s="37">
        <f t="shared" ca="1" si="20"/>
        <v>0</v>
      </c>
      <c r="AY28" s="37">
        <f t="shared" ca="1" si="20"/>
        <v>0</v>
      </c>
      <c r="AZ28" s="37">
        <f t="shared" ca="1" si="20"/>
        <v>0</v>
      </c>
      <c r="BA28" s="435">
        <f ca="1">SUM(E28:AZ28)</f>
        <v>121290.13968764638</v>
      </c>
      <c r="BB28" s="34">
        <f t="shared" si="3"/>
        <v>22</v>
      </c>
    </row>
    <row r="29" spans="1:58">
      <c r="A29" s="20" t="s">
        <v>317</v>
      </c>
      <c r="E29" s="37">
        <f ca="1">E51</f>
        <v>0</v>
      </c>
      <c r="F29" s="37">
        <f t="shared" ref="F29:AN29" ca="1" si="21">F51</f>
        <v>0</v>
      </c>
      <c r="G29" s="37">
        <f t="shared" ca="1" si="21"/>
        <v>0</v>
      </c>
      <c r="H29" s="37">
        <f t="shared" ca="1" si="21"/>
        <v>0</v>
      </c>
      <c r="I29" s="37">
        <f t="shared" ca="1" si="21"/>
        <v>0</v>
      </c>
      <c r="J29" s="37">
        <f t="shared" ca="1" si="21"/>
        <v>0</v>
      </c>
      <c r="K29" s="37">
        <f t="shared" ca="1" si="21"/>
        <v>0</v>
      </c>
      <c r="L29" s="37">
        <f t="shared" ca="1" si="21"/>
        <v>0</v>
      </c>
      <c r="M29" s="37">
        <f t="shared" ca="1" si="21"/>
        <v>0</v>
      </c>
      <c r="N29" s="37">
        <f t="shared" ca="1" si="21"/>
        <v>0</v>
      </c>
      <c r="O29" s="37">
        <f t="shared" ca="1" si="21"/>
        <v>6.2384440706476036</v>
      </c>
      <c r="P29" s="37">
        <f t="shared" ca="1" si="21"/>
        <v>36.146085292139723</v>
      </c>
      <c r="Q29" s="37">
        <f t="shared" ca="1" si="21"/>
        <v>95.932459122499679</v>
      </c>
      <c r="R29" s="37">
        <f t="shared" ca="1" si="21"/>
        <v>136.2491427183036</v>
      </c>
      <c r="S29" s="37">
        <f t="shared" ca="1" si="21"/>
        <v>140.86173389822315</v>
      </c>
      <c r="T29" s="37">
        <f t="shared" ca="1" si="21"/>
        <v>146.48880672044641</v>
      </c>
      <c r="U29" s="37">
        <f t="shared" ca="1" si="21"/>
        <v>218.80233753780126</v>
      </c>
      <c r="V29" s="37">
        <f t="shared" ca="1" si="21"/>
        <v>286.74276767831861</v>
      </c>
      <c r="W29" s="37">
        <f t="shared" ca="1" si="21"/>
        <v>334.10111230869427</v>
      </c>
      <c r="X29" s="37">
        <f t="shared" ca="1" si="21"/>
        <v>388.0419183570059</v>
      </c>
      <c r="Y29" s="37">
        <f t="shared" ca="1" si="21"/>
        <v>396.62840079686316</v>
      </c>
      <c r="Z29" s="37">
        <f t="shared" ca="1" si="21"/>
        <v>403.47909604199475</v>
      </c>
      <c r="AA29" s="37">
        <f t="shared" ca="1" si="21"/>
        <v>415.11290899009845</v>
      </c>
      <c r="AB29" s="37">
        <f t="shared" ca="1" si="21"/>
        <v>424.38305527915014</v>
      </c>
      <c r="AC29" s="37">
        <f t="shared" ca="1" si="21"/>
        <v>427.93034549185228</v>
      </c>
      <c r="AD29" s="37">
        <f t="shared" ca="1" si="21"/>
        <v>432.43530014193772</v>
      </c>
      <c r="AE29" s="37">
        <f t="shared" ca="1" si="21"/>
        <v>437.77879776682607</v>
      </c>
      <c r="AF29" s="37">
        <f t="shared" ca="1" si="21"/>
        <v>435.67150401874807</v>
      </c>
      <c r="AG29" s="37">
        <f t="shared" ca="1" si="21"/>
        <v>467.69927210189684</v>
      </c>
      <c r="AH29" s="37">
        <f t="shared" ca="1" si="21"/>
        <v>507.05031242149227</v>
      </c>
      <c r="AI29" s="37">
        <f t="shared" ca="1" si="21"/>
        <v>515.38282944884998</v>
      </c>
      <c r="AJ29" s="37">
        <f t="shared" ca="1" si="21"/>
        <v>533.0195922147708</v>
      </c>
      <c r="AK29" s="37">
        <f t="shared" ca="1" si="21"/>
        <v>598.40374492731416</v>
      </c>
      <c r="AL29" s="37">
        <f t="shared" ca="1" si="21"/>
        <v>0</v>
      </c>
      <c r="AM29" s="37">
        <f t="shared" ca="1" si="21"/>
        <v>0</v>
      </c>
      <c r="AN29" s="37">
        <f t="shared" ca="1" si="21"/>
        <v>0</v>
      </c>
      <c r="AO29" s="37">
        <f ca="1">AO51</f>
        <v>0</v>
      </c>
      <c r="AP29" s="37">
        <f ca="1">AP51</f>
        <v>0</v>
      </c>
      <c r="AQ29" s="37">
        <f ca="1">AQ51</f>
        <v>0</v>
      </c>
      <c r="AR29" s="37">
        <f ca="1">AR51</f>
        <v>0</v>
      </c>
      <c r="AS29" s="37">
        <f t="shared" ref="AS29:AZ29" ca="1" si="22">AS51</f>
        <v>0</v>
      </c>
      <c r="AT29" s="37">
        <f t="shared" ca="1" si="22"/>
        <v>0</v>
      </c>
      <c r="AU29" s="37">
        <f t="shared" ca="1" si="22"/>
        <v>0</v>
      </c>
      <c r="AV29" s="37">
        <f t="shared" ca="1" si="22"/>
        <v>0</v>
      </c>
      <c r="AW29" s="37">
        <f t="shared" ca="1" si="22"/>
        <v>0</v>
      </c>
      <c r="AX29" s="37">
        <f t="shared" ca="1" si="22"/>
        <v>0</v>
      </c>
      <c r="AY29" s="37">
        <f t="shared" ca="1" si="22"/>
        <v>0</v>
      </c>
      <c r="AZ29" s="37">
        <f t="shared" ca="1" si="22"/>
        <v>0</v>
      </c>
      <c r="BA29" s="435">
        <f ca="1">SUM(E29:AZ29)</f>
        <v>7784.579967345875</v>
      </c>
      <c r="BB29" s="34">
        <f t="shared" si="3"/>
        <v>23</v>
      </c>
    </row>
    <row r="30" spans="1:58">
      <c r="A30" s="20" t="s">
        <v>103</v>
      </c>
      <c r="E30" s="142">
        <f ca="1">E57</f>
        <v>0</v>
      </c>
      <c r="F30" s="142">
        <f t="shared" ref="F30:AN30" ca="1" si="23">F57</f>
        <v>0</v>
      </c>
      <c r="G30" s="142">
        <f t="shared" ca="1" si="23"/>
        <v>0</v>
      </c>
      <c r="H30" s="142">
        <f t="shared" ca="1" si="23"/>
        <v>0</v>
      </c>
      <c r="I30" s="142">
        <f t="shared" ca="1" si="23"/>
        <v>0</v>
      </c>
      <c r="J30" s="142">
        <f t="shared" ca="1" si="23"/>
        <v>0</v>
      </c>
      <c r="K30" s="142">
        <f t="shared" ca="1" si="23"/>
        <v>0</v>
      </c>
      <c r="L30" s="142">
        <f t="shared" ca="1" si="23"/>
        <v>0</v>
      </c>
      <c r="M30" s="142">
        <f t="shared" ca="1" si="23"/>
        <v>0</v>
      </c>
      <c r="N30" s="142">
        <f t="shared" ca="1" si="23"/>
        <v>0</v>
      </c>
      <c r="O30" s="142">
        <f t="shared" ca="1" si="23"/>
        <v>1.1009018948201654</v>
      </c>
      <c r="P30" s="142">
        <f t="shared" ca="1" si="23"/>
        <v>6.3787209339070108</v>
      </c>
      <c r="Q30" s="142">
        <f t="shared" ca="1" si="23"/>
        <v>16.929257492205828</v>
      </c>
      <c r="R30" s="142">
        <f t="shared" ca="1" si="23"/>
        <v>24.043966362053578</v>
      </c>
      <c r="S30" s="142">
        <f t="shared" ca="1" si="23"/>
        <v>24.85795304086291</v>
      </c>
      <c r="T30" s="142">
        <f t="shared" ca="1" si="23"/>
        <v>25.850965891843487</v>
      </c>
      <c r="U30" s="142">
        <f t="shared" ca="1" si="23"/>
        <v>38.612177212553163</v>
      </c>
      <c r="V30" s="142">
        <f t="shared" ca="1" si="23"/>
        <v>50.601664884409168</v>
      </c>
      <c r="W30" s="142">
        <f t="shared" ca="1" si="23"/>
        <v>58.959019819181343</v>
      </c>
      <c r="X30" s="142">
        <f t="shared" ca="1" si="23"/>
        <v>68.477985592412807</v>
      </c>
      <c r="Y30" s="142">
        <f t="shared" ca="1" si="23"/>
        <v>69.993247199446444</v>
      </c>
      <c r="Z30" s="142">
        <f t="shared" ca="1" si="23"/>
        <v>71.202193419175543</v>
      </c>
      <c r="AA30" s="142">
        <f t="shared" ca="1" si="23"/>
        <v>73.255219233546796</v>
      </c>
      <c r="AB30" s="142">
        <f t="shared" ca="1" si="23"/>
        <v>74.891127402202969</v>
      </c>
      <c r="AC30" s="142">
        <f t="shared" ca="1" si="23"/>
        <v>75.517119792679821</v>
      </c>
      <c r="AD30" s="142">
        <f t="shared" ca="1" si="23"/>
        <v>76.312111789753715</v>
      </c>
      <c r="AE30" s="142">
        <f t="shared" ca="1" si="23"/>
        <v>77.255081958851662</v>
      </c>
      <c r="AF30" s="142">
        <f t="shared" ca="1" si="23"/>
        <v>76.883206591543782</v>
      </c>
      <c r="AG30" s="142">
        <f t="shared" ca="1" si="23"/>
        <v>82.535165665040623</v>
      </c>
      <c r="AH30" s="142">
        <f t="shared" ca="1" si="23"/>
        <v>89.479466897910399</v>
      </c>
      <c r="AI30" s="142">
        <f t="shared" ca="1" si="23"/>
        <v>90.949911079208832</v>
      </c>
      <c r="AJ30" s="142">
        <f t="shared" ca="1" si="23"/>
        <v>94.062280979077201</v>
      </c>
      <c r="AK30" s="142">
        <f t="shared" ca="1" si="23"/>
        <v>105.60066086952604</v>
      </c>
      <c r="AL30" s="142">
        <f t="shared" ca="1" si="23"/>
        <v>0</v>
      </c>
      <c r="AM30" s="142">
        <f t="shared" ca="1" si="23"/>
        <v>0</v>
      </c>
      <c r="AN30" s="142">
        <f t="shared" ca="1" si="23"/>
        <v>0</v>
      </c>
      <c r="AO30" s="142">
        <f ca="1">AO57</f>
        <v>0</v>
      </c>
      <c r="AP30" s="142">
        <f ca="1">AP57</f>
        <v>0</v>
      </c>
      <c r="AQ30" s="142">
        <f ca="1">AQ57</f>
        <v>0</v>
      </c>
      <c r="AR30" s="142">
        <f ca="1">AR57</f>
        <v>0</v>
      </c>
      <c r="AS30" s="142">
        <f t="shared" ref="AS30:AZ30" ca="1" si="24">AS57</f>
        <v>0</v>
      </c>
      <c r="AT30" s="142">
        <f t="shared" ca="1" si="24"/>
        <v>0</v>
      </c>
      <c r="AU30" s="142">
        <f t="shared" ca="1" si="24"/>
        <v>0</v>
      </c>
      <c r="AV30" s="142">
        <f t="shared" ca="1" si="24"/>
        <v>0</v>
      </c>
      <c r="AW30" s="142">
        <f t="shared" ca="1" si="24"/>
        <v>0</v>
      </c>
      <c r="AX30" s="142">
        <f t="shared" ca="1" si="24"/>
        <v>0</v>
      </c>
      <c r="AY30" s="142">
        <f t="shared" ca="1" si="24"/>
        <v>0</v>
      </c>
      <c r="AZ30" s="142">
        <f t="shared" ca="1" si="24"/>
        <v>0</v>
      </c>
      <c r="BA30" s="436">
        <f ca="1">SUM(A30:AZ30)</f>
        <v>1373.7494060022134</v>
      </c>
      <c r="BB30" s="34">
        <f t="shared" si="3"/>
        <v>24</v>
      </c>
    </row>
    <row r="31" spans="1:58">
      <c r="A31" s="20" t="s">
        <v>517</v>
      </c>
      <c r="E31" s="37">
        <f ca="1">SUM(E26:E30)</f>
        <v>0</v>
      </c>
      <c r="F31" s="37">
        <f t="shared" ref="F31:AN31" ca="1" si="25">SUM(F26:F30)</f>
        <v>0</v>
      </c>
      <c r="G31" s="37">
        <f t="shared" ca="1" si="25"/>
        <v>0</v>
      </c>
      <c r="H31" s="37">
        <f t="shared" ca="1" si="25"/>
        <v>0</v>
      </c>
      <c r="I31" s="37">
        <f t="shared" ca="1" si="25"/>
        <v>0</v>
      </c>
      <c r="J31" s="37">
        <f t="shared" ca="1" si="25"/>
        <v>0</v>
      </c>
      <c r="K31" s="37">
        <f t="shared" ca="1" si="25"/>
        <v>0</v>
      </c>
      <c r="L31" s="37">
        <f t="shared" ca="1" si="25"/>
        <v>0</v>
      </c>
      <c r="M31" s="37">
        <f t="shared" ca="1" si="25"/>
        <v>0</v>
      </c>
      <c r="N31" s="37">
        <f t="shared" ca="1" si="25"/>
        <v>0</v>
      </c>
      <c r="O31" s="37">
        <f t="shared" ca="1" si="25"/>
        <v>2502.7169742245096</v>
      </c>
      <c r="P31" s="37">
        <f t="shared" ca="1" si="25"/>
        <v>11998.241948857425</v>
      </c>
      <c r="Q31" s="37">
        <f t="shared" ca="1" si="25"/>
        <v>26487.603416757163</v>
      </c>
      <c r="R31" s="37">
        <f t="shared" ca="1" si="25"/>
        <v>28172.346779644628</v>
      </c>
      <c r="S31" s="37">
        <f t="shared" ca="1" si="25"/>
        <v>28338.066466583714</v>
      </c>
      <c r="T31" s="37">
        <f t="shared" ca="1" si="25"/>
        <v>30429.795994207139</v>
      </c>
      <c r="U31" s="37">
        <f t="shared" ca="1" si="25"/>
        <v>57348.553535663727</v>
      </c>
      <c r="V31" s="37">
        <f t="shared" ca="1" si="25"/>
        <v>57685.897968226454</v>
      </c>
      <c r="W31" s="37">
        <f t="shared" ca="1" si="25"/>
        <v>76347.607087379147</v>
      </c>
      <c r="X31" s="37">
        <f t="shared" ca="1" si="25"/>
        <v>79325.680159372641</v>
      </c>
      <c r="Y31" s="37">
        <f t="shared" ca="1" si="25"/>
        <v>79792.301807368945</v>
      </c>
      <c r="Z31" s="37">
        <f t="shared" ca="1" si="25"/>
        <v>82074.017898890146</v>
      </c>
      <c r="AA31" s="37">
        <f t="shared" ca="1" si="25"/>
        <v>84459.513825372866</v>
      </c>
      <c r="AB31" s="37">
        <f t="shared" ca="1" si="25"/>
        <v>85792.982468968548</v>
      </c>
      <c r="AC31" s="37">
        <f t="shared" ca="1" si="25"/>
        <v>85882.603193056886</v>
      </c>
      <c r="AD31" s="37">
        <f t="shared" ca="1" si="25"/>
        <v>87600.264275649912</v>
      </c>
      <c r="AE31" s="37">
        <f t="shared" ca="1" si="25"/>
        <v>88026.288710806213</v>
      </c>
      <c r="AF31" s="37">
        <f t="shared" ca="1" si="25"/>
        <v>86754.867607303298</v>
      </c>
      <c r="AG31" s="37">
        <f t="shared" ca="1" si="25"/>
        <v>100875.07567122238</v>
      </c>
      <c r="AH31" s="37">
        <f t="shared" ca="1" si="25"/>
        <v>102541.57907669393</v>
      </c>
      <c r="AI31" s="37">
        <f t="shared" ca="1" si="25"/>
        <v>104217.88544337414</v>
      </c>
      <c r="AJ31" s="37">
        <f t="shared" ca="1" si="25"/>
        <v>109617.03331572805</v>
      </c>
      <c r="AK31" s="37">
        <f t="shared" ca="1" si="25"/>
        <v>130448.46906099447</v>
      </c>
      <c r="AL31" s="37">
        <f t="shared" ca="1" si="25"/>
        <v>0</v>
      </c>
      <c r="AM31" s="37">
        <f t="shared" ca="1" si="25"/>
        <v>0</v>
      </c>
      <c r="AN31" s="37">
        <f t="shared" ca="1" si="25"/>
        <v>0</v>
      </c>
      <c r="AO31" s="37">
        <f ca="1">SUM(AO26:AO30)</f>
        <v>0</v>
      </c>
      <c r="AP31" s="37">
        <f ca="1">SUM(AP26:AP30)</f>
        <v>0</v>
      </c>
      <c r="AQ31" s="37">
        <f ca="1">SUM(AQ26:AQ30)</f>
        <v>0</v>
      </c>
      <c r="AR31" s="37">
        <f ca="1">SUM(AR26:AR30)</f>
        <v>0</v>
      </c>
      <c r="AS31" s="37">
        <f t="shared" ref="AS31:AZ31" ca="1" si="26">SUM(AS26:AS30)</f>
        <v>0</v>
      </c>
      <c r="AT31" s="37">
        <f t="shared" ca="1" si="26"/>
        <v>0</v>
      </c>
      <c r="AU31" s="37">
        <f t="shared" ca="1" si="26"/>
        <v>0</v>
      </c>
      <c r="AV31" s="37">
        <f t="shared" ca="1" si="26"/>
        <v>0</v>
      </c>
      <c r="AW31" s="37">
        <f t="shared" ca="1" si="26"/>
        <v>0</v>
      </c>
      <c r="AX31" s="37">
        <f t="shared" ca="1" si="26"/>
        <v>0</v>
      </c>
      <c r="AY31" s="37">
        <f t="shared" ca="1" si="26"/>
        <v>0</v>
      </c>
      <c r="AZ31" s="37">
        <f t="shared" ca="1" si="26"/>
        <v>0</v>
      </c>
      <c r="BA31" s="435">
        <f ca="1">SUM(BA26:BA30)</f>
        <v>6.1390892369672656E-12</v>
      </c>
      <c r="BB31" s="34">
        <f t="shared" si="3"/>
        <v>25</v>
      </c>
    </row>
    <row r="32" spans="1:58">
      <c r="A32" s="20"/>
      <c r="E32" s="1427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65"/>
      <c r="AJ32" s="65"/>
      <c r="AK32" s="65"/>
      <c r="AL32" s="65"/>
      <c r="AM32" s="65"/>
      <c r="AN32" s="65"/>
      <c r="AO32" s="65"/>
      <c r="AP32" s="65"/>
      <c r="AQ32" s="65"/>
      <c r="AR32" s="65"/>
      <c r="AS32" s="65"/>
      <c r="AT32" s="65"/>
      <c r="AU32" s="65"/>
      <c r="AV32" s="65"/>
      <c r="AW32" s="65"/>
      <c r="AX32" s="65"/>
      <c r="AY32" s="65"/>
      <c r="AZ32" s="65"/>
      <c r="BA32" s="430"/>
      <c r="BB32" s="34">
        <f t="shared" si="3"/>
        <v>26</v>
      </c>
    </row>
    <row r="33" spans="1:54">
      <c r="A33" s="128" t="s">
        <v>738</v>
      </c>
      <c r="P33" s="111"/>
      <c r="Q33" s="65"/>
      <c r="BA33" s="430"/>
      <c r="BB33" s="34">
        <f t="shared" si="3"/>
        <v>27</v>
      </c>
    </row>
    <row r="34" spans="1:54">
      <c r="A34" s="20" t="s">
        <v>516</v>
      </c>
      <c r="E34" s="766">
        <v>0</v>
      </c>
      <c r="F34" s="37">
        <f t="shared" ref="F34:AN34" ca="1" si="27">E40</f>
        <v>0</v>
      </c>
      <c r="G34" s="37">
        <f t="shared" ca="1" si="27"/>
        <v>0</v>
      </c>
      <c r="H34" s="37">
        <f t="shared" ca="1" si="27"/>
        <v>0</v>
      </c>
      <c r="I34" s="37">
        <f t="shared" ca="1" si="27"/>
        <v>0</v>
      </c>
      <c r="J34" s="37">
        <f t="shared" ca="1" si="27"/>
        <v>0</v>
      </c>
      <c r="K34" s="37">
        <f t="shared" ca="1" si="27"/>
        <v>0</v>
      </c>
      <c r="L34" s="37">
        <f t="shared" ca="1" si="27"/>
        <v>0</v>
      </c>
      <c r="M34" s="37">
        <f t="shared" ca="1" si="27"/>
        <v>0</v>
      </c>
      <c r="N34" s="37">
        <f t="shared" ca="1" si="27"/>
        <v>0</v>
      </c>
      <c r="O34" s="37">
        <f t="shared" ca="1" si="27"/>
        <v>0</v>
      </c>
      <c r="P34" s="37">
        <f t="shared" ca="1" si="27"/>
        <v>0</v>
      </c>
      <c r="Q34" s="37">
        <f t="shared" ca="1" si="27"/>
        <v>0</v>
      </c>
      <c r="R34" s="37">
        <f t="shared" ca="1" si="27"/>
        <v>0</v>
      </c>
      <c r="S34" s="37">
        <f t="shared" ca="1" si="27"/>
        <v>0</v>
      </c>
      <c r="T34" s="37">
        <f t="shared" ca="1" si="27"/>
        <v>0</v>
      </c>
      <c r="U34" s="37">
        <f t="shared" ca="1" si="27"/>
        <v>0</v>
      </c>
      <c r="V34" s="37">
        <f t="shared" ca="1" si="27"/>
        <v>0</v>
      </c>
      <c r="W34" s="37">
        <f t="shared" ca="1" si="27"/>
        <v>0</v>
      </c>
      <c r="X34" s="37">
        <f t="shared" ca="1" si="27"/>
        <v>0</v>
      </c>
      <c r="Y34" s="37">
        <f t="shared" ca="1" si="27"/>
        <v>0</v>
      </c>
      <c r="Z34" s="37">
        <f t="shared" ca="1" si="27"/>
        <v>0</v>
      </c>
      <c r="AA34" s="37">
        <f t="shared" ca="1" si="27"/>
        <v>0</v>
      </c>
      <c r="AB34" s="37">
        <f t="shared" ca="1" si="27"/>
        <v>0</v>
      </c>
      <c r="AC34" s="37">
        <f t="shared" ca="1" si="27"/>
        <v>0</v>
      </c>
      <c r="AD34" s="37">
        <f t="shared" ca="1" si="27"/>
        <v>0</v>
      </c>
      <c r="AE34" s="37">
        <f t="shared" ca="1" si="27"/>
        <v>0</v>
      </c>
      <c r="AF34" s="37">
        <f t="shared" ca="1" si="27"/>
        <v>0</v>
      </c>
      <c r="AG34" s="37">
        <f t="shared" ca="1" si="27"/>
        <v>0</v>
      </c>
      <c r="AH34" s="37">
        <f t="shared" ca="1" si="27"/>
        <v>0</v>
      </c>
      <c r="AI34" s="37">
        <f t="shared" ca="1" si="27"/>
        <v>0</v>
      </c>
      <c r="AJ34" s="37">
        <f t="shared" ca="1" si="27"/>
        <v>0</v>
      </c>
      <c r="AK34" s="37">
        <f t="shared" ca="1" si="27"/>
        <v>0</v>
      </c>
      <c r="AL34" s="37">
        <f t="shared" ca="1" si="27"/>
        <v>0</v>
      </c>
      <c r="AM34" s="37">
        <f t="shared" ca="1" si="27"/>
        <v>130103.58881252688</v>
      </c>
      <c r="AN34" s="37">
        <f t="shared" ca="1" si="27"/>
        <v>132020.99217649625</v>
      </c>
      <c r="AO34" s="37">
        <f ca="1">AN40</f>
        <v>133953.2881813898</v>
      </c>
      <c r="AP34" s="37">
        <f ca="1">AO40</f>
        <v>151241.60497565332</v>
      </c>
      <c r="AQ34" s="37">
        <f ca="1">AP40</f>
        <v>153323.18917422582</v>
      </c>
      <c r="AR34" s="37">
        <f ca="1">AQ40</f>
        <v>155420.94122073543</v>
      </c>
      <c r="AS34" s="37">
        <f t="shared" ref="AS34:AZ34" ca="1" si="28">AR40</f>
        <v>157534.98669228217</v>
      </c>
      <c r="AT34" s="37">
        <f t="shared" ca="1" si="28"/>
        <v>175006.4646173254</v>
      </c>
      <c r="AU34" s="37">
        <f t="shared" ca="1" si="28"/>
        <v>177272.63257532383</v>
      </c>
      <c r="AV34" s="37">
        <f t="shared" ca="1" si="28"/>
        <v>179556.40205958774</v>
      </c>
      <c r="AW34" s="37">
        <f t="shared" ca="1" si="28"/>
        <v>181857.90978272297</v>
      </c>
      <c r="AX34" s="37">
        <f t="shared" ca="1" si="28"/>
        <v>201351.11991105828</v>
      </c>
      <c r="AY34" s="37">
        <f t="shared" ca="1" si="28"/>
        <v>201351.11991105828</v>
      </c>
      <c r="AZ34" s="37">
        <f t="shared" ca="1" si="28"/>
        <v>201351.11991105828</v>
      </c>
      <c r="BA34" s="435">
        <f>E34</f>
        <v>0</v>
      </c>
      <c r="BB34" s="34">
        <f t="shared" si="3"/>
        <v>28</v>
      </c>
    </row>
    <row r="35" spans="1:54">
      <c r="A35" s="20" t="s">
        <v>104</v>
      </c>
      <c r="E35" s="1409">
        <f ca="1">IF(E$7=Fin_Close,-E27*Debtperc/SUM(Debtperc,Subdebtperc,SudamPerc),0)</f>
        <v>0</v>
      </c>
      <c r="F35" s="1409">
        <f t="shared" ref="F35:AN35" ca="1" si="29">IF(F$7=Fin_Close,-F27*Debtperc/SUM(Debtperc,Subdebtperc,SudamPerc),0)</f>
        <v>0</v>
      </c>
      <c r="G35" s="1409">
        <f t="shared" ca="1" si="29"/>
        <v>0</v>
      </c>
      <c r="H35" s="1409">
        <f t="shared" ca="1" si="29"/>
        <v>0</v>
      </c>
      <c r="I35" s="1409">
        <f t="shared" ca="1" si="29"/>
        <v>0</v>
      </c>
      <c r="J35" s="1409">
        <f t="shared" ca="1" si="29"/>
        <v>0</v>
      </c>
      <c r="K35" s="1409">
        <f t="shared" ca="1" si="29"/>
        <v>0</v>
      </c>
      <c r="L35" s="1409">
        <f t="shared" ca="1" si="29"/>
        <v>0</v>
      </c>
      <c r="M35" s="1409">
        <f t="shared" ca="1" si="29"/>
        <v>0</v>
      </c>
      <c r="N35" s="1409">
        <f t="shared" ca="1" si="29"/>
        <v>0</v>
      </c>
      <c r="O35" s="1409">
        <f t="shared" ca="1" si="29"/>
        <v>0</v>
      </c>
      <c r="P35" s="1409">
        <f t="shared" ca="1" si="29"/>
        <v>0</v>
      </c>
      <c r="Q35" s="1409">
        <f t="shared" ca="1" si="29"/>
        <v>0</v>
      </c>
      <c r="R35" s="1409">
        <f t="shared" ca="1" si="29"/>
        <v>0</v>
      </c>
      <c r="S35" s="1409">
        <f t="shared" ca="1" si="29"/>
        <v>0</v>
      </c>
      <c r="T35" s="1409">
        <f t="shared" ca="1" si="29"/>
        <v>0</v>
      </c>
      <c r="U35" s="1409">
        <f t="shared" ca="1" si="29"/>
        <v>0</v>
      </c>
      <c r="V35" s="1409">
        <f t="shared" ca="1" si="29"/>
        <v>0</v>
      </c>
      <c r="W35" s="1409">
        <f t="shared" ca="1" si="29"/>
        <v>0</v>
      </c>
      <c r="X35" s="1409">
        <f t="shared" ca="1" si="29"/>
        <v>0</v>
      </c>
      <c r="Y35" s="1409">
        <f t="shared" ca="1" si="29"/>
        <v>0</v>
      </c>
      <c r="Z35" s="1409">
        <f t="shared" ca="1" si="29"/>
        <v>0</v>
      </c>
      <c r="AA35" s="1409">
        <f t="shared" ca="1" si="29"/>
        <v>0</v>
      </c>
      <c r="AB35" s="1409">
        <f t="shared" ca="1" si="29"/>
        <v>0</v>
      </c>
      <c r="AC35" s="1409">
        <f t="shared" ca="1" si="29"/>
        <v>0</v>
      </c>
      <c r="AD35" s="1409">
        <f t="shared" ca="1" si="29"/>
        <v>0</v>
      </c>
      <c r="AE35" s="1409">
        <f t="shared" ca="1" si="29"/>
        <v>0</v>
      </c>
      <c r="AF35" s="1409">
        <f t="shared" ca="1" si="29"/>
        <v>0</v>
      </c>
      <c r="AG35" s="1409">
        <f t="shared" ca="1" si="29"/>
        <v>0</v>
      </c>
      <c r="AH35" s="1409">
        <f t="shared" ca="1" si="29"/>
        <v>0</v>
      </c>
      <c r="AI35" s="1409">
        <f t="shared" ca="1" si="29"/>
        <v>0</v>
      </c>
      <c r="AJ35" s="1409">
        <f t="shared" ca="1" si="29"/>
        <v>0</v>
      </c>
      <c r="AK35" s="1409">
        <f t="shared" ca="1" si="29"/>
        <v>0</v>
      </c>
      <c r="AL35" s="1409">
        <f t="shared" ca="1" si="29"/>
        <v>104603.13716877774</v>
      </c>
      <c r="AM35" s="1409">
        <f t="shared" ca="1" si="29"/>
        <v>0</v>
      </c>
      <c r="AN35" s="1409">
        <f t="shared" ca="1" si="29"/>
        <v>0</v>
      </c>
      <c r="AO35" s="1409">
        <f ca="1">IF(AO$7=Fin_Close,-AO27*Debtperc/SUM(Debtperc,Subdebtperc,SudamPerc),0)</f>
        <v>0</v>
      </c>
      <c r="AP35" s="1409">
        <f ca="1">IF(AP$7=Fin_Close,-AP27*Debtperc/SUM(Debtperc,Subdebtperc,SudamPerc),0)</f>
        <v>0</v>
      </c>
      <c r="AQ35" s="1409">
        <f ca="1">IF(AQ$7=Fin_Close,-AQ27*Debtperc/SUM(Debtperc,Subdebtperc,SudamPerc),0)</f>
        <v>0</v>
      </c>
      <c r="AR35" s="1409">
        <f ca="1">IF(AR$7=Fin_Close,-AR27*Debtperc/SUM(Debtperc,Subdebtperc,SudamPerc),0)</f>
        <v>0</v>
      </c>
      <c r="AS35" s="1409">
        <f t="shared" ref="AS35:AZ35" ca="1" si="30">IF(AS$7=Fin_Close,-AS27*Debtperc/SUM(Debtperc,Subdebtperc,SudamPerc),0)</f>
        <v>0</v>
      </c>
      <c r="AT35" s="1409">
        <f t="shared" ca="1" si="30"/>
        <v>0</v>
      </c>
      <c r="AU35" s="1409">
        <f t="shared" ca="1" si="30"/>
        <v>0</v>
      </c>
      <c r="AV35" s="1409">
        <f t="shared" ca="1" si="30"/>
        <v>0</v>
      </c>
      <c r="AW35" s="1409">
        <f t="shared" ca="1" si="30"/>
        <v>0</v>
      </c>
      <c r="AX35" s="1409">
        <f t="shared" ca="1" si="30"/>
        <v>0</v>
      </c>
      <c r="AY35" s="1409">
        <f t="shared" ca="1" si="30"/>
        <v>0</v>
      </c>
      <c r="AZ35" s="1409">
        <f t="shared" ca="1" si="30"/>
        <v>0</v>
      </c>
      <c r="BA35" s="1410">
        <f ca="1">SUM(E35:AZ35)</f>
        <v>104603.13716877774</v>
      </c>
      <c r="BB35" s="1527">
        <f t="shared" si="3"/>
        <v>29</v>
      </c>
    </row>
    <row r="36" spans="1:54">
      <c r="A36" s="20" t="s">
        <v>532</v>
      </c>
      <c r="E36" s="1530">
        <f ca="1">IF(E$7&lt;Fin_Close,0,E17*Debtperc/SUM(Debtperc,Subdebtperc,SudamPerc))</f>
        <v>0</v>
      </c>
      <c r="F36" s="1409">
        <f t="shared" ref="F36:AN36" ca="1" si="31">IF(F$7&lt;Fin_Close,0,F17*Debtperc/SUM(Debtperc,Subdebtperc,SudamPerc))</f>
        <v>0</v>
      </c>
      <c r="G36" s="1409">
        <f t="shared" ca="1" si="31"/>
        <v>0</v>
      </c>
      <c r="H36" s="1409">
        <f t="shared" ca="1" si="31"/>
        <v>0</v>
      </c>
      <c r="I36" s="1409">
        <f t="shared" ca="1" si="31"/>
        <v>0</v>
      </c>
      <c r="J36" s="1409">
        <f t="shared" ca="1" si="31"/>
        <v>0</v>
      </c>
      <c r="K36" s="1409">
        <f t="shared" ca="1" si="31"/>
        <v>0</v>
      </c>
      <c r="L36" s="1409">
        <f t="shared" ca="1" si="31"/>
        <v>0</v>
      </c>
      <c r="M36" s="1409">
        <f t="shared" ca="1" si="31"/>
        <v>0</v>
      </c>
      <c r="N36" s="1409">
        <f t="shared" ca="1" si="31"/>
        <v>0</v>
      </c>
      <c r="O36" s="1409">
        <f t="shared" ca="1" si="31"/>
        <v>0</v>
      </c>
      <c r="P36" s="1409">
        <f t="shared" ca="1" si="31"/>
        <v>0</v>
      </c>
      <c r="Q36" s="1409">
        <f t="shared" ca="1" si="31"/>
        <v>0</v>
      </c>
      <c r="R36" s="1409">
        <f t="shared" ca="1" si="31"/>
        <v>0</v>
      </c>
      <c r="S36" s="1409">
        <f t="shared" ca="1" si="31"/>
        <v>0</v>
      </c>
      <c r="T36" s="1409">
        <f t="shared" ca="1" si="31"/>
        <v>0</v>
      </c>
      <c r="U36" s="1409">
        <f t="shared" ca="1" si="31"/>
        <v>0</v>
      </c>
      <c r="V36" s="1409">
        <f t="shared" ca="1" si="31"/>
        <v>0</v>
      </c>
      <c r="W36" s="1409">
        <f t="shared" ca="1" si="31"/>
        <v>0</v>
      </c>
      <c r="X36" s="1409">
        <f t="shared" ca="1" si="31"/>
        <v>0</v>
      </c>
      <c r="Y36" s="1409">
        <f t="shared" ca="1" si="31"/>
        <v>0</v>
      </c>
      <c r="Z36" s="1409">
        <f t="shared" ca="1" si="31"/>
        <v>0</v>
      </c>
      <c r="AA36" s="1409">
        <f t="shared" ca="1" si="31"/>
        <v>0</v>
      </c>
      <c r="AB36" s="1409">
        <f t="shared" ca="1" si="31"/>
        <v>0</v>
      </c>
      <c r="AC36" s="1409">
        <f t="shared" ca="1" si="31"/>
        <v>0</v>
      </c>
      <c r="AD36" s="1409">
        <f t="shared" ca="1" si="31"/>
        <v>0</v>
      </c>
      <c r="AE36" s="1409">
        <f t="shared" ca="1" si="31"/>
        <v>0</v>
      </c>
      <c r="AF36" s="1409">
        <f t="shared" ca="1" si="31"/>
        <v>0</v>
      </c>
      <c r="AG36" s="1409">
        <f t="shared" ca="1" si="31"/>
        <v>0</v>
      </c>
      <c r="AH36" s="1409">
        <f t="shared" ca="1" si="31"/>
        <v>0</v>
      </c>
      <c r="AI36" s="1409">
        <f t="shared" ca="1" si="31"/>
        <v>0</v>
      </c>
      <c r="AJ36" s="1409">
        <f t="shared" ca="1" si="31"/>
        <v>0</v>
      </c>
      <c r="AK36" s="1409">
        <f t="shared" ca="1" si="31"/>
        <v>0</v>
      </c>
      <c r="AL36" s="1409">
        <f t="shared" ca="1" si="31"/>
        <v>24535.308930540879</v>
      </c>
      <c r="AM36" s="1409">
        <f t="shared" ca="1" si="31"/>
        <v>857.98322348294789</v>
      </c>
      <c r="AN36" s="1409">
        <f t="shared" ca="1" si="31"/>
        <v>857.98322348294789</v>
      </c>
      <c r="AO36" s="1409">
        <f t="shared" ref="AO36:AR39" ca="1" si="32">IF(AO$7&lt;Fin_Close,0,AO17*Debtperc/SUM(Debtperc,Subdebtperc,SudamPerc))</f>
        <v>16139.648678232184</v>
      </c>
      <c r="AP36" s="1409">
        <f t="shared" ca="1" si="32"/>
        <v>857.98322348294789</v>
      </c>
      <c r="AQ36" s="1409">
        <f t="shared" ca="1" si="32"/>
        <v>857.98322348294789</v>
      </c>
      <c r="AR36" s="1409">
        <f t="shared" ca="1" si="32"/>
        <v>857.98322348294789</v>
      </c>
      <c r="AS36" s="1409">
        <f t="shared" ref="AS36:AZ36" ca="1" si="33">IF(AS$7&lt;Fin_Close,0,AS17*Debtperc/SUM(Debtperc,Subdebtperc,SudamPerc))</f>
        <v>16139.648678232184</v>
      </c>
      <c r="AT36" s="1409">
        <f t="shared" ca="1" si="33"/>
        <v>857.98322348294789</v>
      </c>
      <c r="AU36" s="1409">
        <f t="shared" ca="1" si="33"/>
        <v>857.98322348294789</v>
      </c>
      <c r="AV36" s="1409">
        <f t="shared" ca="1" si="33"/>
        <v>857.98322348294789</v>
      </c>
      <c r="AW36" s="1409">
        <f t="shared" ca="1" si="33"/>
        <v>19491.004399943147</v>
      </c>
      <c r="AX36" s="1409">
        <f t="shared" ca="1" si="33"/>
        <v>0</v>
      </c>
      <c r="AY36" s="1409">
        <f t="shared" ca="1" si="33"/>
        <v>0</v>
      </c>
      <c r="AZ36" s="1409">
        <f t="shared" ca="1" si="33"/>
        <v>0</v>
      </c>
      <c r="BA36" s="1410">
        <f ca="1">SUM(E36:AZ36)</f>
        <v>83169.476474811949</v>
      </c>
      <c r="BB36" s="1527">
        <f t="shared" si="3"/>
        <v>30</v>
      </c>
    </row>
    <row r="37" spans="1:54">
      <c r="A37" s="20" t="s">
        <v>317</v>
      </c>
      <c r="E37" s="1409">
        <f ca="1">IF(E$7&lt;Fin_Close,0,E18*Debtperc/SUM(Debtperc,Subdebtperc,SudamPerc))</f>
        <v>0</v>
      </c>
      <c r="F37" s="1409">
        <f t="shared" ref="F37:AN37" ca="1" si="34">IF(F$7&lt;Fin_Close,0,F18*Debtperc/SUM(Debtperc,Subdebtperc,SudamPerc))</f>
        <v>0</v>
      </c>
      <c r="G37" s="1409">
        <f t="shared" ca="1" si="34"/>
        <v>0</v>
      </c>
      <c r="H37" s="1409">
        <f t="shared" ca="1" si="34"/>
        <v>0</v>
      </c>
      <c r="I37" s="1409">
        <f t="shared" ca="1" si="34"/>
        <v>0</v>
      </c>
      <c r="J37" s="1409">
        <f t="shared" ca="1" si="34"/>
        <v>0</v>
      </c>
      <c r="K37" s="1409">
        <f t="shared" ca="1" si="34"/>
        <v>0</v>
      </c>
      <c r="L37" s="1409">
        <f t="shared" ca="1" si="34"/>
        <v>0</v>
      </c>
      <c r="M37" s="1409">
        <f t="shared" ca="1" si="34"/>
        <v>0</v>
      </c>
      <c r="N37" s="1409">
        <f t="shared" ca="1" si="34"/>
        <v>0</v>
      </c>
      <c r="O37" s="1409">
        <f t="shared" ca="1" si="34"/>
        <v>0</v>
      </c>
      <c r="P37" s="1409">
        <f t="shared" ca="1" si="34"/>
        <v>0</v>
      </c>
      <c r="Q37" s="1409">
        <f t="shared" ca="1" si="34"/>
        <v>0</v>
      </c>
      <c r="R37" s="1409">
        <f t="shared" ca="1" si="34"/>
        <v>0</v>
      </c>
      <c r="S37" s="1409">
        <f t="shared" ca="1" si="34"/>
        <v>0</v>
      </c>
      <c r="T37" s="1409">
        <f t="shared" ca="1" si="34"/>
        <v>0</v>
      </c>
      <c r="U37" s="1409">
        <f t="shared" ca="1" si="34"/>
        <v>0</v>
      </c>
      <c r="V37" s="1409">
        <f t="shared" ca="1" si="34"/>
        <v>0</v>
      </c>
      <c r="W37" s="1409">
        <f t="shared" ca="1" si="34"/>
        <v>0</v>
      </c>
      <c r="X37" s="1409">
        <f t="shared" ca="1" si="34"/>
        <v>0</v>
      </c>
      <c r="Y37" s="1409">
        <f t="shared" ca="1" si="34"/>
        <v>0</v>
      </c>
      <c r="Z37" s="1409">
        <f t="shared" ca="1" si="34"/>
        <v>0</v>
      </c>
      <c r="AA37" s="1409">
        <f t="shared" ca="1" si="34"/>
        <v>0</v>
      </c>
      <c r="AB37" s="1409">
        <f t="shared" ca="1" si="34"/>
        <v>0</v>
      </c>
      <c r="AC37" s="1409">
        <f t="shared" ca="1" si="34"/>
        <v>0</v>
      </c>
      <c r="AD37" s="1409">
        <f t="shared" ca="1" si="34"/>
        <v>0</v>
      </c>
      <c r="AE37" s="1409">
        <f t="shared" ca="1" si="34"/>
        <v>0</v>
      </c>
      <c r="AF37" s="1409">
        <f t="shared" ca="1" si="34"/>
        <v>0</v>
      </c>
      <c r="AG37" s="1409">
        <f t="shared" ca="1" si="34"/>
        <v>0</v>
      </c>
      <c r="AH37" s="1409">
        <f t="shared" ca="1" si="34"/>
        <v>0</v>
      </c>
      <c r="AI37" s="1409">
        <f t="shared" ca="1" si="34"/>
        <v>0</v>
      </c>
      <c r="AJ37" s="1409">
        <f t="shared" ca="1" si="34"/>
        <v>0</v>
      </c>
      <c r="AK37" s="1409">
        <f t="shared" ca="1" si="34"/>
        <v>0</v>
      </c>
      <c r="AL37" s="1409">
        <f t="shared" ca="1" si="34"/>
        <v>890.02982079783362</v>
      </c>
      <c r="AM37" s="1409">
        <f t="shared" ca="1" si="34"/>
        <v>994.07120922969818</v>
      </c>
      <c r="AN37" s="1409">
        <f t="shared" ca="1" si="34"/>
        <v>1008.6731995864884</v>
      </c>
      <c r="AO37" s="1409">
        <f t="shared" ca="1" si="32"/>
        <v>1081.5773866029899</v>
      </c>
      <c r="AP37" s="1409">
        <f t="shared" ca="1" si="32"/>
        <v>1155.0478268656836</v>
      </c>
      <c r="AQ37" s="1409">
        <f t="shared" ca="1" si="32"/>
        <v>1170.9001367998226</v>
      </c>
      <c r="AR37" s="1409">
        <f t="shared" ca="1" si="32"/>
        <v>1186.8755730224118</v>
      </c>
      <c r="AS37" s="1409">
        <f t="shared" ref="AS37:AZ37" ca="1" si="35">IF(AS$7&lt;Fin_Close,0,AS18*Debtperc/SUM(Debtperc,Subdebtperc,SudamPerc))</f>
        <v>1261.1638735798051</v>
      </c>
      <c r="AT37" s="1409">
        <f t="shared" ca="1" si="35"/>
        <v>1336.0291779152558</v>
      </c>
      <c r="AU37" s="1409">
        <f t="shared" ca="1" si="35"/>
        <v>1353.2871859543454</v>
      </c>
      <c r="AV37" s="1409">
        <f t="shared" ca="1" si="35"/>
        <v>1370.6792384629623</v>
      </c>
      <c r="AW37" s="1409">
        <f t="shared" ca="1" si="35"/>
        <v>0</v>
      </c>
      <c r="AX37" s="1409">
        <f t="shared" ca="1" si="35"/>
        <v>0</v>
      </c>
      <c r="AY37" s="1409">
        <f t="shared" ca="1" si="35"/>
        <v>0</v>
      </c>
      <c r="AZ37" s="1409">
        <f t="shared" ca="1" si="35"/>
        <v>0</v>
      </c>
      <c r="BA37" s="1410">
        <f ca="1">SUM(E37:AZ37)</f>
        <v>12808.334628817296</v>
      </c>
      <c r="BB37" s="1527">
        <f t="shared" si="3"/>
        <v>31</v>
      </c>
    </row>
    <row r="38" spans="1:54">
      <c r="A38" s="20" t="s">
        <v>103</v>
      </c>
      <c r="E38" s="1409">
        <f ca="1">IF(E$7&lt;Fin_Close,0,E19*Debtperc/SUM(Debtperc,Subdebtperc,SudamPerc))</f>
        <v>0</v>
      </c>
      <c r="F38" s="1409">
        <f t="shared" ref="F38:AN38" ca="1" si="36">IF(F$7&lt;Fin_Close,0,F19*Debtperc/SUM(Debtperc,Subdebtperc,SudamPerc))</f>
        <v>0</v>
      </c>
      <c r="G38" s="1409">
        <f t="shared" ca="1" si="36"/>
        <v>0</v>
      </c>
      <c r="H38" s="1409">
        <f t="shared" ca="1" si="36"/>
        <v>0</v>
      </c>
      <c r="I38" s="1409">
        <f t="shared" ca="1" si="36"/>
        <v>0</v>
      </c>
      <c r="J38" s="1409">
        <f t="shared" ca="1" si="36"/>
        <v>0</v>
      </c>
      <c r="K38" s="1409">
        <f t="shared" ca="1" si="36"/>
        <v>0</v>
      </c>
      <c r="L38" s="1409">
        <f t="shared" ca="1" si="36"/>
        <v>0</v>
      </c>
      <c r="M38" s="1409">
        <f t="shared" ca="1" si="36"/>
        <v>0</v>
      </c>
      <c r="N38" s="1409">
        <f t="shared" ca="1" si="36"/>
        <v>0</v>
      </c>
      <c r="O38" s="1409">
        <f t="shared" ca="1" si="36"/>
        <v>0</v>
      </c>
      <c r="P38" s="1409">
        <f t="shared" ca="1" si="36"/>
        <v>0</v>
      </c>
      <c r="Q38" s="1409">
        <f t="shared" ca="1" si="36"/>
        <v>0</v>
      </c>
      <c r="R38" s="1409">
        <f t="shared" ca="1" si="36"/>
        <v>0</v>
      </c>
      <c r="S38" s="1409">
        <f t="shared" ca="1" si="36"/>
        <v>0</v>
      </c>
      <c r="T38" s="1409">
        <f t="shared" ca="1" si="36"/>
        <v>0</v>
      </c>
      <c r="U38" s="1409">
        <f t="shared" ca="1" si="36"/>
        <v>0</v>
      </c>
      <c r="V38" s="1409">
        <f t="shared" ca="1" si="36"/>
        <v>0</v>
      </c>
      <c r="W38" s="1409">
        <f t="shared" ca="1" si="36"/>
        <v>0</v>
      </c>
      <c r="X38" s="1409">
        <f t="shared" ca="1" si="36"/>
        <v>0</v>
      </c>
      <c r="Y38" s="1409">
        <f t="shared" ca="1" si="36"/>
        <v>0</v>
      </c>
      <c r="Z38" s="1409">
        <f t="shared" ca="1" si="36"/>
        <v>0</v>
      </c>
      <c r="AA38" s="1409">
        <f t="shared" ca="1" si="36"/>
        <v>0</v>
      </c>
      <c r="AB38" s="1409">
        <f t="shared" ca="1" si="36"/>
        <v>0</v>
      </c>
      <c r="AC38" s="1409">
        <f t="shared" ca="1" si="36"/>
        <v>0</v>
      </c>
      <c r="AD38" s="1409">
        <f t="shared" ca="1" si="36"/>
        <v>0</v>
      </c>
      <c r="AE38" s="1409">
        <f t="shared" ca="1" si="36"/>
        <v>0</v>
      </c>
      <c r="AF38" s="1409">
        <f t="shared" ca="1" si="36"/>
        <v>0</v>
      </c>
      <c r="AG38" s="1409">
        <f t="shared" ca="1" si="36"/>
        <v>0</v>
      </c>
      <c r="AH38" s="1409">
        <f t="shared" ca="1" si="36"/>
        <v>0</v>
      </c>
      <c r="AI38" s="1409">
        <f t="shared" ca="1" si="36"/>
        <v>0</v>
      </c>
      <c r="AJ38" s="1409">
        <f t="shared" ca="1" si="36"/>
        <v>0</v>
      </c>
      <c r="AK38" s="1409">
        <f t="shared" ca="1" si="36"/>
        <v>0</v>
      </c>
      <c r="AL38" s="1409">
        <f t="shared" ca="1" si="36"/>
        <v>44.267352848670498</v>
      </c>
      <c r="AM38" s="1409">
        <f t="shared" ca="1" si="36"/>
        <v>49.442052330593889</v>
      </c>
      <c r="AN38" s="1409">
        <f t="shared" ca="1" si="36"/>
        <v>50.168310534883588</v>
      </c>
      <c r="AO38" s="1409">
        <f t="shared" ca="1" si="32"/>
        <v>53.794341141264809</v>
      </c>
      <c r="AP38" s="1409">
        <f t="shared" ca="1" si="32"/>
        <v>57.448535446957159</v>
      </c>
      <c r="AQ38" s="1409">
        <f t="shared" ca="1" si="32"/>
        <v>58.2369807112877</v>
      </c>
      <c r="AR38" s="1409">
        <f t="shared" ca="1" si="32"/>
        <v>59.031549899478335</v>
      </c>
      <c r="AS38" s="1409">
        <f t="shared" ref="AS38:AZ38" ca="1" si="37">IF(AS$7&lt;Fin_Close,0,AS19*Debtperc/SUM(Debtperc,Subdebtperc,SudamPerc))</f>
        <v>62.726422067193276</v>
      </c>
      <c r="AT38" s="1409">
        <f t="shared" ca="1" si="37"/>
        <v>66.44999263269375</v>
      </c>
      <c r="AU38" s="1409">
        <f t="shared" ca="1" si="37"/>
        <v>67.308353008357059</v>
      </c>
      <c r="AV38" s="1409">
        <f t="shared" ca="1" si="37"/>
        <v>68.173380344712371</v>
      </c>
      <c r="AW38" s="1409">
        <f t="shared" ca="1" si="37"/>
        <v>0</v>
      </c>
      <c r="AX38" s="1409">
        <f t="shared" ca="1" si="37"/>
        <v>0</v>
      </c>
      <c r="AY38" s="1409">
        <f t="shared" ca="1" si="37"/>
        <v>0</v>
      </c>
      <c r="AZ38" s="1409">
        <f t="shared" ca="1" si="37"/>
        <v>0</v>
      </c>
      <c r="BA38" s="1410">
        <f ca="1">SUM(E38:AZ38)</f>
        <v>637.04727096609236</v>
      </c>
      <c r="BB38" s="1527">
        <f t="shared" si="3"/>
        <v>32</v>
      </c>
    </row>
    <row r="39" spans="1:54">
      <c r="A39" s="20" t="s">
        <v>1263</v>
      </c>
      <c r="E39" s="1528">
        <f ca="1">IF(E$7&lt;Fin_Close,0,E20*Debtperc/SUM(Debtperc,Subdebtperc,SudamPerc))</f>
        <v>0</v>
      </c>
      <c r="F39" s="1528">
        <f t="shared" ref="F39:AN39" ca="1" si="38">IF(F$7&lt;Fin_Close,0,F20*Debtperc/SUM(Debtperc,Subdebtperc,SudamPerc))</f>
        <v>0</v>
      </c>
      <c r="G39" s="1528">
        <f t="shared" ca="1" si="38"/>
        <v>0</v>
      </c>
      <c r="H39" s="1528">
        <f t="shared" ca="1" si="38"/>
        <v>0</v>
      </c>
      <c r="I39" s="1528">
        <f t="shared" ca="1" si="38"/>
        <v>0</v>
      </c>
      <c r="J39" s="1528">
        <f t="shared" ca="1" si="38"/>
        <v>0</v>
      </c>
      <c r="K39" s="1528">
        <f t="shared" ca="1" si="38"/>
        <v>0</v>
      </c>
      <c r="L39" s="1528">
        <f t="shared" ca="1" si="38"/>
        <v>0</v>
      </c>
      <c r="M39" s="1528">
        <f t="shared" ca="1" si="38"/>
        <v>0</v>
      </c>
      <c r="N39" s="1528">
        <f t="shared" ca="1" si="38"/>
        <v>0</v>
      </c>
      <c r="O39" s="1528">
        <f t="shared" ca="1" si="38"/>
        <v>0</v>
      </c>
      <c r="P39" s="1528">
        <f t="shared" ca="1" si="38"/>
        <v>0</v>
      </c>
      <c r="Q39" s="1528">
        <f t="shared" ca="1" si="38"/>
        <v>0</v>
      </c>
      <c r="R39" s="1528">
        <f t="shared" ca="1" si="38"/>
        <v>0</v>
      </c>
      <c r="S39" s="1528">
        <f t="shared" ca="1" si="38"/>
        <v>0</v>
      </c>
      <c r="T39" s="1528">
        <f t="shared" ca="1" si="38"/>
        <v>0</v>
      </c>
      <c r="U39" s="1528">
        <f t="shared" ca="1" si="38"/>
        <v>0</v>
      </c>
      <c r="V39" s="1528">
        <f t="shared" ca="1" si="38"/>
        <v>0</v>
      </c>
      <c r="W39" s="1528">
        <f t="shared" ca="1" si="38"/>
        <v>0</v>
      </c>
      <c r="X39" s="1528">
        <f t="shared" ca="1" si="38"/>
        <v>0</v>
      </c>
      <c r="Y39" s="1528">
        <f t="shared" ca="1" si="38"/>
        <v>0</v>
      </c>
      <c r="Z39" s="1528">
        <f t="shared" ca="1" si="38"/>
        <v>0</v>
      </c>
      <c r="AA39" s="1528">
        <f t="shared" ca="1" si="38"/>
        <v>0</v>
      </c>
      <c r="AB39" s="1528">
        <f t="shared" ca="1" si="38"/>
        <v>0</v>
      </c>
      <c r="AC39" s="1528">
        <f t="shared" ca="1" si="38"/>
        <v>0</v>
      </c>
      <c r="AD39" s="1528">
        <f t="shared" ca="1" si="38"/>
        <v>0</v>
      </c>
      <c r="AE39" s="1528">
        <f t="shared" ca="1" si="38"/>
        <v>0</v>
      </c>
      <c r="AF39" s="1528">
        <f t="shared" ca="1" si="38"/>
        <v>0</v>
      </c>
      <c r="AG39" s="1528">
        <f t="shared" ca="1" si="38"/>
        <v>0</v>
      </c>
      <c r="AH39" s="1528">
        <f t="shared" ca="1" si="38"/>
        <v>0</v>
      </c>
      <c r="AI39" s="1528">
        <f t="shared" ca="1" si="38"/>
        <v>0</v>
      </c>
      <c r="AJ39" s="1528">
        <f t="shared" ca="1" si="38"/>
        <v>0</v>
      </c>
      <c r="AK39" s="1528">
        <f t="shared" ca="1" si="38"/>
        <v>0</v>
      </c>
      <c r="AL39" s="1528">
        <f t="shared" ca="1" si="38"/>
        <v>30.84553956174253</v>
      </c>
      <c r="AM39" s="1528">
        <f t="shared" ca="1" si="38"/>
        <v>15.906878926120534</v>
      </c>
      <c r="AN39" s="1528">
        <f t="shared" ca="1" si="38"/>
        <v>15.47127128924012</v>
      </c>
      <c r="AO39" s="1528">
        <f t="shared" ca="1" si="32"/>
        <v>13.296388287062397</v>
      </c>
      <c r="AP39" s="1528">
        <f t="shared" ca="1" si="32"/>
        <v>11.104612776916749</v>
      </c>
      <c r="AQ39" s="1528">
        <f t="shared" ca="1" si="32"/>
        <v>10.631705515592959</v>
      </c>
      <c r="AR39" s="1528">
        <f t="shared" ca="1" si="32"/>
        <v>10.155125141889327</v>
      </c>
      <c r="AS39" s="1528">
        <f t="shared" ref="AS39:AZ39" ca="1" si="39">IF(AS$7&lt;Fin_Close,0,AS20*Debtperc/SUM(Debtperc,Subdebtperc,SudamPerc))</f>
        <v>7.9389511640302191</v>
      </c>
      <c r="AT39" s="1528">
        <f t="shared" ca="1" si="39"/>
        <v>5.7055639675557632</v>
      </c>
      <c r="AU39" s="1528">
        <f t="shared" ca="1" si="39"/>
        <v>5.1907218182678738</v>
      </c>
      <c r="AV39" s="1528">
        <f t="shared" ca="1" si="39"/>
        <v>4.6718808446292677</v>
      </c>
      <c r="AW39" s="1528">
        <f t="shared" ca="1" si="39"/>
        <v>2.2057283921694029</v>
      </c>
      <c r="AX39" s="1528">
        <f t="shared" ca="1" si="39"/>
        <v>1.3172821661833466E-14</v>
      </c>
      <c r="AY39" s="1528">
        <f t="shared" ca="1" si="39"/>
        <v>1.3172821661833466E-14</v>
      </c>
      <c r="AZ39" s="1528">
        <f t="shared" ca="1" si="39"/>
        <v>1.3172821661833466E-14</v>
      </c>
      <c r="BA39" s="1529">
        <f ca="1">SUM(E39:AZ39)</f>
        <v>133.12436768521712</v>
      </c>
      <c r="BB39" s="1527">
        <f t="shared" si="3"/>
        <v>33</v>
      </c>
    </row>
    <row r="40" spans="1:54">
      <c r="A40" s="20" t="s">
        <v>517</v>
      </c>
      <c r="E40" s="37">
        <f ca="1">SUM(E34:E39)</f>
        <v>0</v>
      </c>
      <c r="F40" s="37">
        <f t="shared" ref="F40:AN40" ca="1" si="40">SUM(F34:F39)</f>
        <v>0</v>
      </c>
      <c r="G40" s="37">
        <f t="shared" ca="1" si="40"/>
        <v>0</v>
      </c>
      <c r="H40" s="37">
        <f t="shared" ca="1" si="40"/>
        <v>0</v>
      </c>
      <c r="I40" s="37">
        <f t="shared" ca="1" si="40"/>
        <v>0</v>
      </c>
      <c r="J40" s="37">
        <f t="shared" ca="1" si="40"/>
        <v>0</v>
      </c>
      <c r="K40" s="37">
        <f t="shared" ca="1" si="40"/>
        <v>0</v>
      </c>
      <c r="L40" s="37">
        <f t="shared" ca="1" si="40"/>
        <v>0</v>
      </c>
      <c r="M40" s="37">
        <f t="shared" ca="1" si="40"/>
        <v>0</v>
      </c>
      <c r="N40" s="37">
        <f t="shared" ca="1" si="40"/>
        <v>0</v>
      </c>
      <c r="O40" s="37">
        <f t="shared" ca="1" si="40"/>
        <v>0</v>
      </c>
      <c r="P40" s="37">
        <f t="shared" ca="1" si="40"/>
        <v>0</v>
      </c>
      <c r="Q40" s="37">
        <f t="shared" ca="1" si="40"/>
        <v>0</v>
      </c>
      <c r="R40" s="37">
        <f t="shared" ca="1" si="40"/>
        <v>0</v>
      </c>
      <c r="S40" s="37">
        <f t="shared" ca="1" si="40"/>
        <v>0</v>
      </c>
      <c r="T40" s="37">
        <f t="shared" ca="1" si="40"/>
        <v>0</v>
      </c>
      <c r="U40" s="37">
        <f t="shared" ca="1" si="40"/>
        <v>0</v>
      </c>
      <c r="V40" s="37">
        <f t="shared" ca="1" si="40"/>
        <v>0</v>
      </c>
      <c r="W40" s="37">
        <f t="shared" ca="1" si="40"/>
        <v>0</v>
      </c>
      <c r="X40" s="37">
        <f t="shared" ca="1" si="40"/>
        <v>0</v>
      </c>
      <c r="Y40" s="37">
        <f t="shared" ca="1" si="40"/>
        <v>0</v>
      </c>
      <c r="Z40" s="37">
        <f t="shared" ca="1" si="40"/>
        <v>0</v>
      </c>
      <c r="AA40" s="37">
        <f t="shared" ca="1" si="40"/>
        <v>0</v>
      </c>
      <c r="AB40" s="37">
        <f t="shared" ca="1" si="40"/>
        <v>0</v>
      </c>
      <c r="AC40" s="37">
        <f t="shared" ca="1" si="40"/>
        <v>0</v>
      </c>
      <c r="AD40" s="37">
        <f t="shared" ca="1" si="40"/>
        <v>0</v>
      </c>
      <c r="AE40" s="37">
        <f t="shared" ca="1" si="40"/>
        <v>0</v>
      </c>
      <c r="AF40" s="37">
        <f t="shared" ca="1" si="40"/>
        <v>0</v>
      </c>
      <c r="AG40" s="37">
        <f t="shared" ca="1" si="40"/>
        <v>0</v>
      </c>
      <c r="AH40" s="37">
        <f t="shared" ca="1" si="40"/>
        <v>0</v>
      </c>
      <c r="AI40" s="37">
        <f t="shared" ca="1" si="40"/>
        <v>0</v>
      </c>
      <c r="AJ40" s="37">
        <f t="shared" ca="1" si="40"/>
        <v>0</v>
      </c>
      <c r="AK40" s="37">
        <f t="shared" ca="1" si="40"/>
        <v>0</v>
      </c>
      <c r="AL40" s="37">
        <f t="shared" ca="1" si="40"/>
        <v>130103.58881252688</v>
      </c>
      <c r="AM40" s="37">
        <f t="shared" ca="1" si="40"/>
        <v>132020.99217649625</v>
      </c>
      <c r="AN40" s="37">
        <f t="shared" ca="1" si="40"/>
        <v>133953.2881813898</v>
      </c>
      <c r="AO40" s="37">
        <f ca="1">SUM(AO34:AO39)</f>
        <v>151241.60497565332</v>
      </c>
      <c r="AP40" s="37">
        <f ca="1">SUM(AP34:AP39)</f>
        <v>153323.18917422582</v>
      </c>
      <c r="AQ40" s="37">
        <f ca="1">SUM(AQ34:AQ39)</f>
        <v>155420.94122073543</v>
      </c>
      <c r="AR40" s="37">
        <f ca="1">SUM(AR34:AR39)</f>
        <v>157534.98669228217</v>
      </c>
      <c r="AS40" s="37">
        <f t="shared" ref="AS40:AZ40" ca="1" si="41">SUM(AS34:AS39)</f>
        <v>175006.4646173254</v>
      </c>
      <c r="AT40" s="37">
        <f t="shared" ca="1" si="41"/>
        <v>177272.63257532383</v>
      </c>
      <c r="AU40" s="37">
        <f t="shared" ca="1" si="41"/>
        <v>179556.40205958774</v>
      </c>
      <c r="AV40" s="37">
        <f t="shared" ca="1" si="41"/>
        <v>181857.90978272297</v>
      </c>
      <c r="AW40" s="37">
        <f t="shared" ca="1" si="41"/>
        <v>201351.11991105828</v>
      </c>
      <c r="AX40" s="37">
        <f t="shared" ca="1" si="41"/>
        <v>201351.11991105828</v>
      </c>
      <c r="AY40" s="37">
        <f t="shared" ca="1" si="41"/>
        <v>201351.11991105828</v>
      </c>
      <c r="AZ40" s="37">
        <f t="shared" ca="1" si="41"/>
        <v>201351.11991105828</v>
      </c>
      <c r="BA40" s="435">
        <f ca="1">SUM(BA34:BA39)</f>
        <v>201351.11991105828</v>
      </c>
      <c r="BB40" s="34">
        <f t="shared" si="3"/>
        <v>34</v>
      </c>
    </row>
    <row r="41" spans="1:54">
      <c r="A41" s="20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65"/>
      <c r="AK41" s="65"/>
      <c r="AL41" s="65"/>
      <c r="AM41" s="65"/>
      <c r="AN41" s="65"/>
      <c r="AO41" s="65"/>
      <c r="AP41" s="65"/>
      <c r="AQ41" s="65"/>
      <c r="AR41" s="65"/>
      <c r="AS41" s="65"/>
      <c r="AT41" s="65"/>
      <c r="AU41" s="65"/>
      <c r="AV41" s="65"/>
      <c r="AW41" s="65"/>
      <c r="AX41" s="65"/>
      <c r="AY41" s="65"/>
      <c r="AZ41" s="65"/>
      <c r="BA41" s="430"/>
      <c r="BB41" s="34">
        <f t="shared" si="3"/>
        <v>35</v>
      </c>
    </row>
    <row r="42" spans="1:54">
      <c r="A42" s="128" t="s">
        <v>105</v>
      </c>
      <c r="P42" s="111"/>
      <c r="Q42" s="65"/>
      <c r="BA42" s="430"/>
      <c r="BB42" s="34">
        <f t="shared" si="3"/>
        <v>36</v>
      </c>
    </row>
    <row r="43" spans="1:54">
      <c r="A43" s="20" t="s">
        <v>516</v>
      </c>
      <c r="E43" s="766">
        <v>0</v>
      </c>
      <c r="F43" s="37">
        <f t="shared" ref="F43:AN43" ca="1" si="42">E49</f>
        <v>0</v>
      </c>
      <c r="G43" s="37">
        <f t="shared" ca="1" si="42"/>
        <v>0</v>
      </c>
      <c r="H43" s="37">
        <f t="shared" ca="1" si="42"/>
        <v>0</v>
      </c>
      <c r="I43" s="37">
        <f t="shared" ca="1" si="42"/>
        <v>0</v>
      </c>
      <c r="J43" s="37">
        <f t="shared" ca="1" si="42"/>
        <v>0</v>
      </c>
      <c r="K43" s="37">
        <f t="shared" ca="1" si="42"/>
        <v>0</v>
      </c>
      <c r="L43" s="37">
        <f t="shared" ca="1" si="42"/>
        <v>0</v>
      </c>
      <c r="M43" s="37">
        <f t="shared" ca="1" si="42"/>
        <v>0</v>
      </c>
      <c r="N43" s="37">
        <f t="shared" ca="1" si="42"/>
        <v>0</v>
      </c>
      <c r="O43" s="37">
        <f t="shared" ca="1" si="42"/>
        <v>0</v>
      </c>
      <c r="P43" s="37">
        <f t="shared" ca="1" si="42"/>
        <v>0</v>
      </c>
      <c r="Q43" s="37">
        <f t="shared" ca="1" si="42"/>
        <v>0</v>
      </c>
      <c r="R43" s="37">
        <f t="shared" ca="1" si="42"/>
        <v>0</v>
      </c>
      <c r="S43" s="37">
        <f t="shared" ca="1" si="42"/>
        <v>0</v>
      </c>
      <c r="T43" s="37">
        <f t="shared" ca="1" si="42"/>
        <v>0</v>
      </c>
      <c r="U43" s="37">
        <f t="shared" ca="1" si="42"/>
        <v>0</v>
      </c>
      <c r="V43" s="37">
        <f t="shared" ca="1" si="42"/>
        <v>0</v>
      </c>
      <c r="W43" s="37">
        <f t="shared" ca="1" si="42"/>
        <v>0</v>
      </c>
      <c r="X43" s="37">
        <f t="shared" ca="1" si="42"/>
        <v>0</v>
      </c>
      <c r="Y43" s="37">
        <f t="shared" ca="1" si="42"/>
        <v>0</v>
      </c>
      <c r="Z43" s="37">
        <f t="shared" ca="1" si="42"/>
        <v>0</v>
      </c>
      <c r="AA43" s="37">
        <f t="shared" ca="1" si="42"/>
        <v>0</v>
      </c>
      <c r="AB43" s="37">
        <f t="shared" ca="1" si="42"/>
        <v>0</v>
      </c>
      <c r="AC43" s="37">
        <f t="shared" ca="1" si="42"/>
        <v>0</v>
      </c>
      <c r="AD43" s="37">
        <f t="shared" ca="1" si="42"/>
        <v>0</v>
      </c>
      <c r="AE43" s="37">
        <f t="shared" ca="1" si="42"/>
        <v>0</v>
      </c>
      <c r="AF43" s="37">
        <f t="shared" ca="1" si="42"/>
        <v>0</v>
      </c>
      <c r="AG43" s="37">
        <f t="shared" ca="1" si="42"/>
        <v>0</v>
      </c>
      <c r="AH43" s="37">
        <f t="shared" ca="1" si="42"/>
        <v>0</v>
      </c>
      <c r="AI43" s="37">
        <f t="shared" ca="1" si="42"/>
        <v>0</v>
      </c>
      <c r="AJ43" s="37">
        <f t="shared" ca="1" si="42"/>
        <v>0</v>
      </c>
      <c r="AK43" s="37">
        <f t="shared" ca="1" si="42"/>
        <v>0</v>
      </c>
      <c r="AL43" s="37">
        <f t="shared" ca="1" si="42"/>
        <v>0</v>
      </c>
      <c r="AM43" s="37">
        <f t="shared" ca="1" si="42"/>
        <v>32145.980744370259</v>
      </c>
      <c r="AN43" s="37">
        <f t="shared" ca="1" si="42"/>
        <v>32619.732561517787</v>
      </c>
      <c r="AO43" s="37">
        <f ca="1">AN49</f>
        <v>33097.164050784675</v>
      </c>
      <c r="AP43" s="37">
        <f ca="1">AO49</f>
        <v>37368.759506708469</v>
      </c>
      <c r="AQ43" s="37">
        <f ca="1">AP49</f>
        <v>37883.077106828772</v>
      </c>
      <c r="AR43" s="37">
        <f ca="1">AQ49</f>
        <v>38401.389457080171</v>
      </c>
      <c r="AS43" s="37">
        <f t="shared" ref="AS43:AZ43" ca="1" si="43">AR49</f>
        <v>38923.727585039029</v>
      </c>
      <c r="AT43" s="37">
        <f t="shared" ca="1" si="43"/>
        <v>43240.578473475493</v>
      </c>
      <c r="AU43" s="37">
        <f t="shared" ca="1" si="43"/>
        <v>43800.503009041517</v>
      </c>
      <c r="AV43" s="37">
        <f t="shared" ca="1" si="43"/>
        <v>44364.776527825961</v>
      </c>
      <c r="AW43" s="37">
        <f t="shared" ca="1" si="43"/>
        <v>44933.432808764781</v>
      </c>
      <c r="AX43" s="37">
        <f t="shared" ca="1" si="43"/>
        <v>49749.813072758669</v>
      </c>
      <c r="AY43" s="37">
        <f t="shared" ca="1" si="43"/>
        <v>49749.813072758669</v>
      </c>
      <c r="AZ43" s="37">
        <f t="shared" ca="1" si="43"/>
        <v>49749.813072758669</v>
      </c>
      <c r="BA43" s="435">
        <f>E43</f>
        <v>0</v>
      </c>
      <c r="BB43" s="34">
        <f t="shared" si="3"/>
        <v>37</v>
      </c>
    </row>
    <row r="44" spans="1:54">
      <c r="A44" s="20" t="s">
        <v>114</v>
      </c>
      <c r="E44" s="1409">
        <f ca="1">(IF(E$7=Fin_Close,-E27*(SUM(Subdebtperc,SudamPerc))/SUM(Debtperc,Subdebtperc,SudamPerc),0)-E67)</f>
        <v>0</v>
      </c>
      <c r="F44" s="1409">
        <f t="shared" ref="F44:AN44" ca="1" si="44">(IF(F$7=Fin_Close,-F27*(SUM(Subdebtperc,SudamPerc))/SUM(Debtperc,Subdebtperc,SudamPerc),0)-F67)</f>
        <v>0</v>
      </c>
      <c r="G44" s="1409">
        <f t="shared" ca="1" si="44"/>
        <v>0</v>
      </c>
      <c r="H44" s="1409">
        <f t="shared" ca="1" si="44"/>
        <v>0</v>
      </c>
      <c r="I44" s="1409">
        <f t="shared" ca="1" si="44"/>
        <v>0</v>
      </c>
      <c r="J44" s="1409">
        <f t="shared" ca="1" si="44"/>
        <v>0</v>
      </c>
      <c r="K44" s="1409">
        <f t="shared" ca="1" si="44"/>
        <v>0</v>
      </c>
      <c r="L44" s="1409">
        <f t="shared" ca="1" si="44"/>
        <v>0</v>
      </c>
      <c r="M44" s="1409">
        <f t="shared" ca="1" si="44"/>
        <v>0</v>
      </c>
      <c r="N44" s="1409">
        <f t="shared" ca="1" si="44"/>
        <v>0</v>
      </c>
      <c r="O44" s="1409">
        <f t="shared" ca="1" si="44"/>
        <v>0</v>
      </c>
      <c r="P44" s="1409">
        <f t="shared" ca="1" si="44"/>
        <v>0</v>
      </c>
      <c r="Q44" s="1409">
        <f t="shared" ca="1" si="44"/>
        <v>0</v>
      </c>
      <c r="R44" s="1409">
        <f t="shared" ca="1" si="44"/>
        <v>0</v>
      </c>
      <c r="S44" s="1409">
        <f t="shared" ca="1" si="44"/>
        <v>0</v>
      </c>
      <c r="T44" s="1409">
        <f t="shared" ca="1" si="44"/>
        <v>0</v>
      </c>
      <c r="U44" s="1409">
        <f t="shared" ca="1" si="44"/>
        <v>0</v>
      </c>
      <c r="V44" s="1409">
        <f t="shared" ca="1" si="44"/>
        <v>0</v>
      </c>
      <c r="W44" s="1409">
        <f t="shared" ca="1" si="44"/>
        <v>0</v>
      </c>
      <c r="X44" s="1409">
        <f t="shared" ca="1" si="44"/>
        <v>0</v>
      </c>
      <c r="Y44" s="1409">
        <f t="shared" ca="1" si="44"/>
        <v>0</v>
      </c>
      <c r="Z44" s="1409">
        <f t="shared" ca="1" si="44"/>
        <v>0</v>
      </c>
      <c r="AA44" s="1409">
        <f t="shared" ca="1" si="44"/>
        <v>0</v>
      </c>
      <c r="AB44" s="1409">
        <f t="shared" ca="1" si="44"/>
        <v>0</v>
      </c>
      <c r="AC44" s="1409">
        <f t="shared" ca="1" si="44"/>
        <v>0</v>
      </c>
      <c r="AD44" s="1409">
        <f t="shared" ca="1" si="44"/>
        <v>0</v>
      </c>
      <c r="AE44" s="1409">
        <f t="shared" ca="1" si="44"/>
        <v>0</v>
      </c>
      <c r="AF44" s="1409">
        <f t="shared" ca="1" si="44"/>
        <v>0</v>
      </c>
      <c r="AG44" s="1409">
        <f t="shared" ca="1" si="44"/>
        <v>0</v>
      </c>
      <c r="AH44" s="1409">
        <f t="shared" ca="1" si="44"/>
        <v>0</v>
      </c>
      <c r="AI44" s="1409">
        <f t="shared" ca="1" si="44"/>
        <v>0</v>
      </c>
      <c r="AJ44" s="1409">
        <f t="shared" ca="1" si="44"/>
        <v>0</v>
      </c>
      <c r="AK44" s="1409">
        <f t="shared" ca="1" si="44"/>
        <v>0</v>
      </c>
      <c r="AL44" s="1409">
        <f t="shared" ca="1" si="44"/>
        <v>25845.331892216713</v>
      </c>
      <c r="AM44" s="1409">
        <f t="shared" ca="1" si="44"/>
        <v>0</v>
      </c>
      <c r="AN44" s="1409">
        <f t="shared" ca="1" si="44"/>
        <v>0</v>
      </c>
      <c r="AO44" s="1409">
        <f ca="1">(IF(AO$7=Fin_Close,-AO27*(SUM(Subdebtperc,SudamPerc))/SUM(Debtperc,Subdebtperc,SudamPerc),0)-AO67)</f>
        <v>0</v>
      </c>
      <c r="AP44" s="1409">
        <f ca="1">(IF(AP$7=Fin_Close,-AP27*(SUM(Subdebtperc,SudamPerc))/SUM(Debtperc,Subdebtperc,SudamPerc),0)-AP67)</f>
        <v>0</v>
      </c>
      <c r="AQ44" s="1409">
        <f ca="1">(IF(AQ$7=Fin_Close,-AQ27*(SUM(Subdebtperc,SudamPerc))/SUM(Debtperc,Subdebtperc,SudamPerc),0)-AQ67)</f>
        <v>0</v>
      </c>
      <c r="AR44" s="1409">
        <f ca="1">(IF(AR$7=Fin_Close,-AR27*(SUM(Subdebtperc,SudamPerc))/SUM(Debtperc,Subdebtperc,SudamPerc),0)-AR67)</f>
        <v>0</v>
      </c>
      <c r="AS44" s="1409">
        <f t="shared" ref="AS44:AZ44" ca="1" si="45">(IF(AS$7=Fin_Close,-AS27*(SUM(Subdebtperc,SudamPerc))/SUM(Debtperc,Subdebtperc,SudamPerc),0)-AS67)</f>
        <v>0</v>
      </c>
      <c r="AT44" s="1409">
        <f t="shared" ca="1" si="45"/>
        <v>0</v>
      </c>
      <c r="AU44" s="1409">
        <f t="shared" ca="1" si="45"/>
        <v>0</v>
      </c>
      <c r="AV44" s="1409">
        <f t="shared" ca="1" si="45"/>
        <v>0</v>
      </c>
      <c r="AW44" s="1409">
        <f t="shared" ca="1" si="45"/>
        <v>0</v>
      </c>
      <c r="AX44" s="1409">
        <f t="shared" ca="1" si="45"/>
        <v>0</v>
      </c>
      <c r="AY44" s="1409">
        <f t="shared" ca="1" si="45"/>
        <v>0</v>
      </c>
      <c r="AZ44" s="1409">
        <f t="shared" ca="1" si="45"/>
        <v>0</v>
      </c>
      <c r="BA44" s="1410">
        <f ca="1">SUM(E44:AZ44)</f>
        <v>25845.331892216713</v>
      </c>
      <c r="BB44" s="1527">
        <f t="shared" si="3"/>
        <v>38</v>
      </c>
    </row>
    <row r="45" spans="1:54">
      <c r="A45" s="20" t="s">
        <v>532</v>
      </c>
      <c r="E45" s="1409">
        <f ca="1">IF(E$7&lt;Fin_Close,0,E17*(SUM(Subdebtperc,SudamPerc))/SUM(Debtperc,Subdebtperc,SudamPerc))-(E68*0)</f>
        <v>0</v>
      </c>
      <c r="F45" s="1409">
        <f t="shared" ref="F45:AN45" ca="1" si="46">IF(F$7&lt;Fin_Close,0,F17*(SUM(Subdebtperc,SudamPerc))/SUM(Debtperc,Subdebtperc,SudamPerc))-(F68*0)</f>
        <v>0</v>
      </c>
      <c r="G45" s="1409">
        <f t="shared" ca="1" si="46"/>
        <v>0</v>
      </c>
      <c r="H45" s="1409">
        <f t="shared" ca="1" si="46"/>
        <v>0</v>
      </c>
      <c r="I45" s="1409">
        <f t="shared" ca="1" si="46"/>
        <v>0</v>
      </c>
      <c r="J45" s="1409">
        <f t="shared" ca="1" si="46"/>
        <v>0</v>
      </c>
      <c r="K45" s="1409">
        <f t="shared" ca="1" si="46"/>
        <v>0</v>
      </c>
      <c r="L45" s="1409">
        <f t="shared" ca="1" si="46"/>
        <v>0</v>
      </c>
      <c r="M45" s="1409">
        <f t="shared" ca="1" si="46"/>
        <v>0</v>
      </c>
      <c r="N45" s="1409">
        <f t="shared" ca="1" si="46"/>
        <v>0</v>
      </c>
      <c r="O45" s="1409">
        <f t="shared" ca="1" si="46"/>
        <v>0</v>
      </c>
      <c r="P45" s="1409">
        <f t="shared" ca="1" si="46"/>
        <v>0</v>
      </c>
      <c r="Q45" s="1409">
        <f t="shared" ca="1" si="46"/>
        <v>0</v>
      </c>
      <c r="R45" s="1409">
        <f t="shared" ca="1" si="46"/>
        <v>0</v>
      </c>
      <c r="S45" s="1409">
        <f t="shared" ca="1" si="46"/>
        <v>0</v>
      </c>
      <c r="T45" s="1409">
        <f t="shared" ca="1" si="46"/>
        <v>0</v>
      </c>
      <c r="U45" s="1409">
        <f t="shared" ca="1" si="46"/>
        <v>0</v>
      </c>
      <c r="V45" s="1409">
        <f t="shared" ca="1" si="46"/>
        <v>0</v>
      </c>
      <c r="W45" s="1409">
        <f t="shared" ca="1" si="46"/>
        <v>0</v>
      </c>
      <c r="X45" s="1409">
        <f t="shared" ca="1" si="46"/>
        <v>0</v>
      </c>
      <c r="Y45" s="1409">
        <f t="shared" ca="1" si="46"/>
        <v>0</v>
      </c>
      <c r="Z45" s="1409">
        <f t="shared" ca="1" si="46"/>
        <v>0</v>
      </c>
      <c r="AA45" s="1409">
        <f t="shared" ca="1" si="46"/>
        <v>0</v>
      </c>
      <c r="AB45" s="1409">
        <f t="shared" ca="1" si="46"/>
        <v>0</v>
      </c>
      <c r="AC45" s="1409">
        <f t="shared" ca="1" si="46"/>
        <v>0</v>
      </c>
      <c r="AD45" s="1409">
        <f t="shared" ca="1" si="46"/>
        <v>0</v>
      </c>
      <c r="AE45" s="1409">
        <f t="shared" ca="1" si="46"/>
        <v>0</v>
      </c>
      <c r="AF45" s="1409">
        <f t="shared" ca="1" si="46"/>
        <v>0</v>
      </c>
      <c r="AG45" s="1409">
        <f t="shared" ca="1" si="46"/>
        <v>0</v>
      </c>
      <c r="AH45" s="1409">
        <f t="shared" ca="1" si="46"/>
        <v>0</v>
      </c>
      <c r="AI45" s="1409">
        <f t="shared" ca="1" si="46"/>
        <v>0</v>
      </c>
      <c r="AJ45" s="1409">
        <f t="shared" ca="1" si="46"/>
        <v>0</v>
      </c>
      <c r="AK45" s="1409">
        <f t="shared" ca="1" si="46"/>
        <v>0</v>
      </c>
      <c r="AL45" s="1409">
        <f t="shared" ca="1" si="46"/>
        <v>6062.1814942771389</v>
      </c>
      <c r="AM45" s="1409">
        <f t="shared" ca="1" si="46"/>
        <v>211.99040266919974</v>
      </c>
      <c r="AN45" s="1409">
        <f t="shared" ca="1" si="46"/>
        <v>211.99040266919974</v>
      </c>
      <c r="AO45" s="1409">
        <f t="shared" ref="AO45:AR48" ca="1" si="47">IF(AO$7&lt;Fin_Close,0,AO17*(SUM(Subdebtperc,SudamPerc))/SUM(Debtperc,Subdebtperc,SudamPerc))-(AO68*0)</f>
        <v>3987.7826612373829</v>
      </c>
      <c r="AP45" s="1409">
        <f t="shared" ca="1" si="47"/>
        <v>211.99040266919974</v>
      </c>
      <c r="AQ45" s="1409">
        <f t="shared" ca="1" si="47"/>
        <v>211.99040266919974</v>
      </c>
      <c r="AR45" s="1409">
        <f t="shared" ca="1" si="47"/>
        <v>211.99040266919974</v>
      </c>
      <c r="AS45" s="1409">
        <f t="shared" ref="AS45:AZ45" ca="1" si="48">IF(AS$7&lt;Fin_Close,0,AS17*(SUM(Subdebtperc,SudamPerc))/SUM(Debtperc,Subdebtperc,SudamPerc))-(AS68*0)</f>
        <v>3987.7826612373829</v>
      </c>
      <c r="AT45" s="1409">
        <f t="shared" ca="1" si="48"/>
        <v>211.99040266919974</v>
      </c>
      <c r="AU45" s="1409">
        <f t="shared" ca="1" si="48"/>
        <v>211.99040266919974</v>
      </c>
      <c r="AV45" s="1409">
        <f t="shared" ca="1" si="48"/>
        <v>211.99040266919974</v>
      </c>
      <c r="AW45" s="1409">
        <f t="shared" ca="1" si="48"/>
        <v>4815.835272859752</v>
      </c>
      <c r="AX45" s="1409">
        <f t="shared" ca="1" si="48"/>
        <v>0</v>
      </c>
      <c r="AY45" s="1409">
        <f t="shared" ca="1" si="48"/>
        <v>0</v>
      </c>
      <c r="AZ45" s="1409">
        <f t="shared" ca="1" si="48"/>
        <v>0</v>
      </c>
      <c r="BA45" s="1410">
        <f ca="1">SUM(E45:AZ45)</f>
        <v>20549.505310965258</v>
      </c>
      <c r="BB45" s="1527">
        <f t="shared" si="3"/>
        <v>39</v>
      </c>
    </row>
    <row r="46" spans="1:54">
      <c r="A46" s="20" t="s">
        <v>317</v>
      </c>
      <c r="E46" s="1409">
        <f ca="1">IF(E$7&lt;Fin_Close,0,E18*(SUM(Subdebtperc,SudamPerc))/SUM(Debtperc,Subdebtperc,SudamPerc))-(E69*0)</f>
        <v>0</v>
      </c>
      <c r="F46" s="1409">
        <f t="shared" ref="F46:AN46" ca="1" si="49">IF(F$7&lt;Fin_Close,0,F18*(SUM(Subdebtperc,SudamPerc))/SUM(Debtperc,Subdebtperc,SudamPerc))-(F69*0)</f>
        <v>0</v>
      </c>
      <c r="G46" s="1409">
        <f t="shared" ca="1" si="49"/>
        <v>0</v>
      </c>
      <c r="H46" s="1409">
        <f t="shared" ca="1" si="49"/>
        <v>0</v>
      </c>
      <c r="I46" s="1409">
        <f t="shared" ca="1" si="49"/>
        <v>0</v>
      </c>
      <c r="J46" s="1409">
        <f t="shared" ca="1" si="49"/>
        <v>0</v>
      </c>
      <c r="K46" s="1409">
        <f t="shared" ca="1" si="49"/>
        <v>0</v>
      </c>
      <c r="L46" s="1409">
        <f t="shared" ca="1" si="49"/>
        <v>0</v>
      </c>
      <c r="M46" s="1409">
        <f t="shared" ca="1" si="49"/>
        <v>0</v>
      </c>
      <c r="N46" s="1409">
        <f t="shared" ca="1" si="49"/>
        <v>0</v>
      </c>
      <c r="O46" s="1409">
        <f t="shared" ca="1" si="49"/>
        <v>0</v>
      </c>
      <c r="P46" s="1409">
        <f t="shared" ca="1" si="49"/>
        <v>0</v>
      </c>
      <c r="Q46" s="1409">
        <f t="shared" ca="1" si="49"/>
        <v>0</v>
      </c>
      <c r="R46" s="1409">
        <f t="shared" ca="1" si="49"/>
        <v>0</v>
      </c>
      <c r="S46" s="1409">
        <f t="shared" ca="1" si="49"/>
        <v>0</v>
      </c>
      <c r="T46" s="1409">
        <f t="shared" ca="1" si="49"/>
        <v>0</v>
      </c>
      <c r="U46" s="1409">
        <f t="shared" ca="1" si="49"/>
        <v>0</v>
      </c>
      <c r="V46" s="1409">
        <f t="shared" ca="1" si="49"/>
        <v>0</v>
      </c>
      <c r="W46" s="1409">
        <f t="shared" ca="1" si="49"/>
        <v>0</v>
      </c>
      <c r="X46" s="1409">
        <f t="shared" ca="1" si="49"/>
        <v>0</v>
      </c>
      <c r="Y46" s="1409">
        <f t="shared" ca="1" si="49"/>
        <v>0</v>
      </c>
      <c r="Z46" s="1409">
        <f t="shared" ca="1" si="49"/>
        <v>0</v>
      </c>
      <c r="AA46" s="1409">
        <f t="shared" ca="1" si="49"/>
        <v>0</v>
      </c>
      <c r="AB46" s="1409">
        <f t="shared" ca="1" si="49"/>
        <v>0</v>
      </c>
      <c r="AC46" s="1409">
        <f t="shared" ca="1" si="49"/>
        <v>0</v>
      </c>
      <c r="AD46" s="1409">
        <f t="shared" ca="1" si="49"/>
        <v>0</v>
      </c>
      <c r="AE46" s="1409">
        <f t="shared" ca="1" si="49"/>
        <v>0</v>
      </c>
      <c r="AF46" s="1409">
        <f t="shared" ca="1" si="49"/>
        <v>0</v>
      </c>
      <c r="AG46" s="1409">
        <f t="shared" ca="1" si="49"/>
        <v>0</v>
      </c>
      <c r="AH46" s="1409">
        <f t="shared" ca="1" si="49"/>
        <v>0</v>
      </c>
      <c r="AI46" s="1409">
        <f t="shared" ca="1" si="49"/>
        <v>0</v>
      </c>
      <c r="AJ46" s="1409">
        <f t="shared" ca="1" si="49"/>
        <v>0</v>
      </c>
      <c r="AK46" s="1409">
        <f t="shared" ca="1" si="49"/>
        <v>0</v>
      </c>
      <c r="AL46" s="1409">
        <f t="shared" ca="1" si="49"/>
        <v>219.90847249040453</v>
      </c>
      <c r="AM46" s="1409">
        <f t="shared" ca="1" si="49"/>
        <v>245.61500756506376</v>
      </c>
      <c r="AN46" s="1409">
        <f t="shared" ca="1" si="49"/>
        <v>249.22286577345827</v>
      </c>
      <c r="AO46" s="1409">
        <f t="shared" ca="1" si="47"/>
        <v>267.23602446805359</v>
      </c>
      <c r="AP46" s="1409">
        <f t="shared" ca="1" si="47"/>
        <v>285.38909295387515</v>
      </c>
      <c r="AQ46" s="1409">
        <f t="shared" ca="1" si="47"/>
        <v>289.30587998909601</v>
      </c>
      <c r="AR46" s="1409">
        <f t="shared" ca="1" si="47"/>
        <v>293.25308905443751</v>
      </c>
      <c r="AS46" s="1409">
        <f t="shared" ref="AS46:AZ46" ca="1" si="50">IF(AS$7&lt;Fin_Close,0,AS18*(SUM(Subdebtperc,SudamPerc))/SUM(Debtperc,Subdebtperc,SudamPerc))-(AS69*0)</f>
        <v>311.60823437399551</v>
      </c>
      <c r="AT46" s="1409">
        <f t="shared" ca="1" si="50"/>
        <v>330.10594572503788</v>
      </c>
      <c r="AU46" s="1409">
        <f t="shared" ca="1" si="50"/>
        <v>334.3700524969899</v>
      </c>
      <c r="AV46" s="1409">
        <f t="shared" ca="1" si="50"/>
        <v>338.66727896206982</v>
      </c>
      <c r="AW46" s="1409">
        <f t="shared" ca="1" si="50"/>
        <v>0</v>
      </c>
      <c r="AX46" s="1409">
        <f t="shared" ca="1" si="50"/>
        <v>0</v>
      </c>
      <c r="AY46" s="1409">
        <f t="shared" ca="1" si="50"/>
        <v>0</v>
      </c>
      <c r="AZ46" s="1409">
        <f t="shared" ca="1" si="50"/>
        <v>0</v>
      </c>
      <c r="BA46" s="1410">
        <f ca="1">SUM(E46:AZ46)</f>
        <v>3164.6819438524822</v>
      </c>
      <c r="BB46" s="1527">
        <f t="shared" si="3"/>
        <v>40</v>
      </c>
    </row>
    <row r="47" spans="1:54">
      <c r="A47" s="20" t="s">
        <v>103</v>
      </c>
      <c r="E47" s="1409">
        <f ca="1">IF(E$7&lt;Fin_Close,0,E19*(SUM(Subdebtperc,SudamPerc))/SUM(Debtperc,Subdebtperc,SudamPerc))-(E70*0)</f>
        <v>0</v>
      </c>
      <c r="F47" s="1409">
        <f t="shared" ref="F47:AN47" ca="1" si="51">IF(F$7&lt;Fin_Close,0,F19*(SUM(Subdebtperc,SudamPerc))/SUM(Debtperc,Subdebtperc,SudamPerc))-(F70*0)</f>
        <v>0</v>
      </c>
      <c r="G47" s="1409">
        <f t="shared" ca="1" si="51"/>
        <v>0</v>
      </c>
      <c r="H47" s="1409">
        <f t="shared" ca="1" si="51"/>
        <v>0</v>
      </c>
      <c r="I47" s="1409">
        <f t="shared" ca="1" si="51"/>
        <v>0</v>
      </c>
      <c r="J47" s="1409">
        <f t="shared" ca="1" si="51"/>
        <v>0</v>
      </c>
      <c r="K47" s="1409">
        <f t="shared" ca="1" si="51"/>
        <v>0</v>
      </c>
      <c r="L47" s="1409">
        <f t="shared" ca="1" si="51"/>
        <v>0</v>
      </c>
      <c r="M47" s="1409">
        <f t="shared" ca="1" si="51"/>
        <v>0</v>
      </c>
      <c r="N47" s="1409">
        <f t="shared" ca="1" si="51"/>
        <v>0</v>
      </c>
      <c r="O47" s="1409">
        <f t="shared" ca="1" si="51"/>
        <v>0</v>
      </c>
      <c r="P47" s="1409">
        <f t="shared" ca="1" si="51"/>
        <v>0</v>
      </c>
      <c r="Q47" s="1409">
        <f t="shared" ca="1" si="51"/>
        <v>0</v>
      </c>
      <c r="R47" s="1409">
        <f t="shared" ca="1" si="51"/>
        <v>0</v>
      </c>
      <c r="S47" s="1409">
        <f t="shared" ca="1" si="51"/>
        <v>0</v>
      </c>
      <c r="T47" s="1409">
        <f t="shared" ca="1" si="51"/>
        <v>0</v>
      </c>
      <c r="U47" s="1409">
        <f t="shared" ca="1" si="51"/>
        <v>0</v>
      </c>
      <c r="V47" s="1409">
        <f t="shared" ca="1" si="51"/>
        <v>0</v>
      </c>
      <c r="W47" s="1409">
        <f t="shared" ca="1" si="51"/>
        <v>0</v>
      </c>
      <c r="X47" s="1409">
        <f t="shared" ca="1" si="51"/>
        <v>0</v>
      </c>
      <c r="Y47" s="1409">
        <f t="shared" ca="1" si="51"/>
        <v>0</v>
      </c>
      <c r="Z47" s="1409">
        <f t="shared" ca="1" si="51"/>
        <v>0</v>
      </c>
      <c r="AA47" s="1409">
        <f t="shared" ca="1" si="51"/>
        <v>0</v>
      </c>
      <c r="AB47" s="1409">
        <f t="shared" ca="1" si="51"/>
        <v>0</v>
      </c>
      <c r="AC47" s="1409">
        <f t="shared" ca="1" si="51"/>
        <v>0</v>
      </c>
      <c r="AD47" s="1409">
        <f t="shared" ca="1" si="51"/>
        <v>0</v>
      </c>
      <c r="AE47" s="1409">
        <f t="shared" ca="1" si="51"/>
        <v>0</v>
      </c>
      <c r="AF47" s="1409">
        <f t="shared" ca="1" si="51"/>
        <v>0</v>
      </c>
      <c r="AG47" s="1409">
        <f t="shared" ca="1" si="51"/>
        <v>0</v>
      </c>
      <c r="AH47" s="1409">
        <f t="shared" ca="1" si="51"/>
        <v>0</v>
      </c>
      <c r="AI47" s="1409">
        <f t="shared" ca="1" si="51"/>
        <v>0</v>
      </c>
      <c r="AJ47" s="1409">
        <f t="shared" ca="1" si="51"/>
        <v>0</v>
      </c>
      <c r="AK47" s="1409">
        <f t="shared" ca="1" si="51"/>
        <v>0</v>
      </c>
      <c r="AL47" s="1409">
        <f t="shared" ca="1" si="51"/>
        <v>10.937572785391081</v>
      </c>
      <c r="AM47" s="1409">
        <f t="shared" ca="1" si="51"/>
        <v>12.21613697737128</v>
      </c>
      <c r="AN47" s="1409">
        <f t="shared" ca="1" si="51"/>
        <v>12.395580776451858</v>
      </c>
      <c r="AO47" s="1409">
        <f t="shared" ca="1" si="47"/>
        <v>13.291500029065165</v>
      </c>
      <c r="AP47" s="1409">
        <f t="shared" ca="1" si="47"/>
        <v>14.194377965478118</v>
      </c>
      <c r="AQ47" s="1409">
        <f t="shared" ca="1" si="47"/>
        <v>14.389186936671688</v>
      </c>
      <c r="AR47" s="1409">
        <f t="shared" ca="1" si="47"/>
        <v>14.585509006314604</v>
      </c>
      <c r="AS47" s="1409">
        <f t="shared" ref="AS47:AZ47" ca="1" si="52">IF(AS$7&lt;Fin_Close,0,AS19*(SUM(Subdebtperc,SudamPerc))/SUM(Debtperc,Subdebtperc,SudamPerc))-(AS70*0)</f>
        <v>15.498437624505323</v>
      </c>
      <c r="AT47" s="1409">
        <f t="shared" ca="1" si="52"/>
        <v>16.418457039737302</v>
      </c>
      <c r="AU47" s="1409">
        <f t="shared" ca="1" si="52"/>
        <v>16.630540629126699</v>
      </c>
      <c r="AV47" s="1409">
        <f t="shared" ca="1" si="52"/>
        <v>16.844271490447522</v>
      </c>
      <c r="AW47" s="1409">
        <f t="shared" ca="1" si="52"/>
        <v>0</v>
      </c>
      <c r="AX47" s="1409">
        <f t="shared" ca="1" si="52"/>
        <v>0</v>
      </c>
      <c r="AY47" s="1409">
        <f t="shared" ca="1" si="52"/>
        <v>0</v>
      </c>
      <c r="AZ47" s="1409">
        <f t="shared" ca="1" si="52"/>
        <v>0</v>
      </c>
      <c r="BA47" s="1410">
        <f ca="1">SUM(E47:AZ47)</f>
        <v>157.40157126056064</v>
      </c>
      <c r="BB47" s="1527">
        <f t="shared" si="3"/>
        <v>41</v>
      </c>
    </row>
    <row r="48" spans="1:54">
      <c r="A48" s="20" t="s">
        <v>1263</v>
      </c>
      <c r="E48" s="1528">
        <f ca="1">IF(E$7&lt;Fin_Close,0,E20*(SUM(Subdebtperc,SudamPerc))/SUM(Debtperc,Subdebtperc,SudamPerc))-(E71*0)</f>
        <v>0</v>
      </c>
      <c r="F48" s="1528">
        <f t="shared" ref="F48:AN48" ca="1" si="53">IF(F$7&lt;Fin_Close,0,F20*(SUM(Subdebtperc,SudamPerc))/SUM(Debtperc,Subdebtperc,SudamPerc))-(F71*0)</f>
        <v>0</v>
      </c>
      <c r="G48" s="1528">
        <f t="shared" ca="1" si="53"/>
        <v>0</v>
      </c>
      <c r="H48" s="1528">
        <f t="shared" ca="1" si="53"/>
        <v>0</v>
      </c>
      <c r="I48" s="1528">
        <f t="shared" ca="1" si="53"/>
        <v>0</v>
      </c>
      <c r="J48" s="1528">
        <f t="shared" ca="1" si="53"/>
        <v>0</v>
      </c>
      <c r="K48" s="1528">
        <f t="shared" ca="1" si="53"/>
        <v>0</v>
      </c>
      <c r="L48" s="1528">
        <f t="shared" ca="1" si="53"/>
        <v>0</v>
      </c>
      <c r="M48" s="1528">
        <f t="shared" ca="1" si="53"/>
        <v>0</v>
      </c>
      <c r="N48" s="1528">
        <f t="shared" ca="1" si="53"/>
        <v>0</v>
      </c>
      <c r="O48" s="1528">
        <f t="shared" ca="1" si="53"/>
        <v>0</v>
      </c>
      <c r="P48" s="1528">
        <f t="shared" ca="1" si="53"/>
        <v>0</v>
      </c>
      <c r="Q48" s="1528">
        <f t="shared" ca="1" si="53"/>
        <v>0</v>
      </c>
      <c r="R48" s="1528">
        <f t="shared" ca="1" si="53"/>
        <v>0</v>
      </c>
      <c r="S48" s="1528">
        <f t="shared" ca="1" si="53"/>
        <v>0</v>
      </c>
      <c r="T48" s="1528">
        <f t="shared" ca="1" si="53"/>
        <v>0</v>
      </c>
      <c r="U48" s="1528">
        <f t="shared" ca="1" si="53"/>
        <v>0</v>
      </c>
      <c r="V48" s="1528">
        <f t="shared" ca="1" si="53"/>
        <v>0</v>
      </c>
      <c r="W48" s="1528">
        <f t="shared" ca="1" si="53"/>
        <v>0</v>
      </c>
      <c r="X48" s="1528">
        <f t="shared" ca="1" si="53"/>
        <v>0</v>
      </c>
      <c r="Y48" s="1528">
        <f t="shared" ca="1" si="53"/>
        <v>0</v>
      </c>
      <c r="Z48" s="1528">
        <f t="shared" ca="1" si="53"/>
        <v>0</v>
      </c>
      <c r="AA48" s="1528">
        <f t="shared" ca="1" si="53"/>
        <v>0</v>
      </c>
      <c r="AB48" s="1528">
        <f t="shared" ca="1" si="53"/>
        <v>0</v>
      </c>
      <c r="AC48" s="1528">
        <f t="shared" ca="1" si="53"/>
        <v>0</v>
      </c>
      <c r="AD48" s="1528">
        <f t="shared" ca="1" si="53"/>
        <v>0</v>
      </c>
      <c r="AE48" s="1528">
        <f t="shared" ca="1" si="53"/>
        <v>0</v>
      </c>
      <c r="AF48" s="1528">
        <f t="shared" ca="1" si="53"/>
        <v>0</v>
      </c>
      <c r="AG48" s="1528">
        <f t="shared" ca="1" si="53"/>
        <v>0</v>
      </c>
      <c r="AH48" s="1528">
        <f t="shared" ca="1" si="53"/>
        <v>0</v>
      </c>
      <c r="AI48" s="1528">
        <f t="shared" ca="1" si="53"/>
        <v>0</v>
      </c>
      <c r="AJ48" s="1528">
        <f t="shared" ca="1" si="53"/>
        <v>0</v>
      </c>
      <c r="AK48" s="1528">
        <f t="shared" ca="1" si="53"/>
        <v>0</v>
      </c>
      <c r="AL48" s="1528">
        <f t="shared" ca="1" si="53"/>
        <v>7.6213126006099454</v>
      </c>
      <c r="AM48" s="1528">
        <f t="shared" ca="1" si="53"/>
        <v>3.9302699358963853</v>
      </c>
      <c r="AN48" s="1528">
        <f t="shared" ca="1" si="53"/>
        <v>3.8226400477813378</v>
      </c>
      <c r="AO48" s="1528">
        <f t="shared" ca="1" si="47"/>
        <v>3.2852701892910727</v>
      </c>
      <c r="AP48" s="1528">
        <f t="shared" ca="1" si="47"/>
        <v>2.743726531747166</v>
      </c>
      <c r="AQ48" s="1528">
        <f t="shared" ca="1" si="47"/>
        <v>2.6268806564324358</v>
      </c>
      <c r="AR48" s="1528">
        <f t="shared" ca="1" si="47"/>
        <v>2.5091272289055646</v>
      </c>
      <c r="AS48" s="1528">
        <f t="shared" ref="AS48:AZ48" ca="1" si="54">IF(AS$7&lt;Fin_Close,0,AS20*(SUM(Subdebtperc,SudamPerc))/SUM(Debtperc,Subdebtperc,SudamPerc))-(AS71*0)</f>
        <v>1.9615552005805936</v>
      </c>
      <c r="AT48" s="1528">
        <f t="shared" ca="1" si="54"/>
        <v>1.4097301320496767</v>
      </c>
      <c r="AU48" s="1528">
        <f t="shared" ca="1" si="54"/>
        <v>1.2825229891226155</v>
      </c>
      <c r="AV48" s="1528">
        <f t="shared" ca="1" si="54"/>
        <v>1.1543278171046467</v>
      </c>
      <c r="AW48" s="1528">
        <f t="shared" ca="1" si="54"/>
        <v>0.54499113413512046</v>
      </c>
      <c r="AX48" s="1528">
        <f t="shared" ca="1" si="54"/>
        <v>3.2547393608065505E-15</v>
      </c>
      <c r="AY48" s="1528">
        <f t="shared" ca="1" si="54"/>
        <v>3.2547393608065505E-15</v>
      </c>
      <c r="AZ48" s="1528">
        <f t="shared" ca="1" si="54"/>
        <v>3.2547393608065505E-15</v>
      </c>
      <c r="BA48" s="1529">
        <f ca="1">SUM(E48:AZ48)</f>
        <v>32.892354463656567</v>
      </c>
      <c r="BB48" s="1527">
        <f t="shared" si="3"/>
        <v>42</v>
      </c>
    </row>
    <row r="49" spans="1:54">
      <c r="A49" s="20" t="s">
        <v>517</v>
      </c>
      <c r="E49" s="37">
        <f ca="1">SUM(E43:E48)</f>
        <v>0</v>
      </c>
      <c r="F49" s="37">
        <f t="shared" ref="F49:AN49" ca="1" si="55">SUM(F43:F48)</f>
        <v>0</v>
      </c>
      <c r="G49" s="37">
        <f t="shared" ca="1" si="55"/>
        <v>0</v>
      </c>
      <c r="H49" s="37">
        <f t="shared" ca="1" si="55"/>
        <v>0</v>
      </c>
      <c r="I49" s="37">
        <f t="shared" ca="1" si="55"/>
        <v>0</v>
      </c>
      <c r="J49" s="37">
        <f t="shared" ca="1" si="55"/>
        <v>0</v>
      </c>
      <c r="K49" s="37">
        <f t="shared" ca="1" si="55"/>
        <v>0</v>
      </c>
      <c r="L49" s="37">
        <f t="shared" ca="1" si="55"/>
        <v>0</v>
      </c>
      <c r="M49" s="37">
        <f t="shared" ca="1" si="55"/>
        <v>0</v>
      </c>
      <c r="N49" s="37">
        <f t="shared" ca="1" si="55"/>
        <v>0</v>
      </c>
      <c r="O49" s="37">
        <f t="shared" ca="1" si="55"/>
        <v>0</v>
      </c>
      <c r="P49" s="37">
        <f t="shared" ca="1" si="55"/>
        <v>0</v>
      </c>
      <c r="Q49" s="37">
        <f t="shared" ca="1" si="55"/>
        <v>0</v>
      </c>
      <c r="R49" s="37">
        <f t="shared" ca="1" si="55"/>
        <v>0</v>
      </c>
      <c r="S49" s="37">
        <f t="shared" ca="1" si="55"/>
        <v>0</v>
      </c>
      <c r="T49" s="37">
        <f t="shared" ca="1" si="55"/>
        <v>0</v>
      </c>
      <c r="U49" s="37">
        <f t="shared" ca="1" si="55"/>
        <v>0</v>
      </c>
      <c r="V49" s="37">
        <f t="shared" ca="1" si="55"/>
        <v>0</v>
      </c>
      <c r="W49" s="37">
        <f t="shared" ca="1" si="55"/>
        <v>0</v>
      </c>
      <c r="X49" s="37">
        <f t="shared" ca="1" si="55"/>
        <v>0</v>
      </c>
      <c r="Y49" s="37">
        <f t="shared" ca="1" si="55"/>
        <v>0</v>
      </c>
      <c r="Z49" s="37">
        <f t="shared" ca="1" si="55"/>
        <v>0</v>
      </c>
      <c r="AA49" s="37">
        <f t="shared" ca="1" si="55"/>
        <v>0</v>
      </c>
      <c r="AB49" s="37">
        <f t="shared" ca="1" si="55"/>
        <v>0</v>
      </c>
      <c r="AC49" s="37">
        <f t="shared" ca="1" si="55"/>
        <v>0</v>
      </c>
      <c r="AD49" s="37">
        <f t="shared" ca="1" si="55"/>
        <v>0</v>
      </c>
      <c r="AE49" s="37">
        <f t="shared" ca="1" si="55"/>
        <v>0</v>
      </c>
      <c r="AF49" s="37">
        <f t="shared" ca="1" si="55"/>
        <v>0</v>
      </c>
      <c r="AG49" s="37">
        <f t="shared" ca="1" si="55"/>
        <v>0</v>
      </c>
      <c r="AH49" s="37">
        <f t="shared" ca="1" si="55"/>
        <v>0</v>
      </c>
      <c r="AI49" s="37">
        <f t="shared" ca="1" si="55"/>
        <v>0</v>
      </c>
      <c r="AJ49" s="37">
        <f t="shared" ca="1" si="55"/>
        <v>0</v>
      </c>
      <c r="AK49" s="37">
        <f t="shared" ca="1" si="55"/>
        <v>0</v>
      </c>
      <c r="AL49" s="37">
        <f t="shared" ca="1" si="55"/>
        <v>32145.980744370259</v>
      </c>
      <c r="AM49" s="37">
        <f t="shared" ca="1" si="55"/>
        <v>32619.732561517787</v>
      </c>
      <c r="AN49" s="37">
        <f t="shared" ca="1" si="55"/>
        <v>33097.164050784675</v>
      </c>
      <c r="AO49" s="37">
        <f ca="1">SUM(AO43:AO48)</f>
        <v>37368.759506708469</v>
      </c>
      <c r="AP49" s="37">
        <f ca="1">SUM(AP43:AP48)</f>
        <v>37883.077106828772</v>
      </c>
      <c r="AQ49" s="37">
        <f ca="1">SUM(AQ43:AQ48)</f>
        <v>38401.389457080171</v>
      </c>
      <c r="AR49" s="37">
        <f ca="1">SUM(AR43:AR48)</f>
        <v>38923.727585039029</v>
      </c>
      <c r="AS49" s="37">
        <f t="shared" ref="AS49:AZ49" ca="1" si="56">SUM(AS43:AS48)</f>
        <v>43240.578473475493</v>
      </c>
      <c r="AT49" s="37">
        <f t="shared" ca="1" si="56"/>
        <v>43800.503009041517</v>
      </c>
      <c r="AU49" s="37">
        <f t="shared" ca="1" si="56"/>
        <v>44364.776527825961</v>
      </c>
      <c r="AV49" s="37">
        <f t="shared" ca="1" si="56"/>
        <v>44933.432808764781</v>
      </c>
      <c r="AW49" s="37">
        <f t="shared" ca="1" si="56"/>
        <v>49749.813072758669</v>
      </c>
      <c r="AX49" s="37">
        <f t="shared" ca="1" si="56"/>
        <v>49749.813072758669</v>
      </c>
      <c r="AY49" s="37">
        <f t="shared" ca="1" si="56"/>
        <v>49749.813072758669</v>
      </c>
      <c r="AZ49" s="37">
        <f t="shared" ca="1" si="56"/>
        <v>49749.813072758669</v>
      </c>
      <c r="BA49" s="435">
        <f ca="1">SUM(BA43:BA48)</f>
        <v>49749.813072758676</v>
      </c>
      <c r="BB49" s="34">
        <f t="shared" si="3"/>
        <v>43</v>
      </c>
    </row>
    <row r="50" spans="1:54">
      <c r="A50" s="20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5"/>
      <c r="AH50" s="65"/>
      <c r="AI50" s="65"/>
      <c r="AJ50" s="65"/>
      <c r="AK50" s="65"/>
      <c r="AL50" s="65"/>
      <c r="AM50" s="65"/>
      <c r="AN50" s="65"/>
      <c r="AO50" s="65"/>
      <c r="AP50" s="65"/>
      <c r="AQ50" s="65"/>
      <c r="AR50" s="65"/>
      <c r="AS50" s="65"/>
      <c r="AT50" s="65"/>
      <c r="AU50" s="65"/>
      <c r="AV50" s="65"/>
      <c r="AW50" s="65"/>
      <c r="AX50" s="65"/>
      <c r="AY50" s="65"/>
      <c r="AZ50" s="65"/>
      <c r="BA50" s="430"/>
      <c r="BB50" s="34">
        <f t="shared" si="3"/>
        <v>44</v>
      </c>
    </row>
    <row r="51" spans="1:54" s="70" customFormat="1">
      <c r="A51" s="345" t="s">
        <v>447</v>
      </c>
      <c r="B51" s="43"/>
      <c r="C51" s="43"/>
      <c r="D51" s="43"/>
      <c r="E51" s="256">
        <f ca="1">IF(E$7&gt;=Startops3,0,SUM(E26:E27,E28/2)*$C11/12)</f>
        <v>0</v>
      </c>
      <c r="F51" s="256">
        <f t="shared" ref="F51:AN51" ca="1" si="57">IF(F$7&gt;=Startops3,0,SUM(F26:F27,F28/2)*$C11/12)</f>
        <v>0</v>
      </c>
      <c r="G51" s="256">
        <f t="shared" ca="1" si="57"/>
        <v>0</v>
      </c>
      <c r="H51" s="256">
        <f t="shared" ca="1" si="57"/>
        <v>0</v>
      </c>
      <c r="I51" s="256">
        <f t="shared" ca="1" si="57"/>
        <v>0</v>
      </c>
      <c r="J51" s="256">
        <f t="shared" ca="1" si="57"/>
        <v>0</v>
      </c>
      <c r="K51" s="256">
        <f t="shared" ca="1" si="57"/>
        <v>0</v>
      </c>
      <c r="L51" s="256">
        <f t="shared" ca="1" si="57"/>
        <v>0</v>
      </c>
      <c r="M51" s="256">
        <f t="shared" ca="1" si="57"/>
        <v>0</v>
      </c>
      <c r="N51" s="256">
        <f t="shared" ca="1" si="57"/>
        <v>0</v>
      </c>
      <c r="O51" s="256">
        <f t="shared" ca="1" si="57"/>
        <v>6.2384440706476036</v>
      </c>
      <c r="P51" s="256">
        <f t="shared" ca="1" si="57"/>
        <v>36.146085292139723</v>
      </c>
      <c r="Q51" s="256">
        <f t="shared" ca="1" si="57"/>
        <v>95.932459122499679</v>
      </c>
      <c r="R51" s="256">
        <f t="shared" ca="1" si="57"/>
        <v>136.2491427183036</v>
      </c>
      <c r="S51" s="256">
        <f t="shared" ca="1" si="57"/>
        <v>140.86173389822315</v>
      </c>
      <c r="T51" s="256">
        <f t="shared" ca="1" si="57"/>
        <v>146.48880672044641</v>
      </c>
      <c r="U51" s="256">
        <f t="shared" ca="1" si="57"/>
        <v>218.80233753780126</v>
      </c>
      <c r="V51" s="256">
        <f t="shared" ca="1" si="57"/>
        <v>286.74276767831861</v>
      </c>
      <c r="W51" s="256">
        <f t="shared" ca="1" si="57"/>
        <v>334.10111230869427</v>
      </c>
      <c r="X51" s="256">
        <f t="shared" ca="1" si="57"/>
        <v>388.0419183570059</v>
      </c>
      <c r="Y51" s="256">
        <f t="shared" ca="1" si="57"/>
        <v>396.62840079686316</v>
      </c>
      <c r="Z51" s="256">
        <f t="shared" ca="1" si="57"/>
        <v>403.47909604199475</v>
      </c>
      <c r="AA51" s="256">
        <f t="shared" ca="1" si="57"/>
        <v>415.11290899009845</v>
      </c>
      <c r="AB51" s="256">
        <f t="shared" ca="1" si="57"/>
        <v>424.38305527915014</v>
      </c>
      <c r="AC51" s="256">
        <f t="shared" ca="1" si="57"/>
        <v>427.93034549185228</v>
      </c>
      <c r="AD51" s="256">
        <f t="shared" ca="1" si="57"/>
        <v>432.43530014193772</v>
      </c>
      <c r="AE51" s="256">
        <f t="shared" ca="1" si="57"/>
        <v>437.77879776682607</v>
      </c>
      <c r="AF51" s="256">
        <f t="shared" ca="1" si="57"/>
        <v>435.67150401874807</v>
      </c>
      <c r="AG51" s="256">
        <f t="shared" ca="1" si="57"/>
        <v>467.69927210189684</v>
      </c>
      <c r="AH51" s="256">
        <f t="shared" ca="1" si="57"/>
        <v>507.05031242149227</v>
      </c>
      <c r="AI51" s="256">
        <f t="shared" ca="1" si="57"/>
        <v>515.38282944884998</v>
      </c>
      <c r="AJ51" s="256">
        <f t="shared" ca="1" si="57"/>
        <v>533.0195922147708</v>
      </c>
      <c r="AK51" s="256">
        <f t="shared" ca="1" si="57"/>
        <v>598.40374492731416</v>
      </c>
      <c r="AL51" s="256">
        <f t="shared" ca="1" si="57"/>
        <v>0</v>
      </c>
      <c r="AM51" s="256">
        <f t="shared" ca="1" si="57"/>
        <v>0</v>
      </c>
      <c r="AN51" s="256">
        <f t="shared" ca="1" si="57"/>
        <v>0</v>
      </c>
      <c r="AO51" s="256">
        <f ca="1">IF(AO$7&gt;=Startops3,0,SUM(AO26:AO27,AO28/2)*$C11/12)</f>
        <v>0</v>
      </c>
      <c r="AP51" s="256">
        <f ca="1">IF(AP$7&gt;=Startops3,0,SUM(AP26:AP27,AP28/2)*$C11/12)</f>
        <v>0</v>
      </c>
      <c r="AQ51" s="256">
        <f ca="1">IF(AQ$7&gt;=Startops3,0,SUM(AQ26:AQ27,AQ28/2)*$C11/12)</f>
        <v>0</v>
      </c>
      <c r="AR51" s="256">
        <f ca="1">IF(AR$7&gt;=Startops3,0,SUM(AR26:AR27,AR28/2)*$C11/12)</f>
        <v>0</v>
      </c>
      <c r="AS51" s="256">
        <f t="shared" ref="AS51:AZ51" ca="1" si="58">IF(AS$7&gt;=Startops3,0,SUM(AS26:AS27,AS28/2)*$C11/12)</f>
        <v>0</v>
      </c>
      <c r="AT51" s="256">
        <f t="shared" ca="1" si="58"/>
        <v>0</v>
      </c>
      <c r="AU51" s="256">
        <f t="shared" ca="1" si="58"/>
        <v>0</v>
      </c>
      <c r="AV51" s="256">
        <f t="shared" ca="1" si="58"/>
        <v>0</v>
      </c>
      <c r="AW51" s="256">
        <f t="shared" ca="1" si="58"/>
        <v>0</v>
      </c>
      <c r="AX51" s="256">
        <f t="shared" ca="1" si="58"/>
        <v>0</v>
      </c>
      <c r="AY51" s="256">
        <f t="shared" ca="1" si="58"/>
        <v>0</v>
      </c>
      <c r="AZ51" s="256">
        <f t="shared" ca="1" si="58"/>
        <v>0</v>
      </c>
      <c r="BA51" s="534">
        <f ca="1">SUM(E51:AZ51)</f>
        <v>7784.579967345875</v>
      </c>
      <c r="BB51" s="34">
        <f t="shared" si="3"/>
        <v>45</v>
      </c>
    </row>
    <row r="52" spans="1:54" s="70" customFormat="1">
      <c r="A52" s="345" t="s">
        <v>112</v>
      </c>
      <c r="B52" s="43"/>
      <c r="C52" s="43"/>
      <c r="D52" s="43"/>
      <c r="E52" s="256">
        <f t="shared" ref="E52:AN52" ca="1" si="59">IF(E$7&gt;=Startops3,0,SUM(E34:E35,E36/2)*$C12/12)</f>
        <v>0</v>
      </c>
      <c r="F52" s="256">
        <f t="shared" ca="1" si="59"/>
        <v>0</v>
      </c>
      <c r="G52" s="256">
        <f t="shared" ca="1" si="59"/>
        <v>0</v>
      </c>
      <c r="H52" s="256">
        <f t="shared" ca="1" si="59"/>
        <v>0</v>
      </c>
      <c r="I52" s="256">
        <f t="shared" ca="1" si="59"/>
        <v>0</v>
      </c>
      <c r="J52" s="256">
        <f t="shared" ca="1" si="59"/>
        <v>0</v>
      </c>
      <c r="K52" s="256">
        <f t="shared" ca="1" si="59"/>
        <v>0</v>
      </c>
      <c r="L52" s="256">
        <f t="shared" ca="1" si="59"/>
        <v>0</v>
      </c>
      <c r="M52" s="256">
        <f t="shared" ca="1" si="59"/>
        <v>0</v>
      </c>
      <c r="N52" s="256">
        <f t="shared" ca="1" si="59"/>
        <v>0</v>
      </c>
      <c r="O52" s="256">
        <f t="shared" ca="1" si="59"/>
        <v>0</v>
      </c>
      <c r="P52" s="256">
        <f t="shared" ca="1" si="59"/>
        <v>0</v>
      </c>
      <c r="Q52" s="256">
        <f t="shared" ca="1" si="59"/>
        <v>0</v>
      </c>
      <c r="R52" s="256">
        <f t="shared" ca="1" si="59"/>
        <v>0</v>
      </c>
      <c r="S52" s="256">
        <f t="shared" ca="1" si="59"/>
        <v>0</v>
      </c>
      <c r="T52" s="256">
        <f t="shared" ca="1" si="59"/>
        <v>0</v>
      </c>
      <c r="U52" s="256">
        <f t="shared" ca="1" si="59"/>
        <v>0</v>
      </c>
      <c r="V52" s="256">
        <f t="shared" ca="1" si="59"/>
        <v>0</v>
      </c>
      <c r="W52" s="256">
        <f t="shared" ca="1" si="59"/>
        <v>0</v>
      </c>
      <c r="X52" s="256">
        <f t="shared" ca="1" si="59"/>
        <v>0</v>
      </c>
      <c r="Y52" s="256">
        <f t="shared" ca="1" si="59"/>
        <v>0</v>
      </c>
      <c r="Z52" s="256">
        <f t="shared" ca="1" si="59"/>
        <v>0</v>
      </c>
      <c r="AA52" s="256">
        <f t="shared" ca="1" si="59"/>
        <v>0</v>
      </c>
      <c r="AB52" s="256">
        <f t="shared" ca="1" si="59"/>
        <v>0</v>
      </c>
      <c r="AC52" s="256">
        <f t="shared" ca="1" si="59"/>
        <v>0</v>
      </c>
      <c r="AD52" s="256">
        <f t="shared" ca="1" si="59"/>
        <v>0</v>
      </c>
      <c r="AE52" s="256">
        <f t="shared" ca="1" si="59"/>
        <v>0</v>
      </c>
      <c r="AF52" s="256">
        <f t="shared" ca="1" si="59"/>
        <v>0</v>
      </c>
      <c r="AG52" s="256">
        <f t="shared" ca="1" si="59"/>
        <v>0</v>
      </c>
      <c r="AH52" s="256">
        <f t="shared" ca="1" si="59"/>
        <v>0</v>
      </c>
      <c r="AI52" s="256">
        <f t="shared" ca="1" si="59"/>
        <v>0</v>
      </c>
      <c r="AJ52" s="256">
        <f t="shared" ca="1" si="59"/>
        <v>0</v>
      </c>
      <c r="AK52" s="256">
        <f t="shared" ca="1" si="59"/>
        <v>0</v>
      </c>
      <c r="AL52" s="256">
        <f t="shared" ca="1" si="59"/>
        <v>797.11038136188927</v>
      </c>
      <c r="AM52" s="256">
        <f t="shared" ca="1" si="59"/>
        <v>890.28981071629266</v>
      </c>
      <c r="AN52" s="256">
        <f t="shared" ca="1" si="59"/>
        <v>903.36734792904588</v>
      </c>
      <c r="AO52" s="256">
        <f ca="1">IF(AO$7&gt;=Startops3,0,SUM(AO34:AO35,AO36/2)*$C12/12)</f>
        <v>968.66031110584026</v>
      </c>
      <c r="AP52" s="256">
        <f ca="1">IF(AP$7&gt;=Startops3,0,SUM(AP34:AP35,AP36/2)*$C12/12)</f>
        <v>1034.4604104824257</v>
      </c>
      <c r="AQ52" s="256">
        <f ca="1">IF(AQ$7&gt;=Startops3,0,SUM(AQ34:AQ35,AQ36/2)*$C12/12)</f>
        <v>1048.6577334504821</v>
      </c>
      <c r="AR52" s="256">
        <f ca="1">IF(AR$7&gt;=Startops3,0,SUM(AR34:AR35,AR36/2)*$C12/12)</f>
        <v>1062.9653282773561</v>
      </c>
      <c r="AS52" s="256">
        <f t="shared" ref="AS52:AZ52" ca="1" si="60">IF(AS$7&gt;=Startops3,0,SUM(AS34:AS35,AS36/2)*$C12/12)</f>
        <v>1129.4979030341754</v>
      </c>
      <c r="AT52" s="256">
        <f t="shared" ca="1" si="60"/>
        <v>1196.5472421631846</v>
      </c>
      <c r="AU52" s="256">
        <f t="shared" ca="1" si="60"/>
        <v>1212.0035078389274</v>
      </c>
      <c r="AV52" s="256">
        <f t="shared" ca="1" si="60"/>
        <v>1227.5798236924593</v>
      </c>
      <c r="AW52" s="256">
        <f t="shared" ca="1" si="60"/>
        <v>0</v>
      </c>
      <c r="AX52" s="256">
        <f t="shared" ca="1" si="60"/>
        <v>0</v>
      </c>
      <c r="AY52" s="256">
        <f t="shared" ca="1" si="60"/>
        <v>0</v>
      </c>
      <c r="AZ52" s="256">
        <f t="shared" ca="1" si="60"/>
        <v>0</v>
      </c>
      <c r="BA52" s="534">
        <f ca="1">SUM(E52:AZ52)</f>
        <v>11471.139800052078</v>
      </c>
      <c r="BB52" s="34">
        <f t="shared" si="3"/>
        <v>46</v>
      </c>
    </row>
    <row r="53" spans="1:54" s="70" customFormat="1">
      <c r="A53" s="345" t="s">
        <v>113</v>
      </c>
      <c r="B53" s="43"/>
      <c r="C53" s="43"/>
      <c r="D53" s="43"/>
      <c r="E53" s="821">
        <f t="shared" ref="E53:AN53" ca="1" si="61">IF(E$7&gt;=Startops3,0,SUM(E43:E44,E45/2)*$C13/12)</f>
        <v>0</v>
      </c>
      <c r="F53" s="821">
        <f t="shared" ca="1" si="61"/>
        <v>0</v>
      </c>
      <c r="G53" s="821">
        <f t="shared" ca="1" si="61"/>
        <v>0</v>
      </c>
      <c r="H53" s="821">
        <f t="shared" ca="1" si="61"/>
        <v>0</v>
      </c>
      <c r="I53" s="821">
        <f t="shared" ca="1" si="61"/>
        <v>0</v>
      </c>
      <c r="J53" s="821">
        <f t="shared" ca="1" si="61"/>
        <v>0</v>
      </c>
      <c r="K53" s="821">
        <f t="shared" ca="1" si="61"/>
        <v>0</v>
      </c>
      <c r="L53" s="821">
        <f t="shared" ca="1" si="61"/>
        <v>0</v>
      </c>
      <c r="M53" s="821">
        <f t="shared" ca="1" si="61"/>
        <v>0</v>
      </c>
      <c r="N53" s="821">
        <f t="shared" ca="1" si="61"/>
        <v>0</v>
      </c>
      <c r="O53" s="821">
        <f t="shared" ca="1" si="61"/>
        <v>0</v>
      </c>
      <c r="P53" s="821">
        <f t="shared" ca="1" si="61"/>
        <v>0</v>
      </c>
      <c r="Q53" s="821">
        <f t="shared" ca="1" si="61"/>
        <v>0</v>
      </c>
      <c r="R53" s="821">
        <f t="shared" ca="1" si="61"/>
        <v>0</v>
      </c>
      <c r="S53" s="821">
        <f t="shared" ca="1" si="61"/>
        <v>0</v>
      </c>
      <c r="T53" s="821">
        <f t="shared" ca="1" si="61"/>
        <v>0</v>
      </c>
      <c r="U53" s="821">
        <f t="shared" ca="1" si="61"/>
        <v>0</v>
      </c>
      <c r="V53" s="821">
        <f t="shared" ca="1" si="61"/>
        <v>0</v>
      </c>
      <c r="W53" s="821">
        <f t="shared" ca="1" si="61"/>
        <v>0</v>
      </c>
      <c r="X53" s="821">
        <f t="shared" ca="1" si="61"/>
        <v>0</v>
      </c>
      <c r="Y53" s="821">
        <f t="shared" ca="1" si="61"/>
        <v>0</v>
      </c>
      <c r="Z53" s="821">
        <f t="shared" ca="1" si="61"/>
        <v>0</v>
      </c>
      <c r="AA53" s="821">
        <f t="shared" ca="1" si="61"/>
        <v>0</v>
      </c>
      <c r="AB53" s="821">
        <f t="shared" ca="1" si="61"/>
        <v>0</v>
      </c>
      <c r="AC53" s="821">
        <f t="shared" ca="1" si="61"/>
        <v>0</v>
      </c>
      <c r="AD53" s="821">
        <f t="shared" ca="1" si="61"/>
        <v>0</v>
      </c>
      <c r="AE53" s="821">
        <f t="shared" ca="1" si="61"/>
        <v>0</v>
      </c>
      <c r="AF53" s="821">
        <f t="shared" ca="1" si="61"/>
        <v>0</v>
      </c>
      <c r="AG53" s="821">
        <f t="shared" ca="1" si="61"/>
        <v>0</v>
      </c>
      <c r="AH53" s="821">
        <f t="shared" ca="1" si="61"/>
        <v>0</v>
      </c>
      <c r="AI53" s="821">
        <f t="shared" ca="1" si="61"/>
        <v>0</v>
      </c>
      <c r="AJ53" s="821">
        <f t="shared" ca="1" si="61"/>
        <v>0</v>
      </c>
      <c r="AK53" s="821">
        <f t="shared" ca="1" si="61"/>
        <v>0</v>
      </c>
      <c r="AL53" s="821">
        <f t="shared" ca="1" si="61"/>
        <v>312.82791192634892</v>
      </c>
      <c r="AM53" s="821">
        <f t="shared" ca="1" si="61"/>
        <v>349.39640607846928</v>
      </c>
      <c r="AN53" s="821">
        <f t="shared" ca="1" si="61"/>
        <v>354.52871743090083</v>
      </c>
      <c r="AO53" s="821">
        <f ca="1">IF(AO$7&gt;=Startops3,0,SUM(AO43:AO44,AO45/2)*$C13/12)</f>
        <v>380.15309996520313</v>
      </c>
      <c r="AP53" s="821">
        <f ca="1">IF(AP$7&gt;=Startops3,0,SUM(AP43:AP44,AP45/2)*$C13/12)</f>
        <v>405.97650933713322</v>
      </c>
      <c r="AQ53" s="821">
        <f ca="1">IF(AQ$7&gt;=Startops3,0,SUM(AQ43:AQ44,AQ45/2)*$C13/12)</f>
        <v>411.54828333843653</v>
      </c>
      <c r="AR53" s="821">
        <f ca="1">IF(AR$7&gt;=Startops3,0,SUM(AR43:AR44,AR45/2)*$C13/12)</f>
        <v>417.16333379949333</v>
      </c>
      <c r="AS53" s="821">
        <f t="shared" ref="AS53:AZ53" ca="1" si="62">IF(AS$7&gt;=Startops3,0,SUM(AS43:AS44,AS45/2)*$C13/12)</f>
        <v>443.27420491962533</v>
      </c>
      <c r="AT53" s="821">
        <f t="shared" ca="1" si="62"/>
        <v>469.58788147710931</v>
      </c>
      <c r="AU53" s="821">
        <f t="shared" ca="1" si="62"/>
        <v>475.65373061240797</v>
      </c>
      <c r="AV53" s="821">
        <f t="shared" ca="1" si="62"/>
        <v>481.76669373257272</v>
      </c>
      <c r="AW53" s="821">
        <f t="shared" ca="1" si="62"/>
        <v>0</v>
      </c>
      <c r="AX53" s="821">
        <f t="shared" ca="1" si="62"/>
        <v>0</v>
      </c>
      <c r="AY53" s="821">
        <f t="shared" ca="1" si="62"/>
        <v>0</v>
      </c>
      <c r="AZ53" s="821">
        <f t="shared" ca="1" si="62"/>
        <v>0</v>
      </c>
      <c r="BA53" s="822">
        <f ca="1">SUM(E53:AZ53)</f>
        <v>4501.8767726177011</v>
      </c>
      <c r="BB53" s="34">
        <f t="shared" si="3"/>
        <v>47</v>
      </c>
    </row>
    <row r="54" spans="1:54">
      <c r="A54" s="27" t="s">
        <v>115</v>
      </c>
      <c r="B54" s="3"/>
      <c r="C54" s="3"/>
      <c r="D54" s="3"/>
      <c r="E54" s="224">
        <f t="shared" ref="E54:AN54" ca="1" si="63">SUM(E51:E53)</f>
        <v>0</v>
      </c>
      <c r="F54" s="224">
        <f t="shared" ca="1" si="63"/>
        <v>0</v>
      </c>
      <c r="G54" s="224">
        <f t="shared" ca="1" si="63"/>
        <v>0</v>
      </c>
      <c r="H54" s="224">
        <f t="shared" ca="1" si="63"/>
        <v>0</v>
      </c>
      <c r="I54" s="224">
        <f t="shared" ca="1" si="63"/>
        <v>0</v>
      </c>
      <c r="J54" s="224">
        <f t="shared" ca="1" si="63"/>
        <v>0</v>
      </c>
      <c r="K54" s="224">
        <f t="shared" ca="1" si="63"/>
        <v>0</v>
      </c>
      <c r="L54" s="224">
        <f t="shared" ca="1" si="63"/>
        <v>0</v>
      </c>
      <c r="M54" s="224">
        <f t="shared" ca="1" si="63"/>
        <v>0</v>
      </c>
      <c r="N54" s="224">
        <f t="shared" ca="1" si="63"/>
        <v>0</v>
      </c>
      <c r="O54" s="224">
        <f t="shared" ca="1" si="63"/>
        <v>6.2384440706476036</v>
      </c>
      <c r="P54" s="224">
        <f t="shared" ca="1" si="63"/>
        <v>36.146085292139723</v>
      </c>
      <c r="Q54" s="224">
        <f t="shared" ca="1" si="63"/>
        <v>95.932459122499679</v>
      </c>
      <c r="R54" s="224">
        <f t="shared" ca="1" si="63"/>
        <v>136.2491427183036</v>
      </c>
      <c r="S54" s="224">
        <f t="shared" ca="1" si="63"/>
        <v>140.86173389822315</v>
      </c>
      <c r="T54" s="224">
        <f t="shared" ca="1" si="63"/>
        <v>146.48880672044641</v>
      </c>
      <c r="U54" s="224">
        <f t="shared" ca="1" si="63"/>
        <v>218.80233753780126</v>
      </c>
      <c r="V54" s="224">
        <f t="shared" ca="1" si="63"/>
        <v>286.74276767831861</v>
      </c>
      <c r="W54" s="224">
        <f t="shared" ca="1" si="63"/>
        <v>334.10111230869427</v>
      </c>
      <c r="X54" s="224">
        <f t="shared" ca="1" si="63"/>
        <v>388.0419183570059</v>
      </c>
      <c r="Y54" s="224">
        <f t="shared" ca="1" si="63"/>
        <v>396.62840079686316</v>
      </c>
      <c r="Z54" s="224">
        <f t="shared" ca="1" si="63"/>
        <v>403.47909604199475</v>
      </c>
      <c r="AA54" s="224">
        <f t="shared" ca="1" si="63"/>
        <v>415.11290899009845</v>
      </c>
      <c r="AB54" s="224">
        <f t="shared" ca="1" si="63"/>
        <v>424.38305527915014</v>
      </c>
      <c r="AC54" s="224">
        <f t="shared" ca="1" si="63"/>
        <v>427.93034549185228</v>
      </c>
      <c r="AD54" s="224">
        <f t="shared" ca="1" si="63"/>
        <v>432.43530014193772</v>
      </c>
      <c r="AE54" s="224">
        <f t="shared" ca="1" si="63"/>
        <v>437.77879776682607</v>
      </c>
      <c r="AF54" s="224">
        <f t="shared" ca="1" si="63"/>
        <v>435.67150401874807</v>
      </c>
      <c r="AG54" s="224">
        <f t="shared" ca="1" si="63"/>
        <v>467.69927210189684</v>
      </c>
      <c r="AH54" s="224">
        <f t="shared" ca="1" si="63"/>
        <v>507.05031242149227</v>
      </c>
      <c r="AI54" s="224">
        <f t="shared" ca="1" si="63"/>
        <v>515.38282944884998</v>
      </c>
      <c r="AJ54" s="224">
        <f t="shared" ca="1" si="63"/>
        <v>533.0195922147708</v>
      </c>
      <c r="AK54" s="224">
        <f t="shared" ca="1" si="63"/>
        <v>598.40374492731416</v>
      </c>
      <c r="AL54" s="224">
        <f t="shared" ca="1" si="63"/>
        <v>1109.9382932882381</v>
      </c>
      <c r="AM54" s="224">
        <f t="shared" ca="1" si="63"/>
        <v>1239.686216794762</v>
      </c>
      <c r="AN54" s="224">
        <f t="shared" ca="1" si="63"/>
        <v>1257.8960653599468</v>
      </c>
      <c r="AO54" s="224">
        <f ca="1">SUM(AO51:AO53)</f>
        <v>1348.8134110710434</v>
      </c>
      <c r="AP54" s="224">
        <f ca="1">SUM(AP51:AP53)</f>
        <v>1440.4369198195589</v>
      </c>
      <c r="AQ54" s="224">
        <f ca="1">SUM(AQ51:AQ53)</f>
        <v>1460.2060167889185</v>
      </c>
      <c r="AR54" s="224">
        <f ca="1">SUM(AR51:AR53)</f>
        <v>1480.1286620768494</v>
      </c>
      <c r="AS54" s="224">
        <f t="shared" ref="AS54:AZ54" ca="1" si="64">SUM(AS51:AS53)</f>
        <v>1572.7721079538007</v>
      </c>
      <c r="AT54" s="224">
        <f t="shared" ca="1" si="64"/>
        <v>1666.1351236402938</v>
      </c>
      <c r="AU54" s="224">
        <f t="shared" ca="1" si="64"/>
        <v>1687.6572384513354</v>
      </c>
      <c r="AV54" s="224">
        <f t="shared" ca="1" si="64"/>
        <v>1709.3465174250321</v>
      </c>
      <c r="AW54" s="224">
        <f t="shared" ca="1" si="64"/>
        <v>0</v>
      </c>
      <c r="AX54" s="224">
        <f t="shared" ca="1" si="64"/>
        <v>0</v>
      </c>
      <c r="AY54" s="224">
        <f t="shared" ca="1" si="64"/>
        <v>0</v>
      </c>
      <c r="AZ54" s="224">
        <f t="shared" ca="1" si="64"/>
        <v>0</v>
      </c>
      <c r="BA54" s="437">
        <f ca="1">SUM(E54:AZ54)</f>
        <v>23757.596540015653</v>
      </c>
      <c r="BB54" s="34">
        <f t="shared" si="3"/>
        <v>48</v>
      </c>
    </row>
    <row r="55" spans="1:54">
      <c r="A55" s="345" t="s">
        <v>96</v>
      </c>
      <c r="B55" s="43"/>
      <c r="C55" s="43"/>
      <c r="D55" s="43"/>
      <c r="E55" s="256">
        <f ca="1">SUM($E54:E54)</f>
        <v>0</v>
      </c>
      <c r="F55" s="256">
        <f ca="1">SUM($E54:F54)</f>
        <v>0</v>
      </c>
      <c r="G55" s="256">
        <f ca="1">SUM($E54:G54)</f>
        <v>0</v>
      </c>
      <c r="H55" s="256">
        <f ca="1">SUM($E54:H54)</f>
        <v>0</v>
      </c>
      <c r="I55" s="256">
        <f ca="1">SUM($E54:I54)</f>
        <v>0</v>
      </c>
      <c r="J55" s="256">
        <f ca="1">SUM($E54:J54)</f>
        <v>0</v>
      </c>
      <c r="K55" s="256">
        <f ca="1">SUM($E54:K54)</f>
        <v>0</v>
      </c>
      <c r="L55" s="256">
        <f ca="1">SUM($E54:L54)</f>
        <v>0</v>
      </c>
      <c r="M55" s="256">
        <f ca="1">SUM($E54:M54)</f>
        <v>0</v>
      </c>
      <c r="N55" s="256">
        <f ca="1">SUM($E54:N54)</f>
        <v>0</v>
      </c>
      <c r="O55" s="256">
        <f ca="1">SUM($E54:O54)</f>
        <v>6.2384440706476036</v>
      </c>
      <c r="P55" s="256">
        <f ca="1">SUM($E54:P54)</f>
        <v>42.384529362787326</v>
      </c>
      <c r="Q55" s="256">
        <f ca="1">SUM($E54:Q54)</f>
        <v>138.316988485287</v>
      </c>
      <c r="R55" s="256">
        <f ca="1">SUM($E54:R54)</f>
        <v>274.5661312035906</v>
      </c>
      <c r="S55" s="256">
        <f ca="1">SUM($E54:S54)</f>
        <v>415.42786510181372</v>
      </c>
      <c r="T55" s="256">
        <f ca="1">SUM($E54:T54)</f>
        <v>561.91667182226013</v>
      </c>
      <c r="U55" s="256">
        <f ca="1">SUM($E54:U54)</f>
        <v>780.71900936006136</v>
      </c>
      <c r="V55" s="256">
        <f ca="1">SUM($E54:V54)</f>
        <v>1067.46177703838</v>
      </c>
      <c r="W55" s="256">
        <f ca="1">SUM($E54:W54)</f>
        <v>1401.5628893470744</v>
      </c>
      <c r="X55" s="256">
        <f ca="1">SUM($E54:X54)</f>
        <v>1789.6048077040803</v>
      </c>
      <c r="Y55" s="256">
        <f ca="1">SUM($E54:Y54)</f>
        <v>2186.2332085009434</v>
      </c>
      <c r="Z55" s="256">
        <f ca="1">SUM($E54:Z54)</f>
        <v>2589.712304542938</v>
      </c>
      <c r="AA55" s="256">
        <f ca="1">SUM($E54:AA54)</f>
        <v>3004.8252135330363</v>
      </c>
      <c r="AB55" s="256">
        <f ca="1">SUM($E54:AB54)</f>
        <v>3429.2082688121864</v>
      </c>
      <c r="AC55" s="256">
        <f ca="1">SUM($E54:AC54)</f>
        <v>3857.1386143040386</v>
      </c>
      <c r="AD55" s="256">
        <f ca="1">SUM($E54:AD54)</f>
        <v>4289.5739144459767</v>
      </c>
      <c r="AE55" s="256">
        <f ca="1">SUM($E54:AE54)</f>
        <v>4727.3527122128025</v>
      </c>
      <c r="AF55" s="256">
        <f ca="1">SUM($E54:AF54)</f>
        <v>5163.0242162315508</v>
      </c>
      <c r="AG55" s="256">
        <f ca="1">SUM($E54:AG54)</f>
        <v>5630.7234883334477</v>
      </c>
      <c r="AH55" s="256">
        <f ca="1">SUM($E54:AH54)</f>
        <v>6137.7738007549397</v>
      </c>
      <c r="AI55" s="256">
        <f ca="1">SUM($E54:AI54)</f>
        <v>6653.15663020379</v>
      </c>
      <c r="AJ55" s="256">
        <f ca="1">SUM($E54:AJ54)</f>
        <v>7186.1762224185604</v>
      </c>
      <c r="AK55" s="256">
        <f ca="1">SUM($E54:AK54)</f>
        <v>7784.579967345875</v>
      </c>
      <c r="AL55" s="256">
        <f ca="1">SUM($E54:AL54)</f>
        <v>8894.5182606341132</v>
      </c>
      <c r="AM55" s="256">
        <f ca="1">SUM($E54:AM54)</f>
        <v>10134.204477428875</v>
      </c>
      <c r="AN55" s="256">
        <f ca="1">SUM($E54:AN54)</f>
        <v>11392.100542788821</v>
      </c>
      <c r="AO55" s="256">
        <f ca="1">SUM($E54:AO54)</f>
        <v>12740.913953859865</v>
      </c>
      <c r="AP55" s="256">
        <f ca="1">SUM($E54:AP54)</f>
        <v>14181.350873679423</v>
      </c>
      <c r="AQ55" s="256">
        <f ca="1">SUM($E54:AQ54)</f>
        <v>15641.556890468342</v>
      </c>
      <c r="AR55" s="256">
        <f ca="1">SUM($E54:AR54)</f>
        <v>17121.68555254519</v>
      </c>
      <c r="AS55" s="256">
        <f ca="1">SUM($E54:AS54)</f>
        <v>18694.457660498992</v>
      </c>
      <c r="AT55" s="256">
        <f ca="1">SUM($E54:AT54)</f>
        <v>20360.592784139288</v>
      </c>
      <c r="AU55" s="256">
        <f ca="1">SUM($E54:AU54)</f>
        <v>22048.250022590622</v>
      </c>
      <c r="AV55" s="256">
        <f ca="1">SUM($E54:AV54)</f>
        <v>23757.596540015653</v>
      </c>
      <c r="AW55" s="256">
        <f ca="1">SUM($E54:AW54)</f>
        <v>23757.596540015653</v>
      </c>
      <c r="AX55" s="256">
        <f ca="1">SUM($E54:AX54)</f>
        <v>23757.596540015653</v>
      </c>
      <c r="AY55" s="256">
        <f ca="1">SUM($E54:AY54)</f>
        <v>23757.596540015653</v>
      </c>
      <c r="AZ55" s="256">
        <f ca="1">SUM($E54:AZ54)</f>
        <v>23757.596540015653</v>
      </c>
      <c r="BA55" s="534"/>
      <c r="BB55" s="34">
        <f t="shared" si="3"/>
        <v>49</v>
      </c>
    </row>
    <row r="56" spans="1:54">
      <c r="A56" s="20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430"/>
      <c r="BB56" s="34">
        <f t="shared" si="3"/>
        <v>50</v>
      </c>
    </row>
    <row r="57" spans="1:54" s="70" customFormat="1">
      <c r="A57" s="345" t="s">
        <v>446</v>
      </c>
      <c r="B57" s="43"/>
      <c r="C57" s="721">
        <f>(Wh_Int/(1-Wh_Int))</f>
        <v>0.17647058823529413</v>
      </c>
      <c r="D57" s="43"/>
      <c r="E57" s="256">
        <f ca="1">E51*$C57</f>
        <v>0</v>
      </c>
      <c r="F57" s="256">
        <f t="shared" ref="F57:AN57" ca="1" si="65">F51*$C57</f>
        <v>0</v>
      </c>
      <c r="G57" s="256">
        <f t="shared" ca="1" si="65"/>
        <v>0</v>
      </c>
      <c r="H57" s="256">
        <f t="shared" ca="1" si="65"/>
        <v>0</v>
      </c>
      <c r="I57" s="256">
        <f t="shared" ca="1" si="65"/>
        <v>0</v>
      </c>
      <c r="J57" s="256">
        <f t="shared" ca="1" si="65"/>
        <v>0</v>
      </c>
      <c r="K57" s="256">
        <f t="shared" ca="1" si="65"/>
        <v>0</v>
      </c>
      <c r="L57" s="256">
        <f t="shared" ca="1" si="65"/>
        <v>0</v>
      </c>
      <c r="M57" s="256">
        <f t="shared" ca="1" si="65"/>
        <v>0</v>
      </c>
      <c r="N57" s="256">
        <f t="shared" ca="1" si="65"/>
        <v>0</v>
      </c>
      <c r="O57" s="256">
        <f t="shared" ca="1" si="65"/>
        <v>1.1009018948201654</v>
      </c>
      <c r="P57" s="256">
        <f t="shared" ca="1" si="65"/>
        <v>6.3787209339070108</v>
      </c>
      <c r="Q57" s="256">
        <f t="shared" ca="1" si="65"/>
        <v>16.929257492205828</v>
      </c>
      <c r="R57" s="256">
        <f t="shared" ca="1" si="65"/>
        <v>24.043966362053578</v>
      </c>
      <c r="S57" s="256">
        <f t="shared" ca="1" si="65"/>
        <v>24.85795304086291</v>
      </c>
      <c r="T57" s="256">
        <f t="shared" ca="1" si="65"/>
        <v>25.850965891843487</v>
      </c>
      <c r="U57" s="256">
        <f t="shared" ca="1" si="65"/>
        <v>38.612177212553163</v>
      </c>
      <c r="V57" s="256">
        <f t="shared" ca="1" si="65"/>
        <v>50.601664884409168</v>
      </c>
      <c r="W57" s="256">
        <f t="shared" ca="1" si="65"/>
        <v>58.959019819181343</v>
      </c>
      <c r="X57" s="256">
        <f t="shared" ca="1" si="65"/>
        <v>68.477985592412807</v>
      </c>
      <c r="Y57" s="256">
        <f t="shared" ca="1" si="65"/>
        <v>69.993247199446444</v>
      </c>
      <c r="Z57" s="256">
        <f t="shared" ca="1" si="65"/>
        <v>71.202193419175543</v>
      </c>
      <c r="AA57" s="256">
        <f t="shared" ca="1" si="65"/>
        <v>73.255219233546796</v>
      </c>
      <c r="AB57" s="256">
        <f t="shared" ca="1" si="65"/>
        <v>74.891127402202969</v>
      </c>
      <c r="AC57" s="256">
        <f t="shared" ca="1" si="65"/>
        <v>75.517119792679821</v>
      </c>
      <c r="AD57" s="256">
        <f t="shared" ca="1" si="65"/>
        <v>76.312111789753715</v>
      </c>
      <c r="AE57" s="256">
        <f t="shared" ca="1" si="65"/>
        <v>77.255081958851662</v>
      </c>
      <c r="AF57" s="256">
        <f t="shared" ca="1" si="65"/>
        <v>76.883206591543782</v>
      </c>
      <c r="AG57" s="256">
        <f t="shared" ca="1" si="65"/>
        <v>82.535165665040623</v>
      </c>
      <c r="AH57" s="256">
        <f t="shared" ca="1" si="65"/>
        <v>89.479466897910399</v>
      </c>
      <c r="AI57" s="256">
        <f t="shared" ca="1" si="65"/>
        <v>90.949911079208832</v>
      </c>
      <c r="AJ57" s="256">
        <f t="shared" ca="1" si="65"/>
        <v>94.062280979077201</v>
      </c>
      <c r="AK57" s="256">
        <f t="shared" ca="1" si="65"/>
        <v>105.60066086952604</v>
      </c>
      <c r="AL57" s="256">
        <f t="shared" ca="1" si="65"/>
        <v>0</v>
      </c>
      <c r="AM57" s="256">
        <f t="shared" ca="1" si="65"/>
        <v>0</v>
      </c>
      <c r="AN57" s="256">
        <f t="shared" ca="1" si="65"/>
        <v>0</v>
      </c>
      <c r="AO57" s="256">
        <f ca="1">AO51*$C57</f>
        <v>0</v>
      </c>
      <c r="AP57" s="256">
        <f ca="1">AP51*$C57</f>
        <v>0</v>
      </c>
      <c r="AQ57" s="256">
        <f ca="1">AQ51*$C57</f>
        <v>0</v>
      </c>
      <c r="AR57" s="256">
        <f ca="1">AR51*$C57</f>
        <v>0</v>
      </c>
      <c r="AS57" s="256">
        <f t="shared" ref="AS57:AZ57" ca="1" si="66">AS51*$C57</f>
        <v>0</v>
      </c>
      <c r="AT57" s="256">
        <f t="shared" ca="1" si="66"/>
        <v>0</v>
      </c>
      <c r="AU57" s="256">
        <f t="shared" ca="1" si="66"/>
        <v>0</v>
      </c>
      <c r="AV57" s="256">
        <f t="shared" ca="1" si="66"/>
        <v>0</v>
      </c>
      <c r="AW57" s="256">
        <f t="shared" ca="1" si="66"/>
        <v>0</v>
      </c>
      <c r="AX57" s="256">
        <f t="shared" ca="1" si="66"/>
        <v>0</v>
      </c>
      <c r="AY57" s="256">
        <f t="shared" ca="1" si="66"/>
        <v>0</v>
      </c>
      <c r="AZ57" s="256">
        <f t="shared" ca="1" si="66"/>
        <v>0</v>
      </c>
      <c r="BA57" s="534">
        <f ca="1">SUM(E57:AZ57)</f>
        <v>1373.7494060022134</v>
      </c>
      <c r="BB57" s="34">
        <f t="shared" si="3"/>
        <v>51</v>
      </c>
    </row>
    <row r="58" spans="1:54" s="70" customFormat="1">
      <c r="A58" s="345" t="s">
        <v>142</v>
      </c>
      <c r="B58" s="43"/>
      <c r="C58" s="721">
        <f>(Wh_Int/(1-Wh_Int))</f>
        <v>0.17647058823529413</v>
      </c>
      <c r="D58" s="43"/>
      <c r="E58" s="821">
        <f ca="1">E53*$C58</f>
        <v>0</v>
      </c>
      <c r="F58" s="821">
        <f t="shared" ref="F58:AN58" ca="1" si="67">F53*$C58</f>
        <v>0</v>
      </c>
      <c r="G58" s="821">
        <f t="shared" ca="1" si="67"/>
        <v>0</v>
      </c>
      <c r="H58" s="821">
        <f t="shared" ca="1" si="67"/>
        <v>0</v>
      </c>
      <c r="I58" s="821">
        <f t="shared" ca="1" si="67"/>
        <v>0</v>
      </c>
      <c r="J58" s="821">
        <f t="shared" ca="1" si="67"/>
        <v>0</v>
      </c>
      <c r="K58" s="821">
        <f t="shared" ca="1" si="67"/>
        <v>0</v>
      </c>
      <c r="L58" s="821">
        <f t="shared" ca="1" si="67"/>
        <v>0</v>
      </c>
      <c r="M58" s="821">
        <f t="shared" ca="1" si="67"/>
        <v>0</v>
      </c>
      <c r="N58" s="821">
        <f t="shared" ca="1" si="67"/>
        <v>0</v>
      </c>
      <c r="O58" s="821">
        <f t="shared" ca="1" si="67"/>
        <v>0</v>
      </c>
      <c r="P58" s="821">
        <f t="shared" ca="1" si="67"/>
        <v>0</v>
      </c>
      <c r="Q58" s="821">
        <f t="shared" ca="1" si="67"/>
        <v>0</v>
      </c>
      <c r="R58" s="821">
        <f t="shared" ca="1" si="67"/>
        <v>0</v>
      </c>
      <c r="S58" s="821">
        <f t="shared" ca="1" si="67"/>
        <v>0</v>
      </c>
      <c r="T58" s="821">
        <f t="shared" ca="1" si="67"/>
        <v>0</v>
      </c>
      <c r="U58" s="821">
        <f t="shared" ca="1" si="67"/>
        <v>0</v>
      </c>
      <c r="V58" s="821">
        <f t="shared" ca="1" si="67"/>
        <v>0</v>
      </c>
      <c r="W58" s="821">
        <f t="shared" ca="1" si="67"/>
        <v>0</v>
      </c>
      <c r="X58" s="821">
        <f t="shared" ca="1" si="67"/>
        <v>0</v>
      </c>
      <c r="Y58" s="821">
        <f t="shared" ca="1" si="67"/>
        <v>0</v>
      </c>
      <c r="Z58" s="821">
        <f t="shared" ca="1" si="67"/>
        <v>0</v>
      </c>
      <c r="AA58" s="821">
        <f t="shared" ca="1" si="67"/>
        <v>0</v>
      </c>
      <c r="AB58" s="821">
        <f t="shared" ca="1" si="67"/>
        <v>0</v>
      </c>
      <c r="AC58" s="821">
        <f t="shared" ca="1" si="67"/>
        <v>0</v>
      </c>
      <c r="AD58" s="821">
        <f t="shared" ca="1" si="67"/>
        <v>0</v>
      </c>
      <c r="AE58" s="821">
        <f t="shared" ca="1" si="67"/>
        <v>0</v>
      </c>
      <c r="AF58" s="821">
        <f t="shared" ca="1" si="67"/>
        <v>0</v>
      </c>
      <c r="AG58" s="821">
        <f t="shared" ca="1" si="67"/>
        <v>0</v>
      </c>
      <c r="AH58" s="821">
        <f t="shared" ca="1" si="67"/>
        <v>0</v>
      </c>
      <c r="AI58" s="821">
        <f t="shared" ca="1" si="67"/>
        <v>0</v>
      </c>
      <c r="AJ58" s="821">
        <f t="shared" ca="1" si="67"/>
        <v>0</v>
      </c>
      <c r="AK58" s="821">
        <f t="shared" ca="1" si="67"/>
        <v>0</v>
      </c>
      <c r="AL58" s="821">
        <f t="shared" ca="1" si="67"/>
        <v>55.204925634061574</v>
      </c>
      <c r="AM58" s="821">
        <f t="shared" ca="1" si="67"/>
        <v>61.658189307965173</v>
      </c>
      <c r="AN58" s="821">
        <f t="shared" ca="1" si="67"/>
        <v>62.563891311335446</v>
      </c>
      <c r="AO58" s="821">
        <f ca="1">AO53*$C58</f>
        <v>67.085841170329971</v>
      </c>
      <c r="AP58" s="821">
        <f ca="1">AP53*$C58</f>
        <v>71.642913412435277</v>
      </c>
      <c r="AQ58" s="821">
        <f ca="1">AQ53*$C58</f>
        <v>72.626167647959392</v>
      </c>
      <c r="AR58" s="821">
        <f ca="1">AR53*$C58</f>
        <v>73.617058905792945</v>
      </c>
      <c r="AS58" s="821">
        <f t="shared" ref="AS58:AZ58" ca="1" si="68">AS53*$C58</f>
        <v>78.224859691698597</v>
      </c>
      <c r="AT58" s="821">
        <f t="shared" ca="1" si="68"/>
        <v>82.868449672431055</v>
      </c>
      <c r="AU58" s="821">
        <f t="shared" ca="1" si="68"/>
        <v>83.938893637483758</v>
      </c>
      <c r="AV58" s="821">
        <f t="shared" ca="1" si="68"/>
        <v>85.017651835159896</v>
      </c>
      <c r="AW58" s="821">
        <f t="shared" ca="1" si="68"/>
        <v>0</v>
      </c>
      <c r="AX58" s="821">
        <f t="shared" ca="1" si="68"/>
        <v>0</v>
      </c>
      <c r="AY58" s="821">
        <f t="shared" ca="1" si="68"/>
        <v>0</v>
      </c>
      <c r="AZ58" s="821">
        <f t="shared" ca="1" si="68"/>
        <v>0</v>
      </c>
      <c r="BA58" s="822">
        <f ca="1">SUM(E58:AZ58)</f>
        <v>794.44884222665303</v>
      </c>
      <c r="BB58" s="34">
        <f t="shared" si="3"/>
        <v>52</v>
      </c>
    </row>
    <row r="59" spans="1:54">
      <c r="A59" s="27" t="s">
        <v>103</v>
      </c>
      <c r="C59" s="43"/>
      <c r="D59" s="3"/>
      <c r="E59" s="224">
        <f t="shared" ref="E59:AN59" ca="1" si="69">SUM(E57:E58)</f>
        <v>0</v>
      </c>
      <c r="F59" s="224">
        <f t="shared" ca="1" si="69"/>
        <v>0</v>
      </c>
      <c r="G59" s="224">
        <f t="shared" ca="1" si="69"/>
        <v>0</v>
      </c>
      <c r="H59" s="224">
        <f t="shared" ca="1" si="69"/>
        <v>0</v>
      </c>
      <c r="I59" s="224">
        <f t="shared" ca="1" si="69"/>
        <v>0</v>
      </c>
      <c r="J59" s="224">
        <f t="shared" ca="1" si="69"/>
        <v>0</v>
      </c>
      <c r="K59" s="224">
        <f t="shared" ca="1" si="69"/>
        <v>0</v>
      </c>
      <c r="L59" s="224">
        <f t="shared" ca="1" si="69"/>
        <v>0</v>
      </c>
      <c r="M59" s="224">
        <f t="shared" ca="1" si="69"/>
        <v>0</v>
      </c>
      <c r="N59" s="224">
        <f t="shared" ca="1" si="69"/>
        <v>0</v>
      </c>
      <c r="O59" s="224">
        <f t="shared" ca="1" si="69"/>
        <v>1.1009018948201654</v>
      </c>
      <c r="P59" s="224">
        <f t="shared" ca="1" si="69"/>
        <v>6.3787209339070108</v>
      </c>
      <c r="Q59" s="224">
        <f t="shared" ca="1" si="69"/>
        <v>16.929257492205828</v>
      </c>
      <c r="R59" s="224">
        <f t="shared" ca="1" si="69"/>
        <v>24.043966362053578</v>
      </c>
      <c r="S59" s="224">
        <f t="shared" ca="1" si="69"/>
        <v>24.85795304086291</v>
      </c>
      <c r="T59" s="224">
        <f t="shared" ca="1" si="69"/>
        <v>25.850965891843487</v>
      </c>
      <c r="U59" s="224">
        <f t="shared" ca="1" si="69"/>
        <v>38.612177212553163</v>
      </c>
      <c r="V59" s="224">
        <f t="shared" ca="1" si="69"/>
        <v>50.601664884409168</v>
      </c>
      <c r="W59" s="224">
        <f t="shared" ca="1" si="69"/>
        <v>58.959019819181343</v>
      </c>
      <c r="X59" s="224">
        <f t="shared" ca="1" si="69"/>
        <v>68.477985592412807</v>
      </c>
      <c r="Y59" s="224">
        <f t="shared" ca="1" si="69"/>
        <v>69.993247199446444</v>
      </c>
      <c r="Z59" s="224">
        <f t="shared" ca="1" si="69"/>
        <v>71.202193419175543</v>
      </c>
      <c r="AA59" s="224">
        <f t="shared" ca="1" si="69"/>
        <v>73.255219233546796</v>
      </c>
      <c r="AB59" s="224">
        <f t="shared" ca="1" si="69"/>
        <v>74.891127402202969</v>
      </c>
      <c r="AC59" s="224">
        <f t="shared" ca="1" si="69"/>
        <v>75.517119792679821</v>
      </c>
      <c r="AD59" s="224">
        <f t="shared" ca="1" si="69"/>
        <v>76.312111789753715</v>
      </c>
      <c r="AE59" s="224">
        <f t="shared" ca="1" si="69"/>
        <v>77.255081958851662</v>
      </c>
      <c r="AF59" s="224">
        <f t="shared" ca="1" si="69"/>
        <v>76.883206591543782</v>
      </c>
      <c r="AG59" s="224">
        <f t="shared" ca="1" si="69"/>
        <v>82.535165665040623</v>
      </c>
      <c r="AH59" s="224">
        <f t="shared" ca="1" si="69"/>
        <v>89.479466897910399</v>
      </c>
      <c r="AI59" s="224">
        <f t="shared" ca="1" si="69"/>
        <v>90.949911079208832</v>
      </c>
      <c r="AJ59" s="224">
        <f t="shared" ca="1" si="69"/>
        <v>94.062280979077201</v>
      </c>
      <c r="AK59" s="224">
        <f t="shared" ca="1" si="69"/>
        <v>105.60066086952604</v>
      </c>
      <c r="AL59" s="224">
        <f t="shared" ca="1" si="69"/>
        <v>55.204925634061574</v>
      </c>
      <c r="AM59" s="224">
        <f t="shared" ca="1" si="69"/>
        <v>61.658189307965173</v>
      </c>
      <c r="AN59" s="224">
        <f t="shared" ca="1" si="69"/>
        <v>62.563891311335446</v>
      </c>
      <c r="AO59" s="224">
        <f ca="1">SUM(AO57:AO58)</f>
        <v>67.085841170329971</v>
      </c>
      <c r="AP59" s="224">
        <f ca="1">SUM(AP57:AP58)</f>
        <v>71.642913412435277</v>
      </c>
      <c r="AQ59" s="224">
        <f ca="1">SUM(AQ57:AQ58)</f>
        <v>72.626167647959392</v>
      </c>
      <c r="AR59" s="224">
        <f ca="1">SUM(AR57:AR58)</f>
        <v>73.617058905792945</v>
      </c>
      <c r="AS59" s="224">
        <f t="shared" ref="AS59:AZ59" ca="1" si="70">SUM(AS57:AS58)</f>
        <v>78.224859691698597</v>
      </c>
      <c r="AT59" s="224">
        <f t="shared" ca="1" si="70"/>
        <v>82.868449672431055</v>
      </c>
      <c r="AU59" s="224">
        <f t="shared" ca="1" si="70"/>
        <v>83.938893637483758</v>
      </c>
      <c r="AV59" s="224">
        <f t="shared" ca="1" si="70"/>
        <v>85.017651835159896</v>
      </c>
      <c r="AW59" s="224">
        <f t="shared" ca="1" si="70"/>
        <v>0</v>
      </c>
      <c r="AX59" s="224">
        <f t="shared" ca="1" si="70"/>
        <v>0</v>
      </c>
      <c r="AY59" s="224">
        <f t="shared" ca="1" si="70"/>
        <v>0</v>
      </c>
      <c r="AZ59" s="224">
        <f t="shared" ca="1" si="70"/>
        <v>0</v>
      </c>
      <c r="BA59" s="437">
        <f ca="1">SUM(E59:AZ59)</f>
        <v>2168.1982482288668</v>
      </c>
      <c r="BB59" s="34">
        <f t="shared" si="3"/>
        <v>53</v>
      </c>
    </row>
    <row r="60" spans="1:54">
      <c r="A60" s="345" t="s">
        <v>101</v>
      </c>
      <c r="B60" s="43"/>
      <c r="C60" s="43"/>
      <c r="D60" s="43"/>
      <c r="E60" s="256">
        <f ca="1">SUM($E59:E59)</f>
        <v>0</v>
      </c>
      <c r="F60" s="256">
        <f ca="1">SUM($E59:F59)</f>
        <v>0</v>
      </c>
      <c r="G60" s="256">
        <f ca="1">SUM($E59:G59)</f>
        <v>0</v>
      </c>
      <c r="H60" s="256">
        <f ca="1">SUM($E59:H59)</f>
        <v>0</v>
      </c>
      <c r="I60" s="256">
        <f ca="1">SUM($E59:I59)</f>
        <v>0</v>
      </c>
      <c r="J60" s="256">
        <f ca="1">SUM($E59:J59)</f>
        <v>0</v>
      </c>
      <c r="K60" s="256">
        <f ca="1">SUM($E59:K59)</f>
        <v>0</v>
      </c>
      <c r="L60" s="256">
        <f ca="1">SUM($E59:L59)</f>
        <v>0</v>
      </c>
      <c r="M60" s="256">
        <f ca="1">SUM($E59:M59)</f>
        <v>0</v>
      </c>
      <c r="N60" s="256">
        <f ca="1">SUM($E59:N59)</f>
        <v>0</v>
      </c>
      <c r="O60" s="256">
        <f ca="1">SUM($E59:O59)</f>
        <v>1.1009018948201654</v>
      </c>
      <c r="P60" s="256">
        <f ca="1">SUM($E59:P59)</f>
        <v>7.4796228287271767</v>
      </c>
      <c r="Q60" s="256">
        <f ca="1">SUM($E59:Q59)</f>
        <v>24.408880320933005</v>
      </c>
      <c r="R60" s="256">
        <f ca="1">SUM($E59:R59)</f>
        <v>48.452846682986582</v>
      </c>
      <c r="S60" s="256">
        <f ca="1">SUM($E59:S59)</f>
        <v>73.310799723849499</v>
      </c>
      <c r="T60" s="256">
        <f ca="1">SUM($E59:T59)</f>
        <v>99.161765615692985</v>
      </c>
      <c r="U60" s="256">
        <f ca="1">SUM($E59:U59)</f>
        <v>137.77394282824616</v>
      </c>
      <c r="V60" s="256">
        <f ca="1">SUM($E59:V59)</f>
        <v>188.37560771265532</v>
      </c>
      <c r="W60" s="256">
        <f ca="1">SUM($E59:W59)</f>
        <v>247.33462753183667</v>
      </c>
      <c r="X60" s="256">
        <f ca="1">SUM($E59:X59)</f>
        <v>315.81261312424948</v>
      </c>
      <c r="Y60" s="256">
        <f ca="1">SUM($E59:Y59)</f>
        <v>385.80586032369592</v>
      </c>
      <c r="Z60" s="256">
        <f ca="1">SUM($E59:Z59)</f>
        <v>457.00805374287148</v>
      </c>
      <c r="AA60" s="256">
        <f ca="1">SUM($E59:AA59)</f>
        <v>530.26327297641831</v>
      </c>
      <c r="AB60" s="256">
        <f ca="1">SUM($E59:AB59)</f>
        <v>605.15440037862129</v>
      </c>
      <c r="AC60" s="256">
        <f ca="1">SUM($E59:AC59)</f>
        <v>680.67152017130115</v>
      </c>
      <c r="AD60" s="256">
        <f ca="1">SUM($E59:AD59)</f>
        <v>756.98363196105493</v>
      </c>
      <c r="AE60" s="256">
        <f ca="1">SUM($E59:AE59)</f>
        <v>834.23871391990656</v>
      </c>
      <c r="AF60" s="256">
        <f ca="1">SUM($E59:AF59)</f>
        <v>911.1219205114503</v>
      </c>
      <c r="AG60" s="256">
        <f ca="1">SUM($E59:AG59)</f>
        <v>993.65708617649091</v>
      </c>
      <c r="AH60" s="256">
        <f ca="1">SUM($E59:AH59)</f>
        <v>1083.1365530744013</v>
      </c>
      <c r="AI60" s="256">
        <f ca="1">SUM($E59:AI59)</f>
        <v>1174.08646415361</v>
      </c>
      <c r="AJ60" s="256">
        <f ca="1">SUM($E59:AJ59)</f>
        <v>1268.1487451326873</v>
      </c>
      <c r="AK60" s="256">
        <f ca="1">SUM($E59:AK59)</f>
        <v>1373.7494060022134</v>
      </c>
      <c r="AL60" s="256">
        <f ca="1">SUM($E59:AL59)</f>
        <v>1428.9543316362749</v>
      </c>
      <c r="AM60" s="256">
        <f ca="1">SUM($E59:AM59)</f>
        <v>1490.61252094424</v>
      </c>
      <c r="AN60" s="256">
        <f ca="1">SUM($E59:AN59)</f>
        <v>1553.1764122555755</v>
      </c>
      <c r="AO60" s="256">
        <f ca="1">SUM($E59:AO59)</f>
        <v>1620.2622534259056</v>
      </c>
      <c r="AP60" s="256">
        <f ca="1">SUM($E59:AP59)</f>
        <v>1691.9051668383408</v>
      </c>
      <c r="AQ60" s="256">
        <f ca="1">SUM($E59:AQ59)</f>
        <v>1764.5313344863002</v>
      </c>
      <c r="AR60" s="256">
        <f ca="1">SUM($E59:AR59)</f>
        <v>1838.1483933920931</v>
      </c>
      <c r="AS60" s="256">
        <f ca="1">SUM($E59:AS59)</f>
        <v>1916.3732530837917</v>
      </c>
      <c r="AT60" s="256">
        <f ca="1">SUM($E59:AT59)</f>
        <v>1999.2417027562228</v>
      </c>
      <c r="AU60" s="256">
        <f ca="1">SUM($E59:AU59)</f>
        <v>2083.1805963937068</v>
      </c>
      <c r="AV60" s="256">
        <f ca="1">SUM($E59:AV59)</f>
        <v>2168.1982482288668</v>
      </c>
      <c r="AW60" s="256">
        <f ca="1">SUM($E59:AW59)</f>
        <v>2168.1982482288668</v>
      </c>
      <c r="AX60" s="256">
        <f ca="1">SUM($E59:AX59)</f>
        <v>2168.1982482288668</v>
      </c>
      <c r="AY60" s="256">
        <f ca="1">SUM($E59:AY59)</f>
        <v>2168.1982482288668</v>
      </c>
      <c r="AZ60" s="256">
        <f ca="1">SUM($E59:AZ59)</f>
        <v>2168.1982482288668</v>
      </c>
      <c r="BA60" s="534"/>
      <c r="BB60" s="34">
        <f t="shared" si="3"/>
        <v>54</v>
      </c>
    </row>
    <row r="61" spans="1:54">
      <c r="A61" s="20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430"/>
      <c r="BB61" s="34">
        <f t="shared" si="3"/>
        <v>55</v>
      </c>
    </row>
    <row r="62" spans="1:54">
      <c r="A62" s="345" t="s">
        <v>84</v>
      </c>
      <c r="B62" s="43"/>
      <c r="C62" s="43"/>
      <c r="D62" s="43"/>
      <c r="E62" s="256">
        <f ca="1">IF(E$7&lt;Startops1,0,IF(E$7&lt;Startops2,E54*Assm!$S$5,IF(E$7&lt;Startops3,E54*SUM(Assm!$S$5:$T$5),0)))</f>
        <v>0</v>
      </c>
      <c r="F62" s="256">
        <f ca="1">IF(F$7&lt;Startops1,0,IF(F$7&lt;Startops2,F54*Assm!$S$5,IF(F$7&lt;Startops3,F54*SUM(Assm!$S$5:$T$5),0)))</f>
        <v>0</v>
      </c>
      <c r="G62" s="256">
        <f ca="1">IF(G$7&lt;Startops1,0,IF(G$7&lt;Startops2,G54*Assm!$S$5,IF(G$7&lt;Startops3,G54*SUM(Assm!$S$5:$T$5),0)))</f>
        <v>0</v>
      </c>
      <c r="H62" s="256">
        <f ca="1">IF(H$7&lt;Startops1,0,IF(H$7&lt;Startops2,H54*Assm!$S$5,IF(H$7&lt;Startops3,H54*SUM(Assm!$S$5:$T$5),0)))</f>
        <v>0</v>
      </c>
      <c r="I62" s="256">
        <f ca="1">IF(I$7&lt;Startops1,0,IF(I$7&lt;Startops2,I54*Assm!$S$5,IF(I$7&lt;Startops3,I54*SUM(Assm!$S$5:$T$5),0)))</f>
        <v>0</v>
      </c>
      <c r="J62" s="256">
        <f ca="1">IF(J$7&lt;Startops1,0,IF(J$7&lt;Startops2,J54*Assm!$S$5,IF(J$7&lt;Startops3,J54*SUM(Assm!$S$5:$T$5),0)))</f>
        <v>0</v>
      </c>
      <c r="K62" s="256">
        <f ca="1">IF(K$7&lt;Startops1,0,IF(K$7&lt;Startops2,K54*Assm!$S$5,IF(K$7&lt;Startops3,K54*SUM(Assm!$S$5:$T$5),0)))</f>
        <v>0</v>
      </c>
      <c r="L62" s="256">
        <f ca="1">IF(L$7&lt;Startops1,0,IF(L$7&lt;Startops2,L54*Assm!$S$5,IF(L$7&lt;Startops3,L54*SUM(Assm!$S$5:$T$5),0)))</f>
        <v>0</v>
      </c>
      <c r="M62" s="256">
        <f ca="1">IF(M$7&lt;Startops1,0,IF(M$7&lt;Startops2,M54*Assm!$S$5,IF(M$7&lt;Startops3,M54*SUM(Assm!$S$5:$T$5),0)))</f>
        <v>0</v>
      </c>
      <c r="N62" s="256">
        <f ca="1">IF(N$7&lt;Startops1,0,IF(N$7&lt;Startops2,N54*Assm!$S$5,IF(N$7&lt;Startops3,N54*SUM(Assm!$S$5:$T$5),0)))</f>
        <v>0</v>
      </c>
      <c r="O62" s="256">
        <f ca="1">IF(O$7&lt;Startops1,0,IF(O$7&lt;Startops2,O54*Assm!$S$5,IF(O$7&lt;Startops3,O54*SUM(Assm!$S$5:$T$5),0)))</f>
        <v>0</v>
      </c>
      <c r="P62" s="256">
        <f ca="1">IF(P$7&lt;Startops1,0,IF(P$7&lt;Startops2,P54*Assm!$S$5,IF(P$7&lt;Startops3,P54*SUM(Assm!$S$5:$T$5),0)))</f>
        <v>0</v>
      </c>
      <c r="Q62" s="256">
        <f ca="1">IF(Q$7&lt;Startops1,0,IF(Q$7&lt;Startops2,Q54*Assm!$S$5,IF(Q$7&lt;Startops3,Q54*SUM(Assm!$S$5:$T$5),0)))</f>
        <v>0</v>
      </c>
      <c r="R62" s="256">
        <f ca="1">IF(R$7&lt;Startops1,0,IF(R$7&lt;Startops2,R54*Assm!$S$5,IF(R$7&lt;Startops3,R54*SUM(Assm!$S$5:$T$5),0)))</f>
        <v>0</v>
      </c>
      <c r="S62" s="256">
        <f ca="1">IF(S$7&lt;Startops1,0,IF(S$7&lt;Startops2,S54*Assm!$S$5,IF(S$7&lt;Startops3,S54*SUM(Assm!$S$5:$T$5),0)))</f>
        <v>0</v>
      </c>
      <c r="T62" s="256">
        <f ca="1">IF(T$7&lt;Startops1,0,IF(T$7&lt;Startops2,T54*Assm!$S$5,IF(T$7&lt;Startops3,T54*SUM(Assm!$S$5:$T$5),0)))</f>
        <v>0</v>
      </c>
      <c r="U62" s="256">
        <f ca="1">IF(U$7&lt;Startops1,0,IF(U$7&lt;Startops2,U54*Assm!$S$5,IF(U$7&lt;Startops3,U54*SUM(Assm!$S$5:$T$5),0)))</f>
        <v>65.640701261340382</v>
      </c>
      <c r="V62" s="256">
        <f ca="1">IF(V$7&lt;Startops1,0,IF(V$7&lt;Startops2,V54*Assm!$S$5,IF(V$7&lt;Startops3,V54*SUM(Assm!$S$5:$T$5),0)))</f>
        <v>86.022830303495581</v>
      </c>
      <c r="W62" s="256">
        <f ca="1">IF(W$7&lt;Startops1,0,IF(W$7&lt;Startops2,W54*Assm!$S$5,IF(W$7&lt;Startops3,W54*SUM(Assm!$S$5:$T$5),0)))</f>
        <v>100.23033369260828</v>
      </c>
      <c r="X62" s="256">
        <f ca="1">IF(X$7&lt;Startops1,0,IF(X$7&lt;Startops2,X54*Assm!$S$5,IF(X$7&lt;Startops3,X54*SUM(Assm!$S$5:$T$5),0)))</f>
        <v>116.41257550710176</v>
      </c>
      <c r="Y62" s="256">
        <f ca="1">IF(Y$7&lt;Startops1,0,IF(Y$7&lt;Startops2,Y54*Assm!$S$5,IF(Y$7&lt;Startops3,Y54*SUM(Assm!$S$5:$T$5),0)))</f>
        <v>118.98852023905894</v>
      </c>
      <c r="Z62" s="256">
        <f ca="1">IF(Z$7&lt;Startops1,0,IF(Z$7&lt;Startops2,Z54*Assm!$S$5,IF(Z$7&lt;Startops3,Z54*SUM(Assm!$S$5:$T$5),0)))</f>
        <v>121.04372881259842</v>
      </c>
      <c r="AA62" s="256">
        <f ca="1">IF(AA$7&lt;Startops1,0,IF(AA$7&lt;Startops2,AA54*Assm!$S$5,IF(AA$7&lt;Startops3,AA54*SUM(Assm!$S$5:$T$5),0)))</f>
        <v>124.53387269702952</v>
      </c>
      <c r="AB62" s="256">
        <f ca="1">IF(AB$7&lt;Startops1,0,IF(AB$7&lt;Startops2,AB54*Assm!$S$5,IF(AB$7&lt;Startops3,AB54*SUM(Assm!$S$5:$T$5),0)))</f>
        <v>127.31491658374503</v>
      </c>
      <c r="AC62" s="256">
        <f ca="1">IF(AC$7&lt;Startops1,0,IF(AC$7&lt;Startops2,AC54*Assm!$S$5,IF(AC$7&lt;Startops3,AC54*SUM(Assm!$S$5:$T$5),0)))</f>
        <v>128.37910364755567</v>
      </c>
      <c r="AD62" s="256">
        <f ca="1">IF(AD$7&lt;Startops1,0,IF(AD$7&lt;Startops2,AD54*Assm!$S$5,IF(AD$7&lt;Startops3,AD54*SUM(Assm!$S$5:$T$5),0)))</f>
        <v>129.7305900425813</v>
      </c>
      <c r="AE62" s="256">
        <f ca="1">IF(AE$7&lt;Startops1,0,IF(AE$7&lt;Startops2,AE54*Assm!$S$5,IF(AE$7&lt;Startops3,AE54*SUM(Assm!$S$5:$T$5),0)))</f>
        <v>131.33363933004782</v>
      </c>
      <c r="AF62" s="256">
        <f ca="1">IF(AF$7&lt;Startops1,0,IF(AF$7&lt;Startops2,AF54*Assm!$S$5,IF(AF$7&lt;Startops3,AF54*SUM(Assm!$S$5:$T$5),0)))</f>
        <v>130.70145120562441</v>
      </c>
      <c r="AG62" s="256">
        <f ca="1">IF(AG$7&lt;Startops1,0,IF(AG$7&lt;Startops2,AG54*Assm!$S$5,IF(AG$7&lt;Startops3,AG54*SUM(Assm!$S$5:$T$5),0)))</f>
        <v>140.30978163056903</v>
      </c>
      <c r="AH62" s="256">
        <f ca="1">IF(AH$7&lt;Startops1,0,IF(AH$7&lt;Startops2,AH54*Assm!$S$5,IF(AH$7&lt;Startops3,AH54*SUM(Assm!$S$5:$T$5),0)))</f>
        <v>152.11509372644767</v>
      </c>
      <c r="AI62" s="256">
        <f ca="1">IF(AI$7&lt;Startops1,0,IF(AI$7&lt;Startops2,AI54*Assm!$S$5,IF(AI$7&lt;Startops3,AI54*SUM(Assm!$S$5:$T$5),0)))</f>
        <v>154.61484883465499</v>
      </c>
      <c r="AJ62" s="256">
        <f ca="1">IF(AJ$7&lt;Startops1,0,IF(AJ$7&lt;Startops2,AJ54*Assm!$S$5,IF(AJ$7&lt;Startops3,AJ54*SUM(Assm!$S$5:$T$5),0)))</f>
        <v>159.90587766443124</v>
      </c>
      <c r="AK62" s="256">
        <f ca="1">IF(AK$7&lt;Startops1,0,IF(AK$7&lt;Startops2,AK54*Assm!$S$5,IF(AK$7&lt;Startops3,AK54*SUM(Assm!$S$5:$T$5),0)))</f>
        <v>179.52112347819426</v>
      </c>
      <c r="AL62" s="256">
        <f ca="1">IF(AL$7&lt;Startops1,0,IF(AL$7&lt;Startops2,AL54*Assm!$S$5,IF(AL$7&lt;Startops3,AL54*SUM(Assm!$S$5:$T$5),0)))</f>
        <v>332.98148798647145</v>
      </c>
      <c r="AM62" s="256">
        <f ca="1">IF(AM$7&lt;Startops1,0,IF(AM$7&lt;Startops2,AM54*Assm!$S$5,IF(AM$7&lt;Startops3,AM54*SUM(Assm!$S$5:$T$5),0)))</f>
        <v>371.9058650384286</v>
      </c>
      <c r="AN62" s="256">
        <f ca="1">IF(AN$7&lt;Startops1,0,IF(AN$7&lt;Startops2,AN54*Assm!$S$5,IF(AN$7&lt;Startops3,AN54*SUM(Assm!$S$5:$T$5),0)))</f>
        <v>377.36881960798399</v>
      </c>
      <c r="AO62" s="256">
        <f ca="1">IF(AO$7&lt;Startops1,0,IF(AO$7&lt;Startops2,AO54*Assm!$S$5,IF(AO$7&lt;Startops3,AO54*SUM(Assm!$S$5:$T$5),0)))</f>
        <v>404.644023321313</v>
      </c>
      <c r="AP62" s="256">
        <f ca="1">IF(AP$7&lt;Startops1,0,IF(AP$7&lt;Startops2,AP54*Assm!$S$5,IF(AP$7&lt;Startops3,AP54*SUM(Assm!$S$5:$T$5),0)))</f>
        <v>432.13107594586762</v>
      </c>
      <c r="AQ62" s="256">
        <f ca="1">IF(AQ$7&lt;Startops1,0,IF(AQ$7&lt;Startops2,AQ54*Assm!$S$5,IF(AQ$7&lt;Startops3,AQ54*SUM(Assm!$S$5:$T$5),0)))</f>
        <v>438.06180503667554</v>
      </c>
      <c r="AR62" s="256">
        <f ca="1">IF(AR$7&lt;Startops1,0,IF(AR$7&lt;Startops2,AR54*Assm!$S$5,IF(AR$7&lt;Startops3,AR54*SUM(Assm!$S$5:$T$5),0)))</f>
        <v>888.07719724610968</v>
      </c>
      <c r="AS62" s="256">
        <f ca="1">IF(AS$7&lt;Startops1,0,IF(AS$7&lt;Startops2,AS54*Assm!$S$5,IF(AS$7&lt;Startops3,AS54*SUM(Assm!$S$5:$T$5),0)))</f>
        <v>943.6632647722804</v>
      </c>
      <c r="AT62" s="256">
        <f ca="1">IF(AT$7&lt;Startops1,0,IF(AT$7&lt;Startops2,AT54*Assm!$S$5,IF(AT$7&lt;Startops3,AT54*SUM(Assm!$S$5:$T$5),0)))</f>
        <v>999.68107418417628</v>
      </c>
      <c r="AU62" s="256">
        <f ca="1">IF(AU$7&lt;Startops1,0,IF(AU$7&lt;Startops2,AU54*Assm!$S$5,IF(AU$7&lt;Startops3,AU54*SUM(Assm!$S$5:$T$5),0)))</f>
        <v>1012.5943430708012</v>
      </c>
      <c r="AV62" s="256">
        <f ca="1">IF(AV$7&lt;Startops1,0,IF(AV$7&lt;Startops2,AV54*Assm!$S$5,IF(AV$7&lt;Startops3,AV54*SUM(Assm!$S$5:$T$5),0)))</f>
        <v>1025.6079104550192</v>
      </c>
      <c r="AW62" s="256">
        <f ca="1">IF(AW$7&lt;Startops1,0,IF(AW$7&lt;Startops2,AW54*Assm!$S$5,IF(AW$7&lt;Startops3,AW54*SUM(Assm!$S$5:$T$5),0)))</f>
        <v>0</v>
      </c>
      <c r="AX62" s="256">
        <f ca="1">IF(AX$7&lt;Startops1,0,IF(AX$7&lt;Startops2,AX54*Assm!$S$5,IF(AX$7&lt;Startops3,AX54*SUM(Assm!$S$5:$T$5),0)))</f>
        <v>0</v>
      </c>
      <c r="AY62" s="256">
        <f ca="1">IF(AY$7&lt;Startops1,0,IF(AY$7&lt;Startops2,AY54*Assm!$S$5,IF(AY$7&lt;Startops3,AY54*SUM(Assm!$S$5:$T$5),0)))</f>
        <v>0</v>
      </c>
      <c r="AZ62" s="256">
        <f ca="1">IF(AZ$7&lt;Startops1,0,IF(AZ$7&lt;Startops2,AZ54*Assm!$S$5,IF(AZ$7&lt;Startops3,AZ54*SUM(Assm!$S$5:$T$5),0)))</f>
        <v>0</v>
      </c>
      <c r="BA62" s="534">
        <f ca="1">SUM(E62:AZ62)</f>
        <v>9393.5158553222118</v>
      </c>
      <c r="BB62" s="34">
        <f t="shared" si="3"/>
        <v>56</v>
      </c>
    </row>
    <row r="63" spans="1:54">
      <c r="A63" s="345" t="s">
        <v>85</v>
      </c>
      <c r="B63" s="43"/>
      <c r="C63" s="43"/>
      <c r="D63" s="43"/>
      <c r="E63" s="256">
        <f ca="1">SUM($E62:E62)</f>
        <v>0</v>
      </c>
      <c r="F63" s="256">
        <f ca="1">SUM($E62:F62)</f>
        <v>0</v>
      </c>
      <c r="G63" s="256">
        <f ca="1">SUM($E62:G62)</f>
        <v>0</v>
      </c>
      <c r="H63" s="256">
        <f ca="1">SUM($E62:H62)</f>
        <v>0</v>
      </c>
      <c r="I63" s="256">
        <f ca="1">SUM($E62:I62)</f>
        <v>0</v>
      </c>
      <c r="J63" s="256">
        <f ca="1">SUM($E62:J62)</f>
        <v>0</v>
      </c>
      <c r="K63" s="256">
        <f ca="1">SUM($E62:K62)</f>
        <v>0</v>
      </c>
      <c r="L63" s="256">
        <f ca="1">SUM($E62:L62)</f>
        <v>0</v>
      </c>
      <c r="M63" s="256">
        <f ca="1">SUM($E62:M62)</f>
        <v>0</v>
      </c>
      <c r="N63" s="256">
        <f ca="1">SUM($E62:N62)</f>
        <v>0</v>
      </c>
      <c r="O63" s="256">
        <f ca="1">SUM($E62:O62)</f>
        <v>0</v>
      </c>
      <c r="P63" s="256">
        <f ca="1">SUM($E62:P62)</f>
        <v>0</v>
      </c>
      <c r="Q63" s="256">
        <f ca="1">SUM($E62:Q62)</f>
        <v>0</v>
      </c>
      <c r="R63" s="256">
        <f ca="1">SUM($E62:R62)</f>
        <v>0</v>
      </c>
      <c r="S63" s="256">
        <f ca="1">SUM($E62:S62)</f>
        <v>0</v>
      </c>
      <c r="T63" s="256">
        <f ca="1">SUM($E62:T62)</f>
        <v>0</v>
      </c>
      <c r="U63" s="256">
        <f ca="1">SUM($E62:U62)</f>
        <v>65.640701261340382</v>
      </c>
      <c r="V63" s="256">
        <f ca="1">SUM($E62:V62)</f>
        <v>151.66353156483598</v>
      </c>
      <c r="W63" s="256">
        <f ca="1">SUM($E62:W62)</f>
        <v>251.89386525744425</v>
      </c>
      <c r="X63" s="256">
        <f ca="1">SUM($E62:X62)</f>
        <v>368.30644076454598</v>
      </c>
      <c r="Y63" s="256">
        <f ca="1">SUM($E62:Y62)</f>
        <v>487.29496100360495</v>
      </c>
      <c r="Z63" s="256">
        <f ca="1">SUM($E62:Z62)</f>
        <v>608.33868981620333</v>
      </c>
      <c r="AA63" s="256">
        <f ca="1">SUM($E62:AA62)</f>
        <v>732.87256251323288</v>
      </c>
      <c r="AB63" s="256">
        <f ca="1">SUM($E62:AB62)</f>
        <v>860.18747909697788</v>
      </c>
      <c r="AC63" s="256">
        <f ca="1">SUM($E62:AC62)</f>
        <v>988.56658274453355</v>
      </c>
      <c r="AD63" s="256">
        <f ca="1">SUM($E62:AD62)</f>
        <v>1118.297172787115</v>
      </c>
      <c r="AE63" s="256">
        <f ca="1">SUM($E62:AE62)</f>
        <v>1249.6308121171628</v>
      </c>
      <c r="AF63" s="256">
        <f ca="1">SUM($E62:AF62)</f>
        <v>1380.3322633227872</v>
      </c>
      <c r="AG63" s="256">
        <f ca="1">SUM($E62:AG62)</f>
        <v>1520.6420449533562</v>
      </c>
      <c r="AH63" s="256">
        <f ca="1">SUM($E62:AH62)</f>
        <v>1672.7571386798038</v>
      </c>
      <c r="AI63" s="256">
        <f ca="1">SUM($E62:AI62)</f>
        <v>1827.3719875144589</v>
      </c>
      <c r="AJ63" s="256">
        <f ca="1">SUM($E62:AJ62)</f>
        <v>1987.2778651788901</v>
      </c>
      <c r="AK63" s="256">
        <f ca="1">SUM($E62:AK62)</f>
        <v>2166.7989886570845</v>
      </c>
      <c r="AL63" s="256">
        <f ca="1">SUM($E62:AL62)</f>
        <v>2499.7804766435561</v>
      </c>
      <c r="AM63" s="256">
        <f ca="1">SUM($E62:AM62)</f>
        <v>2871.6863416819847</v>
      </c>
      <c r="AN63" s="256">
        <f ca="1">SUM($E62:AN62)</f>
        <v>3249.0551612899685</v>
      </c>
      <c r="AO63" s="256">
        <f ca="1">SUM($E62:AO62)</f>
        <v>3653.6991846112815</v>
      </c>
      <c r="AP63" s="256">
        <f ca="1">SUM($E62:AP62)</f>
        <v>4085.8302605571489</v>
      </c>
      <c r="AQ63" s="256">
        <f ca="1">SUM($E62:AQ62)</f>
        <v>4523.8920655938246</v>
      </c>
      <c r="AR63" s="256">
        <f ca="1">SUM($E62:AR62)</f>
        <v>5411.9692628399343</v>
      </c>
      <c r="AS63" s="256">
        <f ca="1">SUM($E62:AS62)</f>
        <v>6355.6325276122152</v>
      </c>
      <c r="AT63" s="256">
        <f ca="1">SUM($E62:AT62)</f>
        <v>7355.3136017963916</v>
      </c>
      <c r="AU63" s="256">
        <f ca="1">SUM($E62:AU62)</f>
        <v>8367.9079448671928</v>
      </c>
      <c r="AV63" s="256">
        <f ca="1">SUM($E62:AV62)</f>
        <v>9393.5158553222118</v>
      </c>
      <c r="AW63" s="256">
        <f ca="1">SUM($E62:AW62)</f>
        <v>9393.5158553222118</v>
      </c>
      <c r="AX63" s="256">
        <f ca="1">SUM($E62:AX62)</f>
        <v>9393.5158553222118</v>
      </c>
      <c r="AY63" s="256">
        <f ca="1">SUM($E62:AY62)</f>
        <v>9393.5158553222118</v>
      </c>
      <c r="AZ63" s="256">
        <f ca="1">SUM($E62:AZ62)</f>
        <v>9393.5158553222118</v>
      </c>
      <c r="BA63" s="534"/>
      <c r="BB63" s="34">
        <f t="shared" si="3"/>
        <v>57</v>
      </c>
    </row>
    <row r="64" spans="1:54">
      <c r="A64" s="20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430"/>
      <c r="BB64" s="34">
        <f t="shared" si="3"/>
        <v>58</v>
      </c>
    </row>
    <row r="65" spans="1:54">
      <c r="A65" s="128" t="s">
        <v>185</v>
      </c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430"/>
      <c r="BB65" s="34">
        <f t="shared" si="3"/>
        <v>59</v>
      </c>
    </row>
    <row r="66" spans="1:54">
      <c r="A66" s="20" t="s">
        <v>516</v>
      </c>
      <c r="E66" s="766">
        <v>0</v>
      </c>
      <c r="F66" s="37">
        <f t="shared" ref="F66:AN66" ca="1" si="71">E72</f>
        <v>0</v>
      </c>
      <c r="G66" s="37">
        <f t="shared" ca="1" si="71"/>
        <v>0</v>
      </c>
      <c r="H66" s="37">
        <f t="shared" ca="1" si="71"/>
        <v>0</v>
      </c>
      <c r="I66" s="37">
        <f t="shared" ca="1" si="71"/>
        <v>0</v>
      </c>
      <c r="J66" s="37">
        <f t="shared" ca="1" si="71"/>
        <v>0</v>
      </c>
      <c r="K66" s="37">
        <f t="shared" ca="1" si="71"/>
        <v>0</v>
      </c>
      <c r="L66" s="37">
        <f t="shared" ca="1" si="71"/>
        <v>0</v>
      </c>
      <c r="M66" s="37">
        <f t="shared" ca="1" si="71"/>
        <v>0</v>
      </c>
      <c r="N66" s="37">
        <f t="shared" ca="1" si="71"/>
        <v>0</v>
      </c>
      <c r="O66" s="37">
        <f t="shared" ca="1" si="71"/>
        <v>0</v>
      </c>
      <c r="P66" s="37">
        <f t="shared" ca="1" si="71"/>
        <v>0</v>
      </c>
      <c r="Q66" s="37">
        <f t="shared" ca="1" si="71"/>
        <v>0</v>
      </c>
      <c r="R66" s="37">
        <f t="shared" ca="1" si="71"/>
        <v>0</v>
      </c>
      <c r="S66" s="37">
        <f t="shared" ca="1" si="71"/>
        <v>0</v>
      </c>
      <c r="T66" s="37">
        <f t="shared" ca="1" si="71"/>
        <v>0</v>
      </c>
      <c r="U66" s="37">
        <f t="shared" ca="1" si="71"/>
        <v>0</v>
      </c>
      <c r="V66" s="37">
        <f t="shared" ca="1" si="71"/>
        <v>0</v>
      </c>
      <c r="W66" s="37">
        <f t="shared" ca="1" si="71"/>
        <v>0</v>
      </c>
      <c r="X66" s="37">
        <f t="shared" ca="1" si="71"/>
        <v>0</v>
      </c>
      <c r="Y66" s="37">
        <f t="shared" ca="1" si="71"/>
        <v>0</v>
      </c>
      <c r="Z66" s="37">
        <f t="shared" ca="1" si="71"/>
        <v>0</v>
      </c>
      <c r="AA66" s="37">
        <f t="shared" ca="1" si="71"/>
        <v>0</v>
      </c>
      <c r="AB66" s="37">
        <f t="shared" ca="1" si="71"/>
        <v>0</v>
      </c>
      <c r="AC66" s="37">
        <f t="shared" ca="1" si="71"/>
        <v>0</v>
      </c>
      <c r="AD66" s="37">
        <f t="shared" ca="1" si="71"/>
        <v>0</v>
      </c>
      <c r="AE66" s="37">
        <f t="shared" ca="1" si="71"/>
        <v>0</v>
      </c>
      <c r="AF66" s="37">
        <f t="shared" ca="1" si="71"/>
        <v>0</v>
      </c>
      <c r="AG66" s="37">
        <f t="shared" ca="1" si="71"/>
        <v>0</v>
      </c>
      <c r="AH66" s="37">
        <f t="shared" ca="1" si="71"/>
        <v>0</v>
      </c>
      <c r="AI66" s="37">
        <f t="shared" ca="1" si="71"/>
        <v>0</v>
      </c>
      <c r="AJ66" s="37">
        <f t="shared" ca="1" si="71"/>
        <v>0</v>
      </c>
      <c r="AK66" s="37">
        <f t="shared" ca="1" si="71"/>
        <v>0</v>
      </c>
      <c r="AL66" s="37">
        <f t="shared" ca="1" si="71"/>
        <v>0</v>
      </c>
      <c r="AM66" s="37">
        <f t="shared" ca="1" si="71"/>
        <v>0</v>
      </c>
      <c r="AN66" s="37">
        <f t="shared" ca="1" si="71"/>
        <v>0</v>
      </c>
      <c r="AO66" s="37">
        <f ca="1">AN72</f>
        <v>0</v>
      </c>
      <c r="AP66" s="37">
        <f ca="1">AO72</f>
        <v>0</v>
      </c>
      <c r="AQ66" s="37">
        <f ca="1">AP72</f>
        <v>0</v>
      </c>
      <c r="AR66" s="37">
        <f ca="1">AQ72</f>
        <v>0</v>
      </c>
      <c r="AS66" s="37">
        <f t="shared" ref="AS66:AZ66" ca="1" si="72">AR72</f>
        <v>0</v>
      </c>
      <c r="AT66" s="37">
        <f t="shared" ca="1" si="72"/>
        <v>0</v>
      </c>
      <c r="AU66" s="37">
        <f t="shared" ca="1" si="72"/>
        <v>0</v>
      </c>
      <c r="AV66" s="37">
        <f t="shared" ca="1" si="72"/>
        <v>0</v>
      </c>
      <c r="AW66" s="37">
        <f t="shared" ca="1" si="72"/>
        <v>0</v>
      </c>
      <c r="AX66" s="37">
        <f t="shared" ca="1" si="72"/>
        <v>0</v>
      </c>
      <c r="AY66" s="37">
        <f t="shared" ca="1" si="72"/>
        <v>0</v>
      </c>
      <c r="AZ66" s="37">
        <f t="shared" ca="1" si="72"/>
        <v>0</v>
      </c>
      <c r="BA66" s="435">
        <f>E66</f>
        <v>0</v>
      </c>
      <c r="BB66" s="34">
        <f t="shared" si="3"/>
        <v>60</v>
      </c>
    </row>
    <row r="67" spans="1:54">
      <c r="A67" s="20" t="s">
        <v>186</v>
      </c>
      <c r="E67" s="37">
        <f>IF(E$7=Assm!$AB$92,E43,0)*Assm!$AB$91</f>
        <v>0</v>
      </c>
      <c r="F67" s="37">
        <f ca="1">IF(F$7=Assm!$AB$92,F43,0)*Assm!$AB$91</f>
        <v>0</v>
      </c>
      <c r="G67" s="37">
        <f ca="1">IF(G$7=Assm!$AB$92,G43,0)*Assm!$AB$91</f>
        <v>0</v>
      </c>
      <c r="H67" s="37">
        <f ca="1">IF(H$7=Assm!$AB$92,H43,0)*Assm!$AB$91</f>
        <v>0</v>
      </c>
      <c r="I67" s="37">
        <f ca="1">IF(I$7=Assm!$AB$92,I43,0)*Assm!$AB$91</f>
        <v>0</v>
      </c>
      <c r="J67" s="37">
        <f ca="1">IF(J$7=Assm!$AB$92,J43,0)*Assm!$AB$91</f>
        <v>0</v>
      </c>
      <c r="K67" s="37">
        <f ca="1">IF(K$7=Assm!$AB$92,K43,0)*Assm!$AB$91</f>
        <v>0</v>
      </c>
      <c r="L67" s="37">
        <f ca="1">IF(L$7=Assm!$AB$92,L43,0)*Assm!$AB$91</f>
        <v>0</v>
      </c>
      <c r="M67" s="37">
        <f ca="1">IF(M$7=Assm!$AB$92,M43,0)*Assm!$AB$91</f>
        <v>0</v>
      </c>
      <c r="N67" s="37">
        <f ca="1">IF(N$7=Assm!$AB$92,N43,0)*Assm!$AB$91</f>
        <v>0</v>
      </c>
      <c r="O67" s="37">
        <f ca="1">IF(O$7=Assm!$AB$92,O43,0)*Assm!$AB$91</f>
        <v>0</v>
      </c>
      <c r="P67" s="37">
        <f ca="1">IF(P$7=Assm!$AB$92,P43,0)*Assm!$AB$91</f>
        <v>0</v>
      </c>
      <c r="Q67" s="37">
        <f ca="1">IF(Q$7=Assm!$AB$92,Q43,0)*Assm!$AB$91</f>
        <v>0</v>
      </c>
      <c r="R67" s="37">
        <f ca="1">IF(R$7=Assm!$AB$92,R43,0)*Assm!$AB$91</f>
        <v>0</v>
      </c>
      <c r="S67" s="37">
        <f ca="1">IF(S$7=Assm!$AB$92,S43,0)*Assm!$AB$91</f>
        <v>0</v>
      </c>
      <c r="T67" s="37">
        <f ca="1">IF(T$7=Assm!$AB$92,T43,0)*Assm!$AB$91</f>
        <v>0</v>
      </c>
      <c r="U67" s="37">
        <f ca="1">IF(U$7=Assm!$AB$92,U43,0)*Assm!$AB$91</f>
        <v>0</v>
      </c>
      <c r="V67" s="37">
        <f ca="1">IF(V$7=Assm!$AB$92,V43,0)*Assm!$AB$91</f>
        <v>0</v>
      </c>
      <c r="W67" s="37">
        <f ca="1">IF(W$7=Assm!$AB$92,W43,0)*Assm!$AB$91</f>
        <v>0</v>
      </c>
      <c r="X67" s="37">
        <f ca="1">IF(X$7=Assm!$AB$92,X43,0)*Assm!$AB$91</f>
        <v>0</v>
      </c>
      <c r="Y67" s="37">
        <f ca="1">IF(Y$7=Assm!$AB$92,Y43,0)*Assm!$AB$91</f>
        <v>0</v>
      </c>
      <c r="Z67" s="37">
        <f ca="1">IF(Z$7=Assm!$AB$92,Z43,0)*Assm!$AB$91</f>
        <v>0</v>
      </c>
      <c r="AA67" s="37">
        <f ca="1">IF(AA$7=Assm!$AB$92,AA43,0)*Assm!$AB$91</f>
        <v>0</v>
      </c>
      <c r="AB67" s="37">
        <f ca="1">IF(AB$7=Assm!$AB$92,AB43,0)*Assm!$AB$91</f>
        <v>0</v>
      </c>
      <c r="AC67" s="37">
        <f ca="1">IF(AC$7=Assm!$AB$92,AC43,0)*Assm!$AB$91</f>
        <v>0</v>
      </c>
      <c r="AD67" s="37">
        <f ca="1">IF(AD$7=Assm!$AB$92,AD43,0)*Assm!$AB$91</f>
        <v>0</v>
      </c>
      <c r="AE67" s="37">
        <f ca="1">IF(AE$7=Assm!$AB$92,AE43,0)*Assm!$AB$91</f>
        <v>0</v>
      </c>
      <c r="AF67" s="37">
        <f ca="1">IF(AF$7=Assm!$AB$92,AF43,0)*Assm!$AB$91</f>
        <v>0</v>
      </c>
      <c r="AG67" s="37">
        <f ca="1">IF(AG$7=Assm!$AB$92,AG43,0)*Assm!$AB$91</f>
        <v>0</v>
      </c>
      <c r="AH67" s="37">
        <f ca="1">IF(AH$7=Assm!$AB$92,AH43,0)*Assm!$AB$91</f>
        <v>0</v>
      </c>
      <c r="AI67" s="37">
        <f>IF(AI$7=Assm!$AB$92,Assm!$AB$95,0)*Assm!$AB$91</f>
        <v>0</v>
      </c>
      <c r="AJ67" s="37">
        <f>IF(AJ$7=Assm!$AB$92,AJ43,0)*Assm!$AB$91</f>
        <v>0</v>
      </c>
      <c r="AK67" s="37">
        <f>IF(AK$7=Assm!$AB$92,AK43,0)*Assm!$AB$91</f>
        <v>0</v>
      </c>
      <c r="AL67" s="37">
        <f>IF(AL$7=Assm!$AB$92,AL43,0)*Assm!$AB$91</f>
        <v>0</v>
      </c>
      <c r="AM67" s="37">
        <f>IF(AM$7=Assm!$AB$92,AM43,0)*Assm!$AB$91</f>
        <v>0</v>
      </c>
      <c r="AN67" s="37">
        <f>IF(AN$7=Assm!$AB$92,AN43,0)*Assm!$AB$91</f>
        <v>0</v>
      </c>
      <c r="AO67" s="37">
        <f>IF(AO$7=Assm!$AB$92,AO43,0)*Assm!$AB$91</f>
        <v>0</v>
      </c>
      <c r="AP67" s="37">
        <f>IF(AP$7=Assm!$AB$92,AP43,0)*Assm!$AB$91</f>
        <v>0</v>
      </c>
      <c r="AQ67" s="37">
        <f>IF(AQ$7=Assm!$AB$92,AQ43,0)*Assm!$AB$91</f>
        <v>0</v>
      </c>
      <c r="AR67" s="37">
        <f>IF(AR$7=Assm!$AB$92,AR43,0)*Assm!$AB$91</f>
        <v>0</v>
      </c>
      <c r="AS67" s="37">
        <f>IF(AS$7=Assm!$AB$92,AS43,0)*Assm!$AB$91</f>
        <v>0</v>
      </c>
      <c r="AT67" s="37">
        <f>IF(AT$7=Assm!$AB$92,AT43,0)*Assm!$AB$91</f>
        <v>0</v>
      </c>
      <c r="AU67" s="37">
        <f>IF(AU$7=Assm!$AB$92,AU43,0)*Assm!$AB$91</f>
        <v>0</v>
      </c>
      <c r="AV67" s="37">
        <f>IF(AV$7=Assm!$AB$92,AV43,0)*Assm!$AB$91</f>
        <v>0</v>
      </c>
      <c r="AW67" s="37">
        <f>IF(AW$7=Assm!$AB$92,AW43,0)*Assm!$AB$91</f>
        <v>0</v>
      </c>
      <c r="AX67" s="37">
        <f>IF(AX$7=Assm!$AB$92,AX43,0)*Assm!$AB$91</f>
        <v>0</v>
      </c>
      <c r="AY67" s="37">
        <f>IF(AY$7=Assm!$AB$92,AY43,0)*Assm!$AB$91</f>
        <v>0</v>
      </c>
      <c r="AZ67" s="37">
        <f>IF(AZ$7=Assm!$AB$92,AZ43,0)*Assm!$AB$91</f>
        <v>0</v>
      </c>
      <c r="BA67" s="435">
        <f ca="1">SUM(E67:AZ67)</f>
        <v>0</v>
      </c>
      <c r="BB67" s="34">
        <f t="shared" si="3"/>
        <v>61</v>
      </c>
    </row>
    <row r="68" spans="1:54">
      <c r="A68" s="20" t="s">
        <v>532</v>
      </c>
      <c r="E68" s="1409">
        <f ca="1">IF(E$7&lt;Assm!$AB$92,0,E17*Subdebtperc/SUM(Debtperc,Subdebtperc))*Assm!$AB$91*0</f>
        <v>0</v>
      </c>
      <c r="F68" s="1409">
        <f ca="1">IF(F$7&lt;Assm!$AB$92,0,F17*Subdebtperc/SUM(Debtperc,Subdebtperc))*Assm!$AB$91*0</f>
        <v>0</v>
      </c>
      <c r="G68" s="1409">
        <f ca="1">IF(G$7&lt;Assm!$AB$92,0,G17*Subdebtperc/SUM(Debtperc,Subdebtperc))*Assm!$AB$91*0</f>
        <v>0</v>
      </c>
      <c r="H68" s="1409">
        <f ca="1">IF(H$7&lt;Assm!$AB$92,0,H17*Subdebtperc/SUM(Debtperc,Subdebtperc))*Assm!$AB$91*0</f>
        <v>0</v>
      </c>
      <c r="I68" s="1409">
        <f ca="1">IF(I$7&lt;Assm!$AB$92,0,I17*Subdebtperc/SUM(Debtperc,Subdebtperc))*Assm!$AB$91*0</f>
        <v>0</v>
      </c>
      <c r="J68" s="1409">
        <f ca="1">IF(J$7&lt;Assm!$AB$92,0,J17*Subdebtperc/SUM(Debtperc,Subdebtperc))*Assm!$AB$91*0</f>
        <v>0</v>
      </c>
      <c r="K68" s="1409">
        <f ca="1">IF(K$7&lt;Assm!$AB$92,0,K17*Subdebtperc/SUM(Debtperc,Subdebtperc))*Assm!$AB$91*0</f>
        <v>0</v>
      </c>
      <c r="L68" s="1409">
        <f ca="1">IF(L$7&lt;Assm!$AB$92,0,L17*Subdebtperc/SUM(Debtperc,Subdebtperc))*Assm!$AB$91*0</f>
        <v>0</v>
      </c>
      <c r="M68" s="1409">
        <f ca="1">IF(M$7&lt;Assm!$AB$92,0,M17*Subdebtperc/SUM(Debtperc,Subdebtperc))*Assm!$AB$91*0</f>
        <v>0</v>
      </c>
      <c r="N68" s="1409">
        <f ca="1">IF(N$7&lt;Assm!$AB$92,0,N17*Subdebtperc/SUM(Debtperc,Subdebtperc))*Assm!$AB$91*0</f>
        <v>0</v>
      </c>
      <c r="O68" s="1409">
        <f ca="1">IF(O$7&lt;Assm!$AB$92,0,O17*Subdebtperc/SUM(Debtperc,Subdebtperc))*Assm!$AB$91*0</f>
        <v>0</v>
      </c>
      <c r="P68" s="1409">
        <f ca="1">IF(P$7&lt;Assm!$AB$92,0,P17*Subdebtperc/SUM(Debtperc,Subdebtperc))*Assm!$AB$91*0</f>
        <v>0</v>
      </c>
      <c r="Q68" s="1409">
        <f ca="1">IF(Q$7&lt;Assm!$AB$92,0,Q17*Subdebtperc/SUM(Debtperc,Subdebtperc))*Assm!$AB$91*0</f>
        <v>0</v>
      </c>
      <c r="R68" s="1409">
        <f ca="1">IF(R$7&lt;Assm!$AB$92,0,R17*Subdebtperc/SUM(Debtperc,Subdebtperc))*Assm!$AB$91*0</f>
        <v>0</v>
      </c>
      <c r="S68" s="1409">
        <f ca="1">IF(S$7&lt;Assm!$AB$92,0,S17*Subdebtperc/SUM(Debtperc,Subdebtperc))*Assm!$AB$91*0</f>
        <v>0</v>
      </c>
      <c r="T68" s="1409">
        <f ca="1">IF(T$7&lt;Assm!$AB$92,0,T17*Subdebtperc/SUM(Debtperc,Subdebtperc))*Assm!$AB$91*0</f>
        <v>0</v>
      </c>
      <c r="U68" s="1409">
        <f ca="1">IF(U$7&lt;Assm!$AB$92,0,U17*Subdebtperc/SUM(Debtperc,Subdebtperc))*Assm!$AB$91*0</f>
        <v>0</v>
      </c>
      <c r="V68" s="1409">
        <f ca="1">IF(V$7&lt;Assm!$AB$92,0,V17*Subdebtperc/SUM(Debtperc,Subdebtperc))*Assm!$AB$91*0</f>
        <v>0</v>
      </c>
      <c r="W68" s="1409">
        <f ca="1">IF(W$7&lt;Assm!$AB$92,0,W17*Subdebtperc/SUM(Debtperc,Subdebtperc))*Assm!$AB$91*0</f>
        <v>0</v>
      </c>
      <c r="X68" s="1409">
        <f ca="1">IF(X$7&lt;Assm!$AB$92,0,X17*Subdebtperc/SUM(Debtperc,Subdebtperc))*Assm!$AB$91*0</f>
        <v>0</v>
      </c>
      <c r="Y68" s="1409">
        <f ca="1">IF(Y$7&lt;Assm!$AB$92,0,Y17*Subdebtperc/SUM(Debtperc,Subdebtperc))*Assm!$AB$91*0</f>
        <v>0</v>
      </c>
      <c r="Z68" s="1409">
        <f ca="1">IF(Z$7&lt;Assm!$AB$92,0,Z17*Subdebtperc/SUM(Debtperc,Subdebtperc))*Assm!$AB$91*0</f>
        <v>0</v>
      </c>
      <c r="AA68" s="1409">
        <f ca="1">IF(AA$7&lt;Assm!$AB$92,0,AA17*Subdebtperc/SUM(Debtperc,Subdebtperc))*Assm!$AB$91*0</f>
        <v>0</v>
      </c>
      <c r="AB68" s="1409">
        <f ca="1">IF(AB$7&lt;Assm!$AB$92,0,AB17*Subdebtperc/SUM(Debtperc,Subdebtperc))*Assm!$AB$91*0</f>
        <v>0</v>
      </c>
      <c r="AC68" s="1409">
        <f ca="1">IF(AC$7&lt;Assm!$AB$92,0,AC17*Subdebtperc/SUM(Debtperc,Subdebtperc))*Assm!$AB$91*0</f>
        <v>0</v>
      </c>
      <c r="AD68" s="1409">
        <f ca="1">IF(AD$7&lt;Assm!$AB$92,0,AD17*Subdebtperc/SUM(Debtperc,Subdebtperc))*Assm!$AB$91*0</f>
        <v>0</v>
      </c>
      <c r="AE68" s="1409">
        <f ca="1">IF(AE$7&lt;Assm!$AB$92,0,AE17*Subdebtperc/SUM(Debtperc,Subdebtperc))*Assm!$AB$91*0</f>
        <v>0</v>
      </c>
      <c r="AF68" s="1409">
        <f ca="1">IF(AF$7&lt;Assm!$AB$92,0,AF17*Subdebtperc/SUM(Debtperc,Subdebtperc))*Assm!$AB$91*0</f>
        <v>0</v>
      </c>
      <c r="AG68" s="1409">
        <f ca="1">IF(AG$7&lt;Assm!$AB$92,0,AG17*Subdebtperc/SUM(Debtperc,Subdebtperc))*Assm!$AB$91*0</f>
        <v>0</v>
      </c>
      <c r="AH68" s="1409">
        <f ca="1">IF(AH$7&lt;Assm!$AB$92,0,AH17*Subdebtperc/SUM(Debtperc,Subdebtperc))*Assm!$AB$91*0</f>
        <v>0</v>
      </c>
      <c r="AI68" s="1409">
        <f ca="1">IF(AI$7&lt;Assm!$AB$92,0,AI17*Subdebtperc/SUM(Debtperc,Subdebtperc))*Assm!$AB$91*0</f>
        <v>0</v>
      </c>
      <c r="AJ68" s="1409">
        <f ca="1">IF(AJ$7&lt;Assm!$AB$92,0,AJ17*Subdebtperc/SUM(Debtperc,Subdebtperc))*Assm!$AB$91*0</f>
        <v>0</v>
      </c>
      <c r="AK68" s="1409">
        <f ca="1">IF(AK$7&lt;Assm!$AB$92,0,AK17*Subdebtperc/SUM(Debtperc,Subdebtperc))*Assm!$AB$91*0</f>
        <v>0</v>
      </c>
      <c r="AL68" s="1409">
        <f ca="1">IF(AL$7&lt;Assm!$AB$92,0,AL17*Subdebtperc/SUM(Debtperc,Subdebtperc))*Assm!$AB$91*0</f>
        <v>0</v>
      </c>
      <c r="AM68" s="1409">
        <f ca="1">IF(AM$7&lt;Assm!$AB$92,0,AM17*Subdebtperc/SUM(Debtperc,Subdebtperc))*Assm!$AB$91*0</f>
        <v>0</v>
      </c>
      <c r="AN68" s="1409">
        <f ca="1">IF(AN$7&lt;Assm!$AB$92,0,AN17*Subdebtperc/SUM(Debtperc,Subdebtperc))*Assm!$AB$91*0</f>
        <v>0</v>
      </c>
      <c r="AO68" s="1409">
        <f ca="1">IF(AO$7&lt;Assm!$AB$92,0,AO17*Subdebtperc/SUM(Debtperc,Subdebtperc))*Assm!$AB$91*0</f>
        <v>0</v>
      </c>
      <c r="AP68" s="1409">
        <f ca="1">IF(AP$7&lt;Assm!$AB$92,0,AP17*Subdebtperc/SUM(Debtperc,Subdebtperc))*Assm!$AB$91*0</f>
        <v>0</v>
      </c>
      <c r="AQ68" s="1409">
        <f ca="1">IF(AQ$7&lt;Assm!$AB$92,0,AQ17*Subdebtperc/SUM(Debtperc,Subdebtperc))*Assm!$AB$91*0</f>
        <v>0</v>
      </c>
      <c r="AR68" s="1409">
        <f ca="1">IF(AR$7&lt;Assm!$AB$92,0,AR17*Subdebtperc/SUM(Debtperc,Subdebtperc))*Assm!$AB$91*0</f>
        <v>0</v>
      </c>
      <c r="AS68" s="1409">
        <f ca="1">IF(AS$7&lt;Assm!$AB$92,0,AS17*Subdebtperc/SUM(Debtperc,Subdebtperc))*Assm!$AB$91*0</f>
        <v>0</v>
      </c>
      <c r="AT68" s="1409">
        <f ca="1">IF(AT$7&lt;Assm!$AB$92,0,AT17*Subdebtperc/SUM(Debtperc,Subdebtperc))*Assm!$AB$91*0</f>
        <v>0</v>
      </c>
      <c r="AU68" s="1409">
        <f ca="1">IF(AU$7&lt;Assm!$AB$92,0,AU17*Subdebtperc/SUM(Debtperc,Subdebtperc))*Assm!$AB$91*0</f>
        <v>0</v>
      </c>
      <c r="AV68" s="1409">
        <f ca="1">IF(AV$7&lt;Assm!$AB$92,0,AV17*Subdebtperc/SUM(Debtperc,Subdebtperc))*Assm!$AB$91*0</f>
        <v>0</v>
      </c>
      <c r="AW68" s="1409">
        <f ca="1">IF(AW$7&lt;Assm!$AB$92,0,AW17*Subdebtperc/SUM(Debtperc,Subdebtperc))*Assm!$AB$91*0</f>
        <v>0</v>
      </c>
      <c r="AX68" s="1409">
        <f ca="1">IF(AX$7&lt;Assm!$AB$92,0,AX17*Subdebtperc/SUM(Debtperc,Subdebtperc))*Assm!$AB$91*0</f>
        <v>0</v>
      </c>
      <c r="AY68" s="1409">
        <f ca="1">IF(AY$7&lt;Assm!$AB$92,0,AY17*Subdebtperc/SUM(Debtperc,Subdebtperc))*Assm!$AB$91*0</f>
        <v>0</v>
      </c>
      <c r="AZ68" s="1409">
        <f ca="1">IF(AZ$7&lt;Assm!$AB$92,0,AZ17*Subdebtperc/SUM(Debtperc,Subdebtperc))*Assm!$AB$91*0</f>
        <v>0</v>
      </c>
      <c r="BA68" s="1410">
        <f ca="1">SUM(E68:AZ68)</f>
        <v>0</v>
      </c>
      <c r="BB68" s="1527">
        <f t="shared" si="3"/>
        <v>62</v>
      </c>
    </row>
    <row r="69" spans="1:54">
      <c r="A69" s="20" t="s">
        <v>317</v>
      </c>
      <c r="E69" s="1409">
        <f>IF(E$7&lt;Assm!$AB$92,0,E18*Subdebtperc/SUM(Debtperc,Subdebtperc))*Assm!$AB$91*0</f>
        <v>0</v>
      </c>
      <c r="F69" s="1409">
        <f>IF(F$7&lt;Assm!$AB$92,0,F18*Subdebtperc/SUM(Debtperc,Subdebtperc))*Assm!$AB$91*0</f>
        <v>0</v>
      </c>
      <c r="G69" s="1409">
        <f>IF(G$7&lt;Assm!$AB$92,0,G18*Subdebtperc/SUM(Debtperc,Subdebtperc))*Assm!$AB$91*0</f>
        <v>0</v>
      </c>
      <c r="H69" s="1409">
        <f>IF(H$7&lt;Assm!$AB$92,0,H18*Subdebtperc/SUM(Debtperc,Subdebtperc))*Assm!$AB$91*0</f>
        <v>0</v>
      </c>
      <c r="I69" s="1409">
        <f>IF(I$7&lt;Assm!$AB$92,0,I18*Subdebtperc/SUM(Debtperc,Subdebtperc))*Assm!$AB$91*0</f>
        <v>0</v>
      </c>
      <c r="J69" s="1409">
        <f>IF(J$7&lt;Assm!$AB$92,0,J18*Subdebtperc/SUM(Debtperc,Subdebtperc))*Assm!$AB$91*0</f>
        <v>0</v>
      </c>
      <c r="K69" s="1409">
        <f>IF(K$7&lt;Assm!$AB$92,0,K18*Subdebtperc/SUM(Debtperc,Subdebtperc))*Assm!$AB$91*0</f>
        <v>0</v>
      </c>
      <c r="L69" s="1409">
        <f>IF(L$7&lt;Assm!$AB$92,0,L18*Subdebtperc/SUM(Debtperc,Subdebtperc))*Assm!$AB$91*0</f>
        <v>0</v>
      </c>
      <c r="M69" s="1409">
        <f>IF(M$7&lt;Assm!$AB$92,0,M18*Subdebtperc/SUM(Debtperc,Subdebtperc))*Assm!$AB$91*0</f>
        <v>0</v>
      </c>
      <c r="N69" s="1409">
        <f>IF(N$7&lt;Assm!$AB$92,0,N18*Subdebtperc/SUM(Debtperc,Subdebtperc))*Assm!$AB$91*0</f>
        <v>0</v>
      </c>
      <c r="O69" s="1409">
        <f>IF(O$7&lt;Assm!$AB$92,0,O18*Subdebtperc/SUM(Debtperc,Subdebtperc))*Assm!$AB$91*0</f>
        <v>0</v>
      </c>
      <c r="P69" s="1409">
        <f>IF(P$7&lt;Assm!$AB$92,0,P18*Subdebtperc/SUM(Debtperc,Subdebtperc))*Assm!$AB$91*0</f>
        <v>0</v>
      </c>
      <c r="Q69" s="1409">
        <f>IF(Q$7&lt;Assm!$AB$92,0,Q18*Subdebtperc/SUM(Debtperc,Subdebtperc))*Assm!$AB$91*0</f>
        <v>0</v>
      </c>
      <c r="R69" s="1409">
        <f>IF(R$7&lt;Assm!$AB$92,0,R18*Subdebtperc/SUM(Debtperc,Subdebtperc))*Assm!$AB$91*0</f>
        <v>0</v>
      </c>
      <c r="S69" s="1409">
        <f>IF(S$7&lt;Assm!$AB$92,0,S18*Subdebtperc/SUM(Debtperc,Subdebtperc))*Assm!$AB$91*0</f>
        <v>0</v>
      </c>
      <c r="T69" s="1409">
        <f>IF(T$7&lt;Assm!$AB$92,0,T18*Subdebtperc/SUM(Debtperc,Subdebtperc))*Assm!$AB$91*0</f>
        <v>0</v>
      </c>
      <c r="U69" s="1409">
        <f>IF(U$7&lt;Assm!$AB$92,0,U18*Subdebtperc/SUM(Debtperc,Subdebtperc))*Assm!$AB$91*0</f>
        <v>0</v>
      </c>
      <c r="V69" s="1409">
        <f>IF(V$7&lt;Assm!$AB$92,0,V18*Subdebtperc/SUM(Debtperc,Subdebtperc))*Assm!$AB$91*0</f>
        <v>0</v>
      </c>
      <c r="W69" s="1409">
        <f>IF(W$7&lt;Assm!$AB$92,0,W18*Subdebtperc/SUM(Debtperc,Subdebtperc))*Assm!$AB$91*0</f>
        <v>0</v>
      </c>
      <c r="X69" s="1409">
        <f>IF(X$7&lt;Assm!$AB$92,0,X18*Subdebtperc/SUM(Debtperc,Subdebtperc))*Assm!$AB$91*0</f>
        <v>0</v>
      </c>
      <c r="Y69" s="1409">
        <f>IF(Y$7&lt;Assm!$AB$92,0,Y18*Subdebtperc/SUM(Debtperc,Subdebtperc))*Assm!$AB$91*0</f>
        <v>0</v>
      </c>
      <c r="Z69" s="1409">
        <f>IF(Z$7&lt;Assm!$AB$92,0,Z18*Subdebtperc/SUM(Debtperc,Subdebtperc))*Assm!$AB$91*0</f>
        <v>0</v>
      </c>
      <c r="AA69" s="1409">
        <f>IF(AA$7&lt;Assm!$AB$92,0,AA18*Subdebtperc/SUM(Debtperc,Subdebtperc))*Assm!$AB$91*0</f>
        <v>0</v>
      </c>
      <c r="AB69" s="1409">
        <f>IF(AB$7&lt;Assm!$AB$92,0,AB18*Subdebtperc/SUM(Debtperc,Subdebtperc))*Assm!$AB$91*0</f>
        <v>0</v>
      </c>
      <c r="AC69" s="1409">
        <f>IF(AC$7&lt;Assm!$AB$92,0,AC18*Subdebtperc/SUM(Debtperc,Subdebtperc))*Assm!$AB$91*0</f>
        <v>0</v>
      </c>
      <c r="AD69" s="1409">
        <f>IF(AD$7&lt;Assm!$AB$92,0,AD18*Subdebtperc/SUM(Debtperc,Subdebtperc))*Assm!$AB$91*0</f>
        <v>0</v>
      </c>
      <c r="AE69" s="1409">
        <f>IF(AE$7&lt;Assm!$AB$92,0,AE18*Subdebtperc/SUM(Debtperc,Subdebtperc))*Assm!$AB$91*0</f>
        <v>0</v>
      </c>
      <c r="AF69" s="1409">
        <f>IF(AF$7&lt;Assm!$AB$92,0,AF18*Subdebtperc/SUM(Debtperc,Subdebtperc))*Assm!$AB$91*0</f>
        <v>0</v>
      </c>
      <c r="AG69" s="1409">
        <f>IF(AG$7&lt;Assm!$AB$92,0,AG18*Subdebtperc/SUM(Debtperc,Subdebtperc))*Assm!$AB$91*0</f>
        <v>0</v>
      </c>
      <c r="AH69" s="1409">
        <f>IF(AH$7&lt;Assm!$AB$92,0,AH18*Subdebtperc/SUM(Debtperc,Subdebtperc))*Assm!$AB$91*0</f>
        <v>0</v>
      </c>
      <c r="AI69" s="1409">
        <f ca="1">IF(AI$7&lt;Assm!$AB$92,0,AI18*Subdebtperc/SUM(Debtperc,Subdebtperc))*Assm!$AB$91*0</f>
        <v>0</v>
      </c>
      <c r="AJ69" s="1409">
        <f ca="1">IF(AJ$7&lt;Assm!$AB$92,0,AJ18*Subdebtperc/SUM(Debtperc,Subdebtperc))*Assm!$AB$91*0</f>
        <v>0</v>
      </c>
      <c r="AK69" s="1409">
        <f ca="1">IF(AK$7&lt;Assm!$AB$92,0,AK18*Subdebtperc/SUM(Debtperc,Subdebtperc))*Assm!$AB$91*0</f>
        <v>0</v>
      </c>
      <c r="AL69" s="1409">
        <f ca="1">IF(AL$7&lt;Assm!$AB$92,0,AL18*Subdebtperc/SUM(Debtperc,Subdebtperc))*Assm!$AB$91*0</f>
        <v>0</v>
      </c>
      <c r="AM69" s="1409">
        <f ca="1">IF(AM$7&lt;Assm!$AB$92,0,AM18*Subdebtperc/SUM(Debtperc,Subdebtperc))*Assm!$AB$91*0</f>
        <v>0</v>
      </c>
      <c r="AN69" s="1409">
        <f ca="1">IF(AN$7&lt;Assm!$AB$92,0,AN18*Subdebtperc/SUM(Debtperc,Subdebtperc))*Assm!$AB$91*0</f>
        <v>0</v>
      </c>
      <c r="AO69" s="1409">
        <f ca="1">IF(AO$7&lt;Assm!$AB$92,0,AO18*Subdebtperc/SUM(Debtperc,Subdebtperc))*Assm!$AB$91*0</f>
        <v>0</v>
      </c>
      <c r="AP69" s="1409">
        <f ca="1">IF(AP$7&lt;Assm!$AB$92,0,AP18*Subdebtperc/SUM(Debtperc,Subdebtperc))*Assm!$AB$91*0</f>
        <v>0</v>
      </c>
      <c r="AQ69" s="1409">
        <f ca="1">IF(AQ$7&lt;Assm!$AB$92,0,AQ18*Subdebtperc/SUM(Debtperc,Subdebtperc))*Assm!$AB$91*0</f>
        <v>0</v>
      </c>
      <c r="AR69" s="1409">
        <f ca="1">IF(AR$7&lt;Assm!$AB$92,0,AR18*Subdebtperc/SUM(Debtperc,Subdebtperc))*Assm!$AB$91*0</f>
        <v>0</v>
      </c>
      <c r="AS69" s="1409">
        <f ca="1">IF(AS$7&lt;Assm!$AB$92,0,AS18*Subdebtperc/SUM(Debtperc,Subdebtperc))*Assm!$AB$91*0</f>
        <v>0</v>
      </c>
      <c r="AT69" s="1409">
        <f ca="1">IF(AT$7&lt;Assm!$AB$92,0,AT18*Subdebtperc/SUM(Debtperc,Subdebtperc))*Assm!$AB$91*0</f>
        <v>0</v>
      </c>
      <c r="AU69" s="1409">
        <f ca="1">IF(AU$7&lt;Assm!$AB$92,0,AU18*Subdebtperc/SUM(Debtperc,Subdebtperc))*Assm!$AB$91*0</f>
        <v>0</v>
      </c>
      <c r="AV69" s="1409">
        <f ca="1">IF(AV$7&lt;Assm!$AB$92,0,AV18*Subdebtperc/SUM(Debtperc,Subdebtperc))*Assm!$AB$91*0</f>
        <v>0</v>
      </c>
      <c r="AW69" s="1409">
        <f ca="1">IF(AW$7&lt;Assm!$AB$92,0,AW18*Subdebtperc/SUM(Debtperc,Subdebtperc))*Assm!$AB$91*0</f>
        <v>0</v>
      </c>
      <c r="AX69" s="1409">
        <f ca="1">IF(AX$7&lt;Assm!$AB$92,0,AX18*Subdebtperc/SUM(Debtperc,Subdebtperc))*Assm!$AB$91*0</f>
        <v>0</v>
      </c>
      <c r="AY69" s="1409">
        <f ca="1">IF(AY$7&lt;Assm!$AB$92,0,AY18*Subdebtperc/SUM(Debtperc,Subdebtperc))*Assm!$AB$91*0</f>
        <v>0</v>
      </c>
      <c r="AZ69" s="1409">
        <f ca="1">IF(AZ$7&lt;Assm!$AB$92,0,AZ18*Subdebtperc/SUM(Debtperc,Subdebtperc))*Assm!$AB$91*0</f>
        <v>0</v>
      </c>
      <c r="BA69" s="1410">
        <f ca="1">SUM(E69:AZ69)</f>
        <v>0</v>
      </c>
      <c r="BB69" s="1527">
        <f t="shared" si="3"/>
        <v>63</v>
      </c>
    </row>
    <row r="70" spans="1:54">
      <c r="A70" s="20" t="s">
        <v>103</v>
      </c>
      <c r="E70" s="1409">
        <f>IF(E$7&lt;Assm!$AB$92,0,E19*Subdebtperc/SUM(Debtperc,Subdebtperc))*Assm!$AB$91*0</f>
        <v>0</v>
      </c>
      <c r="F70" s="1409">
        <f>IF(F$7&lt;Assm!$AB$92,0,F19*Subdebtperc/SUM(Debtperc,Subdebtperc))*Assm!$AB$91*0</f>
        <v>0</v>
      </c>
      <c r="G70" s="1409">
        <f>IF(G$7&lt;Assm!$AB$92,0,G19*Subdebtperc/SUM(Debtperc,Subdebtperc))*Assm!$AB$91*0</f>
        <v>0</v>
      </c>
      <c r="H70" s="1409">
        <f>IF(H$7&lt;Assm!$AB$92,0,H19*Subdebtperc/SUM(Debtperc,Subdebtperc))*Assm!$AB$91*0</f>
        <v>0</v>
      </c>
      <c r="I70" s="1409">
        <f>IF(I$7&lt;Assm!$AB$92,0,I19*Subdebtperc/SUM(Debtperc,Subdebtperc))*Assm!$AB$91*0</f>
        <v>0</v>
      </c>
      <c r="J70" s="1409">
        <f>IF(J$7&lt;Assm!$AB$92,0,J19*Subdebtperc/SUM(Debtperc,Subdebtperc))*Assm!$AB$91*0</f>
        <v>0</v>
      </c>
      <c r="K70" s="1409">
        <f>IF(K$7&lt;Assm!$AB$92,0,K19*Subdebtperc/SUM(Debtperc,Subdebtperc))*Assm!$AB$91*0</f>
        <v>0</v>
      </c>
      <c r="L70" s="1409">
        <f>IF(L$7&lt;Assm!$AB$92,0,L19*Subdebtperc/SUM(Debtperc,Subdebtperc))*Assm!$AB$91*0</f>
        <v>0</v>
      </c>
      <c r="M70" s="1409">
        <f>IF(M$7&lt;Assm!$AB$92,0,M19*Subdebtperc/SUM(Debtperc,Subdebtperc))*Assm!$AB$91*0</f>
        <v>0</v>
      </c>
      <c r="N70" s="1409">
        <f>IF(N$7&lt;Assm!$AB$92,0,N19*Subdebtperc/SUM(Debtperc,Subdebtperc))*Assm!$AB$91*0</f>
        <v>0</v>
      </c>
      <c r="O70" s="1409">
        <f>IF(O$7&lt;Assm!$AB$92,0,O19*Subdebtperc/SUM(Debtperc,Subdebtperc))*Assm!$AB$91*0</f>
        <v>0</v>
      </c>
      <c r="P70" s="1409">
        <f>IF(P$7&lt;Assm!$AB$92,0,P19*Subdebtperc/SUM(Debtperc,Subdebtperc))*Assm!$AB$91*0</f>
        <v>0</v>
      </c>
      <c r="Q70" s="1409">
        <f>IF(Q$7&lt;Assm!$AB$92,0,Q19*Subdebtperc/SUM(Debtperc,Subdebtperc))*Assm!$AB$91*0</f>
        <v>0</v>
      </c>
      <c r="R70" s="1409">
        <f>IF(R$7&lt;Assm!$AB$92,0,R19*Subdebtperc/SUM(Debtperc,Subdebtperc))*Assm!$AB$91*0</f>
        <v>0</v>
      </c>
      <c r="S70" s="1409">
        <f>IF(S$7&lt;Assm!$AB$92,0,S19*Subdebtperc/SUM(Debtperc,Subdebtperc))*Assm!$AB$91*0</f>
        <v>0</v>
      </c>
      <c r="T70" s="1409">
        <f>IF(T$7&lt;Assm!$AB$92,0,T19*Subdebtperc/SUM(Debtperc,Subdebtperc))*Assm!$AB$91*0</f>
        <v>0</v>
      </c>
      <c r="U70" s="1409">
        <f>IF(U$7&lt;Assm!$AB$92,0,U19*Subdebtperc/SUM(Debtperc,Subdebtperc))*Assm!$AB$91*0</f>
        <v>0</v>
      </c>
      <c r="V70" s="1409">
        <f>IF(V$7&lt;Assm!$AB$92,0,V19*Subdebtperc/SUM(Debtperc,Subdebtperc))*Assm!$AB$91*0</f>
        <v>0</v>
      </c>
      <c r="W70" s="1409">
        <f>IF(W$7&lt;Assm!$AB$92,0,W19*Subdebtperc/SUM(Debtperc,Subdebtperc))*Assm!$AB$91*0</f>
        <v>0</v>
      </c>
      <c r="X70" s="1409">
        <f>IF(X$7&lt;Assm!$AB$92,0,X19*Subdebtperc/SUM(Debtperc,Subdebtperc))*Assm!$AB$91*0</f>
        <v>0</v>
      </c>
      <c r="Y70" s="1409">
        <f>IF(Y$7&lt;Assm!$AB$92,0,Y19*Subdebtperc/SUM(Debtperc,Subdebtperc))*Assm!$AB$91*0</f>
        <v>0</v>
      </c>
      <c r="Z70" s="1409">
        <f>IF(Z$7&lt;Assm!$AB$92,0,Z19*Subdebtperc/SUM(Debtperc,Subdebtperc))*Assm!$AB$91*0</f>
        <v>0</v>
      </c>
      <c r="AA70" s="1409">
        <f>IF(AA$7&lt;Assm!$AB$92,0,AA19*Subdebtperc/SUM(Debtperc,Subdebtperc))*Assm!$AB$91*0</f>
        <v>0</v>
      </c>
      <c r="AB70" s="1409">
        <f>IF(AB$7&lt;Assm!$AB$92,0,AB19*Subdebtperc/SUM(Debtperc,Subdebtperc))*Assm!$AB$91*0</f>
        <v>0</v>
      </c>
      <c r="AC70" s="1409">
        <f>IF(AC$7&lt;Assm!$AB$92,0,AC19*Subdebtperc/SUM(Debtperc,Subdebtperc))*Assm!$AB$91*0</f>
        <v>0</v>
      </c>
      <c r="AD70" s="1409">
        <f>IF(AD$7&lt;Assm!$AB$92,0,AD19*Subdebtperc/SUM(Debtperc,Subdebtperc))*Assm!$AB$91*0</f>
        <v>0</v>
      </c>
      <c r="AE70" s="1409">
        <f>IF(AE$7&lt;Assm!$AB$92,0,AE19*Subdebtperc/SUM(Debtperc,Subdebtperc))*Assm!$AB$91*0</f>
        <v>0</v>
      </c>
      <c r="AF70" s="1409">
        <f>IF(AF$7&lt;Assm!$AB$92,0,AF19*Subdebtperc/SUM(Debtperc,Subdebtperc))*Assm!$AB$91*0</f>
        <v>0</v>
      </c>
      <c r="AG70" s="1409">
        <f>IF(AG$7&lt;Assm!$AB$92,0,AG19*Subdebtperc/SUM(Debtperc,Subdebtperc))*Assm!$AB$91*0</f>
        <v>0</v>
      </c>
      <c r="AH70" s="1409">
        <f>IF(AH$7&lt;Assm!$AB$92,0,AH19*Subdebtperc/SUM(Debtperc,Subdebtperc))*Assm!$AB$91*0</f>
        <v>0</v>
      </c>
      <c r="AI70" s="1409">
        <f ca="1">IF(AI$7&lt;Assm!$AB$92,0,AI19*Subdebtperc/SUM(Debtperc,Subdebtperc))*Assm!$AB$91*0</f>
        <v>0</v>
      </c>
      <c r="AJ70" s="1409">
        <f ca="1">IF(AJ$7&lt;Assm!$AB$92,0,AJ19*Subdebtperc/SUM(Debtperc,Subdebtperc))*Assm!$AB$91*0</f>
        <v>0</v>
      </c>
      <c r="AK70" s="1409">
        <f ca="1">IF(AK$7&lt;Assm!$AB$92,0,AK19*Subdebtperc/SUM(Debtperc,Subdebtperc))*Assm!$AB$91*0</f>
        <v>0</v>
      </c>
      <c r="AL70" s="1409">
        <f ca="1">IF(AL$7&lt;Assm!$AB$92,0,AL19*Subdebtperc/SUM(Debtperc,Subdebtperc))*Assm!$AB$91*0</f>
        <v>0</v>
      </c>
      <c r="AM70" s="1409">
        <f ca="1">IF(AM$7&lt;Assm!$AB$92,0,AM19*Subdebtperc/SUM(Debtperc,Subdebtperc))*Assm!$AB$91*0</f>
        <v>0</v>
      </c>
      <c r="AN70" s="1409">
        <f ca="1">IF(AN$7&lt;Assm!$AB$92,0,AN19*Subdebtperc/SUM(Debtperc,Subdebtperc))*Assm!$AB$91*0</f>
        <v>0</v>
      </c>
      <c r="AO70" s="1409">
        <f ca="1">IF(AO$7&lt;Assm!$AB$92,0,AO19*Subdebtperc/SUM(Debtperc,Subdebtperc))*Assm!$AB$91*0</f>
        <v>0</v>
      </c>
      <c r="AP70" s="1409">
        <f ca="1">IF(AP$7&lt;Assm!$AB$92,0,AP19*Subdebtperc/SUM(Debtperc,Subdebtperc))*Assm!$AB$91*0</f>
        <v>0</v>
      </c>
      <c r="AQ70" s="1409">
        <f ca="1">IF(AQ$7&lt;Assm!$AB$92,0,AQ19*Subdebtperc/SUM(Debtperc,Subdebtperc))*Assm!$AB$91*0</f>
        <v>0</v>
      </c>
      <c r="AR70" s="1409">
        <f ca="1">IF(AR$7&lt;Assm!$AB$92,0,AR19*Subdebtperc/SUM(Debtperc,Subdebtperc))*Assm!$AB$91*0</f>
        <v>0</v>
      </c>
      <c r="AS70" s="1409">
        <f ca="1">IF(AS$7&lt;Assm!$AB$92,0,AS19*Subdebtperc/SUM(Debtperc,Subdebtperc))*Assm!$AB$91*0</f>
        <v>0</v>
      </c>
      <c r="AT70" s="1409">
        <f ca="1">IF(AT$7&lt;Assm!$AB$92,0,AT19*Subdebtperc/SUM(Debtperc,Subdebtperc))*Assm!$AB$91*0</f>
        <v>0</v>
      </c>
      <c r="AU70" s="1409">
        <f ca="1">IF(AU$7&lt;Assm!$AB$92,0,AU19*Subdebtperc/SUM(Debtperc,Subdebtperc))*Assm!$AB$91*0</f>
        <v>0</v>
      </c>
      <c r="AV70" s="1409">
        <f ca="1">IF(AV$7&lt;Assm!$AB$92,0,AV19*Subdebtperc/SUM(Debtperc,Subdebtperc))*Assm!$AB$91*0</f>
        <v>0</v>
      </c>
      <c r="AW70" s="1409">
        <f ca="1">IF(AW$7&lt;Assm!$AB$92,0,AW19*Subdebtperc/SUM(Debtperc,Subdebtperc))*Assm!$AB$91*0</f>
        <v>0</v>
      </c>
      <c r="AX70" s="1409">
        <f ca="1">IF(AX$7&lt;Assm!$AB$92,0,AX19*Subdebtperc/SUM(Debtperc,Subdebtperc))*Assm!$AB$91*0</f>
        <v>0</v>
      </c>
      <c r="AY70" s="1409">
        <f ca="1">IF(AY$7&lt;Assm!$AB$92,0,AY19*Subdebtperc/SUM(Debtperc,Subdebtperc))*Assm!$AB$91*0</f>
        <v>0</v>
      </c>
      <c r="AZ70" s="1409">
        <f ca="1">IF(AZ$7&lt;Assm!$AB$92,0,AZ19*Subdebtperc/SUM(Debtperc,Subdebtperc))*Assm!$AB$91*0</f>
        <v>0</v>
      </c>
      <c r="BA70" s="1410">
        <f ca="1">SUM(E70:AZ70)</f>
        <v>0</v>
      </c>
      <c r="BB70" s="1527">
        <f t="shared" si="3"/>
        <v>64</v>
      </c>
    </row>
    <row r="71" spans="1:54">
      <c r="A71" s="20" t="s">
        <v>1263</v>
      </c>
      <c r="E71" s="1528">
        <f ca="1">IF(E$7&lt;Assm!$AB$92,0,E20*Subdebtperc/SUM(Debtperc,Subdebtperc))*Assm!$AB$91*0</f>
        <v>0</v>
      </c>
      <c r="F71" s="1528">
        <f ca="1">IF(F$7&lt;Assm!$AB$92,0,F20*Subdebtperc/SUM(Debtperc,Subdebtperc))*Assm!$AB$91*0</f>
        <v>0</v>
      </c>
      <c r="G71" s="1528">
        <f ca="1">IF(G$7&lt;Assm!$AB$92,0,G20*Subdebtperc/SUM(Debtperc,Subdebtperc))*Assm!$AB$91*0</f>
        <v>0</v>
      </c>
      <c r="H71" s="1528">
        <f ca="1">IF(H$7&lt;Assm!$AB$92,0,H20*Subdebtperc/SUM(Debtperc,Subdebtperc))*Assm!$AB$91*0</f>
        <v>0</v>
      </c>
      <c r="I71" s="1528">
        <f ca="1">IF(I$7&lt;Assm!$AB$92,0,I20*Subdebtperc/SUM(Debtperc,Subdebtperc))*Assm!$AB$91*0</f>
        <v>0</v>
      </c>
      <c r="J71" s="1528">
        <f ca="1">IF(J$7&lt;Assm!$AB$92,0,J20*Subdebtperc/SUM(Debtperc,Subdebtperc))*Assm!$AB$91*0</f>
        <v>0</v>
      </c>
      <c r="K71" s="1528">
        <f ca="1">IF(K$7&lt;Assm!$AB$92,0,K20*Subdebtperc/SUM(Debtperc,Subdebtperc))*Assm!$AB$91*0</f>
        <v>0</v>
      </c>
      <c r="L71" s="1528">
        <f ca="1">IF(L$7&lt;Assm!$AB$92,0,L20*Subdebtperc/SUM(Debtperc,Subdebtperc))*Assm!$AB$91*0</f>
        <v>0</v>
      </c>
      <c r="M71" s="1528">
        <f ca="1">IF(M$7&lt;Assm!$AB$92,0,M20*Subdebtperc/SUM(Debtperc,Subdebtperc))*Assm!$AB$91*0</f>
        <v>0</v>
      </c>
      <c r="N71" s="1528">
        <f ca="1">IF(N$7&lt;Assm!$AB$92,0,N20*Subdebtperc/SUM(Debtperc,Subdebtperc))*Assm!$AB$91*0</f>
        <v>0</v>
      </c>
      <c r="O71" s="1528">
        <f ca="1">IF(O$7&lt;Assm!$AB$92,0,O20*Subdebtperc/SUM(Debtperc,Subdebtperc))*Assm!$AB$91*0</f>
        <v>0</v>
      </c>
      <c r="P71" s="1528">
        <f ca="1">IF(P$7&lt;Assm!$AB$92,0,P20*Subdebtperc/SUM(Debtperc,Subdebtperc))*Assm!$AB$91*0</f>
        <v>0</v>
      </c>
      <c r="Q71" s="1528">
        <f ca="1">IF(Q$7&lt;Assm!$AB$92,0,Q20*Subdebtperc/SUM(Debtperc,Subdebtperc))*Assm!$AB$91*0</f>
        <v>0</v>
      </c>
      <c r="R71" s="1528">
        <f ca="1">IF(R$7&lt;Assm!$AB$92,0,R20*Subdebtperc/SUM(Debtperc,Subdebtperc))*Assm!$AB$91*0</f>
        <v>0</v>
      </c>
      <c r="S71" s="1528">
        <f ca="1">IF(S$7&lt;Assm!$AB$92,0,S20*Subdebtperc/SUM(Debtperc,Subdebtperc))*Assm!$AB$91*0</f>
        <v>0</v>
      </c>
      <c r="T71" s="1528">
        <f ca="1">IF(T$7&lt;Assm!$AB$92,0,T20*Subdebtperc/SUM(Debtperc,Subdebtperc))*Assm!$AB$91*0</f>
        <v>0</v>
      </c>
      <c r="U71" s="1528">
        <f ca="1">IF(U$7&lt;Assm!$AB$92,0,U20*Subdebtperc/SUM(Debtperc,Subdebtperc))*Assm!$AB$91*0</f>
        <v>0</v>
      </c>
      <c r="V71" s="1528">
        <f ca="1">IF(V$7&lt;Assm!$AB$92,0,V20*Subdebtperc/SUM(Debtperc,Subdebtperc))*Assm!$AB$91*0</f>
        <v>0</v>
      </c>
      <c r="W71" s="1528">
        <f ca="1">IF(W$7&lt;Assm!$AB$92,0,W20*Subdebtperc/SUM(Debtperc,Subdebtperc))*Assm!$AB$91*0</f>
        <v>0</v>
      </c>
      <c r="X71" s="1528">
        <f ca="1">IF(X$7&lt;Assm!$AB$92,0,X20*Subdebtperc/SUM(Debtperc,Subdebtperc))*Assm!$AB$91*0</f>
        <v>0</v>
      </c>
      <c r="Y71" s="1528">
        <f ca="1">IF(Y$7&lt;Assm!$AB$92,0,Y20*Subdebtperc/SUM(Debtperc,Subdebtperc))*Assm!$AB$91*0</f>
        <v>0</v>
      </c>
      <c r="Z71" s="1528">
        <f ca="1">IF(Z$7&lt;Assm!$AB$92,0,Z20*Subdebtperc/SUM(Debtperc,Subdebtperc))*Assm!$AB$91*0</f>
        <v>0</v>
      </c>
      <c r="AA71" s="1528">
        <f ca="1">IF(AA$7&lt;Assm!$AB$92,0,AA20*Subdebtperc/SUM(Debtperc,Subdebtperc))*Assm!$AB$91*0</f>
        <v>0</v>
      </c>
      <c r="AB71" s="1528">
        <f ca="1">IF(AB$7&lt;Assm!$AB$92,0,AB20*Subdebtperc/SUM(Debtperc,Subdebtperc))*Assm!$AB$91*0</f>
        <v>0</v>
      </c>
      <c r="AC71" s="1528">
        <f ca="1">IF(AC$7&lt;Assm!$AB$92,0,AC20*Subdebtperc/SUM(Debtperc,Subdebtperc))*Assm!$AB$91*0</f>
        <v>0</v>
      </c>
      <c r="AD71" s="1528">
        <f ca="1">IF(AD$7&lt;Assm!$AB$92,0,AD20*Subdebtperc/SUM(Debtperc,Subdebtperc))*Assm!$AB$91*0</f>
        <v>0</v>
      </c>
      <c r="AE71" s="1528">
        <f ca="1">IF(AE$7&lt;Assm!$AB$92,0,AE20*Subdebtperc/SUM(Debtperc,Subdebtperc))*Assm!$AB$91*0</f>
        <v>0</v>
      </c>
      <c r="AF71" s="1528">
        <f ca="1">IF(AF$7&lt;Assm!$AB$92,0,AF20*Subdebtperc/SUM(Debtperc,Subdebtperc))*Assm!$AB$91*0</f>
        <v>0</v>
      </c>
      <c r="AG71" s="1528">
        <f ca="1">IF(AG$7&lt;Assm!$AB$92,0,AG20*Subdebtperc/SUM(Debtperc,Subdebtperc))*Assm!$AB$91*0</f>
        <v>0</v>
      </c>
      <c r="AH71" s="1528">
        <f ca="1">IF(AH$7&lt;Assm!$AB$92,0,AH20*Subdebtperc/SUM(Debtperc,Subdebtperc))*Assm!$AB$91*0</f>
        <v>0</v>
      </c>
      <c r="AI71" s="1528">
        <f ca="1">IF(AI$7&lt;Assm!$AB$92,0,AI20*Subdebtperc/SUM(Debtperc,Subdebtperc))*Assm!$AB$91*0</f>
        <v>0</v>
      </c>
      <c r="AJ71" s="1528">
        <f ca="1">IF(AJ$7&lt;Assm!$AB$92,0,AJ20*Subdebtperc/SUM(Debtperc,Subdebtperc))*Assm!$AB$91*0</f>
        <v>0</v>
      </c>
      <c r="AK71" s="1528">
        <f ca="1">IF(AK$7&lt;Assm!$AB$92,0,AK20*Subdebtperc/SUM(Debtperc,Subdebtperc))*Assm!$AB$91*0</f>
        <v>0</v>
      </c>
      <c r="AL71" s="1528">
        <f ca="1">IF(AL$7&lt;Assm!$AB$92,0,AL20*Subdebtperc/SUM(Debtperc,Subdebtperc))*Assm!$AB$91*0</f>
        <v>0</v>
      </c>
      <c r="AM71" s="1528">
        <f ca="1">IF(AM$7&lt;Assm!$AB$92,0,AM20*Subdebtperc/SUM(Debtperc,Subdebtperc))*Assm!$AB$91*0</f>
        <v>0</v>
      </c>
      <c r="AN71" s="1528">
        <f ca="1">IF(AN$7&lt;Assm!$AB$92,0,AN20*Subdebtperc/SUM(Debtperc,Subdebtperc))*Assm!$AB$91*0</f>
        <v>0</v>
      </c>
      <c r="AO71" s="1528">
        <f ca="1">IF(AO$7&lt;Assm!$AB$92,0,AO20*Subdebtperc/SUM(Debtperc,Subdebtperc))*Assm!$AB$91*0</f>
        <v>0</v>
      </c>
      <c r="AP71" s="1528">
        <f ca="1">IF(AP$7&lt;Assm!$AB$92,0,AP20*Subdebtperc/SUM(Debtperc,Subdebtperc))*Assm!$AB$91*0</f>
        <v>0</v>
      </c>
      <c r="AQ71" s="1528">
        <f ca="1">IF(AQ$7&lt;Assm!$AB$92,0,AQ20*Subdebtperc/SUM(Debtperc,Subdebtperc))*Assm!$AB$91*0</f>
        <v>0</v>
      </c>
      <c r="AR71" s="1528">
        <f ca="1">IF(AR$7&lt;Assm!$AB$92,0,AR20*Subdebtperc/SUM(Debtperc,Subdebtperc))*Assm!$AB$91*0</f>
        <v>0</v>
      </c>
      <c r="AS71" s="1528">
        <f ca="1">IF(AS$7&lt;Assm!$AB$92,0,AS20*Subdebtperc/SUM(Debtperc,Subdebtperc))*Assm!$AB$91*0</f>
        <v>0</v>
      </c>
      <c r="AT71" s="1528">
        <f ca="1">IF(AT$7&lt;Assm!$AB$92,0,AT20*Subdebtperc/SUM(Debtperc,Subdebtperc))*Assm!$AB$91*0</f>
        <v>0</v>
      </c>
      <c r="AU71" s="1528">
        <f ca="1">IF(AU$7&lt;Assm!$AB$92,0,AU20*Subdebtperc/SUM(Debtperc,Subdebtperc))*Assm!$AB$91*0</f>
        <v>0</v>
      </c>
      <c r="AV71" s="1528">
        <f ca="1">IF(AV$7&lt;Assm!$AB$92,0,AV20*Subdebtperc/SUM(Debtperc,Subdebtperc))*Assm!$AB$91*0</f>
        <v>0</v>
      </c>
      <c r="AW71" s="1528">
        <f ca="1">IF(AW$7&lt;Assm!$AB$92,0,AW20*Subdebtperc/SUM(Debtperc,Subdebtperc))*Assm!$AB$91*0</f>
        <v>0</v>
      </c>
      <c r="AX71" s="1528">
        <f ca="1">IF(AX$7&lt;Assm!$AB$92,0,AX20*Subdebtperc/SUM(Debtperc,Subdebtperc))*Assm!$AB$91*0</f>
        <v>0</v>
      </c>
      <c r="AY71" s="1528">
        <f ca="1">IF(AY$7&lt;Assm!$AB$92,0,AY20*Subdebtperc/SUM(Debtperc,Subdebtperc))*Assm!$AB$91*0</f>
        <v>0</v>
      </c>
      <c r="AZ71" s="1528">
        <f ca="1">IF(AZ$7&lt;Assm!$AB$92,0,AZ20*Subdebtperc/SUM(Debtperc,Subdebtperc))*Assm!$AB$91*0</f>
        <v>0</v>
      </c>
      <c r="BA71" s="1410">
        <f ca="1">SUM(E71:AZ71)</f>
        <v>0</v>
      </c>
      <c r="BB71" s="1527">
        <f t="shared" si="3"/>
        <v>65</v>
      </c>
    </row>
    <row r="72" spans="1:54">
      <c r="A72" s="20" t="s">
        <v>517</v>
      </c>
      <c r="E72" s="37">
        <f ca="1">SUM(E66:E71)</f>
        <v>0</v>
      </c>
      <c r="F72" s="37">
        <f ca="1">SUM(F66:F71)</f>
        <v>0</v>
      </c>
      <c r="G72" s="37">
        <f t="shared" ref="G72:AN72" ca="1" si="73">SUM(G66:G71)</f>
        <v>0</v>
      </c>
      <c r="H72" s="37">
        <f t="shared" ca="1" si="73"/>
        <v>0</v>
      </c>
      <c r="I72" s="37">
        <f t="shared" ca="1" si="73"/>
        <v>0</v>
      </c>
      <c r="J72" s="37">
        <f t="shared" ca="1" si="73"/>
        <v>0</v>
      </c>
      <c r="K72" s="37">
        <f t="shared" ca="1" si="73"/>
        <v>0</v>
      </c>
      <c r="L72" s="37">
        <f t="shared" ca="1" si="73"/>
        <v>0</v>
      </c>
      <c r="M72" s="37">
        <f t="shared" ca="1" si="73"/>
        <v>0</v>
      </c>
      <c r="N72" s="37">
        <f t="shared" ca="1" si="73"/>
        <v>0</v>
      </c>
      <c r="O72" s="37">
        <f t="shared" ca="1" si="73"/>
        <v>0</v>
      </c>
      <c r="P72" s="37">
        <f t="shared" ca="1" si="73"/>
        <v>0</v>
      </c>
      <c r="Q72" s="37">
        <f t="shared" ca="1" si="73"/>
        <v>0</v>
      </c>
      <c r="R72" s="37">
        <f t="shared" ca="1" si="73"/>
        <v>0</v>
      </c>
      <c r="S72" s="37">
        <f t="shared" ca="1" si="73"/>
        <v>0</v>
      </c>
      <c r="T72" s="37">
        <f t="shared" ca="1" si="73"/>
        <v>0</v>
      </c>
      <c r="U72" s="37">
        <f t="shared" ca="1" si="73"/>
        <v>0</v>
      </c>
      <c r="V72" s="37">
        <f t="shared" ca="1" si="73"/>
        <v>0</v>
      </c>
      <c r="W72" s="37">
        <f t="shared" ca="1" si="73"/>
        <v>0</v>
      </c>
      <c r="X72" s="37">
        <f t="shared" ca="1" si="73"/>
        <v>0</v>
      </c>
      <c r="Y72" s="37">
        <f t="shared" ca="1" si="73"/>
        <v>0</v>
      </c>
      <c r="Z72" s="37">
        <f t="shared" ca="1" si="73"/>
        <v>0</v>
      </c>
      <c r="AA72" s="37">
        <f t="shared" ca="1" si="73"/>
        <v>0</v>
      </c>
      <c r="AB72" s="37">
        <f t="shared" ca="1" si="73"/>
        <v>0</v>
      </c>
      <c r="AC72" s="37">
        <f t="shared" ca="1" si="73"/>
        <v>0</v>
      </c>
      <c r="AD72" s="37">
        <f t="shared" ca="1" si="73"/>
        <v>0</v>
      </c>
      <c r="AE72" s="37">
        <f t="shared" ca="1" si="73"/>
        <v>0</v>
      </c>
      <c r="AF72" s="37">
        <f t="shared" ca="1" si="73"/>
        <v>0</v>
      </c>
      <c r="AG72" s="37">
        <f t="shared" ca="1" si="73"/>
        <v>0</v>
      </c>
      <c r="AH72" s="37">
        <f t="shared" ca="1" si="73"/>
        <v>0</v>
      </c>
      <c r="AI72" s="37">
        <f t="shared" ca="1" si="73"/>
        <v>0</v>
      </c>
      <c r="AJ72" s="37">
        <f t="shared" ca="1" si="73"/>
        <v>0</v>
      </c>
      <c r="AK72" s="37">
        <f t="shared" ca="1" si="73"/>
        <v>0</v>
      </c>
      <c r="AL72" s="37">
        <f t="shared" ca="1" si="73"/>
        <v>0</v>
      </c>
      <c r="AM72" s="37">
        <f t="shared" ca="1" si="73"/>
        <v>0</v>
      </c>
      <c r="AN72" s="37">
        <f t="shared" ca="1" si="73"/>
        <v>0</v>
      </c>
      <c r="AO72" s="37">
        <f ca="1">SUM(AO66:AO71)</f>
        <v>0</v>
      </c>
      <c r="AP72" s="37">
        <f ca="1">SUM(AP66:AP71)</f>
        <v>0</v>
      </c>
      <c r="AQ72" s="37">
        <f ca="1">SUM(AQ66:AQ71)</f>
        <v>0</v>
      </c>
      <c r="AR72" s="37">
        <f ca="1">SUM(AR66:AR71)</f>
        <v>0</v>
      </c>
      <c r="AS72" s="37">
        <f t="shared" ref="AS72:AZ72" ca="1" si="74">SUM(AS66:AS71)</f>
        <v>0</v>
      </c>
      <c r="AT72" s="37">
        <f t="shared" ca="1" si="74"/>
        <v>0</v>
      </c>
      <c r="AU72" s="37">
        <f t="shared" ca="1" si="74"/>
        <v>0</v>
      </c>
      <c r="AV72" s="37">
        <f t="shared" ca="1" si="74"/>
        <v>0</v>
      </c>
      <c r="AW72" s="37">
        <f t="shared" ca="1" si="74"/>
        <v>0</v>
      </c>
      <c r="AX72" s="37">
        <f t="shared" ca="1" si="74"/>
        <v>0</v>
      </c>
      <c r="AY72" s="37">
        <f t="shared" ca="1" si="74"/>
        <v>0</v>
      </c>
      <c r="AZ72" s="37">
        <f t="shared" ca="1" si="74"/>
        <v>0</v>
      </c>
      <c r="BA72" s="435">
        <f ca="1">SUM(BA66:BA71)</f>
        <v>0</v>
      </c>
      <c r="BB72" s="34">
        <f t="shared" si="3"/>
        <v>66</v>
      </c>
    </row>
    <row r="73" spans="1:54">
      <c r="A73" s="20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  <c r="AZ73" s="37"/>
      <c r="BA73" s="435"/>
      <c r="BB73" s="34">
        <f t="shared" si="3"/>
        <v>67</v>
      </c>
    </row>
    <row r="74" spans="1:54">
      <c r="A74" s="20" t="s">
        <v>748</v>
      </c>
      <c r="E74" s="32">
        <f ca="1">[3]IDC!D72</f>
        <v>1</v>
      </c>
      <c r="F74" s="1518">
        <f ca="1">[3]IDC!E72</f>
        <v>1</v>
      </c>
      <c r="G74" s="1518">
        <f ca="1">[3]IDC!F72</f>
        <v>1</v>
      </c>
      <c r="H74" s="1518">
        <f ca="1">[3]IDC!G72</f>
        <v>1</v>
      </c>
      <c r="I74" s="1518">
        <f ca="1">[3]IDC!H72</f>
        <v>1</v>
      </c>
      <c r="J74" s="1518">
        <f ca="1">[3]IDC!I72</f>
        <v>1</v>
      </c>
      <c r="K74" s="1518">
        <f ca="1">[3]IDC!J72</f>
        <v>1</v>
      </c>
      <c r="L74" s="1518">
        <f ca="1">[3]IDC!K72</f>
        <v>1</v>
      </c>
      <c r="M74" s="1518">
        <f ca="1">[3]IDC!L72</f>
        <v>1</v>
      </c>
      <c r="N74" s="1518">
        <f ca="1">[3]IDC!M72</f>
        <v>1</v>
      </c>
      <c r="O74" s="1518">
        <f ca="1">[3]IDC!N72</f>
        <v>0.99999999999999989</v>
      </c>
      <c r="P74" s="1518">
        <f ca="1">[3]IDC!O72</f>
        <v>0.99999999999999989</v>
      </c>
      <c r="Q74" s="1518">
        <f ca="1">[3]IDC!P72</f>
        <v>1</v>
      </c>
      <c r="R74" s="1518">
        <f ca="1">[3]IDC!Q72</f>
        <v>1</v>
      </c>
      <c r="S74" s="1518">
        <f ca="1">[3]IDC!R72</f>
        <v>1</v>
      </c>
      <c r="T74" s="1518">
        <f ca="1">[3]IDC!S72</f>
        <v>1</v>
      </c>
      <c r="U74" s="1518">
        <f ca="1">[3]IDC!T72</f>
        <v>1</v>
      </c>
      <c r="V74" s="1518">
        <f ca="1">[3]IDC!U72</f>
        <v>1</v>
      </c>
      <c r="W74" s="1518">
        <f ca="1">[3]IDC!V72</f>
        <v>0.99999999999999989</v>
      </c>
      <c r="X74" s="1518">
        <f ca="1">[3]IDC!W72</f>
        <v>1.0000000000000002</v>
      </c>
      <c r="Y74" s="1518">
        <f ca="1">[3]IDC!X72</f>
        <v>1</v>
      </c>
      <c r="Z74" s="1518">
        <f ca="1">[3]IDC!Y72</f>
        <v>1</v>
      </c>
      <c r="AA74" s="1518">
        <f ca="1">[3]IDC!Z72</f>
        <v>1.0000000000000002</v>
      </c>
      <c r="AB74" s="1518">
        <f ca="1">[3]IDC!AA72</f>
        <v>0.99999999999999978</v>
      </c>
      <c r="AC74" s="1518">
        <f ca="1">[3]IDC!AB72</f>
        <v>0.99999999999999967</v>
      </c>
      <c r="AD74" s="1518">
        <f ca="1">[3]IDC!AC72</f>
        <v>0.99999999999999944</v>
      </c>
      <c r="AE74" s="1518">
        <f ca="1">[3]IDC!AD72</f>
        <v>0.99999999999999967</v>
      </c>
      <c r="AF74" s="1518">
        <f ca="1">[3]IDC!AE72</f>
        <v>0.99999999999999967</v>
      </c>
      <c r="AG74" s="1518">
        <f ca="1">[3]IDC!AF72</f>
        <v>0.99999999999999967</v>
      </c>
      <c r="AH74" s="1518">
        <f ca="1">[3]IDC!AG72</f>
        <v>0.99999999999999989</v>
      </c>
      <c r="AI74" s="1518">
        <f ca="1">[3]IDC!AH72</f>
        <v>1.0000000000000002</v>
      </c>
      <c r="AJ74" s="1518">
        <f ca="1">[3]IDC!AI72</f>
        <v>0.99999999999999989</v>
      </c>
      <c r="AK74" s="1518">
        <f ca="1">[3]IDC!AJ72</f>
        <v>0.99999999999999989</v>
      </c>
      <c r="AL74" s="1518">
        <f ca="1">[3]IDC!AK72</f>
        <v>0.4661696875240447</v>
      </c>
      <c r="AM74" s="1518">
        <f ca="1">[3]IDC!AL72</f>
        <v>0.45795632618115345</v>
      </c>
      <c r="AN74" s="1518">
        <f ca="1">[3]IDC!AM72</f>
        <v>0.45007137127913416</v>
      </c>
      <c r="AO74" s="1518"/>
      <c r="AP74" s="1518"/>
      <c r="AQ74" s="1518"/>
      <c r="AR74" s="1518"/>
      <c r="AS74" s="1518"/>
      <c r="AT74" s="1518"/>
      <c r="AU74" s="1518"/>
      <c r="AV74" s="1518"/>
      <c r="AW74" s="1518"/>
      <c r="AX74" s="1518"/>
      <c r="AY74" s="1518"/>
      <c r="AZ74" s="1518"/>
      <c r="BA74" s="435"/>
      <c r="BB74" s="34">
        <f t="shared" si="3"/>
        <v>68</v>
      </c>
    </row>
    <row r="75" spans="1:54">
      <c r="A75" s="20"/>
      <c r="E75" s="1427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430"/>
      <c r="BB75" s="34">
        <f t="shared" si="3"/>
        <v>69</v>
      </c>
    </row>
    <row r="76" spans="1:54">
      <c r="A76" s="128" t="s">
        <v>184</v>
      </c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430"/>
      <c r="BB76" s="34">
        <f t="shared" si="3"/>
        <v>70</v>
      </c>
    </row>
    <row r="77" spans="1:54">
      <c r="A77" s="422" t="s">
        <v>167</v>
      </c>
      <c r="B77" s="238"/>
      <c r="C77" s="238"/>
      <c r="D77" s="238"/>
      <c r="E77" s="259">
        <v>7598.2078853046587</v>
      </c>
      <c r="F77" s="259">
        <v>0</v>
      </c>
      <c r="G77" s="259">
        <v>2638.5224274406332</v>
      </c>
      <c r="H77" s="259">
        <v>9410.7299912049257</v>
      </c>
      <c r="I77" s="259">
        <v>12938.664335664338</v>
      </c>
      <c r="J77" s="259">
        <v>5260.8695652173919</v>
      </c>
      <c r="K77" s="259">
        <v>18755.412273120139</v>
      </c>
      <c r="L77" s="259">
        <v>5760.9630266552022</v>
      </c>
      <c r="M77" s="259">
        <v>5692.4384027187762</v>
      </c>
      <c r="N77" s="259">
        <v>21168.1239460371</v>
      </c>
      <c r="O77" s="259">
        <v>3569.6383515559291</v>
      </c>
      <c r="P77" s="259">
        <v>0</v>
      </c>
      <c r="Q77" s="259">
        <v>0</v>
      </c>
      <c r="R77" s="259">
        <v>0</v>
      </c>
      <c r="S77" s="259">
        <v>0</v>
      </c>
      <c r="T77" s="259">
        <v>0</v>
      </c>
      <c r="U77" s="259">
        <v>0</v>
      </c>
      <c r="V77" s="259">
        <v>0</v>
      </c>
      <c r="W77" s="259">
        <v>0</v>
      </c>
      <c r="X77" s="259">
        <v>0</v>
      </c>
      <c r="Y77" s="259">
        <v>0</v>
      </c>
      <c r="Z77" s="259">
        <v>0</v>
      </c>
      <c r="AA77" s="259">
        <v>0</v>
      </c>
      <c r="AB77" s="259">
        <v>0</v>
      </c>
      <c r="AC77" s="1426">
        <v>0</v>
      </c>
      <c r="AD77" s="1426">
        <v>0</v>
      </c>
      <c r="AE77" s="1426">
        <v>0</v>
      </c>
      <c r="AF77" s="1426">
        <v>0</v>
      </c>
      <c r="AG77" s="1426">
        <v>0</v>
      </c>
      <c r="AH77" s="1426">
        <v>0</v>
      </c>
      <c r="AI77" s="1426">
        <v>0</v>
      </c>
      <c r="AJ77" s="1426">
        <v>0</v>
      </c>
      <c r="AK77" s="1426">
        <v>0</v>
      </c>
      <c r="AL77" s="1426">
        <v>0</v>
      </c>
      <c r="AM77" s="1426">
        <v>0</v>
      </c>
      <c r="AN77" s="1426">
        <v>0</v>
      </c>
      <c r="AO77" s="1426">
        <v>0</v>
      </c>
      <c r="AP77" s="1426">
        <v>0</v>
      </c>
      <c r="AQ77" s="1426">
        <v>0</v>
      </c>
      <c r="AR77" s="1426">
        <v>0</v>
      </c>
      <c r="AS77" s="1426">
        <v>0</v>
      </c>
      <c r="AT77" s="1426">
        <v>0</v>
      </c>
      <c r="AU77" s="1426">
        <v>0</v>
      </c>
      <c r="AV77" s="1426">
        <v>0</v>
      </c>
      <c r="AW77" s="1426">
        <v>0</v>
      </c>
      <c r="AX77" s="1426">
        <v>0</v>
      </c>
      <c r="AY77" s="1426">
        <v>0</v>
      </c>
      <c r="AZ77" s="1426">
        <v>0</v>
      </c>
      <c r="BA77" s="435">
        <f>SUM(E77:AZ77)</f>
        <v>92793.570204919088</v>
      </c>
      <c r="BB77" s="34">
        <f t="shared" si="3"/>
        <v>71</v>
      </c>
    </row>
    <row r="78" spans="1:54" s="289" customFormat="1">
      <c r="A78" s="422" t="s">
        <v>168</v>
      </c>
      <c r="B78" s="238"/>
      <c r="C78" s="238"/>
      <c r="D78" s="238"/>
      <c r="E78" s="259">
        <f>SUM($E$77:E77)</f>
        <v>7598.2078853046587</v>
      </c>
      <c r="F78" s="259">
        <f>SUM($E$77:F77)</f>
        <v>7598.2078853046587</v>
      </c>
      <c r="G78" s="259">
        <f>SUM($E$77:G77)</f>
        <v>10236.730312745292</v>
      </c>
      <c r="H78" s="259">
        <f>SUM($E$77:H77)</f>
        <v>19647.460303950218</v>
      </c>
      <c r="I78" s="259">
        <f>SUM($E$77:I77)</f>
        <v>32586.124639614558</v>
      </c>
      <c r="J78" s="259">
        <f>SUM($E$77:J77)</f>
        <v>37846.99420483195</v>
      </c>
      <c r="K78" s="259">
        <f>SUM($E$77:K77)</f>
        <v>56602.406477952085</v>
      </c>
      <c r="L78" s="259">
        <f>SUM($E$77:L77)</f>
        <v>62363.36950460729</v>
      </c>
      <c r="M78" s="259">
        <f>SUM($E$77:M77)</f>
        <v>68055.80790732606</v>
      </c>
      <c r="N78" s="259">
        <f>SUM($E$77:N77)</f>
        <v>89223.931853363159</v>
      </c>
      <c r="O78" s="259">
        <f>SUM($E$77:O77)</f>
        <v>92793.570204919088</v>
      </c>
      <c r="P78" s="259">
        <f>SUM($E$77:P77)</f>
        <v>92793.570204919088</v>
      </c>
      <c r="Q78" s="259">
        <f>SUM($E$77:Q77)</f>
        <v>92793.570204919088</v>
      </c>
      <c r="R78" s="259">
        <f>SUM($E$77:R77)</f>
        <v>92793.570204919088</v>
      </c>
      <c r="S78" s="259">
        <f>SUM($E$77:S77)</f>
        <v>92793.570204919088</v>
      </c>
      <c r="T78" s="259">
        <f>SUM($E$77:T77)</f>
        <v>92793.570204919088</v>
      </c>
      <c r="U78" s="259">
        <f>SUM($E$77:U77)</f>
        <v>92793.570204919088</v>
      </c>
      <c r="V78" s="259">
        <f>SUM($E$77:V77)</f>
        <v>92793.570204919088</v>
      </c>
      <c r="W78" s="259">
        <f>SUM($E$77:W77)</f>
        <v>92793.570204919088</v>
      </c>
      <c r="X78" s="259">
        <f>SUM($E$77:X77)</f>
        <v>92793.570204919088</v>
      </c>
      <c r="Y78" s="259">
        <f>SUM($E$77:Y77)</f>
        <v>92793.570204919088</v>
      </c>
      <c r="Z78" s="259">
        <f>SUM($E$77:Z77)</f>
        <v>92793.570204919088</v>
      </c>
      <c r="AA78" s="259">
        <f>SUM($E$77:AA77)</f>
        <v>92793.570204919088</v>
      </c>
      <c r="AB78" s="259">
        <f>SUM($E$77:AB77)</f>
        <v>92793.570204919088</v>
      </c>
      <c r="AC78" s="259">
        <f>SUM($E$77:AC77)</f>
        <v>92793.570204919088</v>
      </c>
      <c r="AD78" s="259">
        <f>SUM($E$77:AD77)</f>
        <v>92793.570204919088</v>
      </c>
      <c r="AE78" s="259">
        <f>SUM($E$77:AE77)</f>
        <v>92793.570204919088</v>
      </c>
      <c r="AF78" s="259">
        <f>SUM($E$77:AF77)</f>
        <v>92793.570204919088</v>
      </c>
      <c r="AG78" s="259">
        <f>SUM($E$77:AG77)</f>
        <v>92793.570204919088</v>
      </c>
      <c r="AH78" s="259">
        <f>SUM($E$77:AH77)</f>
        <v>92793.570204919088</v>
      </c>
      <c r="AI78" s="259">
        <f>SUM($E$77:AI77)</f>
        <v>92793.570204919088</v>
      </c>
      <c r="AJ78" s="259">
        <f>SUM($E$77:AJ77)</f>
        <v>92793.570204919088</v>
      </c>
      <c r="AK78" s="259">
        <f>SUM($E$77:AK77)</f>
        <v>92793.570204919088</v>
      </c>
      <c r="AL78" s="259">
        <f>SUM($E$77:AL77)</f>
        <v>92793.570204919088</v>
      </c>
      <c r="AM78" s="259">
        <f>SUM($E$77:AM77)</f>
        <v>92793.570204919088</v>
      </c>
      <c r="AN78" s="259">
        <f>SUM($E$77:AN77)</f>
        <v>92793.570204919088</v>
      </c>
      <c r="AO78" s="259">
        <f>SUM($E$77:AO77)</f>
        <v>92793.570204919088</v>
      </c>
      <c r="AP78" s="259">
        <f>SUM($E$77:AP77)</f>
        <v>92793.570204919088</v>
      </c>
      <c r="AQ78" s="259">
        <f>SUM($E$77:AQ77)</f>
        <v>92793.570204919088</v>
      </c>
      <c r="AR78" s="259">
        <f>SUM($E$77:AR77)</f>
        <v>92793.570204919088</v>
      </c>
      <c r="AS78" s="259">
        <f>SUM($E$77:AS77)</f>
        <v>92793.570204919088</v>
      </c>
      <c r="AT78" s="259">
        <f>SUM($E$77:AT77)</f>
        <v>92793.570204919088</v>
      </c>
      <c r="AU78" s="259">
        <f>SUM($E$77:AU77)</f>
        <v>92793.570204919088</v>
      </c>
      <c r="AV78" s="259">
        <f>SUM($E$77:AV77)</f>
        <v>92793.570204919088</v>
      </c>
      <c r="AW78" s="259">
        <f>SUM($E$77:AW77)</f>
        <v>92793.570204919088</v>
      </c>
      <c r="AX78" s="259">
        <f>SUM($E$77:AX77)</f>
        <v>92793.570204919088</v>
      </c>
      <c r="AY78" s="259">
        <f>SUM($E$77:AY77)</f>
        <v>92793.570204919088</v>
      </c>
      <c r="AZ78" s="259">
        <f>SUM($E$77:AZ77)</f>
        <v>92793.570204919088</v>
      </c>
      <c r="BA78" s="451"/>
      <c r="BB78" s="34">
        <f t="shared" si="3"/>
        <v>72</v>
      </c>
    </row>
    <row r="79" spans="1:54">
      <c r="A79" s="128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430"/>
      <c r="BB79" s="34">
        <f t="shared" si="3"/>
        <v>73</v>
      </c>
    </row>
    <row r="80" spans="1:54">
      <c r="A80" s="20" t="s">
        <v>516</v>
      </c>
      <c r="E80" s="766">
        <v>0</v>
      </c>
      <c r="F80" s="37">
        <f t="shared" ref="F80:AN80" ca="1" si="75">E84</f>
        <v>7598.2078853046587</v>
      </c>
      <c r="G80" s="37">
        <f t="shared" ca="1" si="75"/>
        <v>7598.2078853046587</v>
      </c>
      <c r="H80" s="37">
        <f t="shared" ca="1" si="75"/>
        <v>10236.730312745292</v>
      </c>
      <c r="I80" s="37">
        <f t="shared" ca="1" si="75"/>
        <v>19647.460303950218</v>
      </c>
      <c r="J80" s="37">
        <f t="shared" ca="1" si="75"/>
        <v>32586.124639614558</v>
      </c>
      <c r="K80" s="37">
        <f t="shared" ca="1" si="75"/>
        <v>37846.99420483195</v>
      </c>
      <c r="L80" s="37">
        <f t="shared" ca="1" si="75"/>
        <v>56602.406477952085</v>
      </c>
      <c r="M80" s="37">
        <f t="shared" ca="1" si="75"/>
        <v>62363.36950460729</v>
      </c>
      <c r="N80" s="37">
        <f t="shared" ca="1" si="75"/>
        <v>68055.80790732606</v>
      </c>
      <c r="O80" s="37">
        <f t="shared" ca="1" si="75"/>
        <v>89223.931853363159</v>
      </c>
      <c r="P80" s="37">
        <f t="shared" ca="1" si="75"/>
        <v>92793.570204919088</v>
      </c>
      <c r="Q80" s="37">
        <f t="shared" ca="1" si="75"/>
        <v>92793.570204919088</v>
      </c>
      <c r="R80" s="37">
        <f t="shared" ca="1" si="75"/>
        <v>92793.570204919088</v>
      </c>
      <c r="S80" s="37">
        <f t="shared" ca="1" si="75"/>
        <v>92793.570204919088</v>
      </c>
      <c r="T80" s="37">
        <f t="shared" ca="1" si="75"/>
        <v>92793.570204919088</v>
      </c>
      <c r="U80" s="37">
        <f t="shared" ca="1" si="75"/>
        <v>92793.570204919088</v>
      </c>
      <c r="V80" s="37">
        <f t="shared" ca="1" si="75"/>
        <v>92793.570204919088</v>
      </c>
      <c r="W80" s="37">
        <f t="shared" ca="1" si="75"/>
        <v>92793.570204919088</v>
      </c>
      <c r="X80" s="37">
        <f t="shared" ca="1" si="75"/>
        <v>92793.570204919088</v>
      </c>
      <c r="Y80" s="37">
        <f t="shared" ca="1" si="75"/>
        <v>92793.570204919088</v>
      </c>
      <c r="Z80" s="37">
        <f t="shared" ca="1" si="75"/>
        <v>92793.570204919088</v>
      </c>
      <c r="AA80" s="37">
        <f t="shared" ca="1" si="75"/>
        <v>92793.570204919088</v>
      </c>
      <c r="AB80" s="37">
        <f t="shared" ca="1" si="75"/>
        <v>92793.570204919088</v>
      </c>
      <c r="AC80" s="37">
        <f t="shared" ca="1" si="75"/>
        <v>92793.570204919088</v>
      </c>
      <c r="AD80" s="37">
        <f t="shared" ca="1" si="75"/>
        <v>92793.570204919088</v>
      </c>
      <c r="AE80" s="37">
        <f t="shared" ca="1" si="75"/>
        <v>92793.570204919088</v>
      </c>
      <c r="AF80" s="37">
        <f t="shared" ca="1" si="75"/>
        <v>92793.570204919088</v>
      </c>
      <c r="AG80" s="37">
        <f t="shared" ca="1" si="75"/>
        <v>92793.570204919088</v>
      </c>
      <c r="AH80" s="37">
        <f t="shared" ca="1" si="75"/>
        <v>92793.570204919088</v>
      </c>
      <c r="AI80" s="37">
        <f t="shared" ca="1" si="75"/>
        <v>92793.570204919088</v>
      </c>
      <c r="AJ80" s="37">
        <f t="shared" ca="1" si="75"/>
        <v>92793.570204919088</v>
      </c>
      <c r="AK80" s="37">
        <f t="shared" ca="1" si="75"/>
        <v>92793.570204919088</v>
      </c>
      <c r="AL80" s="37">
        <f t="shared" ca="1" si="75"/>
        <v>92793.570204919088</v>
      </c>
      <c r="AM80" s="37">
        <f t="shared" ca="1" si="75"/>
        <v>92793.570204919088</v>
      </c>
      <c r="AN80" s="37">
        <f t="shared" ca="1" si="75"/>
        <v>92793.570204919088</v>
      </c>
      <c r="AO80" s="37">
        <f ca="1">AN84</f>
        <v>92793.570204919088</v>
      </c>
      <c r="AP80" s="37">
        <f ca="1">AO84</f>
        <v>92793.570204919088</v>
      </c>
      <c r="AQ80" s="37">
        <f ca="1">AP84</f>
        <v>92793.570204919088</v>
      </c>
      <c r="AR80" s="37">
        <f ca="1">AQ84</f>
        <v>92793.570204919088</v>
      </c>
      <c r="AS80" s="37">
        <f t="shared" ref="AS80:AZ80" ca="1" si="76">AR84</f>
        <v>92793.570204919088</v>
      </c>
      <c r="AT80" s="37">
        <f t="shared" ca="1" si="76"/>
        <v>92793.570204919088</v>
      </c>
      <c r="AU80" s="37">
        <f t="shared" ca="1" si="76"/>
        <v>92793.570204919088</v>
      </c>
      <c r="AV80" s="37">
        <f t="shared" ca="1" si="76"/>
        <v>92793.570204919088</v>
      </c>
      <c r="AW80" s="37">
        <f t="shared" ca="1" si="76"/>
        <v>92793.570204919088</v>
      </c>
      <c r="AX80" s="37">
        <f t="shared" ca="1" si="76"/>
        <v>92793.570204919088</v>
      </c>
      <c r="AY80" s="37">
        <f t="shared" ca="1" si="76"/>
        <v>92793.570204919088</v>
      </c>
      <c r="AZ80" s="37">
        <f t="shared" ca="1" si="76"/>
        <v>92793.570204919088</v>
      </c>
      <c r="BA80" s="435">
        <f>E80</f>
        <v>0</v>
      </c>
      <c r="BB80" s="34">
        <f t="shared" si="3"/>
        <v>74</v>
      </c>
    </row>
    <row r="81" spans="1:54">
      <c r="A81" s="20" t="s">
        <v>532</v>
      </c>
      <c r="E81" s="37">
        <f t="shared" ref="E81:AN81" ca="1" si="77">IF(E80&gt;=Est_Cost1*Equityperc,0,IF(SUM(E80,E17)&gt;Est_Cost1*Equityperc,Est_Cost1*Equityperc-E80,E17))*0+E77</f>
        <v>7598.2078853046587</v>
      </c>
      <c r="F81" s="37">
        <f t="shared" ca="1" si="77"/>
        <v>0</v>
      </c>
      <c r="G81" s="37">
        <f t="shared" ca="1" si="77"/>
        <v>2638.5224274406332</v>
      </c>
      <c r="H81" s="37">
        <f t="shared" ca="1" si="77"/>
        <v>9410.7299912049257</v>
      </c>
      <c r="I81" s="37">
        <f t="shared" ca="1" si="77"/>
        <v>12938.664335664338</v>
      </c>
      <c r="J81" s="37">
        <f t="shared" ca="1" si="77"/>
        <v>5260.8695652173919</v>
      </c>
      <c r="K81" s="37">
        <f t="shared" ca="1" si="77"/>
        <v>18755.412273120139</v>
      </c>
      <c r="L81" s="37">
        <f t="shared" ca="1" si="77"/>
        <v>5760.9630266552022</v>
      </c>
      <c r="M81" s="37">
        <f t="shared" ca="1" si="77"/>
        <v>5692.4384027187762</v>
      </c>
      <c r="N81" s="37">
        <f t="shared" ca="1" si="77"/>
        <v>21168.1239460371</v>
      </c>
      <c r="O81" s="37">
        <f t="shared" ca="1" si="77"/>
        <v>3569.6383515559291</v>
      </c>
      <c r="P81" s="37">
        <f t="shared" ca="1" si="77"/>
        <v>0</v>
      </c>
      <c r="Q81" s="37">
        <f t="shared" ca="1" si="77"/>
        <v>0</v>
      </c>
      <c r="R81" s="37">
        <f t="shared" ca="1" si="77"/>
        <v>0</v>
      </c>
      <c r="S81" s="37">
        <f t="shared" ca="1" si="77"/>
        <v>0</v>
      </c>
      <c r="T81" s="37">
        <f t="shared" ca="1" si="77"/>
        <v>0</v>
      </c>
      <c r="U81" s="37">
        <f t="shared" ca="1" si="77"/>
        <v>0</v>
      </c>
      <c r="V81" s="37">
        <f t="shared" ca="1" si="77"/>
        <v>0</v>
      </c>
      <c r="W81" s="37">
        <f t="shared" ca="1" si="77"/>
        <v>0</v>
      </c>
      <c r="X81" s="37">
        <f t="shared" ca="1" si="77"/>
        <v>0</v>
      </c>
      <c r="Y81" s="37">
        <f t="shared" ca="1" si="77"/>
        <v>0</v>
      </c>
      <c r="Z81" s="37">
        <f t="shared" ca="1" si="77"/>
        <v>0</v>
      </c>
      <c r="AA81" s="37">
        <f t="shared" ca="1" si="77"/>
        <v>0</v>
      </c>
      <c r="AB81" s="37">
        <f t="shared" ca="1" si="77"/>
        <v>0</v>
      </c>
      <c r="AC81" s="37">
        <f t="shared" ca="1" si="77"/>
        <v>0</v>
      </c>
      <c r="AD81" s="37">
        <f t="shared" ca="1" si="77"/>
        <v>0</v>
      </c>
      <c r="AE81" s="37">
        <f t="shared" ca="1" si="77"/>
        <v>0</v>
      </c>
      <c r="AF81" s="37">
        <f t="shared" ca="1" si="77"/>
        <v>0</v>
      </c>
      <c r="AG81" s="37">
        <f t="shared" ca="1" si="77"/>
        <v>0</v>
      </c>
      <c r="AH81" s="37">
        <f t="shared" ca="1" si="77"/>
        <v>0</v>
      </c>
      <c r="AI81" s="37">
        <f t="shared" ca="1" si="77"/>
        <v>0</v>
      </c>
      <c r="AJ81" s="37">
        <f t="shared" ca="1" si="77"/>
        <v>0</v>
      </c>
      <c r="AK81" s="37">
        <f t="shared" ca="1" si="77"/>
        <v>0</v>
      </c>
      <c r="AL81" s="37">
        <f t="shared" ca="1" si="77"/>
        <v>0</v>
      </c>
      <c r="AM81" s="37">
        <f t="shared" ca="1" si="77"/>
        <v>0</v>
      </c>
      <c r="AN81" s="37">
        <f t="shared" ca="1" si="77"/>
        <v>0</v>
      </c>
      <c r="AO81" s="37">
        <f ca="1">IF(AO80&gt;=Est_Cost1*Equityperc,0,IF(SUM(AO80,AO17)&gt;Est_Cost1*Equityperc,Est_Cost1*Equityperc-AO80,AO17))*0+AO77</f>
        <v>0</v>
      </c>
      <c r="AP81" s="37">
        <f ca="1">IF(AP80&gt;=Est_Cost1*Equityperc,0,IF(SUM(AP80,AP17)&gt;Est_Cost1*Equityperc,Est_Cost1*Equityperc-AP80,AP17))*0+AP77</f>
        <v>0</v>
      </c>
      <c r="AQ81" s="37">
        <f ca="1">IF(AQ80&gt;=Est_Cost1*Equityperc,0,IF(SUM(AQ80,AQ17)&gt;Est_Cost1*Equityperc,Est_Cost1*Equityperc-AQ80,AQ17))*0+AQ77</f>
        <v>0</v>
      </c>
      <c r="AR81" s="37">
        <f ca="1">IF(AR80&gt;=Est_Cost1*Equityperc,0,IF(SUM(AR80,AR17)&gt;Est_Cost1*Equityperc,Est_Cost1*Equityperc-AR80,AR17))*0+AR77</f>
        <v>0</v>
      </c>
      <c r="AS81" s="37">
        <f t="shared" ref="AS81:AZ81" ca="1" si="78">IF(AS80&gt;=Est_Cost1*Equityperc,0,IF(SUM(AS80,AS17)&gt;Est_Cost1*Equityperc,Est_Cost1*Equityperc-AS80,AS17))*0+AS77</f>
        <v>0</v>
      </c>
      <c r="AT81" s="37">
        <f t="shared" ca="1" si="78"/>
        <v>0</v>
      </c>
      <c r="AU81" s="37">
        <f t="shared" ca="1" si="78"/>
        <v>0</v>
      </c>
      <c r="AV81" s="37">
        <f t="shared" ca="1" si="78"/>
        <v>0</v>
      </c>
      <c r="AW81" s="37">
        <f t="shared" ca="1" si="78"/>
        <v>0</v>
      </c>
      <c r="AX81" s="37">
        <f t="shared" ca="1" si="78"/>
        <v>0</v>
      </c>
      <c r="AY81" s="37">
        <f t="shared" ca="1" si="78"/>
        <v>0</v>
      </c>
      <c r="AZ81" s="37">
        <f t="shared" ca="1" si="78"/>
        <v>0</v>
      </c>
      <c r="BA81" s="435">
        <f ca="1">SUM(E81:AZ81)</f>
        <v>92793.570204919088</v>
      </c>
      <c r="BB81" s="34">
        <f t="shared" si="3"/>
        <v>75</v>
      </c>
    </row>
    <row r="82" spans="1:54">
      <c r="A82" s="20" t="s">
        <v>317</v>
      </c>
      <c r="E82" s="766">
        <v>0</v>
      </c>
      <c r="F82" s="766">
        <v>0</v>
      </c>
      <c r="G82" s="766">
        <v>0</v>
      </c>
      <c r="H82" s="766">
        <v>0</v>
      </c>
      <c r="I82" s="766">
        <v>0</v>
      </c>
      <c r="J82" s="766">
        <v>0</v>
      </c>
      <c r="K82" s="766">
        <v>0</v>
      </c>
      <c r="L82" s="766">
        <v>0</v>
      </c>
      <c r="M82" s="766">
        <v>0</v>
      </c>
      <c r="N82" s="766">
        <v>0</v>
      </c>
      <c r="O82" s="766">
        <v>0</v>
      </c>
      <c r="P82" s="766">
        <v>0</v>
      </c>
      <c r="Q82" s="766">
        <v>0</v>
      </c>
      <c r="R82" s="766">
        <v>0</v>
      </c>
      <c r="S82" s="766">
        <v>0</v>
      </c>
      <c r="T82" s="766">
        <v>0</v>
      </c>
      <c r="U82" s="766">
        <v>0</v>
      </c>
      <c r="V82" s="766">
        <v>0</v>
      </c>
      <c r="W82" s="766">
        <v>0</v>
      </c>
      <c r="X82" s="766">
        <v>0</v>
      </c>
      <c r="Y82" s="766">
        <v>0</v>
      </c>
      <c r="Z82" s="766">
        <v>0</v>
      </c>
      <c r="AA82" s="766">
        <v>0</v>
      </c>
      <c r="AB82" s="766">
        <v>0</v>
      </c>
      <c r="AC82" s="766">
        <v>0</v>
      </c>
      <c r="AD82" s="766">
        <v>0</v>
      </c>
      <c r="AE82" s="766">
        <v>0</v>
      </c>
      <c r="AF82" s="766">
        <v>0</v>
      </c>
      <c r="AG82" s="766">
        <v>0</v>
      </c>
      <c r="AH82" s="766">
        <v>0</v>
      </c>
      <c r="AI82" s="766">
        <v>0</v>
      </c>
      <c r="AJ82" s="766">
        <v>0</v>
      </c>
      <c r="AK82" s="766">
        <v>0</v>
      </c>
      <c r="AL82" s="766">
        <v>0</v>
      </c>
      <c r="AM82" s="766">
        <v>0</v>
      </c>
      <c r="AN82" s="766">
        <v>0</v>
      </c>
      <c r="AO82" s="766">
        <v>0</v>
      </c>
      <c r="AP82" s="766">
        <v>0</v>
      </c>
      <c r="AQ82" s="766">
        <v>0</v>
      </c>
      <c r="AR82" s="766">
        <v>0</v>
      </c>
      <c r="AS82" s="766">
        <v>0</v>
      </c>
      <c r="AT82" s="766">
        <v>0</v>
      </c>
      <c r="AU82" s="766">
        <v>0</v>
      </c>
      <c r="AV82" s="766">
        <v>0</v>
      </c>
      <c r="AW82" s="766">
        <v>0</v>
      </c>
      <c r="AX82" s="766">
        <v>0</v>
      </c>
      <c r="AY82" s="766">
        <v>0</v>
      </c>
      <c r="AZ82" s="766">
        <v>0</v>
      </c>
      <c r="BA82" s="435">
        <f>SUM(E82:AZ82)</f>
        <v>0</v>
      </c>
      <c r="BB82" s="34">
        <f t="shared" si="3"/>
        <v>76</v>
      </c>
    </row>
    <row r="83" spans="1:54">
      <c r="A83" s="20" t="s">
        <v>103</v>
      </c>
      <c r="E83" s="767">
        <v>0</v>
      </c>
      <c r="F83" s="767">
        <v>0</v>
      </c>
      <c r="G83" s="767">
        <v>0</v>
      </c>
      <c r="H83" s="767">
        <v>0</v>
      </c>
      <c r="I83" s="767">
        <v>0</v>
      </c>
      <c r="J83" s="767">
        <v>0</v>
      </c>
      <c r="K83" s="767">
        <v>0</v>
      </c>
      <c r="L83" s="767">
        <v>0</v>
      </c>
      <c r="M83" s="767">
        <v>0</v>
      </c>
      <c r="N83" s="767">
        <v>0</v>
      </c>
      <c r="O83" s="767">
        <v>0</v>
      </c>
      <c r="P83" s="767">
        <v>0</v>
      </c>
      <c r="Q83" s="767">
        <v>0</v>
      </c>
      <c r="R83" s="767">
        <v>0</v>
      </c>
      <c r="S83" s="767">
        <v>0</v>
      </c>
      <c r="T83" s="767">
        <v>0</v>
      </c>
      <c r="U83" s="767">
        <v>0</v>
      </c>
      <c r="V83" s="767">
        <v>0</v>
      </c>
      <c r="W83" s="767">
        <v>0</v>
      </c>
      <c r="X83" s="767">
        <v>0</v>
      </c>
      <c r="Y83" s="767">
        <v>0</v>
      </c>
      <c r="Z83" s="767">
        <v>0</v>
      </c>
      <c r="AA83" s="767">
        <v>0</v>
      </c>
      <c r="AB83" s="767">
        <v>0</v>
      </c>
      <c r="AC83" s="767">
        <v>0</v>
      </c>
      <c r="AD83" s="767">
        <v>0</v>
      </c>
      <c r="AE83" s="767">
        <v>0</v>
      </c>
      <c r="AF83" s="767">
        <v>0</v>
      </c>
      <c r="AG83" s="767">
        <v>0</v>
      </c>
      <c r="AH83" s="767">
        <v>0</v>
      </c>
      <c r="AI83" s="767">
        <v>0</v>
      </c>
      <c r="AJ83" s="767">
        <v>0</v>
      </c>
      <c r="AK83" s="767">
        <v>0</v>
      </c>
      <c r="AL83" s="767">
        <v>0</v>
      </c>
      <c r="AM83" s="767">
        <v>0</v>
      </c>
      <c r="AN83" s="767">
        <v>0</v>
      </c>
      <c r="AO83" s="767">
        <v>0</v>
      </c>
      <c r="AP83" s="767">
        <v>0</v>
      </c>
      <c r="AQ83" s="767">
        <v>0</v>
      </c>
      <c r="AR83" s="767">
        <v>0</v>
      </c>
      <c r="AS83" s="767">
        <v>0</v>
      </c>
      <c r="AT83" s="767">
        <v>0</v>
      </c>
      <c r="AU83" s="767">
        <v>0</v>
      </c>
      <c r="AV83" s="767">
        <v>0</v>
      </c>
      <c r="AW83" s="767">
        <v>0</v>
      </c>
      <c r="AX83" s="767">
        <v>0</v>
      </c>
      <c r="AY83" s="767">
        <v>0</v>
      </c>
      <c r="AZ83" s="767">
        <v>0</v>
      </c>
      <c r="BA83" s="436">
        <f>SUM(E83:AZ83)</f>
        <v>0</v>
      </c>
      <c r="BB83" s="34">
        <f t="shared" si="3"/>
        <v>77</v>
      </c>
    </row>
    <row r="84" spans="1:54" s="15" customFormat="1">
      <c r="A84" s="20" t="s">
        <v>517</v>
      </c>
      <c r="E84" s="37">
        <f ca="1">SUM(E80:E83)</f>
        <v>7598.2078853046587</v>
      </c>
      <c r="F84" s="37">
        <f t="shared" ref="F84:AN84" ca="1" si="79">SUM(F80:F83)</f>
        <v>7598.2078853046587</v>
      </c>
      <c r="G84" s="37">
        <f t="shared" ca="1" si="79"/>
        <v>10236.730312745292</v>
      </c>
      <c r="H84" s="37">
        <f t="shared" ca="1" si="79"/>
        <v>19647.460303950218</v>
      </c>
      <c r="I84" s="37">
        <f t="shared" ca="1" si="79"/>
        <v>32586.124639614558</v>
      </c>
      <c r="J84" s="37">
        <f t="shared" ca="1" si="79"/>
        <v>37846.99420483195</v>
      </c>
      <c r="K84" s="37">
        <f t="shared" ca="1" si="79"/>
        <v>56602.406477952085</v>
      </c>
      <c r="L84" s="37">
        <f t="shared" ca="1" si="79"/>
        <v>62363.36950460729</v>
      </c>
      <c r="M84" s="37">
        <f t="shared" ca="1" si="79"/>
        <v>68055.80790732606</v>
      </c>
      <c r="N84" s="37">
        <f t="shared" ca="1" si="79"/>
        <v>89223.931853363159</v>
      </c>
      <c r="O84" s="37">
        <f t="shared" ca="1" si="79"/>
        <v>92793.570204919088</v>
      </c>
      <c r="P84" s="37">
        <f t="shared" ca="1" si="79"/>
        <v>92793.570204919088</v>
      </c>
      <c r="Q84" s="37">
        <f t="shared" ca="1" si="79"/>
        <v>92793.570204919088</v>
      </c>
      <c r="R84" s="37">
        <f t="shared" ca="1" si="79"/>
        <v>92793.570204919088</v>
      </c>
      <c r="S84" s="37">
        <f t="shared" ca="1" si="79"/>
        <v>92793.570204919088</v>
      </c>
      <c r="T84" s="37">
        <f t="shared" ca="1" si="79"/>
        <v>92793.570204919088</v>
      </c>
      <c r="U84" s="37">
        <f t="shared" ca="1" si="79"/>
        <v>92793.570204919088</v>
      </c>
      <c r="V84" s="37">
        <f t="shared" ca="1" si="79"/>
        <v>92793.570204919088</v>
      </c>
      <c r="W84" s="37">
        <f t="shared" ca="1" si="79"/>
        <v>92793.570204919088</v>
      </c>
      <c r="X84" s="37">
        <f t="shared" ca="1" si="79"/>
        <v>92793.570204919088</v>
      </c>
      <c r="Y84" s="37">
        <f t="shared" ca="1" si="79"/>
        <v>92793.570204919088</v>
      </c>
      <c r="Z84" s="37">
        <f t="shared" ca="1" si="79"/>
        <v>92793.570204919088</v>
      </c>
      <c r="AA84" s="37">
        <f t="shared" ca="1" si="79"/>
        <v>92793.570204919088</v>
      </c>
      <c r="AB84" s="37">
        <f t="shared" ca="1" si="79"/>
        <v>92793.570204919088</v>
      </c>
      <c r="AC84" s="37">
        <f t="shared" ca="1" si="79"/>
        <v>92793.570204919088</v>
      </c>
      <c r="AD84" s="37">
        <f t="shared" ca="1" si="79"/>
        <v>92793.570204919088</v>
      </c>
      <c r="AE84" s="37">
        <f t="shared" ca="1" si="79"/>
        <v>92793.570204919088</v>
      </c>
      <c r="AF84" s="37">
        <f t="shared" ca="1" si="79"/>
        <v>92793.570204919088</v>
      </c>
      <c r="AG84" s="37">
        <f t="shared" ca="1" si="79"/>
        <v>92793.570204919088</v>
      </c>
      <c r="AH84" s="37">
        <f t="shared" ca="1" si="79"/>
        <v>92793.570204919088</v>
      </c>
      <c r="AI84" s="37">
        <f t="shared" ca="1" si="79"/>
        <v>92793.570204919088</v>
      </c>
      <c r="AJ84" s="37">
        <f t="shared" ca="1" si="79"/>
        <v>92793.570204919088</v>
      </c>
      <c r="AK84" s="37">
        <f t="shared" ca="1" si="79"/>
        <v>92793.570204919088</v>
      </c>
      <c r="AL84" s="37">
        <f t="shared" ca="1" si="79"/>
        <v>92793.570204919088</v>
      </c>
      <c r="AM84" s="37">
        <f t="shared" ca="1" si="79"/>
        <v>92793.570204919088</v>
      </c>
      <c r="AN84" s="37">
        <f t="shared" ca="1" si="79"/>
        <v>92793.570204919088</v>
      </c>
      <c r="AO84" s="37">
        <f ca="1">SUM(AO80:AO83)</f>
        <v>92793.570204919088</v>
      </c>
      <c r="AP84" s="37">
        <f ca="1">SUM(AP80:AP83)</f>
        <v>92793.570204919088</v>
      </c>
      <c r="AQ84" s="37">
        <f ca="1">SUM(AQ80:AQ83)</f>
        <v>92793.570204919088</v>
      </c>
      <c r="AR84" s="37">
        <f ca="1">SUM(AR80:AR83)</f>
        <v>92793.570204919088</v>
      </c>
      <c r="AS84" s="37">
        <f t="shared" ref="AS84:AZ84" ca="1" si="80">SUM(AS80:AS83)</f>
        <v>92793.570204919088</v>
      </c>
      <c r="AT84" s="37">
        <f t="shared" ca="1" si="80"/>
        <v>92793.570204919088</v>
      </c>
      <c r="AU84" s="37">
        <f t="shared" ca="1" si="80"/>
        <v>92793.570204919088</v>
      </c>
      <c r="AV84" s="37">
        <f t="shared" ca="1" si="80"/>
        <v>92793.570204919088</v>
      </c>
      <c r="AW84" s="37">
        <f t="shared" ca="1" si="80"/>
        <v>92793.570204919088</v>
      </c>
      <c r="AX84" s="37">
        <f t="shared" ca="1" si="80"/>
        <v>92793.570204919088</v>
      </c>
      <c r="AY84" s="37">
        <f t="shared" ca="1" si="80"/>
        <v>92793.570204919088</v>
      </c>
      <c r="AZ84" s="37">
        <f t="shared" ca="1" si="80"/>
        <v>92793.570204919088</v>
      </c>
      <c r="BA84" s="435">
        <f ca="1">SUM(BA80:BA83)</f>
        <v>92793.570204919088</v>
      </c>
      <c r="BB84" s="34">
        <f t="shared" si="3"/>
        <v>78</v>
      </c>
    </row>
    <row r="85" spans="1:54">
      <c r="A85" s="20"/>
      <c r="BA85" s="430"/>
      <c r="BB85" s="34">
        <f t="shared" si="3"/>
        <v>79</v>
      </c>
    </row>
    <row r="86" spans="1:54" s="15" customFormat="1">
      <c r="A86" s="529" t="s">
        <v>1321</v>
      </c>
      <c r="B86" s="379"/>
      <c r="C86" s="530">
        <f ca="1">BA54</f>
        <v>23757.596540015653</v>
      </c>
      <c r="BA86" s="430"/>
      <c r="BB86" s="34">
        <f t="shared" si="3"/>
        <v>80</v>
      </c>
    </row>
    <row r="87" spans="1:54">
      <c r="A87" s="531" t="s">
        <v>1322</v>
      </c>
      <c r="B87" s="532"/>
      <c r="C87" s="533">
        <f ca="1">BA59</f>
        <v>2168.1982482288668</v>
      </c>
      <c r="BA87" s="430"/>
      <c r="BB87" s="34">
        <f t="shared" ref="BB87:BB92" si="81">BB86+1</f>
        <v>81</v>
      </c>
    </row>
    <row r="88" spans="1:54" s="15" customFormat="1">
      <c r="A88" s="20"/>
      <c r="BA88" s="430"/>
      <c r="BB88" s="34">
        <f t="shared" si="81"/>
        <v>82</v>
      </c>
    </row>
    <row r="89" spans="1:54">
      <c r="A89" s="20" t="s">
        <v>23</v>
      </c>
      <c r="E89" s="37">
        <f ca="1">SUM($E28:E28)</f>
        <v>0</v>
      </c>
      <c r="F89" s="37">
        <f ca="1">SUM($E28:F28)</f>
        <v>0</v>
      </c>
      <c r="G89" s="37">
        <f ca="1">SUM($E28:G28)</f>
        <v>0</v>
      </c>
      <c r="H89" s="37">
        <f ca="1">SUM($E28:H28)</f>
        <v>0</v>
      </c>
      <c r="I89" s="37">
        <f ca="1">SUM($E28:I28)</f>
        <v>0</v>
      </c>
      <c r="J89" s="37">
        <f ca="1">SUM($E28:J28)</f>
        <v>0</v>
      </c>
      <c r="K89" s="37">
        <f ca="1">SUM($E28:K28)</f>
        <v>0</v>
      </c>
      <c r="L89" s="37">
        <f ca="1">SUM($E28:L28)</f>
        <v>0</v>
      </c>
      <c r="M89" s="37">
        <f ca="1">SUM($E28:M28)</f>
        <v>0</v>
      </c>
      <c r="N89" s="37">
        <f ca="1">SUM($E28:N28)</f>
        <v>0</v>
      </c>
      <c r="O89" s="37">
        <f ca="1">SUM($E28:O28)</f>
        <v>2495.3776282590416</v>
      </c>
      <c r="P89" s="37">
        <f ca="1">SUM($E28:P28)</f>
        <v>11948.377796665911</v>
      </c>
      <c r="Q89" s="37">
        <f ca="1">SUM($E28:Q28)</f>
        <v>26324.877547950939</v>
      </c>
      <c r="R89" s="37">
        <f ca="1">SUM($E28:R28)</f>
        <v>27849.327801758045</v>
      </c>
      <c r="S89" s="37">
        <f ca="1">SUM($E28:S28)</f>
        <v>27849.327801758045</v>
      </c>
      <c r="T89" s="37">
        <f ca="1">SUM($E28:T28)</f>
        <v>29768.717556769181</v>
      </c>
      <c r="U89" s="37">
        <f ca="1">SUM($E28:U28)</f>
        <v>56430.06058347541</v>
      </c>
      <c r="V89" s="37">
        <f ca="1">SUM($E28:V28)</f>
        <v>56430.06058347541</v>
      </c>
      <c r="W89" s="37">
        <f ca="1">SUM($E28:W28)</f>
        <v>74698.709570500214</v>
      </c>
      <c r="X89" s="37">
        <f ca="1">SUM($E28:X28)</f>
        <v>77220.26273854429</v>
      </c>
      <c r="Y89" s="37">
        <f ca="1">SUM($E28:Y28)</f>
        <v>77220.26273854429</v>
      </c>
      <c r="Z89" s="37">
        <f ca="1">SUM($E28:Z28)</f>
        <v>79027.297540604326</v>
      </c>
      <c r="AA89" s="37">
        <f ca="1">SUM($E28:AA28)</f>
        <v>80924.42533886341</v>
      </c>
      <c r="AB89" s="37">
        <f ca="1">SUM($E28:AB28)</f>
        <v>81758.619799777749</v>
      </c>
      <c r="AC89" s="37">
        <f ca="1">SUM($E28:AC28)</f>
        <v>81344.793058581548</v>
      </c>
      <c r="AD89" s="37">
        <f ca="1">SUM($E28:AD28)</f>
        <v>82553.706729242884</v>
      </c>
      <c r="AE89" s="37">
        <f ca="1">SUM($E28:AE28)</f>
        <v>82464.697284673515</v>
      </c>
      <c r="AF89" s="37">
        <f ca="1">SUM($E28:AF28)</f>
        <v>80680.721470560311</v>
      </c>
      <c r="AG89" s="37">
        <f ca="1">SUM($E28:AG28)</f>
        <v>94250.695096712458</v>
      </c>
      <c r="AH89" s="37">
        <f ca="1">SUM($E28:AH28)</f>
        <v>95320.668722864604</v>
      </c>
      <c r="AI89" s="37">
        <f ca="1">SUM($E28:AI28)</f>
        <v>96390.642349016751</v>
      </c>
      <c r="AJ89" s="37">
        <f ca="1">SUM($E28:AJ28)</f>
        <v>101162.70834817682</v>
      </c>
      <c r="AK89" s="37">
        <f ca="1">SUM($E28:AK28)</f>
        <v>121290.13968764638</v>
      </c>
      <c r="AL89" s="37">
        <f ca="1">SUM($E28:AL28)</f>
        <v>121290.13968764638</v>
      </c>
      <c r="AM89" s="37">
        <f ca="1">SUM($E28:AM28)</f>
        <v>121290.13968764638</v>
      </c>
      <c r="AN89" s="37">
        <f ca="1">SUM($E28:AN28)</f>
        <v>121290.13968764638</v>
      </c>
      <c r="AO89" s="37">
        <f ca="1">SUM($E28:AO28)</f>
        <v>121290.13968764638</v>
      </c>
      <c r="AP89" s="37">
        <f ca="1">SUM($E28:AP28)</f>
        <v>121290.13968764638</v>
      </c>
      <c r="AQ89" s="37">
        <f ca="1">SUM($E28:AQ28)</f>
        <v>121290.13968764638</v>
      </c>
      <c r="AR89" s="37">
        <f ca="1">SUM($E28:AR28)</f>
        <v>121290.13968764638</v>
      </c>
      <c r="AS89" s="37">
        <f ca="1">SUM($E28:AS28)</f>
        <v>121290.13968764638</v>
      </c>
      <c r="AT89" s="37">
        <f ca="1">SUM($E28:AT28)</f>
        <v>121290.13968764638</v>
      </c>
      <c r="AU89" s="37">
        <f ca="1">SUM($E28:AU28)</f>
        <v>121290.13968764638</v>
      </c>
      <c r="AV89" s="37">
        <f ca="1">SUM($E28:AV28)</f>
        <v>121290.13968764638</v>
      </c>
      <c r="AW89" s="37">
        <f ca="1">SUM($E28:AW28)</f>
        <v>121290.13968764638</v>
      </c>
      <c r="AX89" s="37">
        <f ca="1">SUM($E28:AX28)</f>
        <v>121290.13968764638</v>
      </c>
      <c r="AY89" s="37">
        <f ca="1">SUM($E28:AY28)</f>
        <v>121290.13968764638</v>
      </c>
      <c r="AZ89" s="37">
        <f ca="1">SUM($E28:AZ28)</f>
        <v>121290.13968764638</v>
      </c>
      <c r="BA89" s="430"/>
      <c r="BB89" s="34">
        <f t="shared" si="81"/>
        <v>83</v>
      </c>
    </row>
    <row r="90" spans="1:54">
      <c r="A90" s="20" t="s">
        <v>20</v>
      </c>
      <c r="E90" s="37">
        <f ca="1">SUM($E29:E29)</f>
        <v>0</v>
      </c>
      <c r="F90" s="37">
        <f ca="1">SUM($E29:F29)</f>
        <v>0</v>
      </c>
      <c r="G90" s="37">
        <f ca="1">SUM($E29:G29)</f>
        <v>0</v>
      </c>
      <c r="H90" s="37">
        <f ca="1">SUM($E29:H29)</f>
        <v>0</v>
      </c>
      <c r="I90" s="37">
        <f ca="1">SUM($E29:I29)</f>
        <v>0</v>
      </c>
      <c r="J90" s="37">
        <f ca="1">SUM($E29:J29)</f>
        <v>0</v>
      </c>
      <c r="K90" s="37">
        <f ca="1">SUM($E29:K29)</f>
        <v>0</v>
      </c>
      <c r="L90" s="37">
        <f ca="1">SUM($E29:L29)</f>
        <v>0</v>
      </c>
      <c r="M90" s="37">
        <f ca="1">SUM($E29:M29)</f>
        <v>0</v>
      </c>
      <c r="N90" s="37">
        <f ca="1">SUM($E29:N29)</f>
        <v>0</v>
      </c>
      <c r="O90" s="37">
        <f ca="1">SUM($E29:O29)</f>
        <v>6.2384440706476036</v>
      </c>
      <c r="P90" s="37">
        <f ca="1">SUM($E29:P29)</f>
        <v>42.384529362787326</v>
      </c>
      <c r="Q90" s="37">
        <f ca="1">SUM($E29:Q29)</f>
        <v>138.316988485287</v>
      </c>
      <c r="R90" s="37">
        <f ca="1">SUM($E29:R29)</f>
        <v>274.5661312035906</v>
      </c>
      <c r="S90" s="37">
        <f ca="1">SUM($E29:S29)</f>
        <v>415.42786510181372</v>
      </c>
      <c r="T90" s="37">
        <f ca="1">SUM($E29:T29)</f>
        <v>561.91667182226013</v>
      </c>
      <c r="U90" s="37">
        <f ca="1">SUM($E29:U29)</f>
        <v>780.71900936006136</v>
      </c>
      <c r="V90" s="37">
        <f ca="1">SUM($E29:V29)</f>
        <v>1067.46177703838</v>
      </c>
      <c r="W90" s="37">
        <f ca="1">SUM($E29:W29)</f>
        <v>1401.5628893470744</v>
      </c>
      <c r="X90" s="37">
        <f ca="1">SUM($E29:X29)</f>
        <v>1789.6048077040803</v>
      </c>
      <c r="Y90" s="37">
        <f ca="1">SUM($E29:Y29)</f>
        <v>2186.2332085009434</v>
      </c>
      <c r="Z90" s="37">
        <f ca="1">SUM($E29:Z29)</f>
        <v>2589.712304542938</v>
      </c>
      <c r="AA90" s="37">
        <f ca="1">SUM($E29:AA29)</f>
        <v>3004.8252135330363</v>
      </c>
      <c r="AB90" s="37">
        <f ca="1">SUM($E29:AB29)</f>
        <v>3429.2082688121864</v>
      </c>
      <c r="AC90" s="37">
        <f ca="1">SUM($E29:AC29)</f>
        <v>3857.1386143040386</v>
      </c>
      <c r="AD90" s="37">
        <f ca="1">SUM($E29:AD29)</f>
        <v>4289.5739144459767</v>
      </c>
      <c r="AE90" s="37">
        <f ca="1">SUM($E29:AE29)</f>
        <v>4727.3527122128025</v>
      </c>
      <c r="AF90" s="37">
        <f ca="1">SUM($E29:AF29)</f>
        <v>5163.0242162315508</v>
      </c>
      <c r="AG90" s="37">
        <f ca="1">SUM($E29:AG29)</f>
        <v>5630.7234883334477</v>
      </c>
      <c r="AH90" s="37">
        <f ca="1">SUM($E29:AH29)</f>
        <v>6137.7738007549397</v>
      </c>
      <c r="AI90" s="37">
        <f ca="1">SUM($E29:AI29)</f>
        <v>6653.15663020379</v>
      </c>
      <c r="AJ90" s="37">
        <f ca="1">SUM($E29:AJ29)</f>
        <v>7186.1762224185604</v>
      </c>
      <c r="AK90" s="37">
        <f ca="1">SUM($E29:AK29)</f>
        <v>7784.579967345875</v>
      </c>
      <c r="AL90" s="37">
        <f ca="1">SUM($E29:AL29)</f>
        <v>7784.579967345875</v>
      </c>
      <c r="AM90" s="37">
        <f ca="1">SUM($E29:AM29)</f>
        <v>7784.579967345875</v>
      </c>
      <c r="AN90" s="37">
        <f ca="1">SUM($E29:AN29)</f>
        <v>7784.579967345875</v>
      </c>
      <c r="AO90" s="37">
        <f ca="1">SUM($E29:AO29)</f>
        <v>7784.579967345875</v>
      </c>
      <c r="AP90" s="37">
        <f ca="1">SUM($E29:AP29)</f>
        <v>7784.579967345875</v>
      </c>
      <c r="AQ90" s="37">
        <f ca="1">SUM($E29:AQ29)</f>
        <v>7784.579967345875</v>
      </c>
      <c r="AR90" s="37">
        <f ca="1">SUM($E29:AR29)</f>
        <v>7784.579967345875</v>
      </c>
      <c r="AS90" s="37">
        <f ca="1">SUM($E29:AS29)</f>
        <v>7784.579967345875</v>
      </c>
      <c r="AT90" s="37">
        <f ca="1">SUM($E29:AT29)</f>
        <v>7784.579967345875</v>
      </c>
      <c r="AU90" s="37">
        <f ca="1">SUM($E29:AU29)</f>
        <v>7784.579967345875</v>
      </c>
      <c r="AV90" s="37">
        <f ca="1">SUM($E29:AV29)</f>
        <v>7784.579967345875</v>
      </c>
      <c r="AW90" s="37">
        <f ca="1">SUM($E29:AW29)</f>
        <v>7784.579967345875</v>
      </c>
      <c r="AX90" s="37">
        <f ca="1">SUM($E29:AX29)</f>
        <v>7784.579967345875</v>
      </c>
      <c r="AY90" s="37">
        <f ca="1">SUM($E29:AY29)</f>
        <v>7784.579967345875</v>
      </c>
      <c r="AZ90" s="37">
        <f ca="1">SUM($E29:AZ29)</f>
        <v>7784.579967345875</v>
      </c>
      <c r="BA90" s="430"/>
      <c r="BB90" s="34">
        <f t="shared" si="81"/>
        <v>84</v>
      </c>
    </row>
    <row r="91" spans="1:54">
      <c r="A91" s="20" t="s">
        <v>21</v>
      </c>
      <c r="E91" s="142">
        <f ca="1">SUM($E30:E30)</f>
        <v>0</v>
      </c>
      <c r="F91" s="142">
        <f ca="1">SUM($E30:F30)</f>
        <v>0</v>
      </c>
      <c r="G91" s="142">
        <f ca="1">SUM($E30:G30)</f>
        <v>0</v>
      </c>
      <c r="H91" s="142">
        <f ca="1">SUM($E30:H30)</f>
        <v>0</v>
      </c>
      <c r="I91" s="142">
        <f ca="1">SUM($E30:I30)</f>
        <v>0</v>
      </c>
      <c r="J91" s="142">
        <f ca="1">SUM($E30:J30)</f>
        <v>0</v>
      </c>
      <c r="K91" s="142">
        <f ca="1">SUM($E30:K30)</f>
        <v>0</v>
      </c>
      <c r="L91" s="142">
        <f ca="1">SUM($E30:L30)</f>
        <v>0</v>
      </c>
      <c r="M91" s="142">
        <f ca="1">SUM($E30:M30)</f>
        <v>0</v>
      </c>
      <c r="N91" s="142">
        <f ca="1">SUM($E30:N30)</f>
        <v>0</v>
      </c>
      <c r="O91" s="142">
        <f ca="1">SUM($E30:O30)</f>
        <v>1.1009018948201654</v>
      </c>
      <c r="P91" s="142">
        <f ca="1">SUM($E30:P30)</f>
        <v>7.4796228287271767</v>
      </c>
      <c r="Q91" s="142">
        <f ca="1">SUM($E30:Q30)</f>
        <v>24.408880320933005</v>
      </c>
      <c r="R91" s="142">
        <f ca="1">SUM($E30:R30)</f>
        <v>48.452846682986582</v>
      </c>
      <c r="S91" s="142">
        <f ca="1">SUM($E30:S30)</f>
        <v>73.310799723849499</v>
      </c>
      <c r="T91" s="142">
        <f ca="1">SUM($E30:T30)</f>
        <v>99.161765615692985</v>
      </c>
      <c r="U91" s="142">
        <f ca="1">SUM($E30:U30)</f>
        <v>137.77394282824616</v>
      </c>
      <c r="V91" s="142">
        <f ca="1">SUM($E30:V30)</f>
        <v>188.37560771265532</v>
      </c>
      <c r="W91" s="142">
        <f ca="1">SUM($E30:W30)</f>
        <v>247.33462753183667</v>
      </c>
      <c r="X91" s="142">
        <f ca="1">SUM($E30:X30)</f>
        <v>315.81261312424948</v>
      </c>
      <c r="Y91" s="142">
        <f ca="1">SUM($E30:Y30)</f>
        <v>385.80586032369592</v>
      </c>
      <c r="Z91" s="142">
        <f ca="1">SUM($E30:Z30)</f>
        <v>457.00805374287148</v>
      </c>
      <c r="AA91" s="142">
        <f ca="1">SUM($E30:AA30)</f>
        <v>530.26327297641831</v>
      </c>
      <c r="AB91" s="142">
        <f ca="1">SUM($E30:AB30)</f>
        <v>605.15440037862129</v>
      </c>
      <c r="AC91" s="142">
        <f ca="1">SUM($E30:AC30)</f>
        <v>680.67152017130115</v>
      </c>
      <c r="AD91" s="142">
        <f ca="1">SUM($E30:AD30)</f>
        <v>756.98363196105493</v>
      </c>
      <c r="AE91" s="142">
        <f ca="1">SUM($E30:AE30)</f>
        <v>834.23871391990656</v>
      </c>
      <c r="AF91" s="142">
        <f ca="1">SUM($E30:AF30)</f>
        <v>911.1219205114503</v>
      </c>
      <c r="AG91" s="142">
        <f ca="1">SUM($E30:AG30)</f>
        <v>993.65708617649091</v>
      </c>
      <c r="AH91" s="142">
        <f ca="1">SUM($E30:AH30)</f>
        <v>1083.1365530744013</v>
      </c>
      <c r="AI91" s="142">
        <f ca="1">SUM($E30:AI30)</f>
        <v>1174.08646415361</v>
      </c>
      <c r="AJ91" s="142">
        <f ca="1">SUM($E30:AJ30)</f>
        <v>1268.1487451326873</v>
      </c>
      <c r="AK91" s="142">
        <f ca="1">SUM($E30:AK30)</f>
        <v>1373.7494060022134</v>
      </c>
      <c r="AL91" s="142">
        <f ca="1">SUM($E30:AL30)</f>
        <v>1373.7494060022134</v>
      </c>
      <c r="AM91" s="142">
        <f ca="1">SUM($E30:AM30)</f>
        <v>1373.7494060022134</v>
      </c>
      <c r="AN91" s="142">
        <f ca="1">SUM($E30:AN30)</f>
        <v>1373.7494060022134</v>
      </c>
      <c r="AO91" s="142">
        <f ca="1">SUM($E30:AO30)</f>
        <v>1373.7494060022134</v>
      </c>
      <c r="AP91" s="142">
        <f ca="1">SUM($E30:AP30)</f>
        <v>1373.7494060022134</v>
      </c>
      <c r="AQ91" s="142">
        <f ca="1">SUM($E30:AQ30)</f>
        <v>1373.7494060022134</v>
      </c>
      <c r="AR91" s="142">
        <f ca="1">SUM($E30:AR30)</f>
        <v>1373.7494060022134</v>
      </c>
      <c r="AS91" s="142">
        <f ca="1">SUM($E30:AS30)</f>
        <v>1373.7494060022134</v>
      </c>
      <c r="AT91" s="142">
        <f ca="1">SUM($E30:AT30)</f>
        <v>1373.7494060022134</v>
      </c>
      <c r="AU91" s="142">
        <f ca="1">SUM($E30:AU30)</f>
        <v>1373.7494060022134</v>
      </c>
      <c r="AV91" s="142">
        <f ca="1">SUM($E30:AV30)</f>
        <v>1373.7494060022134</v>
      </c>
      <c r="AW91" s="142">
        <f ca="1">SUM($E30:AW30)</f>
        <v>1373.7494060022134</v>
      </c>
      <c r="AX91" s="142">
        <f ca="1">SUM($E30:AX30)</f>
        <v>1373.7494060022134</v>
      </c>
      <c r="AY91" s="142">
        <f ca="1">SUM($E30:AY30)</f>
        <v>1373.7494060022134</v>
      </c>
      <c r="AZ91" s="142">
        <f ca="1">SUM($E30:AZ30)</f>
        <v>1373.7494060022134</v>
      </c>
      <c r="BA91" s="430"/>
      <c r="BB91" s="34">
        <f t="shared" si="81"/>
        <v>85</v>
      </c>
    </row>
    <row r="92" spans="1:54" ht="13.5" thickBot="1">
      <c r="A92" s="48" t="s">
        <v>22</v>
      </c>
      <c r="B92" s="49"/>
      <c r="C92" s="49"/>
      <c r="D92" s="49"/>
      <c r="E92" s="51">
        <f t="shared" ref="E92:AN92" ca="1" si="82">SUM(E89:E91)</f>
        <v>0</v>
      </c>
      <c r="F92" s="51">
        <f t="shared" ca="1" si="82"/>
        <v>0</v>
      </c>
      <c r="G92" s="51">
        <f t="shared" ca="1" si="82"/>
        <v>0</v>
      </c>
      <c r="H92" s="51">
        <f t="shared" ca="1" si="82"/>
        <v>0</v>
      </c>
      <c r="I92" s="51">
        <f t="shared" ca="1" si="82"/>
        <v>0</v>
      </c>
      <c r="J92" s="51">
        <f t="shared" ca="1" si="82"/>
        <v>0</v>
      </c>
      <c r="K92" s="51">
        <f t="shared" ca="1" si="82"/>
        <v>0</v>
      </c>
      <c r="L92" s="51">
        <f t="shared" ca="1" si="82"/>
        <v>0</v>
      </c>
      <c r="M92" s="51">
        <f t="shared" ca="1" si="82"/>
        <v>0</v>
      </c>
      <c r="N92" s="51">
        <f t="shared" ca="1" si="82"/>
        <v>0</v>
      </c>
      <c r="O92" s="51">
        <f t="shared" ca="1" si="82"/>
        <v>2502.7169742245096</v>
      </c>
      <c r="P92" s="51">
        <f t="shared" ca="1" si="82"/>
        <v>11998.241948857425</v>
      </c>
      <c r="Q92" s="51">
        <f t="shared" ca="1" si="82"/>
        <v>26487.60341675716</v>
      </c>
      <c r="R92" s="51">
        <f t="shared" ca="1" si="82"/>
        <v>28172.346779644624</v>
      </c>
      <c r="S92" s="51">
        <f t="shared" ca="1" si="82"/>
        <v>28338.06646658371</v>
      </c>
      <c r="T92" s="51">
        <f t="shared" ca="1" si="82"/>
        <v>30429.795994207132</v>
      </c>
      <c r="U92" s="51">
        <f t="shared" ca="1" si="82"/>
        <v>57348.553535663712</v>
      </c>
      <c r="V92" s="51">
        <f t="shared" ca="1" si="82"/>
        <v>57685.89796822644</v>
      </c>
      <c r="W92" s="51">
        <f t="shared" ca="1" si="82"/>
        <v>76347.607087379118</v>
      </c>
      <c r="X92" s="51">
        <f t="shared" ca="1" si="82"/>
        <v>79325.680159372612</v>
      </c>
      <c r="Y92" s="51">
        <f t="shared" ca="1" si="82"/>
        <v>79792.301807368931</v>
      </c>
      <c r="Z92" s="51">
        <f t="shared" ca="1" si="82"/>
        <v>82074.017898890132</v>
      </c>
      <c r="AA92" s="51">
        <f t="shared" ca="1" si="82"/>
        <v>84459.513825372866</v>
      </c>
      <c r="AB92" s="51">
        <f t="shared" ca="1" si="82"/>
        <v>85792.982468968563</v>
      </c>
      <c r="AC92" s="51">
        <f t="shared" ca="1" si="82"/>
        <v>85882.603193056886</v>
      </c>
      <c r="AD92" s="51">
        <f t="shared" ca="1" si="82"/>
        <v>87600.264275649912</v>
      </c>
      <c r="AE92" s="51">
        <f t="shared" ca="1" si="82"/>
        <v>88026.288710806228</v>
      </c>
      <c r="AF92" s="51">
        <f t="shared" ca="1" si="82"/>
        <v>86754.867607303313</v>
      </c>
      <c r="AG92" s="51">
        <f t="shared" ca="1" si="82"/>
        <v>100875.0756712224</v>
      </c>
      <c r="AH92" s="51">
        <f t="shared" ca="1" si="82"/>
        <v>102541.57907669395</v>
      </c>
      <c r="AI92" s="51">
        <f t="shared" ca="1" si="82"/>
        <v>104217.88544337414</v>
      </c>
      <c r="AJ92" s="51">
        <f t="shared" ca="1" si="82"/>
        <v>109617.03331572807</v>
      </c>
      <c r="AK92" s="51">
        <f t="shared" ca="1" si="82"/>
        <v>130448.46906099447</v>
      </c>
      <c r="AL92" s="51">
        <f t="shared" ca="1" si="82"/>
        <v>130448.46906099447</v>
      </c>
      <c r="AM92" s="51">
        <f t="shared" ca="1" si="82"/>
        <v>130448.46906099447</v>
      </c>
      <c r="AN92" s="51">
        <f t="shared" ca="1" si="82"/>
        <v>130448.46906099447</v>
      </c>
      <c r="AO92" s="51">
        <f ca="1">SUM(AO89:AO91)</f>
        <v>130448.46906099447</v>
      </c>
      <c r="AP92" s="51">
        <f ca="1">SUM(AP89:AP91)</f>
        <v>130448.46906099447</v>
      </c>
      <c r="AQ92" s="51">
        <f ca="1">SUM(AQ89:AQ91)</f>
        <v>130448.46906099447</v>
      </c>
      <c r="AR92" s="51">
        <f ca="1">SUM(AR89:AR91)</f>
        <v>130448.46906099447</v>
      </c>
      <c r="AS92" s="51">
        <f t="shared" ref="AS92:AZ92" ca="1" si="83">SUM(AS89:AS91)</f>
        <v>130448.46906099447</v>
      </c>
      <c r="AT92" s="51">
        <f t="shared" ca="1" si="83"/>
        <v>130448.46906099447</v>
      </c>
      <c r="AU92" s="51">
        <f t="shared" ca="1" si="83"/>
        <v>130448.46906099447</v>
      </c>
      <c r="AV92" s="51">
        <f t="shared" ca="1" si="83"/>
        <v>130448.46906099447</v>
      </c>
      <c r="AW92" s="51">
        <f t="shared" ca="1" si="83"/>
        <v>130448.46906099447</v>
      </c>
      <c r="AX92" s="51">
        <f t="shared" ca="1" si="83"/>
        <v>130448.46906099447</v>
      </c>
      <c r="AY92" s="51">
        <f t="shared" ca="1" si="83"/>
        <v>130448.46906099447</v>
      </c>
      <c r="AZ92" s="51">
        <f t="shared" ca="1" si="83"/>
        <v>130448.46906099447</v>
      </c>
      <c r="BA92" s="443"/>
      <c r="BB92" s="34">
        <f t="shared" si="81"/>
        <v>86</v>
      </c>
    </row>
    <row r="94" spans="1:54" ht="13.5" thickBot="1"/>
    <row r="95" spans="1:54" s="15" customFormat="1">
      <c r="A95" s="412" t="s">
        <v>526</v>
      </c>
      <c r="B95" s="11"/>
      <c r="C95" s="11"/>
      <c r="D95" s="11"/>
      <c r="E95" s="1316">
        <f>E$6</f>
        <v>1</v>
      </c>
      <c r="F95" s="1316">
        <f t="shared" ref="F95:AZ95" si="84">F$6</f>
        <v>2</v>
      </c>
      <c r="G95" s="1316">
        <f t="shared" si="84"/>
        <v>3</v>
      </c>
      <c r="H95" s="1316">
        <f t="shared" si="84"/>
        <v>4</v>
      </c>
      <c r="I95" s="1316">
        <f t="shared" si="84"/>
        <v>5</v>
      </c>
      <c r="J95" s="1316">
        <f t="shared" si="84"/>
        <v>6</v>
      </c>
      <c r="K95" s="1316">
        <f t="shared" si="84"/>
        <v>7</v>
      </c>
      <c r="L95" s="1316">
        <f t="shared" si="84"/>
        <v>8</v>
      </c>
      <c r="M95" s="1316">
        <f t="shared" si="84"/>
        <v>9</v>
      </c>
      <c r="N95" s="1316">
        <f t="shared" si="84"/>
        <v>10</v>
      </c>
      <c r="O95" s="1316">
        <f t="shared" si="84"/>
        <v>11</v>
      </c>
      <c r="P95" s="1316">
        <f t="shared" si="84"/>
        <v>12</v>
      </c>
      <c r="Q95" s="1316">
        <f t="shared" si="84"/>
        <v>13</v>
      </c>
      <c r="R95" s="1316">
        <f t="shared" si="84"/>
        <v>14</v>
      </c>
      <c r="S95" s="1316">
        <f t="shared" si="84"/>
        <v>15</v>
      </c>
      <c r="T95" s="1316">
        <f t="shared" si="84"/>
        <v>16</v>
      </c>
      <c r="U95" s="1316">
        <f t="shared" si="84"/>
        <v>17</v>
      </c>
      <c r="V95" s="1316">
        <f t="shared" si="84"/>
        <v>18</v>
      </c>
      <c r="W95" s="1316">
        <f t="shared" si="84"/>
        <v>19</v>
      </c>
      <c r="X95" s="1316">
        <f t="shared" si="84"/>
        <v>20</v>
      </c>
      <c r="Y95" s="1316">
        <f t="shared" si="84"/>
        <v>21</v>
      </c>
      <c r="Z95" s="1316">
        <f t="shared" si="84"/>
        <v>22</v>
      </c>
      <c r="AA95" s="1316">
        <f t="shared" si="84"/>
        <v>23</v>
      </c>
      <c r="AB95" s="1316">
        <f t="shared" si="84"/>
        <v>24</v>
      </c>
      <c r="AC95" s="1316">
        <f t="shared" si="84"/>
        <v>25</v>
      </c>
      <c r="AD95" s="1316">
        <f t="shared" si="84"/>
        <v>26</v>
      </c>
      <c r="AE95" s="1316">
        <f t="shared" si="84"/>
        <v>27</v>
      </c>
      <c r="AF95" s="1316">
        <f t="shared" si="84"/>
        <v>28</v>
      </c>
      <c r="AG95" s="1316">
        <f t="shared" si="84"/>
        <v>29</v>
      </c>
      <c r="AH95" s="1316">
        <f t="shared" si="84"/>
        <v>30</v>
      </c>
      <c r="AI95" s="1316">
        <f t="shared" si="84"/>
        <v>31</v>
      </c>
      <c r="AJ95" s="1316">
        <f t="shared" si="84"/>
        <v>32</v>
      </c>
      <c r="AK95" s="1316">
        <f t="shared" si="84"/>
        <v>33</v>
      </c>
      <c r="AL95" s="1316">
        <f t="shared" si="84"/>
        <v>34</v>
      </c>
      <c r="AM95" s="1316">
        <f t="shared" si="84"/>
        <v>35</v>
      </c>
      <c r="AN95" s="1316">
        <f t="shared" si="84"/>
        <v>36</v>
      </c>
      <c r="AO95" s="1316">
        <f t="shared" si="84"/>
        <v>37</v>
      </c>
      <c r="AP95" s="1316">
        <f t="shared" si="84"/>
        <v>38</v>
      </c>
      <c r="AQ95" s="1316">
        <f t="shared" si="84"/>
        <v>39</v>
      </c>
      <c r="AR95" s="1316">
        <f t="shared" si="84"/>
        <v>40</v>
      </c>
      <c r="AS95" s="1316">
        <f t="shared" si="84"/>
        <v>41</v>
      </c>
      <c r="AT95" s="1316">
        <f t="shared" si="84"/>
        <v>42</v>
      </c>
      <c r="AU95" s="1316">
        <f t="shared" si="84"/>
        <v>43</v>
      </c>
      <c r="AV95" s="1316">
        <f t="shared" si="84"/>
        <v>44</v>
      </c>
      <c r="AW95" s="1316">
        <f t="shared" si="84"/>
        <v>45</v>
      </c>
      <c r="AX95" s="1316">
        <f t="shared" si="84"/>
        <v>46</v>
      </c>
      <c r="AY95" s="1316">
        <f t="shared" si="84"/>
        <v>47</v>
      </c>
      <c r="AZ95" s="1316">
        <f t="shared" si="84"/>
        <v>48</v>
      </c>
      <c r="BA95" s="424"/>
    </row>
    <row r="96" spans="1:54" s="15" customFormat="1" ht="13.5" thickBot="1">
      <c r="A96" s="455" t="s">
        <v>527</v>
      </c>
      <c r="B96" s="263"/>
      <c r="C96" s="263"/>
      <c r="D96" s="263"/>
      <c r="E96" s="264">
        <f>E$7</f>
        <v>35765</v>
      </c>
      <c r="F96" s="264">
        <f t="shared" ref="F96:AZ96" si="85">F$7</f>
        <v>35796</v>
      </c>
      <c r="G96" s="264">
        <f t="shared" si="85"/>
        <v>35827</v>
      </c>
      <c r="H96" s="264">
        <f t="shared" si="85"/>
        <v>35855</v>
      </c>
      <c r="I96" s="264">
        <f t="shared" si="85"/>
        <v>35886</v>
      </c>
      <c r="J96" s="264">
        <f t="shared" si="85"/>
        <v>35916</v>
      </c>
      <c r="K96" s="264">
        <f t="shared" si="85"/>
        <v>35947</v>
      </c>
      <c r="L96" s="264">
        <f t="shared" si="85"/>
        <v>35977</v>
      </c>
      <c r="M96" s="264">
        <f t="shared" si="85"/>
        <v>36008</v>
      </c>
      <c r="N96" s="264">
        <f t="shared" si="85"/>
        <v>36039</v>
      </c>
      <c r="O96" s="264">
        <f t="shared" si="85"/>
        <v>36069</v>
      </c>
      <c r="P96" s="264">
        <f t="shared" si="85"/>
        <v>36100</v>
      </c>
      <c r="Q96" s="264">
        <f t="shared" si="85"/>
        <v>36130</v>
      </c>
      <c r="R96" s="264">
        <f t="shared" si="85"/>
        <v>36161</v>
      </c>
      <c r="S96" s="264">
        <f t="shared" si="85"/>
        <v>36192</v>
      </c>
      <c r="T96" s="264">
        <f t="shared" si="85"/>
        <v>36220</v>
      </c>
      <c r="U96" s="264">
        <f t="shared" si="85"/>
        <v>36251</v>
      </c>
      <c r="V96" s="264">
        <f t="shared" si="85"/>
        <v>36281</v>
      </c>
      <c r="W96" s="264">
        <f t="shared" si="85"/>
        <v>36312</v>
      </c>
      <c r="X96" s="264">
        <f t="shared" si="85"/>
        <v>36342</v>
      </c>
      <c r="Y96" s="264">
        <f t="shared" si="85"/>
        <v>36373</v>
      </c>
      <c r="Z96" s="264">
        <f t="shared" si="85"/>
        <v>36404</v>
      </c>
      <c r="AA96" s="264">
        <f t="shared" si="85"/>
        <v>36434</v>
      </c>
      <c r="AB96" s="264">
        <f t="shared" si="85"/>
        <v>36465</v>
      </c>
      <c r="AC96" s="264">
        <f t="shared" si="85"/>
        <v>36495</v>
      </c>
      <c r="AD96" s="264">
        <f t="shared" si="85"/>
        <v>36526</v>
      </c>
      <c r="AE96" s="264">
        <f t="shared" si="85"/>
        <v>36557</v>
      </c>
      <c r="AF96" s="264">
        <f t="shared" si="85"/>
        <v>36586</v>
      </c>
      <c r="AG96" s="264">
        <f t="shared" si="85"/>
        <v>36617</v>
      </c>
      <c r="AH96" s="264">
        <f t="shared" si="85"/>
        <v>36647</v>
      </c>
      <c r="AI96" s="264">
        <f t="shared" si="85"/>
        <v>36678</v>
      </c>
      <c r="AJ96" s="264">
        <f t="shared" si="85"/>
        <v>36708</v>
      </c>
      <c r="AK96" s="264">
        <f t="shared" si="85"/>
        <v>36739</v>
      </c>
      <c r="AL96" s="264">
        <f t="shared" si="85"/>
        <v>36770</v>
      </c>
      <c r="AM96" s="264">
        <f t="shared" si="85"/>
        <v>36800</v>
      </c>
      <c r="AN96" s="264">
        <f t="shared" si="85"/>
        <v>36831</v>
      </c>
      <c r="AO96" s="264">
        <f t="shared" si="85"/>
        <v>36861</v>
      </c>
      <c r="AP96" s="264">
        <f t="shared" si="85"/>
        <v>36892</v>
      </c>
      <c r="AQ96" s="264">
        <f t="shared" si="85"/>
        <v>36923</v>
      </c>
      <c r="AR96" s="264">
        <f t="shared" si="85"/>
        <v>36951</v>
      </c>
      <c r="AS96" s="264">
        <f t="shared" si="85"/>
        <v>36982</v>
      </c>
      <c r="AT96" s="264">
        <f t="shared" si="85"/>
        <v>37012</v>
      </c>
      <c r="AU96" s="264">
        <f t="shared" si="85"/>
        <v>37043</v>
      </c>
      <c r="AV96" s="264">
        <f t="shared" si="85"/>
        <v>37073</v>
      </c>
      <c r="AW96" s="264">
        <f t="shared" si="85"/>
        <v>37104</v>
      </c>
      <c r="AX96" s="264">
        <f t="shared" si="85"/>
        <v>37135</v>
      </c>
      <c r="AY96" s="264">
        <f t="shared" si="85"/>
        <v>37165</v>
      </c>
      <c r="AZ96" s="264">
        <f t="shared" si="85"/>
        <v>37196</v>
      </c>
      <c r="BA96" s="425" t="s">
        <v>441</v>
      </c>
    </row>
    <row r="97" spans="1:57" s="15" customFormat="1">
      <c r="A97" s="412"/>
      <c r="BA97" s="430"/>
    </row>
    <row r="98" spans="1:57" s="15" customFormat="1">
      <c r="A98" s="537" t="s">
        <v>1263</v>
      </c>
      <c r="BA98" s="430"/>
    </row>
    <row r="99" spans="1:57">
      <c r="A99" s="20"/>
      <c r="BA99" s="430"/>
    </row>
    <row r="100" spans="1:57">
      <c r="A100" s="128" t="s">
        <v>534</v>
      </c>
      <c r="P100" s="111"/>
      <c r="Q100" s="65"/>
      <c r="BA100" s="430"/>
      <c r="BC100" s="308"/>
      <c r="BD100" s="309" t="s">
        <v>1263</v>
      </c>
      <c r="BE100" s="310"/>
    </row>
    <row r="101" spans="1:57">
      <c r="A101" s="20" t="s">
        <v>1037</v>
      </c>
      <c r="E101" s="766">
        <v>0</v>
      </c>
      <c r="F101" s="37">
        <f t="shared" ref="F101:AN101" ca="1" si="86">E104</f>
        <v>0</v>
      </c>
      <c r="G101" s="37">
        <f t="shared" ca="1" si="86"/>
        <v>0</v>
      </c>
      <c r="H101" s="37">
        <f t="shared" ca="1" si="86"/>
        <v>0</v>
      </c>
      <c r="I101" s="37">
        <f t="shared" ca="1" si="86"/>
        <v>0</v>
      </c>
      <c r="J101" s="37">
        <f t="shared" ca="1" si="86"/>
        <v>0</v>
      </c>
      <c r="K101" s="37">
        <f t="shared" ca="1" si="86"/>
        <v>0</v>
      </c>
      <c r="L101" s="37">
        <f t="shared" ca="1" si="86"/>
        <v>0</v>
      </c>
      <c r="M101" s="37">
        <f t="shared" ca="1" si="86"/>
        <v>0</v>
      </c>
      <c r="N101" s="37">
        <f t="shared" ca="1" si="86"/>
        <v>0</v>
      </c>
      <c r="O101" s="37">
        <f t="shared" ca="1" si="86"/>
        <v>0</v>
      </c>
      <c r="P101" s="37">
        <f t="shared" ca="1" si="86"/>
        <v>0</v>
      </c>
      <c r="Q101" s="37">
        <f t="shared" ca="1" si="86"/>
        <v>0</v>
      </c>
      <c r="R101" s="37">
        <f t="shared" ca="1" si="86"/>
        <v>0</v>
      </c>
      <c r="S101" s="37">
        <f t="shared" ca="1" si="86"/>
        <v>0</v>
      </c>
      <c r="T101" s="37">
        <f t="shared" ca="1" si="86"/>
        <v>0</v>
      </c>
      <c r="U101" s="37">
        <f t="shared" ca="1" si="86"/>
        <v>0</v>
      </c>
      <c r="V101" s="37">
        <f t="shared" ca="1" si="86"/>
        <v>0</v>
      </c>
      <c r="W101" s="37">
        <f t="shared" ca="1" si="86"/>
        <v>0</v>
      </c>
      <c r="X101" s="37">
        <f t="shared" ca="1" si="86"/>
        <v>0</v>
      </c>
      <c r="Y101" s="37">
        <f t="shared" ca="1" si="86"/>
        <v>0</v>
      </c>
      <c r="Z101" s="37">
        <f t="shared" ca="1" si="86"/>
        <v>0</v>
      </c>
      <c r="AA101" s="37">
        <f t="shared" ca="1" si="86"/>
        <v>0</v>
      </c>
      <c r="AB101" s="37">
        <f t="shared" ca="1" si="86"/>
        <v>0</v>
      </c>
      <c r="AC101" s="37">
        <f t="shared" ca="1" si="86"/>
        <v>0</v>
      </c>
      <c r="AD101" s="37">
        <f t="shared" ca="1" si="86"/>
        <v>0</v>
      </c>
      <c r="AE101" s="37">
        <f t="shared" ca="1" si="86"/>
        <v>0</v>
      </c>
      <c r="AF101" s="37">
        <f t="shared" ca="1" si="86"/>
        <v>0</v>
      </c>
      <c r="AG101" s="37">
        <f t="shared" ca="1" si="86"/>
        <v>0</v>
      </c>
      <c r="AH101" s="37">
        <f t="shared" ca="1" si="86"/>
        <v>0</v>
      </c>
      <c r="AI101" s="37">
        <f t="shared" ca="1" si="86"/>
        <v>0</v>
      </c>
      <c r="AJ101" s="37">
        <f t="shared" ca="1" si="86"/>
        <v>0</v>
      </c>
      <c r="AK101" s="37">
        <f t="shared" ca="1" si="86"/>
        <v>0</v>
      </c>
      <c r="AL101" s="37">
        <f t="shared" ca="1" si="86"/>
        <v>0</v>
      </c>
      <c r="AM101" s="37">
        <f t="shared" ca="1" si="86"/>
        <v>71247.531098531457</v>
      </c>
      <c r="AN101" s="37">
        <f t="shared" ca="1" si="86"/>
        <v>69330.127734562091</v>
      </c>
      <c r="AO101" s="37">
        <f ca="1">AN104</f>
        <v>67397.831729668542</v>
      </c>
      <c r="AP101" s="37">
        <f ca="1">AO104</f>
        <v>50109.514935405023</v>
      </c>
      <c r="AQ101" s="37">
        <f ca="1">AP104</f>
        <v>48027.930736832524</v>
      </c>
      <c r="AR101" s="37">
        <f ca="1">AQ104</f>
        <v>45930.178690322908</v>
      </c>
      <c r="AS101" s="37">
        <f t="shared" ref="AS101:AZ101" ca="1" si="87">AR104</f>
        <v>43816.133218776173</v>
      </c>
      <c r="AT101" s="37">
        <f t="shared" ca="1" si="87"/>
        <v>26344.65529373294</v>
      </c>
      <c r="AU101" s="37">
        <f t="shared" ca="1" si="87"/>
        <v>24078.487335734506</v>
      </c>
      <c r="AV101" s="37">
        <f t="shared" ca="1" si="87"/>
        <v>21794.717851470603</v>
      </c>
      <c r="AW101" s="37">
        <f t="shared" ca="1" si="87"/>
        <v>19493.21012833537</v>
      </c>
      <c r="AX101" s="37">
        <f t="shared" ca="1" si="87"/>
        <v>5.8207660913467407E-11</v>
      </c>
      <c r="AY101" s="37">
        <f t="shared" ca="1" si="87"/>
        <v>5.8207660913467407E-11</v>
      </c>
      <c r="AZ101" s="37">
        <f t="shared" ca="1" si="87"/>
        <v>5.8207660913467407E-11</v>
      </c>
      <c r="BA101" s="435">
        <f>E101</f>
        <v>0</v>
      </c>
      <c r="BC101" s="311"/>
      <c r="BD101" s="312" t="s">
        <v>1341</v>
      </c>
      <c r="BE101" s="313"/>
    </row>
    <row r="102" spans="1:57">
      <c r="A102" s="20" t="s">
        <v>24</v>
      </c>
      <c r="E102" s="37">
        <f t="shared" ref="E102:AN102" ca="1" si="88">IF(E96=Fin_Close,Tot_Cost*Debtperc,0)</f>
        <v>0</v>
      </c>
      <c r="F102" s="37">
        <f t="shared" ca="1" si="88"/>
        <v>0</v>
      </c>
      <c r="G102" s="37">
        <f t="shared" ca="1" si="88"/>
        <v>0</v>
      </c>
      <c r="H102" s="37">
        <f t="shared" ca="1" si="88"/>
        <v>0</v>
      </c>
      <c r="I102" s="37">
        <f t="shared" ca="1" si="88"/>
        <v>0</v>
      </c>
      <c r="J102" s="37">
        <f t="shared" ca="1" si="88"/>
        <v>0</v>
      </c>
      <c r="K102" s="37">
        <f t="shared" ca="1" si="88"/>
        <v>0</v>
      </c>
      <c r="L102" s="37">
        <f t="shared" ca="1" si="88"/>
        <v>0</v>
      </c>
      <c r="M102" s="37">
        <f t="shared" ca="1" si="88"/>
        <v>0</v>
      </c>
      <c r="N102" s="37">
        <f t="shared" ca="1" si="88"/>
        <v>0</v>
      </c>
      <c r="O102" s="37">
        <f t="shared" ca="1" si="88"/>
        <v>0</v>
      </c>
      <c r="P102" s="37">
        <f t="shared" ca="1" si="88"/>
        <v>0</v>
      </c>
      <c r="Q102" s="37">
        <f t="shared" ca="1" si="88"/>
        <v>0</v>
      </c>
      <c r="R102" s="37">
        <f t="shared" ca="1" si="88"/>
        <v>0</v>
      </c>
      <c r="S102" s="37">
        <f t="shared" ca="1" si="88"/>
        <v>0</v>
      </c>
      <c r="T102" s="37">
        <f t="shared" ca="1" si="88"/>
        <v>0</v>
      </c>
      <c r="U102" s="37">
        <f t="shared" ca="1" si="88"/>
        <v>0</v>
      </c>
      <c r="V102" s="37">
        <f t="shared" ca="1" si="88"/>
        <v>0</v>
      </c>
      <c r="W102" s="37">
        <f t="shared" ca="1" si="88"/>
        <v>0</v>
      </c>
      <c r="X102" s="37">
        <f t="shared" ca="1" si="88"/>
        <v>0</v>
      </c>
      <c r="Y102" s="37">
        <f t="shared" ca="1" si="88"/>
        <v>0</v>
      </c>
      <c r="Z102" s="37">
        <f t="shared" ca="1" si="88"/>
        <v>0</v>
      </c>
      <c r="AA102" s="37">
        <f t="shared" ca="1" si="88"/>
        <v>0</v>
      </c>
      <c r="AB102" s="37">
        <f t="shared" ca="1" si="88"/>
        <v>0</v>
      </c>
      <c r="AC102" s="37">
        <f t="shared" ca="1" si="88"/>
        <v>0</v>
      </c>
      <c r="AD102" s="37">
        <f t="shared" ca="1" si="88"/>
        <v>0</v>
      </c>
      <c r="AE102" s="37">
        <f t="shared" ca="1" si="88"/>
        <v>0</v>
      </c>
      <c r="AF102" s="37">
        <f t="shared" ca="1" si="88"/>
        <v>0</v>
      </c>
      <c r="AG102" s="37">
        <f t="shared" ca="1" si="88"/>
        <v>0</v>
      </c>
      <c r="AH102" s="37">
        <f t="shared" ca="1" si="88"/>
        <v>0</v>
      </c>
      <c r="AI102" s="37">
        <f t="shared" ca="1" si="88"/>
        <v>0</v>
      </c>
      <c r="AJ102" s="37">
        <f t="shared" ca="1" si="88"/>
        <v>0</v>
      </c>
      <c r="AK102" s="37">
        <f t="shared" ca="1" si="88"/>
        <v>0</v>
      </c>
      <c r="AL102" s="37">
        <f t="shared" ca="1" si="88"/>
        <v>201351.11991105834</v>
      </c>
      <c r="AM102" s="37">
        <f t="shared" ca="1" si="88"/>
        <v>0</v>
      </c>
      <c r="AN102" s="37">
        <f t="shared" ca="1" si="88"/>
        <v>0</v>
      </c>
      <c r="AO102" s="37">
        <f ca="1">IF(AO96=Fin_Close,Tot_Cost*Debtperc,0)</f>
        <v>0</v>
      </c>
      <c r="AP102" s="37">
        <f ca="1">IF(AP96=Fin_Close,Tot_Cost*Debtperc,0)</f>
        <v>0</v>
      </c>
      <c r="AQ102" s="37">
        <f ca="1">IF(AQ96=Fin_Close,Tot_Cost*Debtperc,0)</f>
        <v>0</v>
      </c>
      <c r="AR102" s="37">
        <f ca="1">IF(AR96=Fin_Close,Tot_Cost*Debtperc,0)</f>
        <v>0</v>
      </c>
      <c r="AS102" s="37">
        <f t="shared" ref="AS102:AZ102" ca="1" si="89">IF(AS96=Fin_Close,Tot_Cost*Debtperc,0)</f>
        <v>0</v>
      </c>
      <c r="AT102" s="37">
        <f t="shared" ca="1" si="89"/>
        <v>0</v>
      </c>
      <c r="AU102" s="37">
        <f t="shared" ca="1" si="89"/>
        <v>0</v>
      </c>
      <c r="AV102" s="37">
        <f t="shared" ca="1" si="89"/>
        <v>0</v>
      </c>
      <c r="AW102" s="37">
        <f t="shared" ca="1" si="89"/>
        <v>0</v>
      </c>
      <c r="AX102" s="37">
        <f t="shared" ca="1" si="89"/>
        <v>0</v>
      </c>
      <c r="AY102" s="37">
        <f t="shared" ca="1" si="89"/>
        <v>0</v>
      </c>
      <c r="AZ102" s="37">
        <f t="shared" ca="1" si="89"/>
        <v>0</v>
      </c>
      <c r="BA102" s="435">
        <f ca="1">SUM(E102:AZ102)</f>
        <v>201351.11991105834</v>
      </c>
      <c r="BC102" s="314"/>
      <c r="BD102" s="315">
        <f ca="1">IF(ABS(BA106-IDC!BA20)&lt;0.005,0,1)</f>
        <v>0</v>
      </c>
      <c r="BE102" s="316"/>
    </row>
    <row r="103" spans="1:57">
      <c r="A103" s="20" t="s">
        <v>1038</v>
      </c>
      <c r="E103" s="142">
        <f ca="1">-IDC!E40-SUM($D103:D103)</f>
        <v>0</v>
      </c>
      <c r="F103" s="142">
        <f ca="1">-IDC!F40-SUM($D103:E103)</f>
        <v>0</v>
      </c>
      <c r="G103" s="142">
        <f ca="1">-IDC!G40-SUM($D103:F103)</f>
        <v>0</v>
      </c>
      <c r="H103" s="142">
        <f ca="1">-IDC!H40-SUM($D103:G103)</f>
        <v>0</v>
      </c>
      <c r="I103" s="142">
        <f ca="1">-IDC!I40-SUM($D103:H103)</f>
        <v>0</v>
      </c>
      <c r="J103" s="142">
        <f ca="1">-IDC!J40-SUM($D103:I103)</f>
        <v>0</v>
      </c>
      <c r="K103" s="142">
        <f ca="1">-IDC!K40-SUM($D103:J103)</f>
        <v>0</v>
      </c>
      <c r="L103" s="142">
        <f ca="1">-IDC!L40-SUM($D103:K103)</f>
        <v>0</v>
      </c>
      <c r="M103" s="142">
        <f ca="1">-IDC!M40-SUM($D103:L103)</f>
        <v>0</v>
      </c>
      <c r="N103" s="142">
        <f ca="1">-IDC!N40-SUM($D103:M103)</f>
        <v>0</v>
      </c>
      <c r="O103" s="142">
        <f ca="1">-IDC!O40-SUM($D103:N103)</f>
        <v>0</v>
      </c>
      <c r="P103" s="142">
        <f ca="1">-IDC!P40-SUM($D103:O103)</f>
        <v>0</v>
      </c>
      <c r="Q103" s="142">
        <f ca="1">-IDC!Q40-SUM($D103:P103)</f>
        <v>0</v>
      </c>
      <c r="R103" s="142">
        <f ca="1">-IDC!R40-SUM($D103:Q103)</f>
        <v>0</v>
      </c>
      <c r="S103" s="142">
        <f ca="1">-IDC!S40-SUM($D103:R103)</f>
        <v>0</v>
      </c>
      <c r="T103" s="142">
        <f ca="1">-IDC!T40-SUM($D103:S103)</f>
        <v>0</v>
      </c>
      <c r="U103" s="142">
        <f ca="1">-IDC!U40-SUM($D103:T103)</f>
        <v>0</v>
      </c>
      <c r="V103" s="142">
        <f ca="1">-IDC!V40-SUM($D103:U103)</f>
        <v>0</v>
      </c>
      <c r="W103" s="142">
        <f ca="1">-IDC!W40-SUM($D103:V103)</f>
        <v>0</v>
      </c>
      <c r="X103" s="142">
        <f ca="1">-IDC!X40-SUM($D103:W103)</f>
        <v>0</v>
      </c>
      <c r="Y103" s="142">
        <f ca="1">-IDC!Y40-SUM($D103:X103)</f>
        <v>0</v>
      </c>
      <c r="Z103" s="142">
        <f ca="1">-IDC!Z40-SUM($D103:Y103)</f>
        <v>0</v>
      </c>
      <c r="AA103" s="142">
        <f ca="1">-IDC!AA40-SUM($D103:Z103)</f>
        <v>0</v>
      </c>
      <c r="AB103" s="142">
        <f ca="1">-IDC!AB40-SUM($D103:AA103)</f>
        <v>0</v>
      </c>
      <c r="AC103" s="142">
        <f ca="1">-IDC!AC40-SUM($D103:AB103)</f>
        <v>0</v>
      </c>
      <c r="AD103" s="142">
        <f ca="1">-IDC!AD40-SUM($D103:AC103)</f>
        <v>0</v>
      </c>
      <c r="AE103" s="142">
        <f ca="1">-IDC!AE40-SUM($D103:AD103)</f>
        <v>0</v>
      </c>
      <c r="AF103" s="142">
        <f ca="1">-IDC!AF40-SUM($D103:AE103)</f>
        <v>0</v>
      </c>
      <c r="AG103" s="142">
        <f ca="1">-IDC!AG40-SUM($D103:AF103)</f>
        <v>0</v>
      </c>
      <c r="AH103" s="142">
        <f ca="1">-IDC!AH40-SUM($D103:AG103)</f>
        <v>0</v>
      </c>
      <c r="AI103" s="142">
        <f ca="1">-IDC!AI40-SUM($D103:AH103)</f>
        <v>0</v>
      </c>
      <c r="AJ103" s="142">
        <f ca="1">-IDC!AJ40-SUM($D103:AI103)</f>
        <v>0</v>
      </c>
      <c r="AK103" s="142">
        <f ca="1">-IDC!AK40-SUM($D103:AJ103)</f>
        <v>0</v>
      </c>
      <c r="AL103" s="142">
        <f ca="1">-IDC!AL40-SUM($D103:AK103)</f>
        <v>-130103.58881252688</v>
      </c>
      <c r="AM103" s="142">
        <f ca="1">-IDC!AM40-SUM($D103:AL103)</f>
        <v>-1917.4033639693662</v>
      </c>
      <c r="AN103" s="142">
        <f ca="1">-IDC!AN40-SUM($D103:AM103)</f>
        <v>-1932.2960048935493</v>
      </c>
      <c r="AO103" s="142">
        <f ca="1">-IDC!AO40-SUM($D103:AN103)</f>
        <v>-17288.316794263519</v>
      </c>
      <c r="AP103" s="142">
        <f ca="1">-IDC!AP40-SUM($D103:AO103)</f>
        <v>-2081.5841985724983</v>
      </c>
      <c r="AQ103" s="142">
        <f ca="1">-IDC!AQ40-SUM($D103:AP103)</f>
        <v>-2097.7520465096168</v>
      </c>
      <c r="AR103" s="142">
        <f ca="1">-IDC!AR40-SUM($D103:AQ103)</f>
        <v>-2114.0454715467349</v>
      </c>
      <c r="AS103" s="142">
        <f ca="1">-IDC!AS40-SUM($D103:AR103)</f>
        <v>-17471.477925043233</v>
      </c>
      <c r="AT103" s="142">
        <f ca="1">-IDC!AT40-SUM($D103:AS103)</f>
        <v>-2266.1679579984338</v>
      </c>
      <c r="AU103" s="142">
        <f ca="1">-IDC!AU40-SUM($D103:AT103)</f>
        <v>-2283.769484263903</v>
      </c>
      <c r="AV103" s="142">
        <f ca="1">-IDC!AV40-SUM($D103:AU103)</f>
        <v>-2301.5077231352334</v>
      </c>
      <c r="AW103" s="142">
        <f ca="1">-IDC!AW40-SUM($D103:AV103)</f>
        <v>-19493.210128335311</v>
      </c>
      <c r="AX103" s="142">
        <f ca="1">-IDC!AX40-SUM($D103:AW103)</f>
        <v>0</v>
      </c>
      <c r="AY103" s="142">
        <f ca="1">-IDC!AY40-SUM($D103:AX103)</f>
        <v>0</v>
      </c>
      <c r="AZ103" s="142">
        <f ca="1">-IDC!AZ40-SUM($D103:AY103)</f>
        <v>0</v>
      </c>
      <c r="BA103" s="436">
        <f ca="1">SUM(E103:AZ103)</f>
        <v>-201351.11991105828</v>
      </c>
    </row>
    <row r="104" spans="1:57">
      <c r="A104" s="20" t="s">
        <v>1039</v>
      </c>
      <c r="E104" s="37">
        <f t="shared" ref="E104:BA104" ca="1" si="90">SUM(E101:E103)</f>
        <v>0</v>
      </c>
      <c r="F104" s="37">
        <f t="shared" ca="1" si="90"/>
        <v>0</v>
      </c>
      <c r="G104" s="37">
        <f t="shared" ca="1" si="90"/>
        <v>0</v>
      </c>
      <c r="H104" s="37">
        <f t="shared" ca="1" si="90"/>
        <v>0</v>
      </c>
      <c r="I104" s="37">
        <f t="shared" ca="1" si="90"/>
        <v>0</v>
      </c>
      <c r="J104" s="37">
        <f t="shared" ca="1" si="90"/>
        <v>0</v>
      </c>
      <c r="K104" s="37">
        <f t="shared" ca="1" si="90"/>
        <v>0</v>
      </c>
      <c r="L104" s="37">
        <f t="shared" ca="1" si="90"/>
        <v>0</v>
      </c>
      <c r="M104" s="37">
        <f t="shared" ca="1" si="90"/>
        <v>0</v>
      </c>
      <c r="N104" s="37">
        <f t="shared" ca="1" si="90"/>
        <v>0</v>
      </c>
      <c r="O104" s="37">
        <f t="shared" ca="1" si="90"/>
        <v>0</v>
      </c>
      <c r="P104" s="37">
        <f t="shared" ca="1" si="90"/>
        <v>0</v>
      </c>
      <c r="Q104" s="37">
        <f t="shared" ca="1" si="90"/>
        <v>0</v>
      </c>
      <c r="R104" s="37">
        <f t="shared" ca="1" si="90"/>
        <v>0</v>
      </c>
      <c r="S104" s="37">
        <f t="shared" ca="1" si="90"/>
        <v>0</v>
      </c>
      <c r="T104" s="37">
        <f t="shared" ca="1" si="90"/>
        <v>0</v>
      </c>
      <c r="U104" s="37">
        <f t="shared" ca="1" si="90"/>
        <v>0</v>
      </c>
      <c r="V104" s="37">
        <f t="shared" ca="1" si="90"/>
        <v>0</v>
      </c>
      <c r="W104" s="37">
        <f t="shared" ca="1" si="90"/>
        <v>0</v>
      </c>
      <c r="X104" s="37">
        <f t="shared" ca="1" si="90"/>
        <v>0</v>
      </c>
      <c r="Y104" s="37">
        <f t="shared" ca="1" si="90"/>
        <v>0</v>
      </c>
      <c r="Z104" s="37">
        <f t="shared" ca="1" si="90"/>
        <v>0</v>
      </c>
      <c r="AA104" s="37">
        <f t="shared" ca="1" si="90"/>
        <v>0</v>
      </c>
      <c r="AB104" s="37">
        <f t="shared" ca="1" si="90"/>
        <v>0</v>
      </c>
      <c r="AC104" s="37">
        <f t="shared" ca="1" si="90"/>
        <v>0</v>
      </c>
      <c r="AD104" s="37">
        <f t="shared" ca="1" si="90"/>
        <v>0</v>
      </c>
      <c r="AE104" s="37">
        <f t="shared" ca="1" si="90"/>
        <v>0</v>
      </c>
      <c r="AF104" s="37">
        <f t="shared" ca="1" si="90"/>
        <v>0</v>
      </c>
      <c r="AG104" s="37">
        <f t="shared" ca="1" si="90"/>
        <v>0</v>
      </c>
      <c r="AH104" s="37">
        <f t="shared" ca="1" si="90"/>
        <v>0</v>
      </c>
      <c r="AI104" s="37">
        <f t="shared" ca="1" si="90"/>
        <v>0</v>
      </c>
      <c r="AJ104" s="37">
        <f t="shared" ca="1" si="90"/>
        <v>0</v>
      </c>
      <c r="AK104" s="37">
        <f t="shared" ca="1" si="90"/>
        <v>0</v>
      </c>
      <c r="AL104" s="37">
        <f t="shared" ca="1" si="90"/>
        <v>71247.531098531457</v>
      </c>
      <c r="AM104" s="37">
        <f t="shared" ca="1" si="90"/>
        <v>69330.127734562091</v>
      </c>
      <c r="AN104" s="37">
        <f t="shared" ca="1" si="90"/>
        <v>67397.831729668542</v>
      </c>
      <c r="AO104" s="37">
        <f ca="1">SUM(AO101:AO103)</f>
        <v>50109.514935405023</v>
      </c>
      <c r="AP104" s="37">
        <f ca="1">SUM(AP101:AP103)</f>
        <v>48027.930736832524</v>
      </c>
      <c r="AQ104" s="37">
        <f ca="1">SUM(AQ101:AQ103)</f>
        <v>45930.178690322908</v>
      </c>
      <c r="AR104" s="37">
        <f ca="1">SUM(AR101:AR103)</f>
        <v>43816.133218776173</v>
      </c>
      <c r="AS104" s="37">
        <f t="shared" ref="AS104:AZ104" ca="1" si="91">SUM(AS101:AS103)</f>
        <v>26344.65529373294</v>
      </c>
      <c r="AT104" s="37">
        <f t="shared" ca="1" si="91"/>
        <v>24078.487335734506</v>
      </c>
      <c r="AU104" s="37">
        <f t="shared" ca="1" si="91"/>
        <v>21794.717851470603</v>
      </c>
      <c r="AV104" s="37">
        <f t="shared" ca="1" si="91"/>
        <v>19493.21012833537</v>
      </c>
      <c r="AW104" s="37">
        <f t="shared" ca="1" si="91"/>
        <v>5.8207660913467407E-11</v>
      </c>
      <c r="AX104" s="37">
        <f t="shared" ca="1" si="91"/>
        <v>5.8207660913467407E-11</v>
      </c>
      <c r="AY104" s="37">
        <f t="shared" ca="1" si="91"/>
        <v>5.8207660913467407E-11</v>
      </c>
      <c r="AZ104" s="37">
        <f t="shared" ca="1" si="91"/>
        <v>5.8207660913467407E-11</v>
      </c>
      <c r="BA104" s="435">
        <f t="shared" ca="1" si="90"/>
        <v>0</v>
      </c>
    </row>
    <row r="105" spans="1:57">
      <c r="A105" s="20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  <c r="AJ105" s="65"/>
      <c r="AK105" s="65"/>
      <c r="AL105" s="65"/>
      <c r="AM105" s="65"/>
      <c r="AN105" s="65"/>
      <c r="AO105" s="65"/>
      <c r="AP105" s="65"/>
      <c r="AQ105" s="65"/>
      <c r="AR105" s="65"/>
      <c r="AS105" s="65"/>
      <c r="AT105" s="65"/>
      <c r="AU105" s="65"/>
      <c r="AV105" s="65"/>
      <c r="AW105" s="65"/>
      <c r="AX105" s="65"/>
      <c r="AY105" s="65"/>
      <c r="AZ105" s="65"/>
      <c r="BA105" s="430"/>
    </row>
    <row r="106" spans="1:57">
      <c r="A106" s="20" t="s">
        <v>1263</v>
      </c>
      <c r="C106" s="343">
        <f ca="1">Assm!$AB$76</f>
        <v>3.3866801925735933E-3</v>
      </c>
      <c r="E106" s="37">
        <f t="shared" ref="E106:AN106" ca="1" si="92">IF(E95&lt;=Term_Fc,0,(SUM(E101:E102)+E103/2)*$C106/12)</f>
        <v>0</v>
      </c>
      <c r="F106" s="37">
        <f t="shared" ca="1" si="92"/>
        <v>0</v>
      </c>
      <c r="G106" s="37">
        <f t="shared" ca="1" si="92"/>
        <v>0</v>
      </c>
      <c r="H106" s="37">
        <f t="shared" ca="1" si="92"/>
        <v>0</v>
      </c>
      <c r="I106" s="37">
        <f t="shared" ca="1" si="92"/>
        <v>0</v>
      </c>
      <c r="J106" s="37">
        <f t="shared" ca="1" si="92"/>
        <v>0</v>
      </c>
      <c r="K106" s="37">
        <f t="shared" ca="1" si="92"/>
        <v>0</v>
      </c>
      <c r="L106" s="37">
        <f t="shared" ca="1" si="92"/>
        <v>0</v>
      </c>
      <c r="M106" s="37">
        <f t="shared" ca="1" si="92"/>
        <v>0</v>
      </c>
      <c r="N106" s="37">
        <f t="shared" ca="1" si="92"/>
        <v>0</v>
      </c>
      <c r="O106" s="37">
        <f t="shared" ca="1" si="92"/>
        <v>0</v>
      </c>
      <c r="P106" s="37">
        <f t="shared" ca="1" si="92"/>
        <v>0</v>
      </c>
      <c r="Q106" s="37">
        <f t="shared" ca="1" si="92"/>
        <v>0</v>
      </c>
      <c r="R106" s="37">
        <f t="shared" ca="1" si="92"/>
        <v>0</v>
      </c>
      <c r="S106" s="37">
        <f t="shared" ca="1" si="92"/>
        <v>0</v>
      </c>
      <c r="T106" s="37">
        <f t="shared" ca="1" si="92"/>
        <v>0</v>
      </c>
      <c r="U106" s="37">
        <f t="shared" ca="1" si="92"/>
        <v>0</v>
      </c>
      <c r="V106" s="37">
        <f t="shared" ca="1" si="92"/>
        <v>0</v>
      </c>
      <c r="W106" s="37">
        <f t="shared" ca="1" si="92"/>
        <v>0</v>
      </c>
      <c r="X106" s="37">
        <f t="shared" ca="1" si="92"/>
        <v>0</v>
      </c>
      <c r="Y106" s="37">
        <f t="shared" ca="1" si="92"/>
        <v>0</v>
      </c>
      <c r="Z106" s="37">
        <f t="shared" ca="1" si="92"/>
        <v>0</v>
      </c>
      <c r="AA106" s="37">
        <f t="shared" ca="1" si="92"/>
        <v>0</v>
      </c>
      <c r="AB106" s="37">
        <f t="shared" ca="1" si="92"/>
        <v>0</v>
      </c>
      <c r="AC106" s="37">
        <f t="shared" ca="1" si="92"/>
        <v>0</v>
      </c>
      <c r="AD106" s="37">
        <f t="shared" ca="1" si="92"/>
        <v>0</v>
      </c>
      <c r="AE106" s="37">
        <f t="shared" ca="1" si="92"/>
        <v>0</v>
      </c>
      <c r="AF106" s="37">
        <f t="shared" ca="1" si="92"/>
        <v>0</v>
      </c>
      <c r="AG106" s="37">
        <f t="shared" ca="1" si="92"/>
        <v>0</v>
      </c>
      <c r="AH106" s="37">
        <f t="shared" ca="1" si="92"/>
        <v>0</v>
      </c>
      <c r="AI106" s="37">
        <f t="shared" ca="1" si="92"/>
        <v>0</v>
      </c>
      <c r="AJ106" s="37">
        <f t="shared" ca="1" si="92"/>
        <v>0</v>
      </c>
      <c r="AK106" s="37">
        <f t="shared" ca="1" si="92"/>
        <v>0</v>
      </c>
      <c r="AL106" s="37">
        <f t="shared" ca="1" si="92"/>
        <v>38.466852162352474</v>
      </c>
      <c r="AM106" s="37">
        <f t="shared" ca="1" si="92"/>
        <v>19.837148862016921</v>
      </c>
      <c r="AN106" s="37">
        <f t="shared" ca="1" si="92"/>
        <v>19.293911337021459</v>
      </c>
      <c r="AO106" s="37">
        <f ca="1">IF(AO95&lt;=Term_Fc,0,(SUM(AO101:AO102)+AO103/2)*$C106/12)</f>
        <v>16.581658476353471</v>
      </c>
      <c r="AP106" s="37">
        <f ca="1">IF(AP95&lt;=Term_Fc,0,(SUM(AP101:AP102)+AP103/2)*$C106/12)</f>
        <v>13.848339308663917</v>
      </c>
      <c r="AQ106" s="37">
        <f ca="1">IF(AQ95&lt;=Term_Fc,0,(SUM(AQ101:AQ102)+AQ103/2)*$C106/12)</f>
        <v>13.258586172025396</v>
      </c>
      <c r="AR106" s="37">
        <f ca="1">IF(AR95&lt;=Term_Fc,0,(SUM(AR101:AR102)+AR103/2)*$C106/12)</f>
        <v>12.664252370794893</v>
      </c>
      <c r="AS106" s="37">
        <f t="shared" ref="AS106:AZ106" ca="1" si="93">IF(AS95&lt;=Term_Fc,0,(SUM(AS101:AS102)+AS103/2)*$C106/12)</f>
        <v>9.9005063646108127</v>
      </c>
      <c r="AT106" s="37">
        <f t="shared" ca="1" si="93"/>
        <v>7.1152940996054399</v>
      </c>
      <c r="AU106" s="37">
        <f t="shared" ca="1" si="93"/>
        <v>6.4732448073904898</v>
      </c>
      <c r="AV106" s="37">
        <f t="shared" ca="1" si="93"/>
        <v>5.8262086617339142</v>
      </c>
      <c r="AW106" s="37">
        <f t="shared" ca="1" si="93"/>
        <v>2.7507195263045232</v>
      </c>
      <c r="AX106" s="37">
        <f t="shared" ca="1" si="93"/>
        <v>1.6427561022640017E-14</v>
      </c>
      <c r="AY106" s="37">
        <f t="shared" ca="1" si="93"/>
        <v>1.6427561022640017E-14</v>
      </c>
      <c r="AZ106" s="37">
        <f t="shared" ca="1" si="93"/>
        <v>1.6427561022640017E-14</v>
      </c>
      <c r="BA106" s="435">
        <f ca="1">SUM(E106:AZ106)</f>
        <v>166.01672214887378</v>
      </c>
    </row>
    <row r="107" spans="1:57">
      <c r="A107" s="345" t="s">
        <v>1040</v>
      </c>
      <c r="B107" s="43"/>
      <c r="C107" s="43"/>
      <c r="D107" s="43"/>
      <c r="E107" s="256">
        <f ca="1">SUM($E106:E106)</f>
        <v>0</v>
      </c>
      <c r="F107" s="256">
        <f ca="1">SUM($E106:F106)</f>
        <v>0</v>
      </c>
      <c r="G107" s="256">
        <f ca="1">SUM($E106:G106)</f>
        <v>0</v>
      </c>
      <c r="H107" s="256">
        <f ca="1">SUM($E106:H106)</f>
        <v>0</v>
      </c>
      <c r="I107" s="256">
        <f ca="1">SUM($E106:I106)</f>
        <v>0</v>
      </c>
      <c r="J107" s="256">
        <f ca="1">SUM($E106:J106)</f>
        <v>0</v>
      </c>
      <c r="K107" s="256">
        <f ca="1">SUM($E106:K106)</f>
        <v>0</v>
      </c>
      <c r="L107" s="256">
        <f ca="1">SUM($E106:L106)</f>
        <v>0</v>
      </c>
      <c r="M107" s="256">
        <f ca="1">SUM($E106:M106)</f>
        <v>0</v>
      </c>
      <c r="N107" s="256">
        <f ca="1">SUM($E106:N106)</f>
        <v>0</v>
      </c>
      <c r="O107" s="256">
        <f ca="1">SUM($E106:O106)</f>
        <v>0</v>
      </c>
      <c r="P107" s="256">
        <f ca="1">SUM($E106:P106)</f>
        <v>0</v>
      </c>
      <c r="Q107" s="256">
        <f ca="1">SUM($E106:Q106)</f>
        <v>0</v>
      </c>
      <c r="R107" s="256">
        <f ca="1">SUM($E106:R106)</f>
        <v>0</v>
      </c>
      <c r="S107" s="256">
        <f ca="1">SUM($E106:S106)</f>
        <v>0</v>
      </c>
      <c r="T107" s="256">
        <f ca="1">SUM($E106:T106)</f>
        <v>0</v>
      </c>
      <c r="U107" s="256">
        <f ca="1">SUM($E106:U106)</f>
        <v>0</v>
      </c>
      <c r="V107" s="256">
        <f ca="1">SUM($E106:V106)</f>
        <v>0</v>
      </c>
      <c r="W107" s="256">
        <f ca="1">SUM($E106:W106)</f>
        <v>0</v>
      </c>
      <c r="X107" s="256">
        <f ca="1">SUM($E106:X106)</f>
        <v>0</v>
      </c>
      <c r="Y107" s="256">
        <f ca="1">SUM($E106:Y106)</f>
        <v>0</v>
      </c>
      <c r="Z107" s="256">
        <f ca="1">SUM($E106:Z106)</f>
        <v>0</v>
      </c>
      <c r="AA107" s="256">
        <f ca="1">SUM($E106:AA106)</f>
        <v>0</v>
      </c>
      <c r="AB107" s="256">
        <f ca="1">SUM($E106:AB106)</f>
        <v>0</v>
      </c>
      <c r="AC107" s="256">
        <f ca="1">SUM($E106:AC106)</f>
        <v>0</v>
      </c>
      <c r="AD107" s="256">
        <f ca="1">SUM($E106:AD106)</f>
        <v>0</v>
      </c>
      <c r="AE107" s="256">
        <f ca="1">SUM($E106:AE106)</f>
        <v>0</v>
      </c>
      <c r="AF107" s="256">
        <f ca="1">SUM($E106:AF106)</f>
        <v>0</v>
      </c>
      <c r="AG107" s="256">
        <f ca="1">SUM($E106:AG106)</f>
        <v>0</v>
      </c>
      <c r="AH107" s="256">
        <f ca="1">SUM($E106:AH106)</f>
        <v>0</v>
      </c>
      <c r="AI107" s="256">
        <f ca="1">SUM($E106:AI106)</f>
        <v>0</v>
      </c>
      <c r="AJ107" s="256">
        <f ca="1">SUM($E106:AJ106)</f>
        <v>0</v>
      </c>
      <c r="AK107" s="256">
        <f ca="1">SUM($E106:AK106)</f>
        <v>0</v>
      </c>
      <c r="AL107" s="256">
        <f ca="1">SUM($E106:AL106)</f>
        <v>38.466852162352474</v>
      </c>
      <c r="AM107" s="256">
        <f ca="1">SUM($E106:AM106)</f>
        <v>58.304001024369398</v>
      </c>
      <c r="AN107" s="256">
        <f ca="1">SUM($E106:AN106)</f>
        <v>77.597912361390854</v>
      </c>
      <c r="AO107" s="256">
        <f ca="1">SUM($E106:AO106)</f>
        <v>94.179570837744322</v>
      </c>
      <c r="AP107" s="256">
        <f ca="1">SUM($E106:AP106)</f>
        <v>108.02791014640823</v>
      </c>
      <c r="AQ107" s="256">
        <f ca="1">SUM($E106:AQ106)</f>
        <v>121.28649631843362</v>
      </c>
      <c r="AR107" s="256">
        <f ca="1">SUM($E106:AR106)</f>
        <v>133.9507486892285</v>
      </c>
      <c r="AS107" s="256">
        <f ca="1">SUM($E106:AS106)</f>
        <v>143.85125505383931</v>
      </c>
      <c r="AT107" s="256">
        <f ca="1">SUM($E106:AT106)</f>
        <v>150.96654915344476</v>
      </c>
      <c r="AU107" s="256">
        <f ca="1">SUM($E106:AU106)</f>
        <v>157.43979396083526</v>
      </c>
      <c r="AV107" s="256">
        <f ca="1">SUM($E106:AV106)</f>
        <v>163.26600262256918</v>
      </c>
      <c r="AW107" s="256">
        <f ca="1">SUM($E106:AW106)</f>
        <v>166.0167221488737</v>
      </c>
      <c r="AX107" s="256">
        <f ca="1">SUM($E106:AX106)</f>
        <v>166.01672214887373</v>
      </c>
      <c r="AY107" s="256">
        <f ca="1">SUM($E106:AY106)</f>
        <v>166.01672214887375</v>
      </c>
      <c r="AZ107" s="256">
        <f ca="1">SUM($E106:AZ106)</f>
        <v>166.01672214887378</v>
      </c>
      <c r="BA107" s="534"/>
    </row>
    <row r="108" spans="1:57">
      <c r="A108" s="20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  <c r="AA108" s="65"/>
      <c r="AB108" s="65"/>
      <c r="AC108" s="65"/>
      <c r="AD108" s="65"/>
      <c r="AE108" s="65"/>
      <c r="AF108" s="65"/>
      <c r="AG108" s="65"/>
      <c r="AH108" s="65"/>
      <c r="AI108" s="65"/>
      <c r="AJ108" s="65"/>
      <c r="AK108" s="65"/>
      <c r="AL108" s="65"/>
      <c r="AM108" s="65"/>
      <c r="AN108" s="65"/>
      <c r="AO108" s="65"/>
      <c r="AP108" s="65"/>
      <c r="AQ108" s="65"/>
      <c r="AR108" s="65"/>
      <c r="AS108" s="65"/>
      <c r="AT108" s="65"/>
      <c r="AU108" s="65"/>
      <c r="AV108" s="65"/>
      <c r="AW108" s="65"/>
      <c r="AX108" s="65"/>
      <c r="AY108" s="65"/>
      <c r="AZ108" s="65"/>
      <c r="BA108" s="430"/>
    </row>
    <row r="109" spans="1:57" s="15" customFormat="1">
      <c r="A109" s="1022" t="s">
        <v>663</v>
      </c>
      <c r="B109" s="1023"/>
      <c r="C109" s="1024">
        <f ca="1">BA106</f>
        <v>166.01672214887378</v>
      </c>
      <c r="BA109" s="430"/>
    </row>
    <row r="110" spans="1:57" ht="13.5" thickBot="1">
      <c r="A110" s="48"/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43"/>
    </row>
  </sheetData>
  <printOptions horizontalCentered="1"/>
  <pageMargins left="0.25" right="0.25" top="0.5" bottom="0.5" header="0.25" footer="0.25"/>
  <pageSetup scale="21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BI109"/>
  <sheetViews>
    <sheetView showGridLines="0" topLeftCell="T5" zoomScale="75" workbookViewId="0">
      <selection activeCell="AI36" sqref="AI36"/>
    </sheetView>
  </sheetViews>
  <sheetFormatPr defaultRowHeight="12.75"/>
  <cols>
    <col min="1" max="2" width="8.7109375" style="7" customWidth="1"/>
    <col min="3" max="25" width="10.7109375" style="7" customWidth="1"/>
    <col min="26" max="26" width="10.7109375" style="15" customWidth="1"/>
    <col min="27" max="27" width="10.7109375" style="7" customWidth="1"/>
    <col min="28" max="28" width="15.28515625" style="7" bestFit="1" customWidth="1"/>
    <col min="29" max="30" width="10.7109375" style="7" customWidth="1"/>
    <col min="31" max="32" width="10.7109375" style="15" customWidth="1"/>
    <col min="33" max="34" width="10.7109375" style="7" customWidth="1"/>
    <col min="35" max="35" width="10.7109375" style="1591" customWidth="1"/>
    <col min="36" max="36" width="10.7109375" style="1567" customWidth="1"/>
    <col min="37" max="48" width="10.7109375" style="7" customWidth="1"/>
    <col min="49" max="58" width="11.7109375" style="7" customWidth="1"/>
    <col min="59" max="16384" width="9.140625" style="7"/>
  </cols>
  <sheetData>
    <row r="1" spans="1:61" s="15" customFormat="1" ht="15.75">
      <c r="A1" s="1137" t="str">
        <f>CONCATENATE(TOC!B2," ",TOC!B6)</f>
        <v>EMPRESSA PRODUTORA DE ENERGÍA LTDA (EPE) *** DRAFT COPY ***</v>
      </c>
      <c r="AI1" s="1589"/>
      <c r="AJ1" s="1579"/>
      <c r="AK1" s="289"/>
      <c r="AL1" s="289"/>
      <c r="AM1" s="289"/>
      <c r="AN1" s="289"/>
      <c r="AO1" s="289"/>
      <c r="AP1" s="289"/>
      <c r="AQ1" s="289"/>
      <c r="AR1" s="289"/>
      <c r="AS1" s="289"/>
      <c r="AT1" s="53"/>
      <c r="AU1" s="289"/>
      <c r="AV1" s="289"/>
    </row>
    <row r="2" spans="1:61" s="15" customFormat="1" ht="15.75">
      <c r="A2" s="1137" t="str">
        <f>TOC!B3</f>
        <v>480 MW POWER PLANT (CUIABA, BRAZIL)</v>
      </c>
      <c r="AI2" s="1589"/>
      <c r="AJ2" s="1579"/>
      <c r="AK2" s="289"/>
      <c r="AL2" s="289"/>
      <c r="AM2" s="289"/>
      <c r="AN2" s="289"/>
      <c r="AO2" s="289"/>
      <c r="AP2" s="289"/>
      <c r="AQ2" s="289"/>
      <c r="AR2" s="289"/>
      <c r="AS2" s="289"/>
      <c r="AT2" s="53"/>
      <c r="AU2" s="289"/>
      <c r="AV2" s="289"/>
    </row>
    <row r="3" spans="1:61" s="15" customFormat="1" ht="15">
      <c r="A3" s="118" t="str">
        <f>TOC!B4</f>
        <v>ENRON INTERNATIONAL</v>
      </c>
      <c r="AI3" s="1589"/>
      <c r="AJ3" s="1579"/>
      <c r="AK3" s="289"/>
      <c r="AL3" s="289"/>
      <c r="AM3" s="289"/>
      <c r="AN3" s="289"/>
      <c r="AO3" s="289"/>
      <c r="AP3" s="289"/>
      <c r="AQ3" s="289"/>
      <c r="AR3" s="289"/>
      <c r="AS3" s="289"/>
      <c r="AT3" s="53"/>
      <c r="AU3" s="289"/>
      <c r="AV3" s="289"/>
    </row>
    <row r="4" spans="1:61" s="15" customFormat="1" ht="15">
      <c r="A4" s="932" t="s">
        <v>1450</v>
      </c>
      <c r="B4" s="769"/>
      <c r="C4" s="769"/>
      <c r="D4" s="769"/>
      <c r="AI4" s="1589"/>
      <c r="AJ4" s="1579"/>
      <c r="AK4" s="289"/>
      <c r="AL4" s="289"/>
      <c r="AM4" s="289"/>
      <c r="AN4" s="289"/>
      <c r="AO4" s="289"/>
      <c r="AP4" s="289"/>
      <c r="AQ4" s="289"/>
      <c r="AR4" s="289"/>
      <c r="AS4" s="289"/>
      <c r="AT4" s="53"/>
      <c r="AU4" s="289"/>
      <c r="AV4" s="289"/>
    </row>
    <row r="5" spans="1:61" ht="13.5" thickBot="1">
      <c r="A5" s="15"/>
      <c r="B5" s="15"/>
      <c r="C5" s="15"/>
      <c r="AA5" s="15"/>
      <c r="AB5" s="1309" t="s">
        <v>628</v>
      </c>
      <c r="AC5" s="15"/>
      <c r="AD5" s="15"/>
      <c r="AG5" s="15"/>
      <c r="AH5" s="15"/>
      <c r="AI5" s="1589"/>
      <c r="AJ5" s="1579"/>
      <c r="AK5" s="289"/>
      <c r="AL5" s="289"/>
      <c r="AM5" s="289"/>
      <c r="AN5" s="289"/>
      <c r="AO5" s="289"/>
      <c r="AP5" s="289"/>
      <c r="AQ5" s="289"/>
      <c r="AR5" s="289"/>
      <c r="AS5" s="289"/>
      <c r="AT5" s="53"/>
      <c r="AU5" s="289"/>
      <c r="AV5" s="289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</row>
    <row r="6" spans="1:61" s="15" customFormat="1">
      <c r="A6" s="412" t="s">
        <v>443</v>
      </c>
      <c r="B6" s="11"/>
      <c r="C6" s="11"/>
      <c r="D6" s="11">
        <f>Rev_Exp!D6</f>
        <v>1</v>
      </c>
      <c r="E6" s="11">
        <f>Rev_Exp!E6</f>
        <v>2</v>
      </c>
      <c r="F6" s="11">
        <f>Rev_Exp!F6</f>
        <v>3</v>
      </c>
      <c r="G6" s="11">
        <f>Rev_Exp!G6</f>
        <v>4</v>
      </c>
      <c r="H6" s="11">
        <f>Rev_Exp!H6</f>
        <v>5</v>
      </c>
      <c r="I6" s="11">
        <f>Rev_Exp!I6</f>
        <v>6</v>
      </c>
      <c r="J6" s="11">
        <f>Rev_Exp!J6</f>
        <v>7</v>
      </c>
      <c r="K6" s="11">
        <f>Rev_Exp!K6</f>
        <v>8</v>
      </c>
      <c r="L6" s="11">
        <f>Rev_Exp!L6</f>
        <v>9</v>
      </c>
      <c r="M6" s="11">
        <f>Rev_Exp!M6</f>
        <v>10</v>
      </c>
      <c r="N6" s="11">
        <f>Rev_Exp!N6</f>
        <v>11</v>
      </c>
      <c r="O6" s="11">
        <f>Rev_Exp!O6</f>
        <v>12</v>
      </c>
      <c r="P6" s="11">
        <f>Rev_Exp!P6</f>
        <v>13</v>
      </c>
      <c r="Q6" s="11">
        <f>Rev_Exp!Q6</f>
        <v>14</v>
      </c>
      <c r="R6" s="11">
        <f>Rev_Exp!R6</f>
        <v>15</v>
      </c>
      <c r="S6" s="11">
        <f>Rev_Exp!S6</f>
        <v>16</v>
      </c>
      <c r="T6" s="11">
        <f>Rev_Exp!T6</f>
        <v>17</v>
      </c>
      <c r="U6" s="11">
        <f>Rev_Exp!U6</f>
        <v>18</v>
      </c>
      <c r="V6" s="11">
        <f>Rev_Exp!V6</f>
        <v>19</v>
      </c>
      <c r="W6" s="11">
        <f>Rev_Exp!W6</f>
        <v>20</v>
      </c>
      <c r="X6" s="11">
        <f>Rev_Exp!X6</f>
        <v>21</v>
      </c>
      <c r="Y6" s="11">
        <f>Rev_Exp!Y6</f>
        <v>22</v>
      </c>
      <c r="Z6" s="424"/>
      <c r="AB6" s="1310" t="s">
        <v>1902</v>
      </c>
      <c r="AI6" s="1589"/>
      <c r="AJ6" s="1579"/>
    </row>
    <row r="7" spans="1:61" s="15" customFormat="1" ht="13.5" thickBot="1">
      <c r="A7" s="415" t="s">
        <v>444</v>
      </c>
      <c r="B7" s="49"/>
      <c r="C7" s="49"/>
      <c r="D7" s="83">
        <f>Rev_Exp!D7</f>
        <v>1998</v>
      </c>
      <c r="E7" s="83">
        <f>Rev_Exp!E7</f>
        <v>1999</v>
      </c>
      <c r="F7" s="83">
        <f>Rev_Exp!F7</f>
        <v>2000</v>
      </c>
      <c r="G7" s="83">
        <f>Rev_Exp!G7</f>
        <v>2001</v>
      </c>
      <c r="H7" s="83">
        <f>Rev_Exp!H7</f>
        <v>2002</v>
      </c>
      <c r="I7" s="83">
        <f>Rev_Exp!I7</f>
        <v>2003</v>
      </c>
      <c r="J7" s="83">
        <f>Rev_Exp!J7</f>
        <v>2004</v>
      </c>
      <c r="K7" s="83">
        <f>Rev_Exp!K7</f>
        <v>2005</v>
      </c>
      <c r="L7" s="83">
        <f>Rev_Exp!L7</f>
        <v>2006</v>
      </c>
      <c r="M7" s="83">
        <f>Rev_Exp!M7</f>
        <v>2007</v>
      </c>
      <c r="N7" s="83">
        <f>Rev_Exp!N7</f>
        <v>2008</v>
      </c>
      <c r="O7" s="83">
        <f>Rev_Exp!O7</f>
        <v>2009</v>
      </c>
      <c r="P7" s="83">
        <f>Rev_Exp!P7</f>
        <v>2010</v>
      </c>
      <c r="Q7" s="83">
        <f>Rev_Exp!Q7</f>
        <v>2011</v>
      </c>
      <c r="R7" s="83">
        <f>Rev_Exp!R7</f>
        <v>2012</v>
      </c>
      <c r="S7" s="83">
        <f>Rev_Exp!S7</f>
        <v>2013</v>
      </c>
      <c r="T7" s="83">
        <f>Rev_Exp!T7</f>
        <v>2014</v>
      </c>
      <c r="U7" s="83">
        <f>Rev_Exp!U7</f>
        <v>2015</v>
      </c>
      <c r="V7" s="83">
        <f>Rev_Exp!V7</f>
        <v>2016</v>
      </c>
      <c r="W7" s="83">
        <f>Rev_Exp!W7</f>
        <v>2017</v>
      </c>
      <c r="X7" s="83">
        <f>Rev_Exp!X7</f>
        <v>2018</v>
      </c>
      <c r="Y7" s="83">
        <f>Rev_Exp!Y7</f>
        <v>2019</v>
      </c>
      <c r="Z7" s="425" t="s">
        <v>565</v>
      </c>
      <c r="AB7" s="787">
        <v>1</v>
      </c>
      <c r="AC7" s="34"/>
      <c r="AD7" s="34"/>
      <c r="AE7" s="34"/>
      <c r="AF7" s="34"/>
      <c r="AG7" s="1577"/>
      <c r="AH7" s="34"/>
      <c r="AI7" s="1590"/>
      <c r="AJ7" s="1577"/>
    </row>
    <row r="8" spans="1:61" s="15" customFormat="1">
      <c r="A8" s="538"/>
      <c r="Z8" s="536"/>
      <c r="AB8" s="34">
        <f t="shared" ref="AB8:AB21" si="0">AB7+1</f>
        <v>2</v>
      </c>
      <c r="AC8" s="34"/>
      <c r="AD8" s="34"/>
      <c r="AE8" s="34"/>
      <c r="AF8" s="34"/>
      <c r="AG8" s="34"/>
      <c r="AH8" s="34"/>
      <c r="AI8" s="1590"/>
      <c r="AJ8" s="1577"/>
    </row>
    <row r="9" spans="1:61" s="15" customFormat="1">
      <c r="A9" s="20" t="s">
        <v>817</v>
      </c>
      <c r="D9" s="15">
        <f ca="1">Rev_Exp!D12</f>
        <v>0</v>
      </c>
      <c r="E9" s="15">
        <f ca="1">Rev_Exp!E12</f>
        <v>9</v>
      </c>
      <c r="F9" s="15">
        <f ca="1">Rev_Exp!F12</f>
        <v>12</v>
      </c>
      <c r="G9" s="15">
        <f ca="1">Rev_Exp!G12</f>
        <v>12</v>
      </c>
      <c r="H9" s="15">
        <f ca="1">Rev_Exp!H12</f>
        <v>12</v>
      </c>
      <c r="I9" s="15">
        <f ca="1">Rev_Exp!I12</f>
        <v>12</v>
      </c>
      <c r="J9" s="15">
        <f ca="1">Rev_Exp!J12</f>
        <v>12</v>
      </c>
      <c r="K9" s="15">
        <f ca="1">Rev_Exp!K12</f>
        <v>12</v>
      </c>
      <c r="L9" s="15">
        <f ca="1">Rev_Exp!L12</f>
        <v>12</v>
      </c>
      <c r="M9" s="15">
        <f ca="1">Rev_Exp!M12</f>
        <v>12</v>
      </c>
      <c r="N9" s="15">
        <f ca="1">Rev_Exp!N12</f>
        <v>12</v>
      </c>
      <c r="O9" s="15">
        <f ca="1">Rev_Exp!O12</f>
        <v>12</v>
      </c>
      <c r="P9" s="15">
        <f ca="1">Rev_Exp!P12</f>
        <v>12</v>
      </c>
      <c r="Q9" s="15">
        <f ca="1">Rev_Exp!Q12</f>
        <v>12</v>
      </c>
      <c r="R9" s="15">
        <f ca="1">Rev_Exp!R12</f>
        <v>12</v>
      </c>
      <c r="S9" s="15">
        <f ca="1">Rev_Exp!S12</f>
        <v>12</v>
      </c>
      <c r="T9" s="15">
        <f ca="1">Rev_Exp!T12</f>
        <v>12</v>
      </c>
      <c r="U9" s="15">
        <f ca="1">Rev_Exp!U12</f>
        <v>12</v>
      </c>
      <c r="V9" s="15">
        <f ca="1">Rev_Exp!V12</f>
        <v>12</v>
      </c>
      <c r="W9" s="15">
        <f ca="1">Rev_Exp!W12</f>
        <v>12</v>
      </c>
      <c r="X9" s="15">
        <f ca="1">Rev_Exp!X12</f>
        <v>12</v>
      </c>
      <c r="Y9" s="15">
        <f ca="1">Rev_Exp!Y12</f>
        <v>4</v>
      </c>
      <c r="Z9" s="430">
        <f ca="1">SUM(D9:Y9)</f>
        <v>241</v>
      </c>
      <c r="AB9" s="34">
        <f t="shared" si="0"/>
        <v>3</v>
      </c>
      <c r="AC9" s="34"/>
      <c r="AD9" s="34"/>
      <c r="AE9" s="34"/>
      <c r="AF9" s="34"/>
      <c r="AG9" s="34"/>
      <c r="AH9" s="34"/>
      <c r="AI9" s="1590"/>
      <c r="AJ9" s="157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</row>
    <row r="10" spans="1:61">
      <c r="A10" s="20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430"/>
      <c r="AB10" s="34">
        <f t="shared" si="0"/>
        <v>4</v>
      </c>
      <c r="AC10" s="34"/>
      <c r="AD10" s="34"/>
      <c r="AE10" s="34"/>
      <c r="AF10" s="34"/>
      <c r="AG10" s="34"/>
      <c r="AH10" s="34"/>
      <c r="AI10" s="1590"/>
      <c r="AJ10" s="1577"/>
      <c r="AW10" s="15"/>
      <c r="AX10" s="15"/>
      <c r="AY10" s="15"/>
    </row>
    <row r="11" spans="1:61">
      <c r="A11" s="27" t="s">
        <v>738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430"/>
      <c r="AB11" s="34">
        <f t="shared" si="0"/>
        <v>5</v>
      </c>
      <c r="AC11" s="34"/>
      <c r="AD11" s="34"/>
      <c r="AE11" s="34"/>
      <c r="AF11" s="34"/>
      <c r="AG11" s="34"/>
      <c r="AH11" s="34"/>
      <c r="AI11" s="1590"/>
      <c r="AJ11" s="1577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</row>
    <row r="12" spans="1:61">
      <c r="A12" s="196" t="s">
        <v>117</v>
      </c>
      <c r="B12" s="15"/>
      <c r="C12" s="15"/>
      <c r="D12" s="37">
        <f ca="1">IF(D$7&lt;YEAR(Startops3),0,VLOOKUP(D$79,Fin_Table,$AA$77))</f>
        <v>0</v>
      </c>
      <c r="E12" s="37">
        <f t="shared" ref="E12:Y12" ca="1" si="1">IF(E$7&lt;YEAR(Startops3),0,VLOOKUP(E$79,Fin_Table,$AA$77))</f>
        <v>0</v>
      </c>
      <c r="F12" s="37">
        <f t="shared" ca="1" si="1"/>
        <v>0</v>
      </c>
      <c r="G12" s="37">
        <f t="shared" ca="1" si="1"/>
        <v>6866.1388759198016</v>
      </c>
      <c r="H12" s="37">
        <f t="shared" ca="1" si="1"/>
        <v>16245.84906951103</v>
      </c>
      <c r="I12" s="37">
        <f t="shared" ca="1" si="1"/>
        <v>15297.114554345853</v>
      </c>
      <c r="J12" s="37">
        <f t="shared" ca="1" si="1"/>
        <v>14256.726768601686</v>
      </c>
      <c r="K12" s="37">
        <f t="shared" ca="1" si="1"/>
        <v>13047.87399140309</v>
      </c>
      <c r="L12" s="37">
        <f t="shared" ca="1" si="1"/>
        <v>11750.413201233227</v>
      </c>
      <c r="M12" s="37">
        <f t="shared" ca="1" si="1"/>
        <v>10380.028967391143</v>
      </c>
      <c r="N12" s="37">
        <f t="shared" ca="1" si="1"/>
        <v>8974.0608897282127</v>
      </c>
      <c r="O12" s="37">
        <f t="shared" ca="1" si="1"/>
        <v>7705.2560033144437</v>
      </c>
      <c r="P12" s="37">
        <f t="shared" ca="1" si="1"/>
        <v>6465.0175972114193</v>
      </c>
      <c r="Q12" s="37">
        <f t="shared" ca="1" si="1"/>
        <v>5197.776339170844</v>
      </c>
      <c r="R12" s="37">
        <f t="shared" ca="1" si="1"/>
        <v>3910.3500690280061</v>
      </c>
      <c r="S12" s="37">
        <f t="shared" ca="1" si="1"/>
        <v>2848.3466844802488</v>
      </c>
      <c r="T12" s="37">
        <f t="shared" ca="1" si="1"/>
        <v>1786.3432999324914</v>
      </c>
      <c r="U12" s="37">
        <f t="shared" ca="1" si="1"/>
        <v>701.82721243481615</v>
      </c>
      <c r="V12" s="37">
        <f t="shared" ca="1" si="1"/>
        <v>0</v>
      </c>
      <c r="W12" s="37">
        <f t="shared" ca="1" si="1"/>
        <v>0</v>
      </c>
      <c r="X12" s="37">
        <f t="shared" ca="1" si="1"/>
        <v>0</v>
      </c>
      <c r="Y12" s="37">
        <f t="shared" ca="1" si="1"/>
        <v>0</v>
      </c>
      <c r="Z12" s="435">
        <f ca="1">SUM(D12:Y12)</f>
        <v>125433.12352370631</v>
      </c>
      <c r="AA12" s="80"/>
      <c r="AB12" s="34">
        <f t="shared" si="0"/>
        <v>6</v>
      </c>
      <c r="AC12" s="34"/>
      <c r="AD12" s="34"/>
      <c r="AE12" s="34"/>
      <c r="AF12" s="34"/>
      <c r="AG12" s="34"/>
      <c r="AH12" s="34"/>
      <c r="AI12" s="1590"/>
      <c r="AJ12" s="1577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</row>
    <row r="13" spans="1:61">
      <c r="A13" s="196" t="s">
        <v>566</v>
      </c>
      <c r="B13" s="15"/>
      <c r="C13" s="15"/>
      <c r="D13" s="142">
        <f ca="1">IF(D$7&lt;YEAR(Startops3),0,VLOOKUP(D$79,Fin_Table,$AB$77))</f>
        <v>0</v>
      </c>
      <c r="E13" s="142">
        <f t="shared" ref="E13:Y13" ca="1" si="2">IF(E$7&lt;YEAR(Startops3),0,VLOOKUP(E$79,Fin_Table,$AB$77))</f>
        <v>0</v>
      </c>
      <c r="F13" s="142">
        <f t="shared" ca="1" si="2"/>
        <v>0</v>
      </c>
      <c r="G13" s="142">
        <f t="shared" ca="1" si="2"/>
        <v>0</v>
      </c>
      <c r="H13" s="142">
        <f t="shared" ca="1" si="2"/>
        <v>12154.813826811755</v>
      </c>
      <c r="I13" s="142">
        <f t="shared" ca="1" si="2"/>
        <v>12684.930048533581</v>
      </c>
      <c r="J13" s="142">
        <f t="shared" ca="1" si="2"/>
        <v>14522.375240026344</v>
      </c>
      <c r="K13" s="142">
        <f t="shared" ca="1" si="2"/>
        <v>15403.140421861506</v>
      </c>
      <c r="L13" s="142">
        <f t="shared" ca="1" si="2"/>
        <v>16039.307763743778</v>
      </c>
      <c r="M13" s="142">
        <f t="shared" ca="1" si="2"/>
        <v>16528.870410165604</v>
      </c>
      <c r="N13" s="142">
        <f t="shared" ca="1" si="2"/>
        <v>15799.435242807904</v>
      </c>
      <c r="O13" s="142">
        <f t="shared" ca="1" si="2"/>
        <v>15092.526990459122</v>
      </c>
      <c r="P13" s="142">
        <f t="shared" ca="1" si="2"/>
        <v>15377.222082853108</v>
      </c>
      <c r="Q13" s="142">
        <f t="shared" ca="1" si="2"/>
        <v>16172.389922001716</v>
      </c>
      <c r="R13" s="142">
        <f t="shared" ca="1" si="2"/>
        <v>13057.883990961853</v>
      </c>
      <c r="S13" s="142">
        <f t="shared" ca="1" si="2"/>
        <v>13057.883990961853</v>
      </c>
      <c r="T13" s="142">
        <f t="shared" ca="1" si="2"/>
        <v>13166.937350695027</v>
      </c>
      <c r="U13" s="142">
        <f t="shared" ca="1" si="2"/>
        <v>12293.40262917526</v>
      </c>
      <c r="V13" s="142">
        <f t="shared" ca="1" si="2"/>
        <v>0</v>
      </c>
      <c r="W13" s="142">
        <f t="shared" ca="1" si="2"/>
        <v>0</v>
      </c>
      <c r="X13" s="142">
        <f t="shared" ca="1" si="2"/>
        <v>0</v>
      </c>
      <c r="Y13" s="142">
        <f t="shared" ca="1" si="2"/>
        <v>0</v>
      </c>
      <c r="Z13" s="436">
        <f ca="1">SUM(D13:Y13)</f>
        <v>201351.1199110584</v>
      </c>
      <c r="AA13" s="6" t="str">
        <f ca="1">IF(ABS(Z13-Tot_Debt)&lt;0.1," ","SUM OF PRINCIPAL PAYMENTS DOES NOT EQUAL DEBT")</f>
        <v xml:space="preserve"> </v>
      </c>
      <c r="AB13" s="34">
        <f t="shared" si="0"/>
        <v>7</v>
      </c>
      <c r="AC13" s="34"/>
      <c r="AD13" s="34"/>
      <c r="AE13" s="34"/>
      <c r="AF13" s="34"/>
      <c r="AG13" s="34"/>
      <c r="AH13" s="34"/>
      <c r="AI13" s="1590"/>
      <c r="AJ13" s="1577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</row>
    <row r="14" spans="1:61">
      <c r="A14" s="174" t="s">
        <v>116</v>
      </c>
      <c r="B14" s="36"/>
      <c r="C14" s="36"/>
      <c r="D14" s="267">
        <f t="shared" ref="D14:Y14" ca="1" si="3">SUM(D12:D13)</f>
        <v>0</v>
      </c>
      <c r="E14" s="267">
        <f t="shared" ca="1" si="3"/>
        <v>0</v>
      </c>
      <c r="F14" s="267">
        <f t="shared" ca="1" si="3"/>
        <v>0</v>
      </c>
      <c r="G14" s="267">
        <f t="shared" ca="1" si="3"/>
        <v>6866.1388759198016</v>
      </c>
      <c r="H14" s="267">
        <f t="shared" ca="1" si="3"/>
        <v>28400.662896322785</v>
      </c>
      <c r="I14" s="267">
        <f t="shared" ca="1" si="3"/>
        <v>27982.044602879432</v>
      </c>
      <c r="J14" s="267">
        <f t="shared" ca="1" si="3"/>
        <v>28779.10200862803</v>
      </c>
      <c r="K14" s="267">
        <f t="shared" ca="1" si="3"/>
        <v>28451.014413264595</v>
      </c>
      <c r="L14" s="267">
        <f t="shared" ca="1" si="3"/>
        <v>27789.720964977005</v>
      </c>
      <c r="M14" s="267">
        <f t="shared" ca="1" si="3"/>
        <v>26908.899377556747</v>
      </c>
      <c r="N14" s="267">
        <f t="shared" ca="1" si="3"/>
        <v>24773.496132536115</v>
      </c>
      <c r="O14" s="267">
        <f t="shared" ca="1" si="3"/>
        <v>22797.782993773566</v>
      </c>
      <c r="P14" s="267">
        <f t="shared" ca="1" si="3"/>
        <v>21842.239680064529</v>
      </c>
      <c r="Q14" s="267">
        <f t="shared" ca="1" si="3"/>
        <v>21370.166261172559</v>
      </c>
      <c r="R14" s="267">
        <f t="shared" ca="1" si="3"/>
        <v>16968.23405998986</v>
      </c>
      <c r="S14" s="267">
        <f t="shared" ca="1" si="3"/>
        <v>15906.230675442101</v>
      </c>
      <c r="T14" s="267">
        <f t="shared" ca="1" si="3"/>
        <v>14953.280650627519</v>
      </c>
      <c r="U14" s="267">
        <f t="shared" ca="1" si="3"/>
        <v>12995.229841610077</v>
      </c>
      <c r="V14" s="267">
        <f t="shared" ca="1" si="3"/>
        <v>0</v>
      </c>
      <c r="W14" s="267">
        <f t="shared" ca="1" si="3"/>
        <v>0</v>
      </c>
      <c r="X14" s="267">
        <f t="shared" ca="1" si="3"/>
        <v>0</v>
      </c>
      <c r="Y14" s="267">
        <f t="shared" ca="1" si="3"/>
        <v>0</v>
      </c>
      <c r="Z14" s="544">
        <f ca="1">SUM(D14:Y14)</f>
        <v>326784.24343476468</v>
      </c>
      <c r="AB14" s="34">
        <f t="shared" si="0"/>
        <v>8</v>
      </c>
      <c r="AC14" s="34"/>
      <c r="AD14" s="34"/>
      <c r="AE14" s="34"/>
      <c r="AF14" s="34"/>
      <c r="AG14" s="34"/>
      <c r="AH14" s="34"/>
      <c r="AI14" s="1590"/>
      <c r="AJ14" s="1577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</row>
    <row r="15" spans="1:61">
      <c r="A15" s="20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430"/>
      <c r="AB15" s="34">
        <f t="shared" si="0"/>
        <v>9</v>
      </c>
      <c r="AC15" s="34"/>
      <c r="AD15" s="34"/>
      <c r="AE15" s="34"/>
      <c r="AF15" s="34"/>
      <c r="AG15" s="34"/>
      <c r="AH15" s="34"/>
      <c r="AI15" s="1590"/>
      <c r="AJ15" s="1577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</row>
    <row r="16" spans="1:61">
      <c r="A16" s="539" t="str">
        <f>CONCATENATE(Assm!$Y$83," Months DS (Following Year)")</f>
        <v>6 Months DS (Following Year)</v>
      </c>
      <c r="B16" s="36"/>
      <c r="C16" s="36"/>
      <c r="D16" s="222">
        <f ca="1">IF(OR(E$9=0,D$7=YEAR(Endyr)),0,E14*Assm!$Y$83/12)</f>
        <v>0</v>
      </c>
      <c r="E16" s="222">
        <f ca="1">IF(OR(F$9=0,E$7=YEAR(Endyr)),0,F14*Assm!$Y$83/12)</f>
        <v>0</v>
      </c>
      <c r="F16" s="222">
        <f ca="1">IF(OR(G$9=0,F$7=YEAR(Endyr)),0,G14*Assm!$Y$83/12)</f>
        <v>3433.0694379599008</v>
      </c>
      <c r="G16" s="222">
        <f ca="1">IF(OR(H$9=0,G$7=YEAR(Endyr)),0,H14*Assm!$Y$83/12)</f>
        <v>14200.331448161392</v>
      </c>
      <c r="H16" s="222">
        <f ca="1">IF(OR(I$9=0,H$7=YEAR(Endyr)),0,I14*Assm!$Y$83/12)</f>
        <v>13991.022301439714</v>
      </c>
      <c r="I16" s="222">
        <f ca="1">IF(OR(J$9=0,I$7=YEAR(Endyr)),0,J14*Assm!$Y$83/12)</f>
        <v>14389.551004314015</v>
      </c>
      <c r="J16" s="222">
        <f ca="1">IF(OR(K$9=0,J$7=YEAR(Endyr)),0,K14*Assm!$Y$83/12)</f>
        <v>14225.507206632297</v>
      </c>
      <c r="K16" s="222">
        <f ca="1">IF(OR(L$9=0,K$7=YEAR(Endyr)),0,L14*Assm!$Y$83/12)</f>
        <v>13894.860482488502</v>
      </c>
      <c r="L16" s="222">
        <f ca="1">IF(OR(M$9=0,L$7=YEAR(Endyr)),0,M14*Assm!$Y$83/12)</f>
        <v>13454.449688778373</v>
      </c>
      <c r="M16" s="222">
        <f ca="1">IF(OR(N$9=0,M$7=YEAR(Endyr)),0,N14*Assm!$Y$83/12)</f>
        <v>12386.748066268055</v>
      </c>
      <c r="N16" s="222">
        <f ca="1">IF(OR(O$9=0,N$7=YEAR(Endyr)),0,O14*Assm!$Y$83/12)</f>
        <v>11398.891496886783</v>
      </c>
      <c r="O16" s="222">
        <f ca="1">IF(OR(P$9=0,O$7=YEAR(Endyr)),0,P14*Assm!$Y$83/12)</f>
        <v>10921.119840032265</v>
      </c>
      <c r="P16" s="222">
        <f ca="1">IF(OR(Q$9=0,P$7=YEAR(Endyr)),0,Q14*Assm!$Y$83/12)</f>
        <v>10685.083130586279</v>
      </c>
      <c r="Q16" s="222">
        <f ca="1">IF(OR(R$9=0,Q$7=YEAR(Endyr)),0,R14*Assm!$Y$83/12)</f>
        <v>8484.1170299949299</v>
      </c>
      <c r="R16" s="222">
        <f ca="1">IF(OR(S$9=0,R$7=YEAR(Endyr)),0,S14*Assm!$Y$83/12)</f>
        <v>7953.1153377210503</v>
      </c>
      <c r="S16" s="222">
        <f ca="1">IF(OR(T$9=0,S$7=YEAR(Endyr)),0,T14*Assm!$Y$83/12)</f>
        <v>7476.6403253137587</v>
      </c>
      <c r="T16" s="222">
        <f ca="1">IF(OR(U$9=0,T$7=YEAR(Endyr)),0,U14*Assm!$Y$83/12)</f>
        <v>6497.6149208050383</v>
      </c>
      <c r="U16" s="222">
        <f ca="1">IF(OR(V$9=0,U$7=YEAR(Endyr)),0,V14*Assm!$Y$83/12)</f>
        <v>0</v>
      </c>
      <c r="V16" s="222">
        <f ca="1">IF(OR(W$9=0,V$7=YEAR(Endyr)),0,W14*Assm!$Y$83/12)</f>
        <v>0</v>
      </c>
      <c r="W16" s="222">
        <f ca="1">IF(OR(X$9=0,W$7=YEAR(Endyr)),0,X14*Assm!$Y$83/12)</f>
        <v>0</v>
      </c>
      <c r="X16" s="222">
        <f ca="1">IF(OR(Y$9=0,X$7=YEAR(Endyr)),0,Y14*Assm!$Y$83/12)</f>
        <v>0</v>
      </c>
      <c r="Y16" s="222">
        <f ca="1">IF(OR(Z$9=0,Y$7=YEAR(Endyr)),0,Z14*Assm!$Y$83/12)</f>
        <v>0</v>
      </c>
      <c r="Z16" s="545"/>
      <c r="AB16" s="34">
        <f t="shared" si="0"/>
        <v>10</v>
      </c>
      <c r="AC16" s="34"/>
      <c r="AD16" s="34"/>
      <c r="AE16" s="34"/>
      <c r="AF16" s="34"/>
      <c r="AG16" s="34"/>
      <c r="AH16" s="34"/>
      <c r="AI16" s="1590"/>
      <c r="AJ16" s="1577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</row>
    <row r="17" spans="1:58">
      <c r="A17" s="20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430"/>
      <c r="AB17" s="34">
        <f t="shared" si="0"/>
        <v>11</v>
      </c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</row>
    <row r="18" spans="1:58">
      <c r="A18" s="27" t="s">
        <v>105</v>
      </c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430"/>
      <c r="AB18" s="34">
        <f t="shared" si="0"/>
        <v>12</v>
      </c>
      <c r="AC18" s="34"/>
      <c r="AD18" s="34"/>
      <c r="AE18" s="34"/>
      <c r="AF18" s="34"/>
      <c r="AG18" s="34"/>
      <c r="AH18" s="34"/>
      <c r="AI18" s="1590"/>
      <c r="AJ18" s="1577"/>
    </row>
    <row r="19" spans="1:58">
      <c r="A19" s="196" t="s">
        <v>117</v>
      </c>
      <c r="B19" s="15"/>
      <c r="C19" s="15"/>
      <c r="D19" s="37">
        <f t="shared" ref="D19:Y19" ca="1" si="4">IF(D$7&lt;YEAR(Startops3),0,VLOOKUP(D$79,Fin_Table,$AC$77))</f>
        <v>0</v>
      </c>
      <c r="E19" s="37">
        <f t="shared" ca="1" si="4"/>
        <v>0</v>
      </c>
      <c r="F19" s="37">
        <f t="shared" ca="1" si="4"/>
        <v>0</v>
      </c>
      <c r="G19" s="37">
        <f t="shared" ca="1" si="4"/>
        <v>2694.7815414410948</v>
      </c>
      <c r="H19" s="37">
        <f t="shared" ca="1" si="4"/>
        <v>6397.3320310436538</v>
      </c>
      <c r="I19" s="37">
        <f t="shared" ca="1" si="4"/>
        <v>6098.2236465968126</v>
      </c>
      <c r="J19" s="37">
        <f t="shared" ca="1" si="4"/>
        <v>5758.9674392475936</v>
      </c>
      <c r="K19" s="37">
        <f t="shared" ca="1" si="4"/>
        <v>5374.1745674669255</v>
      </c>
      <c r="L19" s="37">
        <f t="shared" ca="1" si="4"/>
        <v>4937.732872471498</v>
      </c>
      <c r="M19" s="37">
        <f t="shared" ca="1" si="4"/>
        <v>4442.7097909653094</v>
      </c>
      <c r="N19" s="37">
        <f t="shared" ca="1" si="4"/>
        <v>3881.2422363439537</v>
      </c>
      <c r="O19" s="37">
        <f t="shared" ca="1" si="4"/>
        <v>3244.4116992035456</v>
      </c>
      <c r="P19" s="37">
        <f t="shared" ca="1" si="4"/>
        <v>2522.1025832154669</v>
      </c>
      <c r="Q19" s="37">
        <f t="shared" ca="1" si="4"/>
        <v>1702.8415261338889</v>
      </c>
      <c r="R19" s="37">
        <f t="shared" ca="1" si="4"/>
        <v>773.61515366553658</v>
      </c>
      <c r="S19" s="37">
        <f t="shared" ca="1" si="4"/>
        <v>0</v>
      </c>
      <c r="T19" s="37">
        <f t="shared" ca="1" si="4"/>
        <v>0</v>
      </c>
      <c r="U19" s="37">
        <f t="shared" ca="1" si="4"/>
        <v>0</v>
      </c>
      <c r="V19" s="37">
        <f t="shared" ca="1" si="4"/>
        <v>0</v>
      </c>
      <c r="W19" s="37">
        <f t="shared" ca="1" si="4"/>
        <v>0</v>
      </c>
      <c r="X19" s="37">
        <f t="shared" ca="1" si="4"/>
        <v>0</v>
      </c>
      <c r="Y19" s="37">
        <f t="shared" ca="1" si="4"/>
        <v>0</v>
      </c>
      <c r="Z19" s="435">
        <f ca="1">SUM(D19:Y19)</f>
        <v>47828.135087795286</v>
      </c>
      <c r="AA19" s="80"/>
      <c r="AB19" s="34">
        <f t="shared" si="0"/>
        <v>13</v>
      </c>
      <c r="AC19" s="34"/>
      <c r="AD19" s="34"/>
      <c r="AE19" s="34"/>
      <c r="AF19" s="34"/>
      <c r="AG19" s="34"/>
      <c r="AH19" s="34"/>
      <c r="AI19" s="1590"/>
      <c r="AJ19" s="1577"/>
    </row>
    <row r="20" spans="1:58">
      <c r="A20" s="196" t="s">
        <v>566</v>
      </c>
      <c r="B20" s="15"/>
      <c r="C20" s="15"/>
      <c r="D20" s="142">
        <f t="shared" ref="D20:Y20" ca="1" si="5">IF(D$7&lt;YEAR(Startops3),0,VLOOKUP(D$79,Fin_Table,$AD$77))</f>
        <v>0</v>
      </c>
      <c r="E20" s="142">
        <f t="shared" ca="1" si="5"/>
        <v>0</v>
      </c>
      <c r="F20" s="142">
        <f t="shared" ca="1" si="5"/>
        <v>0</v>
      </c>
      <c r="G20" s="142">
        <f t="shared" ca="1" si="5"/>
        <v>0</v>
      </c>
      <c r="H20" s="142">
        <f t="shared" ca="1" si="5"/>
        <v>2228.4103888757058</v>
      </c>
      <c r="I20" s="142">
        <f t="shared" ca="1" si="5"/>
        <v>2527.5187733225443</v>
      </c>
      <c r="J20" s="142">
        <f t="shared" ca="1" si="5"/>
        <v>2866.7749806717629</v>
      </c>
      <c r="K20" s="142">
        <f t="shared" ca="1" si="5"/>
        <v>3251.5678524524315</v>
      </c>
      <c r="L20" s="142">
        <f t="shared" ca="1" si="5"/>
        <v>3688.0095474478567</v>
      </c>
      <c r="M20" s="142">
        <f t="shared" ca="1" si="5"/>
        <v>4183.0326289540444</v>
      </c>
      <c r="N20" s="142">
        <f t="shared" ca="1" si="5"/>
        <v>4744.5001835753974</v>
      </c>
      <c r="O20" s="142">
        <f t="shared" ca="1" si="5"/>
        <v>5381.330720715805</v>
      </c>
      <c r="P20" s="142">
        <f t="shared" ca="1" si="5"/>
        <v>6103.6398367038801</v>
      </c>
      <c r="Q20" s="142">
        <f t="shared" ca="1" si="5"/>
        <v>6922.9008937854551</v>
      </c>
      <c r="R20" s="142">
        <f t="shared" ca="1" si="5"/>
        <v>7852.1272662537895</v>
      </c>
      <c r="S20" s="142">
        <f t="shared" ca="1" si="5"/>
        <v>0</v>
      </c>
      <c r="T20" s="142">
        <f t="shared" ca="1" si="5"/>
        <v>0</v>
      </c>
      <c r="U20" s="142">
        <f t="shared" ca="1" si="5"/>
        <v>0</v>
      </c>
      <c r="V20" s="142">
        <f t="shared" ca="1" si="5"/>
        <v>0</v>
      </c>
      <c r="W20" s="142">
        <f t="shared" ca="1" si="5"/>
        <v>0</v>
      </c>
      <c r="X20" s="142">
        <f t="shared" ca="1" si="5"/>
        <v>0</v>
      </c>
      <c r="Y20" s="142">
        <f t="shared" ca="1" si="5"/>
        <v>0</v>
      </c>
      <c r="Z20" s="436">
        <f ca="1">SUM(D20:Y20)</f>
        <v>49749.813072758669</v>
      </c>
      <c r="AA20" s="6" t="str">
        <f ca="1">IF(ABS(Z20-Tot_Subdebt)&lt;0.01," ","SUM OF PRINCIPAL PAYMENTS DOES NOT EQUAL SUBDEBT")</f>
        <v xml:space="preserve"> </v>
      </c>
      <c r="AB20" s="34">
        <f t="shared" si="0"/>
        <v>14</v>
      </c>
      <c r="AC20" s="34"/>
      <c r="AD20" s="34"/>
      <c r="AE20" s="34"/>
      <c r="AF20" s="34"/>
      <c r="AG20" s="34"/>
      <c r="AH20" s="34"/>
      <c r="AI20" s="1590"/>
      <c r="AJ20" s="1577"/>
    </row>
    <row r="21" spans="1:58">
      <c r="A21" s="174" t="s">
        <v>120</v>
      </c>
      <c r="B21" s="36"/>
      <c r="C21" s="36"/>
      <c r="D21" s="267">
        <f t="shared" ref="D21:Y21" ca="1" si="6">SUM(D19:D20)</f>
        <v>0</v>
      </c>
      <c r="E21" s="267">
        <f t="shared" ca="1" si="6"/>
        <v>0</v>
      </c>
      <c r="F21" s="267">
        <f t="shared" ca="1" si="6"/>
        <v>0</v>
      </c>
      <c r="G21" s="267">
        <f t="shared" ca="1" si="6"/>
        <v>2694.7815414410948</v>
      </c>
      <c r="H21" s="267">
        <f t="shared" ca="1" si="6"/>
        <v>8625.7424199193592</v>
      </c>
      <c r="I21" s="267">
        <f t="shared" ca="1" si="6"/>
        <v>8625.7424199193574</v>
      </c>
      <c r="J21" s="267">
        <f t="shared" ca="1" si="6"/>
        <v>8625.7424199193556</v>
      </c>
      <c r="K21" s="267">
        <f t="shared" ca="1" si="6"/>
        <v>8625.7424199193574</v>
      </c>
      <c r="L21" s="267">
        <f t="shared" ca="1" si="6"/>
        <v>8625.7424199193556</v>
      </c>
      <c r="M21" s="267">
        <f t="shared" ca="1" si="6"/>
        <v>8625.7424199193538</v>
      </c>
      <c r="N21" s="267">
        <f t="shared" ca="1" si="6"/>
        <v>8625.742419919352</v>
      </c>
      <c r="O21" s="267">
        <f t="shared" ca="1" si="6"/>
        <v>8625.7424199193501</v>
      </c>
      <c r="P21" s="267">
        <f t="shared" ca="1" si="6"/>
        <v>8625.7424199193465</v>
      </c>
      <c r="Q21" s="267">
        <f t="shared" ca="1" si="6"/>
        <v>8625.7424199193447</v>
      </c>
      <c r="R21" s="267">
        <f t="shared" ca="1" si="6"/>
        <v>8625.7424199193265</v>
      </c>
      <c r="S21" s="267">
        <f t="shared" ca="1" si="6"/>
        <v>0</v>
      </c>
      <c r="T21" s="267">
        <f t="shared" ca="1" si="6"/>
        <v>0</v>
      </c>
      <c r="U21" s="267">
        <f t="shared" ca="1" si="6"/>
        <v>0</v>
      </c>
      <c r="V21" s="267">
        <f t="shared" ca="1" si="6"/>
        <v>0</v>
      </c>
      <c r="W21" s="267">
        <f t="shared" ca="1" si="6"/>
        <v>0</v>
      </c>
      <c r="X21" s="267">
        <f t="shared" ca="1" si="6"/>
        <v>0</v>
      </c>
      <c r="Y21" s="267">
        <f t="shared" ca="1" si="6"/>
        <v>0</v>
      </c>
      <c r="Z21" s="544">
        <f ca="1">SUM(D21:Y21)</f>
        <v>97577.948160553962</v>
      </c>
      <c r="AB21" s="34">
        <f t="shared" si="0"/>
        <v>15</v>
      </c>
      <c r="AC21" s="34"/>
      <c r="AD21" s="34"/>
      <c r="AE21" s="34"/>
      <c r="AF21" s="34"/>
      <c r="AG21" s="34"/>
      <c r="AH21" s="34"/>
      <c r="AI21" s="1590"/>
      <c r="AJ21" s="1577"/>
    </row>
    <row r="22" spans="1:58" s="1567" customFormat="1">
      <c r="A22" s="1573"/>
      <c r="B22" s="1574"/>
      <c r="C22" s="1574"/>
      <c r="D22" s="1575"/>
      <c r="E22" s="1575"/>
      <c r="F22" s="1575"/>
      <c r="G22" s="1575"/>
      <c r="H22" s="1575"/>
      <c r="I22" s="1575"/>
      <c r="J22" s="1575"/>
      <c r="K22" s="1575"/>
      <c r="L22" s="1575"/>
      <c r="M22" s="1575"/>
      <c r="N22" s="1575"/>
      <c r="O22" s="1575"/>
      <c r="P22" s="1575"/>
      <c r="Q22" s="1575"/>
      <c r="R22" s="1575"/>
      <c r="S22" s="1575"/>
      <c r="T22" s="1575"/>
      <c r="U22" s="1575"/>
      <c r="V22" s="1575"/>
      <c r="W22" s="1575"/>
      <c r="X22" s="1575"/>
      <c r="Y22" s="1575"/>
      <c r="Z22" s="1576"/>
      <c r="AB22" s="1577"/>
      <c r="AC22" s="1577"/>
      <c r="AD22" s="1577"/>
      <c r="AE22" s="1577"/>
      <c r="AF22" s="16"/>
      <c r="AG22" s="1577"/>
      <c r="AH22" s="1577"/>
      <c r="AI22" s="1590"/>
      <c r="AJ22" s="1577"/>
    </row>
    <row r="23" spans="1:58" s="1567" customFormat="1">
      <c r="A23" s="1573" t="s">
        <v>205</v>
      </c>
      <c r="B23" s="1574"/>
      <c r="C23" s="1574"/>
      <c r="D23" s="1575">
        <f ca="1">IF(D$7&lt;YEAR(Startops3),0,VLOOKUP(D$79,Guarantee_Fee_Table,$AI$77))</f>
        <v>0</v>
      </c>
      <c r="E23" s="1575">
        <f t="shared" ref="E23:Y23" ca="1" si="7">IF(E$7&lt;YEAR(Startops3),0,VLOOKUP(E$79,Guarantee_Fee_Table,$AI$77))</f>
        <v>0</v>
      </c>
      <c r="F23" s="1575">
        <f t="shared" ca="1" si="7"/>
        <v>0</v>
      </c>
      <c r="G23" s="1575">
        <f t="shared" ca="1" si="7"/>
        <v>4185.015549730284</v>
      </c>
      <c r="H23" s="1575">
        <f t="shared" ca="1" si="7"/>
        <v>4185.015549730284</v>
      </c>
      <c r="I23" s="1575">
        <f t="shared" ca="1" si="7"/>
        <v>3945.2951461354928</v>
      </c>
      <c r="J23" s="1575">
        <f t="shared" ca="1" si="7"/>
        <v>0</v>
      </c>
      <c r="K23" s="1575">
        <f t="shared" ca="1" si="7"/>
        <v>0</v>
      </c>
      <c r="L23" s="1575">
        <f t="shared" ca="1" si="7"/>
        <v>0</v>
      </c>
      <c r="M23" s="1575">
        <f t="shared" ca="1" si="7"/>
        <v>0</v>
      </c>
      <c r="N23" s="1575">
        <f t="shared" ca="1" si="7"/>
        <v>0</v>
      </c>
      <c r="O23" s="1575">
        <f t="shared" ca="1" si="7"/>
        <v>0</v>
      </c>
      <c r="P23" s="1575">
        <f t="shared" ca="1" si="7"/>
        <v>0</v>
      </c>
      <c r="Q23" s="1575">
        <f t="shared" ca="1" si="7"/>
        <v>0</v>
      </c>
      <c r="R23" s="1575">
        <f t="shared" ca="1" si="7"/>
        <v>0</v>
      </c>
      <c r="S23" s="1575">
        <f t="shared" ca="1" si="7"/>
        <v>0</v>
      </c>
      <c r="T23" s="1575">
        <f t="shared" ca="1" si="7"/>
        <v>0</v>
      </c>
      <c r="U23" s="1575">
        <f t="shared" ca="1" si="7"/>
        <v>0</v>
      </c>
      <c r="V23" s="1575">
        <f t="shared" ca="1" si="7"/>
        <v>0</v>
      </c>
      <c r="W23" s="1575">
        <f t="shared" ca="1" si="7"/>
        <v>0</v>
      </c>
      <c r="X23" s="1575">
        <f t="shared" ca="1" si="7"/>
        <v>0</v>
      </c>
      <c r="Y23" s="1575">
        <f t="shared" ca="1" si="7"/>
        <v>0</v>
      </c>
      <c r="Z23" s="1576"/>
      <c r="AA23" s="1587"/>
      <c r="AB23" s="1577"/>
      <c r="AC23" s="1577"/>
      <c r="AD23" s="1577"/>
      <c r="AE23" s="1577"/>
      <c r="AF23" s="1577"/>
      <c r="AG23" s="1577"/>
      <c r="AH23" s="1577"/>
      <c r="AI23" s="1592"/>
      <c r="AJ23" s="1577"/>
    </row>
    <row r="24" spans="1:58" s="1567" customFormat="1">
      <c r="A24" s="1573"/>
      <c r="B24" s="1574"/>
      <c r="C24" s="1574"/>
      <c r="D24" s="1575"/>
      <c r="E24" s="1575"/>
      <c r="F24" s="1575"/>
      <c r="G24" s="1575"/>
      <c r="H24" s="1575"/>
      <c r="I24" s="1575"/>
      <c r="J24" s="1575"/>
      <c r="K24" s="1575"/>
      <c r="L24" s="1575"/>
      <c r="M24" s="1575"/>
      <c r="N24" s="1575"/>
      <c r="O24" s="1575"/>
      <c r="P24" s="1575"/>
      <c r="Q24" s="1575"/>
      <c r="R24" s="1575"/>
      <c r="S24" s="1575"/>
      <c r="T24" s="1575"/>
      <c r="U24" s="1575"/>
      <c r="V24" s="1575"/>
      <c r="W24" s="1575"/>
      <c r="X24" s="1575"/>
      <c r="Y24" s="1575"/>
      <c r="Z24" s="1576"/>
      <c r="AB24" s="1577"/>
      <c r="AC24" s="1577"/>
      <c r="AD24" s="1577"/>
      <c r="AE24" s="1577"/>
      <c r="AF24" s="1577"/>
      <c r="AG24" s="1577"/>
      <c r="AH24" s="1577"/>
      <c r="AI24" s="1590"/>
      <c r="AJ24" s="1577"/>
    </row>
    <row r="25" spans="1:58" s="1567" customFormat="1" ht="13.5" thickBot="1">
      <c r="A25" s="1578"/>
      <c r="B25" s="1579"/>
      <c r="C25" s="1579"/>
      <c r="D25" s="1579"/>
      <c r="E25" s="1579"/>
      <c r="F25" s="1579"/>
      <c r="G25" s="1579"/>
      <c r="H25" s="1579"/>
      <c r="I25" s="1579"/>
      <c r="J25" s="1579"/>
      <c r="K25" s="1579"/>
      <c r="L25" s="1579"/>
      <c r="M25" s="1579"/>
      <c r="N25" s="1579"/>
      <c r="O25" s="1579"/>
      <c r="P25" s="1579"/>
      <c r="Q25" s="1579"/>
      <c r="R25" s="1579"/>
      <c r="S25" s="1579"/>
      <c r="T25" s="1579"/>
      <c r="U25" s="1579"/>
      <c r="V25" s="1579"/>
      <c r="W25" s="1579"/>
      <c r="X25" s="1579"/>
      <c r="Y25" s="1579"/>
      <c r="Z25" s="1580"/>
      <c r="AB25" s="1577"/>
      <c r="AC25" s="1577"/>
      <c r="AD25" s="1577"/>
      <c r="AE25" s="1577"/>
      <c r="AF25" s="1577"/>
      <c r="AG25" s="1577"/>
      <c r="AH25" s="1577"/>
      <c r="AI25" s="1590"/>
      <c r="AJ25" s="1577"/>
    </row>
    <row r="26" spans="1:58">
      <c r="A26" s="554" t="s">
        <v>325</v>
      </c>
      <c r="B26" s="555"/>
      <c r="C26" s="556" t="str">
        <f>Assm!X8</f>
        <v>Tranche 1: KFW / Hermes - A Loan</v>
      </c>
      <c r="D26" s="131"/>
      <c r="E26" s="131"/>
      <c r="F26" s="557"/>
      <c r="G26" s="556" t="str">
        <f>Assm!X17</f>
        <v>Tranche 2: KFW / Hermes - B Loan</v>
      </c>
      <c r="H26" s="558"/>
      <c r="I26" s="558"/>
      <c r="J26" s="559"/>
      <c r="K26" s="556" t="str">
        <f>Assm!X26</f>
        <v>Tranche 3: KFW (Uncovered Loan)</v>
      </c>
      <c r="L26" s="558"/>
      <c r="M26" s="558"/>
      <c r="N26" s="559"/>
      <c r="O26" s="556" t="str">
        <f>Assm!X35</f>
        <v>Tranche 4: BNDES</v>
      </c>
      <c r="P26" s="558"/>
      <c r="Q26" s="558"/>
      <c r="R26" s="559"/>
      <c r="S26" s="556" t="str">
        <f>Assm!X44</f>
        <v>Tranche 5: MLA - OPIC</v>
      </c>
      <c r="T26" s="558"/>
      <c r="U26" s="558"/>
      <c r="V26" s="559"/>
      <c r="W26" s="556" t="str">
        <f>Assm!X53</f>
        <v>Tranche 6: Subordinated Debt</v>
      </c>
      <c r="X26" s="558"/>
      <c r="Y26" s="558"/>
      <c r="Z26" s="559"/>
      <c r="AA26" s="412"/>
      <c r="AB26" s="555"/>
      <c r="AC26" s="11"/>
      <c r="AD26" s="122"/>
      <c r="AE26" s="11"/>
      <c r="AF26" s="555"/>
      <c r="AG26" s="393"/>
      <c r="AH26" s="122"/>
      <c r="AI26" s="1593"/>
      <c r="AJ26" s="1579"/>
    </row>
    <row r="27" spans="1:58">
      <c r="A27" s="27" t="s">
        <v>574</v>
      </c>
      <c r="B27" s="17"/>
      <c r="C27" s="14" t="s">
        <v>567</v>
      </c>
      <c r="D27" s="15"/>
      <c r="F27" s="37">
        <f>Assm!AB9</f>
        <v>70125</v>
      </c>
      <c r="G27" s="14" t="s">
        <v>567</v>
      </c>
      <c r="H27" s="15"/>
      <c r="J27" s="37">
        <f>Assm!AB18</f>
        <v>70125</v>
      </c>
      <c r="K27" s="14" t="s">
        <v>567</v>
      </c>
      <c r="L27" s="15"/>
      <c r="N27" s="37">
        <f>Assm!AB27</f>
        <v>24750</v>
      </c>
      <c r="O27" s="14" t="s">
        <v>567</v>
      </c>
      <c r="P27" s="15"/>
      <c r="R27" s="39">
        <f ca="1">Assm!AB36</f>
        <v>0</v>
      </c>
      <c r="S27" s="14" t="s">
        <v>567</v>
      </c>
      <c r="T27" s="15"/>
      <c r="V27" s="39">
        <f>Assm!AB45</f>
        <v>36351.11991105834</v>
      </c>
      <c r="W27" s="14" t="s">
        <v>567</v>
      </c>
      <c r="X27" s="15"/>
      <c r="Z27" s="39">
        <f ca="1">Assm!AB54</f>
        <v>49749.813072758669</v>
      </c>
      <c r="AA27" s="20"/>
      <c r="AB27" s="17"/>
      <c r="AC27" s="15"/>
      <c r="AD27" s="21"/>
      <c r="AF27" s="17"/>
      <c r="AG27" s="14"/>
      <c r="AH27" s="21"/>
      <c r="AI27" s="1594"/>
      <c r="AJ27" s="1579"/>
    </row>
    <row r="28" spans="1:58">
      <c r="A28" s="27" t="s">
        <v>976</v>
      </c>
      <c r="B28" s="17"/>
      <c r="C28" s="14" t="s">
        <v>997</v>
      </c>
      <c r="D28" s="15"/>
      <c r="F28" s="15">
        <f>Assm!Y11</f>
        <v>15</v>
      </c>
      <c r="G28" s="14" t="s">
        <v>997</v>
      </c>
      <c r="H28" s="15"/>
      <c r="J28" s="15">
        <f>Assm!Y20</f>
        <v>15</v>
      </c>
      <c r="K28" s="14" t="s">
        <v>997</v>
      </c>
      <c r="L28" s="15"/>
      <c r="N28" s="15">
        <f>Assm!Y29</f>
        <v>11</v>
      </c>
      <c r="O28" s="14" t="s">
        <v>997</v>
      </c>
      <c r="P28" s="15"/>
      <c r="R28" s="15">
        <f>Assm!Y38</f>
        <v>16</v>
      </c>
      <c r="S28" s="14" t="s">
        <v>997</v>
      </c>
      <c r="T28" s="15"/>
      <c r="V28" s="15">
        <f>Assm!Y47</f>
        <v>15</v>
      </c>
      <c r="W28" s="14" t="s">
        <v>997</v>
      </c>
      <c r="X28" s="15"/>
      <c r="Z28" s="15">
        <f>Assm!Y56</f>
        <v>12</v>
      </c>
      <c r="AA28" s="20"/>
      <c r="AB28" s="17"/>
      <c r="AC28" s="15"/>
      <c r="AD28" s="21"/>
      <c r="AF28" s="17"/>
      <c r="AG28" s="14"/>
      <c r="AH28" s="21"/>
      <c r="AI28" s="1594"/>
      <c r="AJ28" s="1579"/>
    </row>
    <row r="29" spans="1:58" ht="13.5" thickBot="1">
      <c r="A29" s="27"/>
      <c r="B29" s="17"/>
      <c r="C29" s="14" t="s">
        <v>998</v>
      </c>
      <c r="D29" s="15"/>
      <c r="F29" s="15">
        <f ca="1">Assm!AB11</f>
        <v>29</v>
      </c>
      <c r="G29" s="14" t="s">
        <v>998</v>
      </c>
      <c r="H29" s="15"/>
      <c r="I29" s="65"/>
      <c r="J29" s="15">
        <f ca="1">Assm!AB20</f>
        <v>29</v>
      </c>
      <c r="K29" s="14" t="s">
        <v>998</v>
      </c>
      <c r="L29" s="15"/>
      <c r="M29" s="15"/>
      <c r="N29" s="15">
        <f ca="1">Assm!AB29</f>
        <v>21</v>
      </c>
      <c r="O29" s="14" t="s">
        <v>998</v>
      </c>
      <c r="P29" s="15"/>
      <c r="Q29" s="15"/>
      <c r="R29" s="15">
        <f ca="1">Assm!AB38</f>
        <v>31</v>
      </c>
      <c r="S29" s="14" t="s">
        <v>998</v>
      </c>
      <c r="T29" s="15"/>
      <c r="U29" s="15"/>
      <c r="V29" s="15">
        <f ca="1">Assm!AB47</f>
        <v>29</v>
      </c>
      <c r="W29" s="14" t="s">
        <v>998</v>
      </c>
      <c r="X29" s="15"/>
      <c r="Y29" s="15"/>
      <c r="Z29" s="15">
        <f ca="1">Assm!AB56</f>
        <v>23</v>
      </c>
      <c r="AA29" s="20"/>
      <c r="AB29" s="17"/>
      <c r="AC29" s="15"/>
      <c r="AD29" s="21"/>
      <c r="AF29" s="17"/>
      <c r="AG29" s="14"/>
      <c r="AH29" s="21"/>
      <c r="AI29" s="1594"/>
      <c r="AJ29" s="1579"/>
    </row>
    <row r="30" spans="1:58" ht="13.5" thickBot="1">
      <c r="A30" s="20"/>
      <c r="B30" s="17"/>
      <c r="C30" s="14" t="s">
        <v>529</v>
      </c>
      <c r="D30" s="15"/>
      <c r="F30" s="32">
        <f>Assm!AB14</f>
        <v>7.0400000000000004E-2</v>
      </c>
      <c r="G30" s="14" t="s">
        <v>529</v>
      </c>
      <c r="H30" s="15"/>
      <c r="J30" s="32">
        <f>Assm!AB23</f>
        <v>7.4800000000000005E-2</v>
      </c>
      <c r="K30" s="14" t="s">
        <v>529</v>
      </c>
      <c r="L30" s="15"/>
      <c r="N30" s="32">
        <f>Assm!AB32</f>
        <v>9.2700000000000005E-2</v>
      </c>
      <c r="O30" s="14" t="s">
        <v>529</v>
      </c>
      <c r="P30" s="15"/>
      <c r="R30" s="32">
        <f>Assm!AB41</f>
        <v>0.15179999999999999</v>
      </c>
      <c r="S30" s="14" t="s">
        <v>529</v>
      </c>
      <c r="T30" s="15"/>
      <c r="V30" s="32">
        <f>Assm!AB50</f>
        <v>0.1101</v>
      </c>
      <c r="W30" s="14" t="s">
        <v>529</v>
      </c>
      <c r="X30" s="15"/>
      <c r="Z30" s="32">
        <f>Assm!AB59</f>
        <v>0.13</v>
      </c>
      <c r="AA30" s="20"/>
      <c r="AB30" s="17"/>
      <c r="AC30" s="15"/>
      <c r="AD30" s="21"/>
      <c r="AF30" s="17"/>
      <c r="AG30" s="14"/>
      <c r="AH30" s="21"/>
      <c r="AI30" s="1594"/>
      <c r="AJ30" s="1579"/>
      <c r="AW30" s="15"/>
      <c r="AX30" s="830" t="s">
        <v>987</v>
      </c>
      <c r="AY30" s="131"/>
      <c r="AZ30" s="831"/>
      <c r="BA30" s="830" t="s">
        <v>236</v>
      </c>
      <c r="BB30" s="131"/>
      <c r="BC30" s="131"/>
      <c r="BD30" s="831"/>
      <c r="BE30" s="831"/>
      <c r="BF30" s="424"/>
    </row>
    <row r="31" spans="1:58">
      <c r="A31" s="1604"/>
      <c r="B31" s="17"/>
      <c r="C31" s="14" t="s">
        <v>569</v>
      </c>
      <c r="D31" s="15"/>
      <c r="F31" s="983">
        <f>Assm!AB12</f>
        <v>1</v>
      </c>
      <c r="G31" s="14" t="s">
        <v>569</v>
      </c>
      <c r="H31" s="15"/>
      <c r="J31" s="983">
        <f>Assm!AB21</f>
        <v>1</v>
      </c>
      <c r="K31" s="14" t="s">
        <v>569</v>
      </c>
      <c r="L31" s="15"/>
      <c r="N31" s="983">
        <f>Assm!AB30</f>
        <v>1</v>
      </c>
      <c r="O31" s="14" t="s">
        <v>569</v>
      </c>
      <c r="P31" s="15"/>
      <c r="R31" s="983">
        <f>Assm!AB39</f>
        <v>1</v>
      </c>
      <c r="S31" s="14" t="s">
        <v>569</v>
      </c>
      <c r="T31" s="15"/>
      <c r="V31" s="983">
        <f>Assm!AB48</f>
        <v>1</v>
      </c>
      <c r="W31" s="14" t="s">
        <v>569</v>
      </c>
      <c r="X31" s="15"/>
      <c r="Z31" s="983">
        <f>Assm!AB57</f>
        <v>1</v>
      </c>
      <c r="AA31" s="20"/>
      <c r="AB31" s="17"/>
      <c r="AC31" s="15"/>
      <c r="AD31" s="21"/>
      <c r="AF31" s="17"/>
      <c r="AG31" s="14"/>
      <c r="AH31" s="21"/>
      <c r="AI31" s="1594"/>
      <c r="AJ31" s="1579"/>
      <c r="AK31" s="830" t="s">
        <v>999</v>
      </c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831"/>
      <c r="AW31" s="15"/>
      <c r="AX31" s="20"/>
      <c r="AY31" s="15"/>
      <c r="AZ31" s="21"/>
      <c r="BA31" s="20"/>
      <c r="BB31" s="15"/>
      <c r="BC31" s="15"/>
      <c r="BD31" s="15"/>
      <c r="BE31" s="21"/>
      <c r="BF31" s="430"/>
    </row>
    <row r="32" spans="1:58">
      <c r="A32" s="20"/>
      <c r="B32" s="17"/>
      <c r="C32" s="14" t="str">
        <f>IF(F32=0,"NOT AMORTIZED",CHOOSE(F32,"STRAIGHT LINE AMORTIZATION","MORTGAGE STYLE AMORTIZATION","CUSTOM AMORTIATION"))</f>
        <v>STRAIGHT LINE AMORTIZATION</v>
      </c>
      <c r="D32" s="15"/>
      <c r="E32" s="15"/>
      <c r="F32" s="41">
        <f>Assm!AB10</f>
        <v>1</v>
      </c>
      <c r="G32" s="14" t="str">
        <f>IF(J32=0,"NOT AMORTIZED",CHOOSE(J32,"STRAIGHT LINE AMORTIZATION","MORTGAGE STYLE AMORTIZATION","CUSTOM AMORTIATION"))</f>
        <v>STRAIGHT LINE AMORTIZATION</v>
      </c>
      <c r="H32" s="15"/>
      <c r="I32" s="15"/>
      <c r="J32" s="41">
        <f>Assm!AB19</f>
        <v>1</v>
      </c>
      <c r="K32" s="14" t="str">
        <f>IF(N32=0,"NOT AMORTIZED",CHOOSE(N32,"STRAIGHT LINE AMORTIZATION","MORTGAGE STYLE AMORTIZATION","CUSTOM AMORTIATION"))</f>
        <v>MORTGAGE STYLE AMORTIZATION</v>
      </c>
      <c r="L32" s="15"/>
      <c r="M32" s="15"/>
      <c r="N32" s="41">
        <f>Assm!AB28</f>
        <v>2</v>
      </c>
      <c r="O32" s="14" t="str">
        <f>IF(R32=0,"NOT AMORTIZED",CHOOSE(R32,"STRAIGHT LINE AMORTIZATION","MORTGAGE STYLE AMORTIZATION","CUSTOM AMORTIATION"))</f>
        <v>MORTGAGE STYLE AMORTIZATION</v>
      </c>
      <c r="P32" s="15"/>
      <c r="Q32" s="15"/>
      <c r="R32" s="41">
        <f>Assm!AB37</f>
        <v>2</v>
      </c>
      <c r="S32" s="14" t="str">
        <f>IF(V32=0,"NOT AMORTIZED",CHOOSE(V32,"STRAIGHT LINE AMORTIZATION","MORTGAGE STYLE AMORTIZATION","CUSTOM AMORTIATION"))</f>
        <v>CUSTOM AMORTIATION</v>
      </c>
      <c r="T32" s="15"/>
      <c r="U32" s="15"/>
      <c r="V32" s="41">
        <f>Assm!AB46</f>
        <v>3</v>
      </c>
      <c r="W32" s="14" t="str">
        <f>IF(Z32=0,"NOT AMORTIZED",CHOOSE(Z32,"STRAIGHT LINE AMORTIZATION","MORTGAGE STYLE AMORTIZATION","CUSTOM AMORTIATION"))</f>
        <v>MORTGAGE STYLE AMORTIZATION</v>
      </c>
      <c r="X32" s="15"/>
      <c r="Y32" s="15"/>
      <c r="Z32" s="41">
        <f>Assm!AB55</f>
        <v>2</v>
      </c>
      <c r="AA32" s="829" t="s">
        <v>738</v>
      </c>
      <c r="AB32" s="101"/>
      <c r="AC32" s="97" t="s">
        <v>105</v>
      </c>
      <c r="AD32" s="144"/>
      <c r="AE32" s="97" t="s">
        <v>703</v>
      </c>
      <c r="AF32" s="101"/>
      <c r="AG32" s="823" t="s">
        <v>594</v>
      </c>
      <c r="AH32" s="144"/>
      <c r="AI32" s="1603"/>
      <c r="AJ32" s="1581"/>
      <c r="AK32" s="20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21"/>
      <c r="AW32" s="15"/>
      <c r="AX32" s="832" t="s">
        <v>983</v>
      </c>
      <c r="AY32" s="833" t="s">
        <v>984</v>
      </c>
      <c r="AZ32" s="834" t="s">
        <v>984</v>
      </c>
      <c r="BA32" s="832" t="s">
        <v>237</v>
      </c>
      <c r="BB32" s="833" t="s">
        <v>237</v>
      </c>
      <c r="BC32" s="833" t="s">
        <v>984</v>
      </c>
      <c r="BD32" s="833" t="s">
        <v>984</v>
      </c>
      <c r="BE32" s="834" t="s">
        <v>574</v>
      </c>
      <c r="BF32" s="915" t="s">
        <v>237</v>
      </c>
    </row>
    <row r="33" spans="1:58">
      <c r="A33" s="20"/>
      <c r="B33" s="17"/>
      <c r="C33" s="14"/>
      <c r="D33" s="15"/>
      <c r="E33" s="15"/>
      <c r="F33" s="17"/>
      <c r="G33" s="14"/>
      <c r="H33" s="15"/>
      <c r="I33" s="15"/>
      <c r="J33" s="17"/>
      <c r="K33" s="14"/>
      <c r="L33" s="15"/>
      <c r="M33" s="15"/>
      <c r="N33" s="17"/>
      <c r="O33" s="14"/>
      <c r="P33" s="15"/>
      <c r="Q33" s="15"/>
      <c r="R33" s="17"/>
      <c r="S33" s="14"/>
      <c r="T33" s="15"/>
      <c r="U33" s="15"/>
      <c r="V33" s="17"/>
      <c r="W33" s="14"/>
      <c r="X33" s="15"/>
      <c r="Y33" s="15"/>
      <c r="AA33" s="824" t="s">
        <v>426</v>
      </c>
      <c r="AB33" s="88" t="s">
        <v>426</v>
      </c>
      <c r="AC33" s="16" t="s">
        <v>426</v>
      </c>
      <c r="AD33" s="157" t="s">
        <v>426</v>
      </c>
      <c r="AE33" s="16" t="s">
        <v>426</v>
      </c>
      <c r="AF33" s="88" t="s">
        <v>426</v>
      </c>
      <c r="AG33" s="823" t="s">
        <v>426</v>
      </c>
      <c r="AH33" s="157" t="s">
        <v>426</v>
      </c>
      <c r="AI33" s="1603" t="s">
        <v>207</v>
      </c>
      <c r="AJ33" s="1582"/>
      <c r="AK33" s="984" t="s">
        <v>1000</v>
      </c>
      <c r="AL33" s="985" t="s">
        <v>985</v>
      </c>
      <c r="AM33" s="986" t="s">
        <v>1001</v>
      </c>
      <c r="AN33" s="987" t="s">
        <v>985</v>
      </c>
      <c r="AO33" s="986" t="s">
        <v>1002</v>
      </c>
      <c r="AP33" s="987" t="s">
        <v>985</v>
      </c>
      <c r="AQ33" s="986" t="s">
        <v>1003</v>
      </c>
      <c r="AR33" s="987" t="s">
        <v>985</v>
      </c>
      <c r="AS33" s="986" t="s">
        <v>1004</v>
      </c>
      <c r="AT33" s="987" t="s">
        <v>985</v>
      </c>
      <c r="AU33" s="986" t="s">
        <v>1005</v>
      </c>
      <c r="AV33" s="988" t="s">
        <v>985</v>
      </c>
      <c r="AW33" s="15"/>
      <c r="AX33" s="832" t="s">
        <v>594</v>
      </c>
      <c r="AY33" s="833" t="s">
        <v>594</v>
      </c>
      <c r="AZ33" s="834" t="s">
        <v>985</v>
      </c>
      <c r="BA33" s="832" t="s">
        <v>238</v>
      </c>
      <c r="BB33" s="833" t="s">
        <v>238</v>
      </c>
      <c r="BC33" s="833" t="s">
        <v>594</v>
      </c>
      <c r="BD33" s="833" t="s">
        <v>985</v>
      </c>
      <c r="BE33" s="834" t="s">
        <v>976</v>
      </c>
      <c r="BF33" s="915" t="s">
        <v>238</v>
      </c>
    </row>
    <row r="34" spans="1:58">
      <c r="A34" s="541" t="s">
        <v>570</v>
      </c>
      <c r="B34" s="19" t="s">
        <v>571</v>
      </c>
      <c r="C34" s="89" t="s">
        <v>572</v>
      </c>
      <c r="D34" s="18" t="s">
        <v>573</v>
      </c>
      <c r="E34" s="18" t="s">
        <v>574</v>
      </c>
      <c r="F34" s="19" t="s">
        <v>575</v>
      </c>
      <c r="G34" s="89" t="s">
        <v>572</v>
      </c>
      <c r="H34" s="18" t="s">
        <v>573</v>
      </c>
      <c r="I34" s="18" t="s">
        <v>574</v>
      </c>
      <c r="J34" s="19" t="s">
        <v>575</v>
      </c>
      <c r="K34" s="89" t="s">
        <v>572</v>
      </c>
      <c r="L34" s="18" t="s">
        <v>573</v>
      </c>
      <c r="M34" s="18" t="s">
        <v>574</v>
      </c>
      <c r="N34" s="19" t="s">
        <v>575</v>
      </c>
      <c r="O34" s="89" t="s">
        <v>572</v>
      </c>
      <c r="P34" s="18" t="s">
        <v>573</v>
      </c>
      <c r="Q34" s="18" t="s">
        <v>574</v>
      </c>
      <c r="R34" s="19" t="s">
        <v>575</v>
      </c>
      <c r="S34" s="89" t="s">
        <v>572</v>
      </c>
      <c r="T34" s="18" t="s">
        <v>573</v>
      </c>
      <c r="U34" s="18" t="s">
        <v>574</v>
      </c>
      <c r="V34" s="19" t="s">
        <v>575</v>
      </c>
      <c r="W34" s="89" t="s">
        <v>572</v>
      </c>
      <c r="X34" s="18" t="s">
        <v>573</v>
      </c>
      <c r="Y34" s="18" t="s">
        <v>574</v>
      </c>
      <c r="Z34" s="18" t="s">
        <v>575</v>
      </c>
      <c r="AA34" s="541" t="s">
        <v>573</v>
      </c>
      <c r="AB34" s="19" t="s">
        <v>574</v>
      </c>
      <c r="AC34" s="18" t="s">
        <v>573</v>
      </c>
      <c r="AD34" s="159" t="s">
        <v>574</v>
      </c>
      <c r="AE34" s="18" t="s">
        <v>573</v>
      </c>
      <c r="AF34" s="19" t="s">
        <v>574</v>
      </c>
      <c r="AG34" s="89" t="s">
        <v>573</v>
      </c>
      <c r="AH34" s="159" t="s">
        <v>574</v>
      </c>
      <c r="AI34" s="1603" t="s">
        <v>208</v>
      </c>
      <c r="AJ34" s="1583"/>
      <c r="AK34" s="835" t="s">
        <v>574</v>
      </c>
      <c r="AL34" s="19" t="s">
        <v>986</v>
      </c>
      <c r="AM34" s="989" t="s">
        <v>574</v>
      </c>
      <c r="AN34" s="167" t="s">
        <v>986</v>
      </c>
      <c r="AO34" s="989" t="s">
        <v>574</v>
      </c>
      <c r="AP34" s="167" t="s">
        <v>986</v>
      </c>
      <c r="AQ34" s="989" t="s">
        <v>574</v>
      </c>
      <c r="AR34" s="167" t="s">
        <v>986</v>
      </c>
      <c r="AS34" s="989" t="s">
        <v>574</v>
      </c>
      <c r="AT34" s="167" t="s">
        <v>986</v>
      </c>
      <c r="AU34" s="989" t="s">
        <v>574</v>
      </c>
      <c r="AV34" s="133" t="s">
        <v>986</v>
      </c>
      <c r="AW34" s="15"/>
      <c r="AX34" s="835" t="s">
        <v>574</v>
      </c>
      <c r="AY34" s="167" t="s">
        <v>574</v>
      </c>
      <c r="AZ34" s="133" t="s">
        <v>986</v>
      </c>
      <c r="BA34" s="835" t="s">
        <v>574</v>
      </c>
      <c r="BB34" s="167" t="s">
        <v>574</v>
      </c>
      <c r="BC34" s="167" t="s">
        <v>574</v>
      </c>
      <c r="BD34" s="167" t="s">
        <v>986</v>
      </c>
      <c r="BE34" s="133" t="s">
        <v>771</v>
      </c>
      <c r="BF34" s="916" t="s">
        <v>241</v>
      </c>
    </row>
    <row r="35" spans="1:58">
      <c r="A35" s="1019">
        <f>YEAR(Startops3)</f>
        <v>2001</v>
      </c>
      <c r="B35" s="92">
        <f>IF(MONTH(Startops3)&gt;6, 0, 1)</f>
        <v>0</v>
      </c>
      <c r="C35" s="90">
        <f>F27</f>
        <v>70125</v>
      </c>
      <c r="D35" s="221">
        <f>IF(MONTH(Startops3)&lt;6, C35*F$30*(7-MONTH(Startops3))/12, 0)</f>
        <v>0</v>
      </c>
      <c r="E35" s="222">
        <f t="shared" ref="E35:E74" ca="1" si="8">IF($B35&gt;=F$29,C35,IF(F$31&gt;=$B35, 0, IF(C35&gt;1, CHOOSE(F$32,F$27/(F$29-F$31), -PMT(F$30/2,F$29-$B34,C35,0)-D35,F$27*$AL35), 0)))</f>
        <v>0</v>
      </c>
      <c r="F35" s="57">
        <f ca="1">C35-E35</f>
        <v>70125</v>
      </c>
      <c r="G35" s="90">
        <f>J27</f>
        <v>70125</v>
      </c>
      <c r="H35" s="221">
        <f>IF(MONTH(Startops3)&lt;6, G35*J$30*(7-MONTH(Startops3))/12, 0)</f>
        <v>0</v>
      </c>
      <c r="I35" s="222">
        <f t="shared" ref="I35:I74" ca="1" si="9">IF($B35&gt;=J$29,G35,IF(J$31&gt;=$B35, 0, IF(G35&gt;1, CHOOSE(J$32,J$27/(J$29-J$31), -PMT(J$30/2,J$29-$B34,G35,0)-H35,J$27*$AN35), 0)))</f>
        <v>0</v>
      </c>
      <c r="J35" s="57">
        <f ca="1">G35-I35</f>
        <v>70125</v>
      </c>
      <c r="K35" s="90">
        <f>N27</f>
        <v>24750</v>
      </c>
      <c r="L35" s="221">
        <f>IF(MONTH(Startops3)&lt;6, K35*N$30*(7-MONTH(Startops3))/12, 0)</f>
        <v>0</v>
      </c>
      <c r="M35" s="222">
        <f t="shared" ref="M35:M74" ca="1" si="10">IF($B35&gt;=N$29,K35,IF(N$31&gt;=$B35, 0, IF(K35&gt;1, CHOOSE(N$32,N$27/(N$29-N$31), -PMT(N$30/2,N$29-$B34,K35,0)-L35,N$27*$AP35), 0)))</f>
        <v>0</v>
      </c>
      <c r="N35" s="57">
        <f ca="1">K35-M35</f>
        <v>24750</v>
      </c>
      <c r="O35" s="90">
        <f ca="1">R27</f>
        <v>0</v>
      </c>
      <c r="P35" s="221">
        <f>IF(MONTH(Startops3)&lt;6, O35*R$30*(7-MONTH(Startops3))/12, 0)</f>
        <v>0</v>
      </c>
      <c r="Q35" s="222">
        <f t="shared" ref="Q35:Q74" ca="1" si="11">IF($B35&gt;=R$29,O35,IF(R$31&gt;=$B35, 0, IF(O35&gt;1, CHOOSE(R$32,R$27/(R$29-R$31), -PMT(R$30/2,R$29-$B34,O35,0)-P35,R$27*$AR35), 0)))</f>
        <v>0</v>
      </c>
      <c r="R35" s="57">
        <f ca="1">O35-Q35</f>
        <v>0</v>
      </c>
      <c r="S35" s="90">
        <f>V27</f>
        <v>36351.11991105834</v>
      </c>
      <c r="T35" s="221">
        <f>IF(MONTH(Startops3)&lt;6, S35*V$30*(7-MONTH(Startops3))/12, 0)</f>
        <v>0</v>
      </c>
      <c r="U35" s="222">
        <f t="shared" ref="U35:U74" ca="1" si="12">IF($B35&gt;=V$29,S35,IF(V$31&gt;=$B35, 0, IF(S35&gt;1, CHOOSE(V$32,V$27/(V$29-V$31), -PMT(V$30/2,V$29-$B34,S35,0)-T35,V$27*$AT35), 0)))</f>
        <v>0</v>
      </c>
      <c r="V35" s="57">
        <f ca="1">S35-U35</f>
        <v>36351.11991105834</v>
      </c>
      <c r="W35" s="90">
        <f ca="1">Z27</f>
        <v>49749.813072758669</v>
      </c>
      <c r="X35" s="221">
        <v>0</v>
      </c>
      <c r="Y35" s="222">
        <f t="shared" ref="Y35:Y74" ca="1" si="13">IF($B35&gt;=Z$29,W35,IF(Z$31&gt;=$B35, 0, IF(W35&gt;1, CHOOSE(Z$32,Z$27/(Z$29-Z$31), -PMT(Z$30/2,Z$29-$B34,W35,0)-X35,Z$27*$AV35), 0)))</f>
        <v>0</v>
      </c>
      <c r="Z35" s="37">
        <f ca="1">W35-Y35</f>
        <v>49749.813072758669</v>
      </c>
      <c r="AA35" s="825"/>
      <c r="AB35" s="57"/>
      <c r="AC35" s="37"/>
      <c r="AD35" s="33"/>
      <c r="AE35" s="37"/>
      <c r="AF35" s="57"/>
      <c r="AG35" s="90"/>
      <c r="AH35" s="33"/>
      <c r="AI35" s="1595"/>
      <c r="AJ35" s="221"/>
      <c r="AK35" s="912">
        <v>0</v>
      </c>
      <c r="AL35" s="1102">
        <f>IF(AK$75=0,0,AK35/AK$75)</f>
        <v>0</v>
      </c>
      <c r="AM35" s="990">
        <v>0</v>
      </c>
      <c r="AN35" s="32">
        <f t="shared" ref="AN35:AN74" si="14">IF(AM$75=0,0,AM35/AM$75)</f>
        <v>0</v>
      </c>
      <c r="AO35" s="990">
        <v>0</v>
      </c>
      <c r="AP35" s="32">
        <f t="shared" ref="AP35:AP74" si="15">IF(AO$75=0,0,AO35/AO$75)</f>
        <v>0</v>
      </c>
      <c r="AQ35" s="990">
        <v>0</v>
      </c>
      <c r="AR35" s="32">
        <f t="shared" ref="AR35:AR74" si="16">IF(AQ$75=0,0,AQ35/AQ$75)</f>
        <v>0</v>
      </c>
      <c r="AS35" s="990">
        <v>0</v>
      </c>
      <c r="AT35" s="32">
        <f t="shared" ref="AT35:AT74" si="17">IF(AS$75=0,0,AS35/AS$75)</f>
        <v>0</v>
      </c>
      <c r="AU35" s="990">
        <f ca="1">BC35</f>
        <v>0</v>
      </c>
      <c r="AV35" s="135">
        <f t="shared" ref="AV35:AV74" ca="1" si="18">IF(AU$75=0,0,AU35/AU$75)</f>
        <v>0</v>
      </c>
      <c r="AW35" s="15"/>
      <c r="AX35" s="836">
        <v>0</v>
      </c>
      <c r="AY35" s="163">
        <v>0</v>
      </c>
      <c r="AZ35" s="135">
        <f>AY35/AY$75</f>
        <v>0</v>
      </c>
      <c r="BA35" s="912">
        <v>0</v>
      </c>
      <c r="BB35" s="766">
        <v>0</v>
      </c>
      <c r="BC35" s="37">
        <f ca="1">IF(BB35&lt;0,BC34,IF(SUM(BB$35:BB35)&gt;$Z$27,$Z$27-SUM(BC$34:BC34),BB35))</f>
        <v>0</v>
      </c>
      <c r="BD35" s="32">
        <f ca="1">BC35/BC$75</f>
        <v>0</v>
      </c>
      <c r="BE35" s="758">
        <v>0</v>
      </c>
      <c r="BF35" s="435">
        <f ca="1">IF(BC35=0,0,BB35-BA35)</f>
        <v>0</v>
      </c>
    </row>
    <row r="36" spans="1:58">
      <c r="A36" s="542">
        <f>A35</f>
        <v>2001</v>
      </c>
      <c r="B36" s="266">
        <f>B35+1</f>
        <v>1</v>
      </c>
      <c r="C36" s="91">
        <f t="shared" ref="C36:C69" ca="1" si="19">F35</f>
        <v>70125</v>
      </c>
      <c r="D36" s="112">
        <f ca="1">IF(MONTH(Startops3)&gt;6,C36*F$30*(13-MONTH(Startops3))/12,C36*F$30*0.5)</f>
        <v>2057</v>
      </c>
      <c r="E36" s="59">
        <f t="shared" ca="1" si="8"/>
        <v>0</v>
      </c>
      <c r="F36" s="61">
        <f ca="1">C36-E36</f>
        <v>70125</v>
      </c>
      <c r="G36" s="91">
        <f t="shared" ref="G36:G69" ca="1" si="20">J35</f>
        <v>70125</v>
      </c>
      <c r="H36" s="112">
        <f ca="1">IF(MONTH(Startops3)&gt;6,G36*J$30*(13-MONTH(Startops3))/12,G36*J$30*0.5)</f>
        <v>2185.5625</v>
      </c>
      <c r="I36" s="59">
        <f t="shared" ca="1" si="9"/>
        <v>0</v>
      </c>
      <c r="J36" s="61">
        <f ca="1">G36-I36</f>
        <v>70125</v>
      </c>
      <c r="K36" s="91">
        <f t="shared" ref="K36:K74" ca="1" si="21">N35</f>
        <v>24750</v>
      </c>
      <c r="L36" s="112">
        <f ca="1">IF(MONTH(Startops3)&gt;6,K36*N$30*(13-MONTH(Startops3))/12,K36*N$30*0.5)</f>
        <v>955.96875000000011</v>
      </c>
      <c r="M36" s="59">
        <f t="shared" ca="1" si="10"/>
        <v>0</v>
      </c>
      <c r="N36" s="61">
        <f ca="1">K36-M36</f>
        <v>24750</v>
      </c>
      <c r="O36" s="91">
        <f t="shared" ref="O36:O69" ca="1" si="22">R35</f>
        <v>0</v>
      </c>
      <c r="P36" s="112">
        <f ca="1">IF(MONTH(Startops3)&gt;6,O36*R$30*(13-MONTH(Startops3))/12,O36*R$30*0.5)</f>
        <v>0</v>
      </c>
      <c r="Q36" s="828">
        <f t="shared" ca="1" si="11"/>
        <v>0</v>
      </c>
      <c r="R36" s="61">
        <f ca="1">O36-Q36</f>
        <v>0</v>
      </c>
      <c r="S36" s="91">
        <f t="shared" ref="S36:S69" ca="1" si="23">V35</f>
        <v>36351.11991105834</v>
      </c>
      <c r="T36" s="112">
        <f ca="1">IF(MONTH(Startops3)&gt;6,S36*V$30*(13-MONTH(Startops3))/12,S36*V$30*0.5)</f>
        <v>1667.6076259198014</v>
      </c>
      <c r="U36" s="828">
        <f t="shared" ca="1" si="12"/>
        <v>0</v>
      </c>
      <c r="V36" s="61">
        <f ca="1">S36-U36</f>
        <v>36351.11991105834</v>
      </c>
      <c r="W36" s="91">
        <f t="shared" ref="W36:W74" ca="1" si="24">Z35</f>
        <v>49749.813072758669</v>
      </c>
      <c r="X36" s="112">
        <f ca="1">IF(MONTH(Startops3)&gt;6,W36*Z$30*(13-MONTH(Startops3))/12,W36*Z$30*0.5)</f>
        <v>2694.7815414410948</v>
      </c>
      <c r="Y36" s="828">
        <f t="shared" ca="1" si="13"/>
        <v>0</v>
      </c>
      <c r="Z36" s="59">
        <f ca="1">W36-Y36</f>
        <v>49749.813072758669</v>
      </c>
      <c r="AA36" s="826">
        <f ca="1" xml:space="preserve"> SUM(D35:D36,H35:H36,L35:L36,P35:P36, T35:T36)</f>
        <v>6866.1388759198016</v>
      </c>
      <c r="AB36" s="61">
        <f ca="1" xml:space="preserve"> SUM(E35:E36,I35:I36,M35:M36,Q35:Q36, U35:U36)</f>
        <v>0</v>
      </c>
      <c r="AC36" s="59">
        <f ca="1">SUM(X35:X36)</f>
        <v>2694.7815414410948</v>
      </c>
      <c r="AD36" s="543">
        <f ca="1">SUM(Y35:Y36)</f>
        <v>0</v>
      </c>
      <c r="AE36" s="59">
        <f ca="1">SUM(D35:D36,H35:H36)</f>
        <v>4242.5625</v>
      </c>
      <c r="AF36" s="61">
        <f ca="1">SUM(E35:E36,I35:I36)</f>
        <v>0</v>
      </c>
      <c r="AG36" s="91">
        <f ca="1">SUM(T35:T36)</f>
        <v>1667.6076259198014</v>
      </c>
      <c r="AH36" s="543">
        <f ca="1">SUM(U35:U36)</f>
        <v>0</v>
      </c>
      <c r="AI36" s="1595">
        <f ca="1">(C35+G35+K35+S35+W35)*IF(RAROC!$B$103=1,VLOOKUP('Debt Amort'!A36,RAROC!$A$107:$D$113,2),IF(RAROC!$B$103=2,VLOOKUP('Debt Amort'!A36,RAROC!$A$107:$D$113,3),IF(RAROC!$B$103=3,VLOOKUP('Debt Amort'!A36,RAROC!$A$107:$D$113,4),0)))*((13-MONTH(Startops3))/12)</f>
        <v>4185.015549730284</v>
      </c>
      <c r="AJ36" s="221"/>
      <c r="AK36" s="912">
        <v>0</v>
      </c>
      <c r="AL36" s="1102">
        <f t="shared" ref="AL36:AL74" si="25">IF(AK$75=0,0,AK36/AK$75)</f>
        <v>0</v>
      </c>
      <c r="AM36" s="990">
        <v>0</v>
      </c>
      <c r="AN36" s="32">
        <f t="shared" si="14"/>
        <v>0</v>
      </c>
      <c r="AO36" s="990">
        <v>0</v>
      </c>
      <c r="AP36" s="32">
        <f t="shared" si="15"/>
        <v>0</v>
      </c>
      <c r="AQ36" s="990">
        <v>0</v>
      </c>
      <c r="AR36" s="32">
        <f t="shared" si="16"/>
        <v>0</v>
      </c>
      <c r="AS36" s="990">
        <v>3106.8571428571399</v>
      </c>
      <c r="AT36" s="32">
        <f t="shared" si="17"/>
        <v>1.55342857142857E-2</v>
      </c>
      <c r="AU36" s="990">
        <f t="shared" ref="AU36:AU74" ca="1" si="26">BC36</f>
        <v>383.1891625905364</v>
      </c>
      <c r="AV36" s="135">
        <f t="shared" ca="1" si="18"/>
        <v>7.7023236656211264E-3</v>
      </c>
      <c r="AW36" s="15"/>
      <c r="AX36" s="836">
        <v>7142.8571428571413</v>
      </c>
      <c r="AY36" s="163">
        <f>3556.85714285714-450</f>
        <v>3106.8571428571399</v>
      </c>
      <c r="AZ36" s="135">
        <f t="shared" ref="AZ36:AZ74" si="27">AY36/AY$75</f>
        <v>1.55342857142857E-2</v>
      </c>
      <c r="BA36" s="913">
        <f ca="1">HLOOKUP($A36,CF_Table,CF!$AB$69)</f>
        <v>15292.099302756214</v>
      </c>
      <c r="BB36" s="766">
        <v>383.1891625905364</v>
      </c>
      <c r="BC36" s="37">
        <f ca="1">IF(BB36&lt;0,BC35,IF(SUM(BB$35:BB36)&gt;$Z$27,$Z$27-SUM(BC$34:BC35),BB36))</f>
        <v>383.1891625905364</v>
      </c>
      <c r="BD36" s="32">
        <f t="shared" ref="BD36:BD74" ca="1" si="28">BC36/BC$75</f>
        <v>7.7023236656211264E-3</v>
      </c>
      <c r="BE36" s="21">
        <f t="shared" ref="BE36:BE74" ca="1" si="29">IF(BD36=0,BE35,B36/2)</f>
        <v>0.5</v>
      </c>
      <c r="BF36" s="435">
        <f t="shared" ref="BF36:BF74" ca="1" si="30">IF(BC36=0,0,BB36-BA36)</f>
        <v>-14908.910140165677</v>
      </c>
    </row>
    <row r="37" spans="1:58">
      <c r="A37" s="139">
        <f>A35+1</f>
        <v>2002</v>
      </c>
      <c r="B37" s="92">
        <f t="shared" ref="B37:B52" si="31">B36+1</f>
        <v>2</v>
      </c>
      <c r="C37" s="90">
        <f t="shared" ca="1" si="19"/>
        <v>70125</v>
      </c>
      <c r="D37" s="37">
        <f t="shared" ref="D37:D74" ca="1" si="32">C37*F$30*0.5</f>
        <v>2468.4</v>
      </c>
      <c r="E37" s="37">
        <f t="shared" ca="1" si="8"/>
        <v>2504.4642857142858</v>
      </c>
      <c r="F37" s="57">
        <f t="shared" ref="F37:F52" ca="1" si="33">C37-E37</f>
        <v>67620.53571428571</v>
      </c>
      <c r="G37" s="90">
        <f t="shared" ca="1" si="20"/>
        <v>70125</v>
      </c>
      <c r="H37" s="37">
        <f t="shared" ref="H37:H74" ca="1" si="34">G37*J$30*0.5</f>
        <v>2622.6750000000002</v>
      </c>
      <c r="I37" s="37">
        <f t="shared" ca="1" si="9"/>
        <v>2504.4642857142858</v>
      </c>
      <c r="J37" s="57">
        <f t="shared" ref="J37:J69" ca="1" si="35">G37-I37</f>
        <v>67620.53571428571</v>
      </c>
      <c r="K37" s="90">
        <f t="shared" ca="1" si="21"/>
        <v>24750</v>
      </c>
      <c r="L37" s="37">
        <f t="shared" ref="L37:L74" ca="1" si="36">K37*N$30*0.5</f>
        <v>1147.1625000000001</v>
      </c>
      <c r="M37" s="37">
        <f t="shared" ca="1" si="10"/>
        <v>777.84436458085747</v>
      </c>
      <c r="N37" s="57">
        <f t="shared" ref="N37:N74" ca="1" si="37">K37-M37</f>
        <v>23972.155635419142</v>
      </c>
      <c r="O37" s="90">
        <f t="shared" ca="1" si="22"/>
        <v>0</v>
      </c>
      <c r="P37" s="37">
        <f t="shared" ref="P37:P74" ca="1" si="38">O37*R$30*0.5</f>
        <v>0</v>
      </c>
      <c r="Q37" s="222">
        <f t="shared" ca="1" si="11"/>
        <v>0</v>
      </c>
      <c r="R37" s="57">
        <f t="shared" ref="R37:R69" ca="1" si="39">O37-Q37</f>
        <v>0</v>
      </c>
      <c r="S37" s="90">
        <f t="shared" ca="1" si="23"/>
        <v>36351.11991105834</v>
      </c>
      <c r="T37" s="37">
        <f t="shared" ref="T37:T74" ca="1" si="40">S37*V$30*0.5</f>
        <v>2001.1291511037616</v>
      </c>
      <c r="U37" s="222">
        <f t="shared" ca="1" si="12"/>
        <v>272.60743424728696</v>
      </c>
      <c r="V37" s="57">
        <f t="shared" ref="V37:V69" ca="1" si="41">S37-U37</f>
        <v>36078.512476811055</v>
      </c>
      <c r="W37" s="90">
        <f t="shared" ca="1" si="24"/>
        <v>49749.813072758669</v>
      </c>
      <c r="X37" s="37">
        <f t="shared" ref="X37:X74" ca="1" si="42">W37*Z$30*0.5</f>
        <v>3233.7378497293134</v>
      </c>
      <c r="Y37" s="37">
        <f t="shared" ca="1" si="13"/>
        <v>1079.1333602303662</v>
      </c>
      <c r="Z37" s="37">
        <f t="shared" ref="Z37:Z74" ca="1" si="43">W37-Y37</f>
        <v>48670.679712528305</v>
      </c>
      <c r="AA37" s="825"/>
      <c r="AB37" s="57"/>
      <c r="AC37" s="37"/>
      <c r="AD37" s="33"/>
      <c r="AE37" s="37"/>
      <c r="AF37" s="57"/>
      <c r="AG37" s="90"/>
      <c r="AH37" s="33"/>
      <c r="AI37" s="1595"/>
      <c r="AJ37" s="221"/>
      <c r="AK37" s="912">
        <v>0</v>
      </c>
      <c r="AL37" s="1102">
        <f t="shared" si="25"/>
        <v>0</v>
      </c>
      <c r="AM37" s="990">
        <v>0</v>
      </c>
      <c r="AN37" s="32">
        <f t="shared" si="14"/>
        <v>0</v>
      </c>
      <c r="AO37" s="990">
        <v>0</v>
      </c>
      <c r="AP37" s="32">
        <f t="shared" si="15"/>
        <v>0</v>
      </c>
      <c r="AQ37" s="990">
        <v>0</v>
      </c>
      <c r="AR37" s="32">
        <f t="shared" si="16"/>
        <v>0</v>
      </c>
      <c r="AS37" s="990">
        <v>1499.8571428571438</v>
      </c>
      <c r="AT37" s="32">
        <f t="shared" si="17"/>
        <v>7.4992857142857187E-3</v>
      </c>
      <c r="AU37" s="990">
        <f t="shared" ca="1" si="26"/>
        <v>629.14095233016906</v>
      </c>
      <c r="AV37" s="135">
        <f t="shared" ca="1" si="18"/>
        <v>1.2646096808646414E-2</v>
      </c>
      <c r="AW37" s="15"/>
      <c r="AX37" s="836">
        <v>7142.8571428571413</v>
      </c>
      <c r="AY37" s="163">
        <f>-0.142857142856201+1500</f>
        <v>1499.8571428571438</v>
      </c>
      <c r="AZ37" s="135">
        <f t="shared" si="27"/>
        <v>7.4992857142857187E-3</v>
      </c>
      <c r="BA37" s="825">
        <f ca="1">HLOOKUP($A37,CF_Table,CF!$AB$69)/2</f>
        <v>1996.3663196954985</v>
      </c>
      <c r="BB37" s="766">
        <v>629.14095233016906</v>
      </c>
      <c r="BC37" s="37">
        <f ca="1">IF(BB37&lt;0,BC36,IF(SUM(BB$35:BB37)&gt;$Z$27,$Z$27-SUM(BC$34:BC36),BB37))</f>
        <v>629.14095233016906</v>
      </c>
      <c r="BD37" s="32">
        <f t="shared" ca="1" si="28"/>
        <v>1.2646096808646414E-2</v>
      </c>
      <c r="BE37" s="21">
        <f t="shared" ca="1" si="29"/>
        <v>1</v>
      </c>
      <c r="BF37" s="435">
        <f t="shared" ca="1" si="30"/>
        <v>-1367.2253673653295</v>
      </c>
    </row>
    <row r="38" spans="1:58">
      <c r="A38" s="542">
        <f>A37</f>
        <v>2002</v>
      </c>
      <c r="B38" s="266">
        <f t="shared" si="31"/>
        <v>3</v>
      </c>
      <c r="C38" s="91">
        <f t="shared" ca="1" si="19"/>
        <v>67620.53571428571</v>
      </c>
      <c r="D38" s="59">
        <f t="shared" ca="1" si="32"/>
        <v>2380.2428571428572</v>
      </c>
      <c r="E38" s="59">
        <f t="shared" ca="1" si="8"/>
        <v>2504.4642857142858</v>
      </c>
      <c r="F38" s="61">
        <f t="shared" ca="1" si="33"/>
        <v>65116.071428571428</v>
      </c>
      <c r="G38" s="91">
        <f t="shared" ca="1" si="20"/>
        <v>67620.53571428571</v>
      </c>
      <c r="H38" s="59">
        <f t="shared" ca="1" si="34"/>
        <v>2529.0080357142856</v>
      </c>
      <c r="I38" s="59">
        <f t="shared" ca="1" si="9"/>
        <v>2504.4642857142858</v>
      </c>
      <c r="J38" s="61">
        <f t="shared" ca="1" si="35"/>
        <v>65116.071428571428</v>
      </c>
      <c r="K38" s="91">
        <f t="shared" ca="1" si="21"/>
        <v>23972.155635419142</v>
      </c>
      <c r="L38" s="59">
        <f t="shared" ca="1" si="36"/>
        <v>1111.1094137016773</v>
      </c>
      <c r="M38" s="59">
        <f t="shared" ca="1" si="10"/>
        <v>813.89745087917981</v>
      </c>
      <c r="N38" s="61">
        <f t="shared" ca="1" si="37"/>
        <v>23158.258184539962</v>
      </c>
      <c r="O38" s="91">
        <f t="shared" ca="1" si="22"/>
        <v>0</v>
      </c>
      <c r="P38" s="59">
        <f t="shared" ca="1" si="38"/>
        <v>0</v>
      </c>
      <c r="Q38" s="828">
        <f t="shared" ca="1" si="11"/>
        <v>0</v>
      </c>
      <c r="R38" s="61">
        <f t="shared" ca="1" si="39"/>
        <v>0</v>
      </c>
      <c r="S38" s="91">
        <f t="shared" ca="1" si="23"/>
        <v>36078.512476811055</v>
      </c>
      <c r="T38" s="59">
        <f t="shared" ca="1" si="40"/>
        <v>1986.1221118484486</v>
      </c>
      <c r="U38" s="828">
        <f t="shared" ca="1" si="12"/>
        <v>272.60743424728696</v>
      </c>
      <c r="V38" s="61">
        <f t="shared" ca="1" si="41"/>
        <v>35805.905042563769</v>
      </c>
      <c r="W38" s="91">
        <f t="shared" ca="1" si="24"/>
        <v>48670.679712528305</v>
      </c>
      <c r="X38" s="59">
        <f t="shared" ca="1" si="42"/>
        <v>3163.5941813143399</v>
      </c>
      <c r="Y38" s="59">
        <f t="shared" ca="1" si="13"/>
        <v>1149.2770286453397</v>
      </c>
      <c r="Z38" s="59">
        <f t="shared" ca="1" si="43"/>
        <v>47521.402683882967</v>
      </c>
      <c r="AA38" s="826">
        <f ca="1" xml:space="preserve"> SUM(D37:D38,H37:H38,L37:L38,P37:P38, T37:T38)</f>
        <v>16245.84906951103</v>
      </c>
      <c r="AB38" s="61">
        <f ca="1" xml:space="preserve"> SUM(E37:E38,I37:I38,M37:M38,Q37:Q38, U37:U38)</f>
        <v>12154.813826811755</v>
      </c>
      <c r="AC38" s="59">
        <f ca="1">SUM(X37:X38)</f>
        <v>6397.3320310436538</v>
      </c>
      <c r="AD38" s="543">
        <f ca="1">SUM(Y37:Y38)</f>
        <v>2228.4103888757058</v>
      </c>
      <c r="AE38" s="59">
        <f ca="1">SUM(D37:D38,H37:H38)</f>
        <v>10000.325892857143</v>
      </c>
      <c r="AF38" s="61">
        <f ca="1">SUM(E37:E38,I37:I38)</f>
        <v>10017.857142857143</v>
      </c>
      <c r="AG38" s="91">
        <f ca="1">SUM(T37:T38)</f>
        <v>3987.2512629522103</v>
      </c>
      <c r="AH38" s="543">
        <f ca="1">SUM(U37:U38)</f>
        <v>545.21486849457392</v>
      </c>
      <c r="AI38" s="1595">
        <f ca="1">(C37+G37+K37+S37+W37)*IF(RAROC!$B$103=1,VLOOKUP('Debt Amort'!A38,RAROC!$A$107:$D$113,2),IF(RAROC!$B$103=2,VLOOKUP('Debt Amort'!A38,RAROC!$A$107:$D$113,3),IF(RAROC!$B$103=3,VLOOKUP('Debt Amort'!A38,RAROC!$A$107:$D$113,4),0)))*((13-MONTH(Startops3))/12)</f>
        <v>4185.015549730284</v>
      </c>
      <c r="AJ38" s="221"/>
      <c r="AK38" s="912">
        <v>0</v>
      </c>
      <c r="AL38" s="1102">
        <f t="shared" si="25"/>
        <v>0</v>
      </c>
      <c r="AM38" s="990">
        <v>0</v>
      </c>
      <c r="AN38" s="32">
        <f t="shared" si="14"/>
        <v>0</v>
      </c>
      <c r="AO38" s="990">
        <v>0</v>
      </c>
      <c r="AP38" s="32">
        <f t="shared" si="15"/>
        <v>0</v>
      </c>
      <c r="AQ38" s="990">
        <v>0</v>
      </c>
      <c r="AR38" s="32">
        <f t="shared" si="16"/>
        <v>0</v>
      </c>
      <c r="AS38" s="990">
        <v>1499.8571428571438</v>
      </c>
      <c r="AT38" s="32">
        <f t="shared" si="17"/>
        <v>7.4992857142857187E-3</v>
      </c>
      <c r="AU38" s="990">
        <f t="shared" ca="1" si="26"/>
        <v>629.14095233016906</v>
      </c>
      <c r="AV38" s="135">
        <f t="shared" ca="1" si="18"/>
        <v>1.2646096808646414E-2</v>
      </c>
      <c r="AW38" s="15"/>
      <c r="AX38" s="836">
        <v>7142.8571428571413</v>
      </c>
      <c r="AY38" s="163">
        <f>-0.142857142856201+1500</f>
        <v>1499.8571428571438</v>
      </c>
      <c r="AZ38" s="135">
        <f t="shared" si="27"/>
        <v>7.4992857142857187E-3</v>
      </c>
      <c r="BA38" s="825">
        <f ca="1">HLOOKUP($A38,CF_Table,CF!$AB$69)/2</f>
        <v>1996.3663196954985</v>
      </c>
      <c r="BB38" s="766">
        <v>629.14095233016906</v>
      </c>
      <c r="BC38" s="37">
        <f ca="1">IF(BB38&lt;0,BC37,IF(SUM(BB$35:BB38)&gt;$Z$27,$Z$27-SUM(BC$34:BC37),BB38))</f>
        <v>629.14095233016906</v>
      </c>
      <c r="BD38" s="32">
        <f t="shared" ca="1" si="28"/>
        <v>1.2646096808646414E-2</v>
      </c>
      <c r="BE38" s="21">
        <f t="shared" ca="1" si="29"/>
        <v>1.5</v>
      </c>
      <c r="BF38" s="435">
        <f t="shared" ca="1" si="30"/>
        <v>-1367.2253673653295</v>
      </c>
    </row>
    <row r="39" spans="1:58">
      <c r="A39" s="139">
        <f>A37+1</f>
        <v>2003</v>
      </c>
      <c r="B39" s="92">
        <f t="shared" si="31"/>
        <v>4</v>
      </c>
      <c r="C39" s="90">
        <f t="shared" ca="1" si="19"/>
        <v>65116.071428571428</v>
      </c>
      <c r="D39" s="37">
        <f t="shared" ca="1" si="32"/>
        <v>2292.0857142857144</v>
      </c>
      <c r="E39" s="37">
        <f t="shared" ca="1" si="8"/>
        <v>2504.4642857142858</v>
      </c>
      <c r="F39" s="57">
        <f t="shared" ca="1" si="33"/>
        <v>62611.607142857145</v>
      </c>
      <c r="G39" s="90">
        <f t="shared" ca="1" si="20"/>
        <v>65116.071428571428</v>
      </c>
      <c r="H39" s="37">
        <f t="shared" ca="1" si="34"/>
        <v>2435.3410714285715</v>
      </c>
      <c r="I39" s="37">
        <f t="shared" ca="1" si="9"/>
        <v>2504.4642857142858</v>
      </c>
      <c r="J39" s="57">
        <f t="shared" ca="1" si="35"/>
        <v>62611.607142857145</v>
      </c>
      <c r="K39" s="90">
        <f t="shared" ca="1" si="21"/>
        <v>23158.258184539962</v>
      </c>
      <c r="L39" s="37">
        <f t="shared" ca="1" si="36"/>
        <v>1073.3852668534273</v>
      </c>
      <c r="M39" s="37">
        <f t="shared" ca="1" si="10"/>
        <v>851.62159772742962</v>
      </c>
      <c r="N39" s="57">
        <f t="shared" ca="1" si="37"/>
        <v>22306.636586812532</v>
      </c>
      <c r="O39" s="90">
        <f t="shared" ca="1" si="22"/>
        <v>0</v>
      </c>
      <c r="P39" s="37">
        <f t="shared" ca="1" si="38"/>
        <v>0</v>
      </c>
      <c r="Q39" s="222">
        <f t="shared" ca="1" si="11"/>
        <v>0</v>
      </c>
      <c r="R39" s="57">
        <f t="shared" ca="1" si="39"/>
        <v>0</v>
      </c>
      <c r="S39" s="90">
        <f t="shared" ca="1" si="23"/>
        <v>35805.905042563769</v>
      </c>
      <c r="T39" s="37">
        <f t="shared" ca="1" si="40"/>
        <v>1971.1150725931354</v>
      </c>
      <c r="U39" s="222">
        <f t="shared" ca="1" si="12"/>
        <v>462.1785245834555</v>
      </c>
      <c r="V39" s="57">
        <f t="shared" ca="1" si="41"/>
        <v>35343.726517980314</v>
      </c>
      <c r="W39" s="90">
        <f t="shared" ca="1" si="24"/>
        <v>47521.402683882967</v>
      </c>
      <c r="X39" s="37">
        <f t="shared" ca="1" si="42"/>
        <v>3088.891174452393</v>
      </c>
      <c r="Y39" s="37">
        <f t="shared" ca="1" si="13"/>
        <v>1223.9800355072857</v>
      </c>
      <c r="Z39" s="37">
        <f t="shared" ca="1" si="43"/>
        <v>46297.422648375679</v>
      </c>
      <c r="AA39" s="825"/>
      <c r="AB39" s="57"/>
      <c r="AC39" s="37"/>
      <c r="AD39" s="33"/>
      <c r="AE39" s="37"/>
      <c r="AF39" s="57"/>
      <c r="AG39" s="90"/>
      <c r="AH39" s="33"/>
      <c r="AI39" s="1595"/>
      <c r="AJ39" s="221"/>
      <c r="AK39" s="912">
        <v>0</v>
      </c>
      <c r="AL39" s="1102">
        <f t="shared" si="25"/>
        <v>0</v>
      </c>
      <c r="AM39" s="990">
        <v>0</v>
      </c>
      <c r="AN39" s="32">
        <f t="shared" si="14"/>
        <v>0</v>
      </c>
      <c r="AO39" s="990">
        <v>0</v>
      </c>
      <c r="AP39" s="32">
        <f t="shared" si="15"/>
        <v>0</v>
      </c>
      <c r="AQ39" s="990">
        <v>0</v>
      </c>
      <c r="AR39" s="32">
        <f t="shared" si="16"/>
        <v>0</v>
      </c>
      <c r="AS39" s="990">
        <v>2542.8571428571399</v>
      </c>
      <c r="AT39" s="32">
        <f t="shared" si="17"/>
        <v>1.2714285714285699E-2</v>
      </c>
      <c r="AU39" s="990">
        <f t="shared" ca="1" si="26"/>
        <v>1382.7887903529954</v>
      </c>
      <c r="AV39" s="135">
        <f t="shared" ca="1" si="18"/>
        <v>2.7794853989314066E-2</v>
      </c>
      <c r="AW39" s="15"/>
      <c r="AX39" s="836">
        <v>7142.8571428571413</v>
      </c>
      <c r="AY39" s="163">
        <f>2742.85714285714-200</f>
        <v>2542.8571428571399</v>
      </c>
      <c r="AZ39" s="135">
        <f t="shared" si="27"/>
        <v>1.2714285714285699E-2</v>
      </c>
      <c r="BA39" s="825">
        <f ca="1">HLOOKUP($A39,CF_Table,CF!$AB$69)/2</f>
        <v>3564.4948855466064</v>
      </c>
      <c r="BB39" s="766">
        <v>1382.7887903529954</v>
      </c>
      <c r="BC39" s="37">
        <f ca="1">IF(BB39&lt;0,BC38,IF(SUM(BB$35:BB39)&gt;$Z$27,$Z$27-SUM(BC$34:BC38),BB39))</f>
        <v>1382.7887903529954</v>
      </c>
      <c r="BD39" s="32">
        <f t="shared" ca="1" si="28"/>
        <v>2.7794853989314066E-2</v>
      </c>
      <c r="BE39" s="21">
        <f t="shared" ca="1" si="29"/>
        <v>2</v>
      </c>
      <c r="BF39" s="435">
        <f t="shared" ca="1" si="30"/>
        <v>-2181.706095193611</v>
      </c>
    </row>
    <row r="40" spans="1:58">
      <c r="A40" s="542">
        <f t="shared" ref="A40:A55" si="44">A38+1</f>
        <v>2003</v>
      </c>
      <c r="B40" s="266">
        <f t="shared" si="31"/>
        <v>5</v>
      </c>
      <c r="C40" s="91">
        <f t="shared" ca="1" si="19"/>
        <v>62611.607142857145</v>
      </c>
      <c r="D40" s="59">
        <f t="shared" ca="1" si="32"/>
        <v>2203.9285714285716</v>
      </c>
      <c r="E40" s="59">
        <f t="shared" ca="1" si="8"/>
        <v>2504.4642857142858</v>
      </c>
      <c r="F40" s="61">
        <f t="shared" ca="1" si="33"/>
        <v>60107.142857142862</v>
      </c>
      <c r="G40" s="91">
        <f t="shared" ca="1" si="20"/>
        <v>62611.607142857145</v>
      </c>
      <c r="H40" s="59">
        <f t="shared" ca="1" si="34"/>
        <v>2341.6741071428573</v>
      </c>
      <c r="I40" s="59">
        <f t="shared" ca="1" si="9"/>
        <v>2504.4642857142858</v>
      </c>
      <c r="J40" s="61">
        <f t="shared" ca="1" si="35"/>
        <v>60107.142857142862</v>
      </c>
      <c r="K40" s="91">
        <f t="shared" ca="1" si="21"/>
        <v>22306.636586812532</v>
      </c>
      <c r="L40" s="59">
        <f t="shared" ca="1" si="36"/>
        <v>1033.912605798761</v>
      </c>
      <c r="M40" s="59">
        <f t="shared" ca="1" si="10"/>
        <v>891.09425878209595</v>
      </c>
      <c r="N40" s="61">
        <f t="shared" ca="1" si="37"/>
        <v>21415.542328030435</v>
      </c>
      <c r="O40" s="91">
        <f t="shared" ca="1" si="22"/>
        <v>0</v>
      </c>
      <c r="P40" s="59">
        <f t="shared" ca="1" si="38"/>
        <v>0</v>
      </c>
      <c r="Q40" s="828">
        <f t="shared" ca="1" si="11"/>
        <v>0</v>
      </c>
      <c r="R40" s="61">
        <f t="shared" ca="1" si="39"/>
        <v>0</v>
      </c>
      <c r="S40" s="91">
        <f t="shared" ca="1" si="23"/>
        <v>35343.726517980314</v>
      </c>
      <c r="T40" s="59">
        <f t="shared" ca="1" si="40"/>
        <v>1945.6721448148164</v>
      </c>
      <c r="U40" s="828">
        <f t="shared" ca="1" si="12"/>
        <v>462.1785245834555</v>
      </c>
      <c r="V40" s="61">
        <f t="shared" ca="1" si="41"/>
        <v>34881.54799339686</v>
      </c>
      <c r="W40" s="91">
        <f t="shared" ca="1" si="24"/>
        <v>46297.422648375679</v>
      </c>
      <c r="X40" s="59">
        <f t="shared" ca="1" si="42"/>
        <v>3009.3324721444192</v>
      </c>
      <c r="Y40" s="59">
        <f t="shared" ca="1" si="13"/>
        <v>1303.5387378152586</v>
      </c>
      <c r="Z40" s="59">
        <f t="shared" ca="1" si="43"/>
        <v>44993.88391056042</v>
      </c>
      <c r="AA40" s="826">
        <f ca="1" xml:space="preserve"> SUM(D39:D40,H39:H40,L39:L40,P39:P40, T39:T40)</f>
        <v>15297.114554345853</v>
      </c>
      <c r="AB40" s="61">
        <f ca="1" xml:space="preserve"> SUM(E39:E40,I39:I40,M39:M40,Q39:Q40, U39:U40)</f>
        <v>12684.930048533581</v>
      </c>
      <c r="AC40" s="59">
        <f ca="1">SUM(X39:X40)</f>
        <v>6098.2236465968126</v>
      </c>
      <c r="AD40" s="543">
        <f ca="1">SUM(Y39:Y40)</f>
        <v>2527.5187733225443</v>
      </c>
      <c r="AE40" s="59">
        <f ca="1">SUM(D39:D40,H39:H40)</f>
        <v>9273.0294642857134</v>
      </c>
      <c r="AF40" s="61">
        <f ca="1">SUM(E39:E40,I39:I40)</f>
        <v>10017.857142857143</v>
      </c>
      <c r="AG40" s="91">
        <f ca="1">SUM(T39:T40)</f>
        <v>3916.7872174079521</v>
      </c>
      <c r="AH40" s="543">
        <f ca="1">SUM(U39:U40)</f>
        <v>924.357049166911</v>
      </c>
      <c r="AI40" s="1595">
        <f ca="1">(C39+G39+K39+S39+W39)*IF(RAROC!$B$103=1,VLOOKUP('Debt Amort'!A40,RAROC!$A$107:$D$113,2),IF(RAROC!$B$103=2,VLOOKUP('Debt Amort'!A40,RAROC!$A$107:$D$113,3),IF(RAROC!$B$103=3,VLOOKUP('Debt Amort'!A40,RAROC!$A$107:$D$113,4),0)))*((13-MONTH(Startops3))/12)</f>
        <v>3945.2951461354928</v>
      </c>
      <c r="AJ40" s="221"/>
      <c r="AK40" s="912">
        <v>0</v>
      </c>
      <c r="AL40" s="1102">
        <f t="shared" si="25"/>
        <v>0</v>
      </c>
      <c r="AM40" s="990">
        <v>0</v>
      </c>
      <c r="AN40" s="32">
        <f t="shared" si="14"/>
        <v>0</v>
      </c>
      <c r="AO40" s="990">
        <v>0</v>
      </c>
      <c r="AP40" s="32">
        <f t="shared" si="15"/>
        <v>0</v>
      </c>
      <c r="AQ40" s="990">
        <v>0</v>
      </c>
      <c r="AR40" s="32">
        <f t="shared" si="16"/>
        <v>0</v>
      </c>
      <c r="AS40" s="990">
        <v>2542.8571428571399</v>
      </c>
      <c r="AT40" s="32">
        <f t="shared" si="17"/>
        <v>1.2714285714285699E-2</v>
      </c>
      <c r="AU40" s="990">
        <f t="shared" ca="1" si="26"/>
        <v>1382.7887903529954</v>
      </c>
      <c r="AV40" s="135">
        <f t="shared" ca="1" si="18"/>
        <v>2.7794853989314066E-2</v>
      </c>
      <c r="AW40" s="15"/>
      <c r="AX40" s="836">
        <v>7142.8571428571413</v>
      </c>
      <c r="AY40" s="163">
        <f>2742.85714285714-200</f>
        <v>2542.8571428571399</v>
      </c>
      <c r="AZ40" s="135">
        <f t="shared" si="27"/>
        <v>1.2714285714285699E-2</v>
      </c>
      <c r="BA40" s="825">
        <f ca="1">HLOOKUP($A40,CF_Table,CF!$AB$69)/2</f>
        <v>3564.4948855466064</v>
      </c>
      <c r="BB40" s="766">
        <v>1382.7887903529954</v>
      </c>
      <c r="BC40" s="37">
        <f ca="1">IF(BB40&lt;0,BC39,IF(SUM(BB$35:BB40)&gt;$Z$27,$Z$27-SUM(BC$34:BC39),BB40))</f>
        <v>1382.7887903529954</v>
      </c>
      <c r="BD40" s="32">
        <f t="shared" ca="1" si="28"/>
        <v>2.7794853989314066E-2</v>
      </c>
      <c r="BE40" s="21">
        <f t="shared" ca="1" si="29"/>
        <v>2.5</v>
      </c>
      <c r="BF40" s="435">
        <f t="shared" ca="1" si="30"/>
        <v>-2181.706095193611</v>
      </c>
    </row>
    <row r="41" spans="1:58">
      <c r="A41" s="139">
        <f t="shared" si="44"/>
        <v>2004</v>
      </c>
      <c r="B41" s="92">
        <f t="shared" si="31"/>
        <v>6</v>
      </c>
      <c r="C41" s="90">
        <f t="shared" ca="1" si="19"/>
        <v>60107.142857142862</v>
      </c>
      <c r="D41" s="37">
        <f t="shared" ca="1" si="32"/>
        <v>2115.7714285714287</v>
      </c>
      <c r="E41" s="37">
        <f t="shared" ca="1" si="8"/>
        <v>2504.4642857142858</v>
      </c>
      <c r="F41" s="57">
        <f t="shared" ca="1" si="33"/>
        <v>57602.67857142858</v>
      </c>
      <c r="G41" s="90">
        <f t="shared" ca="1" si="20"/>
        <v>60107.142857142862</v>
      </c>
      <c r="H41" s="37">
        <f t="shared" ca="1" si="34"/>
        <v>2248.0071428571432</v>
      </c>
      <c r="I41" s="37">
        <f t="shared" ca="1" si="9"/>
        <v>2504.4642857142858</v>
      </c>
      <c r="J41" s="57">
        <f t="shared" ca="1" si="35"/>
        <v>57602.67857142858</v>
      </c>
      <c r="K41" s="90">
        <f t="shared" ca="1" si="21"/>
        <v>21415.542328030435</v>
      </c>
      <c r="L41" s="37">
        <f t="shared" ca="1" si="36"/>
        <v>992.61038690421071</v>
      </c>
      <c r="M41" s="37">
        <f t="shared" ca="1" si="10"/>
        <v>932.39647767664599</v>
      </c>
      <c r="N41" s="57">
        <f t="shared" ca="1" si="37"/>
        <v>20483.145850353791</v>
      </c>
      <c r="O41" s="90">
        <f t="shared" ca="1" si="22"/>
        <v>0</v>
      </c>
      <c r="P41" s="37">
        <f t="shared" ca="1" si="38"/>
        <v>0</v>
      </c>
      <c r="Q41" s="222">
        <f t="shared" ca="1" si="11"/>
        <v>0</v>
      </c>
      <c r="R41" s="57">
        <f t="shared" ca="1" si="39"/>
        <v>0</v>
      </c>
      <c r="S41" s="90">
        <f t="shared" ca="1" si="23"/>
        <v>34881.54799339686</v>
      </c>
      <c r="T41" s="37">
        <f t="shared" ca="1" si="40"/>
        <v>1920.2292170364972</v>
      </c>
      <c r="U41" s="222">
        <f t="shared" ca="1" si="12"/>
        <v>1298.2542825377977</v>
      </c>
      <c r="V41" s="57">
        <f t="shared" ca="1" si="41"/>
        <v>33583.293710859063</v>
      </c>
      <c r="W41" s="90">
        <f t="shared" ca="1" si="24"/>
        <v>44993.88391056042</v>
      </c>
      <c r="X41" s="37">
        <f t="shared" ca="1" si="42"/>
        <v>2924.6024541864276</v>
      </c>
      <c r="Y41" s="37">
        <f t="shared" ca="1" si="13"/>
        <v>1388.2687557732502</v>
      </c>
      <c r="Z41" s="37">
        <f t="shared" ca="1" si="43"/>
        <v>43605.61515478717</v>
      </c>
      <c r="AA41" s="825"/>
      <c r="AB41" s="57"/>
      <c r="AC41" s="37"/>
      <c r="AD41" s="33"/>
      <c r="AE41" s="37"/>
      <c r="AF41" s="57"/>
      <c r="AG41" s="90"/>
      <c r="AH41" s="33"/>
      <c r="AI41" s="1595"/>
      <c r="AJ41" s="221"/>
      <c r="AK41" s="912">
        <v>0</v>
      </c>
      <c r="AL41" s="1102">
        <f t="shared" si="25"/>
        <v>0</v>
      </c>
      <c r="AM41" s="990">
        <v>0</v>
      </c>
      <c r="AN41" s="32">
        <f t="shared" si="14"/>
        <v>0</v>
      </c>
      <c r="AO41" s="990">
        <v>0</v>
      </c>
      <c r="AP41" s="32">
        <f t="shared" si="15"/>
        <v>0</v>
      </c>
      <c r="AQ41" s="990">
        <v>0</v>
      </c>
      <c r="AR41" s="32">
        <f t="shared" si="16"/>
        <v>0</v>
      </c>
      <c r="AS41" s="990">
        <v>7142.8571428571431</v>
      </c>
      <c r="AT41" s="32">
        <f t="shared" si="17"/>
        <v>3.5714285714285712E-2</v>
      </c>
      <c r="AU41" s="990">
        <f t="shared" ca="1" si="26"/>
        <v>2739.5322864898435</v>
      </c>
      <c r="AV41" s="135">
        <f t="shared" ca="1" si="18"/>
        <v>5.5066182509737299E-2</v>
      </c>
      <c r="AW41" s="15"/>
      <c r="AX41" s="836">
        <v>7142.8571428571413</v>
      </c>
      <c r="AY41" s="163">
        <v>7142.8571428571431</v>
      </c>
      <c r="AZ41" s="135">
        <f t="shared" si="27"/>
        <v>3.5714285714285712E-2</v>
      </c>
      <c r="BA41" s="825">
        <f ca="1">HLOOKUP($A41,CF_Table,CF!$AB$69)/2</f>
        <v>-2345.3608717836814</v>
      </c>
      <c r="BB41" s="766">
        <v>2739.5322864898435</v>
      </c>
      <c r="BC41" s="37">
        <f ca="1">IF(BB41&lt;0,BC40,IF(SUM(BB$35:BB41)&gt;$Z$27,$Z$27-SUM(BC$34:BC40),BB41))</f>
        <v>2739.5322864898435</v>
      </c>
      <c r="BD41" s="32">
        <f t="shared" ca="1" si="28"/>
        <v>5.5066182509737299E-2</v>
      </c>
      <c r="BE41" s="21">
        <f t="shared" ca="1" si="29"/>
        <v>3</v>
      </c>
      <c r="BF41" s="435">
        <f t="shared" ca="1" si="30"/>
        <v>5084.8931582735249</v>
      </c>
    </row>
    <row r="42" spans="1:58">
      <c r="A42" s="542">
        <f>A41</f>
        <v>2004</v>
      </c>
      <c r="B42" s="266">
        <f t="shared" si="31"/>
        <v>7</v>
      </c>
      <c r="C42" s="91">
        <f t="shared" ca="1" si="19"/>
        <v>57602.67857142858</v>
      </c>
      <c r="D42" s="59">
        <f t="shared" ca="1" si="32"/>
        <v>2027.6142857142861</v>
      </c>
      <c r="E42" s="59">
        <f t="shared" ca="1" si="8"/>
        <v>2504.4642857142858</v>
      </c>
      <c r="F42" s="61">
        <f t="shared" ca="1" si="33"/>
        <v>55098.214285714297</v>
      </c>
      <c r="G42" s="91">
        <f t="shared" ca="1" si="20"/>
        <v>57602.67857142858</v>
      </c>
      <c r="H42" s="59">
        <f t="shared" ca="1" si="34"/>
        <v>2154.3401785714291</v>
      </c>
      <c r="I42" s="59">
        <f t="shared" ca="1" si="9"/>
        <v>2504.4642857142858</v>
      </c>
      <c r="J42" s="61">
        <f t="shared" ca="1" si="35"/>
        <v>55098.214285714297</v>
      </c>
      <c r="K42" s="91">
        <f t="shared" ca="1" si="21"/>
        <v>20483.145850353791</v>
      </c>
      <c r="L42" s="59">
        <f t="shared" ca="1" si="36"/>
        <v>949.39381016389825</v>
      </c>
      <c r="M42" s="59">
        <f t="shared" ca="1" si="10"/>
        <v>975.61305441695868</v>
      </c>
      <c r="N42" s="61">
        <f t="shared" ca="1" si="37"/>
        <v>19507.532795936833</v>
      </c>
      <c r="O42" s="91">
        <f t="shared" ca="1" si="22"/>
        <v>0</v>
      </c>
      <c r="P42" s="59">
        <f t="shared" ca="1" si="38"/>
        <v>0</v>
      </c>
      <c r="Q42" s="828">
        <f t="shared" ca="1" si="11"/>
        <v>0</v>
      </c>
      <c r="R42" s="61">
        <f t="shared" ca="1" si="39"/>
        <v>0</v>
      </c>
      <c r="S42" s="91">
        <f t="shared" ca="1" si="23"/>
        <v>33583.293710859063</v>
      </c>
      <c r="T42" s="59">
        <f t="shared" ca="1" si="40"/>
        <v>1848.7603187827915</v>
      </c>
      <c r="U42" s="828">
        <f t="shared" ca="1" si="12"/>
        <v>1298.2542825377977</v>
      </c>
      <c r="V42" s="61">
        <f t="shared" ca="1" si="41"/>
        <v>32285.039428321266</v>
      </c>
      <c r="W42" s="91">
        <f t="shared" ca="1" si="24"/>
        <v>43605.61515478717</v>
      </c>
      <c r="X42" s="59">
        <f t="shared" ca="1" si="42"/>
        <v>2834.364985061166</v>
      </c>
      <c r="Y42" s="59">
        <f t="shared" ca="1" si="13"/>
        <v>1478.5062248985128</v>
      </c>
      <c r="Z42" s="59">
        <f t="shared" ca="1" si="43"/>
        <v>42127.108929888658</v>
      </c>
      <c r="AA42" s="826">
        <f ca="1" xml:space="preserve"> SUM(D41:D42,H41:H42,L41:L42,P41:P42, T41:T42)</f>
        <v>14256.726768601686</v>
      </c>
      <c r="AB42" s="61">
        <f ca="1" xml:space="preserve"> SUM(E41:E42,I41:I42,M41:M42,Q41:Q42, U41:U42)</f>
        <v>14522.375240026344</v>
      </c>
      <c r="AC42" s="59">
        <f ca="1">SUM(X41:X42)</f>
        <v>5758.9674392475936</v>
      </c>
      <c r="AD42" s="543">
        <f ca="1">SUM(Y41:Y42)</f>
        <v>2866.7749806717629</v>
      </c>
      <c r="AE42" s="59">
        <f ca="1">SUM(D41:D42,H41:H42)</f>
        <v>8545.7330357142873</v>
      </c>
      <c r="AF42" s="61">
        <f ca="1">SUM(E41:E42,I41:I42)</f>
        <v>10017.857142857143</v>
      </c>
      <c r="AG42" s="91">
        <f ca="1">SUM(T41:T42)</f>
        <v>3768.9895358192889</v>
      </c>
      <c r="AH42" s="543">
        <f ca="1">SUM(U41:U42)</f>
        <v>2596.5085650755955</v>
      </c>
      <c r="AI42" s="1595">
        <f ca="1">(C41+G41+K41+S41+W41)*IF(RAROC!$B$103=1,VLOOKUP('Debt Amort'!A42,RAROC!$A$107:$D$113,2),IF(RAROC!$B$103=2,VLOOKUP('Debt Amort'!A42,RAROC!$A$107:$D$113,3),IF(RAROC!$B$103=3,VLOOKUP('Debt Amort'!A42,RAROC!$A$107:$D$113,4),0)))*((13-MONTH(Startops3))/12)</f>
        <v>0</v>
      </c>
      <c r="AJ42" s="221"/>
      <c r="AK42" s="912">
        <v>0</v>
      </c>
      <c r="AL42" s="1102">
        <f t="shared" si="25"/>
        <v>0</v>
      </c>
      <c r="AM42" s="990">
        <v>0</v>
      </c>
      <c r="AN42" s="32">
        <f t="shared" si="14"/>
        <v>0</v>
      </c>
      <c r="AO42" s="990">
        <v>0</v>
      </c>
      <c r="AP42" s="32">
        <f t="shared" si="15"/>
        <v>0</v>
      </c>
      <c r="AQ42" s="990">
        <v>0</v>
      </c>
      <c r="AR42" s="32">
        <f t="shared" si="16"/>
        <v>0</v>
      </c>
      <c r="AS42" s="990">
        <v>7142.8571428571431</v>
      </c>
      <c r="AT42" s="32">
        <f t="shared" si="17"/>
        <v>3.5714285714285712E-2</v>
      </c>
      <c r="AU42" s="990">
        <f t="shared" ca="1" si="26"/>
        <v>2739.5322864898435</v>
      </c>
      <c r="AV42" s="135">
        <f t="shared" ca="1" si="18"/>
        <v>5.5066182509737299E-2</v>
      </c>
      <c r="AW42" s="15"/>
      <c r="AX42" s="836">
        <v>7142.8571428571413</v>
      </c>
      <c r="AY42" s="163">
        <v>7142.8571428571431</v>
      </c>
      <c r="AZ42" s="135">
        <f t="shared" si="27"/>
        <v>3.5714285714285712E-2</v>
      </c>
      <c r="BA42" s="825">
        <f ca="1">HLOOKUP($A42,CF_Table,CF!$AB$69)/2</f>
        <v>-2345.3608717836814</v>
      </c>
      <c r="BB42" s="766">
        <v>2739.5322864898435</v>
      </c>
      <c r="BC42" s="37">
        <f ca="1">IF(BB42&lt;0,BC41,IF(SUM(BB$35:BB42)&gt;$Z$27,$Z$27-SUM(BC$34:BC41),BB42))</f>
        <v>2739.5322864898435</v>
      </c>
      <c r="BD42" s="32">
        <f t="shared" ca="1" si="28"/>
        <v>5.5066182509737299E-2</v>
      </c>
      <c r="BE42" s="21">
        <f t="shared" ca="1" si="29"/>
        <v>3.5</v>
      </c>
      <c r="BF42" s="435">
        <f t="shared" ca="1" si="30"/>
        <v>5084.8931582735249</v>
      </c>
    </row>
    <row r="43" spans="1:58">
      <c r="A43" s="139">
        <f t="shared" si="44"/>
        <v>2005</v>
      </c>
      <c r="B43" s="92">
        <f t="shared" si="31"/>
        <v>8</v>
      </c>
      <c r="C43" s="90">
        <f t="shared" ca="1" si="19"/>
        <v>55098.214285714297</v>
      </c>
      <c r="D43" s="37">
        <f t="shared" ca="1" si="32"/>
        <v>1939.4571428571435</v>
      </c>
      <c r="E43" s="37">
        <f t="shared" ca="1" si="8"/>
        <v>2504.4642857142858</v>
      </c>
      <c r="F43" s="57">
        <f t="shared" ca="1" si="33"/>
        <v>52593.750000000015</v>
      </c>
      <c r="G43" s="90">
        <f t="shared" ca="1" si="20"/>
        <v>55098.214285714297</v>
      </c>
      <c r="H43" s="37">
        <f t="shared" ca="1" si="34"/>
        <v>2060.6732142857149</v>
      </c>
      <c r="I43" s="37">
        <f t="shared" ca="1" si="9"/>
        <v>2504.4642857142858</v>
      </c>
      <c r="J43" s="57">
        <f t="shared" ca="1" si="35"/>
        <v>52593.750000000015</v>
      </c>
      <c r="K43" s="90">
        <f t="shared" ca="1" si="21"/>
        <v>19507.532795936833</v>
      </c>
      <c r="L43" s="37">
        <f t="shared" ca="1" si="36"/>
        <v>904.17414509167224</v>
      </c>
      <c r="M43" s="37">
        <f t="shared" ca="1" si="10"/>
        <v>1020.8327194891845</v>
      </c>
      <c r="N43" s="57">
        <f t="shared" ca="1" si="37"/>
        <v>18486.700076447647</v>
      </c>
      <c r="O43" s="90">
        <f t="shared" ca="1" si="22"/>
        <v>0</v>
      </c>
      <c r="P43" s="37">
        <f t="shared" ca="1" si="38"/>
        <v>0</v>
      </c>
      <c r="Q43" s="222">
        <f t="shared" ca="1" si="11"/>
        <v>0</v>
      </c>
      <c r="R43" s="57">
        <f t="shared" ca="1" si="39"/>
        <v>0</v>
      </c>
      <c r="S43" s="90">
        <f t="shared" ca="1" si="23"/>
        <v>32285.039428321266</v>
      </c>
      <c r="T43" s="37">
        <f t="shared" ca="1" si="40"/>
        <v>1777.2914205290858</v>
      </c>
      <c r="U43" s="222">
        <f t="shared" ca="1" si="12"/>
        <v>1565.4523239411769</v>
      </c>
      <c r="V43" s="57">
        <f t="shared" ca="1" si="41"/>
        <v>30719.587104380091</v>
      </c>
      <c r="W43" s="90">
        <f t="shared" ca="1" si="24"/>
        <v>42127.108929888658</v>
      </c>
      <c r="X43" s="37">
        <f t="shared" ca="1" si="42"/>
        <v>2738.2620804427629</v>
      </c>
      <c r="Y43" s="37">
        <f t="shared" ca="1" si="13"/>
        <v>1574.6091295169158</v>
      </c>
      <c r="Z43" s="37">
        <f t="shared" ca="1" si="43"/>
        <v>40552.499800371741</v>
      </c>
      <c r="AA43" s="825"/>
      <c r="AB43" s="57"/>
      <c r="AC43" s="37"/>
      <c r="AD43" s="33"/>
      <c r="AE43" s="37"/>
      <c r="AF43" s="57"/>
      <c r="AG43" s="90"/>
      <c r="AH43" s="33"/>
      <c r="AI43" s="1595"/>
      <c r="AJ43" s="221"/>
      <c r="AK43" s="912">
        <v>0</v>
      </c>
      <c r="AL43" s="1102">
        <f t="shared" si="25"/>
        <v>0</v>
      </c>
      <c r="AM43" s="990">
        <v>0</v>
      </c>
      <c r="AN43" s="32">
        <f t="shared" si="14"/>
        <v>0</v>
      </c>
      <c r="AO43" s="990">
        <v>0</v>
      </c>
      <c r="AP43" s="32">
        <f t="shared" si="15"/>
        <v>0</v>
      </c>
      <c r="AQ43" s="990">
        <v>0</v>
      </c>
      <c r="AR43" s="32">
        <f t="shared" si="16"/>
        <v>0</v>
      </c>
      <c r="AS43" s="990">
        <v>8612.9523809523798</v>
      </c>
      <c r="AT43" s="32">
        <f t="shared" si="17"/>
        <v>4.3064761904761897E-2</v>
      </c>
      <c r="AU43" s="990">
        <f t="shared" ca="1" si="26"/>
        <v>2963.7576188016956</v>
      </c>
      <c r="AV43" s="135">
        <f t="shared" ca="1" si="18"/>
        <v>5.9573241299765808E-2</v>
      </c>
      <c r="AW43" s="15"/>
      <c r="AX43" s="836">
        <v>7142.8571428571413</v>
      </c>
      <c r="AY43" s="163">
        <f>8362.95238095238+250</f>
        <v>8612.9523809523798</v>
      </c>
      <c r="AZ43" s="135">
        <f t="shared" si="27"/>
        <v>4.3064761904761897E-2</v>
      </c>
      <c r="BA43" s="825">
        <f ca="1">HLOOKUP($A43,CF_Table,CF!$AB$69)/2</f>
        <v>4804.4226932938618</v>
      </c>
      <c r="BB43" s="766">
        <v>2963.7576188016956</v>
      </c>
      <c r="BC43" s="37">
        <f ca="1">IF(BB43&lt;0,BC42,IF(SUM(BB$35:BB43)&gt;$Z$27,$Z$27-SUM(BC$34:BC42),BB43))</f>
        <v>2963.7576188016956</v>
      </c>
      <c r="BD43" s="32">
        <f t="shared" ca="1" si="28"/>
        <v>5.9573241299765808E-2</v>
      </c>
      <c r="BE43" s="21">
        <f t="shared" ca="1" si="29"/>
        <v>4</v>
      </c>
      <c r="BF43" s="435">
        <f t="shared" ca="1" si="30"/>
        <v>-1840.6650744921662</v>
      </c>
    </row>
    <row r="44" spans="1:58">
      <c r="A44" s="542">
        <f>A43</f>
        <v>2005</v>
      </c>
      <c r="B44" s="266">
        <f t="shared" si="31"/>
        <v>9</v>
      </c>
      <c r="C44" s="91">
        <f t="shared" ca="1" si="19"/>
        <v>52593.750000000015</v>
      </c>
      <c r="D44" s="59">
        <f t="shared" ca="1" si="32"/>
        <v>1851.3000000000006</v>
      </c>
      <c r="E44" s="59">
        <f t="shared" ca="1" si="8"/>
        <v>2504.4642857142858</v>
      </c>
      <c r="F44" s="61">
        <f t="shared" ca="1" si="33"/>
        <v>50089.285714285732</v>
      </c>
      <c r="G44" s="91">
        <f t="shared" ca="1" si="20"/>
        <v>52593.750000000015</v>
      </c>
      <c r="H44" s="59">
        <f t="shared" ca="1" si="34"/>
        <v>1967.0062500000006</v>
      </c>
      <c r="I44" s="59">
        <f t="shared" ca="1" si="9"/>
        <v>2504.4642857142858</v>
      </c>
      <c r="J44" s="61">
        <f t="shared" ca="1" si="35"/>
        <v>50089.285714285732</v>
      </c>
      <c r="K44" s="91">
        <f t="shared" ca="1" si="21"/>
        <v>18486.700076447647</v>
      </c>
      <c r="L44" s="59">
        <f t="shared" ca="1" si="36"/>
        <v>856.85854854334843</v>
      </c>
      <c r="M44" s="59">
        <f t="shared" ca="1" si="10"/>
        <v>1068.148316037508</v>
      </c>
      <c r="N44" s="61">
        <f t="shared" ca="1" si="37"/>
        <v>17418.551760410141</v>
      </c>
      <c r="O44" s="91">
        <f t="shared" ca="1" si="22"/>
        <v>0</v>
      </c>
      <c r="P44" s="59">
        <f t="shared" ca="1" si="38"/>
        <v>0</v>
      </c>
      <c r="Q44" s="828">
        <f t="shared" ca="1" si="11"/>
        <v>0</v>
      </c>
      <c r="R44" s="61">
        <f t="shared" ca="1" si="39"/>
        <v>0</v>
      </c>
      <c r="S44" s="91">
        <f t="shared" ca="1" si="23"/>
        <v>30719.587104380091</v>
      </c>
      <c r="T44" s="59">
        <f t="shared" ca="1" si="40"/>
        <v>1691.1132700961241</v>
      </c>
      <c r="U44" s="828">
        <f t="shared" ca="1" si="12"/>
        <v>1730.8499195364923</v>
      </c>
      <c r="V44" s="61">
        <f t="shared" ca="1" si="41"/>
        <v>28988.737184843598</v>
      </c>
      <c r="W44" s="91">
        <f t="shared" ca="1" si="24"/>
        <v>40552.499800371741</v>
      </c>
      <c r="X44" s="59">
        <f t="shared" ca="1" si="42"/>
        <v>2635.9124870241631</v>
      </c>
      <c r="Y44" s="59">
        <f t="shared" ca="1" si="13"/>
        <v>1676.9587229355157</v>
      </c>
      <c r="Z44" s="59">
        <f t="shared" ca="1" si="43"/>
        <v>38875.541077436224</v>
      </c>
      <c r="AA44" s="826">
        <f ca="1" xml:space="preserve"> SUM(D43:D44,H43:H44,L43:L44,P43:P44, T43:T44)</f>
        <v>13047.87399140309</v>
      </c>
      <c r="AB44" s="61">
        <f ca="1" xml:space="preserve"> SUM(E43:E44,I43:I44,M43:M44,Q43:Q44, U43:U44)</f>
        <v>15403.140421861506</v>
      </c>
      <c r="AC44" s="59">
        <f ca="1">SUM(X43:X44)</f>
        <v>5374.1745674669255</v>
      </c>
      <c r="AD44" s="543">
        <f ca="1">SUM(Y43:Y44)</f>
        <v>3251.5678524524315</v>
      </c>
      <c r="AE44" s="59">
        <f ca="1">SUM(D43:D44,H43:H44)</f>
        <v>7818.4366071428594</v>
      </c>
      <c r="AF44" s="61">
        <f ca="1">SUM(E43:E44,I43:I44)</f>
        <v>10017.857142857143</v>
      </c>
      <c r="AG44" s="91">
        <f ca="1">SUM(T43:T44)</f>
        <v>3468.4046906252097</v>
      </c>
      <c r="AH44" s="543">
        <f ca="1">SUM(U43:U44)</f>
        <v>3296.3022434776694</v>
      </c>
      <c r="AI44" s="1595">
        <f ca="1">(C43+G43+K43+S43+W43)*IF(RAROC!$B$103=1,VLOOKUP('Debt Amort'!A44,RAROC!$A$107:$D$113,2),IF(RAROC!$B$103=2,VLOOKUP('Debt Amort'!A44,RAROC!$A$107:$D$113,3),IF(RAROC!$B$103=3,VLOOKUP('Debt Amort'!A44,RAROC!$A$107:$D$113,4),0)))*((13-MONTH(Startops3))/12)</f>
        <v>0</v>
      </c>
      <c r="AJ44" s="221"/>
      <c r="AK44" s="912">
        <v>0</v>
      </c>
      <c r="AL44" s="1102">
        <f t="shared" si="25"/>
        <v>0</v>
      </c>
      <c r="AM44" s="990">
        <v>0</v>
      </c>
      <c r="AN44" s="32">
        <f t="shared" si="14"/>
        <v>0</v>
      </c>
      <c r="AO44" s="990">
        <v>0</v>
      </c>
      <c r="AP44" s="32">
        <f t="shared" si="15"/>
        <v>0</v>
      </c>
      <c r="AQ44" s="990">
        <v>0</v>
      </c>
      <c r="AR44" s="32">
        <f t="shared" si="16"/>
        <v>0</v>
      </c>
      <c r="AS44" s="990">
        <v>9522.9523809523798</v>
      </c>
      <c r="AT44" s="32">
        <f t="shared" si="17"/>
        <v>4.7614761904761896E-2</v>
      </c>
      <c r="AU44" s="990">
        <f t="shared" ca="1" si="26"/>
        <v>2963.7576188016956</v>
      </c>
      <c r="AV44" s="135">
        <f t="shared" ca="1" si="18"/>
        <v>5.9573241299765808E-2</v>
      </c>
      <c r="AW44" s="15"/>
      <c r="AX44" s="836">
        <v>7142.8571428571413</v>
      </c>
      <c r="AY44" s="163">
        <f>8362.95238095238+2660-1500</f>
        <v>9522.9523809523798</v>
      </c>
      <c r="AZ44" s="135">
        <f t="shared" si="27"/>
        <v>4.7614761904761896E-2</v>
      </c>
      <c r="BA44" s="825">
        <f ca="1">HLOOKUP($A44,CF_Table,CF!$AB$69)/2</f>
        <v>4804.4226932938618</v>
      </c>
      <c r="BB44" s="766">
        <v>2963.7576188016956</v>
      </c>
      <c r="BC44" s="37">
        <f ca="1">IF(BB44&lt;0,BC43,IF(SUM(BB$35:BB44)&gt;$Z$27,$Z$27-SUM(BC$34:BC43),BB44))</f>
        <v>2963.7576188016956</v>
      </c>
      <c r="BD44" s="32">
        <f t="shared" ca="1" si="28"/>
        <v>5.9573241299765808E-2</v>
      </c>
      <c r="BE44" s="21">
        <f t="shared" ca="1" si="29"/>
        <v>4.5</v>
      </c>
      <c r="BF44" s="435">
        <f t="shared" ca="1" si="30"/>
        <v>-1840.6650744921662</v>
      </c>
    </row>
    <row r="45" spans="1:58">
      <c r="A45" s="139">
        <f t="shared" si="44"/>
        <v>2006</v>
      </c>
      <c r="B45" s="92">
        <f t="shared" si="31"/>
        <v>10</v>
      </c>
      <c r="C45" s="90">
        <f t="shared" ca="1" si="19"/>
        <v>50089.285714285732</v>
      </c>
      <c r="D45" s="37">
        <f t="shared" ca="1" si="32"/>
        <v>1763.1428571428578</v>
      </c>
      <c r="E45" s="37">
        <f t="shared" ca="1" si="8"/>
        <v>2504.4642857142858</v>
      </c>
      <c r="F45" s="57">
        <f t="shared" ca="1" si="33"/>
        <v>47584.821428571449</v>
      </c>
      <c r="G45" s="90">
        <f t="shared" ca="1" si="20"/>
        <v>50089.285714285732</v>
      </c>
      <c r="H45" s="37">
        <f t="shared" ca="1" si="34"/>
        <v>1873.3392857142865</v>
      </c>
      <c r="I45" s="37">
        <f t="shared" ca="1" si="9"/>
        <v>2504.4642857142858</v>
      </c>
      <c r="J45" s="57">
        <f t="shared" ca="1" si="35"/>
        <v>47584.821428571449</v>
      </c>
      <c r="K45" s="90">
        <f t="shared" ca="1" si="21"/>
        <v>17418.551760410141</v>
      </c>
      <c r="L45" s="37">
        <f t="shared" ca="1" si="36"/>
        <v>807.34987409501002</v>
      </c>
      <c r="M45" s="37">
        <f t="shared" ca="1" si="10"/>
        <v>1117.656990485847</v>
      </c>
      <c r="N45" s="57">
        <f t="shared" ca="1" si="37"/>
        <v>16300.894769924293</v>
      </c>
      <c r="O45" s="90">
        <f t="shared" ca="1" si="22"/>
        <v>0</v>
      </c>
      <c r="P45" s="37">
        <f t="shared" ca="1" si="38"/>
        <v>0</v>
      </c>
      <c r="Q45" s="222">
        <f t="shared" ca="1" si="11"/>
        <v>0</v>
      </c>
      <c r="R45" s="57">
        <f t="shared" ca="1" si="39"/>
        <v>0</v>
      </c>
      <c r="S45" s="90">
        <f t="shared" ca="1" si="23"/>
        <v>28988.737184843598</v>
      </c>
      <c r="T45" s="37">
        <f t="shared" ca="1" si="40"/>
        <v>1595.8299820256402</v>
      </c>
      <c r="U45" s="222">
        <f t="shared" ca="1" si="12"/>
        <v>1730.8499195364923</v>
      </c>
      <c r="V45" s="57">
        <f t="shared" ca="1" si="41"/>
        <v>27257.887265307105</v>
      </c>
      <c r="W45" s="90">
        <f t="shared" ca="1" si="24"/>
        <v>38875.541077436224</v>
      </c>
      <c r="X45" s="37">
        <f t="shared" ca="1" si="42"/>
        <v>2526.9101700333545</v>
      </c>
      <c r="Y45" s="37">
        <f t="shared" ca="1" si="13"/>
        <v>1785.9610399263233</v>
      </c>
      <c r="Z45" s="37">
        <f t="shared" ca="1" si="43"/>
        <v>37089.580037509899</v>
      </c>
      <c r="AA45" s="825"/>
      <c r="AB45" s="57"/>
      <c r="AC45" s="37"/>
      <c r="AD45" s="33"/>
      <c r="AE45" s="37"/>
      <c r="AF45" s="57"/>
      <c r="AG45" s="90"/>
      <c r="AH45" s="33"/>
      <c r="AI45" s="1595"/>
      <c r="AJ45" s="221"/>
      <c r="AK45" s="912">
        <v>0</v>
      </c>
      <c r="AL45" s="1102">
        <f t="shared" si="25"/>
        <v>0</v>
      </c>
      <c r="AM45" s="990">
        <v>0</v>
      </c>
      <c r="AN45" s="32">
        <f t="shared" si="14"/>
        <v>0</v>
      </c>
      <c r="AO45" s="990">
        <v>0</v>
      </c>
      <c r="AP45" s="32">
        <f t="shared" si="15"/>
        <v>0</v>
      </c>
      <c r="AQ45" s="990">
        <v>0</v>
      </c>
      <c r="AR45" s="32">
        <f t="shared" si="16"/>
        <v>0</v>
      </c>
      <c r="AS45" s="990">
        <v>9522.9523809523798</v>
      </c>
      <c r="AT45" s="32">
        <f t="shared" si="17"/>
        <v>4.7614761904761896E-2</v>
      </c>
      <c r="AU45" s="990">
        <f t="shared" ca="1" si="26"/>
        <v>5335.8689001641105</v>
      </c>
      <c r="AV45" s="135">
        <f t="shared" ca="1" si="18"/>
        <v>0.10725404922347043</v>
      </c>
      <c r="AW45" s="15"/>
      <c r="AX45" s="836">
        <v>7142.8571428571413</v>
      </c>
      <c r="AY45" s="163">
        <f>8362.95238095238+2660-1500</f>
        <v>9522.9523809523798</v>
      </c>
      <c r="AZ45" s="135">
        <f t="shared" si="27"/>
        <v>4.7614761904761896E-2</v>
      </c>
      <c r="BA45" s="825">
        <f ca="1">HLOOKUP($A45,CF_Table,CF!$AB$69)/2</f>
        <v>5065.6819166519763</v>
      </c>
      <c r="BB45" s="766">
        <v>5335.8689001641105</v>
      </c>
      <c r="BC45" s="37">
        <f ca="1">IF(BB45&lt;0,BC44,IF(SUM(BB$35:BB45)&gt;$Z$27,$Z$27-SUM(BC$34:BC44),BB45))</f>
        <v>5335.8689001641105</v>
      </c>
      <c r="BD45" s="32">
        <f t="shared" ca="1" si="28"/>
        <v>0.10725404922347043</v>
      </c>
      <c r="BE45" s="21">
        <f t="shared" ca="1" si="29"/>
        <v>5</v>
      </c>
      <c r="BF45" s="435">
        <f t="shared" ca="1" si="30"/>
        <v>270.18698351213425</v>
      </c>
    </row>
    <row r="46" spans="1:58">
      <c r="A46" s="542">
        <f>A45</f>
        <v>2006</v>
      </c>
      <c r="B46" s="266">
        <f t="shared" si="31"/>
        <v>11</v>
      </c>
      <c r="C46" s="91">
        <f t="shared" ca="1" si="19"/>
        <v>47584.821428571449</v>
      </c>
      <c r="D46" s="59">
        <f t="shared" ca="1" si="32"/>
        <v>1674.9857142857152</v>
      </c>
      <c r="E46" s="59">
        <f t="shared" ca="1" si="8"/>
        <v>2504.4642857142858</v>
      </c>
      <c r="F46" s="61">
        <f t="shared" ca="1" si="33"/>
        <v>45080.357142857167</v>
      </c>
      <c r="G46" s="91">
        <f t="shared" ca="1" si="20"/>
        <v>47584.821428571449</v>
      </c>
      <c r="H46" s="59">
        <f t="shared" ca="1" si="34"/>
        <v>1779.6723214285723</v>
      </c>
      <c r="I46" s="59">
        <f t="shared" ca="1" si="9"/>
        <v>2504.4642857142858</v>
      </c>
      <c r="J46" s="61">
        <f t="shared" ca="1" si="35"/>
        <v>45080.357142857167</v>
      </c>
      <c r="K46" s="91">
        <f t="shared" ca="1" si="21"/>
        <v>16300.894769924293</v>
      </c>
      <c r="L46" s="59">
        <f t="shared" ca="1" si="36"/>
        <v>755.54647258599095</v>
      </c>
      <c r="M46" s="59">
        <f t="shared" ca="1" si="10"/>
        <v>1169.4603919948654</v>
      </c>
      <c r="N46" s="61">
        <f t="shared" ca="1" si="37"/>
        <v>15131.434377929427</v>
      </c>
      <c r="O46" s="91">
        <f t="shared" ca="1" si="22"/>
        <v>0</v>
      </c>
      <c r="P46" s="59">
        <f t="shared" ca="1" si="38"/>
        <v>0</v>
      </c>
      <c r="Q46" s="828">
        <f t="shared" ca="1" si="11"/>
        <v>0</v>
      </c>
      <c r="R46" s="61">
        <f t="shared" ca="1" si="39"/>
        <v>0</v>
      </c>
      <c r="S46" s="91">
        <f t="shared" ca="1" si="23"/>
        <v>27257.887265307105</v>
      </c>
      <c r="T46" s="59">
        <f t="shared" ca="1" si="40"/>
        <v>1500.5466939551561</v>
      </c>
      <c r="U46" s="828">
        <f t="shared" ca="1" si="12"/>
        <v>2003.4833188694301</v>
      </c>
      <c r="V46" s="61">
        <f t="shared" ca="1" si="41"/>
        <v>25254.403946437676</v>
      </c>
      <c r="W46" s="91">
        <f t="shared" ca="1" si="24"/>
        <v>37089.580037509899</v>
      </c>
      <c r="X46" s="59">
        <f t="shared" ca="1" si="42"/>
        <v>2410.8227024381436</v>
      </c>
      <c r="Y46" s="59">
        <f t="shared" ca="1" si="13"/>
        <v>1902.0485075215333</v>
      </c>
      <c r="Z46" s="59">
        <f t="shared" ca="1" si="43"/>
        <v>35187.531529988366</v>
      </c>
      <c r="AA46" s="826">
        <f ca="1" xml:space="preserve"> SUM(D45:D46,H45:H46,L45:L46,P45:P46, T45:T46)</f>
        <v>11750.413201233227</v>
      </c>
      <c r="AB46" s="61">
        <f ca="1" xml:space="preserve"> SUM(E45:E46,I45:I46,M45:M46,Q45:Q46, U45:U46)</f>
        <v>16039.307763743778</v>
      </c>
      <c r="AC46" s="59">
        <f ca="1">SUM(X45:X46)</f>
        <v>4937.732872471498</v>
      </c>
      <c r="AD46" s="543">
        <f ca="1">SUM(Y45:Y46)</f>
        <v>3688.0095474478567</v>
      </c>
      <c r="AE46" s="59">
        <f ca="1">SUM(D45:D46,H45:H46)</f>
        <v>7091.1401785714315</v>
      </c>
      <c r="AF46" s="61">
        <f ca="1">SUM(E45:E46,I45:I46)</f>
        <v>10017.857142857143</v>
      </c>
      <c r="AG46" s="91">
        <f ca="1">SUM(T45:T46)</f>
        <v>3096.3766759807963</v>
      </c>
      <c r="AH46" s="543">
        <f ca="1">SUM(U45:U46)</f>
        <v>3734.3332384059222</v>
      </c>
      <c r="AI46" s="1595">
        <f ca="1">(C45+G45+K45+S45+W45)*IF(RAROC!$B$103=1,VLOOKUP('Debt Amort'!A46,RAROC!$A$107:$D$113,2),IF(RAROC!$B$103=2,VLOOKUP('Debt Amort'!A46,RAROC!$A$107:$D$113,3),IF(RAROC!$B$103=3,VLOOKUP('Debt Amort'!A46,RAROC!$A$107:$D$113,4),0)))*((13-MONTH(Startops3))/12)</f>
        <v>0</v>
      </c>
      <c r="AJ46" s="221"/>
      <c r="AK46" s="912">
        <v>0</v>
      </c>
      <c r="AL46" s="1102">
        <f t="shared" si="25"/>
        <v>0</v>
      </c>
      <c r="AM46" s="990">
        <v>0</v>
      </c>
      <c r="AN46" s="32">
        <f t="shared" si="14"/>
        <v>0</v>
      </c>
      <c r="AO46" s="990">
        <v>0</v>
      </c>
      <c r="AP46" s="32">
        <f t="shared" si="15"/>
        <v>0</v>
      </c>
      <c r="AQ46" s="990">
        <v>0</v>
      </c>
      <c r="AR46" s="32">
        <f t="shared" si="16"/>
        <v>0</v>
      </c>
      <c r="AS46" s="990">
        <v>11022.95238095238</v>
      </c>
      <c r="AT46" s="32">
        <f t="shared" si="17"/>
        <v>5.5114761904761903E-2</v>
      </c>
      <c r="AU46" s="990">
        <f t="shared" ca="1" si="26"/>
        <v>5335.8689001641105</v>
      </c>
      <c r="AV46" s="135">
        <f t="shared" ca="1" si="18"/>
        <v>0.10725404922347043</v>
      </c>
      <c r="AW46" s="15"/>
      <c r="AX46" s="836">
        <v>7142.8571428571413</v>
      </c>
      <c r="AY46" s="163">
        <f>8362.95238095238+2660</f>
        <v>11022.95238095238</v>
      </c>
      <c r="AZ46" s="135">
        <f t="shared" si="27"/>
        <v>5.5114761904761903E-2</v>
      </c>
      <c r="BA46" s="825">
        <f ca="1">HLOOKUP($A46,CF_Table,CF!$AB$69)/2</f>
        <v>5065.6819166519763</v>
      </c>
      <c r="BB46" s="766">
        <v>5335.8689001641105</v>
      </c>
      <c r="BC46" s="37">
        <f ca="1">IF(BB46&lt;0,BC45,IF(SUM(BB$35:BB46)&gt;$Z$27,$Z$27-SUM(BC$34:BC45),BB46))</f>
        <v>5335.8689001641105</v>
      </c>
      <c r="BD46" s="32">
        <f t="shared" ca="1" si="28"/>
        <v>0.10725404922347043</v>
      </c>
      <c r="BE46" s="21">
        <f t="shared" ca="1" si="29"/>
        <v>5.5</v>
      </c>
      <c r="BF46" s="435">
        <f t="shared" ca="1" si="30"/>
        <v>270.18698351213425</v>
      </c>
    </row>
    <row r="47" spans="1:58">
      <c r="A47" s="139">
        <f t="shared" si="44"/>
        <v>2007</v>
      </c>
      <c r="B47" s="92">
        <f t="shared" si="31"/>
        <v>12</v>
      </c>
      <c r="C47" s="90">
        <f t="shared" ca="1" si="19"/>
        <v>45080.357142857167</v>
      </c>
      <c r="D47" s="37">
        <f t="shared" ca="1" si="32"/>
        <v>1586.8285714285723</v>
      </c>
      <c r="E47" s="37">
        <f t="shared" ca="1" si="8"/>
        <v>2504.4642857142858</v>
      </c>
      <c r="F47" s="57">
        <f t="shared" ca="1" si="33"/>
        <v>42575.892857142884</v>
      </c>
      <c r="G47" s="90">
        <f t="shared" ca="1" si="20"/>
        <v>45080.357142857167</v>
      </c>
      <c r="H47" s="37">
        <f t="shared" ca="1" si="34"/>
        <v>1686.0053571428582</v>
      </c>
      <c r="I47" s="37">
        <f t="shared" ca="1" si="9"/>
        <v>2504.4642857142858</v>
      </c>
      <c r="J47" s="57">
        <f t="shared" ca="1" si="35"/>
        <v>42575.892857142884</v>
      </c>
      <c r="K47" s="90">
        <f t="shared" ca="1" si="21"/>
        <v>15131.434377929427</v>
      </c>
      <c r="L47" s="37">
        <f t="shared" ca="1" si="36"/>
        <v>701.34198341702893</v>
      </c>
      <c r="M47" s="37">
        <f t="shared" ca="1" si="10"/>
        <v>1223.6648811638274</v>
      </c>
      <c r="N47" s="57">
        <f t="shared" ca="1" si="37"/>
        <v>13907.769496765599</v>
      </c>
      <c r="O47" s="90">
        <f t="shared" ca="1" si="22"/>
        <v>0</v>
      </c>
      <c r="P47" s="37">
        <f t="shared" ca="1" si="38"/>
        <v>0</v>
      </c>
      <c r="Q47" s="222">
        <f t="shared" ca="1" si="11"/>
        <v>0</v>
      </c>
      <c r="R47" s="57">
        <f t="shared" ca="1" si="39"/>
        <v>0</v>
      </c>
      <c r="S47" s="90">
        <f t="shared" ca="1" si="23"/>
        <v>25254.403946437676</v>
      </c>
      <c r="T47" s="37">
        <f t="shared" ca="1" si="40"/>
        <v>1390.254937251394</v>
      </c>
      <c r="U47" s="222">
        <f t="shared" ca="1" si="12"/>
        <v>2003.4833188694301</v>
      </c>
      <c r="V47" s="57">
        <f t="shared" ca="1" si="41"/>
        <v>23250.920627568245</v>
      </c>
      <c r="W47" s="90">
        <f t="shared" ca="1" si="24"/>
        <v>35187.531529988366</v>
      </c>
      <c r="X47" s="37">
        <f t="shared" ca="1" si="42"/>
        <v>2287.1895494492437</v>
      </c>
      <c r="Y47" s="37">
        <f t="shared" ca="1" si="13"/>
        <v>2025.6816605104332</v>
      </c>
      <c r="Z47" s="37">
        <f t="shared" ca="1" si="43"/>
        <v>33161.849869477934</v>
      </c>
      <c r="AA47" s="825"/>
      <c r="AB47" s="57"/>
      <c r="AC47" s="37"/>
      <c r="AD47" s="33"/>
      <c r="AE47" s="37"/>
      <c r="AF47" s="57"/>
      <c r="AG47" s="90"/>
      <c r="AH47" s="33"/>
      <c r="AI47" s="1595"/>
      <c r="AJ47" s="221"/>
      <c r="AK47" s="912">
        <v>0</v>
      </c>
      <c r="AL47" s="1102">
        <f t="shared" si="25"/>
        <v>0</v>
      </c>
      <c r="AM47" s="990">
        <v>0</v>
      </c>
      <c r="AN47" s="32">
        <f t="shared" si="14"/>
        <v>0</v>
      </c>
      <c r="AO47" s="990">
        <v>0</v>
      </c>
      <c r="AP47" s="32">
        <f t="shared" si="15"/>
        <v>0</v>
      </c>
      <c r="AQ47" s="990">
        <v>0</v>
      </c>
      <c r="AR47" s="32">
        <f t="shared" si="16"/>
        <v>0</v>
      </c>
      <c r="AS47" s="990">
        <v>11022.95238095238</v>
      </c>
      <c r="AT47" s="32">
        <f t="shared" si="17"/>
        <v>5.5114761904761903E-2</v>
      </c>
      <c r="AU47" s="990">
        <f t="shared" ca="1" si="26"/>
        <v>7384.2158626253149</v>
      </c>
      <c r="AV47" s="135">
        <f t="shared" ca="1" si="18"/>
        <v>0.14842700718947352</v>
      </c>
      <c r="AW47" s="15"/>
      <c r="AX47" s="836">
        <v>7142.8571428571413</v>
      </c>
      <c r="AY47" s="163">
        <f>8362.95238095238+2660</f>
        <v>11022.95238095238</v>
      </c>
      <c r="AZ47" s="135">
        <f t="shared" si="27"/>
        <v>5.5114761904761903E-2</v>
      </c>
      <c r="BA47" s="825">
        <f ca="1">HLOOKUP($A47,CF_Table,CF!$AB$69)/2</f>
        <v>4139.500148491632</v>
      </c>
      <c r="BB47" s="766">
        <v>7384.2158626253149</v>
      </c>
      <c r="BC47" s="37">
        <f ca="1">IF(BB47&lt;0,BC46,IF(SUM(BB$35:BB47)&gt;$Z$27,$Z$27-SUM(BC$34:BC46),BB47))</f>
        <v>7384.2158626253149</v>
      </c>
      <c r="BD47" s="32">
        <f t="shared" ca="1" si="28"/>
        <v>0.14842700718947352</v>
      </c>
      <c r="BE47" s="21">
        <f t="shared" ca="1" si="29"/>
        <v>6</v>
      </c>
      <c r="BF47" s="435">
        <f t="shared" ca="1" si="30"/>
        <v>3244.7157141336829</v>
      </c>
    </row>
    <row r="48" spans="1:58">
      <c r="A48" s="542">
        <f>A47</f>
        <v>2007</v>
      </c>
      <c r="B48" s="266">
        <f t="shared" si="31"/>
        <v>13</v>
      </c>
      <c r="C48" s="91">
        <f t="shared" ca="1" si="19"/>
        <v>42575.892857142884</v>
      </c>
      <c r="D48" s="59">
        <f t="shared" ca="1" si="32"/>
        <v>1498.6714285714297</v>
      </c>
      <c r="E48" s="59">
        <f t="shared" ca="1" si="8"/>
        <v>2504.4642857142858</v>
      </c>
      <c r="F48" s="61">
        <f t="shared" ca="1" si="33"/>
        <v>40071.428571428602</v>
      </c>
      <c r="G48" s="91">
        <f t="shared" ca="1" si="20"/>
        <v>42575.892857142884</v>
      </c>
      <c r="H48" s="59">
        <f t="shared" ca="1" si="34"/>
        <v>1592.3383928571441</v>
      </c>
      <c r="I48" s="59">
        <f t="shared" ca="1" si="9"/>
        <v>2504.4642857142858</v>
      </c>
      <c r="J48" s="61">
        <f t="shared" ca="1" si="35"/>
        <v>40071.428571428602</v>
      </c>
      <c r="K48" s="91">
        <f t="shared" ca="1" si="21"/>
        <v>13907.769496765599</v>
      </c>
      <c r="L48" s="59">
        <f t="shared" ca="1" si="36"/>
        <v>644.62511617508551</v>
      </c>
      <c r="M48" s="59">
        <f t="shared" ca="1" si="10"/>
        <v>1280.3817484057708</v>
      </c>
      <c r="N48" s="61">
        <f t="shared" ca="1" si="37"/>
        <v>12627.387748359828</v>
      </c>
      <c r="O48" s="91">
        <f t="shared" ca="1" si="22"/>
        <v>0</v>
      </c>
      <c r="P48" s="59">
        <f t="shared" ca="1" si="38"/>
        <v>0</v>
      </c>
      <c r="Q48" s="828">
        <f t="shared" ca="1" si="11"/>
        <v>0</v>
      </c>
      <c r="R48" s="61">
        <f t="shared" ca="1" si="39"/>
        <v>0</v>
      </c>
      <c r="S48" s="91">
        <f t="shared" ca="1" si="23"/>
        <v>23250.920627568245</v>
      </c>
      <c r="T48" s="59">
        <f t="shared" ca="1" si="40"/>
        <v>1279.963180547632</v>
      </c>
      <c r="U48" s="828">
        <f t="shared" ca="1" si="12"/>
        <v>2003.4833188694301</v>
      </c>
      <c r="V48" s="61">
        <f t="shared" ca="1" si="41"/>
        <v>21247.437308698813</v>
      </c>
      <c r="W48" s="91">
        <f t="shared" ca="1" si="24"/>
        <v>33161.849869477934</v>
      </c>
      <c r="X48" s="59">
        <f t="shared" ca="1" si="42"/>
        <v>2155.5202415160657</v>
      </c>
      <c r="Y48" s="59">
        <f t="shared" ca="1" si="13"/>
        <v>2157.3509684436112</v>
      </c>
      <c r="Z48" s="59">
        <f t="shared" ca="1" si="43"/>
        <v>31004.498901034323</v>
      </c>
      <c r="AA48" s="826">
        <f ca="1" xml:space="preserve"> SUM(D47:D48,H47:H48,L47:L48,P47:P48, T47:T48)</f>
        <v>10380.028967391143</v>
      </c>
      <c r="AB48" s="61">
        <f ca="1" xml:space="preserve"> SUM(E47:E48,I47:I48,M47:M48,Q47:Q48, U47:U48)</f>
        <v>16528.870410165604</v>
      </c>
      <c r="AC48" s="59">
        <f ca="1">SUM(X47:X48)</f>
        <v>4442.7097909653094</v>
      </c>
      <c r="AD48" s="543">
        <f ca="1">SUM(Y47:Y48)</f>
        <v>4183.0326289540444</v>
      </c>
      <c r="AE48" s="59">
        <f ca="1">SUM(D47:D48,H47:H48)</f>
        <v>6363.8437500000036</v>
      </c>
      <c r="AF48" s="61">
        <f ca="1">SUM(E47:E48,I47:I48)</f>
        <v>10017.857142857143</v>
      </c>
      <c r="AG48" s="91">
        <f ca="1">SUM(T47:T48)</f>
        <v>2670.218117799026</v>
      </c>
      <c r="AH48" s="543">
        <f ca="1">SUM(U47:U48)</f>
        <v>4006.9666377388603</v>
      </c>
      <c r="AI48" s="1595">
        <f ca="1">(C47+G47+K47+S47+W47)*IF(RAROC!$B$103=1,VLOOKUP('Debt Amort'!A48,RAROC!$A$107:$D$113,2),IF(RAROC!$B$103=2,VLOOKUP('Debt Amort'!A48,RAROC!$A$107:$D$113,3),IF(RAROC!$B$103=3,VLOOKUP('Debt Amort'!A48,RAROC!$A$107:$D$113,4),0)))*((13-MONTH(Startops3))/12)</f>
        <v>0</v>
      </c>
      <c r="AJ48" s="221"/>
      <c r="AK48" s="912">
        <v>0</v>
      </c>
      <c r="AL48" s="1102">
        <f t="shared" si="25"/>
        <v>0</v>
      </c>
      <c r="AM48" s="990">
        <v>0</v>
      </c>
      <c r="AN48" s="32">
        <f t="shared" si="14"/>
        <v>0</v>
      </c>
      <c r="AO48" s="990">
        <v>0</v>
      </c>
      <c r="AP48" s="32">
        <f t="shared" si="15"/>
        <v>0</v>
      </c>
      <c r="AQ48" s="990">
        <v>0</v>
      </c>
      <c r="AR48" s="32">
        <f t="shared" si="16"/>
        <v>0</v>
      </c>
      <c r="AS48" s="990">
        <v>11022.95238095238</v>
      </c>
      <c r="AT48" s="32">
        <f t="shared" si="17"/>
        <v>5.5114761904761903E-2</v>
      </c>
      <c r="AU48" s="990">
        <f t="shared" ca="1" si="26"/>
        <v>7384.2158626253149</v>
      </c>
      <c r="AV48" s="135">
        <f t="shared" ca="1" si="18"/>
        <v>0.14842700718947352</v>
      </c>
      <c r="AW48" s="15"/>
      <c r="AX48" s="836">
        <v>7142.8571428571413</v>
      </c>
      <c r="AY48" s="163">
        <f>8362.95238095238+2660</f>
        <v>11022.95238095238</v>
      </c>
      <c r="AZ48" s="135">
        <f t="shared" si="27"/>
        <v>5.5114761904761903E-2</v>
      </c>
      <c r="BA48" s="825">
        <f ca="1">HLOOKUP($A48,CF_Table,CF!$AB$69)/2</f>
        <v>4139.500148491632</v>
      </c>
      <c r="BB48" s="766">
        <v>7384.2158626253149</v>
      </c>
      <c r="BC48" s="37">
        <f ca="1">IF(BB48&lt;0,BC47,IF(SUM(BB$35:BB48)&gt;$Z$27,$Z$27-SUM(BC$34:BC47),BB48))</f>
        <v>7384.2158626253149</v>
      </c>
      <c r="BD48" s="32">
        <f t="shared" ca="1" si="28"/>
        <v>0.14842700718947352</v>
      </c>
      <c r="BE48" s="21">
        <f t="shared" ca="1" si="29"/>
        <v>6.5</v>
      </c>
      <c r="BF48" s="435">
        <f t="shared" ca="1" si="30"/>
        <v>3244.7157141336829</v>
      </c>
    </row>
    <row r="49" spans="1:58">
      <c r="A49" s="139">
        <f t="shared" si="44"/>
        <v>2008</v>
      </c>
      <c r="B49" s="92">
        <f t="shared" si="31"/>
        <v>14</v>
      </c>
      <c r="C49" s="90">
        <f t="shared" ca="1" si="19"/>
        <v>40071.428571428602</v>
      </c>
      <c r="D49" s="37">
        <f t="shared" ca="1" si="32"/>
        <v>1410.5142857142869</v>
      </c>
      <c r="E49" s="37">
        <f t="shared" ca="1" si="8"/>
        <v>2504.4642857142858</v>
      </c>
      <c r="F49" s="57">
        <f t="shared" ca="1" si="33"/>
        <v>37566.964285714319</v>
      </c>
      <c r="G49" s="90">
        <f t="shared" ca="1" si="20"/>
        <v>40071.428571428602</v>
      </c>
      <c r="H49" s="37">
        <f t="shared" ca="1" si="34"/>
        <v>1498.6714285714297</v>
      </c>
      <c r="I49" s="37">
        <f t="shared" ca="1" si="9"/>
        <v>2504.4642857142858</v>
      </c>
      <c r="J49" s="57">
        <f t="shared" ca="1" si="35"/>
        <v>37566.964285714319</v>
      </c>
      <c r="K49" s="90">
        <f t="shared" ca="1" si="21"/>
        <v>12627.387748359828</v>
      </c>
      <c r="L49" s="37">
        <f t="shared" ca="1" si="36"/>
        <v>585.27942213647805</v>
      </c>
      <c r="M49" s="37">
        <f t="shared" ca="1" si="10"/>
        <v>1339.7274424443781</v>
      </c>
      <c r="N49" s="57">
        <f t="shared" ca="1" si="37"/>
        <v>11287.660305915449</v>
      </c>
      <c r="O49" s="90">
        <f t="shared" ca="1" si="22"/>
        <v>0</v>
      </c>
      <c r="P49" s="37">
        <f t="shared" ca="1" si="38"/>
        <v>0</v>
      </c>
      <c r="Q49" s="222">
        <f t="shared" ca="1" si="11"/>
        <v>0</v>
      </c>
      <c r="R49" s="57">
        <f t="shared" ca="1" si="39"/>
        <v>0</v>
      </c>
      <c r="S49" s="90">
        <f t="shared" ca="1" si="23"/>
        <v>21247.437308698813</v>
      </c>
      <c r="T49" s="37">
        <f t="shared" ca="1" si="40"/>
        <v>1169.6714238438697</v>
      </c>
      <c r="U49" s="222">
        <f t="shared" ca="1" si="12"/>
        <v>2003.4833188694301</v>
      </c>
      <c r="V49" s="57">
        <f t="shared" ca="1" si="41"/>
        <v>19243.953989829381</v>
      </c>
      <c r="W49" s="90">
        <f t="shared" ca="1" si="24"/>
        <v>31004.498901034323</v>
      </c>
      <c r="X49" s="37">
        <f t="shared" ca="1" si="42"/>
        <v>2015.2924285672311</v>
      </c>
      <c r="Y49" s="37">
        <f t="shared" ca="1" si="13"/>
        <v>2297.5787813924449</v>
      </c>
      <c r="Z49" s="37">
        <f t="shared" ca="1" si="43"/>
        <v>28706.92011964188</v>
      </c>
      <c r="AA49" s="825"/>
      <c r="AB49" s="57"/>
      <c r="AC49" s="37"/>
      <c r="AD49" s="33"/>
      <c r="AE49" s="37"/>
      <c r="AF49" s="57"/>
      <c r="AG49" s="90"/>
      <c r="AH49" s="33"/>
      <c r="AI49" s="1595"/>
      <c r="AJ49" s="221"/>
      <c r="AK49" s="912">
        <v>0</v>
      </c>
      <c r="AL49" s="1102">
        <f t="shared" si="25"/>
        <v>0</v>
      </c>
      <c r="AM49" s="990">
        <v>0</v>
      </c>
      <c r="AN49" s="32">
        <f t="shared" si="14"/>
        <v>0</v>
      </c>
      <c r="AO49" s="990">
        <v>0</v>
      </c>
      <c r="AP49" s="32">
        <f t="shared" si="15"/>
        <v>0</v>
      </c>
      <c r="AQ49" s="990">
        <v>0</v>
      </c>
      <c r="AR49" s="32">
        <f t="shared" si="16"/>
        <v>0</v>
      </c>
      <c r="AS49" s="990">
        <v>11022.95238095238</v>
      </c>
      <c r="AT49" s="32">
        <f t="shared" si="17"/>
        <v>5.5114761904761903E-2</v>
      </c>
      <c r="AU49" s="990">
        <f t="shared" ca="1" si="26"/>
        <v>8496.0150886398696</v>
      </c>
      <c r="AV49" s="135">
        <f t="shared" ca="1" si="18"/>
        <v>0.1707748142935637</v>
      </c>
      <c r="AW49" s="15"/>
      <c r="AX49" s="836">
        <v>7142.8571428571413</v>
      </c>
      <c r="AY49" s="163">
        <f>8362.95238095238+2660</f>
        <v>11022.95238095238</v>
      </c>
      <c r="AZ49" s="135">
        <f t="shared" si="27"/>
        <v>5.5114761904761903E-2</v>
      </c>
      <c r="BA49" s="825">
        <f ca="1">HLOOKUP($A49,CF_Table,CF!$AB$69)/2</f>
        <v>4085.2399271108789</v>
      </c>
      <c r="BB49" s="766">
        <v>9951.991351693443</v>
      </c>
      <c r="BC49" s="37">
        <f ca="1">IF(BB49&lt;0,BC48,IF(SUM(BB$35:BB49)&gt;$Z$27,$Z$27-SUM(BC$34:BC48),BB49))</f>
        <v>8496.0150886398696</v>
      </c>
      <c r="BD49" s="32">
        <f t="shared" ca="1" si="28"/>
        <v>0.1707748142935637</v>
      </c>
      <c r="BE49" s="21">
        <f t="shared" ca="1" si="29"/>
        <v>7</v>
      </c>
      <c r="BF49" s="435">
        <f t="shared" ca="1" si="30"/>
        <v>5866.7514245825641</v>
      </c>
    </row>
    <row r="50" spans="1:58">
      <c r="A50" s="542">
        <f>A49</f>
        <v>2008</v>
      </c>
      <c r="B50" s="266">
        <f t="shared" si="31"/>
        <v>15</v>
      </c>
      <c r="C50" s="91">
        <f t="shared" ca="1" si="19"/>
        <v>37566.964285714319</v>
      </c>
      <c r="D50" s="59">
        <f t="shared" ca="1" si="32"/>
        <v>1322.357142857144</v>
      </c>
      <c r="E50" s="59">
        <f t="shared" ca="1" si="8"/>
        <v>2504.4642857142858</v>
      </c>
      <c r="F50" s="61">
        <f t="shared" ca="1" si="33"/>
        <v>35062.500000000036</v>
      </c>
      <c r="G50" s="91">
        <f t="shared" ca="1" si="20"/>
        <v>37566.964285714319</v>
      </c>
      <c r="H50" s="59">
        <f t="shared" ca="1" si="34"/>
        <v>1405.0044642857156</v>
      </c>
      <c r="I50" s="59">
        <f t="shared" ca="1" si="9"/>
        <v>2504.4642857142858</v>
      </c>
      <c r="J50" s="61">
        <f t="shared" ca="1" si="35"/>
        <v>35062.500000000036</v>
      </c>
      <c r="K50" s="91">
        <f t="shared" ca="1" si="21"/>
        <v>11287.660305915449</v>
      </c>
      <c r="L50" s="59">
        <f t="shared" ca="1" si="36"/>
        <v>523.18305517918111</v>
      </c>
      <c r="M50" s="59">
        <f t="shared" ca="1" si="10"/>
        <v>1401.8238094016742</v>
      </c>
      <c r="N50" s="61">
        <f t="shared" ca="1" si="37"/>
        <v>9885.8364965137753</v>
      </c>
      <c r="O50" s="91">
        <f t="shared" ca="1" si="22"/>
        <v>0</v>
      </c>
      <c r="P50" s="59">
        <f t="shared" ca="1" si="38"/>
        <v>0</v>
      </c>
      <c r="Q50" s="828">
        <f t="shared" ca="1" si="11"/>
        <v>0</v>
      </c>
      <c r="R50" s="61">
        <f t="shared" ca="1" si="39"/>
        <v>0</v>
      </c>
      <c r="S50" s="91">
        <f t="shared" ca="1" si="23"/>
        <v>19243.953989829381</v>
      </c>
      <c r="T50" s="59">
        <f t="shared" ca="1" si="40"/>
        <v>1059.3796671401074</v>
      </c>
      <c r="U50" s="828">
        <f t="shared" ca="1" si="12"/>
        <v>1036.5435292352781</v>
      </c>
      <c r="V50" s="61">
        <f t="shared" ca="1" si="41"/>
        <v>18207.410460594103</v>
      </c>
      <c r="W50" s="91">
        <f t="shared" ca="1" si="24"/>
        <v>28706.92011964188</v>
      </c>
      <c r="X50" s="59">
        <f t="shared" ca="1" si="42"/>
        <v>1865.9498077767223</v>
      </c>
      <c r="Y50" s="59">
        <f t="shared" ca="1" si="13"/>
        <v>2446.921402182953</v>
      </c>
      <c r="Z50" s="59">
        <f t="shared" ca="1" si="43"/>
        <v>26259.998717458926</v>
      </c>
      <c r="AA50" s="826">
        <f ca="1" xml:space="preserve"> SUM(D49:D50,H49:H50,L49:L50,P49:P50, T49:T50)</f>
        <v>8974.0608897282127</v>
      </c>
      <c r="AB50" s="61">
        <f ca="1" xml:space="preserve"> SUM(E49:E50,I49:I50,M49:M50,Q49:Q50, U49:U50)</f>
        <v>15799.435242807904</v>
      </c>
      <c r="AC50" s="59">
        <f ca="1">SUM(X49:X50)</f>
        <v>3881.2422363439537</v>
      </c>
      <c r="AD50" s="543">
        <f ca="1">SUM(Y49:Y50)</f>
        <v>4744.5001835753974</v>
      </c>
      <c r="AE50" s="59">
        <f ca="1">SUM(D49:D50,H49:H50)</f>
        <v>5636.5473214285757</v>
      </c>
      <c r="AF50" s="61">
        <f ca="1">SUM(E49:E50,I49:I50)</f>
        <v>10017.857142857143</v>
      </c>
      <c r="AG50" s="91">
        <f ca="1">SUM(T49:T50)</f>
        <v>2229.0510909839768</v>
      </c>
      <c r="AH50" s="543">
        <f ca="1">SUM(U49:U50)</f>
        <v>3040.0268481047083</v>
      </c>
      <c r="AI50" s="1595">
        <f ca="1">(C49+G49+K49+S49+W49)*IF(RAROC!$B$103=1,VLOOKUP('Debt Amort'!A50,RAROC!$A$107:$D$113,2),IF(RAROC!$B$103=2,VLOOKUP('Debt Amort'!A50,RAROC!$A$107:$D$113,3),IF(RAROC!$B$103=3,VLOOKUP('Debt Amort'!A50,RAROC!$A$107:$D$113,4),0)))*((13-MONTH(Startops3))/12)</f>
        <v>0</v>
      </c>
      <c r="AJ50" s="221"/>
      <c r="AK50" s="912">
        <v>0</v>
      </c>
      <c r="AL50" s="1102">
        <f t="shared" si="25"/>
        <v>0</v>
      </c>
      <c r="AM50" s="990">
        <v>0</v>
      </c>
      <c r="AN50" s="32">
        <f t="shared" si="14"/>
        <v>0</v>
      </c>
      <c r="AO50" s="990">
        <v>0</v>
      </c>
      <c r="AP50" s="32">
        <f t="shared" si="15"/>
        <v>0</v>
      </c>
      <c r="AQ50" s="990">
        <v>0</v>
      </c>
      <c r="AR50" s="32">
        <f t="shared" si="16"/>
        <v>0</v>
      </c>
      <c r="AS50" s="990">
        <v>5702.9523809523798</v>
      </c>
      <c r="AT50" s="32">
        <f t="shared" si="17"/>
        <v>2.85147619047619E-2</v>
      </c>
      <c r="AU50" s="990">
        <f t="shared" ca="1" si="26"/>
        <v>0</v>
      </c>
      <c r="AV50" s="135">
        <f t="shared" ca="1" si="18"/>
        <v>0</v>
      </c>
      <c r="AW50" s="15"/>
      <c r="AX50" s="836">
        <v>7142.8571428571413</v>
      </c>
      <c r="AY50" s="163">
        <f t="shared" ref="AY50:AY55" si="45">8362.95238095238-2660</f>
        <v>5702.9523809523798</v>
      </c>
      <c r="AZ50" s="135">
        <f t="shared" si="27"/>
        <v>2.85147619047619E-2</v>
      </c>
      <c r="BA50" s="825">
        <f ca="1">HLOOKUP($A50,CF_Table,CF!$AB$69)/2</f>
        <v>4085.2399271108789</v>
      </c>
      <c r="BB50" s="766">
        <v>9951.991351693443</v>
      </c>
      <c r="BC50" s="37">
        <f ca="1">IF(BB50&lt;0,BC49,IF(SUM(BB$35:BB50)&gt;$Z$27,$Z$27-SUM(BC$34:BC49),BB50))</f>
        <v>0</v>
      </c>
      <c r="BD50" s="32">
        <f t="shared" ca="1" si="28"/>
        <v>0</v>
      </c>
      <c r="BE50" s="21">
        <f t="shared" ca="1" si="29"/>
        <v>7</v>
      </c>
      <c r="BF50" s="435">
        <f t="shared" ca="1" si="30"/>
        <v>0</v>
      </c>
    </row>
    <row r="51" spans="1:58">
      <c r="A51" s="139">
        <f t="shared" si="44"/>
        <v>2009</v>
      </c>
      <c r="B51" s="92">
        <f t="shared" si="31"/>
        <v>16</v>
      </c>
      <c r="C51" s="90">
        <f t="shared" ca="1" si="19"/>
        <v>35062.500000000036</v>
      </c>
      <c r="D51" s="37">
        <f t="shared" ca="1" si="32"/>
        <v>1234.2000000000014</v>
      </c>
      <c r="E51" s="37">
        <f t="shared" ca="1" si="8"/>
        <v>2504.4642857142858</v>
      </c>
      <c r="F51" s="57">
        <f t="shared" ca="1" si="33"/>
        <v>32558.03571428575</v>
      </c>
      <c r="G51" s="90">
        <f t="shared" ca="1" si="20"/>
        <v>35062.500000000036</v>
      </c>
      <c r="H51" s="37">
        <f t="shared" ca="1" si="34"/>
        <v>1311.3375000000015</v>
      </c>
      <c r="I51" s="37">
        <f t="shared" ca="1" si="9"/>
        <v>2504.4642857142858</v>
      </c>
      <c r="J51" s="57">
        <f t="shared" ca="1" si="35"/>
        <v>32558.03571428575</v>
      </c>
      <c r="K51" s="90">
        <f t="shared" ca="1" si="21"/>
        <v>9885.8364965137753</v>
      </c>
      <c r="L51" s="37">
        <f t="shared" ca="1" si="36"/>
        <v>458.2085216134135</v>
      </c>
      <c r="M51" s="37">
        <f t="shared" ca="1" si="10"/>
        <v>1466.7983429674418</v>
      </c>
      <c r="N51" s="57">
        <f t="shared" ca="1" si="37"/>
        <v>8419.038153546333</v>
      </c>
      <c r="O51" s="90">
        <f t="shared" ca="1" si="22"/>
        <v>0</v>
      </c>
      <c r="P51" s="37">
        <f t="shared" ca="1" si="38"/>
        <v>0</v>
      </c>
      <c r="Q51" s="222">
        <f t="shared" ca="1" si="11"/>
        <v>0</v>
      </c>
      <c r="R51" s="57">
        <f t="shared" ca="1" si="39"/>
        <v>0</v>
      </c>
      <c r="S51" s="90">
        <f t="shared" ca="1" si="23"/>
        <v>18207.410460594103</v>
      </c>
      <c r="T51" s="37">
        <f t="shared" ca="1" si="40"/>
        <v>1002.3179458557054</v>
      </c>
      <c r="U51" s="222">
        <f t="shared" ca="1" si="12"/>
        <v>1036.5435292352781</v>
      </c>
      <c r="V51" s="57">
        <f t="shared" ca="1" si="41"/>
        <v>17170.866931358825</v>
      </c>
      <c r="W51" s="90">
        <f t="shared" ca="1" si="24"/>
        <v>26259.998717458926</v>
      </c>
      <c r="X51" s="37">
        <f t="shared" ca="1" si="42"/>
        <v>1706.8999166348303</v>
      </c>
      <c r="Y51" s="37">
        <f t="shared" ca="1" si="13"/>
        <v>2605.9712933248447</v>
      </c>
      <c r="Z51" s="37">
        <f t="shared" ca="1" si="43"/>
        <v>23654.027424134081</v>
      </c>
      <c r="AA51" s="825"/>
      <c r="AB51" s="57"/>
      <c r="AC51" s="37"/>
      <c r="AD51" s="33"/>
      <c r="AE51" s="37"/>
      <c r="AF51" s="57"/>
      <c r="AG51" s="90"/>
      <c r="AH51" s="33"/>
      <c r="AI51" s="1595"/>
      <c r="AJ51" s="221"/>
      <c r="AK51" s="912">
        <v>0</v>
      </c>
      <c r="AL51" s="1102">
        <f t="shared" si="25"/>
        <v>0</v>
      </c>
      <c r="AM51" s="990">
        <v>0</v>
      </c>
      <c r="AN51" s="32">
        <f t="shared" si="14"/>
        <v>0</v>
      </c>
      <c r="AO51" s="990">
        <v>0</v>
      </c>
      <c r="AP51" s="32">
        <f t="shared" si="15"/>
        <v>0</v>
      </c>
      <c r="AQ51" s="990">
        <v>0</v>
      </c>
      <c r="AR51" s="32">
        <f t="shared" si="16"/>
        <v>0</v>
      </c>
      <c r="AS51" s="990">
        <v>5702.9523809523798</v>
      </c>
      <c r="AT51" s="32">
        <f t="shared" si="17"/>
        <v>2.85147619047619E-2</v>
      </c>
      <c r="AU51" s="990">
        <f t="shared" ca="1" si="26"/>
        <v>0</v>
      </c>
      <c r="AV51" s="135">
        <f t="shared" ca="1" si="18"/>
        <v>0</v>
      </c>
      <c r="AW51" s="15"/>
      <c r="AX51" s="836">
        <v>7142.8571428571413</v>
      </c>
      <c r="AY51" s="163">
        <f t="shared" si="45"/>
        <v>5702.9523809523798</v>
      </c>
      <c r="AZ51" s="135">
        <f t="shared" si="27"/>
        <v>2.85147619047619E-2</v>
      </c>
      <c r="BA51" s="825">
        <f ca="1">HLOOKUP($A51,CF_Table,CF!$AB$69)/2</f>
        <v>5225.6802922517436</v>
      </c>
      <c r="BB51" s="766">
        <v>10820.076485728496</v>
      </c>
      <c r="BC51" s="37">
        <f ca="1">IF(BB51&lt;0,BC50,IF(SUM(BB$35:BB51)&gt;$Z$27,$Z$27-SUM(BC$34:BC50),BB51))</f>
        <v>0</v>
      </c>
      <c r="BD51" s="32">
        <f t="shared" ca="1" si="28"/>
        <v>0</v>
      </c>
      <c r="BE51" s="21">
        <f t="shared" ca="1" si="29"/>
        <v>7</v>
      </c>
      <c r="BF51" s="435">
        <f t="shared" ca="1" si="30"/>
        <v>0</v>
      </c>
    </row>
    <row r="52" spans="1:58">
      <c r="A52" s="542">
        <f>A51</f>
        <v>2009</v>
      </c>
      <c r="B52" s="266">
        <f t="shared" si="31"/>
        <v>17</v>
      </c>
      <c r="C52" s="91">
        <f t="shared" ca="1" si="19"/>
        <v>32558.03571428575</v>
      </c>
      <c r="D52" s="59">
        <f t="shared" ca="1" si="32"/>
        <v>1146.0428571428586</v>
      </c>
      <c r="E52" s="59">
        <f t="shared" ca="1" si="8"/>
        <v>2504.4642857142858</v>
      </c>
      <c r="F52" s="61">
        <f t="shared" ca="1" si="33"/>
        <v>30053.571428571464</v>
      </c>
      <c r="G52" s="91">
        <f t="shared" ca="1" si="20"/>
        <v>32558.03571428575</v>
      </c>
      <c r="H52" s="59">
        <f t="shared" ca="1" si="34"/>
        <v>1217.6705357142871</v>
      </c>
      <c r="I52" s="59">
        <f t="shared" ca="1" si="9"/>
        <v>2504.4642857142858</v>
      </c>
      <c r="J52" s="61">
        <f t="shared" ca="1" si="35"/>
        <v>30053.571428571464</v>
      </c>
      <c r="K52" s="91">
        <f t="shared" ca="1" si="21"/>
        <v>8419.038153546333</v>
      </c>
      <c r="L52" s="59">
        <f t="shared" ca="1" si="36"/>
        <v>390.22241841687253</v>
      </c>
      <c r="M52" s="59">
        <f t="shared" ca="1" si="10"/>
        <v>1534.7844461639825</v>
      </c>
      <c r="N52" s="61">
        <f t="shared" ca="1" si="37"/>
        <v>6884.2537073823505</v>
      </c>
      <c r="O52" s="91">
        <f t="shared" ca="1" si="22"/>
        <v>0</v>
      </c>
      <c r="P52" s="59">
        <f t="shared" ca="1" si="38"/>
        <v>0</v>
      </c>
      <c r="Q52" s="828">
        <f t="shared" ca="1" si="11"/>
        <v>0</v>
      </c>
      <c r="R52" s="61">
        <f t="shared" ca="1" si="39"/>
        <v>0</v>
      </c>
      <c r="S52" s="91">
        <f t="shared" ca="1" si="23"/>
        <v>17170.866931358825</v>
      </c>
      <c r="T52" s="59">
        <f t="shared" ca="1" si="40"/>
        <v>945.25622457130339</v>
      </c>
      <c r="U52" s="828">
        <f t="shared" ca="1" si="12"/>
        <v>1036.5435292352781</v>
      </c>
      <c r="V52" s="61">
        <f t="shared" ca="1" si="41"/>
        <v>16134.323402123548</v>
      </c>
      <c r="W52" s="91">
        <f t="shared" ca="1" si="24"/>
        <v>23654.027424134081</v>
      </c>
      <c r="X52" s="59">
        <f t="shared" ca="1" si="42"/>
        <v>1537.5117825687153</v>
      </c>
      <c r="Y52" s="59">
        <f t="shared" ca="1" si="13"/>
        <v>2775.3594273909598</v>
      </c>
      <c r="Z52" s="59">
        <f t="shared" ca="1" si="43"/>
        <v>20878.667996743123</v>
      </c>
      <c r="AA52" s="826">
        <f ca="1" xml:space="preserve"> SUM(D51:D52,H51:H52,L51:L52,P51:P52, T51:T52)</f>
        <v>7705.2560033144437</v>
      </c>
      <c r="AB52" s="61">
        <f ca="1" xml:space="preserve"> SUM(E51:E52,I51:I52,M51:M52,Q51:Q52, U51:U52)</f>
        <v>15092.526990459122</v>
      </c>
      <c r="AC52" s="59">
        <f ca="1">SUM(X51:X52)</f>
        <v>3244.4116992035456</v>
      </c>
      <c r="AD52" s="543">
        <f ca="1">SUM(Y51:Y52)</f>
        <v>5381.330720715805</v>
      </c>
      <c r="AE52" s="59">
        <f ca="1">SUM(D51:D52,H51:H52)</f>
        <v>4909.2508928571488</v>
      </c>
      <c r="AF52" s="61">
        <f ca="1">SUM(E51:E52,I51:I52)</f>
        <v>10017.857142857143</v>
      </c>
      <c r="AG52" s="91">
        <f ca="1">SUM(T51:T52)</f>
        <v>1947.5741704270088</v>
      </c>
      <c r="AH52" s="543">
        <f ca="1">SUM(U51:U52)</f>
        <v>2073.0870584705563</v>
      </c>
      <c r="AI52" s="1595">
        <f ca="1">(C51+G51+K51+S51+W51)*IF(RAROC!$B$103=1,VLOOKUP('Debt Amort'!A52,RAROC!$A$107:$D$113,2),IF(RAROC!$B$103=2,VLOOKUP('Debt Amort'!A52,RAROC!$A$107:$D$113,3),IF(RAROC!$B$103=3,VLOOKUP('Debt Amort'!A52,RAROC!$A$107:$D$113,4),0)))*((13-MONTH(Startops3))/12)</f>
        <v>0</v>
      </c>
      <c r="AJ52" s="221"/>
      <c r="AK52" s="912">
        <v>0</v>
      </c>
      <c r="AL52" s="1102">
        <f t="shared" si="25"/>
        <v>0</v>
      </c>
      <c r="AM52" s="990">
        <v>0</v>
      </c>
      <c r="AN52" s="32">
        <f t="shared" si="14"/>
        <v>0</v>
      </c>
      <c r="AO52" s="990">
        <v>0</v>
      </c>
      <c r="AP52" s="32">
        <f t="shared" si="15"/>
        <v>0</v>
      </c>
      <c r="AQ52" s="990">
        <v>0</v>
      </c>
      <c r="AR52" s="32">
        <f t="shared" si="16"/>
        <v>0</v>
      </c>
      <c r="AS52" s="990">
        <v>5702.9523809523798</v>
      </c>
      <c r="AT52" s="32">
        <f t="shared" si="17"/>
        <v>2.85147619047619E-2</v>
      </c>
      <c r="AU52" s="990">
        <f t="shared" ca="1" si="26"/>
        <v>0</v>
      </c>
      <c r="AV52" s="135">
        <f t="shared" ca="1" si="18"/>
        <v>0</v>
      </c>
      <c r="AW52" s="15"/>
      <c r="AX52" s="836">
        <v>7142.8571428571413</v>
      </c>
      <c r="AY52" s="163">
        <f t="shared" si="45"/>
        <v>5702.9523809523798</v>
      </c>
      <c r="AZ52" s="135">
        <f t="shared" si="27"/>
        <v>2.85147619047619E-2</v>
      </c>
      <c r="BA52" s="825">
        <f ca="1">HLOOKUP($A52,CF_Table,CF!$AB$69)/2</f>
        <v>5225.6802922517436</v>
      </c>
      <c r="BB52" s="766">
        <v>10820.076485728496</v>
      </c>
      <c r="BC52" s="37">
        <f ca="1">IF(BB52&lt;0,BC51,IF(SUM(BB$35:BB52)&gt;$Z$27,$Z$27-SUM(BC$34:BC51),BB52))</f>
        <v>0</v>
      </c>
      <c r="BD52" s="32">
        <f t="shared" ca="1" si="28"/>
        <v>0</v>
      </c>
      <c r="BE52" s="21">
        <f t="shared" ca="1" si="29"/>
        <v>7</v>
      </c>
      <c r="BF52" s="435">
        <f t="shared" ca="1" si="30"/>
        <v>0</v>
      </c>
    </row>
    <row r="53" spans="1:58">
      <c r="A53" s="139">
        <f t="shared" si="44"/>
        <v>2010</v>
      </c>
      <c r="B53" s="92">
        <f t="shared" ref="B53:B68" si="46">B52+1</f>
        <v>18</v>
      </c>
      <c r="C53" s="90">
        <f t="shared" ca="1" si="19"/>
        <v>30053.571428571464</v>
      </c>
      <c r="D53" s="37">
        <f t="shared" ca="1" si="32"/>
        <v>1057.8857142857155</v>
      </c>
      <c r="E53" s="37">
        <f t="shared" ca="1" si="8"/>
        <v>2504.4642857142858</v>
      </c>
      <c r="F53" s="57">
        <f t="shared" ref="F53:F68" ca="1" si="47">C53-E53</f>
        <v>27549.107142857178</v>
      </c>
      <c r="G53" s="90">
        <f t="shared" ca="1" si="20"/>
        <v>30053.571428571464</v>
      </c>
      <c r="H53" s="37">
        <f t="shared" ca="1" si="34"/>
        <v>1124.0035714285727</v>
      </c>
      <c r="I53" s="37">
        <f t="shared" ca="1" si="9"/>
        <v>2504.4642857142858</v>
      </c>
      <c r="J53" s="57">
        <f t="shared" ca="1" si="35"/>
        <v>27549.107142857178</v>
      </c>
      <c r="K53" s="90">
        <f t="shared" ca="1" si="21"/>
        <v>6884.2537073823505</v>
      </c>
      <c r="L53" s="37">
        <f t="shared" ca="1" si="36"/>
        <v>319.08515933717194</v>
      </c>
      <c r="M53" s="37">
        <f t="shared" ca="1" si="10"/>
        <v>1605.9217052436827</v>
      </c>
      <c r="N53" s="57">
        <f t="shared" ca="1" si="37"/>
        <v>5278.332002138668</v>
      </c>
      <c r="O53" s="90">
        <f t="shared" ca="1" si="22"/>
        <v>0</v>
      </c>
      <c r="P53" s="37">
        <f t="shared" ca="1" si="38"/>
        <v>0</v>
      </c>
      <c r="Q53" s="222">
        <f t="shared" ca="1" si="11"/>
        <v>0</v>
      </c>
      <c r="R53" s="57">
        <f t="shared" ca="1" si="39"/>
        <v>0</v>
      </c>
      <c r="S53" s="90">
        <f t="shared" ca="1" si="23"/>
        <v>16134.323402123548</v>
      </c>
      <c r="T53" s="37">
        <f t="shared" ca="1" si="40"/>
        <v>888.19450328690129</v>
      </c>
      <c r="U53" s="222">
        <f t="shared" ca="1" si="12"/>
        <v>1036.5435292352781</v>
      </c>
      <c r="V53" s="57">
        <f t="shared" ca="1" si="41"/>
        <v>15097.77987288827</v>
      </c>
      <c r="W53" s="90">
        <f t="shared" ca="1" si="24"/>
        <v>20878.667996743123</v>
      </c>
      <c r="X53" s="37">
        <f t="shared" ca="1" si="42"/>
        <v>1357.113419788303</v>
      </c>
      <c r="Y53" s="37">
        <f t="shared" ca="1" si="13"/>
        <v>2955.7577901713712</v>
      </c>
      <c r="Z53" s="37">
        <f t="shared" ca="1" si="43"/>
        <v>17922.910206571752</v>
      </c>
      <c r="AA53" s="825"/>
      <c r="AB53" s="57"/>
      <c r="AC53" s="37"/>
      <c r="AD53" s="33"/>
      <c r="AE53" s="37"/>
      <c r="AF53" s="57"/>
      <c r="AG53" s="90"/>
      <c r="AH53" s="33"/>
      <c r="AI53" s="1595"/>
      <c r="AJ53" s="221"/>
      <c r="AK53" s="912">
        <v>0</v>
      </c>
      <c r="AL53" s="1102">
        <f t="shared" si="25"/>
        <v>0</v>
      </c>
      <c r="AM53" s="990">
        <v>0</v>
      </c>
      <c r="AN53" s="32">
        <f t="shared" si="14"/>
        <v>0</v>
      </c>
      <c r="AO53" s="990">
        <v>0</v>
      </c>
      <c r="AP53" s="32">
        <f t="shared" si="15"/>
        <v>0</v>
      </c>
      <c r="AQ53" s="990">
        <v>0</v>
      </c>
      <c r="AR53" s="32">
        <f t="shared" si="16"/>
        <v>0</v>
      </c>
      <c r="AS53" s="990">
        <v>5702.9523809523798</v>
      </c>
      <c r="AT53" s="32">
        <f t="shared" si="17"/>
        <v>2.85147619047619E-2</v>
      </c>
      <c r="AU53" s="990">
        <f t="shared" ca="1" si="26"/>
        <v>0</v>
      </c>
      <c r="AV53" s="135">
        <f t="shared" ca="1" si="18"/>
        <v>0</v>
      </c>
      <c r="AW53" s="15"/>
      <c r="AX53" s="836">
        <v>7142.8571428571413</v>
      </c>
      <c r="AY53" s="163">
        <f t="shared" si="45"/>
        <v>5702.9523809523798</v>
      </c>
      <c r="AZ53" s="135">
        <f t="shared" si="27"/>
        <v>2.85147619047619E-2</v>
      </c>
      <c r="BA53" s="825">
        <f ca="1">HLOOKUP($A53,CF_Table,CF!$AB$69)/2</f>
        <v>5480.6552161319023</v>
      </c>
      <c r="BB53" s="766">
        <v>14554.995802069621</v>
      </c>
      <c r="BC53" s="37">
        <f ca="1">IF(BB53&lt;0,BC52,IF(SUM(BB$35:BB53)&gt;$Z$27,$Z$27-SUM(BC$34:BC52),BB53))</f>
        <v>0</v>
      </c>
      <c r="BD53" s="32">
        <f t="shared" ca="1" si="28"/>
        <v>0</v>
      </c>
      <c r="BE53" s="21">
        <f t="shared" ca="1" si="29"/>
        <v>7</v>
      </c>
      <c r="BF53" s="435">
        <f t="shared" ca="1" si="30"/>
        <v>0</v>
      </c>
    </row>
    <row r="54" spans="1:58">
      <c r="A54" s="542">
        <f>A53</f>
        <v>2010</v>
      </c>
      <c r="B54" s="266">
        <f t="shared" si="46"/>
        <v>19</v>
      </c>
      <c r="C54" s="91">
        <f t="shared" ca="1" si="19"/>
        <v>27549.107142857178</v>
      </c>
      <c r="D54" s="59">
        <f t="shared" ca="1" si="32"/>
        <v>969.72857142857276</v>
      </c>
      <c r="E54" s="59">
        <f t="shared" ca="1" si="8"/>
        <v>2504.4642857142858</v>
      </c>
      <c r="F54" s="61">
        <f t="shared" ca="1" si="47"/>
        <v>25044.642857142891</v>
      </c>
      <c r="G54" s="91">
        <f t="shared" ca="1" si="20"/>
        <v>27549.107142857178</v>
      </c>
      <c r="H54" s="59">
        <f t="shared" ca="1" si="34"/>
        <v>1030.3366071428586</v>
      </c>
      <c r="I54" s="59">
        <f t="shared" ca="1" si="9"/>
        <v>2504.4642857142858</v>
      </c>
      <c r="J54" s="61">
        <f t="shared" ca="1" si="35"/>
        <v>25044.642857142891</v>
      </c>
      <c r="K54" s="91">
        <f t="shared" ca="1" si="21"/>
        <v>5278.332002138668</v>
      </c>
      <c r="L54" s="59">
        <f t="shared" ca="1" si="36"/>
        <v>244.65068829912727</v>
      </c>
      <c r="M54" s="59">
        <f t="shared" ca="1" si="10"/>
        <v>1680.3561762817269</v>
      </c>
      <c r="N54" s="61">
        <f t="shared" ca="1" si="37"/>
        <v>3597.9758258569409</v>
      </c>
      <c r="O54" s="91">
        <f t="shared" ca="1" si="22"/>
        <v>0</v>
      </c>
      <c r="P54" s="59">
        <f t="shared" ca="1" si="38"/>
        <v>0</v>
      </c>
      <c r="Q54" s="828">
        <f t="shared" ca="1" si="11"/>
        <v>0</v>
      </c>
      <c r="R54" s="61">
        <f t="shared" ca="1" si="39"/>
        <v>0</v>
      </c>
      <c r="S54" s="91">
        <f t="shared" ca="1" si="23"/>
        <v>15097.77987288827</v>
      </c>
      <c r="T54" s="59">
        <f t="shared" ca="1" si="40"/>
        <v>831.13278200249931</v>
      </c>
      <c r="U54" s="828">
        <f t="shared" ca="1" si="12"/>
        <v>1036.5435292352781</v>
      </c>
      <c r="V54" s="61">
        <f t="shared" ca="1" si="41"/>
        <v>14061.236343652992</v>
      </c>
      <c r="W54" s="91">
        <f t="shared" ca="1" si="24"/>
        <v>17922.910206571752</v>
      </c>
      <c r="X54" s="59">
        <f t="shared" ca="1" si="42"/>
        <v>1164.9891634271639</v>
      </c>
      <c r="Y54" s="59">
        <f t="shared" ca="1" si="13"/>
        <v>3147.8820465325084</v>
      </c>
      <c r="Z54" s="59">
        <f t="shared" ca="1" si="43"/>
        <v>14775.028160039245</v>
      </c>
      <c r="AA54" s="826">
        <f ca="1" xml:space="preserve"> SUM(D53:D54,H53:H54,L53:L54,P53:P54, T53:T54)</f>
        <v>6465.0175972114193</v>
      </c>
      <c r="AB54" s="61">
        <f ca="1" xml:space="preserve"> SUM(E53:E54,I53:I54,M53:M54,Q53:Q54, U53:U54)</f>
        <v>15377.222082853108</v>
      </c>
      <c r="AC54" s="59">
        <f ca="1">SUM(X53:X54)</f>
        <v>2522.1025832154669</v>
      </c>
      <c r="AD54" s="543">
        <f ca="1">SUM(Y53:Y54)</f>
        <v>6103.6398367038801</v>
      </c>
      <c r="AE54" s="59">
        <f ca="1">SUM(D53:D54,H53:H54)</f>
        <v>4181.95446428572</v>
      </c>
      <c r="AF54" s="61">
        <f ca="1">SUM(E53:E54,I53:I54)</f>
        <v>10017.857142857143</v>
      </c>
      <c r="AG54" s="91">
        <f ca="1">SUM(T53:T54)</f>
        <v>1719.3272852894006</v>
      </c>
      <c r="AH54" s="543">
        <f ca="1">SUM(U53:U54)</f>
        <v>2073.0870584705563</v>
      </c>
      <c r="AI54" s="1595">
        <f ca="1">(C53+G53+K53+S53+W53)*IF(RAROC!$B$103=1,VLOOKUP('Debt Amort'!A54,RAROC!$A$107:$D$113,2),IF(RAROC!$B$103=2,VLOOKUP('Debt Amort'!A54,RAROC!$A$107:$D$113,3),IF(RAROC!$B$103=3,VLOOKUP('Debt Amort'!A54,RAROC!$A$107:$D$113,4),0)))*((13-MONTH(Startops3))/12)</f>
        <v>0</v>
      </c>
      <c r="AJ54" s="221"/>
      <c r="AK54" s="912">
        <v>0</v>
      </c>
      <c r="AL54" s="1102">
        <f t="shared" si="25"/>
        <v>0</v>
      </c>
      <c r="AM54" s="990">
        <v>0</v>
      </c>
      <c r="AN54" s="32">
        <f t="shared" si="14"/>
        <v>0</v>
      </c>
      <c r="AO54" s="990">
        <v>0</v>
      </c>
      <c r="AP54" s="32">
        <f t="shared" si="15"/>
        <v>0</v>
      </c>
      <c r="AQ54" s="990">
        <v>0</v>
      </c>
      <c r="AR54" s="32">
        <f t="shared" si="16"/>
        <v>0</v>
      </c>
      <c r="AS54" s="990">
        <v>5702.9523809523798</v>
      </c>
      <c r="AT54" s="32">
        <f t="shared" si="17"/>
        <v>2.85147619047619E-2</v>
      </c>
      <c r="AU54" s="990">
        <f t="shared" ca="1" si="26"/>
        <v>0</v>
      </c>
      <c r="AV54" s="135">
        <f t="shared" ca="1" si="18"/>
        <v>0</v>
      </c>
      <c r="AW54" s="15"/>
      <c r="AX54" s="836">
        <v>7142.8571428571413</v>
      </c>
      <c r="AY54" s="163">
        <f t="shared" si="45"/>
        <v>5702.9523809523798</v>
      </c>
      <c r="AZ54" s="135">
        <f t="shared" si="27"/>
        <v>2.85147619047619E-2</v>
      </c>
      <c r="BA54" s="825">
        <f ca="1">HLOOKUP($A54,CF_Table,CF!$AB$69)/2</f>
        <v>5480.6552161319023</v>
      </c>
      <c r="BB54" s="766">
        <v>14554.995802069621</v>
      </c>
      <c r="BC54" s="37">
        <f ca="1">IF(BB54&lt;0,BC53,IF(SUM(BB$35:BB54)&gt;$Z$27,$Z$27-SUM(BC$34:BC53),BB54))</f>
        <v>0</v>
      </c>
      <c r="BD54" s="32">
        <f t="shared" ca="1" si="28"/>
        <v>0</v>
      </c>
      <c r="BE54" s="21">
        <f t="shared" ca="1" si="29"/>
        <v>7</v>
      </c>
      <c r="BF54" s="435">
        <f t="shared" ca="1" si="30"/>
        <v>0</v>
      </c>
    </row>
    <row r="55" spans="1:58">
      <c r="A55" s="139">
        <f t="shared" si="44"/>
        <v>2011</v>
      </c>
      <c r="B55" s="92">
        <f t="shared" si="46"/>
        <v>20</v>
      </c>
      <c r="C55" s="90">
        <f t="shared" ca="1" si="19"/>
        <v>25044.642857142891</v>
      </c>
      <c r="D55" s="37">
        <f t="shared" ca="1" si="32"/>
        <v>881.57142857142981</v>
      </c>
      <c r="E55" s="37">
        <f t="shared" ca="1" si="8"/>
        <v>2504.4642857142858</v>
      </c>
      <c r="F55" s="57">
        <f t="shared" ca="1" si="47"/>
        <v>22540.178571428605</v>
      </c>
      <c r="G55" s="90">
        <f t="shared" ca="1" si="20"/>
        <v>25044.642857142891</v>
      </c>
      <c r="H55" s="37">
        <f t="shared" ca="1" si="34"/>
        <v>936.66964285714425</v>
      </c>
      <c r="I55" s="37">
        <f t="shared" ca="1" si="9"/>
        <v>2504.4642857142858</v>
      </c>
      <c r="J55" s="57">
        <f t="shared" ca="1" si="35"/>
        <v>22540.178571428605</v>
      </c>
      <c r="K55" s="90">
        <f t="shared" ca="1" si="21"/>
        <v>3597.9758258569409</v>
      </c>
      <c r="L55" s="37">
        <f t="shared" ca="1" si="36"/>
        <v>166.76617952846922</v>
      </c>
      <c r="M55" s="37">
        <f t="shared" ca="1" si="10"/>
        <v>1758.2406850523844</v>
      </c>
      <c r="N55" s="57">
        <f t="shared" ca="1" si="37"/>
        <v>1839.7351408045565</v>
      </c>
      <c r="O55" s="90">
        <f t="shared" ca="1" si="22"/>
        <v>0</v>
      </c>
      <c r="P55" s="37">
        <f t="shared" ca="1" si="38"/>
        <v>0</v>
      </c>
      <c r="Q55" s="222">
        <f t="shared" ca="1" si="11"/>
        <v>0</v>
      </c>
      <c r="R55" s="57">
        <f t="shared" ca="1" si="39"/>
        <v>0</v>
      </c>
      <c r="S55" s="90">
        <f t="shared" ca="1" si="23"/>
        <v>14061.236343652992</v>
      </c>
      <c r="T55" s="37">
        <f t="shared" ca="1" si="40"/>
        <v>774.07106071809721</v>
      </c>
      <c r="U55" s="222">
        <f t="shared" ca="1" si="12"/>
        <v>1036.5435292352781</v>
      </c>
      <c r="V55" s="57">
        <f t="shared" ca="1" si="41"/>
        <v>13024.692814417715</v>
      </c>
      <c r="W55" s="90">
        <f t="shared" ca="1" si="24"/>
        <v>14775.028160039245</v>
      </c>
      <c r="X55" s="37">
        <f t="shared" ca="1" si="42"/>
        <v>960.37683040255092</v>
      </c>
      <c r="Y55" s="37">
        <f t="shared" ca="1" si="13"/>
        <v>3352.4943795571216</v>
      </c>
      <c r="Z55" s="37">
        <f t="shared" ca="1" si="43"/>
        <v>11422.533780482123</v>
      </c>
      <c r="AA55" s="825"/>
      <c r="AB55" s="57"/>
      <c r="AC55" s="37"/>
      <c r="AD55" s="33"/>
      <c r="AE55" s="37"/>
      <c r="AF55" s="57"/>
      <c r="AG55" s="90"/>
      <c r="AH55" s="33"/>
      <c r="AI55" s="1595"/>
      <c r="AJ55" s="221"/>
      <c r="AK55" s="912">
        <v>0</v>
      </c>
      <c r="AL55" s="1102">
        <f t="shared" si="25"/>
        <v>0</v>
      </c>
      <c r="AM55" s="990">
        <v>0</v>
      </c>
      <c r="AN55" s="32">
        <f t="shared" si="14"/>
        <v>0</v>
      </c>
      <c r="AO55" s="990">
        <v>0</v>
      </c>
      <c r="AP55" s="32">
        <f t="shared" si="15"/>
        <v>0</v>
      </c>
      <c r="AQ55" s="990">
        <v>0</v>
      </c>
      <c r="AR55" s="32">
        <f t="shared" si="16"/>
        <v>0</v>
      </c>
      <c r="AS55" s="990">
        <v>5702.9523809523798</v>
      </c>
      <c r="AT55" s="32">
        <f t="shared" si="17"/>
        <v>2.85147619047619E-2</v>
      </c>
      <c r="AU55" s="990">
        <f t="shared" ca="1" si="26"/>
        <v>0</v>
      </c>
      <c r="AV55" s="135">
        <f t="shared" ca="1" si="18"/>
        <v>0</v>
      </c>
      <c r="AW55" s="15"/>
      <c r="AX55" s="836">
        <v>7142.8571428571413</v>
      </c>
      <c r="AY55" s="163">
        <f t="shared" si="45"/>
        <v>5702.9523809523798</v>
      </c>
      <c r="AZ55" s="135">
        <f t="shared" si="27"/>
        <v>2.85147619047619E-2</v>
      </c>
      <c r="BA55" s="825">
        <f ca="1">HLOOKUP($A55,CF_Table,CF!$AB$69)/2</f>
        <v>3590.8132217179846</v>
      </c>
      <c r="BB55" s="766">
        <v>15924.116698282338</v>
      </c>
      <c r="BC55" s="37">
        <f ca="1">IF(BB55&lt;0,BC54,IF(SUM(BB$35:BB55)&gt;$Z$27,$Z$27-SUM(BC$34:BC54),BB55))</f>
        <v>0</v>
      </c>
      <c r="BD55" s="32">
        <f t="shared" ca="1" si="28"/>
        <v>0</v>
      </c>
      <c r="BE55" s="21">
        <f t="shared" ca="1" si="29"/>
        <v>7</v>
      </c>
      <c r="BF55" s="435">
        <f t="shared" ca="1" si="30"/>
        <v>0</v>
      </c>
    </row>
    <row r="56" spans="1:58">
      <c r="A56" s="542">
        <f>A55</f>
        <v>2011</v>
      </c>
      <c r="B56" s="266">
        <f t="shared" si="46"/>
        <v>21</v>
      </c>
      <c r="C56" s="91">
        <f t="shared" ca="1" si="19"/>
        <v>22540.178571428605</v>
      </c>
      <c r="D56" s="59">
        <f t="shared" ca="1" si="32"/>
        <v>793.41428571428696</v>
      </c>
      <c r="E56" s="59">
        <f t="shared" ca="1" si="8"/>
        <v>2504.4642857142858</v>
      </c>
      <c r="F56" s="61">
        <f t="shared" ca="1" si="47"/>
        <v>20035.714285714319</v>
      </c>
      <c r="G56" s="91">
        <f t="shared" ca="1" si="20"/>
        <v>22540.178571428605</v>
      </c>
      <c r="H56" s="59">
        <f t="shared" ca="1" si="34"/>
        <v>843.0026785714299</v>
      </c>
      <c r="I56" s="59">
        <f t="shared" ca="1" si="9"/>
        <v>2504.4642857142858</v>
      </c>
      <c r="J56" s="61">
        <f t="shared" ca="1" si="35"/>
        <v>20035.714285714319</v>
      </c>
      <c r="K56" s="91">
        <f t="shared" ca="1" si="21"/>
        <v>1839.7351408045565</v>
      </c>
      <c r="L56" s="59">
        <f t="shared" ca="1" si="36"/>
        <v>85.271723776291196</v>
      </c>
      <c r="M56" s="59">
        <f t="shared" ca="1" si="10"/>
        <v>1839.7351408045565</v>
      </c>
      <c r="N56" s="61">
        <f t="shared" ca="1" si="37"/>
        <v>0</v>
      </c>
      <c r="O56" s="91">
        <f t="shared" ca="1" si="22"/>
        <v>0</v>
      </c>
      <c r="P56" s="59">
        <f t="shared" ca="1" si="38"/>
        <v>0</v>
      </c>
      <c r="Q56" s="828">
        <f t="shared" ca="1" si="11"/>
        <v>0</v>
      </c>
      <c r="R56" s="61">
        <f t="shared" ca="1" si="39"/>
        <v>0</v>
      </c>
      <c r="S56" s="91">
        <f t="shared" ca="1" si="23"/>
        <v>13024.692814417715</v>
      </c>
      <c r="T56" s="59">
        <f t="shared" ca="1" si="40"/>
        <v>717.00933943369523</v>
      </c>
      <c r="U56" s="828">
        <f t="shared" ca="1" si="12"/>
        <v>1520.0134240523544</v>
      </c>
      <c r="V56" s="61">
        <f t="shared" ca="1" si="41"/>
        <v>11504.67939036536</v>
      </c>
      <c r="W56" s="91">
        <f t="shared" ca="1" si="24"/>
        <v>11422.533780482123</v>
      </c>
      <c r="X56" s="59">
        <f t="shared" ca="1" si="42"/>
        <v>742.464695731338</v>
      </c>
      <c r="Y56" s="59">
        <f t="shared" ca="1" si="13"/>
        <v>3570.4065142283334</v>
      </c>
      <c r="Z56" s="59">
        <f t="shared" ca="1" si="43"/>
        <v>7852.1272662537895</v>
      </c>
      <c r="AA56" s="826">
        <f ca="1" xml:space="preserve"> SUM(D55:D56,H55:H56,L55:L56,P55:P56, T55:T56)</f>
        <v>5197.776339170844</v>
      </c>
      <c r="AB56" s="61">
        <f ca="1" xml:space="preserve"> SUM(E55:E56,I55:I56,M55:M56,Q55:Q56, U55:U56)</f>
        <v>16172.389922001716</v>
      </c>
      <c r="AC56" s="59">
        <f ca="1">SUM(X55:X56)</f>
        <v>1702.8415261338889</v>
      </c>
      <c r="AD56" s="543">
        <f ca="1">SUM(Y55:Y56)</f>
        <v>6922.9008937854551</v>
      </c>
      <c r="AE56" s="59">
        <f ca="1">SUM(D55:D56,H55:H56)</f>
        <v>3454.6580357142911</v>
      </c>
      <c r="AF56" s="61">
        <f ca="1">SUM(E55:E56,I55:I56)</f>
        <v>10017.857142857143</v>
      </c>
      <c r="AG56" s="91">
        <f ca="1">SUM(T55:T56)</f>
        <v>1491.0804001517924</v>
      </c>
      <c r="AH56" s="543">
        <f ca="1">SUM(U55:U56)</f>
        <v>2556.5569532876325</v>
      </c>
      <c r="AI56" s="1595">
        <f ca="1">(C55+G55+K55+S55+W55)*IF(RAROC!$B$103=1,VLOOKUP('Debt Amort'!A56,RAROC!$A$107:$D$113,2),IF(RAROC!$B$103=2,VLOOKUP('Debt Amort'!A56,RAROC!$A$107:$D$113,3),IF(RAROC!$B$103=3,VLOOKUP('Debt Amort'!A56,RAROC!$A$107:$D$113,4),0)))*((13-MONTH(Startops3))/12)</f>
        <v>0</v>
      </c>
      <c r="AJ56" s="221"/>
      <c r="AK56" s="912">
        <v>0</v>
      </c>
      <c r="AL56" s="1102">
        <f t="shared" si="25"/>
        <v>0</v>
      </c>
      <c r="AM56" s="990">
        <v>0</v>
      </c>
      <c r="AN56" s="32">
        <f t="shared" si="14"/>
        <v>0</v>
      </c>
      <c r="AO56" s="990">
        <v>0</v>
      </c>
      <c r="AP56" s="32">
        <f t="shared" si="15"/>
        <v>0</v>
      </c>
      <c r="AQ56" s="990">
        <v>0</v>
      </c>
      <c r="AR56" s="32">
        <f t="shared" si="16"/>
        <v>0</v>
      </c>
      <c r="AS56" s="990">
        <v>8362.9523809523816</v>
      </c>
      <c r="AT56" s="32">
        <f t="shared" si="17"/>
        <v>4.181476190476191E-2</v>
      </c>
      <c r="AU56" s="990">
        <f t="shared" ca="1" si="26"/>
        <v>0</v>
      </c>
      <c r="AV56" s="135">
        <f t="shared" ca="1" si="18"/>
        <v>0</v>
      </c>
      <c r="AW56" s="15"/>
      <c r="AX56" s="836">
        <v>7142.8571428571413</v>
      </c>
      <c r="AY56" s="163">
        <v>8362.9523809523816</v>
      </c>
      <c r="AZ56" s="135">
        <f t="shared" si="27"/>
        <v>4.181476190476191E-2</v>
      </c>
      <c r="BA56" s="825">
        <f ca="1">HLOOKUP($A56,CF_Table,CF!$AB$69)/2</f>
        <v>3590.8132217179846</v>
      </c>
      <c r="BB56" s="766">
        <v>15924.116698282338</v>
      </c>
      <c r="BC56" s="37">
        <f ca="1">IF(BB56&lt;0,BC55,IF(SUM(BB$35:BB56)&gt;$Z$27,$Z$27-SUM(BC$34:BC55),BB56))</f>
        <v>0</v>
      </c>
      <c r="BD56" s="32">
        <f t="shared" ca="1" si="28"/>
        <v>0</v>
      </c>
      <c r="BE56" s="21">
        <f t="shared" ca="1" si="29"/>
        <v>7</v>
      </c>
      <c r="BF56" s="435">
        <f t="shared" ca="1" si="30"/>
        <v>0</v>
      </c>
    </row>
    <row r="57" spans="1:58">
      <c r="A57" s="139">
        <f t="shared" ref="A57:A74" si="48">A55+1</f>
        <v>2012</v>
      </c>
      <c r="B57" s="92">
        <f t="shared" si="46"/>
        <v>22</v>
      </c>
      <c r="C57" s="90">
        <f t="shared" ca="1" si="19"/>
        <v>20035.714285714319</v>
      </c>
      <c r="D57" s="37">
        <f t="shared" ca="1" si="32"/>
        <v>705.25714285714412</v>
      </c>
      <c r="E57" s="37">
        <f t="shared" ca="1" si="8"/>
        <v>2504.4642857142858</v>
      </c>
      <c r="F57" s="57">
        <f t="shared" ca="1" si="47"/>
        <v>17531.250000000033</v>
      </c>
      <c r="G57" s="90">
        <f t="shared" ca="1" si="20"/>
        <v>20035.714285714319</v>
      </c>
      <c r="H57" s="37">
        <f t="shared" ca="1" si="34"/>
        <v>749.33571428571554</v>
      </c>
      <c r="I57" s="37">
        <f t="shared" ca="1" si="9"/>
        <v>2504.4642857142858</v>
      </c>
      <c r="J57" s="57">
        <f t="shared" ca="1" si="35"/>
        <v>17531.250000000033</v>
      </c>
      <c r="K57" s="90">
        <f t="shared" ca="1" si="21"/>
        <v>0</v>
      </c>
      <c r="L57" s="37">
        <f t="shared" ca="1" si="36"/>
        <v>0</v>
      </c>
      <c r="M57" s="37">
        <f t="shared" ca="1" si="10"/>
        <v>0</v>
      </c>
      <c r="N57" s="57">
        <f t="shared" ca="1" si="37"/>
        <v>0</v>
      </c>
      <c r="O57" s="90">
        <f t="shared" ca="1" si="22"/>
        <v>0</v>
      </c>
      <c r="P57" s="37">
        <f t="shared" ca="1" si="38"/>
        <v>0</v>
      </c>
      <c r="Q57" s="222">
        <f t="shared" ca="1" si="11"/>
        <v>0</v>
      </c>
      <c r="R57" s="57">
        <f t="shared" ca="1" si="39"/>
        <v>0</v>
      </c>
      <c r="S57" s="90">
        <f t="shared" ca="1" si="23"/>
        <v>11504.67939036536</v>
      </c>
      <c r="T57" s="37">
        <f t="shared" ca="1" si="40"/>
        <v>633.33260043961309</v>
      </c>
      <c r="U57" s="222">
        <f t="shared" ca="1" si="12"/>
        <v>1520.0134240523544</v>
      </c>
      <c r="V57" s="57">
        <f t="shared" ca="1" si="41"/>
        <v>9984.6659663130049</v>
      </c>
      <c r="W57" s="90">
        <f t="shared" ca="1" si="24"/>
        <v>7852.1272662537895</v>
      </c>
      <c r="X57" s="37">
        <f t="shared" ca="1" si="42"/>
        <v>510.38827230649633</v>
      </c>
      <c r="Y57" s="37">
        <f t="shared" ca="1" si="13"/>
        <v>3802.4829376531716</v>
      </c>
      <c r="Z57" s="37">
        <f t="shared" ca="1" si="43"/>
        <v>4049.6443286006179</v>
      </c>
      <c r="AA57" s="825"/>
      <c r="AB57" s="57"/>
      <c r="AC57" s="37"/>
      <c r="AD57" s="33"/>
      <c r="AE57" s="37"/>
      <c r="AF57" s="57"/>
      <c r="AG57" s="90"/>
      <c r="AH57" s="33"/>
      <c r="AI57" s="1595"/>
      <c r="AJ57" s="221"/>
      <c r="AK57" s="912">
        <v>0</v>
      </c>
      <c r="AL57" s="1102">
        <f t="shared" si="25"/>
        <v>0</v>
      </c>
      <c r="AM57" s="990">
        <v>0</v>
      </c>
      <c r="AN57" s="32">
        <f t="shared" si="14"/>
        <v>0</v>
      </c>
      <c r="AO57" s="990">
        <v>0</v>
      </c>
      <c r="AP57" s="32">
        <f t="shared" si="15"/>
        <v>0</v>
      </c>
      <c r="AQ57" s="990">
        <v>0</v>
      </c>
      <c r="AR57" s="32">
        <f t="shared" si="16"/>
        <v>0</v>
      </c>
      <c r="AS57" s="990">
        <v>8362.9523809523816</v>
      </c>
      <c r="AT57" s="32">
        <f t="shared" si="17"/>
        <v>4.181476190476191E-2</v>
      </c>
      <c r="AU57" s="990">
        <f t="shared" ca="1" si="26"/>
        <v>0</v>
      </c>
      <c r="AV57" s="135">
        <f t="shared" ca="1" si="18"/>
        <v>0</v>
      </c>
      <c r="AW57" s="15"/>
      <c r="AX57" s="836">
        <v>7142.8571428571413</v>
      </c>
      <c r="AY57" s="163">
        <v>8362.9523809523816</v>
      </c>
      <c r="AZ57" s="135">
        <f t="shared" si="27"/>
        <v>4.181476190476191E-2</v>
      </c>
      <c r="BA57" s="825">
        <f ca="1">HLOOKUP($A57,CF_Table,CF!$AB$69)/2</f>
        <v>4072.3408337937408</v>
      </c>
      <c r="BB57" s="766">
        <v>3820.2766079294915</v>
      </c>
      <c r="BC57" s="37">
        <f ca="1">IF(BB57&lt;0,BC56,IF(SUM(BB$35:BB57)&gt;$Z$27,$Z$27-SUM(BC$34:BC56),BB57))</f>
        <v>0</v>
      </c>
      <c r="BD57" s="32">
        <f t="shared" ca="1" si="28"/>
        <v>0</v>
      </c>
      <c r="BE57" s="21">
        <f t="shared" ca="1" si="29"/>
        <v>7</v>
      </c>
      <c r="BF57" s="435">
        <f t="shared" ca="1" si="30"/>
        <v>0</v>
      </c>
    </row>
    <row r="58" spans="1:58">
      <c r="A58" s="542">
        <f>A57</f>
        <v>2012</v>
      </c>
      <c r="B58" s="266">
        <f t="shared" si="46"/>
        <v>23</v>
      </c>
      <c r="C58" s="91">
        <f t="shared" ca="1" si="19"/>
        <v>17531.250000000033</v>
      </c>
      <c r="D58" s="59">
        <f t="shared" ca="1" si="32"/>
        <v>617.10000000000116</v>
      </c>
      <c r="E58" s="59">
        <f t="shared" ca="1" si="8"/>
        <v>2504.4642857142858</v>
      </c>
      <c r="F58" s="61">
        <f t="shared" ca="1" si="47"/>
        <v>15026.785714285747</v>
      </c>
      <c r="G58" s="91">
        <f t="shared" ca="1" si="20"/>
        <v>17531.250000000033</v>
      </c>
      <c r="H58" s="59">
        <f t="shared" ca="1" si="34"/>
        <v>655.6687500000013</v>
      </c>
      <c r="I58" s="59">
        <f t="shared" ca="1" si="9"/>
        <v>2504.4642857142858</v>
      </c>
      <c r="J58" s="61">
        <f t="shared" ca="1" si="35"/>
        <v>15026.785714285747</v>
      </c>
      <c r="K58" s="91">
        <f t="shared" ca="1" si="21"/>
        <v>0</v>
      </c>
      <c r="L58" s="59">
        <f t="shared" ca="1" si="36"/>
        <v>0</v>
      </c>
      <c r="M58" s="59">
        <f t="shared" ca="1" si="10"/>
        <v>0</v>
      </c>
      <c r="N58" s="61">
        <f t="shared" ca="1" si="37"/>
        <v>0</v>
      </c>
      <c r="O58" s="91">
        <f t="shared" ca="1" si="22"/>
        <v>0</v>
      </c>
      <c r="P58" s="59">
        <f t="shared" ca="1" si="38"/>
        <v>0</v>
      </c>
      <c r="Q58" s="828">
        <f t="shared" ca="1" si="11"/>
        <v>0</v>
      </c>
      <c r="R58" s="61">
        <f t="shared" ca="1" si="39"/>
        <v>0</v>
      </c>
      <c r="S58" s="91">
        <f t="shared" ca="1" si="23"/>
        <v>9984.6659663130049</v>
      </c>
      <c r="T58" s="59">
        <f t="shared" ca="1" si="40"/>
        <v>549.65586144553095</v>
      </c>
      <c r="U58" s="828">
        <f t="shared" ca="1" si="12"/>
        <v>1520.0134240523544</v>
      </c>
      <c r="V58" s="61">
        <f t="shared" ca="1" si="41"/>
        <v>8464.6525422606501</v>
      </c>
      <c r="W58" s="91">
        <f t="shared" ca="1" si="24"/>
        <v>4049.6443286006179</v>
      </c>
      <c r="X58" s="59">
        <f t="shared" ca="1" si="42"/>
        <v>263.22688135904019</v>
      </c>
      <c r="Y58" s="59">
        <f t="shared" ca="1" si="13"/>
        <v>4049.6443286006179</v>
      </c>
      <c r="Z58" s="59">
        <f t="shared" ca="1" si="43"/>
        <v>0</v>
      </c>
      <c r="AA58" s="826">
        <f ca="1" xml:space="preserve"> SUM(D57:D58,H57:H58,L57:L58,P57:P58, T57:T58)</f>
        <v>3910.3500690280061</v>
      </c>
      <c r="AB58" s="61">
        <f ca="1" xml:space="preserve"> SUM(E57:E58,I57:I58,M57:M58,Q57:Q58, U57:U58)</f>
        <v>13057.883990961853</v>
      </c>
      <c r="AC58" s="59">
        <f ca="1">SUM(X57:X58)</f>
        <v>773.61515366553658</v>
      </c>
      <c r="AD58" s="543">
        <f ca="1">SUM(Y57:Y58)</f>
        <v>7852.1272662537895</v>
      </c>
      <c r="AE58" s="59">
        <f ca="1">SUM(D57:D58,H57:H58)</f>
        <v>2727.3616071428619</v>
      </c>
      <c r="AF58" s="61">
        <f ca="1">SUM(E57:E58,I57:I58)</f>
        <v>10017.857142857143</v>
      </c>
      <c r="AG58" s="91">
        <f ca="1">SUM(T57:T58)</f>
        <v>1182.988461885144</v>
      </c>
      <c r="AH58" s="543">
        <f ca="1">SUM(U57:U58)</f>
        <v>3040.0268481047087</v>
      </c>
      <c r="AI58" s="1595">
        <f ca="1">(C57+G57+K57+S57+W57)*IF(RAROC!$B$103=1,VLOOKUP('Debt Amort'!A58,RAROC!$A$107:$D$113,2),IF(RAROC!$B$103=2,VLOOKUP('Debt Amort'!A58,RAROC!$A$107:$D$113,3),IF(RAROC!$B$103=3,VLOOKUP('Debt Amort'!A58,RAROC!$A$107:$D$113,4),0)))*((13-MONTH(Startops3))/12)</f>
        <v>0</v>
      </c>
      <c r="AJ58" s="221"/>
      <c r="AK58" s="912">
        <v>0</v>
      </c>
      <c r="AL58" s="1102">
        <f t="shared" si="25"/>
        <v>0</v>
      </c>
      <c r="AM58" s="990">
        <v>0</v>
      </c>
      <c r="AN58" s="32">
        <f t="shared" si="14"/>
        <v>0</v>
      </c>
      <c r="AO58" s="990">
        <v>0</v>
      </c>
      <c r="AP58" s="32">
        <f t="shared" si="15"/>
        <v>0</v>
      </c>
      <c r="AQ58" s="990">
        <v>0</v>
      </c>
      <c r="AR58" s="32">
        <f t="shared" si="16"/>
        <v>0</v>
      </c>
      <c r="AS58" s="990">
        <v>8362.9523809523816</v>
      </c>
      <c r="AT58" s="32">
        <f t="shared" si="17"/>
        <v>4.181476190476191E-2</v>
      </c>
      <c r="AU58" s="990">
        <f t="shared" ca="1" si="26"/>
        <v>0</v>
      </c>
      <c r="AV58" s="135">
        <f t="shared" ca="1" si="18"/>
        <v>0</v>
      </c>
      <c r="AW58" s="15"/>
      <c r="AX58" s="836">
        <v>7142.8571428571413</v>
      </c>
      <c r="AY58" s="163">
        <v>8362.9523809523816</v>
      </c>
      <c r="AZ58" s="135">
        <f t="shared" si="27"/>
        <v>4.181476190476191E-2</v>
      </c>
      <c r="BA58" s="825">
        <f ca="1">HLOOKUP($A58,CF_Table,CF!$AB$69)/2</f>
        <v>4072.3408337937408</v>
      </c>
      <c r="BB58" s="766">
        <v>3820.2766079294915</v>
      </c>
      <c r="BC58" s="37">
        <f ca="1">IF(BB58&lt;0,BC57,IF(SUM(BB$35:BB58)&gt;$Z$27,$Z$27-SUM(BC$34:BC57),BB58))</f>
        <v>0</v>
      </c>
      <c r="BD58" s="32">
        <f t="shared" ca="1" si="28"/>
        <v>0</v>
      </c>
      <c r="BE58" s="21">
        <f t="shared" ca="1" si="29"/>
        <v>7</v>
      </c>
      <c r="BF58" s="435">
        <f t="shared" ca="1" si="30"/>
        <v>0</v>
      </c>
    </row>
    <row r="59" spans="1:58">
      <c r="A59" s="139">
        <f t="shared" si="48"/>
        <v>2013</v>
      </c>
      <c r="B59" s="92">
        <f t="shared" si="46"/>
        <v>24</v>
      </c>
      <c r="C59" s="90">
        <f t="shared" ca="1" si="19"/>
        <v>15026.785714285747</v>
      </c>
      <c r="D59" s="37">
        <f t="shared" ca="1" si="32"/>
        <v>528.94285714285832</v>
      </c>
      <c r="E59" s="37">
        <f t="shared" ca="1" si="8"/>
        <v>2504.4642857142858</v>
      </c>
      <c r="F59" s="57">
        <f t="shared" ca="1" si="47"/>
        <v>12522.32142857146</v>
      </c>
      <c r="G59" s="90">
        <f t="shared" ca="1" si="20"/>
        <v>15026.785714285747</v>
      </c>
      <c r="H59" s="37">
        <f t="shared" ca="1" si="34"/>
        <v>562.00178571428694</v>
      </c>
      <c r="I59" s="37">
        <f t="shared" ca="1" si="9"/>
        <v>2504.4642857142858</v>
      </c>
      <c r="J59" s="57">
        <f t="shared" ca="1" si="35"/>
        <v>12522.32142857146</v>
      </c>
      <c r="K59" s="90">
        <f t="shared" ca="1" si="21"/>
        <v>0</v>
      </c>
      <c r="L59" s="37">
        <f t="shared" ca="1" si="36"/>
        <v>0</v>
      </c>
      <c r="M59" s="37">
        <f t="shared" ca="1" si="10"/>
        <v>0</v>
      </c>
      <c r="N59" s="57">
        <f t="shared" ca="1" si="37"/>
        <v>0</v>
      </c>
      <c r="O59" s="90">
        <f t="shared" ca="1" si="22"/>
        <v>0</v>
      </c>
      <c r="P59" s="37">
        <f t="shared" ca="1" si="38"/>
        <v>0</v>
      </c>
      <c r="Q59" s="222">
        <f t="shared" ca="1" si="11"/>
        <v>0</v>
      </c>
      <c r="R59" s="57">
        <f t="shared" ca="1" si="39"/>
        <v>0</v>
      </c>
      <c r="S59" s="90">
        <f t="shared" ca="1" si="23"/>
        <v>8464.6525422606501</v>
      </c>
      <c r="T59" s="37">
        <f t="shared" ca="1" si="40"/>
        <v>465.9791224514488</v>
      </c>
      <c r="U59" s="222">
        <f t="shared" ca="1" si="12"/>
        <v>1520.0134240523544</v>
      </c>
      <c r="V59" s="57">
        <f t="shared" ca="1" si="41"/>
        <v>6944.6391182082953</v>
      </c>
      <c r="W59" s="90">
        <f t="shared" ca="1" si="24"/>
        <v>0</v>
      </c>
      <c r="X59" s="37">
        <f t="shared" ca="1" si="42"/>
        <v>0</v>
      </c>
      <c r="Y59" s="37">
        <f t="shared" ca="1" si="13"/>
        <v>0</v>
      </c>
      <c r="Z59" s="37">
        <f t="shared" ca="1" si="43"/>
        <v>0</v>
      </c>
      <c r="AA59" s="825"/>
      <c r="AB59" s="57"/>
      <c r="AC59" s="37"/>
      <c r="AD59" s="33"/>
      <c r="AE59" s="37"/>
      <c r="AF59" s="57"/>
      <c r="AG59" s="90"/>
      <c r="AH59" s="33"/>
      <c r="AI59" s="1595"/>
      <c r="AJ59" s="221"/>
      <c r="AK59" s="912">
        <v>0</v>
      </c>
      <c r="AL59" s="1102">
        <f t="shared" si="25"/>
        <v>0</v>
      </c>
      <c r="AM59" s="990">
        <v>0</v>
      </c>
      <c r="AN59" s="32">
        <f t="shared" si="14"/>
        <v>0</v>
      </c>
      <c r="AO59" s="990">
        <v>0</v>
      </c>
      <c r="AP59" s="32">
        <f t="shared" si="15"/>
        <v>0</v>
      </c>
      <c r="AQ59" s="990">
        <v>0</v>
      </c>
      <c r="AR59" s="32">
        <f t="shared" si="16"/>
        <v>0</v>
      </c>
      <c r="AS59" s="990">
        <v>8362.9523809523816</v>
      </c>
      <c r="AT59" s="32">
        <f t="shared" si="17"/>
        <v>4.181476190476191E-2</v>
      </c>
      <c r="AU59" s="990">
        <f t="shared" ca="1" si="26"/>
        <v>0</v>
      </c>
      <c r="AV59" s="135">
        <f t="shared" ca="1" si="18"/>
        <v>0</v>
      </c>
      <c r="AW59" s="15"/>
      <c r="AX59" s="836">
        <v>7142.8571428571413</v>
      </c>
      <c r="AY59" s="163">
        <v>8362.9523809523816</v>
      </c>
      <c r="AZ59" s="135">
        <f t="shared" si="27"/>
        <v>4.181476190476191E-2</v>
      </c>
      <c r="BA59" s="825">
        <f ca="1">HLOOKUP($A59,CF_Table,CF!$AB$69)/2</f>
        <v>7155.9941736353312</v>
      </c>
      <c r="BB59" s="766">
        <v>744.52186898280979</v>
      </c>
      <c r="BC59" s="37">
        <f ca="1">IF(BB59&lt;0,BC58,IF(SUM(BB$35:BB59)&gt;$Z$27,$Z$27-SUM(BC$34:BC58),BB59))</f>
        <v>0</v>
      </c>
      <c r="BD59" s="32">
        <f t="shared" ca="1" si="28"/>
        <v>0</v>
      </c>
      <c r="BE59" s="21">
        <f t="shared" ca="1" si="29"/>
        <v>7</v>
      </c>
      <c r="BF59" s="435">
        <f t="shared" ca="1" si="30"/>
        <v>0</v>
      </c>
    </row>
    <row r="60" spans="1:58">
      <c r="A60" s="542">
        <f>A59</f>
        <v>2013</v>
      </c>
      <c r="B60" s="266">
        <f t="shared" si="46"/>
        <v>25</v>
      </c>
      <c r="C60" s="91">
        <f t="shared" ca="1" si="19"/>
        <v>12522.32142857146</v>
      </c>
      <c r="D60" s="59">
        <f t="shared" ca="1" si="32"/>
        <v>440.78571428571541</v>
      </c>
      <c r="E60" s="59">
        <f t="shared" ca="1" si="8"/>
        <v>2504.4642857142858</v>
      </c>
      <c r="F60" s="61">
        <f t="shared" ca="1" si="47"/>
        <v>10017.857142857174</v>
      </c>
      <c r="G60" s="91">
        <f t="shared" ca="1" si="20"/>
        <v>12522.32142857146</v>
      </c>
      <c r="H60" s="59">
        <f t="shared" ca="1" si="34"/>
        <v>468.33482142857264</v>
      </c>
      <c r="I60" s="59">
        <f t="shared" ca="1" si="9"/>
        <v>2504.4642857142858</v>
      </c>
      <c r="J60" s="61">
        <f t="shared" ca="1" si="35"/>
        <v>10017.857142857174</v>
      </c>
      <c r="K60" s="91">
        <f t="shared" ca="1" si="21"/>
        <v>0</v>
      </c>
      <c r="L60" s="59">
        <f t="shared" ca="1" si="36"/>
        <v>0</v>
      </c>
      <c r="M60" s="59">
        <f t="shared" ca="1" si="10"/>
        <v>0</v>
      </c>
      <c r="N60" s="61">
        <f t="shared" ca="1" si="37"/>
        <v>0</v>
      </c>
      <c r="O60" s="91">
        <f t="shared" ca="1" si="22"/>
        <v>0</v>
      </c>
      <c r="P60" s="59">
        <f t="shared" ca="1" si="38"/>
        <v>0</v>
      </c>
      <c r="Q60" s="828">
        <f t="shared" ca="1" si="11"/>
        <v>0</v>
      </c>
      <c r="R60" s="61">
        <f t="shared" ca="1" si="39"/>
        <v>0</v>
      </c>
      <c r="S60" s="91">
        <f t="shared" ca="1" si="23"/>
        <v>6944.6391182082953</v>
      </c>
      <c r="T60" s="59">
        <f t="shared" ca="1" si="40"/>
        <v>382.30238345736666</v>
      </c>
      <c r="U60" s="828">
        <f t="shared" ca="1" si="12"/>
        <v>1520.0134240523544</v>
      </c>
      <c r="V60" s="61">
        <f t="shared" ca="1" si="41"/>
        <v>5424.6256941559404</v>
      </c>
      <c r="W60" s="91">
        <f t="shared" ca="1" si="24"/>
        <v>0</v>
      </c>
      <c r="X60" s="59">
        <f t="shared" ca="1" si="42"/>
        <v>0</v>
      </c>
      <c r="Y60" s="59">
        <f t="shared" ca="1" si="13"/>
        <v>0</v>
      </c>
      <c r="Z60" s="59">
        <f t="shared" ca="1" si="43"/>
        <v>0</v>
      </c>
      <c r="AA60" s="826">
        <f ca="1" xml:space="preserve"> SUM(D59:D60,H59:H60,L59:L60,P59:P60, T59:T60)</f>
        <v>2848.3466844802488</v>
      </c>
      <c r="AB60" s="61">
        <f ca="1" xml:space="preserve"> SUM(E59:E60,I59:I60,M59:M60,Q59:Q60, U59:U60)</f>
        <v>13057.883990961853</v>
      </c>
      <c r="AC60" s="59">
        <f ca="1">SUM(X59:X60)</f>
        <v>0</v>
      </c>
      <c r="AD60" s="543">
        <f ca="1">SUM(Y59:Y60)</f>
        <v>0</v>
      </c>
      <c r="AE60" s="59">
        <f ca="1">SUM(D59:D60,H59:H60)</f>
        <v>2000.0651785714333</v>
      </c>
      <c r="AF60" s="61">
        <f ca="1">SUM(E59:E60,I59:I60)</f>
        <v>10017.857142857143</v>
      </c>
      <c r="AG60" s="91">
        <f ca="1">SUM(T59:T60)</f>
        <v>848.28150590881546</v>
      </c>
      <c r="AH60" s="543">
        <f ca="1">SUM(U59:U60)</f>
        <v>3040.0268481047087</v>
      </c>
      <c r="AI60" s="1595">
        <f ca="1">(C59+G59+K59+S59+W59)*IF(RAROC!$B$103=1,VLOOKUP('Debt Amort'!A60,RAROC!$A$107:$D$113,2),IF(RAROC!$B$103=2,VLOOKUP('Debt Amort'!A60,RAROC!$A$107:$D$113,3),IF(RAROC!$B$103=3,VLOOKUP('Debt Amort'!A60,RAROC!$A$107:$D$113,4),0)))*((13-MONTH(Startops3))/12)</f>
        <v>0</v>
      </c>
      <c r="AJ60" s="221"/>
      <c r="AK60" s="912">
        <v>0</v>
      </c>
      <c r="AL60" s="1102">
        <f t="shared" si="25"/>
        <v>0</v>
      </c>
      <c r="AM60" s="990">
        <v>0</v>
      </c>
      <c r="AN60" s="32">
        <f t="shared" si="14"/>
        <v>0</v>
      </c>
      <c r="AO60" s="990">
        <v>0</v>
      </c>
      <c r="AP60" s="32">
        <f t="shared" si="15"/>
        <v>0</v>
      </c>
      <c r="AQ60" s="990">
        <v>0</v>
      </c>
      <c r="AR60" s="32">
        <f t="shared" si="16"/>
        <v>0</v>
      </c>
      <c r="AS60" s="990">
        <v>8362.9523809523816</v>
      </c>
      <c r="AT60" s="32">
        <f t="shared" si="17"/>
        <v>4.181476190476191E-2</v>
      </c>
      <c r="AU60" s="990">
        <f t="shared" ca="1" si="26"/>
        <v>0</v>
      </c>
      <c r="AV60" s="135">
        <f t="shared" ca="1" si="18"/>
        <v>0</v>
      </c>
      <c r="AW60" s="15"/>
      <c r="AX60" s="836">
        <v>7142.8571428571413</v>
      </c>
      <c r="AY60" s="163">
        <v>8362.9523809523816</v>
      </c>
      <c r="AZ60" s="135">
        <f t="shared" si="27"/>
        <v>4.181476190476191E-2</v>
      </c>
      <c r="BA60" s="825">
        <f ca="1">HLOOKUP($A60,CF_Table,CF!$AB$69)/2</f>
        <v>7155.9941736353312</v>
      </c>
      <c r="BB60" s="766">
        <v>744.52186898280979</v>
      </c>
      <c r="BC60" s="37">
        <f ca="1">IF(BB60&lt;0,BC59,IF(SUM(BB$35:BB60)&gt;$Z$27,$Z$27-SUM(BC$34:BC59),BB60))</f>
        <v>0</v>
      </c>
      <c r="BD60" s="32">
        <f t="shared" ca="1" si="28"/>
        <v>0</v>
      </c>
      <c r="BE60" s="21">
        <f t="shared" ca="1" si="29"/>
        <v>7</v>
      </c>
      <c r="BF60" s="435">
        <f t="shared" ca="1" si="30"/>
        <v>0</v>
      </c>
    </row>
    <row r="61" spans="1:58">
      <c r="A61" s="139">
        <f t="shared" si="48"/>
        <v>2014</v>
      </c>
      <c r="B61" s="92">
        <f t="shared" si="46"/>
        <v>26</v>
      </c>
      <c r="C61" s="90">
        <f t="shared" ca="1" si="19"/>
        <v>10017.857142857174</v>
      </c>
      <c r="D61" s="37">
        <f t="shared" ca="1" si="32"/>
        <v>352.62857142857257</v>
      </c>
      <c r="E61" s="37">
        <f t="shared" ca="1" si="8"/>
        <v>2504.4642857142858</v>
      </c>
      <c r="F61" s="57">
        <f t="shared" ca="1" si="47"/>
        <v>7513.3928571428878</v>
      </c>
      <c r="G61" s="90">
        <f t="shared" ca="1" si="20"/>
        <v>10017.857142857174</v>
      </c>
      <c r="H61" s="37">
        <f t="shared" ca="1" si="34"/>
        <v>374.66785714285834</v>
      </c>
      <c r="I61" s="37">
        <f t="shared" ca="1" si="9"/>
        <v>2504.4642857142858</v>
      </c>
      <c r="J61" s="57">
        <f t="shared" ca="1" si="35"/>
        <v>7513.3928571428878</v>
      </c>
      <c r="K61" s="90">
        <f t="shared" ca="1" si="21"/>
        <v>0</v>
      </c>
      <c r="L61" s="37">
        <f t="shared" ca="1" si="36"/>
        <v>0</v>
      </c>
      <c r="M61" s="37">
        <f t="shared" ca="1" si="10"/>
        <v>0</v>
      </c>
      <c r="N61" s="57">
        <f t="shared" ca="1" si="37"/>
        <v>0</v>
      </c>
      <c r="O61" s="90">
        <f t="shared" ca="1" si="22"/>
        <v>0</v>
      </c>
      <c r="P61" s="37">
        <f t="shared" ca="1" si="38"/>
        <v>0</v>
      </c>
      <c r="Q61" s="222">
        <f t="shared" ca="1" si="11"/>
        <v>0</v>
      </c>
      <c r="R61" s="57">
        <f t="shared" ca="1" si="39"/>
        <v>0</v>
      </c>
      <c r="S61" s="90">
        <f t="shared" ca="1" si="23"/>
        <v>5424.6256941559404</v>
      </c>
      <c r="T61" s="37">
        <f t="shared" ca="1" si="40"/>
        <v>298.62564446328452</v>
      </c>
      <c r="U61" s="222">
        <f t="shared" ca="1" si="12"/>
        <v>1520.0134240523544</v>
      </c>
      <c r="V61" s="57">
        <f t="shared" ca="1" si="41"/>
        <v>3904.6122701035861</v>
      </c>
      <c r="W61" s="90">
        <f t="shared" ca="1" si="24"/>
        <v>0</v>
      </c>
      <c r="X61" s="37">
        <f t="shared" ca="1" si="42"/>
        <v>0</v>
      </c>
      <c r="Y61" s="222">
        <f t="shared" ca="1" si="13"/>
        <v>0</v>
      </c>
      <c r="Z61" s="37">
        <f t="shared" ca="1" si="43"/>
        <v>0</v>
      </c>
      <c r="AA61" s="825"/>
      <c r="AB61" s="57"/>
      <c r="AC61" s="37"/>
      <c r="AD61" s="33"/>
      <c r="AE61" s="37"/>
      <c r="AF61" s="57"/>
      <c r="AG61" s="90"/>
      <c r="AH61" s="33"/>
      <c r="AI61" s="1595"/>
      <c r="AJ61" s="221"/>
      <c r="AK61" s="912">
        <v>0</v>
      </c>
      <c r="AL61" s="1102">
        <f t="shared" si="25"/>
        <v>0</v>
      </c>
      <c r="AM61" s="990">
        <v>0</v>
      </c>
      <c r="AN61" s="32">
        <f t="shared" si="14"/>
        <v>0</v>
      </c>
      <c r="AO61" s="990">
        <v>0</v>
      </c>
      <c r="AP61" s="32">
        <f t="shared" si="15"/>
        <v>0</v>
      </c>
      <c r="AQ61" s="990">
        <v>0</v>
      </c>
      <c r="AR61" s="32">
        <f t="shared" si="16"/>
        <v>0</v>
      </c>
      <c r="AS61" s="990">
        <v>8362.9523809523816</v>
      </c>
      <c r="AT61" s="32">
        <f t="shared" si="17"/>
        <v>4.181476190476191E-2</v>
      </c>
      <c r="AU61" s="990">
        <f t="shared" ca="1" si="26"/>
        <v>0</v>
      </c>
      <c r="AV61" s="135">
        <f t="shared" ca="1" si="18"/>
        <v>0</v>
      </c>
      <c r="AW61" s="15"/>
      <c r="AX61" s="836">
        <v>7142.8571428571413</v>
      </c>
      <c r="AY61" s="163">
        <v>8362.9523809523816</v>
      </c>
      <c r="AZ61" s="135">
        <f t="shared" si="27"/>
        <v>4.181476190476191E-2</v>
      </c>
      <c r="BA61" s="825">
        <f ca="1">HLOOKUP($A61,CF_Table,CF!$AB$69)/2</f>
        <v>2904.8841701752472</v>
      </c>
      <c r="BB61" s="766">
        <v>2368.9934693481082</v>
      </c>
      <c r="BC61" s="37">
        <f ca="1">IF(BB61&lt;0,BC60,IF(SUM(BB$35:BB61)&gt;$Z$27,$Z$27-SUM(BC$34:BC60),BB61))</f>
        <v>0</v>
      </c>
      <c r="BD61" s="32">
        <f t="shared" ca="1" si="28"/>
        <v>0</v>
      </c>
      <c r="BE61" s="21">
        <f t="shared" ca="1" si="29"/>
        <v>7</v>
      </c>
      <c r="BF61" s="435">
        <f t="shared" ca="1" si="30"/>
        <v>0</v>
      </c>
    </row>
    <row r="62" spans="1:58">
      <c r="A62" s="542">
        <f>A61</f>
        <v>2014</v>
      </c>
      <c r="B62" s="266">
        <f t="shared" si="46"/>
        <v>27</v>
      </c>
      <c r="C62" s="91">
        <f t="shared" ca="1" si="19"/>
        <v>7513.3928571428878</v>
      </c>
      <c r="D62" s="59">
        <f t="shared" ca="1" si="32"/>
        <v>264.47142857142967</v>
      </c>
      <c r="E62" s="59">
        <f t="shared" ca="1" si="8"/>
        <v>2504.4642857142858</v>
      </c>
      <c r="F62" s="61">
        <f t="shared" ca="1" si="47"/>
        <v>5008.9285714286016</v>
      </c>
      <c r="G62" s="91">
        <f t="shared" ca="1" si="20"/>
        <v>7513.3928571428878</v>
      </c>
      <c r="H62" s="59">
        <f t="shared" ca="1" si="34"/>
        <v>281.00089285714404</v>
      </c>
      <c r="I62" s="59">
        <f t="shared" ca="1" si="9"/>
        <v>2504.4642857142858</v>
      </c>
      <c r="J62" s="61">
        <f t="shared" ca="1" si="35"/>
        <v>5008.9285714286016</v>
      </c>
      <c r="K62" s="91">
        <f t="shared" ca="1" si="21"/>
        <v>0</v>
      </c>
      <c r="L62" s="59">
        <f t="shared" ca="1" si="36"/>
        <v>0</v>
      </c>
      <c r="M62" s="59">
        <f t="shared" ca="1" si="10"/>
        <v>0</v>
      </c>
      <c r="N62" s="61">
        <f t="shared" ca="1" si="37"/>
        <v>0</v>
      </c>
      <c r="O62" s="91">
        <f t="shared" ca="1" si="22"/>
        <v>0</v>
      </c>
      <c r="P62" s="59">
        <f t="shared" ca="1" si="38"/>
        <v>0</v>
      </c>
      <c r="Q62" s="828">
        <f t="shared" ca="1" si="11"/>
        <v>0</v>
      </c>
      <c r="R62" s="61">
        <f t="shared" ca="1" si="39"/>
        <v>0</v>
      </c>
      <c r="S62" s="91">
        <f t="shared" ca="1" si="23"/>
        <v>3904.6122701035861</v>
      </c>
      <c r="T62" s="59">
        <f t="shared" ca="1" si="40"/>
        <v>214.94890546920243</v>
      </c>
      <c r="U62" s="828">
        <f t="shared" ca="1" si="12"/>
        <v>1629.066783785529</v>
      </c>
      <c r="V62" s="61">
        <f t="shared" ca="1" si="41"/>
        <v>2275.5454863180571</v>
      </c>
      <c r="W62" s="91">
        <f t="shared" ca="1" si="24"/>
        <v>0</v>
      </c>
      <c r="X62" s="59">
        <f t="shared" ca="1" si="42"/>
        <v>0</v>
      </c>
      <c r="Y62" s="828">
        <f t="shared" ca="1" si="13"/>
        <v>0</v>
      </c>
      <c r="Z62" s="59">
        <f t="shared" ca="1" si="43"/>
        <v>0</v>
      </c>
      <c r="AA62" s="826">
        <f ca="1" xml:space="preserve"> SUM(D61:D62,H61:H62,L61:L62,P61:P62, T61:T62)</f>
        <v>1786.3432999324914</v>
      </c>
      <c r="AB62" s="61">
        <f ca="1" xml:space="preserve"> SUM(E61:E62,I61:I62,M61:M62,Q61:Q62, U61:U62)</f>
        <v>13166.937350695027</v>
      </c>
      <c r="AC62" s="59">
        <f ca="1">SUM(X61:X62)</f>
        <v>0</v>
      </c>
      <c r="AD62" s="543">
        <f ca="1">SUM(Y61:Y62)</f>
        <v>0</v>
      </c>
      <c r="AE62" s="59">
        <f ca="1">SUM(D61:D62,H61:H62)</f>
        <v>1272.7687500000045</v>
      </c>
      <c r="AF62" s="61">
        <f ca="1">SUM(E61:E62,I61:I62)</f>
        <v>10017.857142857143</v>
      </c>
      <c r="AG62" s="91">
        <f ca="1">SUM(T61:T62)</f>
        <v>513.57454993248689</v>
      </c>
      <c r="AH62" s="543">
        <f ca="1">SUM(U61:U62)</f>
        <v>3149.0802078378833</v>
      </c>
      <c r="AI62" s="1595">
        <f ca="1">(C61+G61+K61+S61+W61)*IF(RAROC!$B$103=1,VLOOKUP('Debt Amort'!A62,RAROC!$A$107:$D$113,2),IF(RAROC!$B$103=2,VLOOKUP('Debt Amort'!A62,RAROC!$A$107:$D$113,3),IF(RAROC!$B$103=3,VLOOKUP('Debt Amort'!A62,RAROC!$A$107:$D$113,4),0)))*((13-MONTH(Startops3))/12)</f>
        <v>0</v>
      </c>
      <c r="AJ62" s="221"/>
      <c r="AK62" s="912">
        <v>0</v>
      </c>
      <c r="AL62" s="1102">
        <f t="shared" si="25"/>
        <v>0</v>
      </c>
      <c r="AM62" s="990">
        <v>0</v>
      </c>
      <c r="AN62" s="32">
        <f t="shared" si="14"/>
        <v>0</v>
      </c>
      <c r="AO62" s="990">
        <v>0</v>
      </c>
      <c r="AP62" s="32">
        <f t="shared" si="15"/>
        <v>0</v>
      </c>
      <c r="AQ62" s="990">
        <v>0</v>
      </c>
      <c r="AR62" s="32">
        <f t="shared" si="16"/>
        <v>0</v>
      </c>
      <c r="AS62" s="990">
        <v>8962.9523809523798</v>
      </c>
      <c r="AT62" s="32">
        <f t="shared" si="17"/>
        <v>4.4814761904761899E-2</v>
      </c>
      <c r="AU62" s="990">
        <f t="shared" ca="1" si="26"/>
        <v>0</v>
      </c>
      <c r="AV62" s="135">
        <f t="shared" ca="1" si="18"/>
        <v>0</v>
      </c>
      <c r="AW62" s="15"/>
      <c r="AX62" s="836">
        <v>7142.8571428571413</v>
      </c>
      <c r="AY62" s="163">
        <f>8362.95238095238+200+400</f>
        <v>8962.9523809523798</v>
      </c>
      <c r="AZ62" s="135">
        <f t="shared" si="27"/>
        <v>4.4814761904761899E-2</v>
      </c>
      <c r="BA62" s="825">
        <f ca="1">HLOOKUP($A62,CF_Table,CF!$AB$69)/2</f>
        <v>2904.8841701752472</v>
      </c>
      <c r="BB62" s="766">
        <v>2368.9934693481082</v>
      </c>
      <c r="BC62" s="37">
        <f ca="1">IF(BB62&lt;0,BC61,IF(SUM(BB$35:BB62)&gt;$Z$27,$Z$27-SUM(BC$34:BC61),BB62))</f>
        <v>0</v>
      </c>
      <c r="BD62" s="32">
        <f t="shared" ca="1" si="28"/>
        <v>0</v>
      </c>
      <c r="BE62" s="21">
        <f t="shared" ca="1" si="29"/>
        <v>7</v>
      </c>
      <c r="BF62" s="435">
        <f t="shared" ca="1" si="30"/>
        <v>0</v>
      </c>
    </row>
    <row r="63" spans="1:58">
      <c r="A63" s="139">
        <f t="shared" si="48"/>
        <v>2015</v>
      </c>
      <c r="B63" s="92">
        <f t="shared" si="46"/>
        <v>28</v>
      </c>
      <c r="C63" s="90">
        <f t="shared" ca="1" si="19"/>
        <v>5008.9285714286016</v>
      </c>
      <c r="D63" s="37">
        <f t="shared" ca="1" si="32"/>
        <v>176.3142857142868</v>
      </c>
      <c r="E63" s="37">
        <f t="shared" ca="1" si="8"/>
        <v>2504.4642857142858</v>
      </c>
      <c r="F63" s="57">
        <f t="shared" ca="1" si="47"/>
        <v>2504.4642857143158</v>
      </c>
      <c r="G63" s="90">
        <f t="shared" ca="1" si="20"/>
        <v>5008.9285714286016</v>
      </c>
      <c r="H63" s="37">
        <f t="shared" ca="1" si="34"/>
        <v>187.33392857142971</v>
      </c>
      <c r="I63" s="37">
        <f t="shared" ca="1" si="9"/>
        <v>2504.4642857142858</v>
      </c>
      <c r="J63" s="57">
        <f t="shared" ca="1" si="35"/>
        <v>2504.4642857143158</v>
      </c>
      <c r="K63" s="90">
        <f t="shared" ca="1" si="21"/>
        <v>0</v>
      </c>
      <c r="L63" s="37">
        <f t="shared" ca="1" si="36"/>
        <v>0</v>
      </c>
      <c r="M63" s="37">
        <f t="shared" ca="1" si="10"/>
        <v>0</v>
      </c>
      <c r="N63" s="57">
        <f t="shared" ca="1" si="37"/>
        <v>0</v>
      </c>
      <c r="O63" s="90">
        <f t="shared" ca="1" si="22"/>
        <v>0</v>
      </c>
      <c r="P63" s="37">
        <f t="shared" ca="1" si="38"/>
        <v>0</v>
      </c>
      <c r="Q63" s="222">
        <f t="shared" ca="1" si="11"/>
        <v>0</v>
      </c>
      <c r="R63" s="57">
        <f t="shared" ca="1" si="39"/>
        <v>0</v>
      </c>
      <c r="S63" s="90">
        <f t="shared" ca="1" si="23"/>
        <v>2275.5454863180571</v>
      </c>
      <c r="T63" s="37">
        <f t="shared" ca="1" si="40"/>
        <v>125.26877902180905</v>
      </c>
      <c r="U63" s="222">
        <f t="shared" ca="1" si="12"/>
        <v>1710.8568035854282</v>
      </c>
      <c r="V63" s="57">
        <f t="shared" ca="1" si="41"/>
        <v>564.68868273262888</v>
      </c>
      <c r="W63" s="90">
        <f t="shared" ca="1" si="24"/>
        <v>0</v>
      </c>
      <c r="X63" s="37">
        <f t="shared" ca="1" si="42"/>
        <v>0</v>
      </c>
      <c r="Y63" s="222">
        <f t="shared" ca="1" si="13"/>
        <v>0</v>
      </c>
      <c r="Z63" s="37">
        <f t="shared" ca="1" si="43"/>
        <v>0</v>
      </c>
      <c r="AA63" s="825"/>
      <c r="AB63" s="57"/>
      <c r="AC63" s="37"/>
      <c r="AD63" s="33"/>
      <c r="AE63" s="37"/>
      <c r="AF63" s="57"/>
      <c r="AG63" s="90"/>
      <c r="AH63" s="33"/>
      <c r="AI63" s="1595"/>
      <c r="AJ63" s="221"/>
      <c r="AK63" s="912">
        <v>0</v>
      </c>
      <c r="AL63" s="1102">
        <f t="shared" si="25"/>
        <v>0</v>
      </c>
      <c r="AM63" s="990">
        <v>0</v>
      </c>
      <c r="AN63" s="32">
        <f t="shared" si="14"/>
        <v>0</v>
      </c>
      <c r="AO63" s="990">
        <v>0</v>
      </c>
      <c r="AP63" s="32">
        <f t="shared" si="15"/>
        <v>0</v>
      </c>
      <c r="AQ63" s="990">
        <v>0</v>
      </c>
      <c r="AR63" s="32">
        <f t="shared" si="16"/>
        <v>0</v>
      </c>
      <c r="AS63" s="990">
        <v>9412.9523809524781</v>
      </c>
      <c r="AT63" s="32">
        <f t="shared" si="17"/>
        <v>4.7064761904762394E-2</v>
      </c>
      <c r="AU63" s="990">
        <f t="shared" ca="1" si="26"/>
        <v>0</v>
      </c>
      <c r="AV63" s="135">
        <f t="shared" ca="1" si="18"/>
        <v>0</v>
      </c>
      <c r="AW63" s="15"/>
      <c r="AX63" s="836">
        <v>7142.8571428571113</v>
      </c>
      <c r="AY63" s="163">
        <v>9412.9523809524781</v>
      </c>
      <c r="AZ63" s="135">
        <f t="shared" si="27"/>
        <v>4.7064761904762394E-2</v>
      </c>
      <c r="BA63" s="825">
        <f ca="1">HLOOKUP($A63,CF_Table,CF!$AB$69)/2</f>
        <v>-994.70648675628945</v>
      </c>
      <c r="BB63" s="766">
        <v>4315.6276241098658</v>
      </c>
      <c r="BC63" s="37">
        <f ca="1">IF(BB63&lt;0,BC62,IF(SUM(BB$35:BB63)&gt;$Z$27,$Z$27-SUM(BC$34:BC62),BB63))</f>
        <v>0</v>
      </c>
      <c r="BD63" s="32">
        <f t="shared" ca="1" si="28"/>
        <v>0</v>
      </c>
      <c r="BE63" s="21">
        <f t="shared" ca="1" si="29"/>
        <v>7</v>
      </c>
      <c r="BF63" s="435">
        <f t="shared" ca="1" si="30"/>
        <v>0</v>
      </c>
    </row>
    <row r="64" spans="1:58">
      <c r="A64" s="542">
        <f>A63</f>
        <v>2015</v>
      </c>
      <c r="B64" s="266">
        <f t="shared" si="46"/>
        <v>29</v>
      </c>
      <c r="C64" s="91">
        <f t="shared" ca="1" si="19"/>
        <v>2504.4642857143158</v>
      </c>
      <c r="D64" s="59">
        <f t="shared" ca="1" si="32"/>
        <v>88.157142857143924</v>
      </c>
      <c r="E64" s="59">
        <f t="shared" ca="1" si="8"/>
        <v>2504.4642857143158</v>
      </c>
      <c r="F64" s="61">
        <f t="shared" ca="1" si="47"/>
        <v>0</v>
      </c>
      <c r="G64" s="91">
        <f t="shared" ca="1" si="20"/>
        <v>2504.4642857143158</v>
      </c>
      <c r="H64" s="59">
        <f t="shared" ca="1" si="34"/>
        <v>93.666964285715423</v>
      </c>
      <c r="I64" s="59">
        <f t="shared" ca="1" si="9"/>
        <v>2504.4642857143158</v>
      </c>
      <c r="J64" s="61">
        <f t="shared" ca="1" si="35"/>
        <v>0</v>
      </c>
      <c r="K64" s="91">
        <f t="shared" ca="1" si="21"/>
        <v>0</v>
      </c>
      <c r="L64" s="59">
        <f t="shared" ca="1" si="36"/>
        <v>0</v>
      </c>
      <c r="M64" s="59">
        <f t="shared" ca="1" si="10"/>
        <v>0</v>
      </c>
      <c r="N64" s="61">
        <f t="shared" ca="1" si="37"/>
        <v>0</v>
      </c>
      <c r="O64" s="91">
        <f t="shared" ca="1" si="22"/>
        <v>0</v>
      </c>
      <c r="P64" s="59">
        <f t="shared" ca="1" si="38"/>
        <v>0</v>
      </c>
      <c r="Q64" s="828">
        <f t="shared" ca="1" si="11"/>
        <v>0</v>
      </c>
      <c r="R64" s="61">
        <f t="shared" ca="1" si="39"/>
        <v>0</v>
      </c>
      <c r="S64" s="91">
        <f t="shared" ca="1" si="23"/>
        <v>564.68868273262888</v>
      </c>
      <c r="T64" s="59">
        <f t="shared" ca="1" si="40"/>
        <v>31.08611198443122</v>
      </c>
      <c r="U64" s="828">
        <f t="shared" ca="1" si="12"/>
        <v>564.68868273262888</v>
      </c>
      <c r="V64" s="61">
        <f t="shared" ca="1" si="41"/>
        <v>0</v>
      </c>
      <c r="W64" s="91">
        <f t="shared" ca="1" si="24"/>
        <v>0</v>
      </c>
      <c r="X64" s="59">
        <f t="shared" ca="1" si="42"/>
        <v>0</v>
      </c>
      <c r="Y64" s="828">
        <f t="shared" ca="1" si="13"/>
        <v>0</v>
      </c>
      <c r="Z64" s="59">
        <f t="shared" ca="1" si="43"/>
        <v>0</v>
      </c>
      <c r="AA64" s="826">
        <f ca="1" xml:space="preserve"> SUM(D63:D64,H63:H64,L63:L64,P63:P64, T63:T64)</f>
        <v>701.82721243481615</v>
      </c>
      <c r="AB64" s="61">
        <f ca="1" xml:space="preserve"> SUM(E63:E64,I63:I64,M63:M64,Q63:Q64, U63:U64)</f>
        <v>12293.40262917526</v>
      </c>
      <c r="AC64" s="59">
        <f ca="1">SUM(X63:X64)</f>
        <v>0</v>
      </c>
      <c r="AD64" s="543">
        <f ca="1">SUM(Y63:Y64)</f>
        <v>0</v>
      </c>
      <c r="AE64" s="59">
        <f ca="1">SUM(D63:D64,H63:H64)</f>
        <v>545.47232142857581</v>
      </c>
      <c r="AF64" s="61">
        <f ca="1">SUM(E63:E64,I63:I64)</f>
        <v>10017.857142857203</v>
      </c>
      <c r="AG64" s="91">
        <f ca="1">SUM(T63:T64)</f>
        <v>156.35489100624028</v>
      </c>
      <c r="AH64" s="543">
        <f ca="1">SUM(U63:U64)</f>
        <v>2275.5454863180571</v>
      </c>
      <c r="AI64" s="1595">
        <f ca="1">(C63+G63+K63+S63+W63)*IF(RAROC!$B$103=1,VLOOKUP('Debt Amort'!A64,RAROC!$A$107:$D$113,2),IF(RAROC!$B$103=2,VLOOKUP('Debt Amort'!A64,RAROC!$A$107:$D$113,3),IF(RAROC!$B$103=3,VLOOKUP('Debt Amort'!A64,RAROC!$A$107:$D$113,4),0)))*((13-MONTH(Startops3))/12)</f>
        <v>0</v>
      </c>
      <c r="AJ64" s="221"/>
      <c r="AK64" s="912">
        <v>0</v>
      </c>
      <c r="AL64" s="1102">
        <f t="shared" si="25"/>
        <v>0</v>
      </c>
      <c r="AM64" s="990">
        <v>0</v>
      </c>
      <c r="AN64" s="32">
        <f t="shared" si="14"/>
        <v>0</v>
      </c>
      <c r="AO64" s="990">
        <v>0</v>
      </c>
      <c r="AP64" s="32">
        <f t="shared" si="15"/>
        <v>0</v>
      </c>
      <c r="AQ64" s="990">
        <v>0</v>
      </c>
      <c r="AR64" s="32">
        <f t="shared" si="16"/>
        <v>0</v>
      </c>
      <c r="AS64" s="990">
        <v>0</v>
      </c>
      <c r="AT64" s="32">
        <f t="shared" si="17"/>
        <v>0</v>
      </c>
      <c r="AU64" s="990">
        <f t="shared" ca="1" si="26"/>
        <v>0</v>
      </c>
      <c r="AV64" s="135">
        <f t="shared" ca="1" si="18"/>
        <v>0</v>
      </c>
      <c r="AW64" s="15"/>
      <c r="AX64" s="836">
        <v>0</v>
      </c>
      <c r="AY64" s="163">
        <v>0</v>
      </c>
      <c r="AZ64" s="135">
        <f t="shared" si="27"/>
        <v>0</v>
      </c>
      <c r="BA64" s="825">
        <f ca="1">HLOOKUP($A64,CF_Table,CF!$AB$69)/2</f>
        <v>-994.70648675628945</v>
      </c>
      <c r="BB64" s="766">
        <v>4315.6276241098658</v>
      </c>
      <c r="BC64" s="37">
        <f ca="1">IF(BB64&lt;0,BC63,IF(SUM(BB$35:BB64)&gt;$Z$27,$Z$27-SUM(BC$34:BC63),BB64))</f>
        <v>0</v>
      </c>
      <c r="BD64" s="32">
        <f t="shared" ca="1" si="28"/>
        <v>0</v>
      </c>
      <c r="BE64" s="21">
        <f t="shared" ca="1" si="29"/>
        <v>7</v>
      </c>
      <c r="BF64" s="435">
        <f t="shared" ca="1" si="30"/>
        <v>0</v>
      </c>
    </row>
    <row r="65" spans="1:58">
      <c r="A65" s="139">
        <f t="shared" si="48"/>
        <v>2016</v>
      </c>
      <c r="B65" s="92">
        <f t="shared" si="46"/>
        <v>30</v>
      </c>
      <c r="C65" s="90">
        <f t="shared" ca="1" si="19"/>
        <v>0</v>
      </c>
      <c r="D65" s="37">
        <f t="shared" ca="1" si="32"/>
        <v>0</v>
      </c>
      <c r="E65" s="37">
        <f t="shared" ca="1" si="8"/>
        <v>0</v>
      </c>
      <c r="F65" s="57">
        <f t="shared" ca="1" si="47"/>
        <v>0</v>
      </c>
      <c r="G65" s="90">
        <f t="shared" ca="1" si="20"/>
        <v>0</v>
      </c>
      <c r="H65" s="37">
        <f t="shared" ca="1" si="34"/>
        <v>0</v>
      </c>
      <c r="I65" s="37">
        <f t="shared" ca="1" si="9"/>
        <v>0</v>
      </c>
      <c r="J65" s="57">
        <f t="shared" ca="1" si="35"/>
        <v>0</v>
      </c>
      <c r="K65" s="90">
        <f t="shared" ca="1" si="21"/>
        <v>0</v>
      </c>
      <c r="L65" s="37">
        <f t="shared" ca="1" si="36"/>
        <v>0</v>
      </c>
      <c r="M65" s="37">
        <f t="shared" ca="1" si="10"/>
        <v>0</v>
      </c>
      <c r="N65" s="57">
        <f t="shared" ca="1" si="37"/>
        <v>0</v>
      </c>
      <c r="O65" s="90">
        <f t="shared" ca="1" si="22"/>
        <v>0</v>
      </c>
      <c r="P65" s="37">
        <f t="shared" ca="1" si="38"/>
        <v>0</v>
      </c>
      <c r="Q65" s="222">
        <f t="shared" ca="1" si="11"/>
        <v>0</v>
      </c>
      <c r="R65" s="57">
        <f t="shared" ca="1" si="39"/>
        <v>0</v>
      </c>
      <c r="S65" s="90">
        <f t="shared" ca="1" si="23"/>
        <v>0</v>
      </c>
      <c r="T65" s="37">
        <f t="shared" ca="1" si="40"/>
        <v>0</v>
      </c>
      <c r="U65" s="222">
        <f t="shared" ca="1" si="12"/>
        <v>0</v>
      </c>
      <c r="V65" s="57">
        <f t="shared" ca="1" si="41"/>
        <v>0</v>
      </c>
      <c r="W65" s="90">
        <f t="shared" ca="1" si="24"/>
        <v>0</v>
      </c>
      <c r="X65" s="37">
        <f t="shared" ca="1" si="42"/>
        <v>0</v>
      </c>
      <c r="Y65" s="37">
        <f t="shared" ca="1" si="13"/>
        <v>0</v>
      </c>
      <c r="Z65" s="37">
        <f t="shared" ca="1" si="43"/>
        <v>0</v>
      </c>
      <c r="AA65" s="825"/>
      <c r="AB65" s="57"/>
      <c r="AC65" s="37"/>
      <c r="AD65" s="33"/>
      <c r="AE65" s="37"/>
      <c r="AF65" s="57"/>
      <c r="AG65" s="90"/>
      <c r="AH65" s="33"/>
      <c r="AI65" s="1595"/>
      <c r="AJ65" s="221"/>
      <c r="AK65" s="912">
        <v>0</v>
      </c>
      <c r="AL65" s="1102">
        <f t="shared" si="25"/>
        <v>0</v>
      </c>
      <c r="AM65" s="990">
        <v>0</v>
      </c>
      <c r="AN65" s="32">
        <f t="shared" si="14"/>
        <v>0</v>
      </c>
      <c r="AO65" s="990">
        <v>0</v>
      </c>
      <c r="AP65" s="32">
        <f t="shared" si="15"/>
        <v>0</v>
      </c>
      <c r="AQ65" s="990">
        <v>0</v>
      </c>
      <c r="AR65" s="32">
        <f t="shared" si="16"/>
        <v>0</v>
      </c>
      <c r="AS65" s="990">
        <v>0</v>
      </c>
      <c r="AT65" s="32">
        <f t="shared" si="17"/>
        <v>0</v>
      </c>
      <c r="AU65" s="990">
        <f t="shared" ca="1" si="26"/>
        <v>0</v>
      </c>
      <c r="AV65" s="135">
        <f t="shared" ca="1" si="18"/>
        <v>0</v>
      </c>
      <c r="AW65" s="15"/>
      <c r="AX65" s="836">
        <v>0</v>
      </c>
      <c r="AY65" s="163">
        <v>0</v>
      </c>
      <c r="AZ65" s="135">
        <f t="shared" si="27"/>
        <v>0</v>
      </c>
      <c r="BA65" s="825">
        <f ca="1">HLOOKUP($A65,CF_Table,CF!$AB$69)/2</f>
        <v>3042.8252319155217</v>
      </c>
      <c r="BB65" s="766">
        <v>9681.8129212412987</v>
      </c>
      <c r="BC65" s="37">
        <f ca="1">IF(BB65&lt;0,BC64,IF(SUM(BB$35:BB65)&gt;$Z$27,$Z$27-SUM(BC$34:BC64),BB65))</f>
        <v>0</v>
      </c>
      <c r="BD65" s="32">
        <f t="shared" ca="1" si="28"/>
        <v>0</v>
      </c>
      <c r="BE65" s="21">
        <f t="shared" ca="1" si="29"/>
        <v>7</v>
      </c>
      <c r="BF65" s="435">
        <f t="shared" ca="1" si="30"/>
        <v>0</v>
      </c>
    </row>
    <row r="66" spans="1:58">
      <c r="A66" s="542">
        <f>A65</f>
        <v>2016</v>
      </c>
      <c r="B66" s="266">
        <f t="shared" si="46"/>
        <v>31</v>
      </c>
      <c r="C66" s="91">
        <f t="shared" ca="1" si="19"/>
        <v>0</v>
      </c>
      <c r="D66" s="59">
        <f t="shared" ca="1" si="32"/>
        <v>0</v>
      </c>
      <c r="E66" s="59">
        <f t="shared" ca="1" si="8"/>
        <v>0</v>
      </c>
      <c r="F66" s="61">
        <f t="shared" ca="1" si="47"/>
        <v>0</v>
      </c>
      <c r="G66" s="91">
        <f t="shared" ca="1" si="20"/>
        <v>0</v>
      </c>
      <c r="H66" s="59">
        <f t="shared" ca="1" si="34"/>
        <v>0</v>
      </c>
      <c r="I66" s="59">
        <f t="shared" ca="1" si="9"/>
        <v>0</v>
      </c>
      <c r="J66" s="61">
        <f t="shared" ca="1" si="35"/>
        <v>0</v>
      </c>
      <c r="K66" s="91">
        <f t="shared" ca="1" si="21"/>
        <v>0</v>
      </c>
      <c r="L66" s="59">
        <f t="shared" ca="1" si="36"/>
        <v>0</v>
      </c>
      <c r="M66" s="59">
        <f t="shared" ca="1" si="10"/>
        <v>0</v>
      </c>
      <c r="N66" s="61">
        <f t="shared" ca="1" si="37"/>
        <v>0</v>
      </c>
      <c r="O66" s="91">
        <f t="shared" ca="1" si="22"/>
        <v>0</v>
      </c>
      <c r="P66" s="59">
        <f t="shared" ca="1" si="38"/>
        <v>0</v>
      </c>
      <c r="Q66" s="828">
        <f t="shared" ca="1" si="11"/>
        <v>0</v>
      </c>
      <c r="R66" s="61">
        <f t="shared" ca="1" si="39"/>
        <v>0</v>
      </c>
      <c r="S66" s="91">
        <f t="shared" ca="1" si="23"/>
        <v>0</v>
      </c>
      <c r="T66" s="59">
        <f t="shared" ca="1" si="40"/>
        <v>0</v>
      </c>
      <c r="U66" s="828">
        <f t="shared" ca="1" si="12"/>
        <v>0</v>
      </c>
      <c r="V66" s="61">
        <f t="shared" ca="1" si="41"/>
        <v>0</v>
      </c>
      <c r="W66" s="91">
        <f t="shared" ca="1" si="24"/>
        <v>0</v>
      </c>
      <c r="X66" s="59">
        <f t="shared" ca="1" si="42"/>
        <v>0</v>
      </c>
      <c r="Y66" s="59">
        <f t="shared" ca="1" si="13"/>
        <v>0</v>
      </c>
      <c r="Z66" s="59">
        <f t="shared" ca="1" si="43"/>
        <v>0</v>
      </c>
      <c r="AA66" s="826">
        <f ca="1" xml:space="preserve"> SUM(D65:D66,H65:H66,L65:L66,P65:P66, T65:T66)</f>
        <v>0</v>
      </c>
      <c r="AB66" s="61">
        <f ca="1" xml:space="preserve"> SUM(E65:E66,I65:I66,M65:M66,Q65:Q66, U65:U66)</f>
        <v>0</v>
      </c>
      <c r="AC66" s="59">
        <f ca="1">SUM(X65:X66)</f>
        <v>0</v>
      </c>
      <c r="AD66" s="543">
        <f ca="1">SUM(Y65:Y66)</f>
        <v>0</v>
      </c>
      <c r="AE66" s="59">
        <f ca="1">SUM(D65:D66,H65:H66)</f>
        <v>0</v>
      </c>
      <c r="AF66" s="61">
        <f ca="1">SUM(E65:E66,I65:I66)</f>
        <v>0</v>
      </c>
      <c r="AG66" s="91">
        <f ca="1">SUM(T65:T66)</f>
        <v>0</v>
      </c>
      <c r="AH66" s="543">
        <f ca="1">SUM(U65:U66)</f>
        <v>0</v>
      </c>
      <c r="AI66" s="1595">
        <f ca="1">(C65+G65+K65+S65+W65)*IF(RAROC!$B$103=1,VLOOKUP('Debt Amort'!A66,RAROC!$A$107:$D$113,2),IF(RAROC!$B$103=2,VLOOKUP('Debt Amort'!A66,RAROC!$A$107:$D$113,3),IF(RAROC!$B$103=3,VLOOKUP('Debt Amort'!A66,RAROC!$A$107:$D$113,4),0)))*((13-MONTH(Startops3))/12)</f>
        <v>0</v>
      </c>
      <c r="AJ66" s="221"/>
      <c r="AK66" s="912">
        <v>0</v>
      </c>
      <c r="AL66" s="1102">
        <f t="shared" si="25"/>
        <v>0</v>
      </c>
      <c r="AM66" s="990">
        <v>0</v>
      </c>
      <c r="AN66" s="32">
        <f t="shared" si="14"/>
        <v>0</v>
      </c>
      <c r="AO66" s="990">
        <v>0</v>
      </c>
      <c r="AP66" s="32">
        <f t="shared" si="15"/>
        <v>0</v>
      </c>
      <c r="AQ66" s="990">
        <v>0</v>
      </c>
      <c r="AR66" s="32">
        <f t="shared" si="16"/>
        <v>0</v>
      </c>
      <c r="AS66" s="990">
        <v>0</v>
      </c>
      <c r="AT66" s="32">
        <f t="shared" si="17"/>
        <v>0</v>
      </c>
      <c r="AU66" s="990">
        <f t="shared" ca="1" si="26"/>
        <v>0</v>
      </c>
      <c r="AV66" s="135">
        <f t="shared" ca="1" si="18"/>
        <v>0</v>
      </c>
      <c r="AW66" s="15"/>
      <c r="AX66" s="836">
        <v>0</v>
      </c>
      <c r="AY66" s="163">
        <v>0</v>
      </c>
      <c r="AZ66" s="135">
        <f t="shared" si="27"/>
        <v>0</v>
      </c>
      <c r="BA66" s="825">
        <f ca="1">HLOOKUP($A66,CF_Table,CF!$AB$69)/2</f>
        <v>3042.8252319155217</v>
      </c>
      <c r="BB66" s="766">
        <v>9681.8129212412987</v>
      </c>
      <c r="BC66" s="37">
        <f ca="1">IF(BB66&lt;0,BC65,IF(SUM(BB$35:BB66)&gt;$Z$27,$Z$27-SUM(BC$34:BC65),BB66))</f>
        <v>0</v>
      </c>
      <c r="BD66" s="32">
        <f t="shared" ca="1" si="28"/>
        <v>0</v>
      </c>
      <c r="BE66" s="21">
        <f t="shared" ca="1" si="29"/>
        <v>7</v>
      </c>
      <c r="BF66" s="435">
        <f t="shared" ca="1" si="30"/>
        <v>0</v>
      </c>
    </row>
    <row r="67" spans="1:58">
      <c r="A67" s="139">
        <f t="shared" si="48"/>
        <v>2017</v>
      </c>
      <c r="B67" s="92">
        <f t="shared" si="46"/>
        <v>32</v>
      </c>
      <c r="C67" s="90">
        <f t="shared" ca="1" si="19"/>
        <v>0</v>
      </c>
      <c r="D67" s="37">
        <f t="shared" ca="1" si="32"/>
        <v>0</v>
      </c>
      <c r="E67" s="37">
        <f t="shared" ca="1" si="8"/>
        <v>0</v>
      </c>
      <c r="F67" s="57">
        <f t="shared" ca="1" si="47"/>
        <v>0</v>
      </c>
      <c r="G67" s="90">
        <f t="shared" ca="1" si="20"/>
        <v>0</v>
      </c>
      <c r="H67" s="37">
        <f t="shared" ca="1" si="34"/>
        <v>0</v>
      </c>
      <c r="I67" s="37">
        <f t="shared" ca="1" si="9"/>
        <v>0</v>
      </c>
      <c r="J67" s="57">
        <f t="shared" ca="1" si="35"/>
        <v>0</v>
      </c>
      <c r="K67" s="90">
        <f t="shared" ca="1" si="21"/>
        <v>0</v>
      </c>
      <c r="L67" s="37">
        <f t="shared" ca="1" si="36"/>
        <v>0</v>
      </c>
      <c r="M67" s="37">
        <f t="shared" ca="1" si="10"/>
        <v>0</v>
      </c>
      <c r="N67" s="57">
        <f t="shared" ca="1" si="37"/>
        <v>0</v>
      </c>
      <c r="O67" s="90">
        <f t="shared" ca="1" si="22"/>
        <v>0</v>
      </c>
      <c r="P67" s="37">
        <f t="shared" ca="1" si="38"/>
        <v>0</v>
      </c>
      <c r="Q67" s="222">
        <f t="shared" ca="1" si="11"/>
        <v>0</v>
      </c>
      <c r="R67" s="57">
        <f t="shared" ca="1" si="39"/>
        <v>0</v>
      </c>
      <c r="S67" s="90">
        <f t="shared" ca="1" si="23"/>
        <v>0</v>
      </c>
      <c r="T67" s="37">
        <f t="shared" ca="1" si="40"/>
        <v>0</v>
      </c>
      <c r="U67" s="222">
        <f t="shared" ca="1" si="12"/>
        <v>0</v>
      </c>
      <c r="V67" s="57">
        <f t="shared" ca="1" si="41"/>
        <v>0</v>
      </c>
      <c r="W67" s="90">
        <f t="shared" ca="1" si="24"/>
        <v>0</v>
      </c>
      <c r="X67" s="37">
        <f t="shared" ca="1" si="42"/>
        <v>0</v>
      </c>
      <c r="Y67" s="37">
        <f t="shared" ca="1" si="13"/>
        <v>0</v>
      </c>
      <c r="Z67" s="37">
        <f t="shared" ca="1" si="43"/>
        <v>0</v>
      </c>
      <c r="AA67" s="825"/>
      <c r="AB67" s="57"/>
      <c r="AC67" s="37"/>
      <c r="AD67" s="33"/>
      <c r="AE67" s="37"/>
      <c r="AF67" s="57"/>
      <c r="AG67" s="90"/>
      <c r="AH67" s="33"/>
      <c r="AI67" s="1595"/>
      <c r="AJ67" s="221"/>
      <c r="AK67" s="912">
        <v>0</v>
      </c>
      <c r="AL67" s="1102">
        <f t="shared" si="25"/>
        <v>0</v>
      </c>
      <c r="AM67" s="990">
        <v>0</v>
      </c>
      <c r="AN67" s="32">
        <f t="shared" si="14"/>
        <v>0</v>
      </c>
      <c r="AO67" s="990">
        <v>0</v>
      </c>
      <c r="AP67" s="32">
        <f t="shared" si="15"/>
        <v>0</v>
      </c>
      <c r="AQ67" s="990">
        <v>0</v>
      </c>
      <c r="AR67" s="32">
        <f t="shared" si="16"/>
        <v>0</v>
      </c>
      <c r="AS67" s="990">
        <v>0</v>
      </c>
      <c r="AT67" s="32">
        <f t="shared" si="17"/>
        <v>0</v>
      </c>
      <c r="AU67" s="990">
        <f t="shared" ca="1" si="26"/>
        <v>0</v>
      </c>
      <c r="AV67" s="135">
        <f t="shared" ca="1" si="18"/>
        <v>0</v>
      </c>
      <c r="AW67" s="15"/>
      <c r="AX67" s="836">
        <v>0</v>
      </c>
      <c r="AY67" s="163">
        <v>0</v>
      </c>
      <c r="AZ67" s="135">
        <f t="shared" si="27"/>
        <v>0</v>
      </c>
      <c r="BA67" s="825">
        <f ca="1">HLOOKUP($A67,CF_Table,CF!$AB$69)/2</f>
        <v>2344.9568192543047</v>
      </c>
      <c r="BB67" s="766">
        <v>11230.738193157003</v>
      </c>
      <c r="BC67" s="37">
        <f ca="1">IF(BB67&lt;0,BC66,IF(SUM(BB$35:BB67)&gt;$Z$27,$Z$27-SUM(BC$34:BC66),BB67))</f>
        <v>0</v>
      </c>
      <c r="BD67" s="32">
        <f t="shared" ca="1" si="28"/>
        <v>0</v>
      </c>
      <c r="BE67" s="21">
        <f t="shared" ca="1" si="29"/>
        <v>7</v>
      </c>
      <c r="BF67" s="435">
        <f t="shared" ca="1" si="30"/>
        <v>0</v>
      </c>
    </row>
    <row r="68" spans="1:58">
      <c r="A68" s="542">
        <f>A67</f>
        <v>2017</v>
      </c>
      <c r="B68" s="266">
        <f t="shared" si="46"/>
        <v>33</v>
      </c>
      <c r="C68" s="91">
        <f t="shared" ca="1" si="19"/>
        <v>0</v>
      </c>
      <c r="D68" s="59">
        <f t="shared" ca="1" si="32"/>
        <v>0</v>
      </c>
      <c r="E68" s="59">
        <f t="shared" ca="1" si="8"/>
        <v>0</v>
      </c>
      <c r="F68" s="61">
        <f t="shared" ca="1" si="47"/>
        <v>0</v>
      </c>
      <c r="G68" s="91">
        <f t="shared" ca="1" si="20"/>
        <v>0</v>
      </c>
      <c r="H68" s="59">
        <f t="shared" ca="1" si="34"/>
        <v>0</v>
      </c>
      <c r="I68" s="59">
        <f t="shared" ca="1" si="9"/>
        <v>0</v>
      </c>
      <c r="J68" s="61">
        <f t="shared" ca="1" si="35"/>
        <v>0</v>
      </c>
      <c r="K68" s="91">
        <f t="shared" ca="1" si="21"/>
        <v>0</v>
      </c>
      <c r="L68" s="59">
        <f t="shared" ca="1" si="36"/>
        <v>0</v>
      </c>
      <c r="M68" s="59">
        <f t="shared" ca="1" si="10"/>
        <v>0</v>
      </c>
      <c r="N68" s="61">
        <f t="shared" ca="1" si="37"/>
        <v>0</v>
      </c>
      <c r="O68" s="91">
        <f t="shared" ca="1" si="22"/>
        <v>0</v>
      </c>
      <c r="P68" s="59">
        <f t="shared" ca="1" si="38"/>
        <v>0</v>
      </c>
      <c r="Q68" s="828">
        <f t="shared" ca="1" si="11"/>
        <v>0</v>
      </c>
      <c r="R68" s="61">
        <f t="shared" ca="1" si="39"/>
        <v>0</v>
      </c>
      <c r="S68" s="91">
        <f t="shared" ca="1" si="23"/>
        <v>0</v>
      </c>
      <c r="T68" s="59">
        <f t="shared" ca="1" si="40"/>
        <v>0</v>
      </c>
      <c r="U68" s="828">
        <f t="shared" ca="1" si="12"/>
        <v>0</v>
      </c>
      <c r="V68" s="61">
        <f t="shared" ca="1" si="41"/>
        <v>0</v>
      </c>
      <c r="W68" s="91">
        <f t="shared" ca="1" si="24"/>
        <v>0</v>
      </c>
      <c r="X68" s="59">
        <f t="shared" ca="1" si="42"/>
        <v>0</v>
      </c>
      <c r="Y68" s="59">
        <f t="shared" ca="1" si="13"/>
        <v>0</v>
      </c>
      <c r="Z68" s="59">
        <f t="shared" ca="1" si="43"/>
        <v>0</v>
      </c>
      <c r="AA68" s="826">
        <f ca="1" xml:space="preserve"> SUM(D67:D68,H67:H68,L67:L68,P67:P68, T67:T68)</f>
        <v>0</v>
      </c>
      <c r="AB68" s="61">
        <f ca="1" xml:space="preserve"> SUM(E67:E68,I67:I68,M67:M68,Q67:Q68, U67:U68)</f>
        <v>0</v>
      </c>
      <c r="AC68" s="59">
        <f ca="1">SUM(X67:X68)</f>
        <v>0</v>
      </c>
      <c r="AD68" s="543">
        <f ca="1">SUM(Y67:Y68)</f>
        <v>0</v>
      </c>
      <c r="AE68" s="59">
        <f ca="1">SUM(D67:D68,H67:H68)</f>
        <v>0</v>
      </c>
      <c r="AF68" s="61">
        <f ca="1">SUM(E67:E68,I67:I68)</f>
        <v>0</v>
      </c>
      <c r="AG68" s="91">
        <f ca="1">SUM(T67:T68)</f>
        <v>0</v>
      </c>
      <c r="AH68" s="543">
        <f ca="1">SUM(U67:U68)</f>
        <v>0</v>
      </c>
      <c r="AI68" s="1595">
        <f ca="1">(C67+G67+K67+S67+W67)*IF(RAROC!$B$103=1,VLOOKUP('Debt Amort'!A68,RAROC!$A$107:$D$113,2),IF(RAROC!$B$103=2,VLOOKUP('Debt Amort'!A68,RAROC!$A$107:$D$113,3),IF(RAROC!$B$103=3,VLOOKUP('Debt Amort'!A68,RAROC!$A$107:$D$113,4),0)))*((13-MONTH(Startops3))/12)</f>
        <v>0</v>
      </c>
      <c r="AJ68" s="221"/>
      <c r="AK68" s="912">
        <v>0</v>
      </c>
      <c r="AL68" s="1102">
        <f t="shared" si="25"/>
        <v>0</v>
      </c>
      <c r="AM68" s="990">
        <v>0</v>
      </c>
      <c r="AN68" s="32">
        <f t="shared" si="14"/>
        <v>0</v>
      </c>
      <c r="AO68" s="990">
        <v>0</v>
      </c>
      <c r="AP68" s="32">
        <f t="shared" si="15"/>
        <v>0</v>
      </c>
      <c r="AQ68" s="990">
        <v>0</v>
      </c>
      <c r="AR68" s="32">
        <f t="shared" si="16"/>
        <v>0</v>
      </c>
      <c r="AS68" s="990">
        <v>0</v>
      </c>
      <c r="AT68" s="32">
        <f t="shared" si="17"/>
        <v>0</v>
      </c>
      <c r="AU68" s="990">
        <f t="shared" ca="1" si="26"/>
        <v>0</v>
      </c>
      <c r="AV68" s="135">
        <f t="shared" ca="1" si="18"/>
        <v>0</v>
      </c>
      <c r="AW68" s="15"/>
      <c r="AX68" s="836">
        <v>0</v>
      </c>
      <c r="AY68" s="163">
        <v>0</v>
      </c>
      <c r="AZ68" s="135">
        <f t="shared" si="27"/>
        <v>0</v>
      </c>
      <c r="BA68" s="825">
        <f ca="1">HLOOKUP($A68,CF_Table,CF!$AB$69)/2</f>
        <v>2344.9568192543047</v>
      </c>
      <c r="BB68" s="766">
        <v>11230.738193157003</v>
      </c>
      <c r="BC68" s="37">
        <f ca="1">IF(BB68&lt;0,BC67,IF(SUM(BB$35:BB68)&gt;$Z$27,$Z$27-SUM(BC$34:BC67),BB68))</f>
        <v>0</v>
      </c>
      <c r="BD68" s="32">
        <f t="shared" ca="1" si="28"/>
        <v>0</v>
      </c>
      <c r="BE68" s="21">
        <f t="shared" ca="1" si="29"/>
        <v>7</v>
      </c>
      <c r="BF68" s="435">
        <f t="shared" ca="1" si="30"/>
        <v>0</v>
      </c>
    </row>
    <row r="69" spans="1:58">
      <c r="A69" s="139">
        <f t="shared" si="48"/>
        <v>2018</v>
      </c>
      <c r="B69" s="92">
        <f t="shared" ref="B69:B74" si="49">B68+1</f>
        <v>34</v>
      </c>
      <c r="C69" s="90">
        <f t="shared" ca="1" si="19"/>
        <v>0</v>
      </c>
      <c r="D69" s="37">
        <f t="shared" ca="1" si="32"/>
        <v>0</v>
      </c>
      <c r="E69" s="37">
        <f t="shared" ca="1" si="8"/>
        <v>0</v>
      </c>
      <c r="F69" s="57">
        <f t="shared" ref="F69:F74" ca="1" si="50">C69-E69</f>
        <v>0</v>
      </c>
      <c r="G69" s="90">
        <f t="shared" ca="1" si="20"/>
        <v>0</v>
      </c>
      <c r="H69" s="37">
        <f t="shared" ca="1" si="34"/>
        <v>0</v>
      </c>
      <c r="I69" s="37">
        <f t="shared" ca="1" si="9"/>
        <v>0</v>
      </c>
      <c r="J69" s="57">
        <f t="shared" ca="1" si="35"/>
        <v>0</v>
      </c>
      <c r="K69" s="90">
        <f t="shared" ca="1" si="21"/>
        <v>0</v>
      </c>
      <c r="L69" s="37">
        <f t="shared" ca="1" si="36"/>
        <v>0</v>
      </c>
      <c r="M69" s="37">
        <f t="shared" ca="1" si="10"/>
        <v>0</v>
      </c>
      <c r="N69" s="57">
        <f t="shared" ca="1" si="37"/>
        <v>0</v>
      </c>
      <c r="O69" s="90">
        <f t="shared" ca="1" si="22"/>
        <v>0</v>
      </c>
      <c r="P69" s="37">
        <f t="shared" ca="1" si="38"/>
        <v>0</v>
      </c>
      <c r="Q69" s="222">
        <f t="shared" ca="1" si="11"/>
        <v>0</v>
      </c>
      <c r="R69" s="57">
        <f t="shared" ca="1" si="39"/>
        <v>0</v>
      </c>
      <c r="S69" s="90">
        <f t="shared" ca="1" si="23"/>
        <v>0</v>
      </c>
      <c r="T69" s="37">
        <f t="shared" ca="1" si="40"/>
        <v>0</v>
      </c>
      <c r="U69" s="222">
        <f t="shared" ca="1" si="12"/>
        <v>0</v>
      </c>
      <c r="V69" s="57">
        <f t="shared" ca="1" si="41"/>
        <v>0</v>
      </c>
      <c r="W69" s="90">
        <f t="shared" ca="1" si="24"/>
        <v>0</v>
      </c>
      <c r="X69" s="37">
        <f t="shared" ca="1" si="42"/>
        <v>0</v>
      </c>
      <c r="Y69" s="37">
        <f t="shared" ca="1" si="13"/>
        <v>0</v>
      </c>
      <c r="Z69" s="37">
        <f t="shared" ca="1" si="43"/>
        <v>0</v>
      </c>
      <c r="AA69" s="825"/>
      <c r="AB69" s="57"/>
      <c r="AC69" s="37"/>
      <c r="AD69" s="33"/>
      <c r="AE69" s="37"/>
      <c r="AF69" s="57"/>
      <c r="AG69" s="90"/>
      <c r="AH69" s="33"/>
      <c r="AI69" s="1595"/>
      <c r="AJ69" s="221"/>
      <c r="AK69" s="912">
        <v>0</v>
      </c>
      <c r="AL69" s="1102">
        <f t="shared" si="25"/>
        <v>0</v>
      </c>
      <c r="AM69" s="990">
        <v>0</v>
      </c>
      <c r="AN69" s="32">
        <f t="shared" si="14"/>
        <v>0</v>
      </c>
      <c r="AO69" s="990">
        <v>0</v>
      </c>
      <c r="AP69" s="32">
        <f t="shared" si="15"/>
        <v>0</v>
      </c>
      <c r="AQ69" s="990">
        <v>0</v>
      </c>
      <c r="AR69" s="32">
        <f t="shared" si="16"/>
        <v>0</v>
      </c>
      <c r="AS69" s="990">
        <v>0</v>
      </c>
      <c r="AT69" s="32">
        <f t="shared" si="17"/>
        <v>0</v>
      </c>
      <c r="AU69" s="990">
        <f t="shared" ca="1" si="26"/>
        <v>0</v>
      </c>
      <c r="AV69" s="135">
        <f t="shared" ca="1" si="18"/>
        <v>0</v>
      </c>
      <c r="AW69" s="15"/>
      <c r="AX69" s="836">
        <v>0</v>
      </c>
      <c r="AY69" s="163">
        <v>0</v>
      </c>
      <c r="AZ69" s="135">
        <f t="shared" si="27"/>
        <v>0</v>
      </c>
      <c r="BA69" s="825">
        <f ca="1">HLOOKUP($A69,CF_Table,CF!$AB$69)/2</f>
        <v>3112.3026463037195</v>
      </c>
      <c r="BB69" s="766">
        <v>11792.390278122592</v>
      </c>
      <c r="BC69" s="37">
        <f ca="1">IF(BB69&lt;0,BC68,IF(SUM(BB$35:BB69)&gt;$Z$27,$Z$27-SUM(BC$34:BC68),BB69))</f>
        <v>0</v>
      </c>
      <c r="BD69" s="32">
        <f t="shared" ca="1" si="28"/>
        <v>0</v>
      </c>
      <c r="BE69" s="21">
        <f t="shared" ca="1" si="29"/>
        <v>7</v>
      </c>
      <c r="BF69" s="435">
        <f t="shared" ca="1" si="30"/>
        <v>0</v>
      </c>
    </row>
    <row r="70" spans="1:58">
      <c r="A70" s="542">
        <f t="shared" si="48"/>
        <v>2018</v>
      </c>
      <c r="B70" s="266">
        <f t="shared" si="49"/>
        <v>35</v>
      </c>
      <c r="C70" s="91">
        <f ca="1">F69</f>
        <v>0</v>
      </c>
      <c r="D70" s="59">
        <f t="shared" ca="1" si="32"/>
        <v>0</v>
      </c>
      <c r="E70" s="59">
        <f t="shared" ca="1" si="8"/>
        <v>0</v>
      </c>
      <c r="F70" s="61">
        <f t="shared" ca="1" si="50"/>
        <v>0</v>
      </c>
      <c r="G70" s="91">
        <f ca="1">J69</f>
        <v>0</v>
      </c>
      <c r="H70" s="59">
        <f t="shared" ca="1" si="34"/>
        <v>0</v>
      </c>
      <c r="I70" s="59">
        <f t="shared" ca="1" si="9"/>
        <v>0</v>
      </c>
      <c r="J70" s="61">
        <f ca="1">G70-I70</f>
        <v>0</v>
      </c>
      <c r="K70" s="91">
        <f t="shared" ca="1" si="21"/>
        <v>0</v>
      </c>
      <c r="L70" s="59">
        <f t="shared" ca="1" si="36"/>
        <v>0</v>
      </c>
      <c r="M70" s="59">
        <f t="shared" ca="1" si="10"/>
        <v>0</v>
      </c>
      <c r="N70" s="61">
        <f t="shared" ca="1" si="37"/>
        <v>0</v>
      </c>
      <c r="O70" s="91">
        <f ca="1">R69</f>
        <v>0</v>
      </c>
      <c r="P70" s="59">
        <f t="shared" ca="1" si="38"/>
        <v>0</v>
      </c>
      <c r="Q70" s="828">
        <f t="shared" ca="1" si="11"/>
        <v>0</v>
      </c>
      <c r="R70" s="61">
        <f ca="1">O70-Q70</f>
        <v>0</v>
      </c>
      <c r="S70" s="91">
        <f ca="1">V69</f>
        <v>0</v>
      </c>
      <c r="T70" s="59">
        <f t="shared" ca="1" si="40"/>
        <v>0</v>
      </c>
      <c r="U70" s="828">
        <f t="shared" ca="1" si="12"/>
        <v>0</v>
      </c>
      <c r="V70" s="61">
        <f ca="1">S70-U70</f>
        <v>0</v>
      </c>
      <c r="W70" s="91">
        <f t="shared" ca="1" si="24"/>
        <v>0</v>
      </c>
      <c r="X70" s="59">
        <f t="shared" ca="1" si="42"/>
        <v>0</v>
      </c>
      <c r="Y70" s="59">
        <f t="shared" ca="1" si="13"/>
        <v>0</v>
      </c>
      <c r="Z70" s="59">
        <f t="shared" ca="1" si="43"/>
        <v>0</v>
      </c>
      <c r="AA70" s="826">
        <f ca="1" xml:space="preserve"> SUM(D69:D70,H69:H70,L69:L70,P69:P70, T69:T70)</f>
        <v>0</v>
      </c>
      <c r="AB70" s="61">
        <f ca="1" xml:space="preserve"> SUM(E69:E70,I69:I70,M69:M70,Q69:Q70, U69:U70)</f>
        <v>0</v>
      </c>
      <c r="AC70" s="59">
        <f ca="1">SUM(X69:X70)</f>
        <v>0</v>
      </c>
      <c r="AD70" s="543">
        <f ca="1">SUM(Y69:Y70)</f>
        <v>0</v>
      </c>
      <c r="AE70" s="59">
        <f ca="1">SUM(D69:D70,H69:H70)</f>
        <v>0</v>
      </c>
      <c r="AF70" s="61">
        <f ca="1">SUM(E69:E70,I69:I70)</f>
        <v>0</v>
      </c>
      <c r="AG70" s="91">
        <f ca="1">SUM(T69:T70)</f>
        <v>0</v>
      </c>
      <c r="AH70" s="543">
        <f ca="1">SUM(U69:U70)</f>
        <v>0</v>
      </c>
      <c r="AI70" s="1595">
        <f ca="1">(C69+G69+K69+S69+W69)*IF(RAROC!$B$103=1,VLOOKUP('Debt Amort'!A70,RAROC!$A$107:$D$113,2),IF(RAROC!$B$103=2,VLOOKUP('Debt Amort'!A70,RAROC!$A$107:$D$113,3),IF(RAROC!$B$103=3,VLOOKUP('Debt Amort'!A70,RAROC!$A$107:$D$113,4),0)))*((13-MONTH(Startops3))/12)</f>
        <v>0</v>
      </c>
      <c r="AJ70" s="221"/>
      <c r="AK70" s="912">
        <v>0</v>
      </c>
      <c r="AL70" s="1102">
        <f t="shared" si="25"/>
        <v>0</v>
      </c>
      <c r="AM70" s="990">
        <v>0</v>
      </c>
      <c r="AN70" s="32">
        <f t="shared" si="14"/>
        <v>0</v>
      </c>
      <c r="AO70" s="990">
        <v>0</v>
      </c>
      <c r="AP70" s="32">
        <f t="shared" si="15"/>
        <v>0</v>
      </c>
      <c r="AQ70" s="990">
        <v>0</v>
      </c>
      <c r="AR70" s="32">
        <f t="shared" si="16"/>
        <v>0</v>
      </c>
      <c r="AS70" s="990">
        <v>0</v>
      </c>
      <c r="AT70" s="32">
        <f t="shared" si="17"/>
        <v>0</v>
      </c>
      <c r="AU70" s="990">
        <f t="shared" ca="1" si="26"/>
        <v>0</v>
      </c>
      <c r="AV70" s="135">
        <f t="shared" ca="1" si="18"/>
        <v>0</v>
      </c>
      <c r="AW70" s="15"/>
      <c r="AX70" s="836">
        <v>0</v>
      </c>
      <c r="AY70" s="163">
        <v>0</v>
      </c>
      <c r="AZ70" s="135">
        <f t="shared" si="27"/>
        <v>0</v>
      </c>
      <c r="BA70" s="825">
        <f ca="1">HLOOKUP($A70,CF_Table,CF!$AB$69)/2</f>
        <v>3112.3026463037195</v>
      </c>
      <c r="BB70" s="766">
        <v>11792.390278122592</v>
      </c>
      <c r="BC70" s="37">
        <f ca="1">IF(BB70&lt;0,BC69,IF(SUM(BB$35:BB70)&gt;$Z$27,$Z$27-SUM(BC$34:BC69),BB70))</f>
        <v>0</v>
      </c>
      <c r="BD70" s="32">
        <f t="shared" ca="1" si="28"/>
        <v>0</v>
      </c>
      <c r="BE70" s="21">
        <f t="shared" ca="1" si="29"/>
        <v>7</v>
      </c>
      <c r="BF70" s="435">
        <f t="shared" ca="1" si="30"/>
        <v>0</v>
      </c>
    </row>
    <row r="71" spans="1:58">
      <c r="A71" s="139">
        <f t="shared" si="48"/>
        <v>2019</v>
      </c>
      <c r="B71" s="92">
        <f t="shared" si="49"/>
        <v>36</v>
      </c>
      <c r="C71" s="90">
        <f ca="1">F70</f>
        <v>0</v>
      </c>
      <c r="D71" s="37">
        <f t="shared" ca="1" si="32"/>
        <v>0</v>
      </c>
      <c r="E71" s="37">
        <f t="shared" ca="1" si="8"/>
        <v>0</v>
      </c>
      <c r="F71" s="57">
        <f t="shared" ca="1" si="50"/>
        <v>0</v>
      </c>
      <c r="G71" s="90">
        <f ca="1">J70</f>
        <v>0</v>
      </c>
      <c r="H71" s="37">
        <f t="shared" ca="1" si="34"/>
        <v>0</v>
      </c>
      <c r="I71" s="37">
        <f t="shared" ca="1" si="9"/>
        <v>0</v>
      </c>
      <c r="J71" s="57">
        <f ca="1">G71-I71</f>
        <v>0</v>
      </c>
      <c r="K71" s="90">
        <f t="shared" ca="1" si="21"/>
        <v>0</v>
      </c>
      <c r="L71" s="37">
        <f t="shared" ca="1" si="36"/>
        <v>0</v>
      </c>
      <c r="M71" s="37">
        <f t="shared" ca="1" si="10"/>
        <v>0</v>
      </c>
      <c r="N71" s="57">
        <f t="shared" ca="1" si="37"/>
        <v>0</v>
      </c>
      <c r="O71" s="90">
        <f ca="1">R70</f>
        <v>0</v>
      </c>
      <c r="P71" s="37">
        <f t="shared" ca="1" si="38"/>
        <v>0</v>
      </c>
      <c r="Q71" s="222">
        <f t="shared" ca="1" si="11"/>
        <v>0</v>
      </c>
      <c r="R71" s="57">
        <f ca="1">O71-Q71</f>
        <v>0</v>
      </c>
      <c r="S71" s="90">
        <f ca="1">V70</f>
        <v>0</v>
      </c>
      <c r="T71" s="37">
        <f t="shared" ca="1" si="40"/>
        <v>0</v>
      </c>
      <c r="U71" s="222">
        <f t="shared" ca="1" si="12"/>
        <v>0</v>
      </c>
      <c r="V71" s="57">
        <f ca="1">S71-U71</f>
        <v>0</v>
      </c>
      <c r="W71" s="90">
        <f t="shared" ca="1" si="24"/>
        <v>0</v>
      </c>
      <c r="X71" s="37">
        <f t="shared" ca="1" si="42"/>
        <v>0</v>
      </c>
      <c r="Y71" s="37">
        <f t="shared" ca="1" si="13"/>
        <v>0</v>
      </c>
      <c r="Z71" s="37">
        <f t="shared" ca="1" si="43"/>
        <v>0</v>
      </c>
      <c r="AA71" s="825"/>
      <c r="AB71" s="57"/>
      <c r="AC71" s="37"/>
      <c r="AD71" s="33"/>
      <c r="AE71" s="37"/>
      <c r="AF71" s="57"/>
      <c r="AG71" s="90"/>
      <c r="AH71" s="33"/>
      <c r="AI71" s="1595"/>
      <c r="AJ71" s="221"/>
      <c r="AK71" s="912">
        <v>0</v>
      </c>
      <c r="AL71" s="1102">
        <f t="shared" si="25"/>
        <v>0</v>
      </c>
      <c r="AM71" s="990">
        <v>0</v>
      </c>
      <c r="AN71" s="32">
        <f t="shared" si="14"/>
        <v>0</v>
      </c>
      <c r="AO71" s="990">
        <v>0</v>
      </c>
      <c r="AP71" s="32">
        <f t="shared" si="15"/>
        <v>0</v>
      </c>
      <c r="AQ71" s="990">
        <v>0</v>
      </c>
      <c r="AR71" s="32">
        <f t="shared" si="16"/>
        <v>0</v>
      </c>
      <c r="AS71" s="990">
        <v>0</v>
      </c>
      <c r="AT71" s="32">
        <f t="shared" si="17"/>
        <v>0</v>
      </c>
      <c r="AU71" s="990">
        <f t="shared" ca="1" si="26"/>
        <v>0</v>
      </c>
      <c r="AV71" s="135">
        <f t="shared" ca="1" si="18"/>
        <v>0</v>
      </c>
      <c r="AW71" s="15"/>
      <c r="AX71" s="836">
        <v>0</v>
      </c>
      <c r="AY71" s="163">
        <v>0</v>
      </c>
      <c r="AZ71" s="135">
        <f t="shared" si="27"/>
        <v>0</v>
      </c>
      <c r="BA71" s="825">
        <f ca="1">HLOOKUP($A71,CF_Table,CF!$AB$69)/2</f>
        <v>3801.2231104454768</v>
      </c>
      <c r="BB71" s="766">
        <v>13398.199250720945</v>
      </c>
      <c r="BC71" s="37">
        <f ca="1">IF(BB71&lt;0,BC70,IF(SUM(BB$35:BB71)&gt;$Z$27,$Z$27-SUM(BC$34:BC70),BB71))</f>
        <v>0</v>
      </c>
      <c r="BD71" s="32">
        <f t="shared" ca="1" si="28"/>
        <v>0</v>
      </c>
      <c r="BE71" s="21">
        <f t="shared" ca="1" si="29"/>
        <v>7</v>
      </c>
      <c r="BF71" s="435">
        <f t="shared" ca="1" si="30"/>
        <v>0</v>
      </c>
    </row>
    <row r="72" spans="1:58">
      <c r="A72" s="542">
        <f t="shared" si="48"/>
        <v>2019</v>
      </c>
      <c r="B72" s="266">
        <f t="shared" si="49"/>
        <v>37</v>
      </c>
      <c r="C72" s="91">
        <f ca="1">F71</f>
        <v>0</v>
      </c>
      <c r="D72" s="59">
        <f t="shared" ca="1" si="32"/>
        <v>0</v>
      </c>
      <c r="E72" s="59">
        <f t="shared" ca="1" si="8"/>
        <v>0</v>
      </c>
      <c r="F72" s="61">
        <f t="shared" ca="1" si="50"/>
        <v>0</v>
      </c>
      <c r="G72" s="91">
        <f ca="1">J71</f>
        <v>0</v>
      </c>
      <c r="H72" s="59">
        <f t="shared" ca="1" si="34"/>
        <v>0</v>
      </c>
      <c r="I72" s="59">
        <f t="shared" ca="1" si="9"/>
        <v>0</v>
      </c>
      <c r="J72" s="61">
        <f ca="1">G72-I72</f>
        <v>0</v>
      </c>
      <c r="K72" s="91">
        <f t="shared" ca="1" si="21"/>
        <v>0</v>
      </c>
      <c r="L72" s="59">
        <f t="shared" ca="1" si="36"/>
        <v>0</v>
      </c>
      <c r="M72" s="59">
        <f t="shared" ca="1" si="10"/>
        <v>0</v>
      </c>
      <c r="N72" s="61">
        <f t="shared" ca="1" si="37"/>
        <v>0</v>
      </c>
      <c r="O72" s="91">
        <f ca="1">R71</f>
        <v>0</v>
      </c>
      <c r="P72" s="59">
        <f t="shared" ca="1" si="38"/>
        <v>0</v>
      </c>
      <c r="Q72" s="828">
        <f t="shared" ca="1" si="11"/>
        <v>0</v>
      </c>
      <c r="R72" s="61">
        <f ca="1">O72-Q72</f>
        <v>0</v>
      </c>
      <c r="S72" s="91">
        <f ca="1">V71</f>
        <v>0</v>
      </c>
      <c r="T72" s="59">
        <f t="shared" ca="1" si="40"/>
        <v>0</v>
      </c>
      <c r="U72" s="828">
        <f t="shared" ca="1" si="12"/>
        <v>0</v>
      </c>
      <c r="V72" s="61">
        <f ca="1">S72-U72</f>
        <v>0</v>
      </c>
      <c r="W72" s="91">
        <f t="shared" ca="1" si="24"/>
        <v>0</v>
      </c>
      <c r="X72" s="59">
        <f t="shared" ca="1" si="42"/>
        <v>0</v>
      </c>
      <c r="Y72" s="59">
        <f t="shared" ca="1" si="13"/>
        <v>0</v>
      </c>
      <c r="Z72" s="59">
        <f t="shared" ca="1" si="43"/>
        <v>0</v>
      </c>
      <c r="AA72" s="826">
        <f ca="1" xml:space="preserve"> SUM(D71:D72,H71:H72,L71:L72,P71:P72, T71:T72)</f>
        <v>0</v>
      </c>
      <c r="AB72" s="61">
        <f ca="1" xml:space="preserve"> SUM(E71:E72,I71:I72,M71:M72,Q71:Q72, U71:U72)</f>
        <v>0</v>
      </c>
      <c r="AC72" s="59">
        <f ca="1">SUM(X71:X72)</f>
        <v>0</v>
      </c>
      <c r="AD72" s="543">
        <f ca="1">SUM(Y71:Y72)</f>
        <v>0</v>
      </c>
      <c r="AE72" s="59">
        <f ca="1">SUM(D71:D72,H71:H72)</f>
        <v>0</v>
      </c>
      <c r="AF72" s="61">
        <f ca="1">SUM(E71:E72,I71:I72)</f>
        <v>0</v>
      </c>
      <c r="AG72" s="91">
        <f ca="1">SUM(T71:T72)</f>
        <v>0</v>
      </c>
      <c r="AH72" s="543">
        <f ca="1">SUM(U71:U72)</f>
        <v>0</v>
      </c>
      <c r="AI72" s="1595">
        <f ca="1">(C71+G71+K71+S71+W71)*IF(RAROC!$B$103=1,VLOOKUP('Debt Amort'!A72,RAROC!$A$107:$D$113,2),IF(RAROC!$B$103=2,VLOOKUP('Debt Amort'!A72,RAROC!$A$107:$D$113,3),IF(RAROC!$B$103=3,VLOOKUP('Debt Amort'!A72,RAROC!$A$107:$D$113,4),0)))*((13-MONTH(Startops3))/12)</f>
        <v>0</v>
      </c>
      <c r="AJ72" s="221"/>
      <c r="AK72" s="912">
        <v>0</v>
      </c>
      <c r="AL72" s="1102">
        <f t="shared" si="25"/>
        <v>0</v>
      </c>
      <c r="AM72" s="990">
        <v>0</v>
      </c>
      <c r="AN72" s="32">
        <f t="shared" si="14"/>
        <v>0</v>
      </c>
      <c r="AO72" s="990">
        <v>0</v>
      </c>
      <c r="AP72" s="32">
        <f t="shared" si="15"/>
        <v>0</v>
      </c>
      <c r="AQ72" s="990">
        <v>0</v>
      </c>
      <c r="AR72" s="32">
        <f t="shared" si="16"/>
        <v>0</v>
      </c>
      <c r="AS72" s="990">
        <v>0</v>
      </c>
      <c r="AT72" s="32">
        <f t="shared" si="17"/>
        <v>0</v>
      </c>
      <c r="AU72" s="990">
        <f t="shared" ca="1" si="26"/>
        <v>0</v>
      </c>
      <c r="AV72" s="135">
        <f t="shared" ca="1" si="18"/>
        <v>0</v>
      </c>
      <c r="AW72" s="15"/>
      <c r="AX72" s="836">
        <v>0</v>
      </c>
      <c r="AY72" s="163">
        <v>0</v>
      </c>
      <c r="AZ72" s="135">
        <f t="shared" si="27"/>
        <v>0</v>
      </c>
      <c r="BA72" s="825">
        <f ca="1">HLOOKUP($A72,CF_Table,CF!$AB$69)/2</f>
        <v>3801.2231104454768</v>
      </c>
      <c r="BB72" s="766">
        <v>13398.199250720945</v>
      </c>
      <c r="BC72" s="37">
        <f ca="1">IF(BB72&lt;0,BC71,IF(SUM(BB$35:BB72)&gt;$Z$27,$Z$27-SUM(BC$34:BC71),BB72))</f>
        <v>0</v>
      </c>
      <c r="BD72" s="32">
        <f t="shared" ca="1" si="28"/>
        <v>0</v>
      </c>
      <c r="BE72" s="21">
        <f t="shared" ca="1" si="29"/>
        <v>7</v>
      </c>
      <c r="BF72" s="435">
        <f t="shared" ca="1" si="30"/>
        <v>0</v>
      </c>
    </row>
    <row r="73" spans="1:58">
      <c r="A73" s="139">
        <f t="shared" si="48"/>
        <v>2020</v>
      </c>
      <c r="B73" s="92">
        <f t="shared" si="49"/>
        <v>38</v>
      </c>
      <c r="C73" s="90">
        <f ca="1">F72</f>
        <v>0</v>
      </c>
      <c r="D73" s="37">
        <f t="shared" ca="1" si="32"/>
        <v>0</v>
      </c>
      <c r="E73" s="37">
        <f t="shared" ca="1" si="8"/>
        <v>0</v>
      </c>
      <c r="F73" s="57">
        <f t="shared" ca="1" si="50"/>
        <v>0</v>
      </c>
      <c r="G73" s="90">
        <f ca="1">J72</f>
        <v>0</v>
      </c>
      <c r="H73" s="37">
        <f t="shared" ca="1" si="34"/>
        <v>0</v>
      </c>
      <c r="I73" s="37">
        <f t="shared" ca="1" si="9"/>
        <v>0</v>
      </c>
      <c r="J73" s="57">
        <f ca="1">G73-I73</f>
        <v>0</v>
      </c>
      <c r="K73" s="90">
        <f t="shared" ca="1" si="21"/>
        <v>0</v>
      </c>
      <c r="L73" s="37">
        <f t="shared" ca="1" si="36"/>
        <v>0</v>
      </c>
      <c r="M73" s="37">
        <f t="shared" ca="1" si="10"/>
        <v>0</v>
      </c>
      <c r="N73" s="57">
        <f t="shared" ca="1" si="37"/>
        <v>0</v>
      </c>
      <c r="O73" s="90">
        <f ca="1">R72</f>
        <v>0</v>
      </c>
      <c r="P73" s="37">
        <f t="shared" ca="1" si="38"/>
        <v>0</v>
      </c>
      <c r="Q73" s="222">
        <f t="shared" ca="1" si="11"/>
        <v>0</v>
      </c>
      <c r="R73" s="57">
        <f ca="1">O73-Q73</f>
        <v>0</v>
      </c>
      <c r="S73" s="90">
        <f ca="1">V72</f>
        <v>0</v>
      </c>
      <c r="T73" s="37">
        <f t="shared" ca="1" si="40"/>
        <v>0</v>
      </c>
      <c r="U73" s="222">
        <f t="shared" ca="1" si="12"/>
        <v>0</v>
      </c>
      <c r="V73" s="57">
        <f ca="1">S73-U73</f>
        <v>0</v>
      </c>
      <c r="W73" s="90">
        <f t="shared" ca="1" si="24"/>
        <v>0</v>
      </c>
      <c r="X73" s="37">
        <f t="shared" ca="1" si="42"/>
        <v>0</v>
      </c>
      <c r="Y73" s="37">
        <f t="shared" ca="1" si="13"/>
        <v>0</v>
      </c>
      <c r="Z73" s="37">
        <f t="shared" ca="1" si="43"/>
        <v>0</v>
      </c>
      <c r="AA73" s="825"/>
      <c r="AB73" s="57"/>
      <c r="AC73" s="37"/>
      <c r="AD73" s="33"/>
      <c r="AE73" s="37"/>
      <c r="AF73" s="57"/>
      <c r="AG73" s="90"/>
      <c r="AH73" s="33"/>
      <c r="AI73" s="1595"/>
      <c r="AJ73" s="221"/>
      <c r="AK73" s="912">
        <v>0</v>
      </c>
      <c r="AL73" s="1102">
        <f t="shared" si="25"/>
        <v>0</v>
      </c>
      <c r="AM73" s="990">
        <v>0</v>
      </c>
      <c r="AN73" s="32">
        <f t="shared" si="14"/>
        <v>0</v>
      </c>
      <c r="AO73" s="990">
        <v>0</v>
      </c>
      <c r="AP73" s="32">
        <f t="shared" si="15"/>
        <v>0</v>
      </c>
      <c r="AQ73" s="990">
        <v>0</v>
      </c>
      <c r="AR73" s="32">
        <f t="shared" si="16"/>
        <v>0</v>
      </c>
      <c r="AS73" s="990">
        <v>0</v>
      </c>
      <c r="AT73" s="32">
        <f t="shared" si="17"/>
        <v>0</v>
      </c>
      <c r="AU73" s="990">
        <f t="shared" ca="1" si="26"/>
        <v>0</v>
      </c>
      <c r="AV73" s="135">
        <f t="shared" ca="1" si="18"/>
        <v>0</v>
      </c>
      <c r="AW73" s="15"/>
      <c r="AX73" s="836">
        <v>0</v>
      </c>
      <c r="AY73" s="163">
        <v>0</v>
      </c>
      <c r="AZ73" s="135">
        <f t="shared" si="27"/>
        <v>0</v>
      </c>
      <c r="BA73" s="825">
        <f ca="1">HLOOKUP($A73,CF_Table,CF!$AB$69)/2</f>
        <v>3801.2231104454768</v>
      </c>
      <c r="BB73" s="766">
        <v>13207.470824616252</v>
      </c>
      <c r="BC73" s="37">
        <f ca="1">IF(BB73&lt;0,BC72,IF(SUM(BB$35:BB73)&gt;$Z$27,$Z$27-SUM(BC$34:BC72),BB73))</f>
        <v>0</v>
      </c>
      <c r="BD73" s="32">
        <f t="shared" ca="1" si="28"/>
        <v>0</v>
      </c>
      <c r="BE73" s="21">
        <f t="shared" ca="1" si="29"/>
        <v>7</v>
      </c>
      <c r="BF73" s="435">
        <f t="shared" ca="1" si="30"/>
        <v>0</v>
      </c>
    </row>
    <row r="74" spans="1:58" ht="13.5" thickBot="1">
      <c r="A74" s="542">
        <f t="shared" si="48"/>
        <v>2020</v>
      </c>
      <c r="B74" s="266">
        <f t="shared" si="49"/>
        <v>39</v>
      </c>
      <c r="C74" s="91">
        <f ca="1">F73</f>
        <v>0</v>
      </c>
      <c r="D74" s="59">
        <f t="shared" ca="1" si="32"/>
        <v>0</v>
      </c>
      <c r="E74" s="59">
        <f t="shared" ca="1" si="8"/>
        <v>0</v>
      </c>
      <c r="F74" s="61">
        <f t="shared" ca="1" si="50"/>
        <v>0</v>
      </c>
      <c r="G74" s="91">
        <f ca="1">J73</f>
        <v>0</v>
      </c>
      <c r="H74" s="59">
        <f t="shared" ca="1" si="34"/>
        <v>0</v>
      </c>
      <c r="I74" s="59">
        <f t="shared" ca="1" si="9"/>
        <v>0</v>
      </c>
      <c r="J74" s="61">
        <f ca="1">G74-I74</f>
        <v>0</v>
      </c>
      <c r="K74" s="91">
        <f t="shared" ca="1" si="21"/>
        <v>0</v>
      </c>
      <c r="L74" s="59">
        <f t="shared" ca="1" si="36"/>
        <v>0</v>
      </c>
      <c r="M74" s="59">
        <f t="shared" ca="1" si="10"/>
        <v>0</v>
      </c>
      <c r="N74" s="61">
        <f t="shared" ca="1" si="37"/>
        <v>0</v>
      </c>
      <c r="O74" s="91">
        <f ca="1">R73</f>
        <v>0</v>
      </c>
      <c r="P74" s="59">
        <f t="shared" ca="1" si="38"/>
        <v>0</v>
      </c>
      <c r="Q74" s="828">
        <f t="shared" ca="1" si="11"/>
        <v>0</v>
      </c>
      <c r="R74" s="61">
        <f ca="1">O74-Q74</f>
        <v>0</v>
      </c>
      <c r="S74" s="91">
        <f ca="1">V73</f>
        <v>0</v>
      </c>
      <c r="T74" s="59">
        <f t="shared" ca="1" si="40"/>
        <v>0</v>
      </c>
      <c r="U74" s="828">
        <f t="shared" ca="1" si="12"/>
        <v>0</v>
      </c>
      <c r="V74" s="61">
        <f ca="1">S74-U74</f>
        <v>0</v>
      </c>
      <c r="W74" s="91">
        <f t="shared" ca="1" si="24"/>
        <v>0</v>
      </c>
      <c r="X74" s="59">
        <f t="shared" ca="1" si="42"/>
        <v>0</v>
      </c>
      <c r="Y74" s="59">
        <f t="shared" ca="1" si="13"/>
        <v>0</v>
      </c>
      <c r="Z74" s="59">
        <f t="shared" ca="1" si="43"/>
        <v>0</v>
      </c>
      <c r="AA74" s="826">
        <f ca="1" xml:space="preserve"> SUM(D73:D74,H73:H74,L73:L74,P73:P74, T73:T74)</f>
        <v>0</v>
      </c>
      <c r="AB74" s="61">
        <f ca="1" xml:space="preserve"> SUM(E73:E74,I73:I74,M73:M74,Q73:Q74, U73:U74)</f>
        <v>0</v>
      </c>
      <c r="AC74" s="59">
        <f ca="1">SUM(X73:X74)</f>
        <v>0</v>
      </c>
      <c r="AD74" s="543">
        <f ca="1">SUM(Y73:Y74)</f>
        <v>0</v>
      </c>
      <c r="AE74" s="59">
        <f ca="1">SUM(D73:D74,H73:H74)</f>
        <v>0</v>
      </c>
      <c r="AF74" s="61">
        <f ca="1">SUM(E73:E74,I73:I74)</f>
        <v>0</v>
      </c>
      <c r="AG74" s="91">
        <f ca="1">SUM(T73:T74)</f>
        <v>0</v>
      </c>
      <c r="AH74" s="59">
        <f ca="1">SUM(U73:U74)</f>
        <v>0</v>
      </c>
      <c r="AI74" s="1595">
        <f ca="1">(C73+G73+K73+S73+W73)*IF(RAROC!$B$103=1,VLOOKUP('Debt Amort'!A74,RAROC!$A$107:$D$113,2),IF(RAROC!$B$103=2,VLOOKUP('Debt Amort'!A74,RAROC!$A$107:$D$113,3),IF(RAROC!$B$103=3,VLOOKUP('Debt Amort'!A74,RAROC!$A$107:$D$113,4),0)))*((13-MONTH(Startops3))/12)</f>
        <v>0</v>
      </c>
      <c r="AJ74" s="221"/>
      <c r="AK74" s="991">
        <v>0</v>
      </c>
      <c r="AL74" s="1103">
        <f t="shared" si="25"/>
        <v>0</v>
      </c>
      <c r="AM74" s="992">
        <v>0</v>
      </c>
      <c r="AN74" s="71">
        <f t="shared" si="14"/>
        <v>0</v>
      </c>
      <c r="AO74" s="992">
        <v>0</v>
      </c>
      <c r="AP74" s="71">
        <f t="shared" si="15"/>
        <v>0</v>
      </c>
      <c r="AQ74" s="992">
        <v>0</v>
      </c>
      <c r="AR74" s="71">
        <f t="shared" si="16"/>
        <v>0</v>
      </c>
      <c r="AS74" s="992">
        <v>0</v>
      </c>
      <c r="AT74" s="71">
        <f t="shared" si="17"/>
        <v>0</v>
      </c>
      <c r="AU74" s="992">
        <f t="shared" ca="1" si="26"/>
        <v>0</v>
      </c>
      <c r="AV74" s="838">
        <f t="shared" ca="1" si="18"/>
        <v>0</v>
      </c>
      <c r="AW74" s="15"/>
      <c r="AX74" s="837">
        <v>0</v>
      </c>
      <c r="AY74" s="215">
        <v>0</v>
      </c>
      <c r="AZ74" s="838">
        <f t="shared" si="27"/>
        <v>0</v>
      </c>
      <c r="BA74" s="910">
        <f ca="1">HLOOKUP($A74,CF_Table,CF!$AB$69)/2</f>
        <v>3801.2231104454768</v>
      </c>
      <c r="BB74" s="767">
        <v>13207.470824616252</v>
      </c>
      <c r="BC74" s="142">
        <f ca="1">IF(BB74&lt;0,BC73,IF(SUM(BB$35:BB74)&gt;$Z$27,$Z$27-SUM(BC$34:BC73),BB74))</f>
        <v>0</v>
      </c>
      <c r="BD74" s="71">
        <f t="shared" ca="1" si="28"/>
        <v>0</v>
      </c>
      <c r="BE74" s="914">
        <f t="shared" ca="1" si="29"/>
        <v>7</v>
      </c>
      <c r="BF74" s="436">
        <f t="shared" ca="1" si="30"/>
        <v>0</v>
      </c>
    </row>
    <row r="75" spans="1:58" ht="13.5" thickBot="1">
      <c r="A75" s="546" t="s">
        <v>441</v>
      </c>
      <c r="B75" s="547"/>
      <c r="C75" s="552"/>
      <c r="D75" s="549">
        <f ca="1">SUM(D35:D74)</f>
        <v>37848.800000000017</v>
      </c>
      <c r="E75" s="549">
        <f ca="1">SUM(E35:E74)</f>
        <v>70125</v>
      </c>
      <c r="F75" s="553"/>
      <c r="G75" s="552"/>
      <c r="H75" s="549">
        <f ca="1">SUM(H35:H74)</f>
        <v>40214.350000000028</v>
      </c>
      <c r="I75" s="549">
        <f ca="1">SUM(I35:I74)</f>
        <v>70125</v>
      </c>
      <c r="J75" s="553"/>
      <c r="K75" s="552"/>
      <c r="L75" s="549">
        <f ca="1">SUM(L35:L74)</f>
        <v>14706.106041617117</v>
      </c>
      <c r="M75" s="549">
        <f ca="1">SUM(M35:M74)</f>
        <v>24750</v>
      </c>
      <c r="N75" s="553"/>
      <c r="O75" s="552"/>
      <c r="P75" s="549">
        <f ca="1">SUM(P35:P74)</f>
        <v>0</v>
      </c>
      <c r="Q75" s="549">
        <f ca="1">SUM(Q35:Q74)</f>
        <v>0</v>
      </c>
      <c r="R75" s="553"/>
      <c r="S75" s="552"/>
      <c r="T75" s="549">
        <f ca="1">SUM(T35:T74)</f>
        <v>32663.867482089143</v>
      </c>
      <c r="U75" s="549">
        <f ca="1">SUM(U35:U74)</f>
        <v>36351.11991105834</v>
      </c>
      <c r="V75" s="553"/>
      <c r="W75" s="552"/>
      <c r="X75" s="549">
        <f ca="1">SUM(X35:X74)</f>
        <v>47828.135087795279</v>
      </c>
      <c r="Y75" s="549">
        <f ca="1">SUM(Y35:Y74)</f>
        <v>49749.813072758676</v>
      </c>
      <c r="Z75" s="548"/>
      <c r="AA75" s="827">
        <f t="shared" ref="AA75:AH75" ca="1" si="51">SUM(AA35:AA74)</f>
        <v>125433.12352370631</v>
      </c>
      <c r="AB75" s="549">
        <f t="shared" ca="1" si="51"/>
        <v>201351.1199110584</v>
      </c>
      <c r="AC75" s="549">
        <f t="shared" ca="1" si="51"/>
        <v>47828.135087795286</v>
      </c>
      <c r="AD75" s="550">
        <f t="shared" ca="1" si="51"/>
        <v>49749.813072758669</v>
      </c>
      <c r="AE75" s="549">
        <f t="shared" ca="1" si="51"/>
        <v>78063.150000000038</v>
      </c>
      <c r="AF75" s="551">
        <f t="shared" ca="1" si="51"/>
        <v>140250.00000000006</v>
      </c>
      <c r="AG75" s="549">
        <f t="shared" ca="1" si="51"/>
        <v>32663.86748208915</v>
      </c>
      <c r="AH75" s="549">
        <f t="shared" ca="1" si="51"/>
        <v>36351.11991105834</v>
      </c>
      <c r="AI75" s="1588">
        <f ca="1">SUM(AI35:AI74)</f>
        <v>12315.326245596061</v>
      </c>
      <c r="AJ75" s="1586"/>
      <c r="AK75" s="825">
        <f>SUM(AK35:AK74)</f>
        <v>0</v>
      </c>
      <c r="AL75" s="1102">
        <f t="shared" ref="AL75:AV75" si="52">SUM(AL35:AL74)</f>
        <v>0</v>
      </c>
      <c r="AM75" s="90">
        <f t="shared" si="52"/>
        <v>0</v>
      </c>
      <c r="AN75" s="32">
        <f t="shared" si="52"/>
        <v>0</v>
      </c>
      <c r="AO75" s="90">
        <f t="shared" si="52"/>
        <v>0</v>
      </c>
      <c r="AP75" s="32">
        <f t="shared" si="52"/>
        <v>0</v>
      </c>
      <c r="AQ75" s="90">
        <f t="shared" si="52"/>
        <v>0</v>
      </c>
      <c r="AR75" s="32">
        <f t="shared" si="52"/>
        <v>0</v>
      </c>
      <c r="AS75" s="90">
        <f t="shared" si="52"/>
        <v>200000</v>
      </c>
      <c r="AT75" s="32">
        <f t="shared" si="52"/>
        <v>1.0000000000000004</v>
      </c>
      <c r="AU75" s="90">
        <f t="shared" ca="1" si="52"/>
        <v>49749.813072758669</v>
      </c>
      <c r="AV75" s="135">
        <f t="shared" ca="1" si="52"/>
        <v>1</v>
      </c>
      <c r="AW75" s="15"/>
      <c r="AX75" s="825">
        <f>SUM(AX35:AX74)</f>
        <v>199999.99999999988</v>
      </c>
      <c r="AY75" s="37">
        <f>SUM(AY35:AY74)</f>
        <v>200000</v>
      </c>
      <c r="AZ75" s="135">
        <f>SUM(AZ35:AZ74)</f>
        <v>1.0000000000000004</v>
      </c>
      <c r="BA75" s="825">
        <f ca="1">SUM(Sub_Inputs)</f>
        <v>144989.17401939814</v>
      </c>
      <c r="BB75" s="37">
        <f>SUM(Sub_Values)</f>
        <v>284876.22073612339</v>
      </c>
      <c r="BC75" s="37">
        <f ca="1">SUM(BC35:BC74)</f>
        <v>49749.813072758669</v>
      </c>
      <c r="BD75" s="32">
        <f ca="1">SUM(BD35:BD74)</f>
        <v>1</v>
      </c>
      <c r="BE75" s="21">
        <f ca="1">MAX(BE35:BE74)</f>
        <v>7</v>
      </c>
      <c r="BF75" s="435">
        <f ca="1">SUM(BF35:BF74)</f>
        <v>-2621.7600778466422</v>
      </c>
    </row>
    <row r="76" spans="1:58" ht="13.5" thickBot="1">
      <c r="Z76" s="7"/>
      <c r="AC76" s="37"/>
      <c r="AE76" s="37"/>
      <c r="AF76" s="37"/>
      <c r="AG76" s="37"/>
      <c r="AK76" s="48"/>
      <c r="AL76" s="598"/>
      <c r="AM76" s="567"/>
      <c r="AN76" s="49"/>
      <c r="AO76" s="567"/>
      <c r="AP76" s="49"/>
      <c r="AQ76" s="567"/>
      <c r="AR76" s="49"/>
      <c r="AS76" s="567"/>
      <c r="AT76" s="49"/>
      <c r="AU76" s="567"/>
      <c r="AV76" s="125"/>
      <c r="AW76" s="15"/>
      <c r="AX76" s="48"/>
      <c r="AY76" s="49"/>
      <c r="AZ76" s="125"/>
      <c r="BA76" s="48"/>
      <c r="BB76" s="49"/>
      <c r="BC76" s="49"/>
      <c r="BD76" s="49"/>
      <c r="BE76" s="125"/>
      <c r="BF76" s="443"/>
    </row>
    <row r="77" spans="1:58" s="1567" customFormat="1" ht="13.5" thickBot="1">
      <c r="B77" s="1584">
        <v>1</v>
      </c>
      <c r="C77" s="1584">
        <f>B77+1</f>
        <v>2</v>
      </c>
      <c r="D77" s="1584">
        <f>C77+1</f>
        <v>3</v>
      </c>
      <c r="E77" s="1584">
        <f t="shared" ref="E77:Q77" si="53">D77+1</f>
        <v>4</v>
      </c>
      <c r="F77" s="1584">
        <f t="shared" si="53"/>
        <v>5</v>
      </c>
      <c r="G77" s="1584">
        <f t="shared" si="53"/>
        <v>6</v>
      </c>
      <c r="H77" s="1584">
        <f t="shared" si="53"/>
        <v>7</v>
      </c>
      <c r="I77" s="1584">
        <f t="shared" si="53"/>
        <v>8</v>
      </c>
      <c r="J77" s="1584">
        <f t="shared" si="53"/>
        <v>9</v>
      </c>
      <c r="K77" s="1584">
        <f t="shared" si="53"/>
        <v>10</v>
      </c>
      <c r="L77" s="1584">
        <f t="shared" si="53"/>
        <v>11</v>
      </c>
      <c r="M77" s="1584">
        <f t="shared" si="53"/>
        <v>12</v>
      </c>
      <c r="N77" s="1584">
        <f t="shared" si="53"/>
        <v>13</v>
      </c>
      <c r="O77" s="1584">
        <f t="shared" si="53"/>
        <v>14</v>
      </c>
      <c r="P77" s="1584">
        <f t="shared" si="53"/>
        <v>15</v>
      </c>
      <c r="Q77" s="1584">
        <f t="shared" si="53"/>
        <v>16</v>
      </c>
      <c r="R77" s="1584">
        <f t="shared" ref="R77:Y77" si="54">Q77+1</f>
        <v>17</v>
      </c>
      <c r="S77" s="1584">
        <f t="shared" si="54"/>
        <v>18</v>
      </c>
      <c r="T77" s="1584">
        <f t="shared" si="54"/>
        <v>19</v>
      </c>
      <c r="U77" s="1584">
        <f t="shared" si="54"/>
        <v>20</v>
      </c>
      <c r="V77" s="1584">
        <f t="shared" si="54"/>
        <v>21</v>
      </c>
      <c r="W77" s="1584">
        <f t="shared" si="54"/>
        <v>22</v>
      </c>
      <c r="X77" s="1584">
        <f t="shared" si="54"/>
        <v>23</v>
      </c>
      <c r="Y77" s="1584">
        <f t="shared" si="54"/>
        <v>24</v>
      </c>
      <c r="Z77" s="1584">
        <f t="shared" ref="Z77:AI77" si="55">Y77+1</f>
        <v>25</v>
      </c>
      <c r="AA77" s="1584">
        <f t="shared" si="55"/>
        <v>26</v>
      </c>
      <c r="AB77" s="1584">
        <f t="shared" si="55"/>
        <v>27</v>
      </c>
      <c r="AC77" s="1584">
        <f>AB77+1</f>
        <v>28</v>
      </c>
      <c r="AD77" s="1584">
        <f t="shared" si="55"/>
        <v>29</v>
      </c>
      <c r="AE77" s="1584">
        <f>AD77+1</f>
        <v>30</v>
      </c>
      <c r="AF77" s="1584">
        <f t="shared" si="55"/>
        <v>31</v>
      </c>
      <c r="AG77" s="1584">
        <f t="shared" si="55"/>
        <v>32</v>
      </c>
      <c r="AH77" s="1584">
        <f t="shared" si="55"/>
        <v>33</v>
      </c>
      <c r="AI77" s="1596">
        <f t="shared" si="55"/>
        <v>34</v>
      </c>
      <c r="AJ77" s="1584"/>
      <c r="AW77" s="1579"/>
    </row>
    <row r="78" spans="1:58" ht="13.5" thickBot="1">
      <c r="Z78" s="7"/>
      <c r="AE78" s="7"/>
      <c r="AF78" s="7"/>
      <c r="AW78" s="15"/>
      <c r="BA78" s="627" t="s">
        <v>240</v>
      </c>
      <c r="BB78" s="548"/>
      <c r="BC78" s="911">
        <f ca="1">IF(ABS(BF75)&lt;0.00005,0,1)</f>
        <v>1</v>
      </c>
    </row>
    <row r="79" spans="1:58" s="1567" customFormat="1">
      <c r="C79" s="1585" t="s">
        <v>328</v>
      </c>
      <c r="D79" s="1577">
        <f t="shared" ref="D79:AH79" si="56">IF(D$7=YEAR(Startops3),IF($B$35=0,1,2),IF(D$7&gt;YEAR(Startops3),C79+2,0))</f>
        <v>0</v>
      </c>
      <c r="E79" s="1577">
        <f t="shared" si="56"/>
        <v>0</v>
      </c>
      <c r="F79" s="1577">
        <f t="shared" si="56"/>
        <v>0</v>
      </c>
      <c r="G79" s="1577">
        <f t="shared" si="56"/>
        <v>1</v>
      </c>
      <c r="H79" s="1577">
        <f t="shared" si="56"/>
        <v>3</v>
      </c>
      <c r="I79" s="1577">
        <f t="shared" si="56"/>
        <v>5</v>
      </c>
      <c r="J79" s="1577">
        <f t="shared" si="56"/>
        <v>7</v>
      </c>
      <c r="K79" s="1577">
        <f t="shared" si="56"/>
        <v>9</v>
      </c>
      <c r="L79" s="1577">
        <f t="shared" si="56"/>
        <v>11</v>
      </c>
      <c r="M79" s="1577">
        <f t="shared" si="56"/>
        <v>13</v>
      </c>
      <c r="N79" s="1577">
        <f t="shared" si="56"/>
        <v>15</v>
      </c>
      <c r="O79" s="1577">
        <f t="shared" si="56"/>
        <v>17</v>
      </c>
      <c r="P79" s="1577">
        <f t="shared" si="56"/>
        <v>19</v>
      </c>
      <c r="Q79" s="1577">
        <f t="shared" si="56"/>
        <v>21</v>
      </c>
      <c r="R79" s="1577">
        <f t="shared" si="56"/>
        <v>23</v>
      </c>
      <c r="S79" s="1577">
        <f t="shared" si="56"/>
        <v>25</v>
      </c>
      <c r="T79" s="1577">
        <f t="shared" si="56"/>
        <v>27</v>
      </c>
      <c r="U79" s="1577">
        <f t="shared" si="56"/>
        <v>29</v>
      </c>
      <c r="V79" s="1577">
        <f t="shared" si="56"/>
        <v>31</v>
      </c>
      <c r="W79" s="1577">
        <f t="shared" si="56"/>
        <v>33</v>
      </c>
      <c r="X79" s="1577">
        <f t="shared" si="56"/>
        <v>35</v>
      </c>
      <c r="Y79" s="1577">
        <f t="shared" si="56"/>
        <v>37</v>
      </c>
      <c r="Z79" s="1577">
        <f t="shared" si="56"/>
        <v>39</v>
      </c>
      <c r="AA79" s="1577">
        <f t="shared" si="56"/>
        <v>0</v>
      </c>
      <c r="AB79" s="1577">
        <f t="shared" si="56"/>
        <v>0</v>
      </c>
      <c r="AC79" s="1577">
        <f>IF(AC$7=YEAR(Startops3),IF($B$35=0,1,2),IF(AC$7&gt;YEAR(Startops3),AB79+2,0))</f>
        <v>0</v>
      </c>
      <c r="AD79" s="1577">
        <f t="shared" si="56"/>
        <v>0</v>
      </c>
      <c r="AE79" s="1577">
        <f>IF(AE$7=YEAR(Startops3),IF($B$35=0,1,2),IF(AE$7&gt;YEAR(Startops3),AD79+2,0))</f>
        <v>0</v>
      </c>
      <c r="AF79" s="1577">
        <f t="shared" si="56"/>
        <v>0</v>
      </c>
      <c r="AG79" s="1577">
        <f t="shared" si="56"/>
        <v>0</v>
      </c>
      <c r="AH79" s="1577">
        <f t="shared" si="56"/>
        <v>0</v>
      </c>
      <c r="AI79" s="1590"/>
      <c r="AJ79" s="1577"/>
      <c r="AW79" s="1579"/>
    </row>
    <row r="80" spans="1:58">
      <c r="Z80" s="7"/>
      <c r="AW80" s="15"/>
    </row>
    <row r="81" spans="26:49">
      <c r="Z81" s="7"/>
      <c r="AW81" s="15"/>
    </row>
    <row r="82" spans="26:49">
      <c r="Z82" s="7"/>
      <c r="AW82" s="15"/>
    </row>
    <row r="83" spans="26:49">
      <c r="Z83" s="7"/>
      <c r="AW83" s="15"/>
    </row>
    <row r="84" spans="26:49">
      <c r="Z84" s="7"/>
    </row>
    <row r="85" spans="26:49">
      <c r="Z85" s="7"/>
    </row>
    <row r="86" spans="26:49">
      <c r="Z86" s="7"/>
    </row>
    <row r="87" spans="26:49">
      <c r="Z87" s="7"/>
    </row>
    <row r="88" spans="26:49">
      <c r="Z88" s="7"/>
    </row>
    <row r="89" spans="26:49">
      <c r="Z89" s="7"/>
    </row>
    <row r="90" spans="26:49">
      <c r="Z90" s="7"/>
    </row>
    <row r="91" spans="26:49">
      <c r="Z91" s="7"/>
    </row>
    <row r="92" spans="26:49">
      <c r="Z92" s="7"/>
    </row>
    <row r="93" spans="26:49">
      <c r="Z93" s="7"/>
    </row>
    <row r="94" spans="26:49">
      <c r="Z94" s="7"/>
    </row>
    <row r="95" spans="26:49">
      <c r="Z95" s="7"/>
    </row>
    <row r="96" spans="26:49">
      <c r="Z96" s="7"/>
    </row>
    <row r="97" spans="26:26">
      <c r="Z97" s="7"/>
    </row>
    <row r="98" spans="26:26">
      <c r="Z98" s="7"/>
    </row>
    <row r="99" spans="26:26">
      <c r="Z99" s="7"/>
    </row>
    <row r="100" spans="26:26">
      <c r="Z100" s="7"/>
    </row>
    <row r="101" spans="26:26">
      <c r="Z101" s="7"/>
    </row>
    <row r="102" spans="26:26">
      <c r="Z102" s="7"/>
    </row>
    <row r="103" spans="26:26">
      <c r="Z103" s="7"/>
    </row>
    <row r="104" spans="26:26">
      <c r="Z104" s="7"/>
    </row>
    <row r="105" spans="26:26">
      <c r="Z105" s="7"/>
    </row>
    <row r="106" spans="26:26">
      <c r="Z106" s="7"/>
    </row>
    <row r="107" spans="26:26">
      <c r="Z107" s="7"/>
    </row>
    <row r="108" spans="26:26">
      <c r="Z108" s="7"/>
    </row>
    <row r="109" spans="26:26">
      <c r="Z109" s="7"/>
    </row>
  </sheetData>
  <printOptions horizontalCentered="1"/>
  <pageMargins left="0.25" right="0.25" top="0.5" bottom="0.5" header="0.25" footer="0.25"/>
  <pageSetup scale="40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1">
    <pageSetUpPr fitToPage="1"/>
  </sheetPr>
  <dimension ref="A1:AO64"/>
  <sheetViews>
    <sheetView showGridLines="0" zoomScale="90" workbookViewId="0">
      <selection activeCell="A66" sqref="A66"/>
    </sheetView>
  </sheetViews>
  <sheetFormatPr defaultRowHeight="12.75"/>
  <cols>
    <col min="1" max="1" width="30.7109375" style="15" customWidth="1"/>
    <col min="2" max="2" width="18.7109375" style="15" customWidth="1"/>
    <col min="3" max="3" width="3.7109375" style="15" customWidth="1"/>
    <col min="4" max="25" width="10.7109375" style="15" customWidth="1"/>
    <col min="26" max="26" width="12.7109375" style="15" customWidth="1"/>
    <col min="27" max="27" width="11.5703125" style="7" customWidth="1"/>
    <col min="28" max="16384" width="9.140625" style="7"/>
  </cols>
  <sheetData>
    <row r="1" spans="1:41" s="1" customFormat="1" ht="15.75">
      <c r="A1" s="1137" t="str">
        <f>CONCATENATE(TOC!B2," ",TOC!B6)</f>
        <v>EMPRESSA PRODUTORA DE ENERGÍA LTDA (EPE) *** DRAFT COPY ***</v>
      </c>
      <c r="AD1" s="15"/>
      <c r="AE1" s="15"/>
    </row>
    <row r="2" spans="1:41" s="1" customFormat="1" ht="15.75">
      <c r="A2" s="1137" t="str">
        <f>TOC!B3</f>
        <v>480 MW POWER PLANT (CUIABA, BRAZIL)</v>
      </c>
      <c r="AD2" s="15"/>
      <c r="AE2" s="15"/>
    </row>
    <row r="3" spans="1:41" s="1" customFormat="1" ht="15">
      <c r="A3" s="118" t="str">
        <f>TOC!B4</f>
        <v>ENRON INTERNATIONAL</v>
      </c>
      <c r="AD3" s="15"/>
      <c r="AE3" s="15"/>
    </row>
    <row r="4" spans="1:41" s="1" customFormat="1" ht="15">
      <c r="A4" s="932" t="s">
        <v>226</v>
      </c>
      <c r="AD4" s="15"/>
      <c r="AE4" s="15"/>
    </row>
    <row r="5" spans="1:41" customFormat="1" ht="13.5" thickBot="1">
      <c r="A5" s="1"/>
      <c r="B5" s="15"/>
      <c r="C5" s="1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"/>
      <c r="AA5" s="1"/>
      <c r="AB5" s="1"/>
      <c r="AC5" s="1"/>
      <c r="AD5" s="15"/>
      <c r="AE5" s="15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s="15" customFormat="1">
      <c r="A6" s="412" t="s">
        <v>443</v>
      </c>
      <c r="B6" s="11"/>
      <c r="C6" s="11"/>
      <c r="D6" s="11">
        <f>Rev_Exp!D6</f>
        <v>1</v>
      </c>
      <c r="E6" s="11">
        <f>Rev_Exp!E6</f>
        <v>2</v>
      </c>
      <c r="F6" s="11">
        <f>Rev_Exp!F6</f>
        <v>3</v>
      </c>
      <c r="G6" s="11">
        <f>Rev_Exp!G6</f>
        <v>4</v>
      </c>
      <c r="H6" s="11">
        <f>Rev_Exp!H6</f>
        <v>5</v>
      </c>
      <c r="I6" s="11">
        <f>Rev_Exp!I6</f>
        <v>6</v>
      </c>
      <c r="J6" s="11">
        <f>Rev_Exp!J6</f>
        <v>7</v>
      </c>
      <c r="K6" s="11">
        <f>Rev_Exp!K6</f>
        <v>8</v>
      </c>
      <c r="L6" s="11">
        <f>Rev_Exp!L6</f>
        <v>9</v>
      </c>
      <c r="M6" s="11">
        <f>Rev_Exp!M6</f>
        <v>10</v>
      </c>
      <c r="N6" s="11">
        <f>Rev_Exp!N6</f>
        <v>11</v>
      </c>
      <c r="O6" s="11">
        <f>Rev_Exp!O6</f>
        <v>12</v>
      </c>
      <c r="P6" s="11">
        <f>Rev_Exp!P6</f>
        <v>13</v>
      </c>
      <c r="Q6" s="11">
        <f>Rev_Exp!Q6</f>
        <v>14</v>
      </c>
      <c r="R6" s="11">
        <f>Rev_Exp!R6</f>
        <v>15</v>
      </c>
      <c r="S6" s="11">
        <f>Rev_Exp!S6</f>
        <v>16</v>
      </c>
      <c r="T6" s="11">
        <f>Rev_Exp!T6</f>
        <v>17</v>
      </c>
      <c r="U6" s="11">
        <f>Rev_Exp!U6</f>
        <v>18</v>
      </c>
      <c r="V6" s="11">
        <f>Rev_Exp!V6</f>
        <v>19</v>
      </c>
      <c r="W6" s="11">
        <f>Rev_Exp!W6</f>
        <v>20</v>
      </c>
      <c r="X6" s="11">
        <f>Rev_Exp!X6</f>
        <v>21</v>
      </c>
      <c r="Y6" s="11">
        <f>Rev_Exp!Y6</f>
        <v>22</v>
      </c>
      <c r="Z6" s="424"/>
    </row>
    <row r="7" spans="1:41" s="15" customFormat="1" ht="13.5" thickBot="1">
      <c r="A7" s="455" t="s">
        <v>444</v>
      </c>
      <c r="B7" s="49"/>
      <c r="C7" s="49"/>
      <c r="D7" s="213">
        <f>Rev_Exp!D7</f>
        <v>1998</v>
      </c>
      <c r="E7" s="213">
        <f>Rev_Exp!E7</f>
        <v>1999</v>
      </c>
      <c r="F7" s="213">
        <f>Rev_Exp!F7</f>
        <v>2000</v>
      </c>
      <c r="G7" s="213">
        <f>Rev_Exp!G7</f>
        <v>2001</v>
      </c>
      <c r="H7" s="213">
        <f>Rev_Exp!H7</f>
        <v>2002</v>
      </c>
      <c r="I7" s="213">
        <f>Rev_Exp!I7</f>
        <v>2003</v>
      </c>
      <c r="J7" s="213">
        <f>Rev_Exp!J7</f>
        <v>2004</v>
      </c>
      <c r="K7" s="213">
        <f>Rev_Exp!K7</f>
        <v>2005</v>
      </c>
      <c r="L7" s="213">
        <f>Rev_Exp!L7</f>
        <v>2006</v>
      </c>
      <c r="M7" s="213">
        <f>Rev_Exp!M7</f>
        <v>2007</v>
      </c>
      <c r="N7" s="213">
        <f>Rev_Exp!N7</f>
        <v>2008</v>
      </c>
      <c r="O7" s="213">
        <f>Rev_Exp!O7</f>
        <v>2009</v>
      </c>
      <c r="P7" s="213">
        <f>Rev_Exp!P7</f>
        <v>2010</v>
      </c>
      <c r="Q7" s="213">
        <f>Rev_Exp!Q7</f>
        <v>2011</v>
      </c>
      <c r="R7" s="213">
        <f>Rev_Exp!R7</f>
        <v>2012</v>
      </c>
      <c r="S7" s="213">
        <f>Rev_Exp!S7</f>
        <v>2013</v>
      </c>
      <c r="T7" s="213">
        <f>Rev_Exp!T7</f>
        <v>2014</v>
      </c>
      <c r="U7" s="213">
        <f>Rev_Exp!U7</f>
        <v>2015</v>
      </c>
      <c r="V7" s="213">
        <f>Rev_Exp!V7</f>
        <v>2016</v>
      </c>
      <c r="W7" s="213">
        <f>Rev_Exp!W7</f>
        <v>2017</v>
      </c>
      <c r="X7" s="213">
        <f>Rev_Exp!X7</f>
        <v>2018</v>
      </c>
      <c r="Y7" s="213">
        <f>Rev_Exp!Y7</f>
        <v>2019</v>
      </c>
      <c r="Z7" s="425" t="s">
        <v>565</v>
      </c>
    </row>
    <row r="8" spans="1:41" customFormat="1">
      <c r="A8" s="416"/>
      <c r="B8" s="15"/>
      <c r="C8" s="1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426"/>
      <c r="AA8" s="1"/>
      <c r="AB8" s="1"/>
      <c r="AC8" s="1"/>
      <c r="AD8" s="15"/>
      <c r="AE8" s="15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spans="1:41" s="15" customFormat="1">
      <c r="A9" s="20" t="s">
        <v>817</v>
      </c>
      <c r="D9" s="65">
        <f ca="1">Rev_Exp!D12</f>
        <v>0</v>
      </c>
      <c r="E9" s="65">
        <f ca="1">Rev_Exp!E12</f>
        <v>9</v>
      </c>
      <c r="F9" s="65">
        <f ca="1">Rev_Exp!F12</f>
        <v>12</v>
      </c>
      <c r="G9" s="65">
        <f ca="1">Rev_Exp!G12</f>
        <v>12</v>
      </c>
      <c r="H9" s="65">
        <f ca="1">Rev_Exp!H12</f>
        <v>12</v>
      </c>
      <c r="I9" s="65">
        <f ca="1">Rev_Exp!I12</f>
        <v>12</v>
      </c>
      <c r="J9" s="65">
        <f ca="1">Rev_Exp!J12</f>
        <v>12</v>
      </c>
      <c r="K9" s="65">
        <f ca="1">Rev_Exp!K12</f>
        <v>12</v>
      </c>
      <c r="L9" s="65">
        <f ca="1">Rev_Exp!L12</f>
        <v>12</v>
      </c>
      <c r="M9" s="65">
        <f ca="1">Rev_Exp!M12</f>
        <v>12</v>
      </c>
      <c r="N9" s="65">
        <f ca="1">Rev_Exp!N12</f>
        <v>12</v>
      </c>
      <c r="O9" s="65">
        <f ca="1">Rev_Exp!O12</f>
        <v>12</v>
      </c>
      <c r="P9" s="65">
        <f ca="1">Rev_Exp!P12</f>
        <v>12</v>
      </c>
      <c r="Q9" s="65">
        <f ca="1">Rev_Exp!Q12</f>
        <v>12</v>
      </c>
      <c r="R9" s="65">
        <f ca="1">Rev_Exp!R12</f>
        <v>12</v>
      </c>
      <c r="S9" s="65">
        <f ca="1">Rev_Exp!S12</f>
        <v>12</v>
      </c>
      <c r="T9" s="65">
        <f ca="1">Rev_Exp!T12</f>
        <v>12</v>
      </c>
      <c r="U9" s="65">
        <f ca="1">Rev_Exp!U12</f>
        <v>12</v>
      </c>
      <c r="V9" s="65">
        <f ca="1">Rev_Exp!V12</f>
        <v>12</v>
      </c>
      <c r="W9" s="65">
        <f ca="1">Rev_Exp!W12</f>
        <v>12</v>
      </c>
      <c r="X9" s="65">
        <f ca="1">Rev_Exp!X12</f>
        <v>12</v>
      </c>
      <c r="Y9" s="65">
        <f ca="1">Rev_Exp!Y12</f>
        <v>4</v>
      </c>
      <c r="Z9" s="431">
        <f ca="1">SUM(D9:Y9)</f>
        <v>241</v>
      </c>
    </row>
    <row r="10" spans="1:41">
      <c r="A10" s="20"/>
      <c r="Z10" s="430"/>
    </row>
    <row r="11" spans="1:41" s="15" customFormat="1">
      <c r="A11" s="128" t="s">
        <v>1934</v>
      </c>
      <c r="B11" s="3"/>
      <c r="Z11" s="430"/>
    </row>
    <row r="12" spans="1:41" s="15" customFormat="1">
      <c r="A12" s="20" t="s">
        <v>800</v>
      </c>
      <c r="D12" s="37">
        <f ca="1">CF!D19</f>
        <v>0</v>
      </c>
      <c r="E12" s="37">
        <f ca="1">CF!E19</f>
        <v>8708.705667469434</v>
      </c>
      <c r="F12" s="37">
        <f ca="1">CF!F19</f>
        <v>14410.358453143104</v>
      </c>
      <c r="G12" s="37">
        <f ca="1">CF!G19</f>
        <v>99268.521602260618</v>
      </c>
      <c r="H12" s="37">
        <f ca="1">CF!H19</f>
        <v>141368.05212139618</v>
      </c>
      <c r="I12" s="37">
        <f ca="1">CF!I19</f>
        <v>148008.88985692765</v>
      </c>
      <c r="J12" s="37">
        <f ca="1">CF!J19</f>
        <v>153703.49326552707</v>
      </c>
      <c r="K12" s="37">
        <f ca="1">CF!K19</f>
        <v>157339.68570075242</v>
      </c>
      <c r="L12" s="37">
        <f ca="1">CF!L19</f>
        <v>160514.6994510777</v>
      </c>
      <c r="M12" s="37">
        <f ca="1">CF!M19</f>
        <v>160370.70931595482</v>
      </c>
      <c r="N12" s="37">
        <f ca="1">CF!N19</f>
        <v>158815.68171313833</v>
      </c>
      <c r="O12" s="37">
        <f ca="1">CF!O19</f>
        <v>160155.69425768737</v>
      </c>
      <c r="P12" s="37">
        <f ca="1">CF!P19</f>
        <v>163793.51823483425</v>
      </c>
      <c r="Q12" s="37">
        <f ca="1">CF!Q19</f>
        <v>165185.81004526405</v>
      </c>
      <c r="R12" s="37">
        <f ca="1">CF!R19</f>
        <v>160615.19556304</v>
      </c>
      <c r="S12" s="37">
        <f ca="1">CF!S19</f>
        <v>166710.28628449299</v>
      </c>
      <c r="T12" s="37">
        <f ca="1">CF!T19</f>
        <v>157005.06342935958</v>
      </c>
      <c r="U12" s="37">
        <f ca="1">CF!U19</f>
        <v>143666.50417056947</v>
      </c>
      <c r="V12" s="37">
        <f ca="1">CF!V19</f>
        <v>142051.69543340997</v>
      </c>
      <c r="W12" s="37">
        <f ca="1">CF!W19</f>
        <v>144062.75563247938</v>
      </c>
      <c r="X12" s="37">
        <f ca="1">CF!X19</f>
        <v>142418.02842998644</v>
      </c>
      <c r="Y12" s="37">
        <f ca="1">CF!Y19</f>
        <v>47059.630096226312</v>
      </c>
      <c r="Z12" s="435">
        <f t="shared" ref="Z12:Z18" ca="1" si="0">SUM(D12:Y12)</f>
        <v>2795232.978724997</v>
      </c>
    </row>
    <row r="13" spans="1:41" s="15" customFormat="1">
      <c r="A13" s="20" t="s">
        <v>1906</v>
      </c>
      <c r="D13" s="37">
        <f ca="1">-CF!D27</f>
        <v>0</v>
      </c>
      <c r="E13" s="37">
        <f ca="1">-CF!E27</f>
        <v>-10458.104630295045</v>
      </c>
      <c r="F13" s="37">
        <f ca="1">-CF!F27</f>
        <v>-10609.715389046836</v>
      </c>
      <c r="G13" s="37">
        <f ca="1">-CF!G27</f>
        <v>-70083.576120426937</v>
      </c>
      <c r="H13" s="37">
        <f ca="1">-CF!H27</f>
        <v>-98838.624827750275</v>
      </c>
      <c r="I13" s="37">
        <f ca="1">-CF!I27</f>
        <v>-101244.93384653219</v>
      </c>
      <c r="J13" s="37">
        <f ca="1">-CF!J27</f>
        <v>-124673.74480618839</v>
      </c>
      <c r="K13" s="37">
        <f ca="1">-CF!K27</f>
        <v>-106325.69739172085</v>
      </c>
      <c r="L13" s="37">
        <f ca="1">-CF!L27</f>
        <v>-108948.44163627217</v>
      </c>
      <c r="M13" s="37">
        <f ca="1">-CF!M27</f>
        <v>-111622.43654313406</v>
      </c>
      <c r="N13" s="37">
        <f ca="1">-CF!N27</f>
        <v>-114373.25882955153</v>
      </c>
      <c r="O13" s="37">
        <f ca="1">-CF!O27</f>
        <v>-116947.5337458484</v>
      </c>
      <c r="P13" s="37">
        <f ca="1">-CF!P27</f>
        <v>-119690.85120921899</v>
      </c>
      <c r="Q13" s="37">
        <f ca="1">-CF!Q27</f>
        <v>-122380.65294414852</v>
      </c>
      <c r="R13" s="37">
        <f ca="1">-CF!R27</f>
        <v>-125335.84696112057</v>
      </c>
      <c r="S13" s="37">
        <f ca="1">-CF!S27</f>
        <v>-128124.67278647902</v>
      </c>
      <c r="T13" s="37">
        <f ca="1">-CF!T27</f>
        <v>-131048.1140413598</v>
      </c>
      <c r="U13" s="37">
        <f ca="1">-CF!U27</f>
        <v>-134134.97029577664</v>
      </c>
      <c r="V13" s="37">
        <f ca="1">-CF!V27</f>
        <v>-137517.62852785992</v>
      </c>
      <c r="W13" s="37">
        <f ca="1">-CF!W27</f>
        <v>-140638.94711447999</v>
      </c>
      <c r="X13" s="37">
        <f ca="1">-CF!X27</f>
        <v>-137310.48482530864</v>
      </c>
      <c r="Y13" s="37">
        <f ca="1">-CF!Y27</f>
        <v>-46351.63649456203</v>
      </c>
      <c r="Z13" s="435">
        <f t="shared" ca="1" si="0"/>
        <v>-2196659.8729670807</v>
      </c>
    </row>
    <row r="14" spans="1:41" s="15" customFormat="1">
      <c r="A14" s="20" t="s">
        <v>257</v>
      </c>
      <c r="D14" s="37">
        <f ca="1">Trapped!F71</f>
        <v>0</v>
      </c>
      <c r="E14" s="37">
        <f ca="1">Trapped!G71</f>
        <v>6980.6776802610484</v>
      </c>
      <c r="F14" s="37">
        <f ca="1">Trapped!H71</f>
        <v>6871.2312926447939</v>
      </c>
      <c r="G14" s="37">
        <f ca="1">Trapped!I71</f>
        <v>-6051.3107061283908</v>
      </c>
      <c r="H14" s="37">
        <f ca="1">Trapped!J71</f>
        <v>-1119.6899058277095</v>
      </c>
      <c r="I14" s="37">
        <f ca="1">Trapped!K71</f>
        <v>-1214.3500249006493</v>
      </c>
      <c r="J14" s="37">
        <f ca="1">Trapped!L71</f>
        <v>5918.4018651183296</v>
      </c>
      <c r="K14" s="37">
        <f ca="1">Trapped!M71</f>
        <v>-1407.1024280841766</v>
      </c>
      <c r="L14" s="37">
        <f ca="1">Trapped!N71</f>
        <v>-3778.2223137264127</v>
      </c>
      <c r="M14" s="37">
        <f ca="1">Trapped!O71</f>
        <v>6730.3349227413992</v>
      </c>
      <c r="N14" s="37">
        <f ca="1">Trapped!P71</f>
        <v>6723.6374915484303</v>
      </c>
      <c r="O14" s="37">
        <f ca="1">Trapped!Q71</f>
        <v>-5855.5412578572896</v>
      </c>
      <c r="P14" s="37">
        <f ca="1">Trapped!R71</f>
        <v>-6006.1878381772904</v>
      </c>
      <c r="Q14" s="37">
        <f ca="1">Trapped!S71</f>
        <v>6703.1739669985318</v>
      </c>
      <c r="R14" s="37">
        <f ca="1">Trapped!T71</f>
        <v>6696.176546912503</v>
      </c>
      <c r="S14" s="37">
        <f ca="1">Trapped!U71</f>
        <v>-15731.406902417497</v>
      </c>
      <c r="T14" s="37">
        <f ca="1">Trapped!V71</f>
        <v>6681.6637286582363</v>
      </c>
      <c r="U14" s="37">
        <f ca="1">Trapped!W71</f>
        <v>6673.996840773224</v>
      </c>
      <c r="V14" s="37">
        <f ca="1">Trapped!X71</f>
        <v>-3831.0854180715532</v>
      </c>
      <c r="W14" s="37">
        <f ca="1">Trapped!Y71</f>
        <v>-14984.397540465536</v>
      </c>
      <c r="X14" s="37">
        <f ca="1">Trapped!Z71</f>
        <v>0</v>
      </c>
      <c r="Y14" s="37">
        <f ca="1">Trapped!AA71</f>
        <v>0</v>
      </c>
      <c r="Z14" s="435">
        <f t="shared" ca="1" si="0"/>
        <v>-7.2759576141834259E-12</v>
      </c>
      <c r="AA14" s="251"/>
    </row>
    <row r="15" spans="1:41" s="15" customFormat="1">
      <c r="A15" s="20" t="s">
        <v>258</v>
      </c>
      <c r="D15" s="37">
        <f ca="1">Trapped!F87</f>
        <v>0</v>
      </c>
      <c r="E15" s="37">
        <f ca="1">Trapped!G87</f>
        <v>282.92822515128216</v>
      </c>
      <c r="F15" s="37">
        <f ca="1">Trapped!H87</f>
        <v>258.78895758710252</v>
      </c>
      <c r="G15" s="37">
        <f ca="1">Trapped!I87</f>
        <v>228.31991443469315</v>
      </c>
      <c r="H15" s="37">
        <f ca="1">Trapped!J87</f>
        <v>-121.78566158839891</v>
      </c>
      <c r="I15" s="37">
        <f ca="1">Trapped!K87</f>
        <v>-59.755935588470209</v>
      </c>
      <c r="J15" s="37">
        <f ca="1">Trapped!L87</f>
        <v>225.5209170072487</v>
      </c>
      <c r="K15" s="37">
        <f ca="1">Trapped!M87</f>
        <v>-234.5738076427823</v>
      </c>
      <c r="L15" s="37">
        <f ca="1">Trapped!N87</f>
        <v>74.673483401067472</v>
      </c>
      <c r="M15" s="37">
        <f ca="1">Trapped!O87</f>
        <v>217.54696632663806</v>
      </c>
      <c r="N15" s="37">
        <f ca="1">Trapped!P87</f>
        <v>214.52779623528943</v>
      </c>
      <c r="O15" s="37">
        <f ca="1">Trapped!Q87</f>
        <v>-236.48393776387684</v>
      </c>
      <c r="P15" s="37">
        <f ca="1">Trapped!R87</f>
        <v>-177.44731602093702</v>
      </c>
      <c r="Q15" s="37">
        <f ca="1">Trapped!S87</f>
        <v>204.6046056544385</v>
      </c>
      <c r="R15" s="37">
        <f ca="1">Trapped!T87</f>
        <v>200.78936962346393</v>
      </c>
      <c r="S15" s="37">
        <f ca="1">Trapped!U87</f>
        <v>-662.07069450338088</v>
      </c>
      <c r="T15" s="37">
        <f ca="1">Trapped!V87</f>
        <v>192.47298106995899</v>
      </c>
      <c r="U15" s="37">
        <f ca="1">Trapped!W87</f>
        <v>188.07366958778329</v>
      </c>
      <c r="V15" s="37">
        <f ca="1">Trapped!X87</f>
        <v>-438.96249323616928</v>
      </c>
      <c r="W15" s="37">
        <f ca="1">Trapped!Y87</f>
        <v>-357.16703973495169</v>
      </c>
      <c r="X15" s="37">
        <f ca="1">Trapped!Z87</f>
        <v>0</v>
      </c>
      <c r="Y15" s="37">
        <f ca="1">Trapped!AA87</f>
        <v>0</v>
      </c>
      <c r="Z15" s="435">
        <f t="shared" ca="1" si="0"/>
        <v>-5.6843418860808015E-13</v>
      </c>
      <c r="AA15" s="251"/>
    </row>
    <row r="16" spans="1:41" s="15" customFormat="1">
      <c r="A16" s="20" t="s">
        <v>376</v>
      </c>
      <c r="D16" s="37">
        <f ca="1">CF!D31</f>
        <v>0</v>
      </c>
      <c r="E16" s="37">
        <f ca="1">CF!E31</f>
        <v>0</v>
      </c>
      <c r="F16" s="37">
        <f ca="1">CF!F31</f>
        <v>0</v>
      </c>
      <c r="G16" s="37">
        <f ca="1">CF!G31</f>
        <v>0</v>
      </c>
      <c r="H16" s="37">
        <f ca="1">CF!H31</f>
        <v>0</v>
      </c>
      <c r="I16" s="37">
        <f ca="1">CF!I31</f>
        <v>0</v>
      </c>
      <c r="J16" s="37">
        <f ca="1">CF!J31</f>
        <v>0</v>
      </c>
      <c r="K16" s="37">
        <f ca="1">CF!K31</f>
        <v>0</v>
      </c>
      <c r="L16" s="37">
        <f ca="1">CF!L31</f>
        <v>0</v>
      </c>
      <c r="M16" s="37">
        <f ca="1">CF!M31</f>
        <v>0</v>
      </c>
      <c r="N16" s="37">
        <f ca="1">CF!N31</f>
        <v>0</v>
      </c>
      <c r="O16" s="37">
        <f ca="1">CF!O31</f>
        <v>0</v>
      </c>
      <c r="P16" s="37">
        <f ca="1">CF!P31</f>
        <v>0</v>
      </c>
      <c r="Q16" s="37">
        <f ca="1">CF!Q31</f>
        <v>0</v>
      </c>
      <c r="R16" s="37">
        <f ca="1">CF!R31</f>
        <v>0</v>
      </c>
      <c r="S16" s="37">
        <f ca="1">CF!S31</f>
        <v>0</v>
      </c>
      <c r="T16" s="37">
        <f ca="1">CF!T31</f>
        <v>0</v>
      </c>
      <c r="U16" s="37">
        <f ca="1">CF!U31</f>
        <v>0</v>
      </c>
      <c r="V16" s="37">
        <f ca="1">CF!V31</f>
        <v>0</v>
      </c>
      <c r="W16" s="37">
        <f ca="1">CF!W31</f>
        <v>0</v>
      </c>
      <c r="X16" s="37">
        <f ca="1">CF!X31</f>
        <v>0</v>
      </c>
      <c r="Y16" s="37">
        <f ca="1">CF!Y31</f>
        <v>0</v>
      </c>
      <c r="Z16" s="435">
        <f t="shared" ca="1" si="0"/>
        <v>0</v>
      </c>
      <c r="AA16" s="218"/>
    </row>
    <row r="17" spans="1:27" s="15" customFormat="1">
      <c r="A17" s="20" t="s">
        <v>76</v>
      </c>
      <c r="D17" s="142">
        <f ca="1">CF!D41</f>
        <v>0</v>
      </c>
      <c r="E17" s="142">
        <f ca="1">CF!E41</f>
        <v>-3704.810550000906</v>
      </c>
      <c r="F17" s="142">
        <f ca="1">CF!F41</f>
        <v>-4939.747400001208</v>
      </c>
      <c r="G17" s="142">
        <f ca="1">CF!G41</f>
        <v>-12563.799394949307</v>
      </c>
      <c r="H17" s="142">
        <f ca="1">CF!H41</f>
        <v>-17799.218169526688</v>
      </c>
      <c r="I17" s="142">
        <f ca="1">CF!I41</f>
        <v>-17799.218169526688</v>
      </c>
      <c r="J17" s="142">
        <f ca="1">CF!J41</f>
        <v>-17799.218169526688</v>
      </c>
      <c r="K17" s="142">
        <f ca="1">CF!K41</f>
        <v>-17799.218169526688</v>
      </c>
      <c r="L17" s="142">
        <f ca="1">CF!L41</f>
        <v>-17799.218169526688</v>
      </c>
      <c r="M17" s="142">
        <f ca="1">CF!M41</f>
        <v>-17799.218169526688</v>
      </c>
      <c r="N17" s="142">
        <f ca="1">CF!N41</f>
        <v>-17799.218169526688</v>
      </c>
      <c r="O17" s="142">
        <f ca="1">CF!O41</f>
        <v>-17799.218169526688</v>
      </c>
      <c r="P17" s="142">
        <f ca="1">CF!P41</f>
        <v>-17799.218169526688</v>
      </c>
      <c r="Q17" s="142">
        <f ca="1">CF!Q41</f>
        <v>-17799.218169526688</v>
      </c>
      <c r="R17" s="142">
        <f ca="1">CF!R41</f>
        <v>-17799.218169526688</v>
      </c>
      <c r="S17" s="142">
        <f ca="1">CF!S41</f>
        <v>-17799.218169526688</v>
      </c>
      <c r="T17" s="142">
        <f ca="1">CF!T41</f>
        <v>-17799.218169526688</v>
      </c>
      <c r="U17" s="142">
        <f ca="1">CF!U41</f>
        <v>-17799.218169526688</v>
      </c>
      <c r="V17" s="142">
        <f ca="1">CF!V41</f>
        <v>-17799.218169526688</v>
      </c>
      <c r="W17" s="142">
        <f ca="1">CF!W41</f>
        <v>-17799.218169526688</v>
      </c>
      <c r="X17" s="142">
        <f ca="1">CF!X41</f>
        <v>-17799.218169526688</v>
      </c>
      <c r="Y17" s="142">
        <f ca="1">CF!Y41</f>
        <v>-5521.4271065087542</v>
      </c>
      <c r="Z17" s="436">
        <f t="shared" ca="1" si="0"/>
        <v>-329316.49333341385</v>
      </c>
    </row>
    <row r="18" spans="1:27" s="15" customFormat="1">
      <c r="A18" s="20" t="s">
        <v>1843</v>
      </c>
      <c r="D18" s="37">
        <f t="shared" ref="D18:Y18" ca="1" si="1">SUM(D12:D17)</f>
        <v>0</v>
      </c>
      <c r="E18" s="37">
        <f t="shared" ca="1" si="1"/>
        <v>1809.3963925858134</v>
      </c>
      <c r="F18" s="37">
        <f t="shared" ca="1" si="1"/>
        <v>5990.9159143269571</v>
      </c>
      <c r="G18" s="37">
        <f t="shared" ca="1" si="1"/>
        <v>10798.155295190678</v>
      </c>
      <c r="H18" s="37">
        <f t="shared" ca="1" si="1"/>
        <v>23488.7335567031</v>
      </c>
      <c r="I18" s="37">
        <f t="shared" ca="1" si="1"/>
        <v>27690.631880379649</v>
      </c>
      <c r="J18" s="37">
        <f t="shared" ca="1" si="1"/>
        <v>17374.453071937565</v>
      </c>
      <c r="K18" s="37">
        <f t="shared" ca="1" si="1"/>
        <v>31573.093903777928</v>
      </c>
      <c r="L18" s="37">
        <f t="shared" ca="1" si="1"/>
        <v>30063.490814953493</v>
      </c>
      <c r="M18" s="37">
        <f t="shared" ca="1" si="1"/>
        <v>37896.936492362118</v>
      </c>
      <c r="N18" s="37">
        <f t="shared" ca="1" si="1"/>
        <v>33581.370001843839</v>
      </c>
      <c r="O18" s="37">
        <f t="shared" ca="1" si="1"/>
        <v>19316.917146691118</v>
      </c>
      <c r="P18" s="37">
        <f t="shared" ca="1" si="1"/>
        <v>20119.81370189034</v>
      </c>
      <c r="Q18" s="37">
        <f t="shared" ca="1" si="1"/>
        <v>31913.717504241813</v>
      </c>
      <c r="R18" s="37">
        <f t="shared" ca="1" si="1"/>
        <v>24377.096348928713</v>
      </c>
      <c r="S18" s="37">
        <f t="shared" ca="1" si="1"/>
        <v>4392.9177315664092</v>
      </c>
      <c r="T18" s="37">
        <f t="shared" ca="1" si="1"/>
        <v>15031.867928201285</v>
      </c>
      <c r="U18" s="37">
        <f t="shared" ca="1" si="1"/>
        <v>-1405.6137843728502</v>
      </c>
      <c r="V18" s="37">
        <f t="shared" ca="1" si="1"/>
        <v>-17535.199175284364</v>
      </c>
      <c r="W18" s="37">
        <f t="shared" ca="1" si="1"/>
        <v>-29716.974231727781</v>
      </c>
      <c r="X18" s="37">
        <f t="shared" ca="1" si="1"/>
        <v>-12691.674564848883</v>
      </c>
      <c r="Y18" s="37">
        <f t="shared" ca="1" si="1"/>
        <v>-4813.4335048444718</v>
      </c>
      <c r="Z18" s="435">
        <f t="shared" ca="1" si="0"/>
        <v>269256.61242450244</v>
      </c>
    </row>
    <row r="19" spans="1:27" s="218" customFormat="1">
      <c r="A19" s="560"/>
      <c r="Z19" s="427"/>
    </row>
    <row r="20" spans="1:27" s="15" customFormat="1">
      <c r="A20" s="128" t="s">
        <v>1935</v>
      </c>
      <c r="B20" s="3"/>
      <c r="Z20" s="430"/>
    </row>
    <row r="21" spans="1:27" s="15" customFormat="1">
      <c r="A21" s="20" t="s">
        <v>1874</v>
      </c>
      <c r="D21" s="37">
        <f>CF!D30</f>
        <v>0</v>
      </c>
      <c r="E21" s="37">
        <f ca="1">CF!E30</f>
        <v>0</v>
      </c>
      <c r="F21" s="37">
        <f ca="1">CF!F30</f>
        <v>0</v>
      </c>
      <c r="G21" s="37">
        <f ca="1">CF!G30</f>
        <v>68.991536227878314</v>
      </c>
      <c r="H21" s="37">
        <f ca="1">CF!H30</f>
        <v>833.59650136568916</v>
      </c>
      <c r="I21" s="37">
        <f ca="1">CF!I30</f>
        <v>921.81261389145368</v>
      </c>
      <c r="J21" s="37">
        <f ca="1">CF!J30</f>
        <v>1151.8861637799871</v>
      </c>
      <c r="K21" s="37">
        <f ca="1">CF!K30</f>
        <v>1151.8861637799871</v>
      </c>
      <c r="L21" s="37">
        <f ca="1">CF!L30</f>
        <v>1091.8752042747954</v>
      </c>
      <c r="M21" s="37">
        <f ca="1">CF!M30</f>
        <v>1414.0429185676003</v>
      </c>
      <c r="N21" s="37">
        <f ca="1">CF!N30</f>
        <v>1503.9883583509816</v>
      </c>
      <c r="O21" s="37">
        <f ca="1">CF!O30</f>
        <v>1503.9883583509816</v>
      </c>
      <c r="P21" s="37">
        <f ca="1">CF!P30</f>
        <v>1378.0475240567675</v>
      </c>
      <c r="Q21" s="37">
        <f ca="1">CF!Q30</f>
        <v>1320.7784138359664</v>
      </c>
      <c r="R21" s="37">
        <f ca="1">CF!R30</f>
        <v>1205.9662200969942</v>
      </c>
      <c r="S21" s="37">
        <f ca="1">CF!S30</f>
        <v>830.27134982957216</v>
      </c>
      <c r="T21" s="37">
        <f ca="1">CF!T30</f>
        <v>930.29096063008228</v>
      </c>
      <c r="U21" s="37">
        <f ca="1">CF!U30</f>
        <v>1100.2541314882799</v>
      </c>
      <c r="V21" s="37">
        <f ca="1">CF!V30</f>
        <v>1100.2541314882799</v>
      </c>
      <c r="W21" s="37">
        <f ca="1">CF!W30</f>
        <v>1305.066006004203</v>
      </c>
      <c r="X21" s="37">
        <f ca="1">CF!X30</f>
        <v>1539.5616879296335</v>
      </c>
      <c r="Y21" s="37">
        <f ca="1">CF!Y30</f>
        <v>1850.7919525600055</v>
      </c>
      <c r="Z21" s="435">
        <f t="shared" ref="Z21:Z31" ca="1" si="2">SUM(D21:Y21)</f>
        <v>22203.350196509135</v>
      </c>
      <c r="AA21" s="218"/>
    </row>
    <row r="22" spans="1:27" s="15" customFormat="1">
      <c r="A22" s="20" t="s">
        <v>1875</v>
      </c>
      <c r="D22" s="37">
        <f ca="1">CF!D32</f>
        <v>0</v>
      </c>
      <c r="E22" s="37">
        <f ca="1">CF!E32</f>
        <v>181.59014763530828</v>
      </c>
      <c r="F22" s="37">
        <f ca="1">CF!F32</f>
        <v>541.43080152641403</v>
      </c>
      <c r="G22" s="37">
        <f ca="1">CF!G32</f>
        <v>574.10653798986891</v>
      </c>
      <c r="H22" s="37">
        <f ca="1">CF!H32</f>
        <v>397.49487901212376</v>
      </c>
      <c r="I22" s="37">
        <f ca="1">CF!I32</f>
        <v>334.60534081449305</v>
      </c>
      <c r="J22" s="37">
        <f ca="1">CF!J32</f>
        <v>456.35076135540453</v>
      </c>
      <c r="K22" s="37">
        <f ca="1">CF!K32</f>
        <v>568.90692501537001</v>
      </c>
      <c r="L22" s="37">
        <f ca="1">CF!L32</f>
        <v>435.27629836406231</v>
      </c>
      <c r="M22" s="37">
        <f ca="1">CF!M32</f>
        <v>516.38462483262958</v>
      </c>
      <c r="N22" s="37">
        <f ca="1">CF!N32</f>
        <v>863.53580425392363</v>
      </c>
      <c r="O22" s="37">
        <f ca="1">CF!O32</f>
        <v>884.68930655798749</v>
      </c>
      <c r="P22" s="37">
        <f ca="1">CF!P32</f>
        <v>577.79779781250261</v>
      </c>
      <c r="Q22" s="37">
        <f ca="1">CF!Q32</f>
        <v>595.90138327387115</v>
      </c>
      <c r="R22" s="37">
        <f ca="1">CF!R32</f>
        <v>941.0199955035946</v>
      </c>
      <c r="S22" s="37">
        <f ca="1">CF!S32</f>
        <v>703.60720349397184</v>
      </c>
      <c r="T22" s="37">
        <f ca="1">CF!T32</f>
        <v>465.62368131415462</v>
      </c>
      <c r="U22" s="37">
        <f ca="1">CF!U32</f>
        <v>809.02886181638485</v>
      </c>
      <c r="V22" s="37">
        <f ca="1">CF!V32</f>
        <v>873.82942679271696</v>
      </c>
      <c r="W22" s="37">
        <f ca="1">CF!W32</f>
        <v>383.53911450501192</v>
      </c>
      <c r="X22" s="37">
        <f ca="1">CF!X32</f>
        <v>0</v>
      </c>
      <c r="Y22" s="37">
        <f ca="1">CF!Y32</f>
        <v>0</v>
      </c>
      <c r="Z22" s="435">
        <f t="shared" ca="1" si="2"/>
        <v>11104.718891869794</v>
      </c>
      <c r="AA22" s="218"/>
    </row>
    <row r="23" spans="1:27" s="15" customFormat="1">
      <c r="A23" s="20" t="s">
        <v>1876</v>
      </c>
      <c r="D23" s="37">
        <f ca="1">CF!D34</f>
        <v>0</v>
      </c>
      <c r="E23" s="37">
        <f ca="1">CF!E34</f>
        <v>0</v>
      </c>
      <c r="F23" s="37">
        <f ca="1">CF!F34</f>
        <v>-85.826735948997523</v>
      </c>
      <c r="G23" s="37">
        <f ca="1">CF!G34</f>
        <v>-355.00828620403485</v>
      </c>
      <c r="H23" s="37">
        <f ca="1">CF!H34</f>
        <v>-349.7755575359929</v>
      </c>
      <c r="I23" s="37">
        <f ca="1">CF!I34</f>
        <v>-359.73877510785042</v>
      </c>
      <c r="J23" s="37">
        <f ca="1">CF!J34</f>
        <v>-355.63768016580747</v>
      </c>
      <c r="K23" s="37">
        <f ca="1">CF!K34</f>
        <v>-347.37151206221256</v>
      </c>
      <c r="L23" s="37">
        <f ca="1">CF!L34</f>
        <v>-336.36124221945937</v>
      </c>
      <c r="M23" s="37">
        <f ca="1">CF!M34</f>
        <v>-309.66870165670139</v>
      </c>
      <c r="N23" s="37">
        <f ca="1">CF!N34</f>
        <v>-284.97228742216959</v>
      </c>
      <c r="O23" s="37">
        <f ca="1">CF!O34</f>
        <v>-273.02799600080664</v>
      </c>
      <c r="P23" s="37">
        <f ca="1">CF!P34</f>
        <v>-267.12707826465697</v>
      </c>
      <c r="Q23" s="37">
        <f ca="1">CF!Q34</f>
        <v>-212.10292574987326</v>
      </c>
      <c r="R23" s="37">
        <f ca="1">CF!R34</f>
        <v>-198.82788344302628</v>
      </c>
      <c r="S23" s="37">
        <f ca="1">CF!S34</f>
        <v>-186.91600813284398</v>
      </c>
      <c r="T23" s="37">
        <f ca="1">CF!T34</f>
        <v>-162.44037302012597</v>
      </c>
      <c r="U23" s="37">
        <f ca="1">CF!U34</f>
        <v>0</v>
      </c>
      <c r="V23" s="37">
        <f ca="1">CF!V34</f>
        <v>0</v>
      </c>
      <c r="W23" s="37">
        <f ca="1">CF!W34</f>
        <v>0</v>
      </c>
      <c r="X23" s="37">
        <f ca="1">CF!X34</f>
        <v>0</v>
      </c>
      <c r="Y23" s="37">
        <f ca="1">CF!Y34</f>
        <v>0</v>
      </c>
      <c r="Z23" s="435">
        <f t="shared" ca="1" si="2"/>
        <v>-4084.8030429345595</v>
      </c>
      <c r="AA23" s="218"/>
    </row>
    <row r="24" spans="1:27" s="15" customFormat="1">
      <c r="A24" s="20" t="s">
        <v>1877</v>
      </c>
      <c r="D24" s="37">
        <f ca="1">CF!D35</f>
        <v>0</v>
      </c>
      <c r="E24" s="37">
        <f ca="1">CF!E35</f>
        <v>0</v>
      </c>
      <c r="F24" s="37">
        <f ca="1">CF!F35</f>
        <v>0</v>
      </c>
      <c r="G24" s="37">
        <f ca="1">CF!G35</f>
        <v>0</v>
      </c>
      <c r="H24" s="37">
        <f ca="1">CF!H35</f>
        <v>0</v>
      </c>
      <c r="I24" s="37">
        <f ca="1">CF!I35</f>
        <v>0</v>
      </c>
      <c r="J24" s="37">
        <f ca="1">CF!J35</f>
        <v>0</v>
      </c>
      <c r="K24" s="37">
        <f ca="1">CF!K35</f>
        <v>0</v>
      </c>
      <c r="L24" s="37">
        <f ca="1">CF!L35</f>
        <v>0</v>
      </c>
      <c r="M24" s="37">
        <f ca="1">CF!M35</f>
        <v>0</v>
      </c>
      <c r="N24" s="37">
        <f ca="1">CF!N35</f>
        <v>0</v>
      </c>
      <c r="O24" s="37">
        <f ca="1">CF!O35</f>
        <v>0</v>
      </c>
      <c r="P24" s="37">
        <f ca="1">CF!P35</f>
        <v>0</v>
      </c>
      <c r="Q24" s="37">
        <f ca="1">CF!Q35</f>
        <v>0</v>
      </c>
      <c r="R24" s="37">
        <f ca="1">CF!R35</f>
        <v>0</v>
      </c>
      <c r="S24" s="37">
        <f ca="1">CF!S35</f>
        <v>0</v>
      </c>
      <c r="T24" s="37">
        <f ca="1">CF!T35</f>
        <v>0</v>
      </c>
      <c r="U24" s="37">
        <f ca="1">CF!U35</f>
        <v>0</v>
      </c>
      <c r="V24" s="37">
        <f ca="1">CF!V35</f>
        <v>0</v>
      </c>
      <c r="W24" s="37">
        <f ca="1">CF!W35</f>
        <v>0</v>
      </c>
      <c r="X24" s="37">
        <f ca="1">CF!X35</f>
        <v>0</v>
      </c>
      <c r="Y24" s="37">
        <f ca="1">CF!Y35</f>
        <v>0</v>
      </c>
      <c r="Z24" s="435">
        <f t="shared" ca="1" si="2"/>
        <v>0</v>
      </c>
      <c r="AA24" s="218"/>
    </row>
    <row r="25" spans="1:27" s="15" customFormat="1">
      <c r="A25" s="20" t="s">
        <v>1878</v>
      </c>
      <c r="D25" s="37">
        <f ca="1">CF!D36</f>
        <v>0</v>
      </c>
      <c r="E25" s="37">
        <f ca="1">CF!E36</f>
        <v>-234.375</v>
      </c>
      <c r="F25" s="37">
        <f ca="1">CF!F36</f>
        <v>-312.5</v>
      </c>
      <c r="G25" s="37">
        <f ca="1">CF!G36</f>
        <v>-4497.515549730284</v>
      </c>
      <c r="H25" s="37">
        <f ca="1">CF!H36</f>
        <v>-4497.515549730284</v>
      </c>
      <c r="I25" s="37">
        <f ca="1">CF!I36</f>
        <v>-4257.7951461354933</v>
      </c>
      <c r="J25" s="37">
        <f ca="1">CF!J36</f>
        <v>-312.5</v>
      </c>
      <c r="K25" s="37">
        <f ca="1">CF!K36</f>
        <v>-312.5</v>
      </c>
      <c r="L25" s="37">
        <f ca="1">CF!L36</f>
        <v>-312.5</v>
      </c>
      <c r="M25" s="37">
        <f ca="1">CF!M36</f>
        <v>-312.5</v>
      </c>
      <c r="N25" s="37">
        <f ca="1">CF!N36</f>
        <v>-312.5</v>
      </c>
      <c r="O25" s="37">
        <f ca="1">CF!O36</f>
        <v>-312.5</v>
      </c>
      <c r="P25" s="37">
        <f ca="1">CF!P36</f>
        <v>-312.5</v>
      </c>
      <c r="Q25" s="37">
        <f ca="1">CF!Q36</f>
        <v>-312.5</v>
      </c>
      <c r="R25" s="37">
        <f ca="1">CF!R36</f>
        <v>-312.5</v>
      </c>
      <c r="S25" s="37">
        <f ca="1">CF!S36</f>
        <v>-312.5</v>
      </c>
      <c r="T25" s="37">
        <f ca="1">CF!T36</f>
        <v>-312.5</v>
      </c>
      <c r="U25" s="37">
        <f ca="1">CF!U36</f>
        <v>-312.5</v>
      </c>
      <c r="V25" s="37">
        <f ca="1">CF!V36</f>
        <v>-312.5</v>
      </c>
      <c r="W25" s="37">
        <f ca="1">CF!W36</f>
        <v>-312.5</v>
      </c>
      <c r="X25" s="37">
        <f ca="1">CF!X36</f>
        <v>-312.5</v>
      </c>
      <c r="Y25" s="37">
        <f ca="1">CF!Y36</f>
        <v>-104.16666666666667</v>
      </c>
      <c r="Z25" s="435">
        <f t="shared" ca="1" si="2"/>
        <v>-18591.367912262729</v>
      </c>
      <c r="AA25" s="218"/>
    </row>
    <row r="26" spans="1:27" s="15" customFormat="1">
      <c r="A26" s="20" t="s">
        <v>410</v>
      </c>
      <c r="D26" s="37">
        <f ca="1">CF!D37</f>
        <v>0</v>
      </c>
      <c r="E26" s="37">
        <f ca="1">CF!E37</f>
        <v>-82.5</v>
      </c>
      <c r="F26" s="37">
        <f ca="1">CF!F37</f>
        <v>-110</v>
      </c>
      <c r="G26" s="37">
        <f ca="1">CF!G37</f>
        <v>-110</v>
      </c>
      <c r="H26" s="37">
        <f ca="1">CF!H37</f>
        <v>-110</v>
      </c>
      <c r="I26" s="37">
        <f ca="1">CF!I37</f>
        <v>-110</v>
      </c>
      <c r="J26" s="37">
        <f ca="1">CF!J37</f>
        <v>-110</v>
      </c>
      <c r="K26" s="37">
        <f ca="1">CF!K37</f>
        <v>-110</v>
      </c>
      <c r="L26" s="37">
        <f ca="1">CF!L37</f>
        <v>-110</v>
      </c>
      <c r="M26" s="37">
        <f ca="1">CF!M37</f>
        <v>-110</v>
      </c>
      <c r="N26" s="37">
        <f ca="1">CF!N37</f>
        <v>-110</v>
      </c>
      <c r="O26" s="37">
        <f ca="1">CF!O37</f>
        <v>-110</v>
      </c>
      <c r="P26" s="37">
        <f ca="1">CF!P37</f>
        <v>-110</v>
      </c>
      <c r="Q26" s="37">
        <f ca="1">CF!Q37</f>
        <v>-110</v>
      </c>
      <c r="R26" s="37">
        <f ca="1">CF!R37</f>
        <v>-110</v>
      </c>
      <c r="S26" s="37">
        <f ca="1">CF!S37</f>
        <v>-110</v>
      </c>
      <c r="T26" s="37">
        <f ca="1">CF!T37</f>
        <v>-110</v>
      </c>
      <c r="U26" s="37">
        <f ca="1">CF!U37</f>
        <v>-110</v>
      </c>
      <c r="V26" s="37">
        <f ca="1">CF!V37</f>
        <v>-110</v>
      </c>
      <c r="W26" s="37">
        <f ca="1">CF!W37</f>
        <v>-110</v>
      </c>
      <c r="X26" s="37">
        <f ca="1">CF!X37</f>
        <v>-110</v>
      </c>
      <c r="Y26" s="37">
        <f ca="1">CF!Y37</f>
        <v>-36.666666666666664</v>
      </c>
      <c r="Z26" s="435">
        <f t="shared" ca="1" si="2"/>
        <v>-2209.1666666666665</v>
      </c>
      <c r="AA26" s="218"/>
    </row>
    <row r="27" spans="1:27" s="15" customFormat="1">
      <c r="A27" s="20" t="s">
        <v>118</v>
      </c>
      <c r="D27" s="37">
        <f ca="1">CF!D44</f>
        <v>0</v>
      </c>
      <c r="E27" s="37">
        <f ca="1">CF!E44</f>
        <v>0</v>
      </c>
      <c r="F27" s="37">
        <f ca="1">CF!F44</f>
        <v>0</v>
      </c>
      <c r="G27" s="37">
        <f ca="1">CF!G44</f>
        <v>-6866.1388759198016</v>
      </c>
      <c r="H27" s="37">
        <f ca="1">CF!H44</f>
        <v>-16245.84906951103</v>
      </c>
      <c r="I27" s="37">
        <f ca="1">CF!I44</f>
        <v>-15297.114554345853</v>
      </c>
      <c r="J27" s="37">
        <f ca="1">CF!J44</f>
        <v>-14256.726768601686</v>
      </c>
      <c r="K27" s="37">
        <f ca="1">CF!K44</f>
        <v>-13047.87399140309</v>
      </c>
      <c r="L27" s="37">
        <f ca="1">CF!L44</f>
        <v>-11750.413201233227</v>
      </c>
      <c r="M27" s="37">
        <f ca="1">CF!M44</f>
        <v>-10380.028967391143</v>
      </c>
      <c r="N27" s="37">
        <f ca="1">CF!N44</f>
        <v>-8974.0608897282127</v>
      </c>
      <c r="O27" s="37">
        <f ca="1">CF!O44</f>
        <v>-7705.2560033144437</v>
      </c>
      <c r="P27" s="37">
        <f ca="1">CF!P44</f>
        <v>-6465.0175972114193</v>
      </c>
      <c r="Q27" s="37">
        <f ca="1">CF!Q44</f>
        <v>-5197.776339170844</v>
      </c>
      <c r="R27" s="37">
        <f ca="1">CF!R44</f>
        <v>-3910.3500690280061</v>
      </c>
      <c r="S27" s="37">
        <f ca="1">CF!S44</f>
        <v>-2848.3466844802488</v>
      </c>
      <c r="T27" s="37">
        <f ca="1">CF!T44</f>
        <v>-1786.3432999324914</v>
      </c>
      <c r="U27" s="37">
        <f ca="1">CF!U44</f>
        <v>-701.82721243481615</v>
      </c>
      <c r="V27" s="37">
        <f ca="1">CF!V44</f>
        <v>0</v>
      </c>
      <c r="W27" s="37">
        <f ca="1">CF!W44</f>
        <v>0</v>
      </c>
      <c r="X27" s="37">
        <f ca="1">CF!X44</f>
        <v>0</v>
      </c>
      <c r="Y27" s="37">
        <f ca="1">CF!Y44</f>
        <v>0</v>
      </c>
      <c r="Z27" s="435">
        <f t="shared" ca="1" si="2"/>
        <v>-125433.12352370631</v>
      </c>
      <c r="AA27" s="218"/>
    </row>
    <row r="28" spans="1:27" s="15" customFormat="1">
      <c r="A28" s="20" t="s">
        <v>119</v>
      </c>
      <c r="D28" s="37">
        <f ca="1">CF!D45</f>
        <v>0</v>
      </c>
      <c r="E28" s="37">
        <f ca="1">CF!E45</f>
        <v>0</v>
      </c>
      <c r="F28" s="37">
        <f ca="1">CF!F45</f>
        <v>0</v>
      </c>
      <c r="G28" s="37">
        <f ca="1">CF!G45</f>
        <v>-2694.7815414410948</v>
      </c>
      <c r="H28" s="37">
        <f ca="1">CF!H45</f>
        <v>-6397.3320310436538</v>
      </c>
      <c r="I28" s="37">
        <f ca="1">CF!I45</f>
        <v>-6098.2236465968126</v>
      </c>
      <c r="J28" s="37">
        <f ca="1">CF!J45</f>
        <v>-5758.9674392475936</v>
      </c>
      <c r="K28" s="37">
        <f ca="1">CF!K45</f>
        <v>-5374.1745674669255</v>
      </c>
      <c r="L28" s="37">
        <f ca="1">CF!L45</f>
        <v>-4937.732872471498</v>
      </c>
      <c r="M28" s="37">
        <f ca="1">CF!M45</f>
        <v>-4442.7097909653094</v>
      </c>
      <c r="N28" s="37">
        <f ca="1">CF!N45</f>
        <v>-3881.2422363439537</v>
      </c>
      <c r="O28" s="37">
        <f ca="1">CF!O45</f>
        <v>-3244.4116992035456</v>
      </c>
      <c r="P28" s="37">
        <f ca="1">CF!P45</f>
        <v>-2522.1025832154669</v>
      </c>
      <c r="Q28" s="37">
        <f ca="1">CF!Q45</f>
        <v>-1702.8415261338889</v>
      </c>
      <c r="R28" s="37">
        <f ca="1">CF!R45</f>
        <v>-773.61515366553658</v>
      </c>
      <c r="S28" s="37">
        <f ca="1">CF!S45</f>
        <v>0</v>
      </c>
      <c r="T28" s="37">
        <f ca="1">CF!T45</f>
        <v>0</v>
      </c>
      <c r="U28" s="37">
        <f ca="1">CF!U45</f>
        <v>0</v>
      </c>
      <c r="V28" s="37">
        <f ca="1">CF!V45</f>
        <v>0</v>
      </c>
      <c r="W28" s="37">
        <f ca="1">CF!W45</f>
        <v>0</v>
      </c>
      <c r="X28" s="37">
        <f ca="1">CF!X45</f>
        <v>0</v>
      </c>
      <c r="Y28" s="37">
        <f ca="1">CF!Y45</f>
        <v>0</v>
      </c>
      <c r="Z28" s="435">
        <f t="shared" ca="1" si="2"/>
        <v>-47828.135087795286</v>
      </c>
      <c r="AA28" s="218"/>
    </row>
    <row r="29" spans="1:27" s="15" customFormat="1">
      <c r="A29" s="20" t="s">
        <v>83</v>
      </c>
      <c r="D29" s="37">
        <f ca="1">CF!D46</f>
        <v>0</v>
      </c>
      <c r="E29" s="37">
        <f ca="1">CF!E46</f>
        <v>-988.56658274453355</v>
      </c>
      <c r="F29" s="37">
        <f ca="1">CF!F46</f>
        <v>-2665.1326018667478</v>
      </c>
      <c r="G29" s="37">
        <f ca="1">CF!G46</f>
        <v>-5739.8166707109303</v>
      </c>
      <c r="H29" s="37">
        <f ca="1">CF!H46</f>
        <v>0</v>
      </c>
      <c r="I29" s="37">
        <f ca="1">CF!I46</f>
        <v>0</v>
      </c>
      <c r="J29" s="37">
        <f ca="1">CF!J46</f>
        <v>0</v>
      </c>
      <c r="K29" s="37">
        <f ca="1">CF!K46</f>
        <v>0</v>
      </c>
      <c r="L29" s="37">
        <f ca="1">CF!L46</f>
        <v>0</v>
      </c>
      <c r="M29" s="37">
        <f ca="1">CF!M46</f>
        <v>0</v>
      </c>
      <c r="N29" s="37">
        <f ca="1">CF!N46</f>
        <v>0</v>
      </c>
      <c r="O29" s="37">
        <f ca="1">CF!O46</f>
        <v>0</v>
      </c>
      <c r="P29" s="37">
        <f ca="1">CF!P46</f>
        <v>0</v>
      </c>
      <c r="Q29" s="37">
        <f ca="1">CF!Q46</f>
        <v>0</v>
      </c>
      <c r="R29" s="37">
        <f ca="1">CF!R46</f>
        <v>0</v>
      </c>
      <c r="S29" s="37">
        <f ca="1">CF!S46</f>
        <v>0</v>
      </c>
      <c r="T29" s="37">
        <f ca="1">CF!T46</f>
        <v>0</v>
      </c>
      <c r="U29" s="37">
        <f ca="1">CF!U46</f>
        <v>0</v>
      </c>
      <c r="V29" s="37">
        <f ca="1">CF!V46</f>
        <v>0</v>
      </c>
      <c r="W29" s="37">
        <f ca="1">CF!W46</f>
        <v>0</v>
      </c>
      <c r="X29" s="37">
        <f ca="1">CF!X46</f>
        <v>0</v>
      </c>
      <c r="Y29" s="37">
        <f ca="1">CF!Y46</f>
        <v>0</v>
      </c>
      <c r="Z29" s="435">
        <f ca="1">SUM(D29:Y29)</f>
        <v>-9393.5158553222118</v>
      </c>
      <c r="AA29" s="218"/>
    </row>
    <row r="30" spans="1:27" s="15" customFormat="1">
      <c r="A30" s="20" t="s">
        <v>667</v>
      </c>
      <c r="D30" s="142">
        <f ca="1">CF!D49</f>
        <v>0</v>
      </c>
      <c r="E30" s="142">
        <f ca="1">CF!E49</f>
        <v>0</v>
      </c>
      <c r="F30" s="142">
        <f ca="1">CF!F49</f>
        <v>0</v>
      </c>
      <c r="G30" s="142">
        <f ca="1">CF!G49</f>
        <v>0</v>
      </c>
      <c r="H30" s="142">
        <f ca="1">CF!H49</f>
        <v>0</v>
      </c>
      <c r="I30" s="142">
        <f ca="1">CF!I49</f>
        <v>-2042.8918366943517</v>
      </c>
      <c r="J30" s="142">
        <f ca="1">CF!J49</f>
        <v>0</v>
      </c>
      <c r="K30" s="142">
        <f ca="1">CF!K49</f>
        <v>-7865.5715786840065</v>
      </c>
      <c r="L30" s="142">
        <f ca="1">CF!L49</f>
        <v>-8917.3419159967561</v>
      </c>
      <c r="M30" s="142">
        <f ca="1">CF!M49</f>
        <v>-8656.0373433405766</v>
      </c>
      <c r="N30" s="142">
        <f ca="1">CF!N49</f>
        <v>-7717.7267315853387</v>
      </c>
      <c r="O30" s="142">
        <f ca="1">CF!O49</f>
        <v>-8069.9621543512276</v>
      </c>
      <c r="P30" s="142">
        <f ca="1">CF!P49</f>
        <v>-9279.3570204919088</v>
      </c>
      <c r="Q30" s="142">
        <f ca="1">CF!Q49</f>
        <v>-9279.3570204919088</v>
      </c>
      <c r="R30" s="142">
        <f ca="1">CF!R49</f>
        <v>-7154.6617709283846</v>
      </c>
      <c r="S30" s="142">
        <f ca="1">CF!S49</f>
        <v>-9279.3570204919088</v>
      </c>
      <c r="T30" s="142">
        <f ca="1">CF!T49</f>
        <v>-3584.931093732353</v>
      </c>
      <c r="U30" s="142">
        <f ca="1">CF!U49</f>
        <v>0</v>
      </c>
      <c r="V30" s="142">
        <f ca="1">CF!V49</f>
        <v>0</v>
      </c>
      <c r="W30" s="142">
        <f ca="1">CF!W49</f>
        <v>0</v>
      </c>
      <c r="X30" s="142">
        <f ca="1">CF!X49</f>
        <v>0</v>
      </c>
      <c r="Y30" s="142">
        <f ca="1">CF!Y49</f>
        <v>0</v>
      </c>
      <c r="Z30" s="436">
        <f t="shared" ca="1" si="2"/>
        <v>-81847.195486788711</v>
      </c>
      <c r="AA30" s="218"/>
    </row>
    <row r="31" spans="1:27" s="15" customFormat="1">
      <c r="A31" s="20" t="s">
        <v>1907</v>
      </c>
      <c r="D31" s="37">
        <f t="shared" ref="D31:Y31" ca="1" si="3">SUM(D21:D30)</f>
        <v>0</v>
      </c>
      <c r="E31" s="37">
        <f t="shared" ca="1" si="3"/>
        <v>-1123.8514351092253</v>
      </c>
      <c r="F31" s="37">
        <f t="shared" ca="1" si="3"/>
        <v>-2632.0285362893314</v>
      </c>
      <c r="G31" s="37">
        <f t="shared" ca="1" si="3"/>
        <v>-19620.162849788398</v>
      </c>
      <c r="H31" s="37">
        <f t="shared" ca="1" si="3"/>
        <v>-26369.380827443147</v>
      </c>
      <c r="I31" s="37">
        <f t="shared" ca="1" si="3"/>
        <v>-26909.346004174415</v>
      </c>
      <c r="J31" s="37">
        <f t="shared" ca="1" si="3"/>
        <v>-19185.594962879695</v>
      </c>
      <c r="K31" s="37">
        <f t="shared" ca="1" si="3"/>
        <v>-25336.698560820878</v>
      </c>
      <c r="L31" s="37">
        <f t="shared" ca="1" si="3"/>
        <v>-24837.197729282081</v>
      </c>
      <c r="M31" s="37">
        <f t="shared" ca="1" si="3"/>
        <v>-22280.5172599535</v>
      </c>
      <c r="N31" s="37">
        <f t="shared" ca="1" si="3"/>
        <v>-18912.977982474771</v>
      </c>
      <c r="O31" s="37">
        <f t="shared" ca="1" si="3"/>
        <v>-17326.480187961053</v>
      </c>
      <c r="P31" s="37">
        <f t="shared" ca="1" si="3"/>
        <v>-17000.258957314181</v>
      </c>
      <c r="Q31" s="37">
        <f t="shared" ca="1" si="3"/>
        <v>-14897.898014436676</v>
      </c>
      <c r="R31" s="37">
        <f t="shared" ca="1" si="3"/>
        <v>-10312.968661464365</v>
      </c>
      <c r="S31" s="37">
        <f t="shared" ca="1" si="3"/>
        <v>-11203.241159781457</v>
      </c>
      <c r="T31" s="37">
        <f t="shared" ca="1" si="3"/>
        <v>-4560.3001247407337</v>
      </c>
      <c r="U31" s="37">
        <f t="shared" ca="1" si="3"/>
        <v>784.95578086984847</v>
      </c>
      <c r="V31" s="37">
        <f t="shared" ca="1" si="3"/>
        <v>1551.5835582809968</v>
      </c>
      <c r="W31" s="37">
        <f t="shared" ca="1" si="3"/>
        <v>1266.1051205092149</v>
      </c>
      <c r="X31" s="37">
        <f t="shared" ca="1" si="3"/>
        <v>1117.0616879296335</v>
      </c>
      <c r="Y31" s="37">
        <f t="shared" ca="1" si="3"/>
        <v>1709.958619226672</v>
      </c>
      <c r="Z31" s="435">
        <f t="shared" ca="1" si="2"/>
        <v>-256079.23848709752</v>
      </c>
      <c r="AA31" s="218"/>
    </row>
    <row r="32" spans="1:27" s="218" customFormat="1">
      <c r="A32" s="560"/>
      <c r="Z32" s="427"/>
    </row>
    <row r="33" spans="1:27" s="15" customFormat="1">
      <c r="A33" s="20" t="s">
        <v>77</v>
      </c>
      <c r="D33" s="37">
        <f t="shared" ref="D33:Y33" ca="1" si="4">SUM(D18,D31)</f>
        <v>0</v>
      </c>
      <c r="E33" s="37">
        <f t="shared" ca="1" si="4"/>
        <v>685.54495747658802</v>
      </c>
      <c r="F33" s="37">
        <f t="shared" ca="1" si="4"/>
        <v>3358.8873780376257</v>
      </c>
      <c r="G33" s="37">
        <f t="shared" ca="1" si="4"/>
        <v>-8822.0075545977197</v>
      </c>
      <c r="H33" s="37">
        <f t="shared" ca="1" si="4"/>
        <v>-2880.6472707400462</v>
      </c>
      <c r="I33" s="37">
        <f t="shared" ca="1" si="4"/>
        <v>781.28587620523467</v>
      </c>
      <c r="J33" s="37">
        <f t="shared" ca="1" si="4"/>
        <v>-1811.14189094213</v>
      </c>
      <c r="K33" s="37">
        <f t="shared" ca="1" si="4"/>
        <v>6236.3953429570502</v>
      </c>
      <c r="L33" s="37">
        <f t="shared" ca="1" si="4"/>
        <v>5226.293085671412</v>
      </c>
      <c r="M33" s="37">
        <f t="shared" ca="1" si="4"/>
        <v>15616.419232408618</v>
      </c>
      <c r="N33" s="37">
        <f t="shared" ca="1" si="4"/>
        <v>14668.392019369068</v>
      </c>
      <c r="O33" s="37">
        <f t="shared" ca="1" si="4"/>
        <v>1990.4369587300644</v>
      </c>
      <c r="P33" s="37">
        <f t="shared" ca="1" si="4"/>
        <v>3119.5547445761586</v>
      </c>
      <c r="Q33" s="37">
        <f t="shared" ca="1" si="4"/>
        <v>17015.819489805137</v>
      </c>
      <c r="R33" s="37">
        <f t="shared" ca="1" si="4"/>
        <v>14064.127687464348</v>
      </c>
      <c r="S33" s="37">
        <f t="shared" ca="1" si="4"/>
        <v>-6810.3234282150479</v>
      </c>
      <c r="T33" s="37">
        <f t="shared" ca="1" si="4"/>
        <v>10471.567803460552</v>
      </c>
      <c r="U33" s="37">
        <f t="shared" ca="1" si="4"/>
        <v>-620.65800350300174</v>
      </c>
      <c r="V33" s="37">
        <f t="shared" ca="1" si="4"/>
        <v>-15983.615617003368</v>
      </c>
      <c r="W33" s="37">
        <f t="shared" ca="1" si="4"/>
        <v>-28450.869111218566</v>
      </c>
      <c r="X33" s="37">
        <f t="shared" ca="1" si="4"/>
        <v>-11574.612876919249</v>
      </c>
      <c r="Y33" s="37">
        <f t="shared" ca="1" si="4"/>
        <v>-3103.4748856177998</v>
      </c>
      <c r="Z33" s="435">
        <f ca="1">SUM(D33:Y33)</f>
        <v>13177.373937404915</v>
      </c>
      <c r="AA33" s="368" t="str">
        <f ca="1">IF(SUM(Z33-CF!Z51)&lt;0.01," ","CHECK: EARNINGS BEFORE TAXES DOES NOT TIE TO CF SHEET")</f>
        <v>CHECK: EARNINGS BEFORE TAXES DOES NOT TIE TO CF SHEET</v>
      </c>
    </row>
    <row r="34" spans="1:27" s="15" customFormat="1">
      <c r="A34" s="20" t="s">
        <v>78</v>
      </c>
      <c r="D34" s="142">
        <f ca="1">IF(D31&lt;0,0,-D31)</f>
        <v>0</v>
      </c>
      <c r="E34" s="142">
        <f t="shared" ref="E34:Y34" ca="1" si="5">IF(E31&lt;0,0,-E31)</f>
        <v>0</v>
      </c>
      <c r="F34" s="142">
        <f t="shared" ca="1" si="5"/>
        <v>0</v>
      </c>
      <c r="G34" s="142">
        <f t="shared" ca="1" si="5"/>
        <v>0</v>
      </c>
      <c r="H34" s="142">
        <f t="shared" ca="1" si="5"/>
        <v>0</v>
      </c>
      <c r="I34" s="142">
        <f t="shared" ca="1" si="5"/>
        <v>0</v>
      </c>
      <c r="J34" s="142">
        <f t="shared" ca="1" si="5"/>
        <v>0</v>
      </c>
      <c r="K34" s="142">
        <f t="shared" ca="1" si="5"/>
        <v>0</v>
      </c>
      <c r="L34" s="142">
        <f t="shared" ca="1" si="5"/>
        <v>0</v>
      </c>
      <c r="M34" s="142">
        <f t="shared" ca="1" si="5"/>
        <v>0</v>
      </c>
      <c r="N34" s="142">
        <f t="shared" ca="1" si="5"/>
        <v>0</v>
      </c>
      <c r="O34" s="142">
        <f t="shared" ca="1" si="5"/>
        <v>0</v>
      </c>
      <c r="P34" s="142">
        <f t="shared" ca="1" si="5"/>
        <v>0</v>
      </c>
      <c r="Q34" s="142">
        <f t="shared" ca="1" si="5"/>
        <v>0</v>
      </c>
      <c r="R34" s="142">
        <f t="shared" ca="1" si="5"/>
        <v>0</v>
      </c>
      <c r="S34" s="142">
        <f t="shared" ca="1" si="5"/>
        <v>0</v>
      </c>
      <c r="T34" s="142">
        <f t="shared" ca="1" si="5"/>
        <v>0</v>
      </c>
      <c r="U34" s="142">
        <f t="shared" ca="1" si="5"/>
        <v>-784.95578086984847</v>
      </c>
      <c r="V34" s="142">
        <f t="shared" ca="1" si="5"/>
        <v>-1551.5835582809968</v>
      </c>
      <c r="W34" s="142">
        <f t="shared" ca="1" si="5"/>
        <v>-1266.1051205092149</v>
      </c>
      <c r="X34" s="142">
        <f t="shared" ca="1" si="5"/>
        <v>-1117.0616879296335</v>
      </c>
      <c r="Y34" s="142">
        <f t="shared" ca="1" si="5"/>
        <v>-1709.958619226672</v>
      </c>
      <c r="Z34" s="436">
        <f ca="1">SUM(D34:Y34)</f>
        <v>-6429.664766816366</v>
      </c>
      <c r="AA34" s="218"/>
    </row>
    <row r="35" spans="1:27" s="15" customFormat="1">
      <c r="A35" s="20" t="s">
        <v>79</v>
      </c>
      <c r="D35" s="37">
        <f ca="1">SUM(D33:D34)</f>
        <v>0</v>
      </c>
      <c r="E35" s="37">
        <f t="shared" ref="E35:Y35" ca="1" si="6">SUM(E33:E34)</f>
        <v>685.54495747658802</v>
      </c>
      <c r="F35" s="37">
        <f t="shared" ca="1" si="6"/>
        <v>3358.8873780376257</v>
      </c>
      <c r="G35" s="37">
        <f t="shared" ca="1" si="6"/>
        <v>-8822.0075545977197</v>
      </c>
      <c r="H35" s="37">
        <f t="shared" ca="1" si="6"/>
        <v>-2880.6472707400462</v>
      </c>
      <c r="I35" s="37">
        <f t="shared" ca="1" si="6"/>
        <v>781.28587620523467</v>
      </c>
      <c r="J35" s="37">
        <f t="shared" ca="1" si="6"/>
        <v>-1811.14189094213</v>
      </c>
      <c r="K35" s="37">
        <f t="shared" ca="1" si="6"/>
        <v>6236.3953429570502</v>
      </c>
      <c r="L35" s="37">
        <f t="shared" ca="1" si="6"/>
        <v>5226.293085671412</v>
      </c>
      <c r="M35" s="37">
        <f t="shared" ca="1" si="6"/>
        <v>15616.419232408618</v>
      </c>
      <c r="N35" s="37">
        <f t="shared" ca="1" si="6"/>
        <v>14668.392019369068</v>
      </c>
      <c r="O35" s="37">
        <f t="shared" ca="1" si="6"/>
        <v>1990.4369587300644</v>
      </c>
      <c r="P35" s="37">
        <f t="shared" ca="1" si="6"/>
        <v>3119.5547445761586</v>
      </c>
      <c r="Q35" s="37">
        <f t="shared" ca="1" si="6"/>
        <v>17015.819489805137</v>
      </c>
      <c r="R35" s="37">
        <f t="shared" ca="1" si="6"/>
        <v>14064.127687464348</v>
      </c>
      <c r="S35" s="37">
        <f t="shared" ca="1" si="6"/>
        <v>-6810.3234282150479</v>
      </c>
      <c r="T35" s="37">
        <f t="shared" ca="1" si="6"/>
        <v>10471.567803460552</v>
      </c>
      <c r="U35" s="37">
        <f t="shared" ca="1" si="6"/>
        <v>-1405.6137843728502</v>
      </c>
      <c r="V35" s="37">
        <f t="shared" ca="1" si="6"/>
        <v>-17535.199175284364</v>
      </c>
      <c r="W35" s="37">
        <f t="shared" ca="1" si="6"/>
        <v>-29716.974231727781</v>
      </c>
      <c r="X35" s="37">
        <f t="shared" ca="1" si="6"/>
        <v>-12691.674564848883</v>
      </c>
      <c r="Y35" s="37">
        <f t="shared" ca="1" si="6"/>
        <v>-4813.4335048444718</v>
      </c>
      <c r="Z35" s="435">
        <f ca="1">SUM(D35:Y35)</f>
        <v>6747.7091705885523</v>
      </c>
      <c r="AA35" s="218"/>
    </row>
    <row r="36" spans="1:27" s="218" customFormat="1">
      <c r="A36" s="560"/>
      <c r="Z36" s="427"/>
    </row>
    <row r="37" spans="1:27" s="15" customFormat="1">
      <c r="A37" s="128" t="s">
        <v>357</v>
      </c>
      <c r="C37" s="25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431"/>
    </row>
    <row r="38" spans="1:27" s="15" customFormat="1">
      <c r="A38" s="20" t="s">
        <v>80</v>
      </c>
      <c r="C38" s="25"/>
      <c r="D38" s="37">
        <f ca="1">IF(D$35&lt;0,0,D$35)</f>
        <v>0</v>
      </c>
      <c r="E38" s="37">
        <f t="shared" ref="E38:Y38" ca="1" si="7">IF(E$35&lt;0,0,E$35)</f>
        <v>685.54495747658802</v>
      </c>
      <c r="F38" s="37">
        <f t="shared" ca="1" si="7"/>
        <v>3358.8873780376257</v>
      </c>
      <c r="G38" s="37">
        <f t="shared" ca="1" si="7"/>
        <v>0</v>
      </c>
      <c r="H38" s="37">
        <f t="shared" ca="1" si="7"/>
        <v>0</v>
      </c>
      <c r="I38" s="37">
        <f t="shared" ca="1" si="7"/>
        <v>781.28587620523467</v>
      </c>
      <c r="J38" s="37">
        <f t="shared" ca="1" si="7"/>
        <v>0</v>
      </c>
      <c r="K38" s="37">
        <f t="shared" ca="1" si="7"/>
        <v>6236.3953429570502</v>
      </c>
      <c r="L38" s="37">
        <f t="shared" ca="1" si="7"/>
        <v>5226.293085671412</v>
      </c>
      <c r="M38" s="37">
        <f t="shared" ca="1" si="7"/>
        <v>15616.419232408618</v>
      </c>
      <c r="N38" s="37">
        <f t="shared" ca="1" si="7"/>
        <v>14668.392019369068</v>
      </c>
      <c r="O38" s="37">
        <f t="shared" ca="1" si="7"/>
        <v>1990.4369587300644</v>
      </c>
      <c r="P38" s="37">
        <f t="shared" ca="1" si="7"/>
        <v>3119.5547445761586</v>
      </c>
      <c r="Q38" s="37">
        <f t="shared" ca="1" si="7"/>
        <v>17015.819489805137</v>
      </c>
      <c r="R38" s="37">
        <f t="shared" ca="1" si="7"/>
        <v>14064.127687464348</v>
      </c>
      <c r="S38" s="37">
        <f t="shared" ca="1" si="7"/>
        <v>0</v>
      </c>
      <c r="T38" s="37">
        <f t="shared" ca="1" si="7"/>
        <v>10471.567803460552</v>
      </c>
      <c r="U38" s="37">
        <f t="shared" ca="1" si="7"/>
        <v>0</v>
      </c>
      <c r="V38" s="37">
        <f t="shared" ca="1" si="7"/>
        <v>0</v>
      </c>
      <c r="W38" s="37">
        <f t="shared" ca="1" si="7"/>
        <v>0</v>
      </c>
      <c r="X38" s="37">
        <f t="shared" ca="1" si="7"/>
        <v>0</v>
      </c>
      <c r="Y38" s="37">
        <f t="shared" ca="1" si="7"/>
        <v>0</v>
      </c>
      <c r="Z38" s="435">
        <f ca="1">SUM(D38:Y38)</f>
        <v>93234.724576161854</v>
      </c>
    </row>
    <row r="39" spans="1:27" s="15" customFormat="1">
      <c r="A39" s="20" t="s">
        <v>1022</v>
      </c>
      <c r="C39" s="25"/>
      <c r="D39" s="71">
        <f t="shared" ref="D39:Y39" si="8">Tax</f>
        <v>0.15</v>
      </c>
      <c r="E39" s="71">
        <f t="shared" si="8"/>
        <v>0.15</v>
      </c>
      <c r="F39" s="71">
        <f t="shared" si="8"/>
        <v>0.15</v>
      </c>
      <c r="G39" s="71">
        <f t="shared" si="8"/>
        <v>0.15</v>
      </c>
      <c r="H39" s="71">
        <f t="shared" si="8"/>
        <v>0.15</v>
      </c>
      <c r="I39" s="71">
        <f t="shared" si="8"/>
        <v>0.15</v>
      </c>
      <c r="J39" s="71">
        <f t="shared" si="8"/>
        <v>0.15</v>
      </c>
      <c r="K39" s="71">
        <f t="shared" si="8"/>
        <v>0.15</v>
      </c>
      <c r="L39" s="71">
        <f t="shared" si="8"/>
        <v>0.15</v>
      </c>
      <c r="M39" s="71">
        <f t="shared" si="8"/>
        <v>0.15</v>
      </c>
      <c r="N39" s="71">
        <f t="shared" si="8"/>
        <v>0.15</v>
      </c>
      <c r="O39" s="71">
        <f t="shared" si="8"/>
        <v>0.15</v>
      </c>
      <c r="P39" s="71">
        <f t="shared" si="8"/>
        <v>0.15</v>
      </c>
      <c r="Q39" s="71">
        <f t="shared" si="8"/>
        <v>0.15</v>
      </c>
      <c r="R39" s="71">
        <f t="shared" si="8"/>
        <v>0.15</v>
      </c>
      <c r="S39" s="71">
        <f t="shared" si="8"/>
        <v>0.15</v>
      </c>
      <c r="T39" s="71">
        <f t="shared" si="8"/>
        <v>0.15</v>
      </c>
      <c r="U39" s="71">
        <f t="shared" si="8"/>
        <v>0.15</v>
      </c>
      <c r="V39" s="71">
        <f t="shared" si="8"/>
        <v>0.15</v>
      </c>
      <c r="W39" s="71">
        <f t="shared" si="8"/>
        <v>0.15</v>
      </c>
      <c r="X39" s="71">
        <f t="shared" si="8"/>
        <v>0.15</v>
      </c>
      <c r="Y39" s="71">
        <f t="shared" si="8"/>
        <v>0.15</v>
      </c>
      <c r="Z39" s="431"/>
    </row>
    <row r="40" spans="1:27" s="15" customFormat="1">
      <c r="A40" s="20" t="s">
        <v>605</v>
      </c>
      <c r="C40" s="25"/>
      <c r="D40" s="37">
        <f t="shared" ref="D40:Y40" ca="1" si="9">D38*D39</f>
        <v>0</v>
      </c>
      <c r="E40" s="37">
        <f t="shared" ca="1" si="9"/>
        <v>102.8317436214882</v>
      </c>
      <c r="F40" s="37">
        <f t="shared" ca="1" si="9"/>
        <v>503.83310670564384</v>
      </c>
      <c r="G40" s="37">
        <f t="shared" ca="1" si="9"/>
        <v>0</v>
      </c>
      <c r="H40" s="37">
        <f t="shared" ca="1" si="9"/>
        <v>0</v>
      </c>
      <c r="I40" s="37">
        <f t="shared" ca="1" si="9"/>
        <v>117.19288143078519</v>
      </c>
      <c r="J40" s="37">
        <f t="shared" ca="1" si="9"/>
        <v>0</v>
      </c>
      <c r="K40" s="37">
        <f t="shared" ca="1" si="9"/>
        <v>935.45930144355748</v>
      </c>
      <c r="L40" s="37">
        <f t="shared" ca="1" si="9"/>
        <v>783.94396285071173</v>
      </c>
      <c r="M40" s="37">
        <f t="shared" ca="1" si="9"/>
        <v>2342.4628848612924</v>
      </c>
      <c r="N40" s="37">
        <f t="shared" ca="1" si="9"/>
        <v>2200.25880290536</v>
      </c>
      <c r="O40" s="37">
        <f t="shared" ca="1" si="9"/>
        <v>298.56554380950962</v>
      </c>
      <c r="P40" s="37">
        <f t="shared" ca="1" si="9"/>
        <v>467.93321168642376</v>
      </c>
      <c r="Q40" s="37">
        <f t="shared" ca="1" si="9"/>
        <v>2552.3729234707703</v>
      </c>
      <c r="R40" s="37">
        <f t="shared" ca="1" si="9"/>
        <v>2109.6191531196523</v>
      </c>
      <c r="S40" s="37">
        <f t="shared" ca="1" si="9"/>
        <v>0</v>
      </c>
      <c r="T40" s="37">
        <f t="shared" ca="1" si="9"/>
        <v>1570.7351705190827</v>
      </c>
      <c r="U40" s="37">
        <f t="shared" ca="1" si="9"/>
        <v>0</v>
      </c>
      <c r="V40" s="37">
        <f t="shared" ca="1" si="9"/>
        <v>0</v>
      </c>
      <c r="W40" s="37">
        <f t="shared" ca="1" si="9"/>
        <v>0</v>
      </c>
      <c r="X40" s="37">
        <f t="shared" ca="1" si="9"/>
        <v>0</v>
      </c>
      <c r="Y40" s="37">
        <f t="shared" ca="1" si="9"/>
        <v>0</v>
      </c>
      <c r="Z40" s="435">
        <f ca="1">SUM(D40:Y40)</f>
        <v>13985.208686424277</v>
      </c>
    </row>
    <row r="41" spans="1:27" s="218" customFormat="1">
      <c r="A41" s="560"/>
      <c r="C41" s="269"/>
      <c r="Z41" s="427"/>
    </row>
    <row r="42" spans="1:27" s="15" customFormat="1">
      <c r="A42" s="128" t="s">
        <v>359</v>
      </c>
      <c r="C42" s="2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431"/>
    </row>
    <row r="43" spans="1:27" s="15" customFormat="1">
      <c r="A43" s="20" t="s">
        <v>80</v>
      </c>
      <c r="D43" s="37">
        <f ca="1">IF(D$35&lt;0,0,D$35)</f>
        <v>0</v>
      </c>
      <c r="E43" s="37">
        <f t="shared" ref="E43:Y43" ca="1" si="10">IF(E$35&lt;0,0,E$35)</f>
        <v>685.54495747658802</v>
      </c>
      <c r="F43" s="37">
        <f t="shared" ca="1" si="10"/>
        <v>3358.8873780376257</v>
      </c>
      <c r="G43" s="37">
        <f t="shared" ca="1" si="10"/>
        <v>0</v>
      </c>
      <c r="H43" s="37">
        <f t="shared" ca="1" si="10"/>
        <v>0</v>
      </c>
      <c r="I43" s="37">
        <f t="shared" ca="1" si="10"/>
        <v>781.28587620523467</v>
      </c>
      <c r="J43" s="37">
        <f t="shared" ca="1" si="10"/>
        <v>0</v>
      </c>
      <c r="K43" s="37">
        <f t="shared" ca="1" si="10"/>
        <v>6236.3953429570502</v>
      </c>
      <c r="L43" s="37">
        <f t="shared" ca="1" si="10"/>
        <v>5226.293085671412</v>
      </c>
      <c r="M43" s="37">
        <f t="shared" ca="1" si="10"/>
        <v>15616.419232408618</v>
      </c>
      <c r="N43" s="37">
        <f t="shared" ca="1" si="10"/>
        <v>14668.392019369068</v>
      </c>
      <c r="O43" s="37">
        <f t="shared" ca="1" si="10"/>
        <v>1990.4369587300644</v>
      </c>
      <c r="P43" s="37">
        <f t="shared" ca="1" si="10"/>
        <v>3119.5547445761586</v>
      </c>
      <c r="Q43" s="37">
        <f t="shared" ca="1" si="10"/>
        <v>17015.819489805137</v>
      </c>
      <c r="R43" s="37">
        <f t="shared" ca="1" si="10"/>
        <v>14064.127687464348</v>
      </c>
      <c r="S43" s="37">
        <f t="shared" ca="1" si="10"/>
        <v>0</v>
      </c>
      <c r="T43" s="37">
        <f t="shared" ca="1" si="10"/>
        <v>10471.567803460552</v>
      </c>
      <c r="U43" s="37">
        <f t="shared" ca="1" si="10"/>
        <v>0</v>
      </c>
      <c r="V43" s="37">
        <f t="shared" ca="1" si="10"/>
        <v>0</v>
      </c>
      <c r="W43" s="37">
        <f t="shared" ca="1" si="10"/>
        <v>0</v>
      </c>
      <c r="X43" s="37">
        <f t="shared" ca="1" si="10"/>
        <v>0</v>
      </c>
      <c r="Y43" s="37">
        <f t="shared" ca="1" si="10"/>
        <v>0</v>
      </c>
      <c r="Z43" s="435">
        <f ca="1">SUM(B43:Y43)</f>
        <v>93234.724576161854</v>
      </c>
    </row>
    <row r="44" spans="1:27" s="15" customFormat="1">
      <c r="A44" s="20" t="s">
        <v>1811</v>
      </c>
      <c r="C44" s="25"/>
      <c r="D44" s="142">
        <f ca="1">-IF(D43&lt;=0,0,MIN(D43,Assm!$L$9/Rev_Exp!D$27*D$9/12))</f>
        <v>0</v>
      </c>
      <c r="E44" s="142">
        <f ca="1">-IF(E43&lt;=0,0,MIN(E43,Assm!$L$9/Rev_Exp!E$27*E$9/12))</f>
        <v>-154.63585404093553</v>
      </c>
      <c r="F44" s="142">
        <f ca="1">-IF(F43&lt;=0,0,MIN(F43,Assm!$L$9/Rev_Exp!F$27*F$9/12))</f>
        <v>-129.324861357462</v>
      </c>
      <c r="G44" s="142">
        <f ca="1">-IF(G43&lt;=0,0,MIN(G43,Assm!$L$9/Rev_Exp!G$27*G$9/12))</f>
        <v>0</v>
      </c>
      <c r="H44" s="142">
        <f ca="1">-IF(H43&lt;=0,0,MIN(H43,Assm!$L$9/Rev_Exp!H$27*H$9/12))</f>
        <v>0</v>
      </c>
      <c r="I44" s="142">
        <f ca="1">-IF(I43&lt;=0,0,MIN(I43,Assm!$L$9/Rev_Exp!I$27*I$9/12))</f>
        <v>-116.3299608272614</v>
      </c>
      <c r="J44" s="142">
        <f ca="1">-IF(J43&lt;=0,0,MIN(J43,Assm!$L$9/Rev_Exp!J$27*J$9/12))</f>
        <v>0</v>
      </c>
      <c r="K44" s="142">
        <f ca="1">-IF(K43&lt;=0,0,MIN(K43,Assm!$L$9/Rev_Exp!K$27*K$9/12))</f>
        <v>-107.32933183969946</v>
      </c>
      <c r="L44" s="142">
        <f ca="1">-IF(L43&lt;=0,0,MIN(L43,Assm!$L$9/Rev_Exp!L$27*L$9/12))</f>
        <v>-104.22157210899813</v>
      </c>
      <c r="M44" s="142">
        <f ca="1">-IF(M43&lt;=0,0,MIN(M43,Assm!$L$9/Rev_Exp!M$27*M$9/12))</f>
        <v>-101.36265833831213</v>
      </c>
      <c r="N44" s="142">
        <f ca="1">-IF(N43&lt;=0,0,MIN(N43,Assm!$L$9/Rev_Exp!N$27*N$9/12))</f>
        <v>-98.644999415122655</v>
      </c>
      <c r="O44" s="142">
        <f ca="1">-IF(O43&lt;=0,0,MIN(O43,Assm!$L$9/Rev_Exp!O$27*O$9/12))</f>
        <v>-96.111715076120177</v>
      </c>
      <c r="P44" s="142">
        <f ca="1">-IF(P43&lt;=0,0,MIN(P43,Assm!$L$9/Rev_Exp!P$27*P$9/12))</f>
        <v>-93.739381818587063</v>
      </c>
      <c r="Q44" s="142">
        <f ca="1">-IF(Q43&lt;=0,0,MIN(Q43,Assm!$L$9/Rev_Exp!Q$27*Q$9/12))</f>
        <v>-91.519897089418478</v>
      </c>
      <c r="R44" s="142">
        <f ca="1">-IF(R43&lt;=0,0,MIN(R43,Assm!$L$9/Rev_Exp!R$27*R$9/12))</f>
        <v>-89.531659879625224</v>
      </c>
      <c r="S44" s="142">
        <f ca="1">-IF(S43&lt;=0,0,MIN(S43,Assm!$L$9/Rev_Exp!S$27*S$9/12))</f>
        <v>0</v>
      </c>
      <c r="T44" s="142">
        <f ca="1">-IF(T43&lt;=0,0,MIN(T43,Assm!$L$9/Rev_Exp!T$27*T$9/12))</f>
        <v>-86.010903858653037</v>
      </c>
      <c r="U44" s="142">
        <f ca="1">-IF(U43&lt;=0,0,MIN(U43,Assm!$L$9/Rev_Exp!U$27*U$9/12))</f>
        <v>0</v>
      </c>
      <c r="V44" s="142">
        <f ca="1">-IF(V43&lt;=0,0,MIN(V43,Assm!$L$9/Rev_Exp!V$27*V$9/12))</f>
        <v>0</v>
      </c>
      <c r="W44" s="142">
        <f ca="1">-IF(W43&lt;=0,0,MIN(W43,Assm!$L$9/Rev_Exp!W$27*W$9/12))</f>
        <v>0</v>
      </c>
      <c r="X44" s="142">
        <f ca="1">-IF(X43&lt;=0,0,MIN(X43,Assm!$L$9/Rev_Exp!X$27*X$9/12))</f>
        <v>0</v>
      </c>
      <c r="Y44" s="142">
        <f ca="1">-IF(Y43&lt;=0,0,MIN(Y43,Assm!$L$9/Rev_Exp!Y$27*Y$9/12))</f>
        <v>0</v>
      </c>
      <c r="Z44" s="436">
        <f ca="1">SUM(C44:Y44)</f>
        <v>-1268.7627956501956</v>
      </c>
    </row>
    <row r="45" spans="1:27" s="15" customFormat="1">
      <c r="A45" s="20" t="s">
        <v>1810</v>
      </c>
      <c r="C45" s="25"/>
      <c r="D45" s="37">
        <f t="shared" ref="D45:Y45" ca="1" si="11">SUM(D43:D44)</f>
        <v>0</v>
      </c>
      <c r="E45" s="37">
        <f t="shared" ca="1" si="11"/>
        <v>530.90910343565247</v>
      </c>
      <c r="F45" s="37">
        <f t="shared" ca="1" si="11"/>
        <v>3229.5625166801638</v>
      </c>
      <c r="G45" s="37">
        <f t="shared" ca="1" si="11"/>
        <v>0</v>
      </c>
      <c r="H45" s="37">
        <f t="shared" ca="1" si="11"/>
        <v>0</v>
      </c>
      <c r="I45" s="37">
        <f t="shared" ca="1" si="11"/>
        <v>664.95591537797327</v>
      </c>
      <c r="J45" s="37">
        <f t="shared" ca="1" si="11"/>
        <v>0</v>
      </c>
      <c r="K45" s="37">
        <f t="shared" ca="1" si="11"/>
        <v>6129.0660111173511</v>
      </c>
      <c r="L45" s="37">
        <f t="shared" ca="1" si="11"/>
        <v>5122.0715135624141</v>
      </c>
      <c r="M45" s="37">
        <f t="shared" ca="1" si="11"/>
        <v>15515.056574070306</v>
      </c>
      <c r="N45" s="37">
        <f t="shared" ca="1" si="11"/>
        <v>14569.747019953946</v>
      </c>
      <c r="O45" s="37">
        <f t="shared" ca="1" si="11"/>
        <v>1894.3252436539442</v>
      </c>
      <c r="P45" s="37">
        <f t="shared" ca="1" si="11"/>
        <v>3025.8153627575716</v>
      </c>
      <c r="Q45" s="37">
        <f t="shared" ca="1" si="11"/>
        <v>16924.299592715717</v>
      </c>
      <c r="R45" s="37">
        <f t="shared" ca="1" si="11"/>
        <v>13974.596027584723</v>
      </c>
      <c r="S45" s="37">
        <f t="shared" ca="1" si="11"/>
        <v>0</v>
      </c>
      <c r="T45" s="37">
        <f t="shared" ca="1" si="11"/>
        <v>10385.556899601899</v>
      </c>
      <c r="U45" s="37">
        <f t="shared" ca="1" si="11"/>
        <v>0</v>
      </c>
      <c r="V45" s="37">
        <f t="shared" ca="1" si="11"/>
        <v>0</v>
      </c>
      <c r="W45" s="37">
        <f t="shared" ca="1" si="11"/>
        <v>0</v>
      </c>
      <c r="X45" s="37">
        <f t="shared" ca="1" si="11"/>
        <v>0</v>
      </c>
      <c r="Y45" s="37">
        <f t="shared" ca="1" si="11"/>
        <v>0</v>
      </c>
      <c r="Z45" s="435">
        <f ca="1">SUM(C45:Y45)</f>
        <v>91965.961780511672</v>
      </c>
    </row>
    <row r="46" spans="1:27" s="15" customFormat="1">
      <c r="A46" s="20" t="s">
        <v>17</v>
      </c>
      <c r="C46" s="25"/>
      <c r="D46" s="71">
        <f t="shared" ref="D46:Y46" si="12">AddTax</f>
        <v>0.1</v>
      </c>
      <c r="E46" s="71">
        <f t="shared" si="12"/>
        <v>0.1</v>
      </c>
      <c r="F46" s="71">
        <f t="shared" si="12"/>
        <v>0.1</v>
      </c>
      <c r="G46" s="71">
        <f t="shared" si="12"/>
        <v>0.1</v>
      </c>
      <c r="H46" s="71">
        <f t="shared" si="12"/>
        <v>0.1</v>
      </c>
      <c r="I46" s="71">
        <f t="shared" si="12"/>
        <v>0.1</v>
      </c>
      <c r="J46" s="71">
        <f t="shared" si="12"/>
        <v>0.1</v>
      </c>
      <c r="K46" s="71">
        <f t="shared" si="12"/>
        <v>0.1</v>
      </c>
      <c r="L46" s="71">
        <f t="shared" si="12"/>
        <v>0.1</v>
      </c>
      <c r="M46" s="71">
        <f t="shared" si="12"/>
        <v>0.1</v>
      </c>
      <c r="N46" s="71">
        <f t="shared" si="12"/>
        <v>0.1</v>
      </c>
      <c r="O46" s="71">
        <f t="shared" si="12"/>
        <v>0.1</v>
      </c>
      <c r="P46" s="71">
        <f t="shared" si="12"/>
        <v>0.1</v>
      </c>
      <c r="Q46" s="71">
        <f t="shared" si="12"/>
        <v>0.1</v>
      </c>
      <c r="R46" s="71">
        <f t="shared" si="12"/>
        <v>0.1</v>
      </c>
      <c r="S46" s="71">
        <f t="shared" si="12"/>
        <v>0.1</v>
      </c>
      <c r="T46" s="71">
        <f t="shared" si="12"/>
        <v>0.1</v>
      </c>
      <c r="U46" s="71">
        <f t="shared" si="12"/>
        <v>0.1</v>
      </c>
      <c r="V46" s="71">
        <f t="shared" si="12"/>
        <v>0.1</v>
      </c>
      <c r="W46" s="71">
        <f t="shared" si="12"/>
        <v>0.1</v>
      </c>
      <c r="X46" s="71">
        <f t="shared" si="12"/>
        <v>0.1</v>
      </c>
      <c r="Y46" s="71">
        <f t="shared" si="12"/>
        <v>0.1</v>
      </c>
      <c r="Z46" s="431"/>
    </row>
    <row r="47" spans="1:27" s="15" customFormat="1">
      <c r="A47" s="20" t="s">
        <v>16</v>
      </c>
      <c r="C47" s="25"/>
      <c r="D47" s="37">
        <f t="shared" ref="D47:Y47" ca="1" si="13">D45*D46</f>
        <v>0</v>
      </c>
      <c r="E47" s="37">
        <f t="shared" ca="1" si="13"/>
        <v>53.090910343565248</v>
      </c>
      <c r="F47" s="37">
        <f t="shared" ca="1" si="13"/>
        <v>322.95625166801642</v>
      </c>
      <c r="G47" s="37">
        <f t="shared" ca="1" si="13"/>
        <v>0</v>
      </c>
      <c r="H47" s="37">
        <f t="shared" ca="1" si="13"/>
        <v>0</v>
      </c>
      <c r="I47" s="37">
        <f t="shared" ca="1" si="13"/>
        <v>66.495591537797324</v>
      </c>
      <c r="J47" s="37">
        <f t="shared" ca="1" si="13"/>
        <v>0</v>
      </c>
      <c r="K47" s="37">
        <f t="shared" ca="1" si="13"/>
        <v>612.90660111173509</v>
      </c>
      <c r="L47" s="37">
        <f t="shared" ca="1" si="13"/>
        <v>512.20715135624141</v>
      </c>
      <c r="M47" s="37">
        <f t="shared" ca="1" si="13"/>
        <v>1551.5056574070306</v>
      </c>
      <c r="N47" s="37">
        <f t="shared" ca="1" si="13"/>
        <v>1456.9747019953948</v>
      </c>
      <c r="O47" s="37">
        <f t="shared" ca="1" si="13"/>
        <v>189.43252436539444</v>
      </c>
      <c r="P47" s="37">
        <f t="shared" ca="1" si="13"/>
        <v>302.58153627575717</v>
      </c>
      <c r="Q47" s="37">
        <f t="shared" ca="1" si="13"/>
        <v>1692.4299592715718</v>
      </c>
      <c r="R47" s="37">
        <f t="shared" ca="1" si="13"/>
        <v>1397.4596027584723</v>
      </c>
      <c r="S47" s="37">
        <f t="shared" ca="1" si="13"/>
        <v>0</v>
      </c>
      <c r="T47" s="37">
        <f t="shared" ca="1" si="13"/>
        <v>1038.55568996019</v>
      </c>
      <c r="U47" s="37">
        <f t="shared" ca="1" si="13"/>
        <v>0</v>
      </c>
      <c r="V47" s="37">
        <f t="shared" ca="1" si="13"/>
        <v>0</v>
      </c>
      <c r="W47" s="37">
        <f t="shared" ca="1" si="13"/>
        <v>0</v>
      </c>
      <c r="X47" s="37">
        <f t="shared" ca="1" si="13"/>
        <v>0</v>
      </c>
      <c r="Y47" s="37">
        <f t="shared" ca="1" si="13"/>
        <v>0</v>
      </c>
      <c r="Z47" s="435">
        <f ca="1">SUM(D47:Y47)</f>
        <v>9196.596178051168</v>
      </c>
    </row>
    <row r="48" spans="1:27">
      <c r="A48" s="20"/>
      <c r="Z48" s="430"/>
    </row>
    <row r="49" spans="1:27" s="15" customFormat="1">
      <c r="A49" s="20" t="s">
        <v>47</v>
      </c>
      <c r="D49" s="37">
        <f ca="1">SUM(D40,D47)</f>
        <v>0</v>
      </c>
      <c r="E49" s="37">
        <f t="shared" ref="E49:Y49" ca="1" si="14">SUM(E40,E47)</f>
        <v>155.92265396505346</v>
      </c>
      <c r="F49" s="37">
        <f t="shared" ca="1" si="14"/>
        <v>826.78935837366021</v>
      </c>
      <c r="G49" s="37">
        <f t="shared" ca="1" si="14"/>
        <v>0</v>
      </c>
      <c r="H49" s="37">
        <f t="shared" ca="1" si="14"/>
        <v>0</v>
      </c>
      <c r="I49" s="37">
        <f t="shared" ca="1" si="14"/>
        <v>183.68847296858252</v>
      </c>
      <c r="J49" s="37">
        <f t="shared" ca="1" si="14"/>
        <v>0</v>
      </c>
      <c r="K49" s="37">
        <f t="shared" ca="1" si="14"/>
        <v>1548.3659025552925</v>
      </c>
      <c r="L49" s="37">
        <f t="shared" ca="1" si="14"/>
        <v>1296.151114206953</v>
      </c>
      <c r="M49" s="37">
        <f t="shared" ca="1" si="14"/>
        <v>3893.9685422683233</v>
      </c>
      <c r="N49" s="37">
        <f t="shared" ca="1" si="14"/>
        <v>3657.2335049007547</v>
      </c>
      <c r="O49" s="37">
        <f t="shared" ca="1" si="14"/>
        <v>487.99806817490406</v>
      </c>
      <c r="P49" s="37">
        <f t="shared" ca="1" si="14"/>
        <v>770.51474796218099</v>
      </c>
      <c r="Q49" s="37">
        <f t="shared" ca="1" si="14"/>
        <v>4244.8028827423423</v>
      </c>
      <c r="R49" s="37">
        <f t="shared" ca="1" si="14"/>
        <v>3507.0787558781249</v>
      </c>
      <c r="S49" s="37">
        <f t="shared" ca="1" si="14"/>
        <v>0</v>
      </c>
      <c r="T49" s="37">
        <f t="shared" ca="1" si="14"/>
        <v>2609.2908604792729</v>
      </c>
      <c r="U49" s="37">
        <f t="shared" ca="1" si="14"/>
        <v>0</v>
      </c>
      <c r="V49" s="37">
        <f t="shared" ca="1" si="14"/>
        <v>0</v>
      </c>
      <c r="W49" s="37">
        <f t="shared" ca="1" si="14"/>
        <v>0</v>
      </c>
      <c r="X49" s="37">
        <f t="shared" ca="1" si="14"/>
        <v>0</v>
      </c>
      <c r="Y49" s="37">
        <f t="shared" ca="1" si="14"/>
        <v>0</v>
      </c>
      <c r="Z49" s="435">
        <f ca="1">SUM(D49:Y49)</f>
        <v>23181.804864475442</v>
      </c>
      <c r="AA49" s="218"/>
    </row>
    <row r="50" spans="1:27">
      <c r="A50" s="20" t="s">
        <v>48</v>
      </c>
      <c r="B50" s="34" t="str">
        <f>IF(Assm!$L$35=1,"On","Off")</f>
        <v>On</v>
      </c>
      <c r="D50" s="369">
        <f>IF(D$7&gt;Assm!$I$39,0,HLOOKUP(D$7,Sudam_Table,Assm!$M$41))*Assm!$L$35</f>
        <v>0.75</v>
      </c>
      <c r="E50" s="369">
        <f>IF(E$7&gt;Assm!$I$39,0,HLOOKUP(E$7,Sudam_Table,Assm!$M$41))*Assm!$L$35</f>
        <v>0.75</v>
      </c>
      <c r="F50" s="369">
        <f>IF(F$7&gt;Assm!$I$39,0,HLOOKUP(F$7,Sudam_Table,Assm!$M$41))*Assm!$L$35</f>
        <v>0.75</v>
      </c>
      <c r="G50" s="369">
        <f>IF(G$7&gt;Assm!$I$39,0,HLOOKUP(G$7,Sudam_Table,Assm!$M$41))*Assm!$L$35</f>
        <v>0.75</v>
      </c>
      <c r="H50" s="369">
        <f>IF(H$7&gt;Assm!$I$39,0,HLOOKUP(H$7,Sudam_Table,Assm!$M$41))*Assm!$L$35</f>
        <v>0.75</v>
      </c>
      <c r="I50" s="369">
        <f>IF(I$7&gt;Assm!$I$39,0,HLOOKUP(I$7,Sudam_Table,Assm!$M$41))*Assm!$L$35</f>
        <v>0.75</v>
      </c>
      <c r="J50" s="369">
        <f>IF(J$7&gt;Assm!$I$39,0,HLOOKUP(J$7,Sudam_Table,Assm!$M$41))*Assm!$L$35</f>
        <v>0.5</v>
      </c>
      <c r="K50" s="369">
        <f>IF(K$7&gt;Assm!$I$39,0,HLOOKUP(K$7,Sudam_Table,Assm!$M$41))*Assm!$L$35</f>
        <v>0.5</v>
      </c>
      <c r="L50" s="369">
        <f>IF(L$7&gt;Assm!$I$39,0,HLOOKUP(L$7,Sudam_Table,Assm!$M$41))*Assm!$L$35</f>
        <v>0.5</v>
      </c>
      <c r="M50" s="369">
        <f>IF(M$7&gt;Assm!$I$39,0,HLOOKUP(M$7,Sudam_Table,Assm!$M$41))*Assm!$L$35</f>
        <v>0.5</v>
      </c>
      <c r="N50" s="369">
        <f>IF(N$7&gt;Assm!$I$39,0,HLOOKUP(N$7,Sudam_Table,Assm!$M$41))*Assm!$L$35</f>
        <v>0.5</v>
      </c>
      <c r="O50" s="369">
        <f>IF(O$7&gt;Assm!$I$39,0,HLOOKUP(O$7,Sudam_Table,Assm!$M$41))*Assm!$L$35</f>
        <v>0.25</v>
      </c>
      <c r="P50" s="369">
        <f>IF(P$7&gt;Assm!$I$39,0,HLOOKUP(P$7,Sudam_Table,Assm!$M$41))*Assm!$L$35</f>
        <v>0.25</v>
      </c>
      <c r="Q50" s="369">
        <f>IF(Q$7&gt;Assm!$I$39,0,HLOOKUP(Q$7,Sudam_Table,Assm!$M$41))*Assm!$L$35</f>
        <v>0.25</v>
      </c>
      <c r="R50" s="369">
        <f>IF(R$7&gt;Assm!$I$39,0,HLOOKUP(R$7,Sudam_Table,Assm!$M$41))*Assm!$L$35</f>
        <v>0.25</v>
      </c>
      <c r="S50" s="369">
        <f>IF(S$7&gt;Assm!$I$39,0,HLOOKUP(S$7,Sudam_Table,Assm!$M$41))*Assm!$L$35</f>
        <v>0.25</v>
      </c>
      <c r="T50" s="369">
        <f>IF(T$7&gt;Assm!$I$39,0,HLOOKUP(T$7,Sudam_Table,Assm!$M$41))*Assm!$L$35</f>
        <v>0</v>
      </c>
      <c r="U50" s="369">
        <f>IF(U$7&gt;Assm!$I$39,0,HLOOKUP(U$7,Sudam_Table,Assm!$M$41))*Assm!$L$35</f>
        <v>0</v>
      </c>
      <c r="V50" s="369">
        <f>IF(V$7&gt;Assm!$I$39,0,HLOOKUP(V$7,Sudam_Table,Assm!$M$41))*Assm!$L$35</f>
        <v>0</v>
      </c>
      <c r="W50" s="369">
        <f>IF(W$7&gt;Assm!$I$39,0,HLOOKUP(W$7,Sudam_Table,Assm!$M$41))*Assm!$L$35</f>
        <v>0</v>
      </c>
      <c r="X50" s="369">
        <f>IF(X$7&gt;Assm!$I$39,0,HLOOKUP(X$7,Sudam_Table,Assm!$M$41))*Assm!$L$35</f>
        <v>0</v>
      </c>
      <c r="Y50" s="369">
        <f>IF(Y$7&gt;Assm!$I$39,0,HLOOKUP(Y$7,Sudam_Table,Assm!$M$41))*Assm!$L$35</f>
        <v>0</v>
      </c>
      <c r="Z50" s="430"/>
    </row>
    <row r="51" spans="1:27" s="15" customFormat="1" ht="13.5" thickBot="1">
      <c r="A51" s="48" t="s">
        <v>1944</v>
      </c>
      <c r="B51" s="49"/>
      <c r="C51" s="49"/>
      <c r="D51" s="51">
        <f ca="1">D49*D50</f>
        <v>0</v>
      </c>
      <c r="E51" s="51">
        <f t="shared" ref="E51:Y51" ca="1" si="15">E49*E50</f>
        <v>116.9419904737901</v>
      </c>
      <c r="F51" s="51">
        <f t="shared" ca="1" si="15"/>
        <v>620.0920187802451</v>
      </c>
      <c r="G51" s="51">
        <f t="shared" ca="1" si="15"/>
        <v>0</v>
      </c>
      <c r="H51" s="51">
        <f t="shared" ca="1" si="15"/>
        <v>0</v>
      </c>
      <c r="I51" s="51">
        <f t="shared" ca="1" si="15"/>
        <v>137.76635472643687</v>
      </c>
      <c r="J51" s="51">
        <f t="shared" ca="1" si="15"/>
        <v>0</v>
      </c>
      <c r="K51" s="51">
        <f t="shared" ca="1" si="15"/>
        <v>774.18295127764623</v>
      </c>
      <c r="L51" s="51">
        <f t="shared" ca="1" si="15"/>
        <v>648.07555710347651</v>
      </c>
      <c r="M51" s="51">
        <f t="shared" ca="1" si="15"/>
        <v>1946.9842711341616</v>
      </c>
      <c r="N51" s="51">
        <f t="shared" ca="1" si="15"/>
        <v>1828.6167524503774</v>
      </c>
      <c r="O51" s="51">
        <f t="shared" ca="1" si="15"/>
        <v>121.99951704372602</v>
      </c>
      <c r="P51" s="51">
        <f t="shared" ca="1" si="15"/>
        <v>192.62868699054525</v>
      </c>
      <c r="Q51" s="51">
        <f t="shared" ca="1" si="15"/>
        <v>1061.2007206855856</v>
      </c>
      <c r="R51" s="51">
        <f t="shared" ca="1" si="15"/>
        <v>876.76968896953122</v>
      </c>
      <c r="S51" s="51">
        <f t="shared" ca="1" si="15"/>
        <v>0</v>
      </c>
      <c r="T51" s="51">
        <f t="shared" ca="1" si="15"/>
        <v>0</v>
      </c>
      <c r="U51" s="51">
        <f t="shared" ca="1" si="15"/>
        <v>0</v>
      </c>
      <c r="V51" s="51">
        <f t="shared" ca="1" si="15"/>
        <v>0</v>
      </c>
      <c r="W51" s="51">
        <f t="shared" ca="1" si="15"/>
        <v>0</v>
      </c>
      <c r="X51" s="51">
        <f t="shared" ca="1" si="15"/>
        <v>0</v>
      </c>
      <c r="Y51" s="51">
        <f t="shared" ca="1" si="15"/>
        <v>0</v>
      </c>
      <c r="Z51" s="484">
        <f ca="1">SUM(D51:Y51)</f>
        <v>8325.2585096355215</v>
      </c>
      <c r="AA51" s="218"/>
    </row>
    <row r="52" spans="1:27" s="15" customFormat="1">
      <c r="A52" s="1327" t="s">
        <v>1943</v>
      </c>
      <c r="Z52" s="229"/>
    </row>
    <row r="53" spans="1:27" s="15" customFormat="1">
      <c r="Z53" s="229"/>
    </row>
    <row r="54" spans="1:27" s="218" customFormat="1" ht="13.5" thickBot="1">
      <c r="A54" s="229"/>
      <c r="D54" s="229"/>
      <c r="E54" s="229"/>
      <c r="F54" s="229"/>
      <c r="G54" s="229"/>
      <c r="H54" s="229"/>
      <c r="I54" s="229"/>
      <c r="J54" s="229"/>
      <c r="K54" s="229"/>
      <c r="L54" s="229"/>
      <c r="M54" s="229"/>
      <c r="N54" s="229"/>
      <c r="O54" s="229"/>
      <c r="P54" s="229"/>
      <c r="Q54" s="229"/>
      <c r="R54" s="229"/>
      <c r="S54" s="229"/>
      <c r="T54" s="229"/>
      <c r="U54" s="229"/>
      <c r="V54" s="229"/>
      <c r="W54" s="229"/>
      <c r="X54" s="229"/>
      <c r="Y54" s="229"/>
      <c r="Z54" s="229"/>
    </row>
    <row r="55" spans="1:27" s="15" customFormat="1">
      <c r="A55" s="1172" t="s">
        <v>1033</v>
      </c>
      <c r="B55" s="1323"/>
      <c r="C55" s="1324"/>
      <c r="D55" s="1325"/>
      <c r="E55" s="1325"/>
      <c r="F55" s="1325"/>
      <c r="G55" s="1325"/>
      <c r="H55" s="1325"/>
      <c r="I55" s="1325"/>
      <c r="J55" s="1325"/>
      <c r="K55" s="1325"/>
      <c r="L55" s="1325"/>
      <c r="M55" s="1325"/>
      <c r="N55" s="1325"/>
      <c r="O55" s="1325"/>
      <c r="P55" s="1325"/>
      <c r="Q55" s="1325"/>
      <c r="R55" s="1325"/>
      <c r="S55" s="1325"/>
      <c r="T55" s="1325"/>
      <c r="U55" s="1325"/>
      <c r="V55" s="1325"/>
      <c r="W55" s="1325"/>
      <c r="X55" s="1325"/>
      <c r="Y55" s="1325"/>
      <c r="Z55" s="1326"/>
    </row>
    <row r="56" spans="1:27" s="15" customFormat="1">
      <c r="A56" s="20" t="s">
        <v>610</v>
      </c>
      <c r="B56" s="109"/>
      <c r="C56" s="110"/>
      <c r="D56" s="37">
        <f ca="1">IF(D$6&gt;Term+1,0,Tot_Equity)</f>
        <v>92793.570204919088</v>
      </c>
      <c r="E56" s="37">
        <f t="shared" ref="E56:Y56" ca="1" si="16">IF(E$6&gt;Term+1,0,Tot_Equity)</f>
        <v>92793.570204919088</v>
      </c>
      <c r="F56" s="37">
        <f t="shared" ca="1" si="16"/>
        <v>92793.570204919088</v>
      </c>
      <c r="G56" s="37">
        <f t="shared" ca="1" si="16"/>
        <v>92793.570204919088</v>
      </c>
      <c r="H56" s="37">
        <f t="shared" ca="1" si="16"/>
        <v>92793.570204919088</v>
      </c>
      <c r="I56" s="37">
        <f t="shared" ca="1" si="16"/>
        <v>92793.570204919088</v>
      </c>
      <c r="J56" s="37">
        <f t="shared" ca="1" si="16"/>
        <v>92793.570204919088</v>
      </c>
      <c r="K56" s="37">
        <f t="shared" ca="1" si="16"/>
        <v>92793.570204919088</v>
      </c>
      <c r="L56" s="37">
        <f t="shared" ca="1" si="16"/>
        <v>92793.570204919088</v>
      </c>
      <c r="M56" s="37">
        <f t="shared" ca="1" si="16"/>
        <v>92793.570204919088</v>
      </c>
      <c r="N56" s="37">
        <f t="shared" ca="1" si="16"/>
        <v>92793.570204919088</v>
      </c>
      <c r="O56" s="37">
        <f t="shared" ca="1" si="16"/>
        <v>92793.570204919088</v>
      </c>
      <c r="P56" s="37">
        <f t="shared" ca="1" si="16"/>
        <v>92793.570204919088</v>
      </c>
      <c r="Q56" s="37">
        <f t="shared" ca="1" si="16"/>
        <v>92793.570204919088</v>
      </c>
      <c r="R56" s="37">
        <f t="shared" ca="1" si="16"/>
        <v>92793.570204919088</v>
      </c>
      <c r="S56" s="37">
        <f t="shared" ca="1" si="16"/>
        <v>92793.570204919088</v>
      </c>
      <c r="T56" s="37">
        <f t="shared" ca="1" si="16"/>
        <v>92793.570204919088</v>
      </c>
      <c r="U56" s="37">
        <f t="shared" ca="1" si="16"/>
        <v>92793.570204919088</v>
      </c>
      <c r="V56" s="37">
        <f t="shared" ca="1" si="16"/>
        <v>92793.570204919088</v>
      </c>
      <c r="W56" s="37">
        <f t="shared" ca="1" si="16"/>
        <v>92793.570204919088</v>
      </c>
      <c r="X56" s="37">
        <f t="shared" ca="1" si="16"/>
        <v>92793.570204919088</v>
      </c>
      <c r="Y56" s="37">
        <f t="shared" si="16"/>
        <v>0</v>
      </c>
      <c r="Z56" s="433"/>
    </row>
    <row r="57" spans="1:27" s="15" customFormat="1">
      <c r="A57" s="20" t="s">
        <v>1034</v>
      </c>
      <c r="B57" s="109"/>
      <c r="C57" s="110"/>
      <c r="D57" s="71">
        <f>Assm!$I$82</f>
        <v>0.1</v>
      </c>
      <c r="E57" s="71">
        <f>Assm!$I$82</f>
        <v>0.1</v>
      </c>
      <c r="F57" s="71">
        <f>Assm!$I$82</f>
        <v>0.1</v>
      </c>
      <c r="G57" s="71">
        <f>Assm!$I$82</f>
        <v>0.1</v>
      </c>
      <c r="H57" s="71">
        <f>Assm!$I$82</f>
        <v>0.1</v>
      </c>
      <c r="I57" s="71">
        <f>Assm!$I$82</f>
        <v>0.1</v>
      </c>
      <c r="J57" s="71">
        <f>Assm!$I$82</f>
        <v>0.1</v>
      </c>
      <c r="K57" s="71">
        <f>Assm!$I$82</f>
        <v>0.1</v>
      </c>
      <c r="L57" s="71">
        <f>Assm!$I$82</f>
        <v>0.1</v>
      </c>
      <c r="M57" s="71">
        <f>Assm!$I$82</f>
        <v>0.1</v>
      </c>
      <c r="N57" s="71">
        <f>Assm!$I$82</f>
        <v>0.1</v>
      </c>
      <c r="O57" s="71">
        <f>Assm!$I$82</f>
        <v>0.1</v>
      </c>
      <c r="P57" s="71">
        <f>Assm!$I$82</f>
        <v>0.1</v>
      </c>
      <c r="Q57" s="71">
        <f>Assm!$I$82</f>
        <v>0.1</v>
      </c>
      <c r="R57" s="71">
        <f>Assm!$I$82</f>
        <v>0.1</v>
      </c>
      <c r="S57" s="71">
        <f>Assm!$I$82</f>
        <v>0.1</v>
      </c>
      <c r="T57" s="71">
        <f>Assm!$I$82</f>
        <v>0.1</v>
      </c>
      <c r="U57" s="71">
        <f>Assm!$I$82</f>
        <v>0.1</v>
      </c>
      <c r="V57" s="71">
        <f>Assm!$I$82</f>
        <v>0.1</v>
      </c>
      <c r="W57" s="71">
        <f>Assm!$I$82</f>
        <v>0.1</v>
      </c>
      <c r="X57" s="71">
        <f>Assm!$I$82</f>
        <v>0.1</v>
      </c>
      <c r="Y57" s="71">
        <f>Assm!$I$82</f>
        <v>0.1</v>
      </c>
      <c r="Z57" s="433"/>
    </row>
    <row r="58" spans="1:27" s="15" customFormat="1">
      <c r="A58" s="20" t="s">
        <v>611</v>
      </c>
      <c r="B58" s="109"/>
      <c r="C58" s="273" t="s">
        <v>484</v>
      </c>
      <c r="D58" s="37">
        <f t="shared" ref="D58:Y58" ca="1" si="17">D57*D56</f>
        <v>9279.3570204919088</v>
      </c>
      <c r="E58" s="37">
        <f t="shared" ca="1" si="17"/>
        <v>9279.3570204919088</v>
      </c>
      <c r="F58" s="37">
        <f t="shared" ca="1" si="17"/>
        <v>9279.3570204919088</v>
      </c>
      <c r="G58" s="37">
        <f t="shared" ca="1" si="17"/>
        <v>9279.3570204919088</v>
      </c>
      <c r="H58" s="37">
        <f t="shared" ca="1" si="17"/>
        <v>9279.3570204919088</v>
      </c>
      <c r="I58" s="37">
        <f t="shared" ca="1" si="17"/>
        <v>9279.3570204919088</v>
      </c>
      <c r="J58" s="37">
        <f t="shared" ca="1" si="17"/>
        <v>9279.3570204919088</v>
      </c>
      <c r="K58" s="37">
        <f t="shared" ca="1" si="17"/>
        <v>9279.3570204919088</v>
      </c>
      <c r="L58" s="37">
        <f t="shared" ca="1" si="17"/>
        <v>9279.3570204919088</v>
      </c>
      <c r="M58" s="37">
        <f t="shared" ca="1" si="17"/>
        <v>9279.3570204919088</v>
      </c>
      <c r="N58" s="37">
        <f t="shared" ca="1" si="17"/>
        <v>9279.3570204919088</v>
      </c>
      <c r="O58" s="37">
        <f t="shared" ca="1" si="17"/>
        <v>9279.3570204919088</v>
      </c>
      <c r="P58" s="37">
        <f t="shared" ca="1" si="17"/>
        <v>9279.3570204919088</v>
      </c>
      <c r="Q58" s="37">
        <f t="shared" ca="1" si="17"/>
        <v>9279.3570204919088</v>
      </c>
      <c r="R58" s="37">
        <f t="shared" ca="1" si="17"/>
        <v>9279.3570204919088</v>
      </c>
      <c r="S58" s="37">
        <f t="shared" ca="1" si="17"/>
        <v>9279.3570204919088</v>
      </c>
      <c r="T58" s="37">
        <f t="shared" ca="1" si="17"/>
        <v>9279.3570204919088</v>
      </c>
      <c r="U58" s="37">
        <f t="shared" ca="1" si="17"/>
        <v>9279.3570204919088</v>
      </c>
      <c r="V58" s="37">
        <f t="shared" ca="1" si="17"/>
        <v>9279.3570204919088</v>
      </c>
      <c r="W58" s="37">
        <f t="shared" ca="1" si="17"/>
        <v>9279.3570204919088</v>
      </c>
      <c r="X58" s="37">
        <f t="shared" ca="1" si="17"/>
        <v>9279.3570204919088</v>
      </c>
      <c r="Y58" s="37">
        <f t="shared" si="17"/>
        <v>0</v>
      </c>
      <c r="Z58" s="435">
        <f ca="1">SUM(D58:Y58)</f>
        <v>194866.49743033008</v>
      </c>
    </row>
    <row r="59" spans="1:27" s="218" customFormat="1">
      <c r="A59" s="560"/>
      <c r="B59" s="271"/>
      <c r="D59" s="229"/>
      <c r="E59" s="229"/>
      <c r="F59" s="229"/>
      <c r="G59" s="229"/>
      <c r="H59" s="229"/>
      <c r="I59" s="229"/>
      <c r="J59" s="229"/>
      <c r="K59" s="229"/>
      <c r="L59" s="229"/>
      <c r="M59" s="229"/>
      <c r="N59" s="229"/>
      <c r="O59" s="229"/>
      <c r="P59" s="229"/>
      <c r="Q59" s="229"/>
      <c r="R59" s="229"/>
      <c r="S59" s="229"/>
      <c r="T59" s="229"/>
      <c r="U59" s="229"/>
      <c r="V59" s="229"/>
      <c r="W59" s="229"/>
      <c r="X59" s="229"/>
      <c r="Y59" s="229"/>
      <c r="Z59" s="427"/>
    </row>
    <row r="60" spans="1:27" s="15" customFormat="1">
      <c r="A60" s="20" t="s">
        <v>612</v>
      </c>
      <c r="B60" s="109"/>
      <c r="C60" s="110"/>
      <c r="D60" s="37">
        <f ca="1">CF!D48</f>
        <v>0</v>
      </c>
      <c r="E60" s="37">
        <f ca="1">CF!E48</f>
        <v>-6578.0609479357427</v>
      </c>
      <c r="F60" s="37">
        <f ca="1">CF!F48</f>
        <v>-3771.1328721942714</v>
      </c>
      <c r="G60" s="37">
        <f ca="1">CF!G48</f>
        <v>-3011.5167629040229</v>
      </c>
      <c r="H60" s="37">
        <f ca="1">CF!H48</f>
        <v>-1651.6717033239365</v>
      </c>
      <c r="I60" s="37">
        <f ca="1">CF!I48</f>
        <v>4085.7836733887034</v>
      </c>
      <c r="J60" s="37">
        <f ca="1">CF!J48</f>
        <v>-7967.5646730677072</v>
      </c>
      <c r="K60" s="37">
        <f ca="1">CF!K48</f>
        <v>15731.143157368013</v>
      </c>
      <c r="L60" s="37">
        <f ca="1">CF!L48</f>
        <v>17834.683831993512</v>
      </c>
      <c r="M60" s="37">
        <f ca="1">CF!M48</f>
        <v>17312.074686681153</v>
      </c>
      <c r="N60" s="37">
        <f ca="1">CF!N48</f>
        <v>15435.453463170677</v>
      </c>
      <c r="O60" s="37">
        <f ca="1">CF!O48</f>
        <v>16139.924308702455</v>
      </c>
      <c r="P60" s="37">
        <f ca="1">CF!P48</f>
        <v>18570.046919266297</v>
      </c>
      <c r="Q60" s="37">
        <f ca="1">CF!Q48</f>
        <v>19374.897937644073</v>
      </c>
      <c r="R60" s="37">
        <f ca="1">CF!R48</f>
        <v>14309.323541856769</v>
      </c>
      <c r="S60" s="37">
        <f ca="1">CF!S48</f>
        <v>18850.011189197736</v>
      </c>
      <c r="T60" s="37">
        <f ca="1">CF!T48</f>
        <v>7169.862187464706</v>
      </c>
      <c r="U60" s="37">
        <f ca="1">CF!U48</f>
        <v>-7495.2285138640063</v>
      </c>
      <c r="V60" s="37">
        <f ca="1">CF!V48</f>
        <v>-11713.567705695645</v>
      </c>
      <c r="W60" s="37">
        <f ca="1">CF!W48</f>
        <v>-13109.304531018079</v>
      </c>
      <c r="X60" s="37">
        <f ca="1">CF!X48</f>
        <v>-11574.612876919249</v>
      </c>
      <c r="Y60" s="37">
        <f ca="1">CF!Y48</f>
        <v>-3103.4748856177998</v>
      </c>
      <c r="Z60" s="435">
        <f ca="1">SUM(D60:Y60)</f>
        <v>94837.069424193614</v>
      </c>
    </row>
    <row r="61" spans="1:27" s="15" customFormat="1">
      <c r="A61" s="20" t="s">
        <v>1035</v>
      </c>
      <c r="B61" s="109"/>
      <c r="C61" s="110"/>
      <c r="D61" s="71">
        <f>Assm!$I$81</f>
        <v>0.5</v>
      </c>
      <c r="E61" s="71">
        <f>Assm!$I$81</f>
        <v>0.5</v>
      </c>
      <c r="F61" s="71">
        <f>Assm!$I$81</f>
        <v>0.5</v>
      </c>
      <c r="G61" s="71">
        <f>Assm!$I$81</f>
        <v>0.5</v>
      </c>
      <c r="H61" s="71">
        <f>Assm!$I$81</f>
        <v>0.5</v>
      </c>
      <c r="I61" s="71">
        <f>Assm!$I$81</f>
        <v>0.5</v>
      </c>
      <c r="J61" s="71">
        <f>Assm!$I$81</f>
        <v>0.5</v>
      </c>
      <c r="K61" s="71">
        <f>Assm!$I$81</f>
        <v>0.5</v>
      </c>
      <c r="L61" s="71">
        <f>Assm!$I$81</f>
        <v>0.5</v>
      </c>
      <c r="M61" s="71">
        <f>Assm!$I$81</f>
        <v>0.5</v>
      </c>
      <c r="N61" s="71">
        <f>Assm!$I$81</f>
        <v>0.5</v>
      </c>
      <c r="O61" s="71">
        <f>Assm!$I$81</f>
        <v>0.5</v>
      </c>
      <c r="P61" s="71">
        <f>Assm!$I$81</f>
        <v>0.5</v>
      </c>
      <c r="Q61" s="71">
        <f>Assm!$I$81</f>
        <v>0.5</v>
      </c>
      <c r="R61" s="71">
        <f>Assm!$I$81</f>
        <v>0.5</v>
      </c>
      <c r="S61" s="71">
        <f>Assm!$I$81</f>
        <v>0.5</v>
      </c>
      <c r="T61" s="71">
        <f>Assm!$I$81</f>
        <v>0.5</v>
      </c>
      <c r="U61" s="71">
        <f>Assm!$I$81</f>
        <v>0.5</v>
      </c>
      <c r="V61" s="71">
        <f>Assm!$I$81</f>
        <v>0.5</v>
      </c>
      <c r="W61" s="71">
        <f>Assm!$I$81</f>
        <v>0.5</v>
      </c>
      <c r="X61" s="71">
        <f>Assm!$I$81</f>
        <v>0.5</v>
      </c>
      <c r="Y61" s="71">
        <f>Assm!$I$81</f>
        <v>0.5</v>
      </c>
      <c r="Z61" s="431"/>
    </row>
    <row r="62" spans="1:27" s="15" customFormat="1">
      <c r="A62" s="20" t="s">
        <v>613</v>
      </c>
      <c r="B62" s="44"/>
      <c r="C62" s="273" t="s">
        <v>614</v>
      </c>
      <c r="D62" s="37">
        <f t="shared" ref="D62:Y62" ca="1" si="18">D61*D60</f>
        <v>0</v>
      </c>
      <c r="E62" s="37">
        <f t="shared" ca="1" si="18"/>
        <v>-3289.0304739678713</v>
      </c>
      <c r="F62" s="37">
        <f t="shared" ca="1" si="18"/>
        <v>-1885.5664360971357</v>
      </c>
      <c r="G62" s="37">
        <f t="shared" ca="1" si="18"/>
        <v>-1505.7583814520115</v>
      </c>
      <c r="H62" s="37">
        <f t="shared" ca="1" si="18"/>
        <v>-825.83585166196826</v>
      </c>
      <c r="I62" s="37">
        <f t="shared" ca="1" si="18"/>
        <v>2042.8918366943517</v>
      </c>
      <c r="J62" s="37">
        <f t="shared" ca="1" si="18"/>
        <v>-3983.7823365338536</v>
      </c>
      <c r="K62" s="37">
        <f t="shared" ca="1" si="18"/>
        <v>7865.5715786840065</v>
      </c>
      <c r="L62" s="37">
        <f t="shared" ca="1" si="18"/>
        <v>8917.3419159967561</v>
      </c>
      <c r="M62" s="37">
        <f t="shared" ca="1" si="18"/>
        <v>8656.0373433405766</v>
      </c>
      <c r="N62" s="37">
        <f t="shared" ca="1" si="18"/>
        <v>7717.7267315853387</v>
      </c>
      <c r="O62" s="37">
        <f t="shared" ca="1" si="18"/>
        <v>8069.9621543512276</v>
      </c>
      <c r="P62" s="37">
        <f t="shared" ca="1" si="18"/>
        <v>9285.0234596331484</v>
      </c>
      <c r="Q62" s="37">
        <f t="shared" ca="1" si="18"/>
        <v>9687.4489688220365</v>
      </c>
      <c r="R62" s="37">
        <f t="shared" ca="1" si="18"/>
        <v>7154.6617709283846</v>
      </c>
      <c r="S62" s="37">
        <f t="shared" ca="1" si="18"/>
        <v>9425.0055945988679</v>
      </c>
      <c r="T62" s="37">
        <f t="shared" ca="1" si="18"/>
        <v>3584.931093732353</v>
      </c>
      <c r="U62" s="37">
        <f t="shared" ca="1" si="18"/>
        <v>-3747.6142569320032</v>
      </c>
      <c r="V62" s="37">
        <f t="shared" ca="1" si="18"/>
        <v>-5856.7838528478223</v>
      </c>
      <c r="W62" s="37">
        <f t="shared" ca="1" si="18"/>
        <v>-6554.6522655090394</v>
      </c>
      <c r="X62" s="37">
        <f t="shared" ca="1" si="18"/>
        <v>-5787.3064384596246</v>
      </c>
      <c r="Y62" s="37">
        <f t="shared" ca="1" si="18"/>
        <v>-1551.7374428088999</v>
      </c>
      <c r="Z62" s="435">
        <f ca="1">SUM(D62:Y62)</f>
        <v>47418.534712096807</v>
      </c>
    </row>
    <row r="63" spans="1:27" s="218" customFormat="1">
      <c r="A63" s="560"/>
      <c r="B63" s="272"/>
      <c r="D63" s="229"/>
      <c r="E63" s="229"/>
      <c r="F63" s="229"/>
      <c r="G63" s="229"/>
      <c r="H63" s="229"/>
      <c r="I63" s="229"/>
      <c r="J63" s="229"/>
      <c r="K63" s="229"/>
      <c r="L63" s="229"/>
      <c r="M63" s="229"/>
      <c r="N63" s="229"/>
      <c r="O63" s="229"/>
      <c r="P63" s="229"/>
      <c r="Q63" s="229"/>
      <c r="R63" s="229"/>
      <c r="S63" s="229"/>
      <c r="T63" s="229"/>
      <c r="U63" s="229"/>
      <c r="V63" s="229"/>
      <c r="W63" s="229"/>
      <c r="X63" s="229"/>
      <c r="Y63" s="229"/>
      <c r="Z63" s="429"/>
    </row>
    <row r="64" spans="1:27" s="15" customFormat="1" ht="13.5" thickBot="1">
      <c r="A64" s="48" t="s">
        <v>1036</v>
      </c>
      <c r="B64" s="562" t="s">
        <v>1819</v>
      </c>
      <c r="C64" s="378"/>
      <c r="D64" s="563">
        <f t="shared" ref="D64:Y64" ca="1" si="19">IF(D62&gt;D58,D58,MAX(D62,0))</f>
        <v>0</v>
      </c>
      <c r="E64" s="563">
        <f t="shared" ca="1" si="19"/>
        <v>0</v>
      </c>
      <c r="F64" s="563">
        <f t="shared" ca="1" si="19"/>
        <v>0</v>
      </c>
      <c r="G64" s="563">
        <f t="shared" ca="1" si="19"/>
        <v>0</v>
      </c>
      <c r="H64" s="563">
        <f t="shared" ca="1" si="19"/>
        <v>0</v>
      </c>
      <c r="I64" s="563">
        <f t="shared" ca="1" si="19"/>
        <v>2042.8918366943517</v>
      </c>
      <c r="J64" s="563">
        <f t="shared" ca="1" si="19"/>
        <v>0</v>
      </c>
      <c r="K64" s="563">
        <f t="shared" ca="1" si="19"/>
        <v>7865.5715786840065</v>
      </c>
      <c r="L64" s="563">
        <f t="shared" ca="1" si="19"/>
        <v>8917.3419159967561</v>
      </c>
      <c r="M64" s="563">
        <f t="shared" ca="1" si="19"/>
        <v>8656.0373433405766</v>
      </c>
      <c r="N64" s="563">
        <f t="shared" ca="1" si="19"/>
        <v>7717.7267315853387</v>
      </c>
      <c r="O64" s="563">
        <f t="shared" ca="1" si="19"/>
        <v>8069.9621543512276</v>
      </c>
      <c r="P64" s="563">
        <f t="shared" ca="1" si="19"/>
        <v>9279.3570204919088</v>
      </c>
      <c r="Q64" s="563">
        <f t="shared" ca="1" si="19"/>
        <v>9279.3570204919088</v>
      </c>
      <c r="R64" s="563">
        <f t="shared" ca="1" si="19"/>
        <v>7154.6617709283846</v>
      </c>
      <c r="S64" s="563">
        <f t="shared" ca="1" si="19"/>
        <v>9279.3570204919088</v>
      </c>
      <c r="T64" s="563">
        <f t="shared" ca="1" si="19"/>
        <v>3584.931093732353</v>
      </c>
      <c r="U64" s="563">
        <f t="shared" ca="1" si="19"/>
        <v>0</v>
      </c>
      <c r="V64" s="563">
        <f t="shared" ca="1" si="19"/>
        <v>0</v>
      </c>
      <c r="W64" s="563">
        <f t="shared" ca="1" si="19"/>
        <v>0</v>
      </c>
      <c r="X64" s="563">
        <f t="shared" ca="1" si="19"/>
        <v>0</v>
      </c>
      <c r="Y64" s="563">
        <f t="shared" ca="1" si="19"/>
        <v>0</v>
      </c>
      <c r="Z64" s="565">
        <f ca="1">SUM(D64:Y64)</f>
        <v>81847.195486788711</v>
      </c>
    </row>
  </sheetData>
  <printOptions horizontalCentered="1"/>
  <pageMargins left="0.25" right="0.25" top="0.5" bottom="0.5" header="0.25" footer="0.25"/>
  <pageSetup scale="44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AO90"/>
  <sheetViews>
    <sheetView showGridLines="0" zoomScale="90" workbookViewId="0">
      <selection activeCell="J28" sqref="J28"/>
    </sheetView>
  </sheetViews>
  <sheetFormatPr defaultRowHeight="12.75"/>
  <cols>
    <col min="1" max="1" width="30.7109375" style="15" customWidth="1"/>
    <col min="2" max="2" width="18.7109375" style="15" customWidth="1"/>
    <col min="3" max="3" width="3.7109375" style="15" customWidth="1"/>
    <col min="4" max="25" width="10.7109375" style="15" customWidth="1"/>
    <col min="26" max="26" width="11.7109375" style="15" customWidth="1"/>
    <col min="27" max="27" width="11.5703125" style="7" customWidth="1"/>
    <col min="28" max="16384" width="9.140625" style="7"/>
  </cols>
  <sheetData>
    <row r="1" spans="1:41" s="1" customFormat="1" ht="15.75">
      <c r="A1" s="1137" t="str">
        <f>CONCATENATE(TOC!B2," ",TOC!B6)</f>
        <v>EMPRESSA PRODUTORA DE ENERGÍA LTDA (EPE) *** DRAFT COPY ***</v>
      </c>
      <c r="AD1" s="15"/>
      <c r="AE1" s="15"/>
    </row>
    <row r="2" spans="1:41" s="1" customFormat="1" ht="15.75">
      <c r="A2" s="1137" t="str">
        <f>TOC!B3</f>
        <v>480 MW POWER PLANT (CUIABA, BRAZIL)</v>
      </c>
      <c r="AD2" s="15"/>
      <c r="AE2" s="15"/>
    </row>
    <row r="3" spans="1:41" s="1" customFormat="1" ht="15">
      <c r="A3" s="118" t="str">
        <f>TOC!B4</f>
        <v>ENRON INTERNATIONAL</v>
      </c>
      <c r="AD3" s="15"/>
      <c r="AE3" s="15"/>
    </row>
    <row r="4" spans="1:41" s="1" customFormat="1" ht="15">
      <c r="A4" s="932" t="s">
        <v>225</v>
      </c>
      <c r="AD4" s="15"/>
      <c r="AE4" s="15"/>
    </row>
    <row r="5" spans="1:41" customFormat="1" ht="13.5" thickBot="1">
      <c r="A5" s="15"/>
      <c r="B5" s="15"/>
      <c r="C5" s="1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"/>
      <c r="AA5" s="1"/>
      <c r="AB5" s="1"/>
      <c r="AC5" s="1"/>
      <c r="AD5" s="15"/>
      <c r="AE5" s="15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s="15" customFormat="1">
      <c r="A6" s="412" t="s">
        <v>443</v>
      </c>
      <c r="B6" s="11"/>
      <c r="C6" s="11"/>
      <c r="D6" s="11">
        <f>Rev_Exp!D6</f>
        <v>1</v>
      </c>
      <c r="E6" s="11">
        <f>Rev_Exp!E6</f>
        <v>2</v>
      </c>
      <c r="F6" s="11">
        <f>Rev_Exp!F6</f>
        <v>3</v>
      </c>
      <c r="G6" s="11">
        <f>Rev_Exp!G6</f>
        <v>4</v>
      </c>
      <c r="H6" s="11">
        <f>Rev_Exp!H6</f>
        <v>5</v>
      </c>
      <c r="I6" s="11">
        <f>Rev_Exp!I6</f>
        <v>6</v>
      </c>
      <c r="J6" s="11">
        <f>Rev_Exp!J6</f>
        <v>7</v>
      </c>
      <c r="K6" s="11">
        <f>Rev_Exp!K6</f>
        <v>8</v>
      </c>
      <c r="L6" s="11">
        <f>Rev_Exp!L6</f>
        <v>9</v>
      </c>
      <c r="M6" s="11">
        <f>Rev_Exp!M6</f>
        <v>10</v>
      </c>
      <c r="N6" s="11">
        <f>Rev_Exp!N6</f>
        <v>11</v>
      </c>
      <c r="O6" s="11">
        <f>Rev_Exp!O6</f>
        <v>12</v>
      </c>
      <c r="P6" s="11">
        <f>Rev_Exp!P6</f>
        <v>13</v>
      </c>
      <c r="Q6" s="11">
        <f>Rev_Exp!Q6</f>
        <v>14</v>
      </c>
      <c r="R6" s="11">
        <f>Rev_Exp!R6</f>
        <v>15</v>
      </c>
      <c r="S6" s="11">
        <f>Rev_Exp!S6</f>
        <v>16</v>
      </c>
      <c r="T6" s="11">
        <f>Rev_Exp!T6</f>
        <v>17</v>
      </c>
      <c r="U6" s="11">
        <f>Rev_Exp!U6</f>
        <v>18</v>
      </c>
      <c r="V6" s="11">
        <f>Rev_Exp!V6</f>
        <v>19</v>
      </c>
      <c r="W6" s="11">
        <f>Rev_Exp!W6</f>
        <v>20</v>
      </c>
      <c r="X6" s="11">
        <f>Rev_Exp!X6</f>
        <v>21</v>
      </c>
      <c r="Y6" s="11">
        <f>Rev_Exp!Y6</f>
        <v>22</v>
      </c>
      <c r="Z6" s="424"/>
    </row>
    <row r="7" spans="1:41" s="15" customFormat="1" ht="13.5" thickBot="1">
      <c r="A7" s="455" t="s">
        <v>444</v>
      </c>
      <c r="B7" s="49"/>
      <c r="C7" s="49"/>
      <c r="D7" s="213">
        <f>Rev_Exp!D7</f>
        <v>1998</v>
      </c>
      <c r="E7" s="213">
        <f>Rev_Exp!E7</f>
        <v>1999</v>
      </c>
      <c r="F7" s="213">
        <f>Rev_Exp!F7</f>
        <v>2000</v>
      </c>
      <c r="G7" s="213">
        <f>Rev_Exp!G7</f>
        <v>2001</v>
      </c>
      <c r="H7" s="213">
        <f>Rev_Exp!H7</f>
        <v>2002</v>
      </c>
      <c r="I7" s="213">
        <f>Rev_Exp!I7</f>
        <v>2003</v>
      </c>
      <c r="J7" s="213">
        <f>Rev_Exp!J7</f>
        <v>2004</v>
      </c>
      <c r="K7" s="213">
        <f>Rev_Exp!K7</f>
        <v>2005</v>
      </c>
      <c r="L7" s="213">
        <f>Rev_Exp!L7</f>
        <v>2006</v>
      </c>
      <c r="M7" s="213">
        <f>Rev_Exp!M7</f>
        <v>2007</v>
      </c>
      <c r="N7" s="213">
        <f>Rev_Exp!N7</f>
        <v>2008</v>
      </c>
      <c r="O7" s="213">
        <f>Rev_Exp!O7</f>
        <v>2009</v>
      </c>
      <c r="P7" s="213">
        <f>Rev_Exp!P7</f>
        <v>2010</v>
      </c>
      <c r="Q7" s="213">
        <f>Rev_Exp!Q7</f>
        <v>2011</v>
      </c>
      <c r="R7" s="213">
        <f>Rev_Exp!R7</f>
        <v>2012</v>
      </c>
      <c r="S7" s="213">
        <f>Rev_Exp!S7</f>
        <v>2013</v>
      </c>
      <c r="T7" s="213">
        <f>Rev_Exp!T7</f>
        <v>2014</v>
      </c>
      <c r="U7" s="213">
        <f>Rev_Exp!U7</f>
        <v>2015</v>
      </c>
      <c r="V7" s="213">
        <f>Rev_Exp!V7</f>
        <v>2016</v>
      </c>
      <c r="W7" s="213">
        <f>Rev_Exp!W7</f>
        <v>2017</v>
      </c>
      <c r="X7" s="213">
        <f>Rev_Exp!X7</f>
        <v>2018</v>
      </c>
      <c r="Y7" s="213">
        <f>Rev_Exp!Y7</f>
        <v>2019</v>
      </c>
      <c r="Z7" s="425" t="s">
        <v>565</v>
      </c>
    </row>
    <row r="8" spans="1:41" customFormat="1">
      <c r="A8" s="412"/>
      <c r="B8" s="15"/>
      <c r="C8" s="1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426"/>
      <c r="AA8" s="1"/>
      <c r="AB8" s="1"/>
      <c r="AC8" s="1"/>
      <c r="AD8" s="15"/>
      <c r="AE8" s="15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spans="1:41" s="15" customFormat="1">
      <c r="A9" s="20" t="s">
        <v>817</v>
      </c>
      <c r="D9" s="65">
        <f ca="1">Rev_Exp!D12</f>
        <v>0</v>
      </c>
      <c r="E9" s="65">
        <f ca="1">Rev_Exp!E12</f>
        <v>9</v>
      </c>
      <c r="F9" s="65">
        <f ca="1">Rev_Exp!F12</f>
        <v>12</v>
      </c>
      <c r="G9" s="65">
        <f ca="1">Rev_Exp!G12</f>
        <v>12</v>
      </c>
      <c r="H9" s="65">
        <f ca="1">Rev_Exp!H12</f>
        <v>12</v>
      </c>
      <c r="I9" s="65">
        <f ca="1">Rev_Exp!I12</f>
        <v>12</v>
      </c>
      <c r="J9" s="65">
        <f ca="1">Rev_Exp!J12</f>
        <v>12</v>
      </c>
      <c r="K9" s="65">
        <f ca="1">Rev_Exp!K12</f>
        <v>12</v>
      </c>
      <c r="L9" s="65">
        <f ca="1">Rev_Exp!L12</f>
        <v>12</v>
      </c>
      <c r="M9" s="65">
        <f ca="1">Rev_Exp!M12</f>
        <v>12</v>
      </c>
      <c r="N9" s="65">
        <f ca="1">Rev_Exp!N12</f>
        <v>12</v>
      </c>
      <c r="O9" s="65">
        <f ca="1">Rev_Exp!O12</f>
        <v>12</v>
      </c>
      <c r="P9" s="65">
        <f ca="1">Rev_Exp!P12</f>
        <v>12</v>
      </c>
      <c r="Q9" s="65">
        <f ca="1">Rev_Exp!Q12</f>
        <v>12</v>
      </c>
      <c r="R9" s="65">
        <f ca="1">Rev_Exp!R12</f>
        <v>12</v>
      </c>
      <c r="S9" s="65">
        <f ca="1">Rev_Exp!S12</f>
        <v>12</v>
      </c>
      <c r="T9" s="65">
        <f ca="1">Rev_Exp!T12</f>
        <v>12</v>
      </c>
      <c r="U9" s="65">
        <f ca="1">Rev_Exp!U12</f>
        <v>12</v>
      </c>
      <c r="V9" s="65">
        <f ca="1">Rev_Exp!V12</f>
        <v>12</v>
      </c>
      <c r="W9" s="65">
        <f ca="1">Rev_Exp!W12</f>
        <v>12</v>
      </c>
      <c r="X9" s="65">
        <f ca="1">Rev_Exp!X12</f>
        <v>12</v>
      </c>
      <c r="Y9" s="65">
        <f ca="1">Rev_Exp!Y12</f>
        <v>4</v>
      </c>
      <c r="Z9" s="431">
        <f ca="1">SUM(D9:Y9)</f>
        <v>241</v>
      </c>
    </row>
    <row r="10" spans="1:41">
      <c r="A10" s="20"/>
      <c r="Z10" s="430"/>
    </row>
    <row r="11" spans="1:41" s="15" customFormat="1">
      <c r="A11" s="27" t="s">
        <v>1947</v>
      </c>
      <c r="B11" s="3"/>
      <c r="Z11" s="430"/>
    </row>
    <row r="12" spans="1:41" s="15" customFormat="1">
      <c r="A12" s="128" t="s">
        <v>72</v>
      </c>
      <c r="B12" s="3"/>
      <c r="Z12" s="430"/>
    </row>
    <row r="13" spans="1:41" s="15" customFormat="1">
      <c r="A13" s="20" t="s">
        <v>73</v>
      </c>
      <c r="D13" s="37">
        <f ca="1">CF!D40</f>
        <v>0</v>
      </c>
      <c r="E13" s="37">
        <f ca="1">CF!E40</f>
        <v>-1884.683815190303</v>
      </c>
      <c r="F13" s="37">
        <f ca="1">CF!F40</f>
        <v>3833.7471296736844</v>
      </c>
      <c r="G13" s="37">
        <f ca="1">CF!G40</f>
        <v>24853.01972011711</v>
      </c>
      <c r="H13" s="37">
        <f ca="1">CF!H40</f>
        <v>38790.727566757436</v>
      </c>
      <c r="I13" s="37">
        <f ca="1">CF!I40</f>
        <v>43280.340043858057</v>
      </c>
      <c r="J13" s="37">
        <f ca="1">CF!J40</f>
        <v>29847.34770430826</v>
      </c>
      <c r="K13" s="37">
        <f ca="1">CF!K40</f>
        <v>51952.409885764719</v>
      </c>
      <c r="L13" s="37">
        <f ca="1">CF!L40</f>
        <v>52322.048075224928</v>
      </c>
      <c r="M13" s="37">
        <f ca="1">CF!M40</f>
        <v>49934.031614564294</v>
      </c>
      <c r="N13" s="37">
        <f ca="1">CF!N40</f>
        <v>46089.974758769531</v>
      </c>
      <c r="O13" s="37">
        <f ca="1">CF!O40</f>
        <v>44888.810180747132</v>
      </c>
      <c r="P13" s="37">
        <f ca="1">CF!P40</f>
        <v>45356.385269219871</v>
      </c>
      <c r="Q13" s="37">
        <f ca="1">CF!Q40</f>
        <v>44074.733972475493</v>
      </c>
      <c r="R13" s="37">
        <f ca="1">CF!R40</f>
        <v>36792.506934076999</v>
      </c>
      <c r="S13" s="37">
        <f ca="1">CF!S40</f>
        <v>39497.576043204674</v>
      </c>
      <c r="T13" s="37">
        <f ca="1">CF!T40</f>
        <v>26755.423656923886</v>
      </c>
      <c r="U13" s="37">
        <f ca="1">CF!U40</f>
        <v>11005.816868097498</v>
      </c>
      <c r="V13" s="37">
        <f ca="1">CF!V40</f>
        <v>6085.6504638310444</v>
      </c>
      <c r="W13" s="37">
        <f ca="1">CF!W40</f>
        <v>4689.9136385086094</v>
      </c>
      <c r="X13" s="37">
        <f ca="1">CF!X40</f>
        <v>6224.605292607439</v>
      </c>
      <c r="Y13" s="37">
        <f ca="1">CF!Y40</f>
        <v>2417.9522208909543</v>
      </c>
      <c r="Z13" s="435">
        <f t="shared" ref="Z13:Z21" ca="1" si="0">SUM(D13:Y13)</f>
        <v>606808.33722443145</v>
      </c>
    </row>
    <row r="14" spans="1:41" s="15" customFormat="1">
      <c r="A14" s="20" t="s">
        <v>701</v>
      </c>
      <c r="D14" s="37">
        <f ca="1">Trapped!F71</f>
        <v>0</v>
      </c>
      <c r="E14" s="37">
        <f ca="1">Trapped!G71</f>
        <v>6980.6776802610484</v>
      </c>
      <c r="F14" s="37">
        <f ca="1">Trapped!H71</f>
        <v>6871.2312926447939</v>
      </c>
      <c r="G14" s="37">
        <f ca="1">Trapped!I71</f>
        <v>-6051.3107061283908</v>
      </c>
      <c r="H14" s="37">
        <f ca="1">Trapped!J71</f>
        <v>-1119.6899058277095</v>
      </c>
      <c r="I14" s="37">
        <f ca="1">Trapped!K71</f>
        <v>-1214.3500249006493</v>
      </c>
      <c r="J14" s="37">
        <f ca="1">Trapped!L71</f>
        <v>5918.4018651183296</v>
      </c>
      <c r="K14" s="37">
        <f ca="1">Trapped!M71</f>
        <v>-1407.1024280841766</v>
      </c>
      <c r="L14" s="37">
        <f ca="1">Trapped!N71</f>
        <v>-3778.2223137264127</v>
      </c>
      <c r="M14" s="37">
        <f ca="1">Trapped!O71</f>
        <v>6730.3349227413992</v>
      </c>
      <c r="N14" s="37">
        <f ca="1">Trapped!P71</f>
        <v>6723.6374915484303</v>
      </c>
      <c r="O14" s="37">
        <f ca="1">Trapped!Q71</f>
        <v>-5855.5412578572896</v>
      </c>
      <c r="P14" s="37">
        <f ca="1">Trapped!R71</f>
        <v>-6006.1878381772904</v>
      </c>
      <c r="Q14" s="37">
        <f ca="1">Trapped!S71</f>
        <v>6703.1739669985318</v>
      </c>
      <c r="R14" s="37">
        <f ca="1">Trapped!T71</f>
        <v>6696.176546912503</v>
      </c>
      <c r="S14" s="37">
        <f ca="1">Trapped!U71</f>
        <v>-15731.406902417497</v>
      </c>
      <c r="T14" s="37">
        <f ca="1">Trapped!V71</f>
        <v>6681.6637286582363</v>
      </c>
      <c r="U14" s="37">
        <f ca="1">Trapped!W71</f>
        <v>6673.996840773224</v>
      </c>
      <c r="V14" s="37">
        <f ca="1">Trapped!X71</f>
        <v>-3831.0854180715532</v>
      </c>
      <c r="W14" s="37">
        <f ca="1">Trapped!Y71</f>
        <v>-14984.397540465536</v>
      </c>
      <c r="X14" s="37">
        <f ca="1">Trapped!Z71</f>
        <v>0</v>
      </c>
      <c r="Y14" s="37">
        <f ca="1">Trapped!AA71</f>
        <v>0</v>
      </c>
      <c r="Z14" s="435">
        <f ca="1">SUM(D14:Y14)</f>
        <v>-7.2759576141834259E-12</v>
      </c>
      <c r="AA14" s="251"/>
    </row>
    <row r="15" spans="1:41" s="15" customFormat="1">
      <c r="A15" s="20" t="s">
        <v>702</v>
      </c>
      <c r="D15" s="37">
        <f ca="1">Trapped!F87</f>
        <v>0</v>
      </c>
      <c r="E15" s="37">
        <f ca="1">Trapped!G87</f>
        <v>282.92822515128216</v>
      </c>
      <c r="F15" s="37">
        <f ca="1">Trapped!H87</f>
        <v>258.78895758710252</v>
      </c>
      <c r="G15" s="37">
        <f ca="1">Trapped!I87</f>
        <v>228.31991443469315</v>
      </c>
      <c r="H15" s="37">
        <f ca="1">Trapped!J87</f>
        <v>-121.78566158839891</v>
      </c>
      <c r="I15" s="37">
        <f ca="1">Trapped!K87</f>
        <v>-59.755935588470209</v>
      </c>
      <c r="J15" s="37">
        <f ca="1">Trapped!L87</f>
        <v>225.5209170072487</v>
      </c>
      <c r="K15" s="37">
        <f ca="1">Trapped!M87</f>
        <v>-234.5738076427823</v>
      </c>
      <c r="L15" s="37">
        <f ca="1">Trapped!N87</f>
        <v>74.673483401067472</v>
      </c>
      <c r="M15" s="37">
        <f ca="1">Trapped!O87</f>
        <v>217.54696632663806</v>
      </c>
      <c r="N15" s="37">
        <f ca="1">Trapped!P87</f>
        <v>214.52779623528943</v>
      </c>
      <c r="O15" s="37">
        <f ca="1">Trapped!Q87</f>
        <v>-236.48393776387684</v>
      </c>
      <c r="P15" s="37">
        <f ca="1">Trapped!R87</f>
        <v>-177.44731602093702</v>
      </c>
      <c r="Q15" s="37">
        <f ca="1">Trapped!S87</f>
        <v>204.6046056544385</v>
      </c>
      <c r="R15" s="37">
        <f ca="1">Trapped!T87</f>
        <v>200.78936962346393</v>
      </c>
      <c r="S15" s="37">
        <f ca="1">Trapped!U87</f>
        <v>-662.07069450338088</v>
      </c>
      <c r="T15" s="37">
        <f ca="1">Trapped!V87</f>
        <v>192.47298106995899</v>
      </c>
      <c r="U15" s="37">
        <f ca="1">Trapped!W87</f>
        <v>188.07366958778329</v>
      </c>
      <c r="V15" s="37">
        <f ca="1">Trapped!X87</f>
        <v>-438.96249323616928</v>
      </c>
      <c r="W15" s="37">
        <f ca="1">Trapped!Y87</f>
        <v>-357.16703973495169</v>
      </c>
      <c r="X15" s="37">
        <f ca="1">Trapped!Z87</f>
        <v>0</v>
      </c>
      <c r="Y15" s="37">
        <f ca="1">Trapped!AA87</f>
        <v>0</v>
      </c>
      <c r="Z15" s="435">
        <f ca="1">SUM(D15:Y15)</f>
        <v>-5.6843418860808015E-13</v>
      </c>
      <c r="AA15" s="251"/>
    </row>
    <row r="16" spans="1:41" s="218" customFormat="1">
      <c r="A16" s="560" t="s">
        <v>74</v>
      </c>
      <c r="D16" s="37">
        <f ca="1">-Depr!G29</f>
        <v>0</v>
      </c>
      <c r="E16" s="37">
        <f ca="1">-Depr!H29</f>
        <v>-3704.810550000906</v>
      </c>
      <c r="F16" s="37">
        <f ca="1">-Depr!I29</f>
        <v>-4939.747400001208</v>
      </c>
      <c r="G16" s="37">
        <f ca="1">-Depr!J29</f>
        <v>-12563.799394949307</v>
      </c>
      <c r="H16" s="37">
        <f ca="1">-Depr!K29</f>
        <v>-17799.218169526688</v>
      </c>
      <c r="I16" s="37">
        <f ca="1">-Depr!L29</f>
        <v>-17799.218169526688</v>
      </c>
      <c r="J16" s="37">
        <f ca="1">-Depr!M29</f>
        <v>-17799.218169526688</v>
      </c>
      <c r="K16" s="37">
        <f ca="1">-Depr!N29</f>
        <v>-17799.218169526688</v>
      </c>
      <c r="L16" s="37">
        <f ca="1">-Depr!O29</f>
        <v>-17799.218169526688</v>
      </c>
      <c r="M16" s="37">
        <f ca="1">-Depr!P29</f>
        <v>-17799.218169526688</v>
      </c>
      <c r="N16" s="37">
        <f ca="1">-Depr!Q29</f>
        <v>-17799.218169526688</v>
      </c>
      <c r="O16" s="37">
        <f ca="1">-Depr!R29</f>
        <v>-17799.218169526688</v>
      </c>
      <c r="P16" s="37">
        <f ca="1">-Depr!S29</f>
        <v>-17799.218169526688</v>
      </c>
      <c r="Q16" s="37">
        <f ca="1">-Depr!T29</f>
        <v>-17799.218169526688</v>
      </c>
      <c r="R16" s="37">
        <f ca="1">-Depr!U29</f>
        <v>-17799.218169526688</v>
      </c>
      <c r="S16" s="37">
        <f ca="1">-Depr!V29</f>
        <v>-17799.218169526688</v>
      </c>
      <c r="T16" s="37">
        <f ca="1">-Depr!W29</f>
        <v>-17799.218169526688</v>
      </c>
      <c r="U16" s="37">
        <f ca="1">-Depr!X29</f>
        <v>-17799.218169526688</v>
      </c>
      <c r="V16" s="37">
        <f ca="1">-Depr!Y29</f>
        <v>-17799.218169526688</v>
      </c>
      <c r="W16" s="37">
        <f ca="1">-Depr!Z29</f>
        <v>-17799.218169526688</v>
      </c>
      <c r="X16" s="37">
        <f ca="1">-Depr!AA29</f>
        <v>-17799.218169526688</v>
      </c>
      <c r="Y16" s="37">
        <f ca="1">-Depr!AB29</f>
        <v>-5521.4271065087542</v>
      </c>
      <c r="Z16" s="435">
        <f t="shared" ca="1" si="0"/>
        <v>-329316.49333341385</v>
      </c>
    </row>
    <row r="17" spans="1:27" s="218" customFormat="1">
      <c r="A17" s="20" t="s">
        <v>118</v>
      </c>
      <c r="D17" s="37">
        <f ca="1">CF!D44</f>
        <v>0</v>
      </c>
      <c r="E17" s="37">
        <f ca="1">CF!E44</f>
        <v>0</v>
      </c>
      <c r="F17" s="37">
        <f ca="1">CF!F44</f>
        <v>0</v>
      </c>
      <c r="G17" s="37">
        <f ca="1">CF!G44</f>
        <v>-6866.1388759198016</v>
      </c>
      <c r="H17" s="37">
        <f ca="1">CF!H44</f>
        <v>-16245.84906951103</v>
      </c>
      <c r="I17" s="37">
        <f ca="1">CF!I44</f>
        <v>-15297.114554345853</v>
      </c>
      <c r="J17" s="37">
        <f ca="1">CF!J44</f>
        <v>-14256.726768601686</v>
      </c>
      <c r="K17" s="37">
        <f ca="1">CF!K44</f>
        <v>-13047.87399140309</v>
      </c>
      <c r="L17" s="37">
        <f ca="1">CF!L44</f>
        <v>-11750.413201233227</v>
      </c>
      <c r="M17" s="37">
        <f ca="1">CF!M44</f>
        <v>-10380.028967391143</v>
      </c>
      <c r="N17" s="37">
        <f ca="1">CF!N44</f>
        <v>-8974.0608897282127</v>
      </c>
      <c r="O17" s="37">
        <f ca="1">CF!O44</f>
        <v>-7705.2560033144437</v>
      </c>
      <c r="P17" s="37">
        <f ca="1">CF!P44</f>
        <v>-6465.0175972114193</v>
      </c>
      <c r="Q17" s="37">
        <f ca="1">CF!Q44</f>
        <v>-5197.776339170844</v>
      </c>
      <c r="R17" s="37">
        <f ca="1">CF!R44</f>
        <v>-3910.3500690280061</v>
      </c>
      <c r="S17" s="37">
        <f ca="1">CF!S44</f>
        <v>-2848.3466844802488</v>
      </c>
      <c r="T17" s="37">
        <f ca="1">CF!T44</f>
        <v>-1786.3432999324914</v>
      </c>
      <c r="U17" s="37">
        <f ca="1">CF!U44</f>
        <v>-701.82721243481615</v>
      </c>
      <c r="V17" s="37">
        <f ca="1">CF!V44</f>
        <v>0</v>
      </c>
      <c r="W17" s="37">
        <f ca="1">CF!W44</f>
        <v>0</v>
      </c>
      <c r="X17" s="37">
        <f ca="1">CF!X44</f>
        <v>0</v>
      </c>
      <c r="Y17" s="37">
        <f ca="1">CF!Y44</f>
        <v>0</v>
      </c>
      <c r="Z17" s="435">
        <f t="shared" ca="1" si="0"/>
        <v>-125433.12352370631</v>
      </c>
    </row>
    <row r="18" spans="1:27" s="218" customFormat="1">
      <c r="A18" s="20" t="s">
        <v>119</v>
      </c>
      <c r="D18" s="37">
        <f ca="1">CF!D45</f>
        <v>0</v>
      </c>
      <c r="E18" s="37">
        <f ca="1">CF!E45</f>
        <v>0</v>
      </c>
      <c r="F18" s="37">
        <f ca="1">CF!F45</f>
        <v>0</v>
      </c>
      <c r="G18" s="37">
        <f ca="1">CF!G45</f>
        <v>-2694.7815414410948</v>
      </c>
      <c r="H18" s="37">
        <f ca="1">CF!H45</f>
        <v>-6397.3320310436538</v>
      </c>
      <c r="I18" s="37">
        <f ca="1">CF!I45</f>
        <v>-6098.2236465968126</v>
      </c>
      <c r="J18" s="37">
        <f ca="1">CF!J45</f>
        <v>-5758.9674392475936</v>
      </c>
      <c r="K18" s="37">
        <f ca="1">CF!K45</f>
        <v>-5374.1745674669255</v>
      </c>
      <c r="L18" s="37">
        <f ca="1">CF!L45</f>
        <v>-4937.732872471498</v>
      </c>
      <c r="M18" s="37">
        <f ca="1">CF!M45</f>
        <v>-4442.7097909653094</v>
      </c>
      <c r="N18" s="37">
        <f ca="1">CF!N45</f>
        <v>-3881.2422363439537</v>
      </c>
      <c r="O18" s="37">
        <f ca="1">CF!O45</f>
        <v>-3244.4116992035456</v>
      </c>
      <c r="P18" s="37">
        <f ca="1">CF!P45</f>
        <v>-2522.1025832154669</v>
      </c>
      <c r="Q18" s="37">
        <f ca="1">CF!Q45</f>
        <v>-1702.8415261338889</v>
      </c>
      <c r="R18" s="37">
        <f ca="1">CF!R45</f>
        <v>-773.61515366553658</v>
      </c>
      <c r="S18" s="37">
        <f ca="1">CF!S45</f>
        <v>0</v>
      </c>
      <c r="T18" s="37">
        <f ca="1">CF!T45</f>
        <v>0</v>
      </c>
      <c r="U18" s="37">
        <f ca="1">CF!U45</f>
        <v>0</v>
      </c>
      <c r="V18" s="37">
        <f ca="1">CF!V45</f>
        <v>0</v>
      </c>
      <c r="W18" s="37">
        <f ca="1">CF!W45</f>
        <v>0</v>
      </c>
      <c r="X18" s="37">
        <f ca="1">CF!X45</f>
        <v>0</v>
      </c>
      <c r="Y18" s="37">
        <f ca="1">CF!Y45</f>
        <v>0</v>
      </c>
      <c r="Z18" s="435">
        <f t="shared" ca="1" si="0"/>
        <v>-47828.135087795286</v>
      </c>
    </row>
    <row r="19" spans="1:27" s="218" customFormat="1">
      <c r="A19" s="20" t="s">
        <v>83</v>
      </c>
      <c r="D19" s="37">
        <f ca="1">CF!D46</f>
        <v>0</v>
      </c>
      <c r="E19" s="37">
        <f ca="1">CF!E46</f>
        <v>-988.56658274453355</v>
      </c>
      <c r="F19" s="37">
        <f ca="1">CF!F46</f>
        <v>-2665.1326018667478</v>
      </c>
      <c r="G19" s="37">
        <f ca="1">CF!G46</f>
        <v>-5739.8166707109303</v>
      </c>
      <c r="H19" s="37">
        <f ca="1">CF!H46</f>
        <v>0</v>
      </c>
      <c r="I19" s="37">
        <f ca="1">CF!I46</f>
        <v>0</v>
      </c>
      <c r="J19" s="37">
        <f ca="1">CF!J46</f>
        <v>0</v>
      </c>
      <c r="K19" s="37">
        <f ca="1">CF!K46</f>
        <v>0</v>
      </c>
      <c r="L19" s="37">
        <f ca="1">CF!L46</f>
        <v>0</v>
      </c>
      <c r="M19" s="37">
        <f ca="1">CF!M46</f>
        <v>0</v>
      </c>
      <c r="N19" s="37">
        <f ca="1">CF!N46</f>
        <v>0</v>
      </c>
      <c r="O19" s="37">
        <f ca="1">CF!O46</f>
        <v>0</v>
      </c>
      <c r="P19" s="37">
        <f ca="1">CF!P46</f>
        <v>0</v>
      </c>
      <c r="Q19" s="37">
        <f ca="1">CF!Q46</f>
        <v>0</v>
      </c>
      <c r="R19" s="37">
        <f ca="1">CF!R46</f>
        <v>0</v>
      </c>
      <c r="S19" s="37">
        <f ca="1">CF!S46</f>
        <v>0</v>
      </c>
      <c r="T19" s="37">
        <f ca="1">CF!T46</f>
        <v>0</v>
      </c>
      <c r="U19" s="37">
        <f ca="1">CF!U46</f>
        <v>0</v>
      </c>
      <c r="V19" s="37">
        <f ca="1">CF!V46</f>
        <v>0</v>
      </c>
      <c r="W19" s="37">
        <f ca="1">CF!W46</f>
        <v>0</v>
      </c>
      <c r="X19" s="37">
        <f ca="1">CF!X46</f>
        <v>0</v>
      </c>
      <c r="Y19" s="37">
        <f ca="1">CF!Y46</f>
        <v>0</v>
      </c>
      <c r="Z19" s="435">
        <f ca="1">SUM(D19:Y19)</f>
        <v>-9393.5158553222118</v>
      </c>
    </row>
    <row r="20" spans="1:27" s="218" customFormat="1">
      <c r="A20" s="20" t="s">
        <v>667</v>
      </c>
      <c r="D20" s="142">
        <f ca="1">CF!D49</f>
        <v>0</v>
      </c>
      <c r="E20" s="142">
        <f ca="1">CF!E49</f>
        <v>0</v>
      </c>
      <c r="F20" s="142">
        <f ca="1">CF!F49</f>
        <v>0</v>
      </c>
      <c r="G20" s="142">
        <f ca="1">CF!G49</f>
        <v>0</v>
      </c>
      <c r="H20" s="142">
        <f ca="1">CF!H49</f>
        <v>0</v>
      </c>
      <c r="I20" s="142">
        <f ca="1">CF!I49</f>
        <v>-2042.8918366943517</v>
      </c>
      <c r="J20" s="142">
        <f ca="1">CF!J49</f>
        <v>0</v>
      </c>
      <c r="K20" s="142">
        <f ca="1">CF!K49</f>
        <v>-7865.5715786840065</v>
      </c>
      <c r="L20" s="142">
        <f ca="1">CF!L49</f>
        <v>-8917.3419159967561</v>
      </c>
      <c r="M20" s="142">
        <f ca="1">CF!M49</f>
        <v>-8656.0373433405766</v>
      </c>
      <c r="N20" s="142">
        <f ca="1">CF!N49</f>
        <v>-7717.7267315853387</v>
      </c>
      <c r="O20" s="142">
        <f ca="1">CF!O49</f>
        <v>-8069.9621543512276</v>
      </c>
      <c r="P20" s="142">
        <f ca="1">CF!P49</f>
        <v>-9279.3570204919088</v>
      </c>
      <c r="Q20" s="142">
        <f ca="1">CF!Q49</f>
        <v>-9279.3570204919088</v>
      </c>
      <c r="R20" s="142">
        <f ca="1">CF!R49</f>
        <v>-7154.6617709283846</v>
      </c>
      <c r="S20" s="142">
        <f ca="1">CF!S49</f>
        <v>-9279.3570204919088</v>
      </c>
      <c r="T20" s="142">
        <f ca="1">CF!T49</f>
        <v>-3584.931093732353</v>
      </c>
      <c r="U20" s="142">
        <f ca="1">CF!U49</f>
        <v>0</v>
      </c>
      <c r="V20" s="142">
        <f ca="1">CF!V49</f>
        <v>0</v>
      </c>
      <c r="W20" s="142">
        <f ca="1">CF!W49</f>
        <v>0</v>
      </c>
      <c r="X20" s="142">
        <f ca="1">CF!X49</f>
        <v>0</v>
      </c>
      <c r="Y20" s="142">
        <f ca="1">CF!Y49</f>
        <v>0</v>
      </c>
      <c r="Z20" s="436">
        <f t="shared" ca="1" si="0"/>
        <v>-81847.195486788711</v>
      </c>
    </row>
    <row r="21" spans="1:27" s="15" customFormat="1">
      <c r="A21" s="20" t="s">
        <v>75</v>
      </c>
      <c r="D21" s="37">
        <f ca="1">SUM(D13:D20)</f>
        <v>0</v>
      </c>
      <c r="E21" s="37">
        <f t="shared" ref="E21:Y21" ca="1" si="1">SUM(E13:E20)</f>
        <v>685.54495747658814</v>
      </c>
      <c r="F21" s="37">
        <f t="shared" ca="1" si="1"/>
        <v>3358.8873780376252</v>
      </c>
      <c r="G21" s="37">
        <f t="shared" ca="1" si="1"/>
        <v>-8834.5075545977197</v>
      </c>
      <c r="H21" s="37">
        <f t="shared" ca="1" si="1"/>
        <v>-2893.1472707400499</v>
      </c>
      <c r="I21" s="37">
        <f t="shared" ca="1" si="1"/>
        <v>768.78587620523194</v>
      </c>
      <c r="J21" s="37">
        <f t="shared" ca="1" si="1"/>
        <v>-1823.64189094213</v>
      </c>
      <c r="K21" s="37">
        <f t="shared" ca="1" si="1"/>
        <v>6223.895342957052</v>
      </c>
      <c r="L21" s="37">
        <f t="shared" ca="1" si="1"/>
        <v>5213.7930856714083</v>
      </c>
      <c r="M21" s="37">
        <f t="shared" ca="1" si="1"/>
        <v>15603.919232408622</v>
      </c>
      <c r="N21" s="37">
        <f t="shared" ca="1" si="1"/>
        <v>14655.892019369065</v>
      </c>
      <c r="O21" s="37">
        <f t="shared" ca="1" si="1"/>
        <v>1977.9369587300625</v>
      </c>
      <c r="P21" s="37">
        <f t="shared" ca="1" si="1"/>
        <v>3107.0547445761586</v>
      </c>
      <c r="Q21" s="37">
        <f t="shared" ca="1" si="1"/>
        <v>17003.319489805137</v>
      </c>
      <c r="R21" s="37">
        <f t="shared" ca="1" si="1"/>
        <v>14051.627687464344</v>
      </c>
      <c r="S21" s="37">
        <f t="shared" ca="1" si="1"/>
        <v>-6822.8234282150506</v>
      </c>
      <c r="T21" s="37">
        <f t="shared" ca="1" si="1"/>
        <v>10459.067803460544</v>
      </c>
      <c r="U21" s="37">
        <f t="shared" ca="1" si="1"/>
        <v>-633.15800350299946</v>
      </c>
      <c r="V21" s="37">
        <f t="shared" ca="1" si="1"/>
        <v>-15983.615617003366</v>
      </c>
      <c r="W21" s="37">
        <f t="shared" ca="1" si="1"/>
        <v>-28450.869111218566</v>
      </c>
      <c r="X21" s="37">
        <f t="shared" ca="1" si="1"/>
        <v>-11574.612876919249</v>
      </c>
      <c r="Y21" s="37">
        <f t="shared" ca="1" si="1"/>
        <v>-3103.4748856177998</v>
      </c>
      <c r="Z21" s="435">
        <f t="shared" ca="1" si="0"/>
        <v>12989.873937404915</v>
      </c>
    </row>
    <row r="22" spans="1:27" s="15" customFormat="1">
      <c r="A22" s="20" t="s">
        <v>1937</v>
      </c>
      <c r="B22" s="34" t="s">
        <v>1939</v>
      </c>
      <c r="D22" s="142">
        <f ca="1">-D28</f>
        <v>0</v>
      </c>
      <c r="E22" s="142">
        <f t="shared" ref="E22:Y22" ca="1" si="2">-E28</f>
        <v>0</v>
      </c>
      <c r="F22" s="142">
        <f t="shared" ca="1" si="2"/>
        <v>0</v>
      </c>
      <c r="G22" s="142">
        <f t="shared" ca="1" si="2"/>
        <v>0</v>
      </c>
      <c r="H22" s="142">
        <f t="shared" ca="1" si="2"/>
        <v>0</v>
      </c>
      <c r="I22" s="142">
        <f t="shared" ca="1" si="2"/>
        <v>-230.63576286156956</v>
      </c>
      <c r="J22" s="142">
        <f t="shared" ca="1" si="2"/>
        <v>0</v>
      </c>
      <c r="K22" s="142">
        <f t="shared" ca="1" si="2"/>
        <v>-1867.1686028871154</v>
      </c>
      <c r="L22" s="142">
        <f t="shared" ca="1" si="2"/>
        <v>-1564.1379257014225</v>
      </c>
      <c r="M22" s="142">
        <f t="shared" ca="1" si="2"/>
        <v>-4681.1757697225867</v>
      </c>
      <c r="N22" s="142">
        <f t="shared" ca="1" si="2"/>
        <v>-4396.767605810719</v>
      </c>
      <c r="O22" s="142">
        <f t="shared" ca="1" si="2"/>
        <v>-593.38108761901879</v>
      </c>
      <c r="P22" s="142">
        <f t="shared" ca="1" si="2"/>
        <v>-218.02996167746676</v>
      </c>
      <c r="Q22" s="142">
        <f t="shared" ca="1" si="2"/>
        <v>0</v>
      </c>
      <c r="R22" s="142">
        <f t="shared" ca="1" si="2"/>
        <v>0</v>
      </c>
      <c r="S22" s="142">
        <f t="shared" ca="1" si="2"/>
        <v>0</v>
      </c>
      <c r="T22" s="142">
        <f t="shared" ca="1" si="2"/>
        <v>-3137.720341038163</v>
      </c>
      <c r="U22" s="142">
        <f t="shared" ca="1" si="2"/>
        <v>0</v>
      </c>
      <c r="V22" s="142">
        <f t="shared" ca="1" si="2"/>
        <v>0</v>
      </c>
      <c r="W22" s="142">
        <f t="shared" ca="1" si="2"/>
        <v>0</v>
      </c>
      <c r="X22" s="142">
        <f t="shared" ca="1" si="2"/>
        <v>0</v>
      </c>
      <c r="Y22" s="142">
        <f t="shared" ca="1" si="2"/>
        <v>0</v>
      </c>
      <c r="Z22" s="436"/>
    </row>
    <row r="23" spans="1:27" s="15" customFormat="1">
      <c r="A23" s="20" t="s">
        <v>1940</v>
      </c>
      <c r="D23" s="37">
        <f t="shared" ref="D23:Y23" ca="1" si="3">IF(D21&lt;0,0,SUM(D21:D22))</f>
        <v>0</v>
      </c>
      <c r="E23" s="37">
        <f t="shared" ca="1" si="3"/>
        <v>685.54495747658814</v>
      </c>
      <c r="F23" s="37">
        <f t="shared" ca="1" si="3"/>
        <v>3358.8873780376252</v>
      </c>
      <c r="G23" s="37">
        <f t="shared" ca="1" si="3"/>
        <v>0</v>
      </c>
      <c r="H23" s="37">
        <f t="shared" ca="1" si="3"/>
        <v>0</v>
      </c>
      <c r="I23" s="37">
        <f t="shared" ca="1" si="3"/>
        <v>538.15011334366238</v>
      </c>
      <c r="J23" s="37">
        <f t="shared" ca="1" si="3"/>
        <v>0</v>
      </c>
      <c r="K23" s="37">
        <f t="shared" ca="1" si="3"/>
        <v>4356.7267400699366</v>
      </c>
      <c r="L23" s="37">
        <f t="shared" ca="1" si="3"/>
        <v>3649.655159969986</v>
      </c>
      <c r="M23" s="37">
        <f t="shared" ca="1" si="3"/>
        <v>10922.743462686034</v>
      </c>
      <c r="N23" s="37">
        <f t="shared" ca="1" si="3"/>
        <v>10259.124413558346</v>
      </c>
      <c r="O23" s="37">
        <f t="shared" ca="1" si="3"/>
        <v>1384.5558711110439</v>
      </c>
      <c r="P23" s="37">
        <f t="shared" ca="1" si="3"/>
        <v>2889.0247828986917</v>
      </c>
      <c r="Q23" s="37">
        <f t="shared" ca="1" si="3"/>
        <v>17003.319489805137</v>
      </c>
      <c r="R23" s="37">
        <f t="shared" ca="1" si="3"/>
        <v>14051.627687464344</v>
      </c>
      <c r="S23" s="37">
        <f t="shared" ca="1" si="3"/>
        <v>0</v>
      </c>
      <c r="T23" s="37">
        <f t="shared" ca="1" si="3"/>
        <v>7321.3474624223818</v>
      </c>
      <c r="U23" s="37">
        <f t="shared" ca="1" si="3"/>
        <v>0</v>
      </c>
      <c r="V23" s="37">
        <f t="shared" ca="1" si="3"/>
        <v>0</v>
      </c>
      <c r="W23" s="37">
        <f t="shared" ca="1" si="3"/>
        <v>0</v>
      </c>
      <c r="X23" s="37">
        <f t="shared" ca="1" si="3"/>
        <v>0</v>
      </c>
      <c r="Y23" s="37">
        <f t="shared" ca="1" si="3"/>
        <v>0</v>
      </c>
      <c r="Z23" s="435">
        <f ca="1">SUM(D23:Y23)</f>
        <v>76420.707518843788</v>
      </c>
      <c r="AA23" s="218"/>
    </row>
    <row r="24" spans="1:27" s="218" customFormat="1">
      <c r="A24" s="560"/>
      <c r="Z24" s="427"/>
    </row>
    <row r="25" spans="1:27" s="218" customFormat="1">
      <c r="A25" s="1171" t="s">
        <v>254</v>
      </c>
      <c r="Z25" s="427"/>
    </row>
    <row r="26" spans="1:27" s="15" customFormat="1">
      <c r="A26" s="20" t="s">
        <v>1936</v>
      </c>
      <c r="D26" s="766">
        <v>0</v>
      </c>
      <c r="E26" s="37">
        <f t="shared" ref="E26:Y26" ca="1" si="4">D29</f>
        <v>0</v>
      </c>
      <c r="F26" s="37">
        <f t="shared" ca="1" si="4"/>
        <v>0</v>
      </c>
      <c r="G26" s="37">
        <f t="shared" ca="1" si="4"/>
        <v>0</v>
      </c>
      <c r="H26" s="37">
        <f t="shared" ca="1" si="4"/>
        <v>0</v>
      </c>
      <c r="I26" s="37">
        <f t="shared" ca="1" si="4"/>
        <v>-8834.5075545977197</v>
      </c>
      <c r="J26" s="37">
        <f t="shared" ca="1" si="4"/>
        <v>-11497.0190624762</v>
      </c>
      <c r="K26" s="37">
        <f t="shared" ca="1" si="4"/>
        <v>-11497.0190624762</v>
      </c>
      <c r="L26" s="37">
        <f t="shared" ca="1" si="4"/>
        <v>-11453.492350531214</v>
      </c>
      <c r="M26" s="37">
        <f t="shared" ca="1" si="4"/>
        <v>-9889.3544248297912</v>
      </c>
      <c r="N26" s="37">
        <f t="shared" ca="1" si="4"/>
        <v>-5208.1786551072046</v>
      </c>
      <c r="O26" s="37">
        <f t="shared" ca="1" si="4"/>
        <v>-811.41104929648554</v>
      </c>
      <c r="P26" s="37">
        <f t="shared" ca="1" si="4"/>
        <v>-218.02996167746676</v>
      </c>
      <c r="Q26" s="37">
        <f t="shared" ca="1" si="4"/>
        <v>0</v>
      </c>
      <c r="R26" s="37">
        <f t="shared" ca="1" si="4"/>
        <v>0</v>
      </c>
      <c r="S26" s="37">
        <f t="shared" ca="1" si="4"/>
        <v>0</v>
      </c>
      <c r="T26" s="37">
        <f t="shared" ca="1" si="4"/>
        <v>0</v>
      </c>
      <c r="U26" s="37">
        <f t="shared" ca="1" si="4"/>
        <v>-3685.1030871768876</v>
      </c>
      <c r="V26" s="37">
        <f t="shared" ca="1" si="4"/>
        <v>-3685.1030871768876</v>
      </c>
      <c r="W26" s="37">
        <f t="shared" ca="1" si="4"/>
        <v>-4318.2610906798873</v>
      </c>
      <c r="X26" s="37">
        <f t="shared" ca="1" si="4"/>
        <v>-20301.876707683252</v>
      </c>
      <c r="Y26" s="37">
        <f t="shared" ca="1" si="4"/>
        <v>-48752.745818901822</v>
      </c>
      <c r="Z26" s="435">
        <f>D26</f>
        <v>0</v>
      </c>
    </row>
    <row r="27" spans="1:27" s="15" customFormat="1">
      <c r="A27" s="20" t="s">
        <v>607</v>
      </c>
      <c r="D27" s="37">
        <f>IF(C21&lt;0,C21,0)</f>
        <v>0</v>
      </c>
      <c r="E27" s="37">
        <f t="shared" ref="E27:Y27" ca="1" si="5">IF(D21&lt;0,D21,0)</f>
        <v>0</v>
      </c>
      <c r="F27" s="37">
        <f t="shared" ca="1" si="5"/>
        <v>0</v>
      </c>
      <c r="G27" s="37">
        <f t="shared" ca="1" si="5"/>
        <v>0</v>
      </c>
      <c r="H27" s="37">
        <f t="shared" ca="1" si="5"/>
        <v>-8834.5075545977197</v>
      </c>
      <c r="I27" s="37">
        <f t="shared" ca="1" si="5"/>
        <v>-2893.1472707400499</v>
      </c>
      <c r="J27" s="37">
        <f t="shared" ca="1" si="5"/>
        <v>0</v>
      </c>
      <c r="K27" s="37">
        <f t="shared" ca="1" si="5"/>
        <v>-1823.64189094213</v>
      </c>
      <c r="L27" s="37">
        <f t="shared" ca="1" si="5"/>
        <v>0</v>
      </c>
      <c r="M27" s="37">
        <f t="shared" ca="1" si="5"/>
        <v>0</v>
      </c>
      <c r="N27" s="37">
        <f t="shared" ca="1" si="5"/>
        <v>0</v>
      </c>
      <c r="O27" s="37">
        <f t="shared" ca="1" si="5"/>
        <v>0</v>
      </c>
      <c r="P27" s="37">
        <f t="shared" ca="1" si="5"/>
        <v>0</v>
      </c>
      <c r="Q27" s="37">
        <f t="shared" ca="1" si="5"/>
        <v>0</v>
      </c>
      <c r="R27" s="37">
        <f t="shared" ca="1" si="5"/>
        <v>0</v>
      </c>
      <c r="S27" s="37">
        <f t="shared" ca="1" si="5"/>
        <v>0</v>
      </c>
      <c r="T27" s="37">
        <f t="shared" ca="1" si="5"/>
        <v>-6822.8234282150506</v>
      </c>
      <c r="U27" s="37">
        <f t="shared" ca="1" si="5"/>
        <v>0</v>
      </c>
      <c r="V27" s="37">
        <f t="shared" ca="1" si="5"/>
        <v>-633.15800350299946</v>
      </c>
      <c r="W27" s="37">
        <f t="shared" ca="1" si="5"/>
        <v>-15983.615617003366</v>
      </c>
      <c r="X27" s="37">
        <f t="shared" ca="1" si="5"/>
        <v>-28450.869111218566</v>
      </c>
      <c r="Y27" s="37">
        <f t="shared" ca="1" si="5"/>
        <v>-11574.612876919249</v>
      </c>
      <c r="Z27" s="435">
        <f ca="1">SUM(D27:Y27)</f>
        <v>-77016.375753139131</v>
      </c>
    </row>
    <row r="28" spans="1:27" s="15" customFormat="1">
      <c r="A28" s="20" t="s">
        <v>1937</v>
      </c>
      <c r="B28" s="34" t="str">
        <f>CONCATENATE("Capped @ ",TEXT(Nol,"0%"))</f>
        <v>Capped @ 30%</v>
      </c>
      <c r="D28" s="142">
        <f t="shared" ref="D28:Y28" ca="1" si="6">IF(D21&gt;0,-MAX(-Nol*D21,SUM(D26:D27)),0)</f>
        <v>0</v>
      </c>
      <c r="E28" s="142">
        <f t="shared" ca="1" si="6"/>
        <v>0</v>
      </c>
      <c r="F28" s="142">
        <f t="shared" ca="1" si="6"/>
        <v>0</v>
      </c>
      <c r="G28" s="142">
        <f t="shared" ca="1" si="6"/>
        <v>0</v>
      </c>
      <c r="H28" s="142">
        <f t="shared" ca="1" si="6"/>
        <v>0</v>
      </c>
      <c r="I28" s="142">
        <f t="shared" ca="1" si="6"/>
        <v>230.63576286156956</v>
      </c>
      <c r="J28" s="142">
        <f t="shared" ca="1" si="6"/>
        <v>0</v>
      </c>
      <c r="K28" s="142">
        <f t="shared" ca="1" si="6"/>
        <v>1867.1686028871154</v>
      </c>
      <c r="L28" s="142">
        <f t="shared" ca="1" si="6"/>
        <v>1564.1379257014225</v>
      </c>
      <c r="M28" s="142">
        <f t="shared" ca="1" si="6"/>
        <v>4681.1757697225867</v>
      </c>
      <c r="N28" s="142">
        <f t="shared" ca="1" si="6"/>
        <v>4396.767605810719</v>
      </c>
      <c r="O28" s="142">
        <f t="shared" ca="1" si="6"/>
        <v>593.38108761901879</v>
      </c>
      <c r="P28" s="142">
        <f t="shared" ca="1" si="6"/>
        <v>218.02996167746676</v>
      </c>
      <c r="Q28" s="142">
        <f t="shared" ca="1" si="6"/>
        <v>0</v>
      </c>
      <c r="R28" s="142">
        <f t="shared" ca="1" si="6"/>
        <v>0</v>
      </c>
      <c r="S28" s="142">
        <f t="shared" ca="1" si="6"/>
        <v>0</v>
      </c>
      <c r="T28" s="142">
        <f t="shared" ca="1" si="6"/>
        <v>3137.720341038163</v>
      </c>
      <c r="U28" s="142">
        <f t="shared" ca="1" si="6"/>
        <v>0</v>
      </c>
      <c r="V28" s="142">
        <f t="shared" ca="1" si="6"/>
        <v>0</v>
      </c>
      <c r="W28" s="142">
        <f t="shared" ca="1" si="6"/>
        <v>0</v>
      </c>
      <c r="X28" s="142">
        <f t="shared" ca="1" si="6"/>
        <v>0</v>
      </c>
      <c r="Y28" s="142">
        <f t="shared" ca="1" si="6"/>
        <v>0</v>
      </c>
      <c r="Z28" s="436">
        <f ca="1">SUM(D28:Y28)</f>
        <v>16689.017057318062</v>
      </c>
    </row>
    <row r="29" spans="1:27" s="15" customFormat="1">
      <c r="A29" s="20" t="s">
        <v>1938</v>
      </c>
      <c r="C29" s="25"/>
      <c r="D29" s="37">
        <f t="shared" ref="D29:Z29" ca="1" si="7">SUM(D26:D28)</f>
        <v>0</v>
      </c>
      <c r="E29" s="37">
        <f t="shared" ca="1" si="7"/>
        <v>0</v>
      </c>
      <c r="F29" s="37">
        <f t="shared" ca="1" si="7"/>
        <v>0</v>
      </c>
      <c r="G29" s="37">
        <f t="shared" ca="1" si="7"/>
        <v>0</v>
      </c>
      <c r="H29" s="37">
        <f t="shared" ca="1" si="7"/>
        <v>-8834.5075545977197</v>
      </c>
      <c r="I29" s="37">
        <f t="shared" ca="1" si="7"/>
        <v>-11497.0190624762</v>
      </c>
      <c r="J29" s="37">
        <f t="shared" ca="1" si="7"/>
        <v>-11497.0190624762</v>
      </c>
      <c r="K29" s="37">
        <f t="shared" ca="1" si="7"/>
        <v>-11453.492350531214</v>
      </c>
      <c r="L29" s="37">
        <f t="shared" ca="1" si="7"/>
        <v>-9889.3544248297912</v>
      </c>
      <c r="M29" s="37">
        <f t="shared" ca="1" si="7"/>
        <v>-5208.1786551072046</v>
      </c>
      <c r="N29" s="37">
        <f t="shared" ca="1" si="7"/>
        <v>-811.41104929648554</v>
      </c>
      <c r="O29" s="37">
        <f t="shared" ca="1" si="7"/>
        <v>-218.02996167746676</v>
      </c>
      <c r="P29" s="37">
        <f t="shared" ca="1" si="7"/>
        <v>0</v>
      </c>
      <c r="Q29" s="37">
        <f t="shared" ca="1" si="7"/>
        <v>0</v>
      </c>
      <c r="R29" s="37">
        <f t="shared" ca="1" si="7"/>
        <v>0</v>
      </c>
      <c r="S29" s="37">
        <f t="shared" ca="1" si="7"/>
        <v>0</v>
      </c>
      <c r="T29" s="37">
        <f t="shared" ca="1" si="7"/>
        <v>-3685.1030871768876</v>
      </c>
      <c r="U29" s="37">
        <f t="shared" ca="1" si="7"/>
        <v>-3685.1030871768876</v>
      </c>
      <c r="V29" s="37">
        <f t="shared" ca="1" si="7"/>
        <v>-4318.2610906798873</v>
      </c>
      <c r="W29" s="37">
        <f t="shared" ca="1" si="7"/>
        <v>-20301.876707683252</v>
      </c>
      <c r="X29" s="37">
        <f t="shared" ca="1" si="7"/>
        <v>-48752.745818901822</v>
      </c>
      <c r="Y29" s="37">
        <f t="shared" ca="1" si="7"/>
        <v>-60327.358695821073</v>
      </c>
      <c r="Z29" s="435">
        <f t="shared" ca="1" si="7"/>
        <v>-60327.358695821065</v>
      </c>
    </row>
    <row r="30" spans="1:27">
      <c r="A30" s="20"/>
      <c r="Z30" s="430"/>
    </row>
    <row r="31" spans="1:27" s="15" customFormat="1">
      <c r="A31" s="128" t="s">
        <v>357</v>
      </c>
      <c r="C31" s="25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431"/>
    </row>
    <row r="32" spans="1:27" s="15" customFormat="1">
      <c r="A32" s="20" t="s">
        <v>1941</v>
      </c>
      <c r="C32" s="25"/>
      <c r="D32" s="37">
        <f ca="1">D$23</f>
        <v>0</v>
      </c>
      <c r="E32" s="37">
        <f t="shared" ref="E32:Y32" ca="1" si="8">E$23</f>
        <v>685.54495747658814</v>
      </c>
      <c r="F32" s="37">
        <f t="shared" ca="1" si="8"/>
        <v>3358.8873780376252</v>
      </c>
      <c r="G32" s="37">
        <f t="shared" ca="1" si="8"/>
        <v>0</v>
      </c>
      <c r="H32" s="37">
        <f t="shared" ca="1" si="8"/>
        <v>0</v>
      </c>
      <c r="I32" s="37">
        <f t="shared" ca="1" si="8"/>
        <v>538.15011334366238</v>
      </c>
      <c r="J32" s="37">
        <f t="shared" ca="1" si="8"/>
        <v>0</v>
      </c>
      <c r="K32" s="37">
        <f t="shared" ca="1" si="8"/>
        <v>4356.7267400699366</v>
      </c>
      <c r="L32" s="37">
        <f t="shared" ca="1" si="8"/>
        <v>3649.655159969986</v>
      </c>
      <c r="M32" s="37">
        <f t="shared" ca="1" si="8"/>
        <v>10922.743462686034</v>
      </c>
      <c r="N32" s="37">
        <f t="shared" ca="1" si="8"/>
        <v>10259.124413558346</v>
      </c>
      <c r="O32" s="37">
        <f t="shared" ca="1" si="8"/>
        <v>1384.5558711110439</v>
      </c>
      <c r="P32" s="37">
        <f t="shared" ca="1" si="8"/>
        <v>2889.0247828986917</v>
      </c>
      <c r="Q32" s="37">
        <f t="shared" ca="1" si="8"/>
        <v>17003.319489805137</v>
      </c>
      <c r="R32" s="37">
        <f t="shared" ca="1" si="8"/>
        <v>14051.627687464344</v>
      </c>
      <c r="S32" s="37">
        <f t="shared" ca="1" si="8"/>
        <v>0</v>
      </c>
      <c r="T32" s="37">
        <f t="shared" ca="1" si="8"/>
        <v>7321.3474624223818</v>
      </c>
      <c r="U32" s="37">
        <f t="shared" ca="1" si="8"/>
        <v>0</v>
      </c>
      <c r="V32" s="37">
        <f t="shared" ca="1" si="8"/>
        <v>0</v>
      </c>
      <c r="W32" s="37">
        <f t="shared" ca="1" si="8"/>
        <v>0</v>
      </c>
      <c r="X32" s="37">
        <f t="shared" ca="1" si="8"/>
        <v>0</v>
      </c>
      <c r="Y32" s="37">
        <f t="shared" ca="1" si="8"/>
        <v>0</v>
      </c>
      <c r="Z32" s="435">
        <f ca="1">SUM(D32:Y32)</f>
        <v>76420.707518843788</v>
      </c>
    </row>
    <row r="33" spans="1:26" s="15" customFormat="1">
      <c r="A33" s="20" t="s">
        <v>1022</v>
      </c>
      <c r="C33" s="25"/>
      <c r="D33" s="71">
        <f t="shared" ref="D33:Y33" si="9">Tax</f>
        <v>0.15</v>
      </c>
      <c r="E33" s="71">
        <f t="shared" si="9"/>
        <v>0.15</v>
      </c>
      <c r="F33" s="71">
        <f t="shared" si="9"/>
        <v>0.15</v>
      </c>
      <c r="G33" s="71">
        <f t="shared" si="9"/>
        <v>0.15</v>
      </c>
      <c r="H33" s="71">
        <f t="shared" si="9"/>
        <v>0.15</v>
      </c>
      <c r="I33" s="71">
        <f t="shared" si="9"/>
        <v>0.15</v>
      </c>
      <c r="J33" s="71">
        <f t="shared" si="9"/>
        <v>0.15</v>
      </c>
      <c r="K33" s="71">
        <f t="shared" si="9"/>
        <v>0.15</v>
      </c>
      <c r="L33" s="71">
        <f t="shared" si="9"/>
        <v>0.15</v>
      </c>
      <c r="M33" s="71">
        <f t="shared" si="9"/>
        <v>0.15</v>
      </c>
      <c r="N33" s="71">
        <f t="shared" si="9"/>
        <v>0.15</v>
      </c>
      <c r="O33" s="71">
        <f t="shared" si="9"/>
        <v>0.15</v>
      </c>
      <c r="P33" s="71">
        <f t="shared" si="9"/>
        <v>0.15</v>
      </c>
      <c r="Q33" s="71">
        <f t="shared" si="9"/>
        <v>0.15</v>
      </c>
      <c r="R33" s="71">
        <f t="shared" si="9"/>
        <v>0.15</v>
      </c>
      <c r="S33" s="71">
        <f t="shared" si="9"/>
        <v>0.15</v>
      </c>
      <c r="T33" s="71">
        <f t="shared" si="9"/>
        <v>0.15</v>
      </c>
      <c r="U33" s="71">
        <f t="shared" si="9"/>
        <v>0.15</v>
      </c>
      <c r="V33" s="71">
        <f t="shared" si="9"/>
        <v>0.15</v>
      </c>
      <c r="W33" s="71">
        <f t="shared" si="9"/>
        <v>0.15</v>
      </c>
      <c r="X33" s="71">
        <f t="shared" si="9"/>
        <v>0.15</v>
      </c>
      <c r="Y33" s="71">
        <f t="shared" si="9"/>
        <v>0.15</v>
      </c>
      <c r="Z33" s="431"/>
    </row>
    <row r="34" spans="1:26" s="15" customFormat="1">
      <c r="A34" s="20" t="s">
        <v>605</v>
      </c>
      <c r="C34" s="25"/>
      <c r="D34" s="37">
        <f t="shared" ref="D34:Y34" ca="1" si="10">D32*D33</f>
        <v>0</v>
      </c>
      <c r="E34" s="37">
        <f t="shared" ca="1" si="10"/>
        <v>102.83174362148822</v>
      </c>
      <c r="F34" s="37">
        <f t="shared" ca="1" si="10"/>
        <v>503.83310670564379</v>
      </c>
      <c r="G34" s="37">
        <f t="shared" ca="1" si="10"/>
        <v>0</v>
      </c>
      <c r="H34" s="37">
        <f t="shared" ca="1" si="10"/>
        <v>0</v>
      </c>
      <c r="I34" s="37">
        <f t="shared" ca="1" si="10"/>
        <v>80.722517001549349</v>
      </c>
      <c r="J34" s="37">
        <f t="shared" ca="1" si="10"/>
        <v>0</v>
      </c>
      <c r="K34" s="37">
        <f t="shared" ca="1" si="10"/>
        <v>653.50901101049044</v>
      </c>
      <c r="L34" s="37">
        <f t="shared" ca="1" si="10"/>
        <v>547.44827399549786</v>
      </c>
      <c r="M34" s="37">
        <f t="shared" ca="1" si="10"/>
        <v>1638.411519402905</v>
      </c>
      <c r="N34" s="37">
        <f t="shared" ca="1" si="10"/>
        <v>1538.8686620337519</v>
      </c>
      <c r="O34" s="37">
        <f t="shared" ca="1" si="10"/>
        <v>207.68338066665657</v>
      </c>
      <c r="P34" s="37">
        <f t="shared" ca="1" si="10"/>
        <v>433.35371743480374</v>
      </c>
      <c r="Q34" s="37">
        <f t="shared" ca="1" si="10"/>
        <v>2550.4979234707703</v>
      </c>
      <c r="R34" s="37">
        <f t="shared" ca="1" si="10"/>
        <v>2107.7441531196514</v>
      </c>
      <c r="S34" s="37">
        <f t="shared" ca="1" si="10"/>
        <v>0</v>
      </c>
      <c r="T34" s="37">
        <f t="shared" ca="1" si="10"/>
        <v>1098.2021193633573</v>
      </c>
      <c r="U34" s="37">
        <f t="shared" ca="1" si="10"/>
        <v>0</v>
      </c>
      <c r="V34" s="37">
        <f t="shared" ca="1" si="10"/>
        <v>0</v>
      </c>
      <c r="W34" s="37">
        <f t="shared" ca="1" si="10"/>
        <v>0</v>
      </c>
      <c r="X34" s="37">
        <f t="shared" ca="1" si="10"/>
        <v>0</v>
      </c>
      <c r="Y34" s="37">
        <f t="shared" ca="1" si="10"/>
        <v>0</v>
      </c>
      <c r="Z34" s="435">
        <f ca="1">SUM(D34:Y34)</f>
        <v>11463.106127826566</v>
      </c>
    </row>
    <row r="35" spans="1:26" s="218" customFormat="1">
      <c r="A35" s="560"/>
      <c r="C35" s="269"/>
      <c r="Z35" s="427"/>
    </row>
    <row r="36" spans="1:26" s="15" customFormat="1">
      <c r="A36" s="128" t="s">
        <v>359</v>
      </c>
      <c r="C36" s="25"/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431"/>
    </row>
    <row r="37" spans="1:26" s="15" customFormat="1">
      <c r="A37" s="20" t="s">
        <v>1941</v>
      </c>
      <c r="D37" s="37">
        <f t="shared" ref="D37:Y37" ca="1" si="11">D$23</f>
        <v>0</v>
      </c>
      <c r="E37" s="37">
        <f t="shared" ca="1" si="11"/>
        <v>685.54495747658814</v>
      </c>
      <c r="F37" s="37">
        <f t="shared" ca="1" si="11"/>
        <v>3358.8873780376252</v>
      </c>
      <c r="G37" s="37">
        <f t="shared" ca="1" si="11"/>
        <v>0</v>
      </c>
      <c r="H37" s="37">
        <f t="shared" ca="1" si="11"/>
        <v>0</v>
      </c>
      <c r="I37" s="37">
        <f t="shared" ca="1" si="11"/>
        <v>538.15011334366238</v>
      </c>
      <c r="J37" s="37">
        <f t="shared" ca="1" si="11"/>
        <v>0</v>
      </c>
      <c r="K37" s="37">
        <f t="shared" ca="1" si="11"/>
        <v>4356.7267400699366</v>
      </c>
      <c r="L37" s="37">
        <f t="shared" ca="1" si="11"/>
        <v>3649.655159969986</v>
      </c>
      <c r="M37" s="37">
        <f t="shared" ca="1" si="11"/>
        <v>10922.743462686034</v>
      </c>
      <c r="N37" s="37">
        <f t="shared" ca="1" si="11"/>
        <v>10259.124413558346</v>
      </c>
      <c r="O37" s="37">
        <f t="shared" ca="1" si="11"/>
        <v>1384.5558711110439</v>
      </c>
      <c r="P37" s="37">
        <f t="shared" ca="1" si="11"/>
        <v>2889.0247828986917</v>
      </c>
      <c r="Q37" s="37">
        <f t="shared" ca="1" si="11"/>
        <v>17003.319489805137</v>
      </c>
      <c r="R37" s="37">
        <f t="shared" ca="1" si="11"/>
        <v>14051.627687464344</v>
      </c>
      <c r="S37" s="37">
        <f t="shared" ca="1" si="11"/>
        <v>0</v>
      </c>
      <c r="T37" s="37">
        <f t="shared" ca="1" si="11"/>
        <v>7321.3474624223818</v>
      </c>
      <c r="U37" s="37">
        <f t="shared" ca="1" si="11"/>
        <v>0</v>
      </c>
      <c r="V37" s="37">
        <f t="shared" ca="1" si="11"/>
        <v>0</v>
      </c>
      <c r="W37" s="37">
        <f t="shared" ca="1" si="11"/>
        <v>0</v>
      </c>
      <c r="X37" s="37">
        <f t="shared" ca="1" si="11"/>
        <v>0</v>
      </c>
      <c r="Y37" s="37">
        <f t="shared" ca="1" si="11"/>
        <v>0</v>
      </c>
      <c r="Z37" s="435">
        <f ca="1">SUM(D37:Y37)</f>
        <v>76420.707518843788</v>
      </c>
    </row>
    <row r="38" spans="1:26" s="15" customFormat="1">
      <c r="A38" s="20" t="s">
        <v>1811</v>
      </c>
      <c r="C38" s="25"/>
      <c r="D38" s="142">
        <f ca="1">-IF(D37&lt;=0,0,MIN(D37,Assm!$L$9/Rev_Exp!D$27*D$9/12))</f>
        <v>0</v>
      </c>
      <c r="E38" s="142">
        <f ca="1">-IF(E37&lt;=0,0,MIN(E37,Assm!$L$9/Rev_Exp!E$27*E$9/12))</f>
        <v>-154.63585404093553</v>
      </c>
      <c r="F38" s="142">
        <f ca="1">-IF(F37&lt;=0,0,MIN(F37,Assm!$L$9/Rev_Exp!F$27*F$9/12))</f>
        <v>-129.324861357462</v>
      </c>
      <c r="G38" s="142">
        <f ca="1">-IF(G37&lt;=0,0,MIN(G37,Assm!$L$9/Rev_Exp!G$27*G$9/12))</f>
        <v>0</v>
      </c>
      <c r="H38" s="142">
        <f ca="1">-IF(H37&lt;=0,0,MIN(H37,Assm!$L$9/Rev_Exp!H$27*H$9/12))</f>
        <v>0</v>
      </c>
      <c r="I38" s="142">
        <f ca="1">-IF(I37&lt;=0,0,MIN(I37,Assm!$L$9/Rev_Exp!I$27*I$9/12))</f>
        <v>-116.3299608272614</v>
      </c>
      <c r="J38" s="142">
        <f ca="1">-IF(J37&lt;=0,0,MIN(J37,Assm!$L$9/Rev_Exp!J$27*J$9/12))</f>
        <v>0</v>
      </c>
      <c r="K38" s="142">
        <f ca="1">-IF(K37&lt;=0,0,MIN(K37,Assm!$L$9/Rev_Exp!K$27*K$9/12))</f>
        <v>-107.32933183969946</v>
      </c>
      <c r="L38" s="142">
        <f ca="1">-IF(L37&lt;=0,0,MIN(L37,Assm!$L$9/Rev_Exp!L$27*L$9/12))</f>
        <v>-104.22157210899813</v>
      </c>
      <c r="M38" s="142">
        <f ca="1">-IF(M37&lt;=0,0,MIN(M37,Assm!$L$9/Rev_Exp!M$27*M$9/12))</f>
        <v>-101.36265833831213</v>
      </c>
      <c r="N38" s="142">
        <f ca="1">-IF(N37&lt;=0,0,MIN(N37,Assm!$L$9/Rev_Exp!N$27*N$9/12))</f>
        <v>-98.644999415122655</v>
      </c>
      <c r="O38" s="142">
        <f ca="1">-IF(O37&lt;=0,0,MIN(O37,Assm!$L$9/Rev_Exp!O$27*O$9/12))</f>
        <v>-96.111715076120177</v>
      </c>
      <c r="P38" s="142">
        <f ca="1">-IF(P37&lt;=0,0,MIN(P37,Assm!$L$9/Rev_Exp!P$27*P$9/12))</f>
        <v>-93.739381818587063</v>
      </c>
      <c r="Q38" s="142">
        <f ca="1">-IF(Q37&lt;=0,0,MIN(Q37,Assm!$L$9/Rev_Exp!Q$27*Q$9/12))</f>
        <v>-91.519897089418478</v>
      </c>
      <c r="R38" s="142">
        <f ca="1">-IF(R37&lt;=0,0,MIN(R37,Assm!$L$9/Rev_Exp!R$27*R$9/12))</f>
        <v>-89.531659879625224</v>
      </c>
      <c r="S38" s="142">
        <f ca="1">-IF(S37&lt;=0,0,MIN(S37,Assm!$L$9/Rev_Exp!S$27*S$9/12))</f>
        <v>0</v>
      </c>
      <c r="T38" s="142">
        <f ca="1">-IF(T37&lt;=0,0,MIN(T37,Assm!$L$9/Rev_Exp!T$27*T$9/12))</f>
        <v>-86.010903858653037</v>
      </c>
      <c r="U38" s="142">
        <f ca="1">-IF(U37&lt;=0,0,MIN(U37,Assm!$L$9/Rev_Exp!U$27*U$9/12))</f>
        <v>0</v>
      </c>
      <c r="V38" s="142">
        <f ca="1">-IF(V37&lt;=0,0,MIN(V37,Assm!$L$9/Rev_Exp!V$27*V$9/12))</f>
        <v>0</v>
      </c>
      <c r="W38" s="142">
        <f ca="1">-IF(W37&lt;=0,0,MIN(W37,Assm!$L$9/Rev_Exp!W$27*W$9/12))</f>
        <v>0</v>
      </c>
      <c r="X38" s="142">
        <f ca="1">-IF(X37&lt;=0,0,MIN(X37,Assm!$L$9/Rev_Exp!X$27*X$9/12))</f>
        <v>0</v>
      </c>
      <c r="Y38" s="142">
        <f ca="1">-IF(Y37&lt;=0,0,MIN(Y37,Assm!$L$9/Rev_Exp!Y$27*Y$9/12))</f>
        <v>0</v>
      </c>
      <c r="Z38" s="436">
        <f ca="1">SUM(D38:Y38)</f>
        <v>-1268.7627956501956</v>
      </c>
    </row>
    <row r="39" spans="1:26" s="15" customFormat="1">
      <c r="A39" s="20" t="s">
        <v>1810</v>
      </c>
      <c r="C39" s="25"/>
      <c r="D39" s="37">
        <f t="shared" ref="D39:Y39" ca="1" si="12">SUM(D37:D38)</f>
        <v>0</v>
      </c>
      <c r="E39" s="37">
        <f t="shared" ca="1" si="12"/>
        <v>530.90910343565258</v>
      </c>
      <c r="F39" s="37">
        <f t="shared" ca="1" si="12"/>
        <v>3229.5625166801633</v>
      </c>
      <c r="G39" s="37">
        <f t="shared" ca="1" si="12"/>
        <v>0</v>
      </c>
      <c r="H39" s="37">
        <f t="shared" ca="1" si="12"/>
        <v>0</v>
      </c>
      <c r="I39" s="37">
        <f t="shared" ca="1" si="12"/>
        <v>421.82015251640098</v>
      </c>
      <c r="J39" s="37">
        <f t="shared" ca="1" si="12"/>
        <v>0</v>
      </c>
      <c r="K39" s="37">
        <f t="shared" ca="1" si="12"/>
        <v>4249.3974082302375</v>
      </c>
      <c r="L39" s="37">
        <f t="shared" ca="1" si="12"/>
        <v>3545.4335878609877</v>
      </c>
      <c r="M39" s="37">
        <f t="shared" ca="1" si="12"/>
        <v>10821.380804347722</v>
      </c>
      <c r="N39" s="37">
        <f t="shared" ca="1" si="12"/>
        <v>10160.479414143223</v>
      </c>
      <c r="O39" s="37">
        <f t="shared" ca="1" si="12"/>
        <v>1288.4441560349237</v>
      </c>
      <c r="P39" s="37">
        <f t="shared" ca="1" si="12"/>
        <v>2795.2854010801047</v>
      </c>
      <c r="Q39" s="37">
        <f t="shared" ca="1" si="12"/>
        <v>16911.799592715717</v>
      </c>
      <c r="R39" s="37">
        <f t="shared" ca="1" si="12"/>
        <v>13962.096027584719</v>
      </c>
      <c r="S39" s="37">
        <f t="shared" ca="1" si="12"/>
        <v>0</v>
      </c>
      <c r="T39" s="37">
        <f t="shared" ca="1" si="12"/>
        <v>7235.3365585637284</v>
      </c>
      <c r="U39" s="37">
        <f t="shared" ca="1" si="12"/>
        <v>0</v>
      </c>
      <c r="V39" s="37">
        <f t="shared" ca="1" si="12"/>
        <v>0</v>
      </c>
      <c r="W39" s="37">
        <f t="shared" ca="1" si="12"/>
        <v>0</v>
      </c>
      <c r="X39" s="37">
        <f t="shared" ca="1" si="12"/>
        <v>0</v>
      </c>
      <c r="Y39" s="37">
        <f t="shared" ca="1" si="12"/>
        <v>0</v>
      </c>
      <c r="Z39" s="435">
        <f ca="1">SUM(D39:Y39)</f>
        <v>75151.944723193563</v>
      </c>
    </row>
    <row r="40" spans="1:26" s="15" customFormat="1">
      <c r="A40" s="20" t="s">
        <v>17</v>
      </c>
      <c r="C40" s="25"/>
      <c r="D40" s="71">
        <f t="shared" ref="D40:Y40" si="13">AddTax</f>
        <v>0.1</v>
      </c>
      <c r="E40" s="71">
        <f t="shared" si="13"/>
        <v>0.1</v>
      </c>
      <c r="F40" s="71">
        <f t="shared" si="13"/>
        <v>0.1</v>
      </c>
      <c r="G40" s="71">
        <f t="shared" si="13"/>
        <v>0.1</v>
      </c>
      <c r="H40" s="71">
        <f t="shared" si="13"/>
        <v>0.1</v>
      </c>
      <c r="I40" s="71">
        <f t="shared" si="13"/>
        <v>0.1</v>
      </c>
      <c r="J40" s="71">
        <f t="shared" si="13"/>
        <v>0.1</v>
      </c>
      <c r="K40" s="71">
        <f t="shared" si="13"/>
        <v>0.1</v>
      </c>
      <c r="L40" s="71">
        <f t="shared" si="13"/>
        <v>0.1</v>
      </c>
      <c r="M40" s="71">
        <f t="shared" si="13"/>
        <v>0.1</v>
      </c>
      <c r="N40" s="71">
        <f t="shared" si="13"/>
        <v>0.1</v>
      </c>
      <c r="O40" s="71">
        <f t="shared" si="13"/>
        <v>0.1</v>
      </c>
      <c r="P40" s="71">
        <f t="shared" si="13"/>
        <v>0.1</v>
      </c>
      <c r="Q40" s="71">
        <f t="shared" si="13"/>
        <v>0.1</v>
      </c>
      <c r="R40" s="71">
        <f t="shared" si="13"/>
        <v>0.1</v>
      </c>
      <c r="S40" s="71">
        <f t="shared" si="13"/>
        <v>0.1</v>
      </c>
      <c r="T40" s="71">
        <f t="shared" si="13"/>
        <v>0.1</v>
      </c>
      <c r="U40" s="71">
        <f t="shared" si="13"/>
        <v>0.1</v>
      </c>
      <c r="V40" s="71">
        <f t="shared" si="13"/>
        <v>0.1</v>
      </c>
      <c r="W40" s="71">
        <f t="shared" si="13"/>
        <v>0.1</v>
      </c>
      <c r="X40" s="71">
        <f t="shared" si="13"/>
        <v>0.1</v>
      </c>
      <c r="Y40" s="71">
        <f t="shared" si="13"/>
        <v>0.1</v>
      </c>
      <c r="Z40" s="431"/>
    </row>
    <row r="41" spans="1:26" s="15" customFormat="1">
      <c r="A41" s="20" t="s">
        <v>16</v>
      </c>
      <c r="C41" s="25"/>
      <c r="D41" s="37">
        <f t="shared" ref="D41:Y41" ca="1" si="14">D39*D40</f>
        <v>0</v>
      </c>
      <c r="E41" s="37">
        <f t="shared" ca="1" si="14"/>
        <v>53.090910343565263</v>
      </c>
      <c r="F41" s="37">
        <f t="shared" ca="1" si="14"/>
        <v>322.95625166801636</v>
      </c>
      <c r="G41" s="37">
        <f t="shared" ca="1" si="14"/>
        <v>0</v>
      </c>
      <c r="H41" s="37">
        <f t="shared" ca="1" si="14"/>
        <v>0</v>
      </c>
      <c r="I41" s="37">
        <f t="shared" ca="1" si="14"/>
        <v>42.182015251640102</v>
      </c>
      <c r="J41" s="37">
        <f t="shared" ca="1" si="14"/>
        <v>0</v>
      </c>
      <c r="K41" s="37">
        <f t="shared" ca="1" si="14"/>
        <v>424.93974082302378</v>
      </c>
      <c r="L41" s="37">
        <f t="shared" ca="1" si="14"/>
        <v>354.54335878609879</v>
      </c>
      <c r="M41" s="37">
        <f t="shared" ca="1" si="14"/>
        <v>1082.1380804347723</v>
      </c>
      <c r="N41" s="37">
        <f t="shared" ca="1" si="14"/>
        <v>1016.0479414143224</v>
      </c>
      <c r="O41" s="37">
        <f t="shared" ca="1" si="14"/>
        <v>128.84441560349237</v>
      </c>
      <c r="P41" s="37">
        <f t="shared" ca="1" si="14"/>
        <v>279.52854010801047</v>
      </c>
      <c r="Q41" s="37">
        <f t="shared" ca="1" si="14"/>
        <v>1691.1799592715718</v>
      </c>
      <c r="R41" s="37">
        <f t="shared" ca="1" si="14"/>
        <v>1396.2096027584721</v>
      </c>
      <c r="S41" s="37">
        <f t="shared" ca="1" si="14"/>
        <v>0</v>
      </c>
      <c r="T41" s="37">
        <f t="shared" ca="1" si="14"/>
        <v>723.53365585637289</v>
      </c>
      <c r="U41" s="37">
        <f t="shared" ca="1" si="14"/>
        <v>0</v>
      </c>
      <c r="V41" s="37">
        <f t="shared" ca="1" si="14"/>
        <v>0</v>
      </c>
      <c r="W41" s="37">
        <f t="shared" ca="1" si="14"/>
        <v>0</v>
      </c>
      <c r="X41" s="37">
        <f t="shared" ca="1" si="14"/>
        <v>0</v>
      </c>
      <c r="Y41" s="37">
        <f t="shared" ca="1" si="14"/>
        <v>0</v>
      </c>
      <c r="Z41" s="435">
        <f ca="1">SUM(D41:Y41)</f>
        <v>7515.1944723193592</v>
      </c>
    </row>
    <row r="42" spans="1:26">
      <c r="A42" s="20"/>
      <c r="Z42" s="430"/>
    </row>
    <row r="43" spans="1:26" s="15" customFormat="1">
      <c r="A43" s="20" t="s">
        <v>1942</v>
      </c>
      <c r="D43" s="37">
        <f ca="1">SUM(D34,D41)</f>
        <v>0</v>
      </c>
      <c r="E43" s="37">
        <f t="shared" ref="E43:Y43" ca="1" si="15">SUM(E34,E41)</f>
        <v>155.92265396505348</v>
      </c>
      <c r="F43" s="37">
        <f t="shared" ca="1" si="15"/>
        <v>826.78935837366021</v>
      </c>
      <c r="G43" s="37">
        <f t="shared" ca="1" si="15"/>
        <v>0</v>
      </c>
      <c r="H43" s="37">
        <f t="shared" ca="1" si="15"/>
        <v>0</v>
      </c>
      <c r="I43" s="37">
        <f t="shared" ca="1" si="15"/>
        <v>122.90453225318944</v>
      </c>
      <c r="J43" s="37">
        <f t="shared" ca="1" si="15"/>
        <v>0</v>
      </c>
      <c r="K43" s="37">
        <f t="shared" ca="1" si="15"/>
        <v>1078.4487518335143</v>
      </c>
      <c r="L43" s="37">
        <f t="shared" ca="1" si="15"/>
        <v>901.99163278159665</v>
      </c>
      <c r="M43" s="37">
        <f t="shared" ca="1" si="15"/>
        <v>2720.5495998376773</v>
      </c>
      <c r="N43" s="37">
        <f t="shared" ca="1" si="15"/>
        <v>2554.9166034480741</v>
      </c>
      <c r="O43" s="37">
        <f t="shared" ca="1" si="15"/>
        <v>336.52779627014894</v>
      </c>
      <c r="P43" s="37">
        <f t="shared" ca="1" si="15"/>
        <v>712.88225754281416</v>
      </c>
      <c r="Q43" s="37">
        <f t="shared" ca="1" si="15"/>
        <v>4241.6778827423423</v>
      </c>
      <c r="R43" s="37">
        <f t="shared" ca="1" si="15"/>
        <v>3503.9537558781235</v>
      </c>
      <c r="S43" s="37">
        <f t="shared" ca="1" si="15"/>
        <v>0</v>
      </c>
      <c r="T43" s="37">
        <f t="shared" ca="1" si="15"/>
        <v>1821.7357752197302</v>
      </c>
      <c r="U43" s="37">
        <f t="shared" ca="1" si="15"/>
        <v>0</v>
      </c>
      <c r="V43" s="37">
        <f t="shared" ca="1" si="15"/>
        <v>0</v>
      </c>
      <c r="W43" s="37">
        <f t="shared" ca="1" si="15"/>
        <v>0</v>
      </c>
      <c r="X43" s="37">
        <f t="shared" ca="1" si="15"/>
        <v>0</v>
      </c>
      <c r="Y43" s="37">
        <f t="shared" ca="1" si="15"/>
        <v>0</v>
      </c>
      <c r="Z43" s="435">
        <f ca="1">SUM(D43:Y43)</f>
        <v>18978.300600145929</v>
      </c>
    </row>
    <row r="44" spans="1:26" s="15" customFormat="1">
      <c r="A44" s="20" t="s">
        <v>609</v>
      </c>
      <c r="D44" s="142">
        <f ca="1">-Sudam!D51</f>
        <v>0</v>
      </c>
      <c r="E44" s="142">
        <f ca="1">-Sudam!E51</f>
        <v>-116.9419904737901</v>
      </c>
      <c r="F44" s="142">
        <f ca="1">-Sudam!F51</f>
        <v>-620.0920187802451</v>
      </c>
      <c r="G44" s="142">
        <f ca="1">-Sudam!G51</f>
        <v>0</v>
      </c>
      <c r="H44" s="142">
        <f ca="1">-Sudam!H51</f>
        <v>0</v>
      </c>
      <c r="I44" s="142">
        <f ca="1">-Sudam!I51</f>
        <v>-137.76635472643687</v>
      </c>
      <c r="J44" s="142">
        <f ca="1">-Sudam!J51</f>
        <v>0</v>
      </c>
      <c r="K44" s="142">
        <f ca="1">-Sudam!K51</f>
        <v>-774.18295127764623</v>
      </c>
      <c r="L44" s="142">
        <f ca="1">-Sudam!L51</f>
        <v>-648.07555710347651</v>
      </c>
      <c r="M44" s="142">
        <f ca="1">-Sudam!M51</f>
        <v>-1946.9842711341616</v>
      </c>
      <c r="N44" s="142">
        <f ca="1">-Sudam!N51</f>
        <v>-1828.6167524503774</v>
      </c>
      <c r="O44" s="142">
        <f ca="1">-Sudam!O51</f>
        <v>-121.99951704372602</v>
      </c>
      <c r="P44" s="142">
        <f ca="1">-Sudam!P51</f>
        <v>-192.62868699054525</v>
      </c>
      <c r="Q44" s="142">
        <f ca="1">-Sudam!Q51</f>
        <v>-1061.2007206855856</v>
      </c>
      <c r="R44" s="142">
        <f ca="1">-Sudam!R51</f>
        <v>-876.76968896953122</v>
      </c>
      <c r="S44" s="142">
        <f ca="1">-Sudam!S51</f>
        <v>0</v>
      </c>
      <c r="T44" s="142">
        <f ca="1">-Sudam!T51</f>
        <v>0</v>
      </c>
      <c r="U44" s="142">
        <f ca="1">-Sudam!U51</f>
        <v>0</v>
      </c>
      <c r="V44" s="142">
        <f ca="1">-Sudam!V51</f>
        <v>0</v>
      </c>
      <c r="W44" s="142">
        <f ca="1">-Sudam!W51</f>
        <v>0</v>
      </c>
      <c r="X44" s="142">
        <f ca="1">-Sudam!X51</f>
        <v>0</v>
      </c>
      <c r="Y44" s="142">
        <f ca="1">-Sudam!Y51</f>
        <v>0</v>
      </c>
      <c r="Z44" s="436">
        <f ca="1">SUM(D44:Y44)</f>
        <v>-8325.2585096355215</v>
      </c>
    </row>
    <row r="45" spans="1:26" s="15" customFormat="1">
      <c r="A45" s="20" t="s">
        <v>1945</v>
      </c>
      <c r="D45" s="37">
        <f ca="1">SUM(D43:D44)</f>
        <v>0</v>
      </c>
      <c r="E45" s="37">
        <f t="shared" ref="E45:Y45" ca="1" si="16">SUM(E43:E44)</f>
        <v>38.980663491263385</v>
      </c>
      <c r="F45" s="37">
        <f t="shared" ca="1" si="16"/>
        <v>206.69733959341511</v>
      </c>
      <c r="G45" s="37">
        <f t="shared" ca="1" si="16"/>
        <v>0</v>
      </c>
      <c r="H45" s="37">
        <f t="shared" ca="1" si="16"/>
        <v>0</v>
      </c>
      <c r="I45" s="37">
        <f t="shared" ca="1" si="16"/>
        <v>-14.861822473247429</v>
      </c>
      <c r="J45" s="37">
        <f t="shared" ca="1" si="16"/>
        <v>0</v>
      </c>
      <c r="K45" s="37">
        <f t="shared" ca="1" si="16"/>
        <v>304.26580055586805</v>
      </c>
      <c r="L45" s="37">
        <f t="shared" ca="1" si="16"/>
        <v>253.91607567812014</v>
      </c>
      <c r="M45" s="37">
        <f t="shared" ca="1" si="16"/>
        <v>773.56532870351566</v>
      </c>
      <c r="N45" s="37">
        <f t="shared" ca="1" si="16"/>
        <v>726.29985099769669</v>
      </c>
      <c r="O45" s="37">
        <f t="shared" ca="1" si="16"/>
        <v>214.52827922642291</v>
      </c>
      <c r="P45" s="37">
        <f t="shared" ca="1" si="16"/>
        <v>520.25357055226891</v>
      </c>
      <c r="Q45" s="37">
        <f t="shared" ca="1" si="16"/>
        <v>3180.4771620567567</v>
      </c>
      <c r="R45" s="37">
        <f t="shared" ca="1" si="16"/>
        <v>2627.1840669085923</v>
      </c>
      <c r="S45" s="37">
        <f t="shared" ca="1" si="16"/>
        <v>0</v>
      </c>
      <c r="T45" s="37">
        <f t="shared" ca="1" si="16"/>
        <v>1821.7357752197302</v>
      </c>
      <c r="U45" s="37">
        <f t="shared" ca="1" si="16"/>
        <v>0</v>
      </c>
      <c r="V45" s="37">
        <f t="shared" ca="1" si="16"/>
        <v>0</v>
      </c>
      <c r="W45" s="37">
        <f t="shared" ca="1" si="16"/>
        <v>0</v>
      </c>
      <c r="X45" s="37">
        <f t="shared" ca="1" si="16"/>
        <v>0</v>
      </c>
      <c r="Y45" s="37">
        <f t="shared" ca="1" si="16"/>
        <v>0</v>
      </c>
      <c r="Z45" s="435">
        <f ca="1">SUM(D45:Y45)</f>
        <v>10653.042090510402</v>
      </c>
    </row>
    <row r="46" spans="1:26">
      <c r="A46" s="20"/>
      <c r="Z46" s="430"/>
    </row>
    <row r="47" spans="1:26" s="15" customFormat="1">
      <c r="A47" s="128" t="s">
        <v>312</v>
      </c>
      <c r="C47" s="25"/>
      <c r="D47" s="66"/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564"/>
    </row>
    <row r="48" spans="1:26" s="15" customFormat="1">
      <c r="A48" s="20" t="s">
        <v>1941</v>
      </c>
      <c r="C48" s="25"/>
      <c r="D48" s="37">
        <f t="shared" ref="D48:Y48" ca="1" si="17">D$23</f>
        <v>0</v>
      </c>
      <c r="E48" s="37">
        <f t="shared" ca="1" si="17"/>
        <v>685.54495747658814</v>
      </c>
      <c r="F48" s="37">
        <f t="shared" ca="1" si="17"/>
        <v>3358.8873780376252</v>
      </c>
      <c r="G48" s="37">
        <f t="shared" ca="1" si="17"/>
        <v>0</v>
      </c>
      <c r="H48" s="37">
        <f t="shared" ca="1" si="17"/>
        <v>0</v>
      </c>
      <c r="I48" s="37">
        <f t="shared" ca="1" si="17"/>
        <v>538.15011334366238</v>
      </c>
      <c r="J48" s="37">
        <f t="shared" ca="1" si="17"/>
        <v>0</v>
      </c>
      <c r="K48" s="37">
        <f t="shared" ca="1" si="17"/>
        <v>4356.7267400699366</v>
      </c>
      <c r="L48" s="37">
        <f t="shared" ca="1" si="17"/>
        <v>3649.655159969986</v>
      </c>
      <c r="M48" s="37">
        <f t="shared" ca="1" si="17"/>
        <v>10922.743462686034</v>
      </c>
      <c r="N48" s="37">
        <f t="shared" ca="1" si="17"/>
        <v>10259.124413558346</v>
      </c>
      <c r="O48" s="37">
        <f t="shared" ca="1" si="17"/>
        <v>1384.5558711110439</v>
      </c>
      <c r="P48" s="37">
        <f t="shared" ca="1" si="17"/>
        <v>2889.0247828986917</v>
      </c>
      <c r="Q48" s="37">
        <f t="shared" ca="1" si="17"/>
        <v>17003.319489805137</v>
      </c>
      <c r="R48" s="37">
        <f t="shared" ca="1" si="17"/>
        <v>14051.627687464344</v>
      </c>
      <c r="S48" s="37">
        <f t="shared" ca="1" si="17"/>
        <v>0</v>
      </c>
      <c r="T48" s="37">
        <f t="shared" ca="1" si="17"/>
        <v>7321.3474624223818</v>
      </c>
      <c r="U48" s="37">
        <f t="shared" ca="1" si="17"/>
        <v>0</v>
      </c>
      <c r="V48" s="37">
        <f t="shared" ca="1" si="17"/>
        <v>0</v>
      </c>
      <c r="W48" s="37">
        <f t="shared" ca="1" si="17"/>
        <v>0</v>
      </c>
      <c r="X48" s="37">
        <f t="shared" ca="1" si="17"/>
        <v>0</v>
      </c>
      <c r="Y48" s="37">
        <f t="shared" ca="1" si="17"/>
        <v>0</v>
      </c>
      <c r="Z48" s="435">
        <f ca="1">SUM(D48:Y48)</f>
        <v>76420.707518843788</v>
      </c>
    </row>
    <row r="49" spans="1:27" s="15" customFormat="1">
      <c r="A49" s="20" t="s">
        <v>1023</v>
      </c>
      <c r="C49" s="25"/>
      <c r="D49" s="71">
        <f t="shared" ref="D49:Y49" si="18">Social</f>
        <v>0.08</v>
      </c>
      <c r="E49" s="71">
        <f t="shared" si="18"/>
        <v>0.08</v>
      </c>
      <c r="F49" s="71">
        <f t="shared" si="18"/>
        <v>0.08</v>
      </c>
      <c r="G49" s="71">
        <f t="shared" si="18"/>
        <v>0.08</v>
      </c>
      <c r="H49" s="71">
        <f t="shared" si="18"/>
        <v>0.08</v>
      </c>
      <c r="I49" s="71">
        <f t="shared" si="18"/>
        <v>0.08</v>
      </c>
      <c r="J49" s="71">
        <f t="shared" si="18"/>
        <v>0.08</v>
      </c>
      <c r="K49" s="71">
        <f t="shared" si="18"/>
        <v>0.08</v>
      </c>
      <c r="L49" s="71">
        <f t="shared" si="18"/>
        <v>0.08</v>
      </c>
      <c r="M49" s="71">
        <f t="shared" si="18"/>
        <v>0.08</v>
      </c>
      <c r="N49" s="71">
        <f t="shared" si="18"/>
        <v>0.08</v>
      </c>
      <c r="O49" s="71">
        <f t="shared" si="18"/>
        <v>0.08</v>
      </c>
      <c r="P49" s="71">
        <f t="shared" si="18"/>
        <v>0.08</v>
      </c>
      <c r="Q49" s="71">
        <f t="shared" si="18"/>
        <v>0.08</v>
      </c>
      <c r="R49" s="71">
        <f t="shared" si="18"/>
        <v>0.08</v>
      </c>
      <c r="S49" s="71">
        <f t="shared" si="18"/>
        <v>0.08</v>
      </c>
      <c r="T49" s="71">
        <f t="shared" si="18"/>
        <v>0.08</v>
      </c>
      <c r="U49" s="71">
        <f t="shared" si="18"/>
        <v>0.08</v>
      </c>
      <c r="V49" s="71">
        <f t="shared" si="18"/>
        <v>0.08</v>
      </c>
      <c r="W49" s="71">
        <f t="shared" si="18"/>
        <v>0.08</v>
      </c>
      <c r="X49" s="71">
        <f t="shared" si="18"/>
        <v>0.08</v>
      </c>
      <c r="Y49" s="71">
        <f t="shared" si="18"/>
        <v>0.08</v>
      </c>
      <c r="Z49" s="432"/>
    </row>
    <row r="50" spans="1:27" s="15" customFormat="1">
      <c r="A50" s="20" t="s">
        <v>1579</v>
      </c>
      <c r="C50" s="25"/>
      <c r="D50" s="37">
        <f t="shared" ref="D50:Y50" ca="1" si="19">D48*D49</f>
        <v>0</v>
      </c>
      <c r="E50" s="37">
        <f t="shared" ca="1" si="19"/>
        <v>54.84359659812705</v>
      </c>
      <c r="F50" s="37">
        <f t="shared" ca="1" si="19"/>
        <v>268.71099024301003</v>
      </c>
      <c r="G50" s="37">
        <f t="shared" ca="1" si="19"/>
        <v>0</v>
      </c>
      <c r="H50" s="37">
        <f t="shared" ca="1" si="19"/>
        <v>0</v>
      </c>
      <c r="I50" s="37">
        <f t="shared" ca="1" si="19"/>
        <v>43.052009067492989</v>
      </c>
      <c r="J50" s="37">
        <f t="shared" ca="1" si="19"/>
        <v>0</v>
      </c>
      <c r="K50" s="37">
        <f t="shared" ca="1" si="19"/>
        <v>348.53813920559492</v>
      </c>
      <c r="L50" s="37">
        <f t="shared" ca="1" si="19"/>
        <v>291.97241279759891</v>
      </c>
      <c r="M50" s="37">
        <f t="shared" ca="1" si="19"/>
        <v>873.81947701488275</v>
      </c>
      <c r="N50" s="37">
        <f t="shared" ca="1" si="19"/>
        <v>820.72995308466761</v>
      </c>
      <c r="O50" s="37">
        <f t="shared" ca="1" si="19"/>
        <v>110.76446968888351</v>
      </c>
      <c r="P50" s="37">
        <f t="shared" ca="1" si="19"/>
        <v>231.12198263189535</v>
      </c>
      <c r="Q50" s="37">
        <f t="shared" ca="1" si="19"/>
        <v>1360.2655591844109</v>
      </c>
      <c r="R50" s="37">
        <f t="shared" ca="1" si="19"/>
        <v>1124.1302149971475</v>
      </c>
      <c r="S50" s="37">
        <f t="shared" ca="1" si="19"/>
        <v>0</v>
      </c>
      <c r="T50" s="37">
        <f t="shared" ca="1" si="19"/>
        <v>585.70779699379057</v>
      </c>
      <c r="U50" s="37">
        <f t="shared" ca="1" si="19"/>
        <v>0</v>
      </c>
      <c r="V50" s="37">
        <f t="shared" ca="1" si="19"/>
        <v>0</v>
      </c>
      <c r="W50" s="37">
        <f t="shared" ca="1" si="19"/>
        <v>0</v>
      </c>
      <c r="X50" s="37">
        <f t="shared" ca="1" si="19"/>
        <v>0</v>
      </c>
      <c r="Y50" s="37">
        <f t="shared" ca="1" si="19"/>
        <v>0</v>
      </c>
      <c r="Z50" s="435">
        <f ca="1">SUM(D50:Y50)</f>
        <v>6113.6566015075023</v>
      </c>
    </row>
    <row r="51" spans="1:27">
      <c r="A51" s="20"/>
      <c r="Z51" s="430"/>
    </row>
    <row r="52" spans="1:27" s="53" customFormat="1">
      <c r="A52" s="150" t="s">
        <v>18</v>
      </c>
      <c r="D52" s="222">
        <f ca="1">SUM(D34,D41,D50)</f>
        <v>0</v>
      </c>
      <c r="E52" s="222">
        <f t="shared" ref="E52:Y52" ca="1" si="20">SUM(E34,E41,E50)</f>
        <v>210.76625056318053</v>
      </c>
      <c r="F52" s="222">
        <f t="shared" ca="1" si="20"/>
        <v>1095.5003486166702</v>
      </c>
      <c r="G52" s="222">
        <f t="shared" ca="1" si="20"/>
        <v>0</v>
      </c>
      <c r="H52" s="222">
        <f t="shared" ca="1" si="20"/>
        <v>0</v>
      </c>
      <c r="I52" s="222">
        <f t="shared" ca="1" si="20"/>
        <v>165.95654132068245</v>
      </c>
      <c r="J52" s="222">
        <f t="shared" ca="1" si="20"/>
        <v>0</v>
      </c>
      <c r="K52" s="222">
        <f t="shared" ca="1" si="20"/>
        <v>1426.9868910391092</v>
      </c>
      <c r="L52" s="222">
        <f t="shared" ca="1" si="20"/>
        <v>1193.9640455791955</v>
      </c>
      <c r="M52" s="222">
        <f t="shared" ca="1" si="20"/>
        <v>3594.3690768525603</v>
      </c>
      <c r="N52" s="222">
        <f t="shared" ca="1" si="20"/>
        <v>3375.6465565327417</v>
      </c>
      <c r="O52" s="222">
        <f t="shared" ca="1" si="20"/>
        <v>447.29226595903242</v>
      </c>
      <c r="P52" s="222">
        <f t="shared" ca="1" si="20"/>
        <v>944.00424017470948</v>
      </c>
      <c r="Q52" s="222">
        <f t="shared" ca="1" si="20"/>
        <v>5601.9434419267527</v>
      </c>
      <c r="R52" s="222">
        <f t="shared" ca="1" si="20"/>
        <v>4628.083970875271</v>
      </c>
      <c r="S52" s="222">
        <f t="shared" ca="1" si="20"/>
        <v>0</v>
      </c>
      <c r="T52" s="222">
        <f t="shared" ca="1" si="20"/>
        <v>2407.4435722135208</v>
      </c>
      <c r="U52" s="222">
        <f t="shared" ca="1" si="20"/>
        <v>0</v>
      </c>
      <c r="V52" s="222">
        <f t="shared" ca="1" si="20"/>
        <v>0</v>
      </c>
      <c r="W52" s="222">
        <f t="shared" ca="1" si="20"/>
        <v>0</v>
      </c>
      <c r="X52" s="222">
        <f t="shared" ca="1" si="20"/>
        <v>0</v>
      </c>
      <c r="Y52" s="222">
        <f t="shared" ca="1" si="20"/>
        <v>0</v>
      </c>
      <c r="Z52" s="451">
        <f ca="1">SUM(D52:Y52)</f>
        <v>25091.957201653426</v>
      </c>
    </row>
    <row r="53" spans="1:27" s="53" customFormat="1">
      <c r="A53" s="150" t="s">
        <v>313</v>
      </c>
      <c r="D53" s="222">
        <f ca="1">D44</f>
        <v>0</v>
      </c>
      <c r="E53" s="222">
        <f t="shared" ref="E53:Y53" ca="1" si="21">E44</f>
        <v>-116.9419904737901</v>
      </c>
      <c r="F53" s="222">
        <f t="shared" ca="1" si="21"/>
        <v>-620.0920187802451</v>
      </c>
      <c r="G53" s="222">
        <f t="shared" ca="1" si="21"/>
        <v>0</v>
      </c>
      <c r="H53" s="222">
        <f t="shared" ca="1" si="21"/>
        <v>0</v>
      </c>
      <c r="I53" s="222">
        <f t="shared" ca="1" si="21"/>
        <v>-137.76635472643687</v>
      </c>
      <c r="J53" s="222">
        <f t="shared" ca="1" si="21"/>
        <v>0</v>
      </c>
      <c r="K53" s="222">
        <f t="shared" ca="1" si="21"/>
        <v>-774.18295127764623</v>
      </c>
      <c r="L53" s="222">
        <f t="shared" ca="1" si="21"/>
        <v>-648.07555710347651</v>
      </c>
      <c r="M53" s="222">
        <f t="shared" ca="1" si="21"/>
        <v>-1946.9842711341616</v>
      </c>
      <c r="N53" s="222">
        <f t="shared" ca="1" si="21"/>
        <v>-1828.6167524503774</v>
      </c>
      <c r="O53" s="222">
        <f t="shared" ca="1" si="21"/>
        <v>-121.99951704372602</v>
      </c>
      <c r="P53" s="222">
        <f t="shared" ca="1" si="21"/>
        <v>-192.62868699054525</v>
      </c>
      <c r="Q53" s="222">
        <f t="shared" ca="1" si="21"/>
        <v>-1061.2007206855856</v>
      </c>
      <c r="R53" s="222">
        <f t="shared" ca="1" si="21"/>
        <v>-876.76968896953122</v>
      </c>
      <c r="S53" s="222">
        <f t="shared" ca="1" si="21"/>
        <v>0</v>
      </c>
      <c r="T53" s="222">
        <f t="shared" ca="1" si="21"/>
        <v>0</v>
      </c>
      <c r="U53" s="222">
        <f t="shared" ca="1" si="21"/>
        <v>0</v>
      </c>
      <c r="V53" s="222">
        <f t="shared" ca="1" si="21"/>
        <v>0</v>
      </c>
      <c r="W53" s="222">
        <f t="shared" ca="1" si="21"/>
        <v>0</v>
      </c>
      <c r="X53" s="222">
        <f t="shared" ca="1" si="21"/>
        <v>0</v>
      </c>
      <c r="Y53" s="222">
        <f t="shared" ca="1" si="21"/>
        <v>0</v>
      </c>
      <c r="Z53" s="451">
        <f ca="1">SUM(D53:Y53)</f>
        <v>-8325.2585096355215</v>
      </c>
    </row>
    <row r="54" spans="1:27" s="15" customFormat="1">
      <c r="A54" s="420" t="s">
        <v>1946</v>
      </c>
      <c r="B54" s="491"/>
      <c r="C54" s="566"/>
      <c r="D54" s="408">
        <f ca="1">SUM(D52:D53)</f>
        <v>0</v>
      </c>
      <c r="E54" s="408">
        <f t="shared" ref="E54:Y54" ca="1" si="22">SUM(E52:E53)</f>
        <v>93.824260089390435</v>
      </c>
      <c r="F54" s="408">
        <f t="shared" ca="1" si="22"/>
        <v>475.40832983642508</v>
      </c>
      <c r="G54" s="408">
        <f t="shared" ca="1" si="22"/>
        <v>0</v>
      </c>
      <c r="H54" s="408">
        <f t="shared" ca="1" si="22"/>
        <v>0</v>
      </c>
      <c r="I54" s="408">
        <f t="shared" ca="1" si="22"/>
        <v>28.190186594245574</v>
      </c>
      <c r="J54" s="408">
        <f t="shared" ca="1" si="22"/>
        <v>0</v>
      </c>
      <c r="K54" s="408">
        <f t="shared" ca="1" si="22"/>
        <v>652.80393976146297</v>
      </c>
      <c r="L54" s="408">
        <f t="shared" ca="1" si="22"/>
        <v>545.88848847571899</v>
      </c>
      <c r="M54" s="408">
        <f t="shared" ca="1" si="22"/>
        <v>1647.3848057183986</v>
      </c>
      <c r="N54" s="408">
        <f t="shared" ca="1" si="22"/>
        <v>1547.0298040823643</v>
      </c>
      <c r="O54" s="408">
        <f t="shared" ca="1" si="22"/>
        <v>325.29274891530639</v>
      </c>
      <c r="P54" s="408">
        <f t="shared" ca="1" si="22"/>
        <v>751.37555318416423</v>
      </c>
      <c r="Q54" s="408">
        <f t="shared" ca="1" si="22"/>
        <v>4540.7427212411676</v>
      </c>
      <c r="R54" s="408">
        <f t="shared" ca="1" si="22"/>
        <v>3751.3142819057398</v>
      </c>
      <c r="S54" s="408">
        <f t="shared" ca="1" si="22"/>
        <v>0</v>
      </c>
      <c r="T54" s="408">
        <f t="shared" ca="1" si="22"/>
        <v>2407.4435722135208</v>
      </c>
      <c r="U54" s="408">
        <f t="shared" ca="1" si="22"/>
        <v>0</v>
      </c>
      <c r="V54" s="408">
        <f t="shared" ca="1" si="22"/>
        <v>0</v>
      </c>
      <c r="W54" s="408">
        <f t="shared" ca="1" si="22"/>
        <v>0</v>
      </c>
      <c r="X54" s="408">
        <f t="shared" ca="1" si="22"/>
        <v>0</v>
      </c>
      <c r="Y54" s="408">
        <f t="shared" ca="1" si="22"/>
        <v>0</v>
      </c>
      <c r="Z54" s="439">
        <f ca="1">SUM(D54:Y54)</f>
        <v>16766.698692017904</v>
      </c>
    </row>
    <row r="55" spans="1:27">
      <c r="A55" s="20"/>
      <c r="Z55" s="430"/>
    </row>
    <row r="56" spans="1:27" s="15" customFormat="1">
      <c r="A56" s="27" t="s">
        <v>606</v>
      </c>
      <c r="Z56" s="430"/>
    </row>
    <row r="57" spans="1:27" s="15" customFormat="1">
      <c r="A57" s="20" t="s">
        <v>255</v>
      </c>
      <c r="D57" s="37">
        <f ca="1">CF!D51</f>
        <v>0</v>
      </c>
      <c r="E57" s="37">
        <f ca="1">CF!E51</f>
        <v>-6578.0609479357427</v>
      </c>
      <c r="F57" s="37">
        <f ca="1">CF!F51</f>
        <v>-3771.1328721942714</v>
      </c>
      <c r="G57" s="37">
        <f ca="1">CF!G51</f>
        <v>-3011.5167629040229</v>
      </c>
      <c r="H57" s="37">
        <f ca="1">CF!H51</f>
        <v>-1651.6717033239365</v>
      </c>
      <c r="I57" s="37">
        <f ca="1">CF!I51</f>
        <v>2042.8918366943517</v>
      </c>
      <c r="J57" s="37">
        <f ca="1">CF!J51</f>
        <v>-7967.5646730677072</v>
      </c>
      <c r="K57" s="37">
        <f ca="1">CF!K51</f>
        <v>7865.5715786840065</v>
      </c>
      <c r="L57" s="37">
        <f ca="1">CF!L51</f>
        <v>8917.3419159967561</v>
      </c>
      <c r="M57" s="37">
        <f ca="1">CF!M51</f>
        <v>8656.0373433405766</v>
      </c>
      <c r="N57" s="37">
        <f ca="1">CF!N51</f>
        <v>7717.7267315853387</v>
      </c>
      <c r="O57" s="37">
        <f ca="1">CF!O51</f>
        <v>8069.9621543512276</v>
      </c>
      <c r="P57" s="37">
        <f ca="1">CF!P51</f>
        <v>9290.689898774388</v>
      </c>
      <c r="Q57" s="37">
        <f ca="1">CF!Q51</f>
        <v>10095.540917152164</v>
      </c>
      <c r="R57" s="37">
        <f ca="1">CF!R51</f>
        <v>7154.6617709283846</v>
      </c>
      <c r="S57" s="37">
        <f ca="1">CF!S51</f>
        <v>9570.654168705827</v>
      </c>
      <c r="T57" s="37">
        <f ca="1">CF!T51</f>
        <v>3584.931093732353</v>
      </c>
      <c r="U57" s="37">
        <f ca="1">CF!U51</f>
        <v>-7495.2285138640063</v>
      </c>
      <c r="V57" s="37">
        <f ca="1">CF!V51</f>
        <v>-11713.567705695645</v>
      </c>
      <c r="W57" s="37">
        <f ca="1">CF!W51</f>
        <v>-13109.304531018079</v>
      </c>
      <c r="X57" s="37">
        <f ca="1">CF!X51</f>
        <v>-11574.612876919249</v>
      </c>
      <c r="Y57" s="37">
        <f ca="1">CF!Y51</f>
        <v>-3103.4748856177998</v>
      </c>
      <c r="Z57" s="435">
        <f ca="1">SUM(D57:Y57)</f>
        <v>12989.873937404915</v>
      </c>
    </row>
    <row r="58" spans="1:27" s="15" customFormat="1">
      <c r="A58" s="20" t="s">
        <v>1937</v>
      </c>
      <c r="B58" s="34" t="s">
        <v>1939</v>
      </c>
      <c r="D58" s="142">
        <f t="shared" ref="D58:Y58" ca="1" si="23">-D64</f>
        <v>0</v>
      </c>
      <c r="E58" s="142">
        <f t="shared" ca="1" si="23"/>
        <v>0</v>
      </c>
      <c r="F58" s="142">
        <f t="shared" ca="1" si="23"/>
        <v>0</v>
      </c>
      <c r="G58" s="142">
        <f t="shared" ca="1" si="23"/>
        <v>0</v>
      </c>
      <c r="H58" s="142">
        <f t="shared" ca="1" si="23"/>
        <v>0</v>
      </c>
      <c r="I58" s="142">
        <f t="shared" ca="1" si="23"/>
        <v>-612.86755100830544</v>
      </c>
      <c r="J58" s="142">
        <f t="shared" ca="1" si="23"/>
        <v>0</v>
      </c>
      <c r="K58" s="142">
        <f t="shared" ca="1" si="23"/>
        <v>-2359.6714736052018</v>
      </c>
      <c r="L58" s="142">
        <f t="shared" ca="1" si="23"/>
        <v>-2675.2025747990269</v>
      </c>
      <c r="M58" s="142">
        <f t="shared" ca="1" si="23"/>
        <v>-2596.811203002173</v>
      </c>
      <c r="N58" s="142">
        <f t="shared" ca="1" si="23"/>
        <v>-2315.3180194756014</v>
      </c>
      <c r="O58" s="142">
        <f t="shared" ca="1" si="23"/>
        <v>-2420.9886463053681</v>
      </c>
      <c r="P58" s="142">
        <f t="shared" ca="1" si="23"/>
        <v>-2787.2069696323165</v>
      </c>
      <c r="Q58" s="142">
        <f t="shared" ca="1" si="23"/>
        <v>-3028.6622751456493</v>
      </c>
      <c r="R58" s="142">
        <f t="shared" ca="1" si="23"/>
        <v>-2146.3985312785153</v>
      </c>
      <c r="S58" s="142">
        <f t="shared" ca="1" si="23"/>
        <v>-2036.8197151735239</v>
      </c>
      <c r="T58" s="142">
        <f t="shared" ca="1" si="23"/>
        <v>0</v>
      </c>
      <c r="U58" s="142">
        <f t="shared" ca="1" si="23"/>
        <v>0</v>
      </c>
      <c r="V58" s="142">
        <f t="shared" ca="1" si="23"/>
        <v>0</v>
      </c>
      <c r="W58" s="142">
        <f t="shared" ca="1" si="23"/>
        <v>0</v>
      </c>
      <c r="X58" s="142">
        <f t="shared" ca="1" si="23"/>
        <v>0</v>
      </c>
      <c r="Y58" s="142">
        <f t="shared" ca="1" si="23"/>
        <v>0</v>
      </c>
      <c r="Z58" s="436"/>
    </row>
    <row r="59" spans="1:27" s="15" customFormat="1">
      <c r="A59" s="20" t="s">
        <v>256</v>
      </c>
      <c r="D59" s="37">
        <f t="shared" ref="D59:Y59" ca="1" si="24">IF(D57&lt;0,0,SUM(D57:D58))</f>
        <v>0</v>
      </c>
      <c r="E59" s="37">
        <f t="shared" ca="1" si="24"/>
        <v>0</v>
      </c>
      <c r="F59" s="37">
        <f t="shared" ca="1" si="24"/>
        <v>0</v>
      </c>
      <c r="G59" s="37">
        <f t="shared" ca="1" si="24"/>
        <v>0</v>
      </c>
      <c r="H59" s="37">
        <f t="shared" ca="1" si="24"/>
        <v>0</v>
      </c>
      <c r="I59" s="37">
        <f t="shared" ca="1" si="24"/>
        <v>1430.0242856860464</v>
      </c>
      <c r="J59" s="37">
        <f t="shared" ca="1" si="24"/>
        <v>0</v>
      </c>
      <c r="K59" s="37">
        <f t="shared" ca="1" si="24"/>
        <v>5505.9001050788047</v>
      </c>
      <c r="L59" s="37">
        <f t="shared" ca="1" si="24"/>
        <v>6242.1393411977297</v>
      </c>
      <c r="M59" s="37">
        <f t="shared" ca="1" si="24"/>
        <v>6059.2261403384036</v>
      </c>
      <c r="N59" s="37">
        <f t="shared" ca="1" si="24"/>
        <v>5402.4087121097373</v>
      </c>
      <c r="O59" s="37">
        <f t="shared" ca="1" si="24"/>
        <v>5648.9735080458595</v>
      </c>
      <c r="P59" s="37">
        <f t="shared" ca="1" si="24"/>
        <v>6503.482929142072</v>
      </c>
      <c r="Q59" s="37">
        <f t="shared" ca="1" si="24"/>
        <v>7066.8786420065153</v>
      </c>
      <c r="R59" s="37">
        <f t="shared" ca="1" si="24"/>
        <v>5008.2632396498693</v>
      </c>
      <c r="S59" s="37">
        <f t="shared" ca="1" si="24"/>
        <v>7533.8344535323031</v>
      </c>
      <c r="T59" s="37">
        <f t="shared" ca="1" si="24"/>
        <v>3584.931093732353</v>
      </c>
      <c r="U59" s="37">
        <f t="shared" ca="1" si="24"/>
        <v>0</v>
      </c>
      <c r="V59" s="37">
        <f t="shared" ca="1" si="24"/>
        <v>0</v>
      </c>
      <c r="W59" s="37">
        <f t="shared" ca="1" si="24"/>
        <v>0</v>
      </c>
      <c r="X59" s="37">
        <f t="shared" ca="1" si="24"/>
        <v>0</v>
      </c>
      <c r="Y59" s="37">
        <f t="shared" ca="1" si="24"/>
        <v>0</v>
      </c>
      <c r="Z59" s="435">
        <f ca="1">SUM(D59:Y59)</f>
        <v>59986.06245051969</v>
      </c>
      <c r="AA59" s="218"/>
    </row>
    <row r="60" spans="1:27" s="218" customFormat="1">
      <c r="A60" s="560"/>
      <c r="Z60" s="427"/>
    </row>
    <row r="61" spans="1:27" s="218" customFormat="1">
      <c r="A61" s="1171" t="s">
        <v>244</v>
      </c>
      <c r="Z61" s="427"/>
    </row>
    <row r="62" spans="1:27" s="15" customFormat="1">
      <c r="A62" s="20" t="s">
        <v>1936</v>
      </c>
      <c r="D62" s="766">
        <v>0</v>
      </c>
      <c r="E62" s="37">
        <f t="shared" ref="E62:Y62" ca="1" si="25">D65</f>
        <v>0</v>
      </c>
      <c r="F62" s="37">
        <f t="shared" ca="1" si="25"/>
        <v>0</v>
      </c>
      <c r="G62" s="37">
        <f t="shared" ca="1" si="25"/>
        <v>-6578.0609479357427</v>
      </c>
      <c r="H62" s="37">
        <f t="shared" ca="1" si="25"/>
        <v>-10349.193820130015</v>
      </c>
      <c r="I62" s="37">
        <f t="shared" ca="1" si="25"/>
        <v>-13360.710583034037</v>
      </c>
      <c r="J62" s="37">
        <f t="shared" ca="1" si="25"/>
        <v>-14399.514735349669</v>
      </c>
      <c r="K62" s="37">
        <f t="shared" ca="1" si="25"/>
        <v>-14399.514735349669</v>
      </c>
      <c r="L62" s="37">
        <f t="shared" ca="1" si="25"/>
        <v>-20007.407934812174</v>
      </c>
      <c r="M62" s="37">
        <f t="shared" ca="1" si="25"/>
        <v>-17332.205360013148</v>
      </c>
      <c r="N62" s="37">
        <f t="shared" ca="1" si="25"/>
        <v>-14735.394157010975</v>
      </c>
      <c r="O62" s="37">
        <f t="shared" ca="1" si="25"/>
        <v>-12420.076137535372</v>
      </c>
      <c r="P62" s="37">
        <f t="shared" ca="1" si="25"/>
        <v>-9999.0874912300042</v>
      </c>
      <c r="Q62" s="37">
        <f t="shared" ca="1" si="25"/>
        <v>-7211.8805215976881</v>
      </c>
      <c r="R62" s="37">
        <f t="shared" ca="1" si="25"/>
        <v>-4183.2182464520392</v>
      </c>
      <c r="S62" s="37">
        <f t="shared" ca="1" si="25"/>
        <v>-2036.8197151735239</v>
      </c>
      <c r="T62" s="37">
        <f t="shared" ca="1" si="25"/>
        <v>0</v>
      </c>
      <c r="U62" s="37">
        <f t="shared" ca="1" si="25"/>
        <v>0</v>
      </c>
      <c r="V62" s="37">
        <f t="shared" ca="1" si="25"/>
        <v>0</v>
      </c>
      <c r="W62" s="37">
        <f t="shared" ca="1" si="25"/>
        <v>-7495.2285138640063</v>
      </c>
      <c r="X62" s="37">
        <f t="shared" ca="1" si="25"/>
        <v>-19208.796219559652</v>
      </c>
      <c r="Y62" s="37">
        <f t="shared" ca="1" si="25"/>
        <v>-32318.100750577731</v>
      </c>
      <c r="Z62" s="435">
        <f>D62</f>
        <v>0</v>
      </c>
    </row>
    <row r="63" spans="1:27" s="15" customFormat="1">
      <c r="A63" s="20" t="s">
        <v>607</v>
      </c>
      <c r="D63" s="37">
        <f t="shared" ref="D63:Y63" si="26">IF(C57&lt;0,C57,0)</f>
        <v>0</v>
      </c>
      <c r="E63" s="37">
        <f t="shared" ca="1" si="26"/>
        <v>0</v>
      </c>
      <c r="F63" s="37">
        <f t="shared" ca="1" si="26"/>
        <v>-6578.0609479357427</v>
      </c>
      <c r="G63" s="37">
        <f t="shared" ca="1" si="26"/>
        <v>-3771.1328721942714</v>
      </c>
      <c r="H63" s="37">
        <f t="shared" ca="1" si="26"/>
        <v>-3011.5167629040229</v>
      </c>
      <c r="I63" s="37">
        <f t="shared" ca="1" si="26"/>
        <v>-1651.6717033239365</v>
      </c>
      <c r="J63" s="37">
        <f t="shared" ca="1" si="26"/>
        <v>0</v>
      </c>
      <c r="K63" s="37">
        <f t="shared" ca="1" si="26"/>
        <v>-7967.5646730677072</v>
      </c>
      <c r="L63" s="37">
        <f t="shared" ca="1" si="26"/>
        <v>0</v>
      </c>
      <c r="M63" s="37">
        <f t="shared" ca="1" si="26"/>
        <v>0</v>
      </c>
      <c r="N63" s="37">
        <f t="shared" ca="1" si="26"/>
        <v>0</v>
      </c>
      <c r="O63" s="37">
        <f t="shared" ca="1" si="26"/>
        <v>0</v>
      </c>
      <c r="P63" s="37">
        <f t="shared" ca="1" si="26"/>
        <v>0</v>
      </c>
      <c r="Q63" s="37">
        <f t="shared" ca="1" si="26"/>
        <v>0</v>
      </c>
      <c r="R63" s="37">
        <f t="shared" ca="1" si="26"/>
        <v>0</v>
      </c>
      <c r="S63" s="37">
        <f t="shared" ca="1" si="26"/>
        <v>0</v>
      </c>
      <c r="T63" s="37">
        <f t="shared" ca="1" si="26"/>
        <v>0</v>
      </c>
      <c r="U63" s="37">
        <f t="shared" ca="1" si="26"/>
        <v>0</v>
      </c>
      <c r="V63" s="37">
        <f t="shared" ca="1" si="26"/>
        <v>-7495.2285138640063</v>
      </c>
      <c r="W63" s="37">
        <f t="shared" ca="1" si="26"/>
        <v>-11713.567705695645</v>
      </c>
      <c r="X63" s="37">
        <f t="shared" ca="1" si="26"/>
        <v>-13109.304531018079</v>
      </c>
      <c r="Y63" s="37">
        <f t="shared" ca="1" si="26"/>
        <v>-11574.612876919249</v>
      </c>
      <c r="Z63" s="435">
        <f ca="1">SUM(D63:Y63)</f>
        <v>-66872.660586922648</v>
      </c>
    </row>
    <row r="64" spans="1:27" s="15" customFormat="1">
      <c r="A64" s="20" t="s">
        <v>1937</v>
      </c>
      <c r="B64" s="34" t="str">
        <f>CONCATENATE("Capped @ ",TEXT(Nol,"0%"))</f>
        <v>Capped @ 30%</v>
      </c>
      <c r="D64" s="142">
        <f t="shared" ref="D64:Y64" ca="1" si="27">IF(D57&gt;0,-MAX(-Nol*D57,SUM(D62:D63)),0)</f>
        <v>0</v>
      </c>
      <c r="E64" s="142">
        <f t="shared" ca="1" si="27"/>
        <v>0</v>
      </c>
      <c r="F64" s="142">
        <f t="shared" ca="1" si="27"/>
        <v>0</v>
      </c>
      <c r="G64" s="142">
        <f t="shared" ca="1" si="27"/>
        <v>0</v>
      </c>
      <c r="H64" s="142">
        <f t="shared" ca="1" si="27"/>
        <v>0</v>
      </c>
      <c r="I64" s="142">
        <f t="shared" ca="1" si="27"/>
        <v>612.86755100830544</v>
      </c>
      <c r="J64" s="142">
        <f t="shared" ca="1" si="27"/>
        <v>0</v>
      </c>
      <c r="K64" s="142">
        <f t="shared" ca="1" si="27"/>
        <v>2359.6714736052018</v>
      </c>
      <c r="L64" s="142">
        <f t="shared" ca="1" si="27"/>
        <v>2675.2025747990269</v>
      </c>
      <c r="M64" s="142">
        <f t="shared" ca="1" si="27"/>
        <v>2596.811203002173</v>
      </c>
      <c r="N64" s="142">
        <f t="shared" ca="1" si="27"/>
        <v>2315.3180194756014</v>
      </c>
      <c r="O64" s="142">
        <f t="shared" ca="1" si="27"/>
        <v>2420.9886463053681</v>
      </c>
      <c r="P64" s="142">
        <f t="shared" ca="1" si="27"/>
        <v>2787.2069696323165</v>
      </c>
      <c r="Q64" s="142">
        <f t="shared" ca="1" si="27"/>
        <v>3028.6622751456493</v>
      </c>
      <c r="R64" s="142">
        <f t="shared" ca="1" si="27"/>
        <v>2146.3985312785153</v>
      </c>
      <c r="S64" s="142">
        <f t="shared" ca="1" si="27"/>
        <v>2036.8197151735239</v>
      </c>
      <c r="T64" s="142">
        <f t="shared" ca="1" si="27"/>
        <v>0</v>
      </c>
      <c r="U64" s="142">
        <f t="shared" ca="1" si="27"/>
        <v>0</v>
      </c>
      <c r="V64" s="142">
        <f t="shared" ca="1" si="27"/>
        <v>0</v>
      </c>
      <c r="W64" s="142">
        <f t="shared" ca="1" si="27"/>
        <v>0</v>
      </c>
      <c r="X64" s="142">
        <f t="shared" ca="1" si="27"/>
        <v>0</v>
      </c>
      <c r="Y64" s="142">
        <f t="shared" ca="1" si="27"/>
        <v>0</v>
      </c>
      <c r="Z64" s="436">
        <f ca="1">SUM(D64:Y64)</f>
        <v>22979.946959425681</v>
      </c>
    </row>
    <row r="65" spans="1:26" s="15" customFormat="1">
      <c r="A65" s="20" t="s">
        <v>1938</v>
      </c>
      <c r="C65" s="25"/>
      <c r="D65" s="37">
        <f t="shared" ref="D65:Z65" ca="1" si="28">SUM(D62:D64)</f>
        <v>0</v>
      </c>
      <c r="E65" s="37">
        <f t="shared" ca="1" si="28"/>
        <v>0</v>
      </c>
      <c r="F65" s="37">
        <f t="shared" ca="1" si="28"/>
        <v>-6578.0609479357427</v>
      </c>
      <c r="G65" s="37">
        <f t="shared" ca="1" si="28"/>
        <v>-10349.193820130015</v>
      </c>
      <c r="H65" s="37">
        <f t="shared" ca="1" si="28"/>
        <v>-13360.710583034037</v>
      </c>
      <c r="I65" s="37">
        <f t="shared" ca="1" si="28"/>
        <v>-14399.514735349669</v>
      </c>
      <c r="J65" s="37">
        <f t="shared" ca="1" si="28"/>
        <v>-14399.514735349669</v>
      </c>
      <c r="K65" s="37">
        <f t="shared" ca="1" si="28"/>
        <v>-20007.407934812174</v>
      </c>
      <c r="L65" s="37">
        <f t="shared" ca="1" si="28"/>
        <v>-17332.205360013148</v>
      </c>
      <c r="M65" s="37">
        <f t="shared" ca="1" si="28"/>
        <v>-14735.394157010975</v>
      </c>
      <c r="N65" s="37">
        <f t="shared" ca="1" si="28"/>
        <v>-12420.076137535372</v>
      </c>
      <c r="O65" s="37">
        <f t="shared" ca="1" si="28"/>
        <v>-9999.0874912300042</v>
      </c>
      <c r="P65" s="37">
        <f t="shared" ca="1" si="28"/>
        <v>-7211.8805215976881</v>
      </c>
      <c r="Q65" s="37">
        <f t="shared" ca="1" si="28"/>
        <v>-4183.2182464520392</v>
      </c>
      <c r="R65" s="37">
        <f t="shared" ca="1" si="28"/>
        <v>-2036.8197151735239</v>
      </c>
      <c r="S65" s="37">
        <f t="shared" ca="1" si="28"/>
        <v>0</v>
      </c>
      <c r="T65" s="37">
        <f t="shared" ca="1" si="28"/>
        <v>0</v>
      </c>
      <c r="U65" s="37">
        <f t="shared" ca="1" si="28"/>
        <v>0</v>
      </c>
      <c r="V65" s="37">
        <f t="shared" ca="1" si="28"/>
        <v>-7495.2285138640063</v>
      </c>
      <c r="W65" s="37">
        <f t="shared" ca="1" si="28"/>
        <v>-19208.796219559652</v>
      </c>
      <c r="X65" s="37">
        <f t="shared" ca="1" si="28"/>
        <v>-32318.100750577731</v>
      </c>
      <c r="Y65" s="37">
        <f t="shared" ca="1" si="28"/>
        <v>-43892.713627496982</v>
      </c>
      <c r="Z65" s="435">
        <f t="shared" ca="1" si="28"/>
        <v>-43892.713627496967</v>
      </c>
    </row>
    <row r="66" spans="1:26">
      <c r="A66" s="20"/>
      <c r="Z66" s="430"/>
    </row>
    <row r="67" spans="1:26" s="15" customFormat="1">
      <c r="A67" s="128" t="s">
        <v>357</v>
      </c>
      <c r="C67" s="2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431"/>
    </row>
    <row r="68" spans="1:26" s="15" customFormat="1">
      <c r="A68" s="20" t="s">
        <v>256</v>
      </c>
      <c r="C68" s="25"/>
      <c r="D68" s="37">
        <f t="shared" ref="D68:Y68" ca="1" si="29">D$59</f>
        <v>0</v>
      </c>
      <c r="E68" s="37">
        <f t="shared" ca="1" si="29"/>
        <v>0</v>
      </c>
      <c r="F68" s="37">
        <f t="shared" ca="1" si="29"/>
        <v>0</v>
      </c>
      <c r="G68" s="37">
        <f t="shared" ca="1" si="29"/>
        <v>0</v>
      </c>
      <c r="H68" s="37">
        <f t="shared" ca="1" si="29"/>
        <v>0</v>
      </c>
      <c r="I68" s="37">
        <f t="shared" ca="1" si="29"/>
        <v>1430.0242856860464</v>
      </c>
      <c r="J68" s="37">
        <f t="shared" ca="1" si="29"/>
        <v>0</v>
      </c>
      <c r="K68" s="37">
        <f t="shared" ca="1" si="29"/>
        <v>5505.9001050788047</v>
      </c>
      <c r="L68" s="37">
        <f t="shared" ca="1" si="29"/>
        <v>6242.1393411977297</v>
      </c>
      <c r="M68" s="37">
        <f t="shared" ca="1" si="29"/>
        <v>6059.2261403384036</v>
      </c>
      <c r="N68" s="37">
        <f t="shared" ca="1" si="29"/>
        <v>5402.4087121097373</v>
      </c>
      <c r="O68" s="37">
        <f t="shared" ca="1" si="29"/>
        <v>5648.9735080458595</v>
      </c>
      <c r="P68" s="37">
        <f t="shared" ca="1" si="29"/>
        <v>6503.482929142072</v>
      </c>
      <c r="Q68" s="37">
        <f t="shared" ca="1" si="29"/>
        <v>7066.8786420065153</v>
      </c>
      <c r="R68" s="37">
        <f t="shared" ca="1" si="29"/>
        <v>5008.2632396498693</v>
      </c>
      <c r="S68" s="37">
        <f t="shared" ca="1" si="29"/>
        <v>7533.8344535323031</v>
      </c>
      <c r="T68" s="37">
        <f t="shared" ca="1" si="29"/>
        <v>3584.931093732353</v>
      </c>
      <c r="U68" s="37">
        <f t="shared" ca="1" si="29"/>
        <v>0</v>
      </c>
      <c r="V68" s="37">
        <f t="shared" ca="1" si="29"/>
        <v>0</v>
      </c>
      <c r="W68" s="37">
        <f t="shared" ca="1" si="29"/>
        <v>0</v>
      </c>
      <c r="X68" s="37">
        <f t="shared" ca="1" si="29"/>
        <v>0</v>
      </c>
      <c r="Y68" s="37">
        <f t="shared" ca="1" si="29"/>
        <v>0</v>
      </c>
      <c r="Z68" s="435">
        <f ca="1">SUM(D68:Y68)</f>
        <v>59986.06245051969</v>
      </c>
    </row>
    <row r="69" spans="1:26" s="15" customFormat="1">
      <c r="A69" s="20" t="s">
        <v>1022</v>
      </c>
      <c r="C69" s="25"/>
      <c r="D69" s="71">
        <f t="shared" ref="D69:Y69" si="30">Tax</f>
        <v>0.15</v>
      </c>
      <c r="E69" s="71">
        <f t="shared" si="30"/>
        <v>0.15</v>
      </c>
      <c r="F69" s="71">
        <f t="shared" si="30"/>
        <v>0.15</v>
      </c>
      <c r="G69" s="71">
        <f t="shared" si="30"/>
        <v>0.15</v>
      </c>
      <c r="H69" s="71">
        <f t="shared" si="30"/>
        <v>0.15</v>
      </c>
      <c r="I69" s="71">
        <f t="shared" si="30"/>
        <v>0.15</v>
      </c>
      <c r="J69" s="71">
        <f t="shared" si="30"/>
        <v>0.15</v>
      </c>
      <c r="K69" s="71">
        <f t="shared" si="30"/>
        <v>0.15</v>
      </c>
      <c r="L69" s="71">
        <f t="shared" si="30"/>
        <v>0.15</v>
      </c>
      <c r="M69" s="71">
        <f t="shared" si="30"/>
        <v>0.15</v>
      </c>
      <c r="N69" s="71">
        <f t="shared" si="30"/>
        <v>0.15</v>
      </c>
      <c r="O69" s="71">
        <f t="shared" si="30"/>
        <v>0.15</v>
      </c>
      <c r="P69" s="71">
        <f t="shared" si="30"/>
        <v>0.15</v>
      </c>
      <c r="Q69" s="71">
        <f t="shared" si="30"/>
        <v>0.15</v>
      </c>
      <c r="R69" s="71">
        <f t="shared" si="30"/>
        <v>0.15</v>
      </c>
      <c r="S69" s="71">
        <f t="shared" si="30"/>
        <v>0.15</v>
      </c>
      <c r="T69" s="71">
        <f t="shared" si="30"/>
        <v>0.15</v>
      </c>
      <c r="U69" s="71">
        <f t="shared" si="30"/>
        <v>0.15</v>
      </c>
      <c r="V69" s="71">
        <f t="shared" si="30"/>
        <v>0.15</v>
      </c>
      <c r="W69" s="71">
        <f t="shared" si="30"/>
        <v>0.15</v>
      </c>
      <c r="X69" s="71">
        <f t="shared" si="30"/>
        <v>0.15</v>
      </c>
      <c r="Y69" s="71">
        <f t="shared" si="30"/>
        <v>0.15</v>
      </c>
      <c r="Z69" s="431"/>
    </row>
    <row r="70" spans="1:26" s="15" customFormat="1">
      <c r="A70" s="20" t="s">
        <v>605</v>
      </c>
      <c r="C70" s="25"/>
      <c r="D70" s="37">
        <f t="shared" ref="D70:Y70" ca="1" si="31">D68*D69</f>
        <v>0</v>
      </c>
      <c r="E70" s="37">
        <f t="shared" ca="1" si="31"/>
        <v>0</v>
      </c>
      <c r="F70" s="37">
        <f t="shared" ca="1" si="31"/>
        <v>0</v>
      </c>
      <c r="G70" s="37">
        <f t="shared" ca="1" si="31"/>
        <v>0</v>
      </c>
      <c r="H70" s="37">
        <f t="shared" ca="1" si="31"/>
        <v>0</v>
      </c>
      <c r="I70" s="37">
        <f t="shared" ca="1" si="31"/>
        <v>214.50364285290695</v>
      </c>
      <c r="J70" s="37">
        <f t="shared" ca="1" si="31"/>
        <v>0</v>
      </c>
      <c r="K70" s="37">
        <f t="shared" ca="1" si="31"/>
        <v>825.88501576182068</v>
      </c>
      <c r="L70" s="37">
        <f t="shared" ca="1" si="31"/>
        <v>936.32090117965936</v>
      </c>
      <c r="M70" s="37">
        <f t="shared" ca="1" si="31"/>
        <v>908.88392105076048</v>
      </c>
      <c r="N70" s="37">
        <f t="shared" ca="1" si="31"/>
        <v>810.36130681646057</v>
      </c>
      <c r="O70" s="37">
        <f t="shared" ca="1" si="31"/>
        <v>847.34602620687895</v>
      </c>
      <c r="P70" s="37">
        <f t="shared" ca="1" si="31"/>
        <v>975.52243937131072</v>
      </c>
      <c r="Q70" s="37">
        <f t="shared" ca="1" si="31"/>
        <v>1060.0317963009772</v>
      </c>
      <c r="R70" s="37">
        <f t="shared" ca="1" si="31"/>
        <v>751.23948594748038</v>
      </c>
      <c r="S70" s="37">
        <f t="shared" ca="1" si="31"/>
        <v>1130.0751680298454</v>
      </c>
      <c r="T70" s="37">
        <f t="shared" ca="1" si="31"/>
        <v>537.73966405985288</v>
      </c>
      <c r="U70" s="37">
        <f t="shared" ca="1" si="31"/>
        <v>0</v>
      </c>
      <c r="V70" s="37">
        <f t="shared" ca="1" si="31"/>
        <v>0</v>
      </c>
      <c r="W70" s="37">
        <f t="shared" ca="1" si="31"/>
        <v>0</v>
      </c>
      <c r="X70" s="37">
        <f t="shared" ca="1" si="31"/>
        <v>0</v>
      </c>
      <c r="Y70" s="37">
        <f t="shared" ca="1" si="31"/>
        <v>0</v>
      </c>
      <c r="Z70" s="435">
        <f ca="1">SUM(D70:Y70)</f>
        <v>8997.909367577955</v>
      </c>
    </row>
    <row r="71" spans="1:26" s="218" customFormat="1">
      <c r="A71" s="560"/>
      <c r="C71" s="269"/>
      <c r="Z71" s="427"/>
    </row>
    <row r="72" spans="1:26" s="15" customFormat="1">
      <c r="A72" s="128" t="s">
        <v>359</v>
      </c>
      <c r="C72" s="2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431"/>
    </row>
    <row r="73" spans="1:26" s="15" customFormat="1">
      <c r="A73" s="20" t="s">
        <v>256</v>
      </c>
      <c r="D73" s="37">
        <f t="shared" ref="D73:Y73" ca="1" si="32">D$59</f>
        <v>0</v>
      </c>
      <c r="E73" s="37">
        <f t="shared" ca="1" si="32"/>
        <v>0</v>
      </c>
      <c r="F73" s="37">
        <f t="shared" ca="1" si="32"/>
        <v>0</v>
      </c>
      <c r="G73" s="37">
        <f t="shared" ca="1" si="32"/>
        <v>0</v>
      </c>
      <c r="H73" s="37">
        <f t="shared" ca="1" si="32"/>
        <v>0</v>
      </c>
      <c r="I73" s="37">
        <f t="shared" ca="1" si="32"/>
        <v>1430.0242856860464</v>
      </c>
      <c r="J73" s="37">
        <f t="shared" ca="1" si="32"/>
        <v>0</v>
      </c>
      <c r="K73" s="37">
        <f t="shared" ca="1" si="32"/>
        <v>5505.9001050788047</v>
      </c>
      <c r="L73" s="37">
        <f t="shared" ca="1" si="32"/>
        <v>6242.1393411977297</v>
      </c>
      <c r="M73" s="37">
        <f t="shared" ca="1" si="32"/>
        <v>6059.2261403384036</v>
      </c>
      <c r="N73" s="37">
        <f t="shared" ca="1" si="32"/>
        <v>5402.4087121097373</v>
      </c>
      <c r="O73" s="37">
        <f t="shared" ca="1" si="32"/>
        <v>5648.9735080458595</v>
      </c>
      <c r="P73" s="37">
        <f t="shared" ca="1" si="32"/>
        <v>6503.482929142072</v>
      </c>
      <c r="Q73" s="37">
        <f t="shared" ca="1" si="32"/>
        <v>7066.8786420065153</v>
      </c>
      <c r="R73" s="37">
        <f t="shared" ca="1" si="32"/>
        <v>5008.2632396498693</v>
      </c>
      <c r="S73" s="37">
        <f t="shared" ca="1" si="32"/>
        <v>7533.8344535323031</v>
      </c>
      <c r="T73" s="37">
        <f t="shared" ca="1" si="32"/>
        <v>3584.931093732353</v>
      </c>
      <c r="U73" s="37">
        <f t="shared" ca="1" si="32"/>
        <v>0</v>
      </c>
      <c r="V73" s="37">
        <f t="shared" ca="1" si="32"/>
        <v>0</v>
      </c>
      <c r="W73" s="37">
        <f t="shared" ca="1" si="32"/>
        <v>0</v>
      </c>
      <c r="X73" s="37">
        <f t="shared" ca="1" si="32"/>
        <v>0</v>
      </c>
      <c r="Y73" s="37">
        <f t="shared" ca="1" si="32"/>
        <v>0</v>
      </c>
      <c r="Z73" s="435">
        <f ca="1">SUM(D73:Y73)</f>
        <v>59986.06245051969</v>
      </c>
    </row>
    <row r="74" spans="1:26" s="15" customFormat="1">
      <c r="A74" s="20" t="s">
        <v>1811</v>
      </c>
      <c r="C74" s="25"/>
      <c r="D74" s="142">
        <f ca="1">-IF(D73&lt;=0,0,MIN(D73,Assm!$L$9/Rev_Exp!D$27*D$9/12))</f>
        <v>0</v>
      </c>
      <c r="E74" s="142">
        <f ca="1">-IF(E73&lt;=0,0,MIN(E73,Assm!$L$9/Rev_Exp!E$27*E$9/12))</f>
        <v>0</v>
      </c>
      <c r="F74" s="142">
        <f ca="1">-IF(F73&lt;=0,0,MIN(F73,Assm!$L$9/Rev_Exp!F$27*F$9/12))</f>
        <v>0</v>
      </c>
      <c r="G74" s="142">
        <f ca="1">-IF(G73&lt;=0,0,MIN(G73,Assm!$L$9/Rev_Exp!G$27*G$9/12))</f>
        <v>0</v>
      </c>
      <c r="H74" s="142">
        <f ca="1">-IF(H73&lt;=0,0,MIN(H73,Assm!$L$9/Rev_Exp!H$27*H$9/12))</f>
        <v>0</v>
      </c>
      <c r="I74" s="142">
        <f ca="1">-IF(I73&lt;=0,0,MIN(I73,Assm!$L$9/Rev_Exp!I$27*I$9/12))</f>
        <v>-116.3299608272614</v>
      </c>
      <c r="J74" s="142">
        <f ca="1">-IF(J73&lt;=0,0,MIN(J73,Assm!$L$9/Rev_Exp!J$27*J$9/12))</f>
        <v>0</v>
      </c>
      <c r="K74" s="142">
        <f ca="1">-IF(K73&lt;=0,0,MIN(K73,Assm!$L$9/Rev_Exp!K$27*K$9/12))</f>
        <v>-107.32933183969946</v>
      </c>
      <c r="L74" s="142">
        <f ca="1">-IF(L73&lt;=0,0,MIN(L73,Assm!$L$9/Rev_Exp!L$27*L$9/12))</f>
        <v>-104.22157210899813</v>
      </c>
      <c r="M74" s="142">
        <f ca="1">-IF(M73&lt;=0,0,MIN(M73,Assm!$L$9/Rev_Exp!M$27*M$9/12))</f>
        <v>-101.36265833831213</v>
      </c>
      <c r="N74" s="142">
        <f ca="1">-IF(N73&lt;=0,0,MIN(N73,Assm!$L$9/Rev_Exp!N$27*N$9/12))</f>
        <v>-98.644999415122655</v>
      </c>
      <c r="O74" s="142">
        <f ca="1">-IF(O73&lt;=0,0,MIN(O73,Assm!$L$9/Rev_Exp!O$27*O$9/12))</f>
        <v>-96.111715076120177</v>
      </c>
      <c r="P74" s="142">
        <f ca="1">-IF(P73&lt;=0,0,MIN(P73,Assm!$L$9/Rev_Exp!P$27*P$9/12))</f>
        <v>-93.739381818587063</v>
      </c>
      <c r="Q74" s="142">
        <f ca="1">-IF(Q73&lt;=0,0,MIN(Q73,Assm!$L$9/Rev_Exp!Q$27*Q$9/12))</f>
        <v>-91.519897089418478</v>
      </c>
      <c r="R74" s="142">
        <f ca="1">-IF(R73&lt;=0,0,MIN(R73,Assm!$L$9/Rev_Exp!R$27*R$9/12))</f>
        <v>-89.531659879625224</v>
      </c>
      <c r="S74" s="142">
        <f ca="1">-IF(S73&lt;=0,0,MIN(S73,Assm!$L$9/Rev_Exp!S$27*S$9/12))</f>
        <v>-87.736657220987652</v>
      </c>
      <c r="T74" s="142">
        <f ca="1">-IF(T73&lt;=0,0,MIN(T73,Assm!$L$9/Rev_Exp!T$27*T$9/12))</f>
        <v>-86.010903858653037</v>
      </c>
      <c r="U74" s="142">
        <f ca="1">-IF(U73&lt;=0,0,MIN(U73,Assm!$L$9/Rev_Exp!U$27*U$9/12))</f>
        <v>0</v>
      </c>
      <c r="V74" s="142">
        <f ca="1">-IF(V73&lt;=0,0,MIN(V73,Assm!$L$9/Rev_Exp!V$27*V$9/12))</f>
        <v>0</v>
      </c>
      <c r="W74" s="142">
        <f ca="1">-IF(W73&lt;=0,0,MIN(W73,Assm!$L$9/Rev_Exp!W$27*W$9/12))</f>
        <v>0</v>
      </c>
      <c r="X74" s="142">
        <f ca="1">-IF(X73&lt;=0,0,MIN(X73,Assm!$L$9/Rev_Exp!X$27*X$9/12))</f>
        <v>0</v>
      </c>
      <c r="Y74" s="142">
        <f ca="1">-IF(Y73&lt;=0,0,MIN(Y73,Assm!$L$9/Rev_Exp!Y$27*Y$9/12))</f>
        <v>0</v>
      </c>
      <c r="Z74" s="436">
        <f ca="1">SUM(D74:Y74)</f>
        <v>-1072.5387374727854</v>
      </c>
    </row>
    <row r="75" spans="1:26" s="15" customFormat="1">
      <c r="A75" s="20" t="s">
        <v>1810</v>
      </c>
      <c r="C75" s="25"/>
      <c r="D75" s="37">
        <f t="shared" ref="D75:Y75" ca="1" si="33">SUM(D73:D74)</f>
        <v>0</v>
      </c>
      <c r="E75" s="37">
        <f t="shared" ca="1" si="33"/>
        <v>0</v>
      </c>
      <c r="F75" s="37">
        <f t="shared" ca="1" si="33"/>
        <v>0</v>
      </c>
      <c r="G75" s="37">
        <f t="shared" ca="1" si="33"/>
        <v>0</v>
      </c>
      <c r="H75" s="37">
        <f t="shared" ca="1" si="33"/>
        <v>0</v>
      </c>
      <c r="I75" s="37">
        <f t="shared" ca="1" si="33"/>
        <v>1313.694324858785</v>
      </c>
      <c r="J75" s="37">
        <f t="shared" ca="1" si="33"/>
        <v>0</v>
      </c>
      <c r="K75" s="37">
        <f t="shared" ca="1" si="33"/>
        <v>5398.5707732391056</v>
      </c>
      <c r="L75" s="37">
        <f t="shared" ca="1" si="33"/>
        <v>6137.9177690887318</v>
      </c>
      <c r="M75" s="37">
        <f t="shared" ca="1" si="33"/>
        <v>5957.8634820000916</v>
      </c>
      <c r="N75" s="37">
        <f t="shared" ca="1" si="33"/>
        <v>5303.7637126946147</v>
      </c>
      <c r="O75" s="37">
        <f t="shared" ca="1" si="33"/>
        <v>5552.8617929697393</v>
      </c>
      <c r="P75" s="37">
        <f t="shared" ca="1" si="33"/>
        <v>6409.7435473234846</v>
      </c>
      <c r="Q75" s="37">
        <f t="shared" ca="1" si="33"/>
        <v>6975.3587449170964</v>
      </c>
      <c r="R75" s="37">
        <f t="shared" ca="1" si="33"/>
        <v>4918.731579770244</v>
      </c>
      <c r="S75" s="37">
        <f t="shared" ca="1" si="33"/>
        <v>7446.0977963113155</v>
      </c>
      <c r="T75" s="37">
        <f t="shared" ca="1" si="33"/>
        <v>3498.9201898737001</v>
      </c>
      <c r="U75" s="37">
        <f t="shared" ca="1" si="33"/>
        <v>0</v>
      </c>
      <c r="V75" s="37">
        <f t="shared" ca="1" si="33"/>
        <v>0</v>
      </c>
      <c r="W75" s="37">
        <f t="shared" ca="1" si="33"/>
        <v>0</v>
      </c>
      <c r="X75" s="37">
        <f t="shared" ca="1" si="33"/>
        <v>0</v>
      </c>
      <c r="Y75" s="37">
        <f t="shared" ca="1" si="33"/>
        <v>0</v>
      </c>
      <c r="Z75" s="435">
        <f ca="1">SUM(D75:Y75)</f>
        <v>58913.52371304691</v>
      </c>
    </row>
    <row r="76" spans="1:26" s="15" customFormat="1">
      <c r="A76" s="20" t="s">
        <v>17</v>
      </c>
      <c r="C76" s="25"/>
      <c r="D76" s="71">
        <f t="shared" ref="D76:Y76" si="34">AddTax</f>
        <v>0.1</v>
      </c>
      <c r="E76" s="71">
        <f t="shared" si="34"/>
        <v>0.1</v>
      </c>
      <c r="F76" s="71">
        <f t="shared" si="34"/>
        <v>0.1</v>
      </c>
      <c r="G76" s="71">
        <f t="shared" si="34"/>
        <v>0.1</v>
      </c>
      <c r="H76" s="71">
        <f t="shared" si="34"/>
        <v>0.1</v>
      </c>
      <c r="I76" s="71">
        <f t="shared" si="34"/>
        <v>0.1</v>
      </c>
      <c r="J76" s="71">
        <f t="shared" si="34"/>
        <v>0.1</v>
      </c>
      <c r="K76" s="71">
        <f t="shared" si="34"/>
        <v>0.1</v>
      </c>
      <c r="L76" s="71">
        <f t="shared" si="34"/>
        <v>0.1</v>
      </c>
      <c r="M76" s="71">
        <f t="shared" si="34"/>
        <v>0.1</v>
      </c>
      <c r="N76" s="71">
        <f t="shared" si="34"/>
        <v>0.1</v>
      </c>
      <c r="O76" s="71">
        <f t="shared" si="34"/>
        <v>0.1</v>
      </c>
      <c r="P76" s="71">
        <f t="shared" si="34"/>
        <v>0.1</v>
      </c>
      <c r="Q76" s="71">
        <f t="shared" si="34"/>
        <v>0.1</v>
      </c>
      <c r="R76" s="71">
        <f t="shared" si="34"/>
        <v>0.1</v>
      </c>
      <c r="S76" s="71">
        <f t="shared" si="34"/>
        <v>0.1</v>
      </c>
      <c r="T76" s="71">
        <f t="shared" si="34"/>
        <v>0.1</v>
      </c>
      <c r="U76" s="71">
        <f t="shared" si="34"/>
        <v>0.1</v>
      </c>
      <c r="V76" s="71">
        <f t="shared" si="34"/>
        <v>0.1</v>
      </c>
      <c r="W76" s="71">
        <f t="shared" si="34"/>
        <v>0.1</v>
      </c>
      <c r="X76" s="71">
        <f t="shared" si="34"/>
        <v>0.1</v>
      </c>
      <c r="Y76" s="71">
        <f t="shared" si="34"/>
        <v>0.1</v>
      </c>
      <c r="Z76" s="431"/>
    </row>
    <row r="77" spans="1:26" s="15" customFormat="1">
      <c r="A77" s="20" t="s">
        <v>16</v>
      </c>
      <c r="C77" s="25"/>
      <c r="D77" s="37">
        <f t="shared" ref="D77:Y77" ca="1" si="35">D75*D76</f>
        <v>0</v>
      </c>
      <c r="E77" s="37">
        <f t="shared" ca="1" si="35"/>
        <v>0</v>
      </c>
      <c r="F77" s="37">
        <f t="shared" ca="1" si="35"/>
        <v>0</v>
      </c>
      <c r="G77" s="37">
        <f t="shared" ca="1" si="35"/>
        <v>0</v>
      </c>
      <c r="H77" s="37">
        <f t="shared" ca="1" si="35"/>
        <v>0</v>
      </c>
      <c r="I77" s="37">
        <f t="shared" ca="1" si="35"/>
        <v>131.36943248587849</v>
      </c>
      <c r="J77" s="37">
        <f t="shared" ca="1" si="35"/>
        <v>0</v>
      </c>
      <c r="K77" s="37">
        <f t="shared" ca="1" si="35"/>
        <v>539.85707732391063</v>
      </c>
      <c r="L77" s="37">
        <f t="shared" ca="1" si="35"/>
        <v>613.7917769088732</v>
      </c>
      <c r="M77" s="37">
        <f t="shared" ca="1" si="35"/>
        <v>595.78634820000923</v>
      </c>
      <c r="N77" s="37">
        <f t="shared" ca="1" si="35"/>
        <v>530.37637126946152</v>
      </c>
      <c r="O77" s="37">
        <f t="shared" ca="1" si="35"/>
        <v>555.28617929697396</v>
      </c>
      <c r="P77" s="37">
        <f t="shared" ca="1" si="35"/>
        <v>640.9743547323485</v>
      </c>
      <c r="Q77" s="37">
        <f t="shared" ca="1" si="35"/>
        <v>697.53587449170971</v>
      </c>
      <c r="R77" s="37">
        <f t="shared" ca="1" si="35"/>
        <v>491.87315797702445</v>
      </c>
      <c r="S77" s="37">
        <f t="shared" ca="1" si="35"/>
        <v>744.60977963113157</v>
      </c>
      <c r="T77" s="37">
        <f t="shared" ca="1" si="35"/>
        <v>349.89201898737002</v>
      </c>
      <c r="U77" s="37">
        <f t="shared" ca="1" si="35"/>
        <v>0</v>
      </c>
      <c r="V77" s="37">
        <f t="shared" ca="1" si="35"/>
        <v>0</v>
      </c>
      <c r="W77" s="37">
        <f t="shared" ca="1" si="35"/>
        <v>0</v>
      </c>
      <c r="X77" s="37">
        <f t="shared" ca="1" si="35"/>
        <v>0</v>
      </c>
      <c r="Y77" s="37">
        <f t="shared" ca="1" si="35"/>
        <v>0</v>
      </c>
      <c r="Z77" s="435">
        <f ca="1">SUM(D77:Y77)</f>
        <v>5891.3523713046907</v>
      </c>
    </row>
    <row r="78" spans="1:26">
      <c r="A78" s="20"/>
      <c r="Z78" s="430"/>
    </row>
    <row r="79" spans="1:26" s="15" customFormat="1">
      <c r="A79" s="128" t="s">
        <v>312</v>
      </c>
      <c r="C79" s="25"/>
      <c r="D79" s="66"/>
      <c r="E79" s="66"/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564"/>
    </row>
    <row r="80" spans="1:26" s="15" customFormat="1">
      <c r="A80" s="20" t="s">
        <v>256</v>
      </c>
      <c r="C80" s="25"/>
      <c r="D80" s="37">
        <f t="shared" ref="D80:Y80" ca="1" si="36">D$59</f>
        <v>0</v>
      </c>
      <c r="E80" s="37">
        <f t="shared" ca="1" si="36"/>
        <v>0</v>
      </c>
      <c r="F80" s="37">
        <f t="shared" ca="1" si="36"/>
        <v>0</v>
      </c>
      <c r="G80" s="37">
        <f t="shared" ca="1" si="36"/>
        <v>0</v>
      </c>
      <c r="H80" s="37">
        <f t="shared" ca="1" si="36"/>
        <v>0</v>
      </c>
      <c r="I80" s="37">
        <f t="shared" ca="1" si="36"/>
        <v>1430.0242856860464</v>
      </c>
      <c r="J80" s="37">
        <f t="shared" ca="1" si="36"/>
        <v>0</v>
      </c>
      <c r="K80" s="37">
        <f t="shared" ca="1" si="36"/>
        <v>5505.9001050788047</v>
      </c>
      <c r="L80" s="37">
        <f t="shared" ca="1" si="36"/>
        <v>6242.1393411977297</v>
      </c>
      <c r="M80" s="37">
        <f t="shared" ca="1" si="36"/>
        <v>6059.2261403384036</v>
      </c>
      <c r="N80" s="37">
        <f t="shared" ca="1" si="36"/>
        <v>5402.4087121097373</v>
      </c>
      <c r="O80" s="37">
        <f t="shared" ca="1" si="36"/>
        <v>5648.9735080458595</v>
      </c>
      <c r="P80" s="37">
        <f t="shared" ca="1" si="36"/>
        <v>6503.482929142072</v>
      </c>
      <c r="Q80" s="37">
        <f t="shared" ca="1" si="36"/>
        <v>7066.8786420065153</v>
      </c>
      <c r="R80" s="37">
        <f t="shared" ca="1" si="36"/>
        <v>5008.2632396498693</v>
      </c>
      <c r="S80" s="37">
        <f t="shared" ca="1" si="36"/>
        <v>7533.8344535323031</v>
      </c>
      <c r="T80" s="37">
        <f t="shared" ca="1" si="36"/>
        <v>3584.931093732353</v>
      </c>
      <c r="U80" s="37">
        <f t="shared" ca="1" si="36"/>
        <v>0</v>
      </c>
      <c r="V80" s="37">
        <f t="shared" ca="1" si="36"/>
        <v>0</v>
      </c>
      <c r="W80" s="37">
        <f t="shared" ca="1" si="36"/>
        <v>0</v>
      </c>
      <c r="X80" s="37">
        <f t="shared" ca="1" si="36"/>
        <v>0</v>
      </c>
      <c r="Y80" s="37">
        <f t="shared" ca="1" si="36"/>
        <v>0</v>
      </c>
      <c r="Z80" s="435">
        <f ca="1">SUM(D80:Y80)</f>
        <v>59986.06245051969</v>
      </c>
    </row>
    <row r="81" spans="1:26" s="15" customFormat="1">
      <c r="A81" s="20" t="s">
        <v>1023</v>
      </c>
      <c r="C81" s="25"/>
      <c r="D81" s="71">
        <f t="shared" ref="D81:Y81" si="37">Social</f>
        <v>0.08</v>
      </c>
      <c r="E81" s="71">
        <f t="shared" si="37"/>
        <v>0.08</v>
      </c>
      <c r="F81" s="71">
        <f t="shared" si="37"/>
        <v>0.08</v>
      </c>
      <c r="G81" s="71">
        <f t="shared" si="37"/>
        <v>0.08</v>
      </c>
      <c r="H81" s="71">
        <f t="shared" si="37"/>
        <v>0.08</v>
      </c>
      <c r="I81" s="71">
        <f t="shared" si="37"/>
        <v>0.08</v>
      </c>
      <c r="J81" s="71">
        <f t="shared" si="37"/>
        <v>0.08</v>
      </c>
      <c r="K81" s="71">
        <f t="shared" si="37"/>
        <v>0.08</v>
      </c>
      <c r="L81" s="71">
        <f t="shared" si="37"/>
        <v>0.08</v>
      </c>
      <c r="M81" s="71">
        <f t="shared" si="37"/>
        <v>0.08</v>
      </c>
      <c r="N81" s="71">
        <f t="shared" si="37"/>
        <v>0.08</v>
      </c>
      <c r="O81" s="71">
        <f t="shared" si="37"/>
        <v>0.08</v>
      </c>
      <c r="P81" s="71">
        <f t="shared" si="37"/>
        <v>0.08</v>
      </c>
      <c r="Q81" s="71">
        <f t="shared" si="37"/>
        <v>0.08</v>
      </c>
      <c r="R81" s="71">
        <f t="shared" si="37"/>
        <v>0.08</v>
      </c>
      <c r="S81" s="71">
        <f t="shared" si="37"/>
        <v>0.08</v>
      </c>
      <c r="T81" s="71">
        <f t="shared" si="37"/>
        <v>0.08</v>
      </c>
      <c r="U81" s="71">
        <f t="shared" si="37"/>
        <v>0.08</v>
      </c>
      <c r="V81" s="71">
        <f t="shared" si="37"/>
        <v>0.08</v>
      </c>
      <c r="W81" s="71">
        <f t="shared" si="37"/>
        <v>0.08</v>
      </c>
      <c r="X81" s="71">
        <f t="shared" si="37"/>
        <v>0.08</v>
      </c>
      <c r="Y81" s="71">
        <f t="shared" si="37"/>
        <v>0.08</v>
      </c>
      <c r="Z81" s="432"/>
    </row>
    <row r="82" spans="1:26" s="15" customFormat="1">
      <c r="A82" s="20" t="s">
        <v>1579</v>
      </c>
      <c r="C82" s="25"/>
      <c r="D82" s="37">
        <f t="shared" ref="D82:Y82" ca="1" si="38">D80*D81</f>
        <v>0</v>
      </c>
      <c r="E82" s="37">
        <f t="shared" ca="1" si="38"/>
        <v>0</v>
      </c>
      <c r="F82" s="37">
        <f t="shared" ca="1" si="38"/>
        <v>0</v>
      </c>
      <c r="G82" s="37">
        <f t="shared" ca="1" si="38"/>
        <v>0</v>
      </c>
      <c r="H82" s="37">
        <f t="shared" ca="1" si="38"/>
        <v>0</v>
      </c>
      <c r="I82" s="37">
        <f t="shared" ca="1" si="38"/>
        <v>114.40194285488371</v>
      </c>
      <c r="J82" s="37">
        <f t="shared" ca="1" si="38"/>
        <v>0</v>
      </c>
      <c r="K82" s="37">
        <f t="shared" ca="1" si="38"/>
        <v>440.47200840630438</v>
      </c>
      <c r="L82" s="37">
        <f t="shared" ca="1" si="38"/>
        <v>499.37114729581839</v>
      </c>
      <c r="M82" s="37">
        <f t="shared" ca="1" si="38"/>
        <v>484.73809122707229</v>
      </c>
      <c r="N82" s="37">
        <f t="shared" ca="1" si="38"/>
        <v>432.19269696877899</v>
      </c>
      <c r="O82" s="37">
        <f t="shared" ca="1" si="38"/>
        <v>451.91788064366875</v>
      </c>
      <c r="P82" s="37">
        <f t="shared" ca="1" si="38"/>
        <v>520.27863433136577</v>
      </c>
      <c r="Q82" s="37">
        <f t="shared" ca="1" si="38"/>
        <v>565.35029136052128</v>
      </c>
      <c r="R82" s="37">
        <f t="shared" ca="1" si="38"/>
        <v>400.66105917198956</v>
      </c>
      <c r="S82" s="37">
        <f t="shared" ca="1" si="38"/>
        <v>602.70675628258425</v>
      </c>
      <c r="T82" s="37">
        <f t="shared" ca="1" si="38"/>
        <v>286.79448749858824</v>
      </c>
      <c r="U82" s="37">
        <f t="shared" ca="1" si="38"/>
        <v>0</v>
      </c>
      <c r="V82" s="37">
        <f t="shared" ca="1" si="38"/>
        <v>0</v>
      </c>
      <c r="W82" s="37">
        <f t="shared" ca="1" si="38"/>
        <v>0</v>
      </c>
      <c r="X82" s="37">
        <f t="shared" ca="1" si="38"/>
        <v>0</v>
      </c>
      <c r="Y82" s="37">
        <f t="shared" ca="1" si="38"/>
        <v>0</v>
      </c>
      <c r="Z82" s="435">
        <f ca="1">SUM(D82:Y82)</f>
        <v>4798.8849960415755</v>
      </c>
    </row>
    <row r="83" spans="1:26">
      <c r="A83" s="20"/>
      <c r="Z83" s="430"/>
    </row>
    <row r="84" spans="1:26" s="15" customFormat="1">
      <c r="A84" s="420" t="s">
        <v>1020</v>
      </c>
      <c r="B84" s="491"/>
      <c r="C84" s="566"/>
      <c r="D84" s="408">
        <f t="shared" ref="D84:Y84" ca="1" si="39">SUM(D70,D77,D82)</f>
        <v>0</v>
      </c>
      <c r="E84" s="408">
        <f t="shared" ca="1" si="39"/>
        <v>0</v>
      </c>
      <c r="F84" s="408">
        <f t="shared" ca="1" si="39"/>
        <v>0</v>
      </c>
      <c r="G84" s="408">
        <f t="shared" ca="1" si="39"/>
        <v>0</v>
      </c>
      <c r="H84" s="408">
        <f t="shared" ca="1" si="39"/>
        <v>0</v>
      </c>
      <c r="I84" s="408">
        <f t="shared" ca="1" si="39"/>
        <v>460.27501819366915</v>
      </c>
      <c r="J84" s="408">
        <f t="shared" ca="1" si="39"/>
        <v>0</v>
      </c>
      <c r="K84" s="408">
        <f t="shared" ca="1" si="39"/>
        <v>1806.2141014920358</v>
      </c>
      <c r="L84" s="408">
        <f t="shared" ca="1" si="39"/>
        <v>2049.4838253843509</v>
      </c>
      <c r="M84" s="408">
        <f t="shared" ca="1" si="39"/>
        <v>1989.4083604778421</v>
      </c>
      <c r="N84" s="408">
        <f t="shared" ca="1" si="39"/>
        <v>1772.9303750547012</v>
      </c>
      <c r="O84" s="408">
        <f t="shared" ca="1" si="39"/>
        <v>1854.5500861475216</v>
      </c>
      <c r="P84" s="408">
        <f t="shared" ca="1" si="39"/>
        <v>2136.7754284350249</v>
      </c>
      <c r="Q84" s="408">
        <f t="shared" ca="1" si="39"/>
        <v>2322.917962153208</v>
      </c>
      <c r="R84" s="408">
        <f t="shared" ca="1" si="39"/>
        <v>1643.7737030964945</v>
      </c>
      <c r="S84" s="408">
        <f t="shared" ca="1" si="39"/>
        <v>2477.391703943561</v>
      </c>
      <c r="T84" s="408">
        <f t="shared" ca="1" si="39"/>
        <v>1174.4261705458111</v>
      </c>
      <c r="U84" s="408">
        <f t="shared" ca="1" si="39"/>
        <v>0</v>
      </c>
      <c r="V84" s="408">
        <f t="shared" ca="1" si="39"/>
        <v>0</v>
      </c>
      <c r="W84" s="408">
        <f t="shared" ca="1" si="39"/>
        <v>0</v>
      </c>
      <c r="X84" s="408">
        <f t="shared" ca="1" si="39"/>
        <v>0</v>
      </c>
      <c r="Y84" s="408">
        <f t="shared" ca="1" si="39"/>
        <v>0</v>
      </c>
      <c r="Z84" s="439">
        <f ca="1">SUM(D84:Y84)</f>
        <v>19688.146734924223</v>
      </c>
    </row>
    <row r="85" spans="1:26" s="270" customFormat="1">
      <c r="A85" s="561"/>
      <c r="B85" s="218"/>
      <c r="C85" s="218"/>
      <c r="D85" s="229"/>
      <c r="E85" s="229"/>
      <c r="F85" s="229"/>
      <c r="G85" s="229"/>
      <c r="H85" s="229"/>
      <c r="I85" s="229"/>
      <c r="J85" s="229"/>
      <c r="K85" s="229"/>
      <c r="L85" s="229"/>
      <c r="M85" s="229"/>
      <c r="N85" s="229"/>
      <c r="O85" s="229"/>
      <c r="P85" s="229"/>
      <c r="Q85" s="229"/>
      <c r="R85" s="229"/>
      <c r="S85" s="229"/>
      <c r="T85" s="229"/>
      <c r="U85" s="229"/>
      <c r="V85" s="229"/>
      <c r="W85" s="229"/>
      <c r="X85" s="229"/>
      <c r="Y85" s="229"/>
      <c r="Z85" s="429"/>
    </row>
    <row r="86" spans="1:26" s="15" customFormat="1">
      <c r="A86" s="128" t="s">
        <v>1021</v>
      </c>
      <c r="D86" s="73"/>
      <c r="E86" s="73"/>
      <c r="F86" s="73"/>
      <c r="G86" s="73"/>
      <c r="H86" s="73"/>
      <c r="I86" s="73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433"/>
    </row>
    <row r="87" spans="1:26" s="15" customFormat="1">
      <c r="A87" s="20" t="s">
        <v>1024</v>
      </c>
      <c r="D87" s="766">
        <v>0</v>
      </c>
      <c r="E87" s="37">
        <f t="shared" ref="E87:Y87" ca="1" si="40">D90</f>
        <v>0</v>
      </c>
      <c r="F87" s="37">
        <f t="shared" ca="1" si="40"/>
        <v>210.76625056318053</v>
      </c>
      <c r="G87" s="37">
        <f t="shared" ca="1" si="40"/>
        <v>1306.2665991798508</v>
      </c>
      <c r="H87" s="37">
        <f t="shared" ca="1" si="40"/>
        <v>1306.2665991798508</v>
      </c>
      <c r="I87" s="37">
        <f t="shared" ca="1" si="40"/>
        <v>1306.2665991798508</v>
      </c>
      <c r="J87" s="37">
        <f t="shared" ca="1" si="40"/>
        <v>1011.948122306864</v>
      </c>
      <c r="K87" s="37">
        <f t="shared" ca="1" si="40"/>
        <v>1011.948122306864</v>
      </c>
      <c r="L87" s="37">
        <f t="shared" ca="1" si="40"/>
        <v>632.7209118539372</v>
      </c>
      <c r="M87" s="37">
        <f t="shared" ca="1" si="40"/>
        <v>-222.7988679512182</v>
      </c>
      <c r="N87" s="37">
        <f t="shared" ca="1" si="40"/>
        <v>1382.1618484235</v>
      </c>
      <c r="O87" s="37">
        <f t="shared" ca="1" si="40"/>
        <v>2984.8780299015407</v>
      </c>
      <c r="P87" s="37">
        <f t="shared" ca="1" si="40"/>
        <v>1577.6202097130513</v>
      </c>
      <c r="Q87" s="37">
        <f t="shared" ca="1" si="40"/>
        <v>384.849021452736</v>
      </c>
      <c r="R87" s="37">
        <f t="shared" ca="1" si="40"/>
        <v>3663.8745012262802</v>
      </c>
      <c r="S87" s="37">
        <f t="shared" ca="1" si="40"/>
        <v>6648.1847690050563</v>
      </c>
      <c r="T87" s="37">
        <f t="shared" ca="1" si="40"/>
        <v>4170.7930650614953</v>
      </c>
      <c r="U87" s="37">
        <f t="shared" ca="1" si="40"/>
        <v>5403.8104667292055</v>
      </c>
      <c r="V87" s="37">
        <f t="shared" ca="1" si="40"/>
        <v>5403.8104667292055</v>
      </c>
      <c r="W87" s="37">
        <f t="shared" ca="1" si="40"/>
        <v>5403.8104667292055</v>
      </c>
      <c r="X87" s="37">
        <f t="shared" ca="1" si="40"/>
        <v>5403.8104667292055</v>
      </c>
      <c r="Y87" s="37">
        <f t="shared" ca="1" si="40"/>
        <v>5403.8104667292055</v>
      </c>
      <c r="Z87" s="435">
        <f>D87</f>
        <v>0</v>
      </c>
    </row>
    <row r="88" spans="1:26" s="15" customFormat="1">
      <c r="A88" s="20" t="s">
        <v>49</v>
      </c>
      <c r="D88" s="37">
        <f ca="1">D52</f>
        <v>0</v>
      </c>
      <c r="E88" s="37">
        <f t="shared" ref="E88:Y88" ca="1" si="41">E52</f>
        <v>210.76625056318053</v>
      </c>
      <c r="F88" s="37">
        <f t="shared" ca="1" si="41"/>
        <v>1095.5003486166702</v>
      </c>
      <c r="G88" s="37">
        <f t="shared" ca="1" si="41"/>
        <v>0</v>
      </c>
      <c r="H88" s="37">
        <f t="shared" ca="1" si="41"/>
        <v>0</v>
      </c>
      <c r="I88" s="37">
        <f t="shared" ca="1" si="41"/>
        <v>165.95654132068245</v>
      </c>
      <c r="J88" s="37">
        <f t="shared" ca="1" si="41"/>
        <v>0</v>
      </c>
      <c r="K88" s="37">
        <f t="shared" ca="1" si="41"/>
        <v>1426.9868910391092</v>
      </c>
      <c r="L88" s="37">
        <f t="shared" ca="1" si="41"/>
        <v>1193.9640455791955</v>
      </c>
      <c r="M88" s="37">
        <f t="shared" ca="1" si="41"/>
        <v>3594.3690768525603</v>
      </c>
      <c r="N88" s="37">
        <f t="shared" ca="1" si="41"/>
        <v>3375.6465565327417</v>
      </c>
      <c r="O88" s="37">
        <f t="shared" ca="1" si="41"/>
        <v>447.29226595903242</v>
      </c>
      <c r="P88" s="37">
        <f t="shared" ca="1" si="41"/>
        <v>944.00424017470948</v>
      </c>
      <c r="Q88" s="37">
        <f t="shared" ca="1" si="41"/>
        <v>5601.9434419267527</v>
      </c>
      <c r="R88" s="37">
        <f t="shared" ca="1" si="41"/>
        <v>4628.083970875271</v>
      </c>
      <c r="S88" s="37">
        <f t="shared" ca="1" si="41"/>
        <v>0</v>
      </c>
      <c r="T88" s="37">
        <f t="shared" ca="1" si="41"/>
        <v>2407.4435722135208</v>
      </c>
      <c r="U88" s="37">
        <f t="shared" ca="1" si="41"/>
        <v>0</v>
      </c>
      <c r="V88" s="37">
        <f t="shared" ca="1" si="41"/>
        <v>0</v>
      </c>
      <c r="W88" s="37">
        <f t="shared" ca="1" si="41"/>
        <v>0</v>
      </c>
      <c r="X88" s="37">
        <f t="shared" ca="1" si="41"/>
        <v>0</v>
      </c>
      <c r="Y88" s="37">
        <f t="shared" ca="1" si="41"/>
        <v>0</v>
      </c>
      <c r="Z88" s="435">
        <f ca="1">SUM(D88:Y88)</f>
        <v>25091.957201653426</v>
      </c>
    </row>
    <row r="89" spans="1:26" s="15" customFormat="1">
      <c r="A89" s="20" t="s">
        <v>1025</v>
      </c>
      <c r="D89" s="142">
        <f t="shared" ref="D89:Y89" ca="1" si="42">-D84</f>
        <v>0</v>
      </c>
      <c r="E89" s="142">
        <f t="shared" ca="1" si="42"/>
        <v>0</v>
      </c>
      <c r="F89" s="142">
        <f t="shared" ca="1" si="42"/>
        <v>0</v>
      </c>
      <c r="G89" s="142">
        <f t="shared" ca="1" si="42"/>
        <v>0</v>
      </c>
      <c r="H89" s="142">
        <f t="shared" ca="1" si="42"/>
        <v>0</v>
      </c>
      <c r="I89" s="142">
        <f t="shared" ca="1" si="42"/>
        <v>-460.27501819366915</v>
      </c>
      <c r="J89" s="142">
        <f t="shared" ca="1" si="42"/>
        <v>0</v>
      </c>
      <c r="K89" s="142">
        <f t="shared" ca="1" si="42"/>
        <v>-1806.2141014920358</v>
      </c>
      <c r="L89" s="142">
        <f t="shared" ca="1" si="42"/>
        <v>-2049.4838253843509</v>
      </c>
      <c r="M89" s="142">
        <f t="shared" ca="1" si="42"/>
        <v>-1989.4083604778421</v>
      </c>
      <c r="N89" s="142">
        <f t="shared" ca="1" si="42"/>
        <v>-1772.9303750547012</v>
      </c>
      <c r="O89" s="142">
        <f t="shared" ca="1" si="42"/>
        <v>-1854.5500861475216</v>
      </c>
      <c r="P89" s="142">
        <f t="shared" ca="1" si="42"/>
        <v>-2136.7754284350249</v>
      </c>
      <c r="Q89" s="142">
        <f t="shared" ca="1" si="42"/>
        <v>-2322.917962153208</v>
      </c>
      <c r="R89" s="142">
        <f t="shared" ca="1" si="42"/>
        <v>-1643.7737030964945</v>
      </c>
      <c r="S89" s="142">
        <f t="shared" ca="1" si="42"/>
        <v>-2477.391703943561</v>
      </c>
      <c r="T89" s="142">
        <f t="shared" ca="1" si="42"/>
        <v>-1174.4261705458111</v>
      </c>
      <c r="U89" s="142">
        <f t="shared" ca="1" si="42"/>
        <v>0</v>
      </c>
      <c r="V89" s="142">
        <f t="shared" ca="1" si="42"/>
        <v>0</v>
      </c>
      <c r="W89" s="142">
        <f t="shared" ca="1" si="42"/>
        <v>0</v>
      </c>
      <c r="X89" s="142">
        <f t="shared" ca="1" si="42"/>
        <v>0</v>
      </c>
      <c r="Y89" s="142">
        <f t="shared" ca="1" si="42"/>
        <v>0</v>
      </c>
      <c r="Z89" s="436">
        <f ca="1">SUM(D89:Y89)</f>
        <v>-19688.146734924223</v>
      </c>
    </row>
    <row r="90" spans="1:26" s="15" customFormat="1">
      <c r="A90" s="417" t="s">
        <v>1026</v>
      </c>
      <c r="B90" s="31"/>
      <c r="C90" s="31"/>
      <c r="D90" s="59">
        <f t="shared" ref="D90:Z90" ca="1" si="43">SUM(D87:D89)</f>
        <v>0</v>
      </c>
      <c r="E90" s="59">
        <f t="shared" ca="1" si="43"/>
        <v>210.76625056318053</v>
      </c>
      <c r="F90" s="59">
        <f t="shared" ca="1" si="43"/>
        <v>1306.2665991798508</v>
      </c>
      <c r="G90" s="59">
        <f t="shared" ca="1" si="43"/>
        <v>1306.2665991798508</v>
      </c>
      <c r="H90" s="59">
        <f t="shared" ca="1" si="43"/>
        <v>1306.2665991798508</v>
      </c>
      <c r="I90" s="59">
        <f t="shared" ca="1" si="43"/>
        <v>1011.948122306864</v>
      </c>
      <c r="J90" s="59">
        <f t="shared" ca="1" si="43"/>
        <v>1011.948122306864</v>
      </c>
      <c r="K90" s="59">
        <f t="shared" ca="1" si="43"/>
        <v>632.7209118539372</v>
      </c>
      <c r="L90" s="59">
        <f t="shared" ca="1" si="43"/>
        <v>-222.7988679512182</v>
      </c>
      <c r="M90" s="59">
        <f t="shared" ca="1" si="43"/>
        <v>1382.1618484235</v>
      </c>
      <c r="N90" s="59">
        <f t="shared" ca="1" si="43"/>
        <v>2984.8780299015407</v>
      </c>
      <c r="O90" s="59">
        <f t="shared" ca="1" si="43"/>
        <v>1577.6202097130513</v>
      </c>
      <c r="P90" s="59">
        <f t="shared" ca="1" si="43"/>
        <v>384.849021452736</v>
      </c>
      <c r="Q90" s="59">
        <f t="shared" ca="1" si="43"/>
        <v>3663.8745012262802</v>
      </c>
      <c r="R90" s="59">
        <f t="shared" ca="1" si="43"/>
        <v>6648.1847690050563</v>
      </c>
      <c r="S90" s="59">
        <f t="shared" ca="1" si="43"/>
        <v>4170.7930650614953</v>
      </c>
      <c r="T90" s="59">
        <f t="shared" ca="1" si="43"/>
        <v>5403.8104667292055</v>
      </c>
      <c r="U90" s="59">
        <f t="shared" ca="1" si="43"/>
        <v>5403.8104667292055</v>
      </c>
      <c r="V90" s="59">
        <f t="shared" ca="1" si="43"/>
        <v>5403.8104667292055</v>
      </c>
      <c r="W90" s="59">
        <f t="shared" ca="1" si="43"/>
        <v>5403.8104667292055</v>
      </c>
      <c r="X90" s="59">
        <f t="shared" ca="1" si="43"/>
        <v>5403.8104667292055</v>
      </c>
      <c r="Y90" s="59">
        <f t="shared" ca="1" si="43"/>
        <v>5403.8104667292055</v>
      </c>
      <c r="Z90" s="488">
        <f t="shared" ca="1" si="43"/>
        <v>5403.8104667292027</v>
      </c>
    </row>
  </sheetData>
  <printOptions horizontalCentered="1"/>
  <pageMargins left="0.25" right="0.25" top="0.5" bottom="0.5" header="0.25" footer="0.25"/>
  <pageSetup scale="37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AO63"/>
  <sheetViews>
    <sheetView showGridLines="0" zoomScale="90" workbookViewId="0">
      <selection activeCell="K30" sqref="K30"/>
    </sheetView>
  </sheetViews>
  <sheetFormatPr defaultRowHeight="12.75"/>
  <cols>
    <col min="1" max="1" width="3.7109375" style="7" customWidth="1"/>
    <col min="2" max="2" width="27.7109375" style="7" customWidth="1"/>
    <col min="3" max="3" width="1.7109375" style="7" customWidth="1"/>
    <col min="4" max="4" width="10.7109375" style="7" customWidth="1"/>
    <col min="5" max="5" width="10.7109375" customWidth="1"/>
    <col min="6" max="6" width="1.7109375" style="7" customWidth="1"/>
    <col min="7" max="29" width="10.7109375" style="7" customWidth="1"/>
    <col min="30" max="16384" width="9.140625" style="7"/>
  </cols>
  <sheetData>
    <row r="1" spans="1:41" s="1" customFormat="1" ht="15.75">
      <c r="A1" s="1137" t="str">
        <f>CONCATENATE(TOC!B2," ",TOC!B6)</f>
        <v>EMPRESSA PRODUTORA DE ENERGÍA LTDA (EPE) *** DRAFT COPY ***</v>
      </c>
      <c r="AD1" s="15"/>
      <c r="AE1" s="15"/>
    </row>
    <row r="2" spans="1:41" s="1" customFormat="1" ht="15.75">
      <c r="A2" s="1137" t="str">
        <f>TOC!B3</f>
        <v>480 MW POWER PLANT (CUIABA, BRAZIL)</v>
      </c>
      <c r="AD2" s="15"/>
      <c r="AE2" s="15"/>
    </row>
    <row r="3" spans="1:41" s="1" customFormat="1" ht="15">
      <c r="A3" s="118" t="str">
        <f>TOC!B4</f>
        <v>ENRON INTERNATIONAL</v>
      </c>
      <c r="AD3" s="15"/>
      <c r="AE3" s="15"/>
    </row>
    <row r="4" spans="1:41" s="1" customFormat="1" ht="15">
      <c r="A4" s="932" t="s">
        <v>177</v>
      </c>
      <c r="B4" s="933"/>
      <c r="C4" s="933"/>
      <c r="D4" s="933"/>
      <c r="AD4" s="15"/>
      <c r="AE4" s="15"/>
    </row>
    <row r="5" spans="1:41" customFormat="1" ht="13.5" thickBot="1">
      <c r="A5" s="1"/>
      <c r="B5" s="15"/>
      <c r="C5" s="1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1"/>
      <c r="AA5" s="1"/>
      <c r="AB5" s="1"/>
      <c r="AC5" s="1"/>
      <c r="AD5" s="15"/>
      <c r="AE5" s="15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s="15" customFormat="1">
      <c r="A6" s="412" t="s">
        <v>443</v>
      </c>
      <c r="B6" s="11"/>
      <c r="C6" s="11"/>
      <c r="D6" s="11"/>
      <c r="E6" s="406"/>
      <c r="F6" s="11"/>
      <c r="G6" s="413">
        <f>Rev_Exp!D6</f>
        <v>1</v>
      </c>
      <c r="H6" s="413">
        <f>Rev_Exp!E6</f>
        <v>2</v>
      </c>
      <c r="I6" s="413">
        <f>Rev_Exp!F6</f>
        <v>3</v>
      </c>
      <c r="J6" s="413">
        <f>Rev_Exp!G6</f>
        <v>4</v>
      </c>
      <c r="K6" s="413">
        <f>Rev_Exp!H6</f>
        <v>5</v>
      </c>
      <c r="L6" s="413">
        <f>Rev_Exp!I6</f>
        <v>6</v>
      </c>
      <c r="M6" s="413">
        <f>Rev_Exp!J6</f>
        <v>7</v>
      </c>
      <c r="N6" s="413">
        <f>Rev_Exp!K6</f>
        <v>8</v>
      </c>
      <c r="O6" s="413">
        <f>Rev_Exp!L6</f>
        <v>9</v>
      </c>
      <c r="P6" s="413">
        <f>Rev_Exp!M6</f>
        <v>10</v>
      </c>
      <c r="Q6" s="413">
        <f>Rev_Exp!N6</f>
        <v>11</v>
      </c>
      <c r="R6" s="413">
        <f>Rev_Exp!O6</f>
        <v>12</v>
      </c>
      <c r="S6" s="413">
        <f>Rev_Exp!P6</f>
        <v>13</v>
      </c>
      <c r="T6" s="413">
        <f>Rev_Exp!Q6</f>
        <v>14</v>
      </c>
      <c r="U6" s="413">
        <f>Rev_Exp!R6</f>
        <v>15</v>
      </c>
      <c r="V6" s="413">
        <f>Rev_Exp!S6</f>
        <v>16</v>
      </c>
      <c r="W6" s="413">
        <f>Rev_Exp!T6</f>
        <v>17</v>
      </c>
      <c r="X6" s="413">
        <f>Rev_Exp!U6</f>
        <v>18</v>
      </c>
      <c r="Y6" s="413">
        <f>Rev_Exp!V6</f>
        <v>19</v>
      </c>
      <c r="Z6" s="413">
        <f>Rev_Exp!W6</f>
        <v>20</v>
      </c>
      <c r="AA6" s="413">
        <f>Rev_Exp!X6</f>
        <v>21</v>
      </c>
      <c r="AB6" s="413">
        <f>Rev_Exp!Y6</f>
        <v>22</v>
      </c>
      <c r="AC6" s="424"/>
    </row>
    <row r="7" spans="1:41" s="15" customFormat="1" ht="13.5" thickBot="1">
      <c r="A7" s="415" t="s">
        <v>444</v>
      </c>
      <c r="B7" s="49"/>
      <c r="C7" s="49"/>
      <c r="D7" s="49"/>
      <c r="E7" s="268"/>
      <c r="F7" s="49"/>
      <c r="G7" s="231">
        <f>Rev_Exp!D7</f>
        <v>1998</v>
      </c>
      <c r="H7" s="231">
        <f>Rev_Exp!E7</f>
        <v>1999</v>
      </c>
      <c r="I7" s="231">
        <f>Rev_Exp!F7</f>
        <v>2000</v>
      </c>
      <c r="J7" s="231">
        <f>Rev_Exp!G7</f>
        <v>2001</v>
      </c>
      <c r="K7" s="231">
        <f>Rev_Exp!H7</f>
        <v>2002</v>
      </c>
      <c r="L7" s="231">
        <f>Rev_Exp!I7</f>
        <v>2003</v>
      </c>
      <c r="M7" s="231">
        <f>Rev_Exp!J7</f>
        <v>2004</v>
      </c>
      <c r="N7" s="231">
        <f>Rev_Exp!K7</f>
        <v>2005</v>
      </c>
      <c r="O7" s="231">
        <f>Rev_Exp!L7</f>
        <v>2006</v>
      </c>
      <c r="P7" s="231">
        <f>Rev_Exp!M7</f>
        <v>2007</v>
      </c>
      <c r="Q7" s="231">
        <f>Rev_Exp!N7</f>
        <v>2008</v>
      </c>
      <c r="R7" s="231">
        <f>Rev_Exp!O7</f>
        <v>2009</v>
      </c>
      <c r="S7" s="231">
        <f>Rev_Exp!P7</f>
        <v>2010</v>
      </c>
      <c r="T7" s="231">
        <f>Rev_Exp!Q7</f>
        <v>2011</v>
      </c>
      <c r="U7" s="231">
        <f>Rev_Exp!R7</f>
        <v>2012</v>
      </c>
      <c r="V7" s="231">
        <f>Rev_Exp!S7</f>
        <v>2013</v>
      </c>
      <c r="W7" s="231">
        <f>Rev_Exp!T7</f>
        <v>2014</v>
      </c>
      <c r="X7" s="231">
        <f>Rev_Exp!U7</f>
        <v>2015</v>
      </c>
      <c r="Y7" s="231">
        <f>Rev_Exp!V7</f>
        <v>2016</v>
      </c>
      <c r="Z7" s="231">
        <f>Rev_Exp!W7</f>
        <v>2017</v>
      </c>
      <c r="AA7" s="231">
        <f>Rev_Exp!X7</f>
        <v>2018</v>
      </c>
      <c r="AB7" s="231">
        <f>Rev_Exp!Y7</f>
        <v>2019</v>
      </c>
      <c r="AC7" s="425" t="s">
        <v>441</v>
      </c>
    </row>
    <row r="8" spans="1:41" customFormat="1">
      <c r="A8" s="416"/>
      <c r="B8" s="15"/>
      <c r="C8" s="1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"/>
      <c r="AA8" s="1"/>
      <c r="AB8" s="1"/>
      <c r="AC8" s="426"/>
      <c r="AD8" s="15"/>
      <c r="AE8" s="15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spans="1:41" s="15" customFormat="1">
      <c r="A9" s="20" t="s">
        <v>445</v>
      </c>
      <c r="E9" s="1"/>
      <c r="G9" s="218">
        <f ca="1">IF(G$7&lt;YEAR(Startops1),0,IF(G$7=YEAR(Startops1),13-MONTH(Startops1)-SUM(G10:G11),IF(G$7=2019,4,12)))</f>
        <v>0</v>
      </c>
      <c r="H9" s="218">
        <f t="shared" ref="H9:AB9" ca="1" si="0">IF(H$7&lt;YEAR(Startops1),0,IF(H$7=YEAR(Startops1),13-MONTH(Startops1)-SUM(H10:H11),IF(H$7=2019,4,12)))</f>
        <v>9</v>
      </c>
      <c r="I9" s="218">
        <f t="shared" ca="1" si="0"/>
        <v>12</v>
      </c>
      <c r="J9" s="218">
        <f t="shared" ca="1" si="0"/>
        <v>12</v>
      </c>
      <c r="K9" s="218">
        <f t="shared" ca="1" si="0"/>
        <v>12</v>
      </c>
      <c r="L9" s="218">
        <f t="shared" ca="1" si="0"/>
        <v>12</v>
      </c>
      <c r="M9" s="218">
        <f t="shared" ca="1" si="0"/>
        <v>12</v>
      </c>
      <c r="N9" s="218">
        <f t="shared" ca="1" si="0"/>
        <v>12</v>
      </c>
      <c r="O9" s="218">
        <f t="shared" ca="1" si="0"/>
        <v>12</v>
      </c>
      <c r="P9" s="218">
        <f t="shared" ca="1" si="0"/>
        <v>12</v>
      </c>
      <c r="Q9" s="218">
        <f t="shared" ca="1" si="0"/>
        <v>12</v>
      </c>
      <c r="R9" s="218">
        <f t="shared" ca="1" si="0"/>
        <v>12</v>
      </c>
      <c r="S9" s="218">
        <f t="shared" ca="1" si="0"/>
        <v>12</v>
      </c>
      <c r="T9" s="218">
        <f t="shared" ca="1" si="0"/>
        <v>12</v>
      </c>
      <c r="U9" s="218">
        <f t="shared" ca="1" si="0"/>
        <v>12</v>
      </c>
      <c r="V9" s="218">
        <f t="shared" ca="1" si="0"/>
        <v>12</v>
      </c>
      <c r="W9" s="218">
        <f t="shared" ca="1" si="0"/>
        <v>12</v>
      </c>
      <c r="X9" s="218">
        <f t="shared" ca="1" si="0"/>
        <v>12</v>
      </c>
      <c r="Y9" s="218">
        <f t="shared" ca="1" si="0"/>
        <v>12</v>
      </c>
      <c r="Z9" s="218">
        <f t="shared" ca="1" si="0"/>
        <v>12</v>
      </c>
      <c r="AA9" s="218">
        <f t="shared" ca="1" si="0"/>
        <v>12</v>
      </c>
      <c r="AB9" s="218">
        <f t="shared" ca="1" si="0"/>
        <v>4</v>
      </c>
      <c r="AC9" s="430">
        <f ca="1">SUM(G9:AB9)</f>
        <v>241</v>
      </c>
    </row>
    <row r="10" spans="1:41" s="15" customFormat="1">
      <c r="A10" s="20" t="s">
        <v>449</v>
      </c>
      <c r="E10" s="1"/>
      <c r="G10" s="218">
        <f>IF(G$7&lt;YEAR(Startops2),0,IF(G$7=YEAR(Startops2),13-MONTH(Startops2),IF(G$7=2019,4,12)))</f>
        <v>0</v>
      </c>
      <c r="H10" s="218">
        <f t="shared" ref="H10:AB10" si="1">IF(H$7&lt;YEAR(Startops2),0,IF(H$7=YEAR(Startops2),13-MONTH(Startops2),IF(H$7=2019,4,12)))</f>
        <v>0</v>
      </c>
      <c r="I10" s="218">
        <f t="shared" si="1"/>
        <v>0</v>
      </c>
      <c r="J10" s="218">
        <f t="shared" si="1"/>
        <v>10</v>
      </c>
      <c r="K10" s="218">
        <f t="shared" si="1"/>
        <v>12</v>
      </c>
      <c r="L10" s="218">
        <f t="shared" si="1"/>
        <v>12</v>
      </c>
      <c r="M10" s="218">
        <f t="shared" si="1"/>
        <v>12</v>
      </c>
      <c r="N10" s="218">
        <f t="shared" si="1"/>
        <v>12</v>
      </c>
      <c r="O10" s="218">
        <f t="shared" si="1"/>
        <v>12</v>
      </c>
      <c r="P10" s="218">
        <f t="shared" si="1"/>
        <v>12</v>
      </c>
      <c r="Q10" s="218">
        <f t="shared" si="1"/>
        <v>12</v>
      </c>
      <c r="R10" s="218">
        <f t="shared" si="1"/>
        <v>12</v>
      </c>
      <c r="S10" s="218">
        <f t="shared" si="1"/>
        <v>12</v>
      </c>
      <c r="T10" s="218">
        <f t="shared" si="1"/>
        <v>12</v>
      </c>
      <c r="U10" s="218">
        <f t="shared" si="1"/>
        <v>12</v>
      </c>
      <c r="V10" s="218">
        <f t="shared" si="1"/>
        <v>12</v>
      </c>
      <c r="W10" s="218">
        <f t="shared" si="1"/>
        <v>12</v>
      </c>
      <c r="X10" s="218">
        <f t="shared" si="1"/>
        <v>12</v>
      </c>
      <c r="Y10" s="218">
        <f t="shared" si="1"/>
        <v>12</v>
      </c>
      <c r="Z10" s="218">
        <f t="shared" si="1"/>
        <v>12</v>
      </c>
      <c r="AA10" s="218">
        <f t="shared" si="1"/>
        <v>12</v>
      </c>
      <c r="AB10" s="218">
        <f t="shared" si="1"/>
        <v>4</v>
      </c>
      <c r="AC10" s="430">
        <f>SUM(G10:AB10)</f>
        <v>218</v>
      </c>
    </row>
    <row r="11" spans="1:41" s="15" customFormat="1">
      <c r="A11" s="20" t="s">
        <v>450</v>
      </c>
      <c r="G11" s="228">
        <f>IF(G$7&lt;YEAR(Startops3),0,IF(G$7=YEAR(Startops3),13-MONTH(Startops3),IF(G$7=2019,4,12)))</f>
        <v>0</v>
      </c>
      <c r="H11" s="228">
        <f t="shared" ref="H11:AB11" si="2">IF(H$7&lt;YEAR(Startops3),0,IF(H$7=YEAR(Startops3),13-MONTH(Startops3),IF(H$7=2019,4,12)))</f>
        <v>0</v>
      </c>
      <c r="I11" s="228">
        <f t="shared" si="2"/>
        <v>0</v>
      </c>
      <c r="J11" s="228">
        <f t="shared" si="2"/>
        <v>5</v>
      </c>
      <c r="K11" s="228">
        <f t="shared" si="2"/>
        <v>12</v>
      </c>
      <c r="L11" s="228">
        <f t="shared" si="2"/>
        <v>12</v>
      </c>
      <c r="M11" s="228">
        <f t="shared" si="2"/>
        <v>12</v>
      </c>
      <c r="N11" s="228">
        <f t="shared" si="2"/>
        <v>12</v>
      </c>
      <c r="O11" s="228">
        <f t="shared" si="2"/>
        <v>12</v>
      </c>
      <c r="P11" s="228">
        <f t="shared" si="2"/>
        <v>12</v>
      </c>
      <c r="Q11" s="228">
        <f t="shared" si="2"/>
        <v>12</v>
      </c>
      <c r="R11" s="228">
        <f t="shared" si="2"/>
        <v>12</v>
      </c>
      <c r="S11" s="228">
        <f t="shared" si="2"/>
        <v>12</v>
      </c>
      <c r="T11" s="228">
        <f t="shared" si="2"/>
        <v>12</v>
      </c>
      <c r="U11" s="228">
        <f t="shared" si="2"/>
        <v>12</v>
      </c>
      <c r="V11" s="228">
        <f t="shared" si="2"/>
        <v>12</v>
      </c>
      <c r="W11" s="228">
        <f t="shared" si="2"/>
        <v>12</v>
      </c>
      <c r="X11" s="228">
        <f t="shared" si="2"/>
        <v>12</v>
      </c>
      <c r="Y11" s="228">
        <f t="shared" si="2"/>
        <v>12</v>
      </c>
      <c r="Z11" s="228">
        <f t="shared" si="2"/>
        <v>12</v>
      </c>
      <c r="AA11" s="228">
        <f t="shared" si="2"/>
        <v>12</v>
      </c>
      <c r="AB11" s="228">
        <f t="shared" si="2"/>
        <v>4</v>
      </c>
      <c r="AC11" s="480">
        <f>SUM(G11:AB11)</f>
        <v>213</v>
      </c>
    </row>
    <row r="12" spans="1:41" s="15" customFormat="1">
      <c r="A12" s="27" t="s">
        <v>821</v>
      </c>
      <c r="B12" s="3"/>
      <c r="C12" s="3"/>
      <c r="D12" s="3"/>
      <c r="F12" s="3"/>
      <c r="G12" s="229">
        <f ca="1">Rev_Exp!D12</f>
        <v>0</v>
      </c>
      <c r="H12" s="229">
        <f ca="1">Rev_Exp!E12</f>
        <v>9</v>
      </c>
      <c r="I12" s="229">
        <f ca="1">Rev_Exp!F12</f>
        <v>12</v>
      </c>
      <c r="J12" s="229">
        <f ca="1">Rev_Exp!G12</f>
        <v>12</v>
      </c>
      <c r="K12" s="229">
        <f ca="1">Rev_Exp!H12</f>
        <v>12</v>
      </c>
      <c r="L12" s="229">
        <f ca="1">Rev_Exp!I12</f>
        <v>12</v>
      </c>
      <c r="M12" s="229">
        <f ca="1">Rev_Exp!J12</f>
        <v>12</v>
      </c>
      <c r="N12" s="229">
        <f ca="1">Rev_Exp!K12</f>
        <v>12</v>
      </c>
      <c r="O12" s="229">
        <f ca="1">Rev_Exp!L12</f>
        <v>12</v>
      </c>
      <c r="P12" s="229">
        <f ca="1">Rev_Exp!M12</f>
        <v>12</v>
      </c>
      <c r="Q12" s="229">
        <f ca="1">Rev_Exp!N12</f>
        <v>12</v>
      </c>
      <c r="R12" s="229">
        <f ca="1">Rev_Exp!O12</f>
        <v>12</v>
      </c>
      <c r="S12" s="229">
        <f ca="1">Rev_Exp!P12</f>
        <v>12</v>
      </c>
      <c r="T12" s="229">
        <f ca="1">Rev_Exp!Q12</f>
        <v>12</v>
      </c>
      <c r="U12" s="229">
        <f ca="1">Rev_Exp!R12</f>
        <v>12</v>
      </c>
      <c r="V12" s="229">
        <f ca="1">Rev_Exp!S12</f>
        <v>12</v>
      </c>
      <c r="W12" s="229">
        <f ca="1">Rev_Exp!T12</f>
        <v>12</v>
      </c>
      <c r="X12" s="229">
        <f ca="1">Rev_Exp!U12</f>
        <v>12</v>
      </c>
      <c r="Y12" s="229">
        <f ca="1">Rev_Exp!V12</f>
        <v>12</v>
      </c>
      <c r="Z12" s="229">
        <f ca="1">Rev_Exp!W12</f>
        <v>12</v>
      </c>
      <c r="AA12" s="229">
        <f ca="1">Rev_Exp!X12</f>
        <v>12</v>
      </c>
      <c r="AB12" s="229">
        <f ca="1">Rev_Exp!Y12</f>
        <v>4</v>
      </c>
      <c r="AC12" s="481">
        <f ca="1">SUM(G12:AB12)</f>
        <v>241</v>
      </c>
    </row>
    <row r="13" spans="1:41">
      <c r="A13" s="20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430"/>
    </row>
    <row r="14" spans="1:41">
      <c r="A14" s="20"/>
      <c r="B14" s="15"/>
      <c r="C14" s="15"/>
      <c r="D14" s="232"/>
      <c r="E14" s="234"/>
      <c r="F14" s="233"/>
      <c r="G14" s="241" t="s">
        <v>615</v>
      </c>
      <c r="H14" s="235"/>
      <c r="I14" s="235"/>
      <c r="J14" s="241" t="s">
        <v>616</v>
      </c>
      <c r="K14" s="236"/>
      <c r="L14" s="236"/>
      <c r="M14" s="241" t="s">
        <v>617</v>
      </c>
      <c r="N14" s="236"/>
      <c r="O14" s="569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430"/>
    </row>
    <row r="15" spans="1:41">
      <c r="A15" s="20"/>
      <c r="B15" s="15"/>
      <c r="C15" s="15"/>
      <c r="D15" s="237"/>
      <c r="E15" s="239"/>
      <c r="F15" s="238"/>
      <c r="G15" s="242" t="s">
        <v>325</v>
      </c>
      <c r="H15" s="240" t="s">
        <v>327</v>
      </c>
      <c r="I15" s="240" t="s">
        <v>328</v>
      </c>
      <c r="J15" s="242" t="s">
        <v>325</v>
      </c>
      <c r="K15" s="240" t="s">
        <v>327</v>
      </c>
      <c r="L15" s="240" t="s">
        <v>328</v>
      </c>
      <c r="M15" s="242" t="s">
        <v>325</v>
      </c>
      <c r="N15" s="240" t="s">
        <v>327</v>
      </c>
      <c r="O15" s="570" t="s">
        <v>328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430"/>
    </row>
    <row r="16" spans="1:41">
      <c r="A16" s="20"/>
      <c r="B16" s="15"/>
      <c r="C16" s="15"/>
      <c r="D16" s="237" t="s">
        <v>618</v>
      </c>
      <c r="E16" s="239"/>
      <c r="F16" s="238"/>
      <c r="G16" s="1197">
        <f ca="1">Cost_I</f>
        <v>103168.35095662082</v>
      </c>
      <c r="H16" s="259">
        <f ca="1">Cost_II</f>
        <v>103168.35095662082</v>
      </c>
      <c r="I16" s="1314">
        <f ca="1">Cost_III</f>
        <v>137557.80127549448</v>
      </c>
      <c r="J16" s="1197">
        <f t="shared" ref="J16:L17" ca="1" si="3">G16</f>
        <v>103168.35095662082</v>
      </c>
      <c r="K16" s="259">
        <f t="shared" ca="1" si="3"/>
        <v>103168.35095662082</v>
      </c>
      <c r="L16" s="259">
        <f t="shared" ca="1" si="3"/>
        <v>137557.80127549448</v>
      </c>
      <c r="M16" s="1197">
        <f t="shared" ref="M16:O17" ca="1" si="4">G16</f>
        <v>103168.35095662082</v>
      </c>
      <c r="N16" s="259">
        <f t="shared" ca="1" si="4"/>
        <v>103168.35095662082</v>
      </c>
      <c r="O16" s="526">
        <f t="shared" ca="1" si="4"/>
        <v>137557.80127549448</v>
      </c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430"/>
    </row>
    <row r="17" spans="1:29">
      <c r="A17" s="20"/>
      <c r="B17" s="15"/>
      <c r="C17" s="15"/>
      <c r="D17" s="237" t="s">
        <v>87</v>
      </c>
      <c r="E17" s="239"/>
      <c r="F17" s="238"/>
      <c r="G17" s="1197">
        <f ca="1">-IDC!$BA$62*Assm!S$5</f>
        <v>-2818.0547565966635</v>
      </c>
      <c r="H17" s="259">
        <f ca="1">-IDC!$BA$62*Assm!T$5</f>
        <v>-2818.0547565966635</v>
      </c>
      <c r="I17" s="259">
        <f ca="1">-IDC!$BA$62*Assm!U$5</f>
        <v>-3757.4063421288847</v>
      </c>
      <c r="J17" s="1197">
        <f t="shared" ca="1" si="3"/>
        <v>-2818.0547565966635</v>
      </c>
      <c r="K17" s="259">
        <f t="shared" ca="1" si="3"/>
        <v>-2818.0547565966635</v>
      </c>
      <c r="L17" s="259">
        <f t="shared" ca="1" si="3"/>
        <v>-3757.4063421288847</v>
      </c>
      <c r="M17" s="1197">
        <f t="shared" ca="1" si="4"/>
        <v>-2818.0547565966635</v>
      </c>
      <c r="N17" s="259">
        <f t="shared" ca="1" si="4"/>
        <v>-2818.0547565966635</v>
      </c>
      <c r="O17" s="526">
        <f t="shared" ca="1" si="4"/>
        <v>-3757.4063421288847</v>
      </c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430"/>
    </row>
    <row r="18" spans="1:29" ht="11.25" customHeight="1">
      <c r="A18" s="20"/>
      <c r="B18" s="15"/>
      <c r="C18" s="15"/>
      <c r="D18" s="237" t="s">
        <v>619</v>
      </c>
      <c r="E18" s="239"/>
      <c r="F18" s="238"/>
      <c r="G18" s="1197">
        <f>-Land1</f>
        <v>-162</v>
      </c>
      <c r="H18" s="259">
        <f>-Land2</f>
        <v>-162</v>
      </c>
      <c r="I18" s="259">
        <f>-Land3</f>
        <v>-216</v>
      </c>
      <c r="J18" s="1197">
        <f t="shared" ref="J18:L19" si="5">G18</f>
        <v>-162</v>
      </c>
      <c r="K18" s="259">
        <f t="shared" si="5"/>
        <v>-162</v>
      </c>
      <c r="L18" s="259">
        <f t="shared" si="5"/>
        <v>-216</v>
      </c>
      <c r="M18" s="1197">
        <f t="shared" ref="M18:O19" si="6">G18</f>
        <v>-162</v>
      </c>
      <c r="N18" s="259">
        <f t="shared" si="6"/>
        <v>-162</v>
      </c>
      <c r="O18" s="526">
        <f t="shared" si="6"/>
        <v>-216</v>
      </c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430"/>
    </row>
    <row r="19" spans="1:29">
      <c r="A19" s="20"/>
      <c r="B19" s="15"/>
      <c r="C19" s="15"/>
      <c r="D19" s="237" t="s">
        <v>621</v>
      </c>
      <c r="E19" s="239"/>
      <c r="F19" s="238"/>
      <c r="G19" s="1197">
        <f ca="1">-Wcap1</f>
        <v>0</v>
      </c>
      <c r="H19" s="259">
        <f ca="1">-Wcap2</f>
        <v>0</v>
      </c>
      <c r="I19" s="259">
        <f ca="1">-Wcap3</f>
        <v>0</v>
      </c>
      <c r="J19" s="1197">
        <f t="shared" ca="1" si="5"/>
        <v>0</v>
      </c>
      <c r="K19" s="259">
        <f t="shared" ca="1" si="5"/>
        <v>0</v>
      </c>
      <c r="L19" s="259">
        <f t="shared" ca="1" si="5"/>
        <v>0</v>
      </c>
      <c r="M19" s="1197">
        <f t="shared" ca="1" si="6"/>
        <v>0</v>
      </c>
      <c r="N19" s="259">
        <f t="shared" ca="1" si="6"/>
        <v>0</v>
      </c>
      <c r="O19" s="526">
        <f t="shared" ca="1" si="6"/>
        <v>0</v>
      </c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430"/>
    </row>
    <row r="20" spans="1:29">
      <c r="A20" s="20"/>
      <c r="B20" s="15"/>
      <c r="C20" s="15"/>
      <c r="D20" s="237" t="s">
        <v>620</v>
      </c>
      <c r="E20" s="239"/>
      <c r="F20" s="238"/>
      <c r="G20" s="1198">
        <f>-Spares1-Assm!S40</f>
        <v>-1393.3481999999999</v>
      </c>
      <c r="H20" s="1198">
        <f>-Spares2-Assm!T40</f>
        <v>-1393.3481999999999</v>
      </c>
      <c r="I20" s="1198">
        <f>-Spares3-Assm!U40</f>
        <v>-1857.7975999999999</v>
      </c>
      <c r="J20" s="1198">
        <f>G20</f>
        <v>-1393.3481999999999</v>
      </c>
      <c r="K20" s="1199">
        <f>H20</f>
        <v>-1393.3481999999999</v>
      </c>
      <c r="L20" s="1199">
        <f>I20</f>
        <v>-1857.7975999999999</v>
      </c>
      <c r="M20" s="1198">
        <f>G20</f>
        <v>-1393.3481999999999</v>
      </c>
      <c r="N20" s="1199">
        <f>H20</f>
        <v>-1393.3481999999999</v>
      </c>
      <c r="O20" s="702">
        <f>I20</f>
        <v>-1857.7975999999999</v>
      </c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430"/>
    </row>
    <row r="21" spans="1:29">
      <c r="A21" s="20"/>
      <c r="B21" s="15"/>
      <c r="C21" s="15"/>
      <c r="D21" s="444" t="s">
        <v>622</v>
      </c>
      <c r="E21" s="571"/>
      <c r="F21" s="409"/>
      <c r="G21" s="1200">
        <f ca="1">SUM(G16:G20)</f>
        <v>98794.94800002416</v>
      </c>
      <c r="H21" s="492">
        <f t="shared" ref="H21:O21" ca="1" si="7">SUM(H16:H20)</f>
        <v>98794.94800002416</v>
      </c>
      <c r="I21" s="492">
        <f t="shared" ca="1" si="7"/>
        <v>131726.59733336561</v>
      </c>
      <c r="J21" s="1200">
        <f t="shared" ca="1" si="7"/>
        <v>98794.94800002416</v>
      </c>
      <c r="K21" s="492">
        <f t="shared" ca="1" si="7"/>
        <v>98794.94800002416</v>
      </c>
      <c r="L21" s="492">
        <f t="shared" ca="1" si="7"/>
        <v>131726.59733336561</v>
      </c>
      <c r="M21" s="1200">
        <f t="shared" ca="1" si="7"/>
        <v>98794.94800002416</v>
      </c>
      <c r="N21" s="492">
        <f t="shared" ca="1" si="7"/>
        <v>98794.94800002416</v>
      </c>
      <c r="O21" s="703">
        <f t="shared" ca="1" si="7"/>
        <v>131726.59733336561</v>
      </c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430"/>
    </row>
    <row r="22" spans="1:29">
      <c r="A22" s="20"/>
      <c r="B22" s="15"/>
      <c r="C22" s="15"/>
      <c r="D22" s="15"/>
      <c r="E22" s="1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430"/>
    </row>
    <row r="23" spans="1:29">
      <c r="A23" s="417"/>
      <c r="B23" s="15"/>
      <c r="C23" s="15"/>
      <c r="D23" s="15"/>
      <c r="E23" s="1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469"/>
    </row>
    <row r="24" spans="1:29">
      <c r="A24" s="540" t="s">
        <v>623</v>
      </c>
      <c r="B24" s="2"/>
      <c r="C24" s="10"/>
      <c r="D24" s="5" t="s">
        <v>818</v>
      </c>
      <c r="E24" s="5" t="s">
        <v>818</v>
      </c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535"/>
    </row>
    <row r="25" spans="1:29">
      <c r="A25" s="20" t="s">
        <v>624</v>
      </c>
      <c r="B25" s="15"/>
      <c r="C25" s="15"/>
      <c r="D25" s="63" t="s">
        <v>819</v>
      </c>
      <c r="E25" s="63" t="s">
        <v>820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430"/>
    </row>
    <row r="26" spans="1:29">
      <c r="A26" s="20"/>
      <c r="B26" s="15" t="s">
        <v>625</v>
      </c>
      <c r="C26" s="15"/>
      <c r="D26" s="230">
        <f>Assm!K50</f>
        <v>20</v>
      </c>
      <c r="E26" s="1201">
        <f ca="1">Assm!J50</f>
        <v>98794.94800002416</v>
      </c>
      <c r="F26" s="15"/>
      <c r="G26" s="37">
        <f ca="1">IF(G$7&lt;YEAR(Startops1),0,IF($D26*12&gt;$AC$9,$E26*G$9/$AC$9,IF(SUM($G$9:G$9)&gt;=$D26*12,$E26-SUM($F26:F26),$E26/$D26*G$9/12)))</f>
        <v>0</v>
      </c>
      <c r="H26" s="37">
        <f ca="1">IF(H$7&lt;YEAR(Startops1),0,IF($D26*12&gt;$AC$9,$E26*H$9/$AC$9,IF(SUM($G$9:H$9)&gt;=$D26*12,$E26-SUM($F26:G26),$E26/$D26*H$9/12)))</f>
        <v>3704.810550000906</v>
      </c>
      <c r="I26" s="37">
        <f ca="1">IF(I$7&lt;YEAR(Startops1),0,IF($D26*12&gt;$AC$9,$E26*I$9/$AC$9,IF(SUM($G$9:I$9)&gt;=$D26*12,$E26-SUM($F26:H26),$E26/$D26*I$9/12)))</f>
        <v>4939.747400001208</v>
      </c>
      <c r="J26" s="37">
        <f ca="1">IF(J$7&lt;YEAR(Startops1),0,IF($D26*12&gt;$AC$9,$E26*J$9/$AC$9,IF(SUM($G$9:J$9)&gt;=$D26*12,$E26-SUM($F26:I26),$E26/$D26*J$9/12)))</f>
        <v>4939.747400001208</v>
      </c>
      <c r="K26" s="37">
        <f ca="1">IF(K$7&lt;YEAR(Startops1),0,IF($D26*12&gt;$AC$9,$E26*K$9/$AC$9,IF(SUM($G$9:K$9)&gt;=$D26*12,$E26-SUM($F26:J26),$E26/$D26*K$9/12)))</f>
        <v>4939.747400001208</v>
      </c>
      <c r="L26" s="37">
        <f ca="1">IF(L$7&lt;YEAR(Startops1),0,IF($D26*12&gt;$AC$9,$E26*L$9/$AC$9,IF(SUM($G$9:L$9)&gt;=$D26*12,$E26-SUM($F26:K26),$E26/$D26*L$9/12)))</f>
        <v>4939.747400001208</v>
      </c>
      <c r="M26" s="37">
        <f ca="1">IF(M$7&lt;YEAR(Startops1),0,IF($D26*12&gt;$AC$9,$E26*M$9/$AC$9,IF(SUM($G$9:M$9)&gt;=$D26*12,$E26-SUM($F26:L26),$E26/$D26*M$9/12)))</f>
        <v>4939.747400001208</v>
      </c>
      <c r="N26" s="37">
        <f ca="1">IF(N$7&lt;YEAR(Startops1),0,IF($D26*12&gt;$AC$9,$E26*N$9/$AC$9,IF(SUM($G$9:N$9)&gt;=$D26*12,$E26-SUM($F26:M26),$E26/$D26*N$9/12)))</f>
        <v>4939.747400001208</v>
      </c>
      <c r="O26" s="37">
        <f ca="1">IF(O$7&lt;YEAR(Startops1),0,IF($D26*12&gt;$AC$9,$E26*O$9/$AC$9,IF(SUM($G$9:O$9)&gt;=$D26*12,$E26-SUM($F26:N26),$E26/$D26*O$9/12)))</f>
        <v>4939.747400001208</v>
      </c>
      <c r="P26" s="37">
        <f ca="1">IF(P$7&lt;YEAR(Startops1),0,IF($D26*12&gt;$AC$9,$E26*P$9/$AC$9,IF(SUM($G$9:P$9)&gt;=$D26*12,$E26-SUM($F26:O26),$E26/$D26*P$9/12)))</f>
        <v>4939.747400001208</v>
      </c>
      <c r="Q26" s="37">
        <f ca="1">IF(Q$7&lt;YEAR(Startops1),0,IF($D26*12&gt;$AC$9,$E26*Q$9/$AC$9,IF(SUM($G$9:Q$9)&gt;=$D26*12,$E26-SUM($F26:P26),$E26/$D26*Q$9/12)))</f>
        <v>4939.747400001208</v>
      </c>
      <c r="R26" s="37">
        <f ca="1">IF(R$7&lt;YEAR(Startops1),0,IF($D26*12&gt;$AC$9,$E26*R$9/$AC$9,IF(SUM($G$9:R$9)&gt;=$D26*12,$E26-SUM($F26:Q26),$E26/$D26*R$9/12)))</f>
        <v>4939.747400001208</v>
      </c>
      <c r="S26" s="37">
        <f ca="1">IF(S$7&lt;YEAR(Startops1),0,IF($D26*12&gt;$AC$9,$E26*S$9/$AC$9,IF(SUM($G$9:S$9)&gt;=$D26*12,$E26-SUM($F26:R26),$E26/$D26*S$9/12)))</f>
        <v>4939.747400001208</v>
      </c>
      <c r="T26" s="37">
        <f ca="1">IF(T$7&lt;YEAR(Startops1),0,IF($D26*12&gt;$AC$9,$E26*T$9/$AC$9,IF(SUM($G$9:T$9)&gt;=$D26*12,$E26-SUM($F26:S26),$E26/$D26*T$9/12)))</f>
        <v>4939.747400001208</v>
      </c>
      <c r="U26" s="37">
        <f ca="1">IF(U$7&lt;YEAR(Startops1),0,IF($D26*12&gt;$AC$9,$E26*U$9/$AC$9,IF(SUM($G$9:U$9)&gt;=$D26*12,$E26-SUM($F26:T26),$E26/$D26*U$9/12)))</f>
        <v>4939.747400001208</v>
      </c>
      <c r="V26" s="37">
        <f ca="1">IF(V$7&lt;YEAR(Startops1),0,IF($D26*12&gt;$AC$9,$E26*V$9/$AC$9,IF(SUM($G$9:V$9)&gt;=$D26*12,$E26-SUM($F26:U26),$E26/$D26*V$9/12)))</f>
        <v>4939.747400001208</v>
      </c>
      <c r="W26" s="37">
        <f ca="1">IF(W$7&lt;YEAR(Startops1),0,IF($D26*12&gt;$AC$9,$E26*W$9/$AC$9,IF(SUM($G$9:W$9)&gt;=$D26*12,$E26-SUM($F26:V26),$E26/$D26*W$9/12)))</f>
        <v>4939.747400001208</v>
      </c>
      <c r="X26" s="37">
        <f ca="1">IF(X$7&lt;YEAR(Startops1),0,IF($D26*12&gt;$AC$9,$E26*X$9/$AC$9,IF(SUM($G$9:X$9)&gt;=$D26*12,$E26-SUM($F26:W26),$E26/$D26*X$9/12)))</f>
        <v>4939.747400001208</v>
      </c>
      <c r="Y26" s="37">
        <f ca="1">IF(Y$7&lt;YEAR(Startops1),0,IF($D26*12&gt;$AC$9,$E26*Y$9/$AC$9,IF(SUM($G$9:Y$9)&gt;=$D26*12,$E26-SUM($F26:X26),$E26/$D26*Y$9/12)))</f>
        <v>4939.747400001208</v>
      </c>
      <c r="Z26" s="37">
        <f ca="1">IF(Z$7&lt;YEAR(Startops1),0,IF($D26*12&gt;$AC$9,$E26*Z$9/$AC$9,IF(SUM($G$9:Z$9)&gt;=$D26*12,$E26-SUM($F26:Y26),$E26/$D26*Z$9/12)))</f>
        <v>4939.747400001208</v>
      </c>
      <c r="AA26" s="37">
        <f ca="1">IF(AA$7&lt;YEAR(Startops1),0,IF($D26*12&gt;$AC$9,$E26*AA$9/$AC$9,IF(SUM($G$9:AA$9)&gt;=$D26*12,$E26-SUM($F26:Z26),$E26/$D26*AA$9/12)))</f>
        <v>4939.747400001208</v>
      </c>
      <c r="AB26" s="37">
        <f ca="1">IF(AB$7&lt;YEAR(Startops1),0,IF($D26*12&gt;$AC$9,$E26*AB$9/$AC$9,IF(SUM($G$9:AB$9)&gt;=$D26*12,$E26-SUM($F26:AA26),$E26/$D26*AB$9/12)))</f>
        <v>1234.9368500002602</v>
      </c>
      <c r="AC26" s="435">
        <f ca="1">SUM(G26:AB26)</f>
        <v>98794.94800002416</v>
      </c>
    </row>
    <row r="27" spans="1:29">
      <c r="A27" s="20"/>
      <c r="B27" s="15" t="s">
        <v>626</v>
      </c>
      <c r="C27" s="15"/>
      <c r="D27" s="230">
        <f>Assm!K51</f>
        <v>20</v>
      </c>
      <c r="E27" s="1201">
        <f ca="1">Assm!J51</f>
        <v>98794.94800002416</v>
      </c>
      <c r="F27" s="15"/>
      <c r="G27" s="37">
        <f ca="1">IF(G$7&lt;YEAR(Startops1),0,IF($D27*12&gt;$AC$10,$E27*G$10/$AC$10,IF(SUM($G$10:G$10)&gt;=$D27*12,$E27-SUM($F27:F27),$E27/$D27*G$10/12)))</f>
        <v>0</v>
      </c>
      <c r="H27" s="37">
        <f ca="1">IF(H$7&lt;YEAR(Startops1),0,IF($D27*12&gt;$AC$10,$E27*H$10/$AC$10,IF(SUM($G$10:H$10)&gt;=$D27*12,$E27-SUM($F27:G27),$E27/$D27*H$10/12)))</f>
        <v>0</v>
      </c>
      <c r="I27" s="37">
        <f ca="1">IF(I$7&lt;YEAR(Startops1),0,IF($D27*12&gt;$AC$10,$E27*I$10/$AC$10,IF(SUM($G$10:I$10)&gt;=$D27*12,$E27-SUM($F27:H27),$E27/$D27*I$10/12)))</f>
        <v>0</v>
      </c>
      <c r="J27" s="37">
        <f ca="1">IF(J$7&lt;YEAR(Startops1),0,IF($D27*12&gt;$AC$10,$E27*J$10/$AC$10,IF(SUM($G$10:J$10)&gt;=$D27*12,$E27-SUM($F27:I27),$E27/$D27*J$10/12)))</f>
        <v>4531.8783486249613</v>
      </c>
      <c r="K27" s="37">
        <f ca="1">IF(K$7&lt;YEAR(Startops1),0,IF($D27*12&gt;$AC$10,$E27*K$10/$AC$10,IF(SUM($G$10:K$10)&gt;=$D27*12,$E27-SUM($F27:J27),$E27/$D27*K$10/12)))</f>
        <v>5438.2540183499532</v>
      </c>
      <c r="L27" s="37">
        <f ca="1">IF(L$7&lt;YEAR(Startops1),0,IF($D27*12&gt;$AC$10,$E27*L$10/$AC$10,IF(SUM($G$10:L$10)&gt;=$D27*12,$E27-SUM($F27:K27),$E27/$D27*L$10/12)))</f>
        <v>5438.2540183499532</v>
      </c>
      <c r="M27" s="37">
        <f ca="1">IF(M$7&lt;YEAR(Startops1),0,IF($D27*12&gt;$AC$10,$E27*M$10/$AC$10,IF(SUM($G$10:M$10)&gt;=$D27*12,$E27-SUM($F27:L27),$E27/$D27*M$10/12)))</f>
        <v>5438.2540183499532</v>
      </c>
      <c r="N27" s="37">
        <f ca="1">IF(N$7&lt;YEAR(Startops1),0,IF($D27*12&gt;$AC$10,$E27*N$10/$AC$10,IF(SUM($G$10:N$10)&gt;=$D27*12,$E27-SUM($F27:M27),$E27/$D27*N$10/12)))</f>
        <v>5438.2540183499532</v>
      </c>
      <c r="O27" s="37">
        <f ca="1">IF(O$7&lt;YEAR(Startops1),0,IF($D27*12&gt;$AC$10,$E27*O$10/$AC$10,IF(SUM($G$10:O$10)&gt;=$D27*12,$E27-SUM($F27:N27),$E27/$D27*O$10/12)))</f>
        <v>5438.2540183499532</v>
      </c>
      <c r="P27" s="37">
        <f ca="1">IF(P$7&lt;YEAR(Startops1),0,IF($D27*12&gt;$AC$10,$E27*P$10/$AC$10,IF(SUM($G$10:P$10)&gt;=$D27*12,$E27-SUM($F27:O27),$E27/$D27*P$10/12)))</f>
        <v>5438.2540183499532</v>
      </c>
      <c r="Q27" s="37">
        <f ca="1">IF(Q$7&lt;YEAR(Startops1),0,IF($D27*12&gt;$AC$10,$E27*Q$10/$AC$10,IF(SUM($G$10:Q$10)&gt;=$D27*12,$E27-SUM($F27:P27),$E27/$D27*Q$10/12)))</f>
        <v>5438.2540183499532</v>
      </c>
      <c r="R27" s="37">
        <f ca="1">IF(R$7&lt;YEAR(Startops1),0,IF($D27*12&gt;$AC$10,$E27*R$10/$AC$10,IF(SUM($G$10:R$10)&gt;=$D27*12,$E27-SUM($F27:Q27),$E27/$D27*R$10/12)))</f>
        <v>5438.2540183499532</v>
      </c>
      <c r="S27" s="37">
        <f ca="1">IF(S$7&lt;YEAR(Startops1),0,IF($D27*12&gt;$AC$10,$E27*S$10/$AC$10,IF(SUM($G$10:S$10)&gt;=$D27*12,$E27-SUM($F27:R27),$E27/$D27*S$10/12)))</f>
        <v>5438.2540183499532</v>
      </c>
      <c r="T27" s="37">
        <f ca="1">IF(T$7&lt;YEAR(Startops1),0,IF($D27*12&gt;$AC$10,$E27*T$10/$AC$10,IF(SUM($G$10:T$10)&gt;=$D27*12,$E27-SUM($F27:S27),$E27/$D27*T$10/12)))</f>
        <v>5438.2540183499532</v>
      </c>
      <c r="U27" s="37">
        <f ca="1">IF(U$7&lt;YEAR(Startops1),0,IF($D27*12&gt;$AC$10,$E27*U$10/$AC$10,IF(SUM($G$10:U$10)&gt;=$D27*12,$E27-SUM($F27:T27),$E27/$D27*U$10/12)))</f>
        <v>5438.2540183499532</v>
      </c>
      <c r="V27" s="37">
        <f ca="1">IF(V$7&lt;YEAR(Startops1),0,IF($D27*12&gt;$AC$10,$E27*V$10/$AC$10,IF(SUM($G$10:V$10)&gt;=$D27*12,$E27-SUM($F27:U27),$E27/$D27*V$10/12)))</f>
        <v>5438.2540183499532</v>
      </c>
      <c r="W27" s="37">
        <f ca="1">IF(W$7&lt;YEAR(Startops1),0,IF($D27*12&gt;$AC$10,$E27*W$10/$AC$10,IF(SUM($G$10:W$10)&gt;=$D27*12,$E27-SUM($F27:V27),$E27/$D27*W$10/12)))</f>
        <v>5438.2540183499532</v>
      </c>
      <c r="X27" s="37">
        <f ca="1">IF(X$7&lt;YEAR(Startops1),0,IF($D27*12&gt;$AC$10,$E27*X$10/$AC$10,IF(SUM($G$10:X$10)&gt;=$D27*12,$E27-SUM($F27:W27),$E27/$D27*X$10/12)))</f>
        <v>5438.2540183499532</v>
      </c>
      <c r="Y27" s="37">
        <f ca="1">IF(Y$7&lt;YEAR(Startops1),0,IF($D27*12&gt;$AC$10,$E27*Y$10/$AC$10,IF(SUM($G$10:Y$10)&gt;=$D27*12,$E27-SUM($F27:X27),$E27/$D27*Y$10/12)))</f>
        <v>5438.2540183499532</v>
      </c>
      <c r="Z27" s="37">
        <f ca="1">IF(Z$7&lt;YEAR(Startops1),0,IF($D27*12&gt;$AC$10,$E27*Z$10/$AC$10,IF(SUM($G$10:Z$10)&gt;=$D27*12,$E27-SUM($F27:Y27),$E27/$D27*Z$10/12)))</f>
        <v>5438.2540183499532</v>
      </c>
      <c r="AA27" s="37">
        <f ca="1">IF(AA$7&lt;YEAR(Startops1),0,IF($D27*12&gt;$AC$10,$E27*AA$10/$AC$10,IF(SUM($G$10:AA$10)&gt;=$D27*12,$E27-SUM($F27:Z27),$E27/$D27*AA$10/12)))</f>
        <v>5438.2540183499532</v>
      </c>
      <c r="AB27" s="37">
        <f ca="1">IF(AB$7&lt;YEAR(Startops1),0,IF($D27*12&gt;$AC$10,$E27*AB$10/$AC$10,IF(SUM($G$10:AB$10)&gt;=$D27*12,$E27-SUM($F27:AA27),$E27/$D27*AB$10/12)))</f>
        <v>1812.7513394499847</v>
      </c>
      <c r="AC27" s="435">
        <f ca="1">SUM(G27:AB27)</f>
        <v>98794.948000024131</v>
      </c>
    </row>
    <row r="28" spans="1:29">
      <c r="A28" s="20"/>
      <c r="B28" s="15" t="s">
        <v>627</v>
      </c>
      <c r="C28" s="15"/>
      <c r="D28" s="230">
        <f>Assm!K52</f>
        <v>20</v>
      </c>
      <c r="E28" s="1202">
        <f ca="1">Assm!J52</f>
        <v>131726.59733336561</v>
      </c>
      <c r="F28" s="15"/>
      <c r="G28" s="142">
        <f ca="1">IF(G$7&lt;YEAR(Startops1),0,IF($D28*12&gt;$AC$11,$E28*G$11/$AC$11,IF(SUM($G$11:G$11)&gt;=$D28*12,$E28-SUM($F28:F28),$E28/$D28*G$11/12)))</f>
        <v>0</v>
      </c>
      <c r="H28" s="142">
        <f ca="1">IF(H$7&lt;YEAR(Startops1),0,IF($D28*12&gt;$AC$11,$E28*H$11/$AC$11,IF(SUM($G$11:H$11)&gt;=$D28*12,$E28-SUM($F28:G28),$E28/$D28*H$11/12)))</f>
        <v>0</v>
      </c>
      <c r="I28" s="142">
        <f ca="1">IF(I$7&lt;YEAR(Startops1),0,IF($D28*12&gt;$AC$11,$E28*I$11/$AC$11,IF(SUM($G$11:I$11)&gt;=$D28*12,$E28-SUM($F28:H28),$E28/$D28*I$11/12)))</f>
        <v>0</v>
      </c>
      <c r="J28" s="142">
        <f ca="1">IF(J$7&lt;YEAR(Startops1),0,IF($D28*12&gt;$AC$11,$E28*J$11/$AC$11,IF(SUM($G$11:J$11)&gt;=$D28*12,$E28-SUM($F28:I28),$E28/$D28*J$11/12)))</f>
        <v>3092.1736463231364</v>
      </c>
      <c r="K28" s="142">
        <f ca="1">IF(K$7&lt;YEAR(Startops1),0,IF($D28*12&gt;$AC$11,$E28*K$11/$AC$11,IF(SUM($G$11:K$11)&gt;=$D28*12,$E28-SUM($F28:J28),$E28/$D28*K$11/12)))</f>
        <v>7421.2167511755279</v>
      </c>
      <c r="L28" s="142">
        <f ca="1">IF(L$7&lt;YEAR(Startops1),0,IF($D28*12&gt;$AC$11,$E28*L$11/$AC$11,IF(SUM($G$11:L$11)&gt;=$D28*12,$E28-SUM($F28:K28),$E28/$D28*L$11/12)))</f>
        <v>7421.2167511755279</v>
      </c>
      <c r="M28" s="142">
        <f ca="1">IF(M$7&lt;YEAR(Startops1),0,IF($D28*12&gt;$AC$11,$E28*M$11/$AC$11,IF(SUM($G$11:M$11)&gt;=$D28*12,$E28-SUM($F28:L28),$E28/$D28*M$11/12)))</f>
        <v>7421.2167511755279</v>
      </c>
      <c r="N28" s="142">
        <f ca="1">IF(N$7&lt;YEAR(Startops1),0,IF($D28*12&gt;$AC$11,$E28*N$11/$AC$11,IF(SUM($G$11:N$11)&gt;=$D28*12,$E28-SUM($F28:M28),$E28/$D28*N$11/12)))</f>
        <v>7421.2167511755279</v>
      </c>
      <c r="O28" s="142">
        <f ca="1">IF(O$7&lt;YEAR(Startops1),0,IF($D28*12&gt;$AC$11,$E28*O$11/$AC$11,IF(SUM($G$11:O$11)&gt;=$D28*12,$E28-SUM($F28:N28),$E28/$D28*O$11/12)))</f>
        <v>7421.2167511755279</v>
      </c>
      <c r="P28" s="142">
        <f ca="1">IF(P$7&lt;YEAR(Startops1),0,IF($D28*12&gt;$AC$11,$E28*P$11/$AC$11,IF(SUM($G$11:P$11)&gt;=$D28*12,$E28-SUM($F28:O28),$E28/$D28*P$11/12)))</f>
        <v>7421.2167511755279</v>
      </c>
      <c r="Q28" s="142">
        <f ca="1">IF(Q$7&lt;YEAR(Startops1),0,IF($D28*12&gt;$AC$11,$E28*Q$11/$AC$11,IF(SUM($G$11:Q$11)&gt;=$D28*12,$E28-SUM($F28:P28),$E28/$D28*Q$11/12)))</f>
        <v>7421.2167511755279</v>
      </c>
      <c r="R28" s="142">
        <f ca="1">IF(R$7&lt;YEAR(Startops1),0,IF($D28*12&gt;$AC$11,$E28*R$11/$AC$11,IF(SUM($G$11:R$11)&gt;=$D28*12,$E28-SUM($F28:Q28),$E28/$D28*R$11/12)))</f>
        <v>7421.2167511755279</v>
      </c>
      <c r="S28" s="142">
        <f ca="1">IF(S$7&lt;YEAR(Startops1),0,IF($D28*12&gt;$AC$11,$E28*S$11/$AC$11,IF(SUM($G$11:S$11)&gt;=$D28*12,$E28-SUM($F28:R28),$E28/$D28*S$11/12)))</f>
        <v>7421.2167511755279</v>
      </c>
      <c r="T28" s="142">
        <f ca="1">IF(T$7&lt;YEAR(Startops1),0,IF($D28*12&gt;$AC$11,$E28*T$11/$AC$11,IF(SUM($G$11:T$11)&gt;=$D28*12,$E28-SUM($F28:S28),$E28/$D28*T$11/12)))</f>
        <v>7421.2167511755279</v>
      </c>
      <c r="U28" s="142">
        <f ca="1">IF(U$7&lt;YEAR(Startops1),0,IF($D28*12&gt;$AC$11,$E28*U$11/$AC$11,IF(SUM($G$11:U$11)&gt;=$D28*12,$E28-SUM($F28:T28),$E28/$D28*U$11/12)))</f>
        <v>7421.2167511755279</v>
      </c>
      <c r="V28" s="142">
        <f ca="1">IF(V$7&lt;YEAR(Startops1),0,IF($D28*12&gt;$AC$11,$E28*V$11/$AC$11,IF(SUM($G$11:V$11)&gt;=$D28*12,$E28-SUM($F28:U28),$E28/$D28*V$11/12)))</f>
        <v>7421.2167511755279</v>
      </c>
      <c r="W28" s="142">
        <f ca="1">IF(W$7&lt;YEAR(Startops1),0,IF($D28*12&gt;$AC$11,$E28*W$11/$AC$11,IF(SUM($G$11:W$11)&gt;=$D28*12,$E28-SUM($F28:V28),$E28/$D28*W$11/12)))</f>
        <v>7421.2167511755279</v>
      </c>
      <c r="X28" s="142">
        <f ca="1">IF(X$7&lt;YEAR(Startops1),0,IF($D28*12&gt;$AC$11,$E28*X$11/$AC$11,IF(SUM($G$11:X$11)&gt;=$D28*12,$E28-SUM($F28:W28),$E28/$D28*X$11/12)))</f>
        <v>7421.2167511755279</v>
      </c>
      <c r="Y28" s="142">
        <f ca="1">IF(Y$7&lt;YEAR(Startops1),0,IF($D28*12&gt;$AC$11,$E28*Y$11/$AC$11,IF(SUM($G$11:Y$11)&gt;=$D28*12,$E28-SUM($F28:X28),$E28/$D28*Y$11/12)))</f>
        <v>7421.2167511755279</v>
      </c>
      <c r="Z28" s="142">
        <f ca="1">IF(Z$7&lt;YEAR(Startops1),0,IF($D28*12&gt;$AC$11,$E28*Z$11/$AC$11,IF(SUM($G$11:Z$11)&gt;=$D28*12,$E28-SUM($F28:Y28),$E28/$D28*Z$11/12)))</f>
        <v>7421.2167511755279</v>
      </c>
      <c r="AA28" s="142">
        <f ca="1">IF(AA$7&lt;YEAR(Startops1),0,IF($D28*12&gt;$AC$11,$E28*AA$11/$AC$11,IF(SUM($G$11:AA$11)&gt;=$D28*12,$E28-SUM($F28:Z28),$E28/$D28*AA$11/12)))</f>
        <v>7421.2167511755279</v>
      </c>
      <c r="AB28" s="142">
        <f ca="1">IF(AB$7&lt;YEAR(Startops1),0,IF($D28*12&gt;$AC$11,$E28*AB$11/$AC$11,IF(SUM($G$11:AB$11)&gt;=$D28*12,$E28-SUM($F28:AA28),$E28/$D28*AB$11/12)))</f>
        <v>2473.7389170585093</v>
      </c>
      <c r="AC28" s="436">
        <f ca="1">SUM(G28:AB28)</f>
        <v>131726.59733336559</v>
      </c>
    </row>
    <row r="29" spans="1:29">
      <c r="A29" s="20"/>
      <c r="B29" s="15" t="s">
        <v>634</v>
      </c>
      <c r="C29" s="15"/>
      <c r="D29" s="95"/>
      <c r="E29" s="1201">
        <f ca="1">SUM(E26:E28)</f>
        <v>329316.49333341396</v>
      </c>
      <c r="F29" s="15"/>
      <c r="G29" s="37">
        <f ca="1">SUM(G26:G28)</f>
        <v>0</v>
      </c>
      <c r="H29" s="37">
        <f t="shared" ref="H29:W29" ca="1" si="8">SUM(H26:H28)</f>
        <v>3704.810550000906</v>
      </c>
      <c r="I29" s="37">
        <f t="shared" ca="1" si="8"/>
        <v>4939.747400001208</v>
      </c>
      <c r="J29" s="37">
        <f t="shared" ca="1" si="8"/>
        <v>12563.799394949307</v>
      </c>
      <c r="K29" s="37">
        <f t="shared" ca="1" si="8"/>
        <v>17799.218169526688</v>
      </c>
      <c r="L29" s="37">
        <f t="shared" ca="1" si="8"/>
        <v>17799.218169526688</v>
      </c>
      <c r="M29" s="37">
        <f t="shared" ca="1" si="8"/>
        <v>17799.218169526688</v>
      </c>
      <c r="N29" s="37">
        <f t="shared" ca="1" si="8"/>
        <v>17799.218169526688</v>
      </c>
      <c r="O29" s="37">
        <f t="shared" ca="1" si="8"/>
        <v>17799.218169526688</v>
      </c>
      <c r="P29" s="37">
        <f t="shared" ca="1" si="8"/>
        <v>17799.218169526688</v>
      </c>
      <c r="Q29" s="37">
        <f t="shared" ca="1" si="8"/>
        <v>17799.218169526688</v>
      </c>
      <c r="R29" s="37">
        <f t="shared" ca="1" si="8"/>
        <v>17799.218169526688</v>
      </c>
      <c r="S29" s="37">
        <f t="shared" ca="1" si="8"/>
        <v>17799.218169526688</v>
      </c>
      <c r="T29" s="37">
        <f t="shared" ca="1" si="8"/>
        <v>17799.218169526688</v>
      </c>
      <c r="U29" s="37">
        <f t="shared" ca="1" si="8"/>
        <v>17799.218169526688</v>
      </c>
      <c r="V29" s="37">
        <f t="shared" ca="1" si="8"/>
        <v>17799.218169526688</v>
      </c>
      <c r="W29" s="37">
        <f t="shared" ca="1" si="8"/>
        <v>17799.218169526688</v>
      </c>
      <c r="X29" s="37">
        <f t="shared" ref="X29:AC29" ca="1" si="9">SUM(X26:X28)</f>
        <v>17799.218169526688</v>
      </c>
      <c r="Y29" s="37">
        <f t="shared" ca="1" si="9"/>
        <v>17799.218169526688</v>
      </c>
      <c r="Z29" s="37">
        <f t="shared" ca="1" si="9"/>
        <v>17799.218169526688</v>
      </c>
      <c r="AA29" s="37">
        <f t="shared" ca="1" si="9"/>
        <v>17799.218169526688</v>
      </c>
      <c r="AB29" s="37">
        <f t="shared" ca="1" si="9"/>
        <v>5521.4271065087542</v>
      </c>
      <c r="AC29" s="435">
        <f t="shared" ca="1" si="9"/>
        <v>329316.49333341385</v>
      </c>
    </row>
    <row r="30" spans="1:29">
      <c r="A30" s="345"/>
      <c r="B30" s="43" t="s">
        <v>635</v>
      </c>
      <c r="C30" s="15"/>
      <c r="D30" s="95"/>
      <c r="E30" s="95"/>
      <c r="F30" s="15"/>
      <c r="G30" s="256">
        <f ca="1">G29</f>
        <v>0</v>
      </c>
      <c r="H30" s="256">
        <f ca="1">G30+H29</f>
        <v>3704.810550000906</v>
      </c>
      <c r="I30" s="256">
        <f t="shared" ref="I30:X30" ca="1" si="10">H30+I29</f>
        <v>8644.557950002114</v>
      </c>
      <c r="J30" s="256">
        <f t="shared" ca="1" si="10"/>
        <v>21208.357344951422</v>
      </c>
      <c r="K30" s="256">
        <f t="shared" ca="1" si="10"/>
        <v>39007.575514478114</v>
      </c>
      <c r="L30" s="256">
        <f t="shared" ca="1" si="10"/>
        <v>56806.793684004806</v>
      </c>
      <c r="M30" s="256">
        <f t="shared" ca="1" si="10"/>
        <v>74606.011853531498</v>
      </c>
      <c r="N30" s="256">
        <f t="shared" ca="1" si="10"/>
        <v>92405.23002305819</v>
      </c>
      <c r="O30" s="256">
        <f t="shared" ca="1" si="10"/>
        <v>110204.44819258488</v>
      </c>
      <c r="P30" s="256">
        <f t="shared" ca="1" si="10"/>
        <v>128003.66636211157</v>
      </c>
      <c r="Q30" s="256">
        <f t="shared" ca="1" si="10"/>
        <v>145802.88453163826</v>
      </c>
      <c r="R30" s="256">
        <f t="shared" ca="1" si="10"/>
        <v>163602.10270116496</v>
      </c>
      <c r="S30" s="256">
        <f t="shared" ca="1" si="10"/>
        <v>181401.32087069165</v>
      </c>
      <c r="T30" s="256">
        <f t="shared" ca="1" si="10"/>
        <v>199200.53904021834</v>
      </c>
      <c r="U30" s="256">
        <f t="shared" ca="1" si="10"/>
        <v>216999.75720974503</v>
      </c>
      <c r="V30" s="256">
        <f t="shared" ca="1" si="10"/>
        <v>234798.97537927172</v>
      </c>
      <c r="W30" s="256">
        <f t="shared" ca="1" si="10"/>
        <v>252598.19354879842</v>
      </c>
      <c r="X30" s="256">
        <f t="shared" ca="1" si="10"/>
        <v>270397.41171832511</v>
      </c>
      <c r="Y30" s="256">
        <f ca="1">X30+Y29</f>
        <v>288196.62988785177</v>
      </c>
      <c r="Z30" s="256">
        <f ca="1">Y30+Z29</f>
        <v>305995.84805737843</v>
      </c>
      <c r="AA30" s="256">
        <f ca="1">Z30+AA29</f>
        <v>323795.0662269051</v>
      </c>
      <c r="AB30" s="256">
        <f ca="1">AA30+AB29</f>
        <v>329316.49333341385</v>
      </c>
      <c r="AC30" s="435"/>
    </row>
    <row r="31" spans="1:29">
      <c r="A31" s="20"/>
      <c r="B31" s="15"/>
      <c r="C31" s="15"/>
      <c r="D31" s="29"/>
      <c r="E31" s="29"/>
      <c r="F31" s="1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431"/>
    </row>
    <row r="32" spans="1:29">
      <c r="A32" s="20"/>
      <c r="B32" s="15" t="s">
        <v>636</v>
      </c>
      <c r="C32" s="15"/>
      <c r="D32" s="29"/>
      <c r="E32" s="29"/>
      <c r="F32" s="15"/>
      <c r="G32" s="766">
        <v>0</v>
      </c>
      <c r="H32" s="37">
        <f t="shared" ref="H32:Z32" ca="1" si="11">G35</f>
        <v>0</v>
      </c>
      <c r="I32" s="37">
        <f t="shared" ca="1" si="11"/>
        <v>95090.137450023249</v>
      </c>
      <c r="J32" s="37">
        <f t="shared" ca="1" si="11"/>
        <v>90150.390050022048</v>
      </c>
      <c r="K32" s="37">
        <f t="shared" ca="1" si="11"/>
        <v>308108.13598846254</v>
      </c>
      <c r="L32" s="37">
        <f t="shared" ca="1" si="11"/>
        <v>290308.91781893588</v>
      </c>
      <c r="M32" s="37">
        <f t="shared" ca="1" si="11"/>
        <v>272509.69964940922</v>
      </c>
      <c r="N32" s="37">
        <f t="shared" ca="1" si="11"/>
        <v>254710.48147988252</v>
      </c>
      <c r="O32" s="37">
        <f t="shared" ca="1" si="11"/>
        <v>236911.26331035583</v>
      </c>
      <c r="P32" s="37">
        <f t="shared" ca="1" si="11"/>
        <v>219112.04514082914</v>
      </c>
      <c r="Q32" s="37">
        <f t="shared" ca="1" si="11"/>
        <v>201312.82697130245</v>
      </c>
      <c r="R32" s="37">
        <f t="shared" ca="1" si="11"/>
        <v>183513.60880177576</v>
      </c>
      <c r="S32" s="37">
        <f t="shared" ca="1" si="11"/>
        <v>165714.39063224907</v>
      </c>
      <c r="T32" s="37">
        <f t="shared" ca="1" si="11"/>
        <v>147915.17246272237</v>
      </c>
      <c r="U32" s="37">
        <f t="shared" ca="1" si="11"/>
        <v>130115.95429319568</v>
      </c>
      <c r="V32" s="37">
        <f t="shared" ca="1" si="11"/>
        <v>112316.73612366899</v>
      </c>
      <c r="W32" s="37">
        <f t="shared" ca="1" si="11"/>
        <v>94517.517954142299</v>
      </c>
      <c r="X32" s="37">
        <f t="shared" ca="1" si="11"/>
        <v>76718.299784615607</v>
      </c>
      <c r="Y32" s="37">
        <f t="shared" ca="1" si="11"/>
        <v>58919.081615088915</v>
      </c>
      <c r="Z32" s="37">
        <f t="shared" ca="1" si="11"/>
        <v>41119.863445562223</v>
      </c>
      <c r="AA32" s="37">
        <f ca="1">Z35</f>
        <v>23320.645276035535</v>
      </c>
      <c r="AB32" s="37">
        <f ca="1">AA35</f>
        <v>5521.4271065088469</v>
      </c>
      <c r="AC32" s="435"/>
    </row>
    <row r="33" spans="1:29">
      <c r="A33" s="20"/>
      <c r="B33" s="15" t="s">
        <v>637</v>
      </c>
      <c r="C33" s="15"/>
      <c r="D33" s="29"/>
      <c r="E33" s="29"/>
      <c r="F33" s="15"/>
      <c r="G33" s="37">
        <f t="shared" ref="G33:AB33" ca="1" si="12">IF(G$7=YEAR(Startops1),$E26,0)+IF(G$7=YEAR(Startops2),$E27,0)+IF(G$7=YEAR(Startops3),$E28,0)</f>
        <v>0</v>
      </c>
      <c r="H33" s="37">
        <f t="shared" ca="1" si="12"/>
        <v>98794.94800002416</v>
      </c>
      <c r="I33" s="37">
        <f t="shared" ca="1" si="12"/>
        <v>0</v>
      </c>
      <c r="J33" s="37">
        <f t="shared" ca="1" si="12"/>
        <v>230521.54533338977</v>
      </c>
      <c r="K33" s="37">
        <f t="shared" ca="1" si="12"/>
        <v>0</v>
      </c>
      <c r="L33" s="37">
        <f t="shared" ca="1" si="12"/>
        <v>0</v>
      </c>
      <c r="M33" s="37">
        <f t="shared" ca="1" si="12"/>
        <v>0</v>
      </c>
      <c r="N33" s="37">
        <f t="shared" ca="1" si="12"/>
        <v>0</v>
      </c>
      <c r="O33" s="37">
        <f t="shared" ca="1" si="12"/>
        <v>0</v>
      </c>
      <c r="P33" s="37">
        <f t="shared" ca="1" si="12"/>
        <v>0</v>
      </c>
      <c r="Q33" s="37">
        <f t="shared" ca="1" si="12"/>
        <v>0</v>
      </c>
      <c r="R33" s="37">
        <f t="shared" ca="1" si="12"/>
        <v>0</v>
      </c>
      <c r="S33" s="37">
        <f t="shared" ca="1" si="12"/>
        <v>0</v>
      </c>
      <c r="T33" s="37">
        <f t="shared" ca="1" si="12"/>
        <v>0</v>
      </c>
      <c r="U33" s="37">
        <f t="shared" ca="1" si="12"/>
        <v>0</v>
      </c>
      <c r="V33" s="37">
        <f t="shared" ca="1" si="12"/>
        <v>0</v>
      </c>
      <c r="W33" s="37">
        <f t="shared" ca="1" si="12"/>
        <v>0</v>
      </c>
      <c r="X33" s="37">
        <f t="shared" ca="1" si="12"/>
        <v>0</v>
      </c>
      <c r="Y33" s="37">
        <f t="shared" ca="1" si="12"/>
        <v>0</v>
      </c>
      <c r="Z33" s="37">
        <f t="shared" ca="1" si="12"/>
        <v>0</v>
      </c>
      <c r="AA33" s="37">
        <f t="shared" ca="1" si="12"/>
        <v>0</v>
      </c>
      <c r="AB33" s="37">
        <f t="shared" ca="1" si="12"/>
        <v>0</v>
      </c>
      <c r="AC33" s="435">
        <f ca="1">SUM(G33:AB33)</f>
        <v>329316.49333341396</v>
      </c>
    </row>
    <row r="34" spans="1:29">
      <c r="A34" s="20"/>
      <c r="B34" s="15" t="s">
        <v>638</v>
      </c>
      <c r="C34" s="15"/>
      <c r="D34" s="29"/>
      <c r="E34" s="29"/>
      <c r="F34" s="15"/>
      <c r="G34" s="142">
        <f ca="1">-G29</f>
        <v>0</v>
      </c>
      <c r="H34" s="142">
        <f t="shared" ref="H34:W34" ca="1" si="13">-H29</f>
        <v>-3704.810550000906</v>
      </c>
      <c r="I34" s="142">
        <f t="shared" ca="1" si="13"/>
        <v>-4939.747400001208</v>
      </c>
      <c r="J34" s="142">
        <f t="shared" ca="1" si="13"/>
        <v>-12563.799394949307</v>
      </c>
      <c r="K34" s="142">
        <f t="shared" ca="1" si="13"/>
        <v>-17799.218169526688</v>
      </c>
      <c r="L34" s="142">
        <f t="shared" ca="1" si="13"/>
        <v>-17799.218169526688</v>
      </c>
      <c r="M34" s="142">
        <f t="shared" ca="1" si="13"/>
        <v>-17799.218169526688</v>
      </c>
      <c r="N34" s="142">
        <f t="shared" ca="1" si="13"/>
        <v>-17799.218169526688</v>
      </c>
      <c r="O34" s="142">
        <f t="shared" ca="1" si="13"/>
        <v>-17799.218169526688</v>
      </c>
      <c r="P34" s="142">
        <f t="shared" ca="1" si="13"/>
        <v>-17799.218169526688</v>
      </c>
      <c r="Q34" s="142">
        <f t="shared" ca="1" si="13"/>
        <v>-17799.218169526688</v>
      </c>
      <c r="R34" s="142">
        <f t="shared" ca="1" si="13"/>
        <v>-17799.218169526688</v>
      </c>
      <c r="S34" s="142">
        <f t="shared" ca="1" si="13"/>
        <v>-17799.218169526688</v>
      </c>
      <c r="T34" s="142">
        <f t="shared" ca="1" si="13"/>
        <v>-17799.218169526688</v>
      </c>
      <c r="U34" s="142">
        <f t="shared" ca="1" si="13"/>
        <v>-17799.218169526688</v>
      </c>
      <c r="V34" s="142">
        <f t="shared" ca="1" si="13"/>
        <v>-17799.218169526688</v>
      </c>
      <c r="W34" s="142">
        <f t="shared" ca="1" si="13"/>
        <v>-17799.218169526688</v>
      </c>
      <c r="X34" s="142">
        <f ca="1">-X29</f>
        <v>-17799.218169526688</v>
      </c>
      <c r="Y34" s="142">
        <f ca="1">-Y29</f>
        <v>-17799.218169526688</v>
      </c>
      <c r="Z34" s="142">
        <f ca="1">-Z29</f>
        <v>-17799.218169526688</v>
      </c>
      <c r="AA34" s="142">
        <f ca="1">-AA29</f>
        <v>-17799.218169526688</v>
      </c>
      <c r="AB34" s="142">
        <f ca="1">-AB29</f>
        <v>-5521.4271065087542</v>
      </c>
      <c r="AC34" s="436">
        <f ca="1">SUM(G34:AB34)</f>
        <v>-329316.49333341385</v>
      </c>
    </row>
    <row r="35" spans="1:29">
      <c r="A35" s="417"/>
      <c r="B35" s="31" t="s">
        <v>639</v>
      </c>
      <c r="C35" s="31"/>
      <c r="D35" s="84"/>
      <c r="E35" s="84"/>
      <c r="F35" s="31"/>
      <c r="G35" s="59">
        <f ca="1">SUM(G32:G34)</f>
        <v>0</v>
      </c>
      <c r="H35" s="59">
        <f ca="1">SUM(H32:H34)</f>
        <v>95090.137450023249</v>
      </c>
      <c r="I35" s="59">
        <f t="shared" ref="I35:X35" ca="1" si="14">SUM(I32:I34)</f>
        <v>90150.390050022048</v>
      </c>
      <c r="J35" s="59">
        <f t="shared" ca="1" si="14"/>
        <v>308108.13598846254</v>
      </c>
      <c r="K35" s="59">
        <f t="shared" ca="1" si="14"/>
        <v>290308.91781893588</v>
      </c>
      <c r="L35" s="59">
        <f t="shared" ca="1" si="14"/>
        <v>272509.69964940922</v>
      </c>
      <c r="M35" s="59">
        <f t="shared" ca="1" si="14"/>
        <v>254710.48147988252</v>
      </c>
      <c r="N35" s="59">
        <f t="shared" ca="1" si="14"/>
        <v>236911.26331035583</v>
      </c>
      <c r="O35" s="59">
        <f t="shared" ca="1" si="14"/>
        <v>219112.04514082914</v>
      </c>
      <c r="P35" s="59">
        <f t="shared" ca="1" si="14"/>
        <v>201312.82697130245</v>
      </c>
      <c r="Q35" s="59">
        <f t="shared" ca="1" si="14"/>
        <v>183513.60880177576</v>
      </c>
      <c r="R35" s="59">
        <f t="shared" ca="1" si="14"/>
        <v>165714.39063224907</v>
      </c>
      <c r="S35" s="59">
        <f t="shared" ca="1" si="14"/>
        <v>147915.17246272237</v>
      </c>
      <c r="T35" s="59">
        <f t="shared" ca="1" si="14"/>
        <v>130115.95429319568</v>
      </c>
      <c r="U35" s="59">
        <f t="shared" ca="1" si="14"/>
        <v>112316.73612366899</v>
      </c>
      <c r="V35" s="59">
        <f t="shared" ca="1" si="14"/>
        <v>94517.517954142299</v>
      </c>
      <c r="W35" s="59">
        <f t="shared" ca="1" si="14"/>
        <v>76718.299784615607</v>
      </c>
      <c r="X35" s="59">
        <f t="shared" ca="1" si="14"/>
        <v>58919.081615088915</v>
      </c>
      <c r="Y35" s="59">
        <f ca="1">SUM(Y32:Y34)</f>
        <v>41119.863445562223</v>
      </c>
      <c r="Z35" s="59">
        <f ca="1">SUM(Z32:Z34)</f>
        <v>23320.645276035535</v>
      </c>
      <c r="AA35" s="59">
        <f ca="1">SUM(AA32:AA34)</f>
        <v>5521.4271065088469</v>
      </c>
      <c r="AB35" s="59">
        <f ca="1">SUM(AB32:AB34)</f>
        <v>9.276845958083868E-11</v>
      </c>
      <c r="AC35" s="488"/>
    </row>
    <row r="36" spans="1:29">
      <c r="A36" s="20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430"/>
    </row>
    <row r="37" spans="1:29">
      <c r="A37" s="20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430"/>
    </row>
    <row r="38" spans="1:29">
      <c r="A38" s="540" t="s">
        <v>640</v>
      </c>
      <c r="B38" s="2"/>
      <c r="C38" s="2"/>
      <c r="D38" s="5" t="s">
        <v>818</v>
      </c>
      <c r="E38" s="5" t="s">
        <v>818</v>
      </c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535"/>
    </row>
    <row r="39" spans="1:29">
      <c r="A39" s="20" t="s">
        <v>641</v>
      </c>
      <c r="B39" s="15"/>
      <c r="C39" s="15"/>
      <c r="D39" s="63" t="s">
        <v>819</v>
      </c>
      <c r="E39" s="63" t="s">
        <v>820</v>
      </c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430"/>
    </row>
    <row r="40" spans="1:29">
      <c r="A40" s="20"/>
      <c r="B40" s="15" t="s">
        <v>625</v>
      </c>
      <c r="C40" s="15"/>
      <c r="D40" s="230">
        <f>Assm!K54</f>
        <v>20</v>
      </c>
      <c r="E40" s="1201">
        <f ca="1">Assm!J54</f>
        <v>98794.94800002416</v>
      </c>
      <c r="F40" s="15"/>
      <c r="G40" s="37">
        <f ca="1">IF(G$7&lt;YEAR(Startops1),0,IF($D40*12&gt;$AC$9,$E40*G$9/$AC$9,IF(SUM($G$9:G$9)&gt;=$D40*12,$E40-SUM($F40:F40),$E40/$D40*G$9/12)))</f>
        <v>0</v>
      </c>
      <c r="H40" s="37">
        <f ca="1">IF(H$7&lt;YEAR(Startops1),0,IF($D40*12&gt;$AC$9,$E40*H$9/$AC$9,IF(SUM($G$9:H$9)&gt;=$D40*12,$E40-SUM($F40:G40),$E40/$D40*H$9/12)))</f>
        <v>3704.810550000906</v>
      </c>
      <c r="I40" s="37">
        <f ca="1">IF(I$7&lt;YEAR(Startops1),0,IF($D40*12&gt;$AC$9,$E40*I$9/$AC$9,IF(SUM($G$9:I$9)&gt;=$D40*12,$E40-SUM($F40:H40),$E40/$D40*I$9/12)))</f>
        <v>4939.747400001208</v>
      </c>
      <c r="J40" s="37">
        <f ca="1">IF(J$7&lt;YEAR(Startops1),0,IF($D40*12&gt;$AC$9,$E40*J$9/$AC$9,IF(SUM($G$9:J$9)&gt;=$D40*12,$E40-SUM($F40:I40),$E40/$D40*J$9/12)))</f>
        <v>4939.747400001208</v>
      </c>
      <c r="K40" s="37">
        <f ca="1">IF(K$7&lt;YEAR(Startops1),0,IF($D40*12&gt;$AC$9,$E40*K$9/$AC$9,IF(SUM($G$9:K$9)&gt;=$D40*12,$E40-SUM($F40:J40),$E40/$D40*K$9/12)))</f>
        <v>4939.747400001208</v>
      </c>
      <c r="L40" s="37">
        <f ca="1">IF(L$7&lt;YEAR(Startops1),0,IF($D40*12&gt;$AC$9,$E40*L$9/$AC$9,IF(SUM($G$9:L$9)&gt;=$D40*12,$E40-SUM($F40:K40),$E40/$D40*L$9/12)))</f>
        <v>4939.747400001208</v>
      </c>
      <c r="M40" s="37">
        <f ca="1">IF(M$7&lt;YEAR(Startops1),0,IF($D40*12&gt;$AC$9,$E40*M$9/$AC$9,IF(SUM($G$9:M$9)&gt;=$D40*12,$E40-SUM($F40:L40),$E40/$D40*M$9/12)))</f>
        <v>4939.747400001208</v>
      </c>
      <c r="N40" s="37">
        <f ca="1">IF(N$7&lt;YEAR(Startops1),0,IF($D40*12&gt;$AC$9,$E40*N$9/$AC$9,IF(SUM($G$9:N$9)&gt;=$D40*12,$E40-SUM($F40:M40),$E40/$D40*N$9/12)))</f>
        <v>4939.747400001208</v>
      </c>
      <c r="O40" s="37">
        <f ca="1">IF(O$7&lt;YEAR(Startops1),0,IF($D40*12&gt;$AC$9,$E40*O$9/$AC$9,IF(SUM($G$9:O$9)&gt;=$D40*12,$E40-SUM($F40:N40),$E40/$D40*O$9/12)))</f>
        <v>4939.747400001208</v>
      </c>
      <c r="P40" s="37">
        <f ca="1">IF(P$7&lt;YEAR(Startops1),0,IF($D40*12&gt;$AC$9,$E40*P$9/$AC$9,IF(SUM($G$9:P$9)&gt;=$D40*12,$E40-SUM($F40:O40),$E40/$D40*P$9/12)))</f>
        <v>4939.747400001208</v>
      </c>
      <c r="Q40" s="37">
        <f ca="1">IF(Q$7&lt;YEAR(Startops1),0,IF($D40*12&gt;$AC$9,$E40*Q$9/$AC$9,IF(SUM($G$9:Q$9)&gt;=$D40*12,$E40-SUM($F40:P40),$E40/$D40*Q$9/12)))</f>
        <v>4939.747400001208</v>
      </c>
      <c r="R40" s="37">
        <f ca="1">IF(R$7&lt;YEAR(Startops1),0,IF($D40*12&gt;$AC$9,$E40*R$9/$AC$9,IF(SUM($G$9:R$9)&gt;=$D40*12,$E40-SUM($F40:Q40),$E40/$D40*R$9/12)))</f>
        <v>4939.747400001208</v>
      </c>
      <c r="S40" s="37">
        <f ca="1">IF(S$7&lt;YEAR(Startops1),0,IF($D40*12&gt;$AC$9,$E40*S$9/$AC$9,IF(SUM($G$9:S$9)&gt;=$D40*12,$E40-SUM($F40:R40),$E40/$D40*S$9/12)))</f>
        <v>4939.747400001208</v>
      </c>
      <c r="T40" s="37">
        <f ca="1">IF(T$7&lt;YEAR(Startops1),0,IF($D40*12&gt;$AC$9,$E40*T$9/$AC$9,IF(SUM($G$9:T$9)&gt;=$D40*12,$E40-SUM($F40:S40),$E40/$D40*T$9/12)))</f>
        <v>4939.747400001208</v>
      </c>
      <c r="U40" s="37">
        <f ca="1">IF(U$7&lt;YEAR(Startops1),0,IF($D40*12&gt;$AC$9,$E40*U$9/$AC$9,IF(SUM($G$9:U$9)&gt;=$D40*12,$E40-SUM($F40:T40),$E40/$D40*U$9/12)))</f>
        <v>4939.747400001208</v>
      </c>
      <c r="V40" s="37">
        <f ca="1">IF(V$7&lt;YEAR(Startops1),0,IF($D40*12&gt;$AC$9,$E40*V$9/$AC$9,IF(SUM($G$9:V$9)&gt;=$D40*12,$E40-SUM($F40:U40),$E40/$D40*V$9/12)))</f>
        <v>4939.747400001208</v>
      </c>
      <c r="W40" s="37">
        <f ca="1">IF(W$7&lt;YEAR(Startops1),0,IF($D40*12&gt;$AC$9,$E40*W$9/$AC$9,IF(SUM($G$9:W$9)&gt;=$D40*12,$E40-SUM($F40:V40),$E40/$D40*W$9/12)))</f>
        <v>4939.747400001208</v>
      </c>
      <c r="X40" s="37">
        <f ca="1">IF(X$7&lt;YEAR(Startops1),0,IF($D40*12&gt;$AC$9,$E40*X$9/$AC$9,IF(SUM($G$9:X$9)&gt;=$D40*12,$E40-SUM($F40:W40),$E40/$D40*X$9/12)))</f>
        <v>4939.747400001208</v>
      </c>
      <c r="Y40" s="37">
        <f ca="1">IF(Y$7&lt;YEAR(Startops1),0,IF($D40*12&gt;$AC$9,$E40*Y$9/$AC$9,IF(SUM($G$9:Y$9)&gt;=$D40*12,$E40-SUM($F40:X40),$E40/$D40*Y$9/12)))</f>
        <v>4939.747400001208</v>
      </c>
      <c r="Z40" s="37">
        <f ca="1">IF(Z$7&lt;YEAR(Startops1),0,IF($D40*12&gt;$AC$9,$E40*Z$9/$AC$9,IF(SUM($G$9:Z$9)&gt;=$D40*12,$E40-SUM($F40:Y40),$E40/$D40*Z$9/12)))</f>
        <v>4939.747400001208</v>
      </c>
      <c r="AA40" s="37">
        <f ca="1">IF(AA$7&lt;YEAR(Startops1),0,IF($D40*12&gt;$AC$9,$E40*AA$9/$AC$9,IF(SUM($G$9:AA$9)&gt;=$D40*12,$E40-SUM($F40:Z40),$E40/$D40*AA$9/12)))</f>
        <v>4939.747400001208</v>
      </c>
      <c r="AB40" s="37">
        <f ca="1">IF(AB$7&lt;YEAR(Startops1),0,IF($D40*12&gt;$AC$9,$E40*AB$9/$AC$9,IF(SUM($G$9:AB$9)&gt;=$D40*12,$E40-SUM($F40:AA40),$E40/$D40*AB$9/12)))</f>
        <v>1234.9368500002602</v>
      </c>
      <c r="AC40" s="435">
        <f ca="1">SUM(G40:AB40)</f>
        <v>98794.94800002416</v>
      </c>
    </row>
    <row r="41" spans="1:29">
      <c r="A41" s="20"/>
      <c r="B41" s="15" t="s">
        <v>626</v>
      </c>
      <c r="C41" s="15"/>
      <c r="D41" s="230">
        <f>Assm!K55</f>
        <v>20</v>
      </c>
      <c r="E41" s="1201">
        <f ca="1">Assm!J55</f>
        <v>98794.94800002416</v>
      </c>
      <c r="F41" s="15"/>
      <c r="G41" s="37">
        <f ca="1">IF(G$7&lt;YEAR(Startops1),0,IF($D41*12&gt;$AC$10,$E41*G$10/$AC$10,IF(SUM($G$10:G$10)&gt;=$D41*12,$E41-SUM($F41:F41),$E41/$D41*G$10/12)))</f>
        <v>0</v>
      </c>
      <c r="H41" s="37">
        <f ca="1">IF(H$7&lt;YEAR(Startops1),0,IF($D41*12&gt;$AC$10,$E41*H$10/$AC$10,IF(SUM($G$10:H$10)&gt;=$D41*12,$E41-SUM($F41:G41),$E41/$D41*H$10/12)))</f>
        <v>0</v>
      </c>
      <c r="I41" s="37">
        <f ca="1">IF(I$7&lt;YEAR(Startops1),0,IF($D41*12&gt;$AC$10,$E41*I$10/$AC$10,IF(SUM($G$10:I$10)&gt;=$D41*12,$E41-SUM($F41:H41),$E41/$D41*I$10/12)))</f>
        <v>0</v>
      </c>
      <c r="J41" s="37">
        <f ca="1">IF(J$7&lt;YEAR(Startops1),0,IF($D41*12&gt;$AC$10,$E41*J$10/$AC$10,IF(SUM($G$10:J$10)&gt;=$D41*12,$E41-SUM($F41:I41),$E41/$D41*J$10/12)))</f>
        <v>4531.8783486249613</v>
      </c>
      <c r="K41" s="37">
        <f ca="1">IF(K$7&lt;YEAR(Startops1),0,IF($D41*12&gt;$AC$10,$E41*K$10/$AC$10,IF(SUM($G$10:K$10)&gt;=$D41*12,$E41-SUM($F41:J41),$E41/$D41*K$10/12)))</f>
        <v>5438.2540183499532</v>
      </c>
      <c r="L41" s="37">
        <f ca="1">IF(L$7&lt;YEAR(Startops1),0,IF($D41*12&gt;$AC$10,$E41*L$10/$AC$10,IF(SUM($G$10:L$10)&gt;=$D41*12,$E41-SUM($F41:K41),$E41/$D41*L$10/12)))</f>
        <v>5438.2540183499532</v>
      </c>
      <c r="M41" s="37">
        <f ca="1">IF(M$7&lt;YEAR(Startops1),0,IF($D41*12&gt;$AC$10,$E41*M$10/$AC$10,IF(SUM($G$10:M$10)&gt;=$D41*12,$E41-SUM($F41:L41),$E41/$D41*M$10/12)))</f>
        <v>5438.2540183499532</v>
      </c>
      <c r="N41" s="37">
        <f ca="1">IF(N$7&lt;YEAR(Startops1),0,IF($D41*12&gt;$AC$10,$E41*N$10/$AC$10,IF(SUM($G$10:N$10)&gt;=$D41*12,$E41-SUM($F41:M41),$E41/$D41*N$10/12)))</f>
        <v>5438.2540183499532</v>
      </c>
      <c r="O41" s="37">
        <f ca="1">IF(O$7&lt;YEAR(Startops1),0,IF($D41*12&gt;$AC$10,$E41*O$10/$AC$10,IF(SUM($G$10:O$10)&gt;=$D41*12,$E41-SUM($F41:N41),$E41/$D41*O$10/12)))</f>
        <v>5438.2540183499532</v>
      </c>
      <c r="P41" s="37">
        <f ca="1">IF(P$7&lt;YEAR(Startops1),0,IF($D41*12&gt;$AC$10,$E41*P$10/$AC$10,IF(SUM($G$10:P$10)&gt;=$D41*12,$E41-SUM($F41:O41),$E41/$D41*P$10/12)))</f>
        <v>5438.2540183499532</v>
      </c>
      <c r="Q41" s="37">
        <f ca="1">IF(Q$7&lt;YEAR(Startops1),0,IF($D41*12&gt;$AC$10,$E41*Q$10/$AC$10,IF(SUM($G$10:Q$10)&gt;=$D41*12,$E41-SUM($F41:P41),$E41/$D41*Q$10/12)))</f>
        <v>5438.2540183499532</v>
      </c>
      <c r="R41" s="37">
        <f ca="1">IF(R$7&lt;YEAR(Startops1),0,IF($D41*12&gt;$AC$10,$E41*R$10/$AC$10,IF(SUM($G$10:R$10)&gt;=$D41*12,$E41-SUM($F41:Q41),$E41/$D41*R$10/12)))</f>
        <v>5438.2540183499532</v>
      </c>
      <c r="S41" s="37">
        <f ca="1">IF(S$7&lt;YEAR(Startops1),0,IF($D41*12&gt;$AC$10,$E41*S$10/$AC$10,IF(SUM($G$10:S$10)&gt;=$D41*12,$E41-SUM($F41:R41),$E41/$D41*S$10/12)))</f>
        <v>5438.2540183499532</v>
      </c>
      <c r="T41" s="37">
        <f ca="1">IF(T$7&lt;YEAR(Startops1),0,IF($D41*12&gt;$AC$10,$E41*T$10/$AC$10,IF(SUM($G$10:T$10)&gt;=$D41*12,$E41-SUM($F41:S41),$E41/$D41*T$10/12)))</f>
        <v>5438.2540183499532</v>
      </c>
      <c r="U41" s="37">
        <f ca="1">IF(U$7&lt;YEAR(Startops1),0,IF($D41*12&gt;$AC$10,$E41*U$10/$AC$10,IF(SUM($G$10:U$10)&gt;=$D41*12,$E41-SUM($F41:T41),$E41/$D41*U$10/12)))</f>
        <v>5438.2540183499532</v>
      </c>
      <c r="V41" s="37">
        <f ca="1">IF(V$7&lt;YEAR(Startops1),0,IF($D41*12&gt;$AC$10,$E41*V$10/$AC$10,IF(SUM($G$10:V$10)&gt;=$D41*12,$E41-SUM($F41:U41),$E41/$D41*V$10/12)))</f>
        <v>5438.2540183499532</v>
      </c>
      <c r="W41" s="37">
        <f ca="1">IF(W$7&lt;YEAR(Startops1),0,IF($D41*12&gt;$AC$10,$E41*W$10/$AC$10,IF(SUM($G$10:W$10)&gt;=$D41*12,$E41-SUM($F41:V41),$E41/$D41*W$10/12)))</f>
        <v>5438.2540183499532</v>
      </c>
      <c r="X41" s="37">
        <f ca="1">IF(X$7&lt;YEAR(Startops1),0,IF($D41*12&gt;$AC$10,$E41*X$10/$AC$10,IF(SUM($G$10:X$10)&gt;=$D41*12,$E41-SUM($F41:W41),$E41/$D41*X$10/12)))</f>
        <v>5438.2540183499532</v>
      </c>
      <c r="Y41" s="37">
        <f ca="1">IF(Y$7&lt;YEAR(Startops1),0,IF($D41*12&gt;$AC$10,$E41*Y$10/$AC$10,IF(SUM($G$10:Y$10)&gt;=$D41*12,$E41-SUM($F41:X41),$E41/$D41*Y$10/12)))</f>
        <v>5438.2540183499532</v>
      </c>
      <c r="Z41" s="37">
        <f ca="1">IF(Z$7&lt;YEAR(Startops1),0,IF($D41*12&gt;$AC$10,$E41*Z$10/$AC$10,IF(SUM($G$10:Z$10)&gt;=$D41*12,$E41-SUM($F41:Y41),$E41/$D41*Z$10/12)))</f>
        <v>5438.2540183499532</v>
      </c>
      <c r="AA41" s="37">
        <f ca="1">IF(AA$7&lt;YEAR(Startops1),0,IF($D41*12&gt;$AC$10,$E41*AA$10/$AC$10,IF(SUM($G$10:AA$10)&gt;=$D41*12,$E41-SUM($F41:Z41),$E41/$D41*AA$10/12)))</f>
        <v>5438.2540183499532</v>
      </c>
      <c r="AB41" s="37">
        <f ca="1">IF(AB$7&lt;YEAR(Startops1),0,IF($D41*12&gt;$AC$10,$E41*AB$10/$AC$10,IF(SUM($G$10:AB$10)&gt;=$D41*12,$E41-SUM($F41:AA41),$E41/$D41*AB$10/12)))</f>
        <v>1812.7513394499847</v>
      </c>
      <c r="AC41" s="435">
        <f ca="1">SUM(G41:AB41)</f>
        <v>98794.948000024131</v>
      </c>
    </row>
    <row r="42" spans="1:29">
      <c r="A42" s="20"/>
      <c r="B42" s="15" t="s">
        <v>627</v>
      </c>
      <c r="C42" s="15"/>
      <c r="D42" s="230">
        <f>Assm!K56</f>
        <v>20</v>
      </c>
      <c r="E42" s="1202">
        <f ca="1">Assm!J56</f>
        <v>131726.59733336561</v>
      </c>
      <c r="F42" s="15"/>
      <c r="G42" s="142">
        <f ca="1">IF(G$7&lt;YEAR(Startops1),0,IF($D42*12&gt;$AC$11,$E42*G$11/$AC$11,IF(SUM($G$11:G$11)&gt;=$D42*12,$E42-SUM($F42:F42),$E42/$D42*G$11/12)))</f>
        <v>0</v>
      </c>
      <c r="H42" s="142">
        <f ca="1">IF(H$7&lt;YEAR(Startops1),0,IF($D42*12&gt;$AC$11,$E42*H$11/$AC$11,IF(SUM($G$11:H$11)&gt;=$D42*12,$E42-SUM($F42:G42),$E42/$D42*H$11/12)))</f>
        <v>0</v>
      </c>
      <c r="I42" s="142">
        <f ca="1">IF(I$7&lt;YEAR(Startops1),0,IF($D42*12&gt;$AC$11,$E42*I$11/$AC$11,IF(SUM($G$11:I$11)&gt;=$D42*12,$E42-SUM($F42:H42),$E42/$D42*I$11/12)))</f>
        <v>0</v>
      </c>
      <c r="J42" s="142">
        <f ca="1">IF(J$7&lt;YEAR(Startops1),0,IF($D42*12&gt;$AC$11,$E42*J$11/$AC$11,IF(SUM($G$11:J$11)&gt;=$D42*12,$E42-SUM($F42:I42),$E42/$D42*J$11/12)))</f>
        <v>3092.1736463231364</v>
      </c>
      <c r="K42" s="142">
        <f ca="1">IF(K$7&lt;YEAR(Startops1),0,IF($D42*12&gt;$AC$11,$E42*K$11/$AC$11,IF(SUM($G$11:K$11)&gt;=$D42*12,$E42-SUM($F42:J42),$E42/$D42*K$11/12)))</f>
        <v>7421.2167511755279</v>
      </c>
      <c r="L42" s="142">
        <f ca="1">IF(L$7&lt;YEAR(Startops1),0,IF($D42*12&gt;$AC$11,$E42*L$11/$AC$11,IF(SUM($G$11:L$11)&gt;=$D42*12,$E42-SUM($F42:K42),$E42/$D42*L$11/12)))</f>
        <v>7421.2167511755279</v>
      </c>
      <c r="M42" s="142">
        <f ca="1">IF(M$7&lt;YEAR(Startops1),0,IF($D42*12&gt;$AC$11,$E42*M$11/$AC$11,IF(SUM($G$11:M$11)&gt;=$D42*12,$E42-SUM($F42:L42),$E42/$D42*M$11/12)))</f>
        <v>7421.2167511755279</v>
      </c>
      <c r="N42" s="142">
        <f ca="1">IF(N$7&lt;YEAR(Startops1),0,IF($D42*12&gt;$AC$11,$E42*N$11/$AC$11,IF(SUM($G$11:N$11)&gt;=$D42*12,$E42-SUM($F42:M42),$E42/$D42*N$11/12)))</f>
        <v>7421.2167511755279</v>
      </c>
      <c r="O42" s="142">
        <f ca="1">IF(O$7&lt;YEAR(Startops1),0,IF($D42*12&gt;$AC$11,$E42*O$11/$AC$11,IF(SUM($G$11:O$11)&gt;=$D42*12,$E42-SUM($F42:N42),$E42/$D42*O$11/12)))</f>
        <v>7421.2167511755279</v>
      </c>
      <c r="P42" s="142">
        <f ca="1">IF(P$7&lt;YEAR(Startops1),0,IF($D42*12&gt;$AC$11,$E42*P$11/$AC$11,IF(SUM($G$11:P$11)&gt;=$D42*12,$E42-SUM($F42:O42),$E42/$D42*P$11/12)))</f>
        <v>7421.2167511755279</v>
      </c>
      <c r="Q42" s="142">
        <f ca="1">IF(Q$7&lt;YEAR(Startops1),0,IF($D42*12&gt;$AC$11,$E42*Q$11/$AC$11,IF(SUM($G$11:Q$11)&gt;=$D42*12,$E42-SUM($F42:P42),$E42/$D42*Q$11/12)))</f>
        <v>7421.2167511755279</v>
      </c>
      <c r="R42" s="142">
        <f ca="1">IF(R$7&lt;YEAR(Startops1),0,IF($D42*12&gt;$AC$11,$E42*R$11/$AC$11,IF(SUM($G$11:R$11)&gt;=$D42*12,$E42-SUM($F42:Q42),$E42/$D42*R$11/12)))</f>
        <v>7421.2167511755279</v>
      </c>
      <c r="S42" s="142">
        <f ca="1">IF(S$7&lt;YEAR(Startops1),0,IF($D42*12&gt;$AC$11,$E42*S$11/$AC$11,IF(SUM($G$11:S$11)&gt;=$D42*12,$E42-SUM($F42:R42),$E42/$D42*S$11/12)))</f>
        <v>7421.2167511755279</v>
      </c>
      <c r="T42" s="142">
        <f ca="1">IF(T$7&lt;YEAR(Startops1),0,IF($D42*12&gt;$AC$11,$E42*T$11/$AC$11,IF(SUM($G$11:T$11)&gt;=$D42*12,$E42-SUM($F42:S42),$E42/$D42*T$11/12)))</f>
        <v>7421.2167511755279</v>
      </c>
      <c r="U42" s="142">
        <f ca="1">IF(U$7&lt;YEAR(Startops1),0,IF($D42*12&gt;$AC$11,$E42*U$11/$AC$11,IF(SUM($G$11:U$11)&gt;=$D42*12,$E42-SUM($F42:T42),$E42/$D42*U$11/12)))</f>
        <v>7421.2167511755279</v>
      </c>
      <c r="V42" s="142">
        <f ca="1">IF(V$7&lt;YEAR(Startops1),0,IF($D42*12&gt;$AC$11,$E42*V$11/$AC$11,IF(SUM($G$11:V$11)&gt;=$D42*12,$E42-SUM($F42:U42),$E42/$D42*V$11/12)))</f>
        <v>7421.2167511755279</v>
      </c>
      <c r="W42" s="142">
        <f ca="1">IF(W$7&lt;YEAR(Startops1),0,IF($D42*12&gt;$AC$11,$E42*W$11/$AC$11,IF(SUM($G$11:W$11)&gt;=$D42*12,$E42-SUM($F42:V42),$E42/$D42*W$11/12)))</f>
        <v>7421.2167511755279</v>
      </c>
      <c r="X42" s="142">
        <f ca="1">IF(X$7&lt;YEAR(Startops1),0,IF($D42*12&gt;$AC$11,$E42*X$11/$AC$11,IF(SUM($G$11:X$11)&gt;=$D42*12,$E42-SUM($F42:W42),$E42/$D42*X$11/12)))</f>
        <v>7421.2167511755279</v>
      </c>
      <c r="Y42" s="142">
        <f ca="1">IF(Y$7&lt;YEAR(Startops1),0,IF($D42*12&gt;$AC$11,$E42*Y$11/$AC$11,IF(SUM($G$11:Y$11)&gt;=$D42*12,$E42-SUM($F42:X42),$E42/$D42*Y$11/12)))</f>
        <v>7421.2167511755279</v>
      </c>
      <c r="Z42" s="142">
        <f ca="1">IF(Z$7&lt;YEAR(Startops1),0,IF($D42*12&gt;$AC$11,$E42*Z$11/$AC$11,IF(SUM($G$11:Z$11)&gt;=$D42*12,$E42-SUM($F42:Y42),$E42/$D42*Z$11/12)))</f>
        <v>7421.2167511755279</v>
      </c>
      <c r="AA42" s="142">
        <f ca="1">IF(AA$7&lt;YEAR(Startops1),0,IF($D42*12&gt;$AC$11,$E42*AA$11/$AC$11,IF(SUM($G$11:AA$11)&gt;=$D42*12,$E42-SUM($F42:Z42),$E42/$D42*AA$11/12)))</f>
        <v>7421.2167511755279</v>
      </c>
      <c r="AB42" s="142">
        <f ca="1">IF(AB$7&lt;YEAR(Startops1),0,IF($D42*12&gt;$AC$11,$E42*AB$11/$AC$11,IF(SUM($G$11:AB$11)&gt;=$D42*12,$E42-SUM($F42:AA42),$E42/$D42*AB$11/12)))</f>
        <v>2473.7389170585093</v>
      </c>
      <c r="AC42" s="436">
        <f ca="1">SUM(G42:AB42)</f>
        <v>131726.59733336559</v>
      </c>
    </row>
    <row r="43" spans="1:29">
      <c r="A43" s="20"/>
      <c r="B43" s="15" t="s">
        <v>642</v>
      </c>
      <c r="C43" s="15"/>
      <c r="D43" s="95"/>
      <c r="E43" s="1201">
        <f ca="1">SUM(E40:E42)</f>
        <v>329316.49333341396</v>
      </c>
      <c r="F43" s="15"/>
      <c r="G43" s="37">
        <f t="shared" ref="G43:AC43" ca="1" si="15">SUM(G40:G42)</f>
        <v>0</v>
      </c>
      <c r="H43" s="37">
        <f t="shared" ca="1" si="15"/>
        <v>3704.810550000906</v>
      </c>
      <c r="I43" s="37">
        <f t="shared" ca="1" si="15"/>
        <v>4939.747400001208</v>
      </c>
      <c r="J43" s="37">
        <f t="shared" ca="1" si="15"/>
        <v>12563.799394949307</v>
      </c>
      <c r="K43" s="37">
        <f t="shared" ca="1" si="15"/>
        <v>17799.218169526688</v>
      </c>
      <c r="L43" s="37">
        <f t="shared" ca="1" si="15"/>
        <v>17799.218169526688</v>
      </c>
      <c r="M43" s="37">
        <f t="shared" ca="1" si="15"/>
        <v>17799.218169526688</v>
      </c>
      <c r="N43" s="37">
        <f t="shared" ca="1" si="15"/>
        <v>17799.218169526688</v>
      </c>
      <c r="O43" s="37">
        <f t="shared" ca="1" si="15"/>
        <v>17799.218169526688</v>
      </c>
      <c r="P43" s="37">
        <f t="shared" ca="1" si="15"/>
        <v>17799.218169526688</v>
      </c>
      <c r="Q43" s="37">
        <f t="shared" ca="1" si="15"/>
        <v>17799.218169526688</v>
      </c>
      <c r="R43" s="37">
        <f t="shared" ca="1" si="15"/>
        <v>17799.218169526688</v>
      </c>
      <c r="S43" s="37">
        <f t="shared" ca="1" si="15"/>
        <v>17799.218169526688</v>
      </c>
      <c r="T43" s="37">
        <f t="shared" ca="1" si="15"/>
        <v>17799.218169526688</v>
      </c>
      <c r="U43" s="37">
        <f t="shared" ca="1" si="15"/>
        <v>17799.218169526688</v>
      </c>
      <c r="V43" s="37">
        <f t="shared" ca="1" si="15"/>
        <v>17799.218169526688</v>
      </c>
      <c r="W43" s="37">
        <f t="shared" ca="1" si="15"/>
        <v>17799.218169526688</v>
      </c>
      <c r="X43" s="37">
        <f t="shared" ca="1" si="15"/>
        <v>17799.218169526688</v>
      </c>
      <c r="Y43" s="37">
        <f t="shared" ca="1" si="15"/>
        <v>17799.218169526688</v>
      </c>
      <c r="Z43" s="37">
        <f t="shared" ca="1" si="15"/>
        <v>17799.218169526688</v>
      </c>
      <c r="AA43" s="37">
        <f t="shared" ca="1" si="15"/>
        <v>17799.218169526688</v>
      </c>
      <c r="AB43" s="37">
        <f t="shared" ca="1" si="15"/>
        <v>5521.4271065087542</v>
      </c>
      <c r="AC43" s="435">
        <f t="shared" ca="1" si="15"/>
        <v>329316.49333341385</v>
      </c>
    </row>
    <row r="44" spans="1:29">
      <c r="A44" s="20"/>
      <c r="B44" s="43" t="s">
        <v>643</v>
      </c>
      <c r="C44" s="43"/>
      <c r="D44" s="95"/>
      <c r="E44" s="95"/>
      <c r="F44" s="15"/>
      <c r="G44" s="256">
        <f ca="1">G43</f>
        <v>0</v>
      </c>
      <c r="H44" s="256">
        <f t="shared" ref="H44:AB44" ca="1" si="16">G44+H43</f>
        <v>3704.810550000906</v>
      </c>
      <c r="I44" s="256">
        <f t="shared" ca="1" si="16"/>
        <v>8644.557950002114</v>
      </c>
      <c r="J44" s="256">
        <f t="shared" ca="1" si="16"/>
        <v>21208.357344951422</v>
      </c>
      <c r="K44" s="256">
        <f t="shared" ca="1" si="16"/>
        <v>39007.575514478114</v>
      </c>
      <c r="L44" s="256">
        <f t="shared" ca="1" si="16"/>
        <v>56806.793684004806</v>
      </c>
      <c r="M44" s="256">
        <f t="shared" ca="1" si="16"/>
        <v>74606.011853531498</v>
      </c>
      <c r="N44" s="256">
        <f t="shared" ca="1" si="16"/>
        <v>92405.23002305819</v>
      </c>
      <c r="O44" s="256">
        <f t="shared" ca="1" si="16"/>
        <v>110204.44819258488</v>
      </c>
      <c r="P44" s="256">
        <f t="shared" ca="1" si="16"/>
        <v>128003.66636211157</v>
      </c>
      <c r="Q44" s="256">
        <f t="shared" ca="1" si="16"/>
        <v>145802.88453163826</v>
      </c>
      <c r="R44" s="256">
        <f t="shared" ca="1" si="16"/>
        <v>163602.10270116496</v>
      </c>
      <c r="S44" s="256">
        <f t="shared" ca="1" si="16"/>
        <v>181401.32087069165</v>
      </c>
      <c r="T44" s="256">
        <f t="shared" ca="1" si="16"/>
        <v>199200.53904021834</v>
      </c>
      <c r="U44" s="256">
        <f t="shared" ca="1" si="16"/>
        <v>216999.75720974503</v>
      </c>
      <c r="V44" s="256">
        <f t="shared" ca="1" si="16"/>
        <v>234798.97537927172</v>
      </c>
      <c r="W44" s="256">
        <f t="shared" ca="1" si="16"/>
        <v>252598.19354879842</v>
      </c>
      <c r="X44" s="256">
        <f t="shared" ca="1" si="16"/>
        <v>270397.41171832511</v>
      </c>
      <c r="Y44" s="256">
        <f t="shared" ca="1" si="16"/>
        <v>288196.62988785177</v>
      </c>
      <c r="Z44" s="256">
        <f t="shared" ca="1" si="16"/>
        <v>305995.84805737843</v>
      </c>
      <c r="AA44" s="256">
        <f t="shared" ca="1" si="16"/>
        <v>323795.0662269051</v>
      </c>
      <c r="AB44" s="256">
        <f t="shared" ca="1" si="16"/>
        <v>329316.49333341385</v>
      </c>
      <c r="AC44" s="435"/>
    </row>
    <row r="45" spans="1:29">
      <c r="A45" s="20"/>
      <c r="B45" s="15"/>
      <c r="C45" s="15"/>
      <c r="D45" s="29"/>
      <c r="E45" s="29"/>
      <c r="F45" s="1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431"/>
    </row>
    <row r="46" spans="1:29">
      <c r="A46" s="20"/>
      <c r="B46" s="15" t="s">
        <v>644</v>
      </c>
      <c r="C46" s="15"/>
      <c r="D46" s="29"/>
      <c r="E46" s="29"/>
      <c r="F46" s="15"/>
      <c r="G46" s="766">
        <v>0</v>
      </c>
      <c r="H46" s="37">
        <f t="shared" ref="H46:AB46" ca="1" si="17">G49</f>
        <v>0</v>
      </c>
      <c r="I46" s="37">
        <f t="shared" ca="1" si="17"/>
        <v>95090.137450023249</v>
      </c>
      <c r="J46" s="37">
        <f t="shared" ca="1" si="17"/>
        <v>90150.390050022048</v>
      </c>
      <c r="K46" s="37">
        <f t="shared" ca="1" si="17"/>
        <v>308108.13598846254</v>
      </c>
      <c r="L46" s="37">
        <f t="shared" ca="1" si="17"/>
        <v>290308.91781893588</v>
      </c>
      <c r="M46" s="37">
        <f t="shared" ca="1" si="17"/>
        <v>272509.69964940922</v>
      </c>
      <c r="N46" s="37">
        <f t="shared" ca="1" si="17"/>
        <v>254710.48147988252</v>
      </c>
      <c r="O46" s="37">
        <f t="shared" ca="1" si="17"/>
        <v>236911.26331035583</v>
      </c>
      <c r="P46" s="37">
        <f t="shared" ca="1" si="17"/>
        <v>219112.04514082914</v>
      </c>
      <c r="Q46" s="37">
        <f t="shared" ca="1" si="17"/>
        <v>201312.82697130245</v>
      </c>
      <c r="R46" s="37">
        <f t="shared" ca="1" si="17"/>
        <v>183513.60880177576</v>
      </c>
      <c r="S46" s="37">
        <f t="shared" ca="1" si="17"/>
        <v>165714.39063224907</v>
      </c>
      <c r="T46" s="37">
        <f t="shared" ca="1" si="17"/>
        <v>147915.17246272237</v>
      </c>
      <c r="U46" s="37">
        <f t="shared" ca="1" si="17"/>
        <v>130115.95429319568</v>
      </c>
      <c r="V46" s="37">
        <f t="shared" ca="1" si="17"/>
        <v>112316.73612366899</v>
      </c>
      <c r="W46" s="37">
        <f t="shared" ca="1" si="17"/>
        <v>94517.517954142299</v>
      </c>
      <c r="X46" s="37">
        <f t="shared" ca="1" si="17"/>
        <v>76718.299784615607</v>
      </c>
      <c r="Y46" s="37">
        <f t="shared" ca="1" si="17"/>
        <v>58919.081615088915</v>
      </c>
      <c r="Z46" s="37">
        <f t="shared" ca="1" si="17"/>
        <v>41119.863445562223</v>
      </c>
      <c r="AA46" s="37">
        <f t="shared" ca="1" si="17"/>
        <v>23320.645276035535</v>
      </c>
      <c r="AB46" s="37">
        <f t="shared" ca="1" si="17"/>
        <v>5521.4271065088469</v>
      </c>
      <c r="AC46" s="435"/>
    </row>
    <row r="47" spans="1:29">
      <c r="A47" s="20"/>
      <c r="B47" s="15" t="s">
        <v>637</v>
      </c>
      <c r="C47" s="15"/>
      <c r="D47" s="29"/>
      <c r="E47" s="29"/>
      <c r="F47" s="15"/>
      <c r="G47" s="37">
        <f t="shared" ref="G47:AB47" ca="1" si="18">IF(G$7=YEAR(Startops1),$E40,0)+IF(G$7=YEAR(Startops2),$E41,0)+IF(G$7=YEAR(Startops3),$E42,0)</f>
        <v>0</v>
      </c>
      <c r="H47" s="37">
        <f t="shared" ca="1" si="18"/>
        <v>98794.94800002416</v>
      </c>
      <c r="I47" s="37">
        <f t="shared" ca="1" si="18"/>
        <v>0</v>
      </c>
      <c r="J47" s="37">
        <f t="shared" ca="1" si="18"/>
        <v>230521.54533338977</v>
      </c>
      <c r="K47" s="37">
        <f t="shared" ca="1" si="18"/>
        <v>0</v>
      </c>
      <c r="L47" s="37">
        <f t="shared" ca="1" si="18"/>
        <v>0</v>
      </c>
      <c r="M47" s="37">
        <f t="shared" ca="1" si="18"/>
        <v>0</v>
      </c>
      <c r="N47" s="37">
        <f t="shared" ca="1" si="18"/>
        <v>0</v>
      </c>
      <c r="O47" s="37">
        <f t="shared" ca="1" si="18"/>
        <v>0</v>
      </c>
      <c r="P47" s="37">
        <f t="shared" ca="1" si="18"/>
        <v>0</v>
      </c>
      <c r="Q47" s="37">
        <f t="shared" ca="1" si="18"/>
        <v>0</v>
      </c>
      <c r="R47" s="37">
        <f t="shared" ca="1" si="18"/>
        <v>0</v>
      </c>
      <c r="S47" s="37">
        <f t="shared" ca="1" si="18"/>
        <v>0</v>
      </c>
      <c r="T47" s="37">
        <f t="shared" ca="1" si="18"/>
        <v>0</v>
      </c>
      <c r="U47" s="37">
        <f t="shared" ca="1" si="18"/>
        <v>0</v>
      </c>
      <c r="V47" s="37">
        <f t="shared" ca="1" si="18"/>
        <v>0</v>
      </c>
      <c r="W47" s="37">
        <f t="shared" ca="1" si="18"/>
        <v>0</v>
      </c>
      <c r="X47" s="37">
        <f t="shared" ca="1" si="18"/>
        <v>0</v>
      </c>
      <c r="Y47" s="37">
        <f t="shared" ca="1" si="18"/>
        <v>0</v>
      </c>
      <c r="Z47" s="37">
        <f t="shared" ca="1" si="18"/>
        <v>0</v>
      </c>
      <c r="AA47" s="37">
        <f t="shared" ca="1" si="18"/>
        <v>0</v>
      </c>
      <c r="AB47" s="37">
        <f t="shared" ca="1" si="18"/>
        <v>0</v>
      </c>
      <c r="AC47" s="435">
        <f ca="1">SUM(G47:AB47)</f>
        <v>329316.49333341396</v>
      </c>
    </row>
    <row r="48" spans="1:29">
      <c r="A48" s="20"/>
      <c r="B48" s="15" t="s">
        <v>638</v>
      </c>
      <c r="C48" s="15"/>
      <c r="D48" s="29"/>
      <c r="E48" s="29"/>
      <c r="F48" s="15"/>
      <c r="G48" s="142">
        <f ca="1">-G43</f>
        <v>0</v>
      </c>
      <c r="H48" s="142">
        <f t="shared" ref="H48:W48" ca="1" si="19">-H43</f>
        <v>-3704.810550000906</v>
      </c>
      <c r="I48" s="142">
        <f t="shared" ca="1" si="19"/>
        <v>-4939.747400001208</v>
      </c>
      <c r="J48" s="142">
        <f t="shared" ca="1" si="19"/>
        <v>-12563.799394949307</v>
      </c>
      <c r="K48" s="142">
        <f t="shared" ca="1" si="19"/>
        <v>-17799.218169526688</v>
      </c>
      <c r="L48" s="142">
        <f t="shared" ca="1" si="19"/>
        <v>-17799.218169526688</v>
      </c>
      <c r="M48" s="142">
        <f t="shared" ca="1" si="19"/>
        <v>-17799.218169526688</v>
      </c>
      <c r="N48" s="142">
        <f t="shared" ca="1" si="19"/>
        <v>-17799.218169526688</v>
      </c>
      <c r="O48" s="142">
        <f t="shared" ca="1" si="19"/>
        <v>-17799.218169526688</v>
      </c>
      <c r="P48" s="142">
        <f t="shared" ca="1" si="19"/>
        <v>-17799.218169526688</v>
      </c>
      <c r="Q48" s="142">
        <f t="shared" ca="1" si="19"/>
        <v>-17799.218169526688</v>
      </c>
      <c r="R48" s="142">
        <f t="shared" ca="1" si="19"/>
        <v>-17799.218169526688</v>
      </c>
      <c r="S48" s="142">
        <f t="shared" ca="1" si="19"/>
        <v>-17799.218169526688</v>
      </c>
      <c r="T48" s="142">
        <f t="shared" ca="1" si="19"/>
        <v>-17799.218169526688</v>
      </c>
      <c r="U48" s="142">
        <f t="shared" ca="1" si="19"/>
        <v>-17799.218169526688</v>
      </c>
      <c r="V48" s="142">
        <f t="shared" ca="1" si="19"/>
        <v>-17799.218169526688</v>
      </c>
      <c r="W48" s="142">
        <f t="shared" ca="1" si="19"/>
        <v>-17799.218169526688</v>
      </c>
      <c r="X48" s="142">
        <f ca="1">-X43</f>
        <v>-17799.218169526688</v>
      </c>
      <c r="Y48" s="142">
        <f ca="1">-Y43</f>
        <v>-17799.218169526688</v>
      </c>
      <c r="Z48" s="142">
        <f ca="1">-Z43</f>
        <v>-17799.218169526688</v>
      </c>
      <c r="AA48" s="142">
        <f ca="1">-AA43</f>
        <v>-17799.218169526688</v>
      </c>
      <c r="AB48" s="142">
        <f ca="1">-AB43</f>
        <v>-5521.4271065087542</v>
      </c>
      <c r="AC48" s="436">
        <f ca="1">SUM(G48:AB48)</f>
        <v>-329316.49333341385</v>
      </c>
    </row>
    <row r="49" spans="1:29">
      <c r="A49" s="417"/>
      <c r="B49" s="31" t="s">
        <v>645</v>
      </c>
      <c r="C49" s="31" t="s">
        <v>323</v>
      </c>
      <c r="D49" s="84"/>
      <c r="E49" s="84"/>
      <c r="F49" s="31"/>
      <c r="G49" s="59">
        <f t="shared" ref="G49:AB49" ca="1" si="20">SUM(G46:G48)</f>
        <v>0</v>
      </c>
      <c r="H49" s="59">
        <f t="shared" ca="1" si="20"/>
        <v>95090.137450023249</v>
      </c>
      <c r="I49" s="59">
        <f t="shared" ca="1" si="20"/>
        <v>90150.390050022048</v>
      </c>
      <c r="J49" s="59">
        <f t="shared" ca="1" si="20"/>
        <v>308108.13598846254</v>
      </c>
      <c r="K49" s="59">
        <f t="shared" ca="1" si="20"/>
        <v>290308.91781893588</v>
      </c>
      <c r="L49" s="59">
        <f t="shared" ca="1" si="20"/>
        <v>272509.69964940922</v>
      </c>
      <c r="M49" s="59">
        <f t="shared" ca="1" si="20"/>
        <v>254710.48147988252</v>
      </c>
      <c r="N49" s="59">
        <f t="shared" ca="1" si="20"/>
        <v>236911.26331035583</v>
      </c>
      <c r="O49" s="59">
        <f t="shared" ca="1" si="20"/>
        <v>219112.04514082914</v>
      </c>
      <c r="P49" s="59">
        <f t="shared" ca="1" si="20"/>
        <v>201312.82697130245</v>
      </c>
      <c r="Q49" s="59">
        <f t="shared" ca="1" si="20"/>
        <v>183513.60880177576</v>
      </c>
      <c r="R49" s="59">
        <f t="shared" ca="1" si="20"/>
        <v>165714.39063224907</v>
      </c>
      <c r="S49" s="59">
        <f t="shared" ca="1" si="20"/>
        <v>147915.17246272237</v>
      </c>
      <c r="T49" s="59">
        <f t="shared" ca="1" si="20"/>
        <v>130115.95429319568</v>
      </c>
      <c r="U49" s="59">
        <f t="shared" ca="1" si="20"/>
        <v>112316.73612366899</v>
      </c>
      <c r="V49" s="59">
        <f t="shared" ca="1" si="20"/>
        <v>94517.517954142299</v>
      </c>
      <c r="W49" s="59">
        <f t="shared" ca="1" si="20"/>
        <v>76718.299784615607</v>
      </c>
      <c r="X49" s="59">
        <f t="shared" ca="1" si="20"/>
        <v>58919.081615088915</v>
      </c>
      <c r="Y49" s="59">
        <f t="shared" ca="1" si="20"/>
        <v>41119.863445562223</v>
      </c>
      <c r="Z49" s="59">
        <f t="shared" ca="1" si="20"/>
        <v>23320.645276035535</v>
      </c>
      <c r="AA49" s="59">
        <f t="shared" ca="1" si="20"/>
        <v>5521.4271065088469</v>
      </c>
      <c r="AB49" s="59">
        <f t="shared" ca="1" si="20"/>
        <v>9.276845958083868E-11</v>
      </c>
      <c r="AC49" s="488"/>
    </row>
    <row r="50" spans="1:29">
      <c r="A50" s="20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430"/>
    </row>
    <row r="51" spans="1:29">
      <c r="A51" s="20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430"/>
    </row>
    <row r="52" spans="1:29">
      <c r="A52" s="540" t="s">
        <v>646</v>
      </c>
      <c r="B52" s="2"/>
      <c r="C52" s="2"/>
      <c r="D52" s="5" t="s">
        <v>818</v>
      </c>
      <c r="E52" s="5" t="s">
        <v>818</v>
      </c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535"/>
    </row>
    <row r="53" spans="1:29">
      <c r="A53" s="20" t="s">
        <v>647</v>
      </c>
      <c r="B53" s="15"/>
      <c r="C53" s="15"/>
      <c r="D53" s="63" t="s">
        <v>819</v>
      </c>
      <c r="E53" s="63" t="s">
        <v>820</v>
      </c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430"/>
    </row>
    <row r="54" spans="1:29">
      <c r="A54" s="20"/>
      <c r="B54" s="15" t="s">
        <v>625</v>
      </c>
      <c r="C54" s="15"/>
      <c r="D54" s="230">
        <f>Assm!K58</f>
        <v>20</v>
      </c>
      <c r="E54" s="1201">
        <f ca="1">Assm!J58</f>
        <v>98794.94800002416</v>
      </c>
      <c r="F54" s="15"/>
      <c r="G54" s="37">
        <f ca="1">IF(G$7&lt;YEAR(Startops1),0,IF($D54*12&gt;$AC$9,$E54*G$9/$AC$9,IF(SUM($G$9:G$9)&gt;=$D54*12,$E54-SUM($F54:F54),$E54/$D54*G$9/12)))</f>
        <v>0</v>
      </c>
      <c r="H54" s="37">
        <f ca="1">IF(H$7&lt;YEAR(Startops1),0,IF($D54*12&gt;$AC$9,$E54*H$9/$AC$9,IF(SUM($G$9:H$9)&gt;=$D54*12,$E54-SUM($F54:G54),$E54/$D54*H$9/12)))</f>
        <v>3704.810550000906</v>
      </c>
      <c r="I54" s="37">
        <f ca="1">IF(I$7&lt;YEAR(Startops1),0,IF($D54*12&gt;$AC$9,$E54*I$9/$AC$9,IF(SUM($G$9:I$9)&gt;=$D54*12,$E54-SUM($F54:H54),$E54/$D54*I$9/12)))</f>
        <v>4939.747400001208</v>
      </c>
      <c r="J54" s="37">
        <f ca="1">IF(J$7&lt;YEAR(Startops1),0,IF($D54*12&gt;$AC$9,$E54*J$9/$AC$9,IF(SUM($G$9:J$9)&gt;=$D54*12,$E54-SUM($F54:I54),$E54/$D54*J$9/12)))</f>
        <v>4939.747400001208</v>
      </c>
      <c r="K54" s="37">
        <f ca="1">IF(K$7&lt;YEAR(Startops1),0,IF($D54*12&gt;$AC$9,$E54*K$9/$AC$9,IF(SUM($G$9:K$9)&gt;=$D54*12,$E54-SUM($F54:J54),$E54/$D54*K$9/12)))</f>
        <v>4939.747400001208</v>
      </c>
      <c r="L54" s="37">
        <f ca="1">IF(L$7&lt;YEAR(Startops1),0,IF($D54*12&gt;$AC$9,$E54*L$9/$AC$9,IF(SUM($G$9:L$9)&gt;=$D54*12,$E54-SUM($F54:K54),$E54/$D54*L$9/12)))</f>
        <v>4939.747400001208</v>
      </c>
      <c r="M54" s="37">
        <f ca="1">IF(M$7&lt;YEAR(Startops1),0,IF($D54*12&gt;$AC$9,$E54*M$9/$AC$9,IF(SUM($G$9:M$9)&gt;=$D54*12,$E54-SUM($F54:L54),$E54/$D54*M$9/12)))</f>
        <v>4939.747400001208</v>
      </c>
      <c r="N54" s="37">
        <f ca="1">IF(N$7&lt;YEAR(Startops1),0,IF($D54*12&gt;$AC$9,$E54*N$9/$AC$9,IF(SUM($G$9:N$9)&gt;=$D54*12,$E54-SUM($F54:M54),$E54/$D54*N$9/12)))</f>
        <v>4939.747400001208</v>
      </c>
      <c r="O54" s="37">
        <f ca="1">IF(O$7&lt;YEAR(Startops1),0,IF($D54*12&gt;$AC$9,$E54*O$9/$AC$9,IF(SUM($G$9:O$9)&gt;=$D54*12,$E54-SUM($F54:N54),$E54/$D54*O$9/12)))</f>
        <v>4939.747400001208</v>
      </c>
      <c r="P54" s="37">
        <f ca="1">IF(P$7&lt;YEAR(Startops1),0,IF($D54*12&gt;$AC$9,$E54*P$9/$AC$9,IF(SUM($G$9:P$9)&gt;=$D54*12,$E54-SUM($F54:O54),$E54/$D54*P$9/12)))</f>
        <v>4939.747400001208</v>
      </c>
      <c r="Q54" s="37">
        <f ca="1">IF(Q$7&lt;YEAR(Startops1),0,IF($D54*12&gt;$AC$9,$E54*Q$9/$AC$9,IF(SUM($G$9:Q$9)&gt;=$D54*12,$E54-SUM($F54:P54),$E54/$D54*Q$9/12)))</f>
        <v>4939.747400001208</v>
      </c>
      <c r="R54" s="37">
        <f ca="1">IF(R$7&lt;YEAR(Startops1),0,IF($D54*12&gt;$AC$9,$E54*R$9/$AC$9,IF(SUM($G$9:R$9)&gt;=$D54*12,$E54-SUM($F54:Q54),$E54/$D54*R$9/12)))</f>
        <v>4939.747400001208</v>
      </c>
      <c r="S54" s="37">
        <f ca="1">IF(S$7&lt;YEAR(Startops1),0,IF($D54*12&gt;$AC$9,$E54*S$9/$AC$9,IF(SUM($G$9:S$9)&gt;=$D54*12,$E54-SUM($F54:R54),$E54/$D54*S$9/12)))</f>
        <v>4939.747400001208</v>
      </c>
      <c r="T54" s="37">
        <f ca="1">IF(T$7&lt;YEAR(Startops1),0,IF($D54*12&gt;$AC$9,$E54*T$9/$AC$9,IF(SUM($G$9:T$9)&gt;=$D54*12,$E54-SUM($F54:S54),$E54/$D54*T$9/12)))</f>
        <v>4939.747400001208</v>
      </c>
      <c r="U54" s="37">
        <f ca="1">IF(U$7&lt;YEAR(Startops1),0,IF($D54*12&gt;$AC$9,$E54*U$9/$AC$9,IF(SUM($G$9:U$9)&gt;=$D54*12,$E54-SUM($F54:T54),$E54/$D54*U$9/12)))</f>
        <v>4939.747400001208</v>
      </c>
      <c r="V54" s="37">
        <f ca="1">IF(V$7&lt;YEAR(Startops1),0,IF($D54*12&gt;$AC$9,$E54*V$9/$AC$9,IF(SUM($G$9:V$9)&gt;=$D54*12,$E54-SUM($F54:U54),$E54/$D54*V$9/12)))</f>
        <v>4939.747400001208</v>
      </c>
      <c r="W54" s="37">
        <f ca="1">IF(W$7&lt;YEAR(Startops1),0,IF($D54*12&gt;$AC$9,$E54*W$9/$AC$9,IF(SUM($G$9:W$9)&gt;=$D54*12,$E54-SUM($F54:V54),$E54/$D54*W$9/12)))</f>
        <v>4939.747400001208</v>
      </c>
      <c r="X54" s="37">
        <f ca="1">IF(X$7&lt;YEAR(Startops1),0,IF($D54*12&gt;$AC$9,$E54*X$9/$AC$9,IF(SUM($G$9:X$9)&gt;=$D54*12,$E54-SUM($F54:W54),$E54/$D54*X$9/12)))</f>
        <v>4939.747400001208</v>
      </c>
      <c r="Y54" s="37">
        <f ca="1">IF(Y$7&lt;YEAR(Startops1),0,IF($D54*12&gt;$AC$9,$E54*Y$9/$AC$9,IF(SUM($G$9:Y$9)&gt;=$D54*12,$E54-SUM($F54:X54),$E54/$D54*Y$9/12)))</f>
        <v>4939.747400001208</v>
      </c>
      <c r="Z54" s="37">
        <f ca="1">IF(Z$7&lt;YEAR(Startops1),0,IF($D54*12&gt;$AC$9,$E54*Z$9/$AC$9,IF(SUM($G$9:Z$9)&gt;=$D54*12,$E54-SUM($F54:Y54),$E54/$D54*Z$9/12)))</f>
        <v>4939.747400001208</v>
      </c>
      <c r="AA54" s="37">
        <f ca="1">IF(AA$7&lt;YEAR(Startops1),0,IF($D54*12&gt;$AC$9,$E54*AA$9/$AC$9,IF(SUM($G$9:AA$9)&gt;=$D54*12,$E54-SUM($F54:Z54),$E54/$D54*AA$9/12)))</f>
        <v>4939.747400001208</v>
      </c>
      <c r="AB54" s="37">
        <f ca="1">IF(AB$7&lt;YEAR(Startops1),0,IF($D54*12&gt;$AC$9,$E54*AB$9/$AC$9,IF(SUM($G$9:AB$9)&gt;=$D54*12,$E54-SUM($F54:AA54),$E54/$D54*AB$9/12)))</f>
        <v>1234.9368500002602</v>
      </c>
      <c r="AC54" s="435">
        <f ca="1">SUM(G54:AB54)</f>
        <v>98794.94800002416</v>
      </c>
    </row>
    <row r="55" spans="1:29">
      <c r="A55" s="20"/>
      <c r="B55" s="15" t="s">
        <v>626</v>
      </c>
      <c r="C55" s="15"/>
      <c r="D55" s="230">
        <f>Assm!K59</f>
        <v>20</v>
      </c>
      <c r="E55" s="1201">
        <f ca="1">Assm!J59</f>
        <v>98794.94800002416</v>
      </c>
      <c r="F55" s="15"/>
      <c r="G55" s="37">
        <f ca="1">IF(G$7&lt;YEAR(Startops1),0,IF($D55*12&gt;$AC$10,$E55*G$10/$AC$10,IF(SUM($G$10:G$10)&gt;=$D55*12,$E55-SUM($F55:F55),$E55/$D55*G$10/12)))</f>
        <v>0</v>
      </c>
      <c r="H55" s="37">
        <f ca="1">IF(H$7&lt;YEAR(Startops1),0,IF($D55*12&gt;$AC$10,$E55*H$10/$AC$10,IF(SUM($G$10:H$10)&gt;=$D55*12,$E55-SUM($F55:G55),$E55/$D55*H$10/12)))</f>
        <v>0</v>
      </c>
      <c r="I55" s="37">
        <f ca="1">IF(I$7&lt;YEAR(Startops1),0,IF($D55*12&gt;$AC$10,$E55*I$10/$AC$10,IF(SUM($G$10:I$10)&gt;=$D55*12,$E55-SUM($F55:H55),$E55/$D55*I$10/12)))</f>
        <v>0</v>
      </c>
      <c r="J55" s="37">
        <f ca="1">IF(J$7&lt;YEAR(Startops1),0,IF($D55*12&gt;$AC$10,$E55*J$10/$AC$10,IF(SUM($G$10:J$10)&gt;=$D55*12,$E55-SUM($F55:I55),$E55/$D55*J$10/12)))</f>
        <v>4531.8783486249613</v>
      </c>
      <c r="K55" s="37">
        <f ca="1">IF(K$7&lt;YEAR(Startops1),0,IF($D55*12&gt;$AC$10,$E55*K$10/$AC$10,IF(SUM($G$10:K$10)&gt;=$D55*12,$E55-SUM($F55:J55),$E55/$D55*K$10/12)))</f>
        <v>5438.2540183499532</v>
      </c>
      <c r="L55" s="37">
        <f ca="1">IF(L$7&lt;YEAR(Startops1),0,IF($D55*12&gt;$AC$10,$E55*L$10/$AC$10,IF(SUM($G$10:L$10)&gt;=$D55*12,$E55-SUM($F55:K55),$E55/$D55*L$10/12)))</f>
        <v>5438.2540183499532</v>
      </c>
      <c r="M55" s="37">
        <f ca="1">IF(M$7&lt;YEAR(Startops1),0,IF($D55*12&gt;$AC$10,$E55*M$10/$AC$10,IF(SUM($G$10:M$10)&gt;=$D55*12,$E55-SUM($F55:L55),$E55/$D55*M$10/12)))</f>
        <v>5438.2540183499532</v>
      </c>
      <c r="N55" s="37">
        <f ca="1">IF(N$7&lt;YEAR(Startops1),0,IF($D55*12&gt;$AC$10,$E55*N$10/$AC$10,IF(SUM($G$10:N$10)&gt;=$D55*12,$E55-SUM($F55:M55),$E55/$D55*N$10/12)))</f>
        <v>5438.2540183499532</v>
      </c>
      <c r="O55" s="37">
        <f ca="1">IF(O$7&lt;YEAR(Startops1),0,IF($D55*12&gt;$AC$10,$E55*O$10/$AC$10,IF(SUM($G$10:O$10)&gt;=$D55*12,$E55-SUM($F55:N55),$E55/$D55*O$10/12)))</f>
        <v>5438.2540183499532</v>
      </c>
      <c r="P55" s="37">
        <f ca="1">IF(P$7&lt;YEAR(Startops1),0,IF($D55*12&gt;$AC$10,$E55*P$10/$AC$10,IF(SUM($G$10:P$10)&gt;=$D55*12,$E55-SUM($F55:O55),$E55/$D55*P$10/12)))</f>
        <v>5438.2540183499532</v>
      </c>
      <c r="Q55" s="37">
        <f ca="1">IF(Q$7&lt;YEAR(Startops1),0,IF($D55*12&gt;$AC$10,$E55*Q$10/$AC$10,IF(SUM($G$10:Q$10)&gt;=$D55*12,$E55-SUM($F55:P55),$E55/$D55*Q$10/12)))</f>
        <v>5438.2540183499532</v>
      </c>
      <c r="R55" s="37">
        <f ca="1">IF(R$7&lt;YEAR(Startops1),0,IF($D55*12&gt;$AC$10,$E55*R$10/$AC$10,IF(SUM($G$10:R$10)&gt;=$D55*12,$E55-SUM($F55:Q55),$E55/$D55*R$10/12)))</f>
        <v>5438.2540183499532</v>
      </c>
      <c r="S55" s="37">
        <f ca="1">IF(S$7&lt;YEAR(Startops1),0,IF($D55*12&gt;$AC$10,$E55*S$10/$AC$10,IF(SUM($G$10:S$10)&gt;=$D55*12,$E55-SUM($F55:R55),$E55/$D55*S$10/12)))</f>
        <v>5438.2540183499532</v>
      </c>
      <c r="T55" s="37">
        <f ca="1">IF(T$7&lt;YEAR(Startops1),0,IF($D55*12&gt;$AC$10,$E55*T$10/$AC$10,IF(SUM($G$10:T$10)&gt;=$D55*12,$E55-SUM($F55:S55),$E55/$D55*T$10/12)))</f>
        <v>5438.2540183499532</v>
      </c>
      <c r="U55" s="37">
        <f ca="1">IF(U$7&lt;YEAR(Startops1),0,IF($D55*12&gt;$AC$10,$E55*U$10/$AC$10,IF(SUM($G$10:U$10)&gt;=$D55*12,$E55-SUM($F55:T55),$E55/$D55*U$10/12)))</f>
        <v>5438.2540183499532</v>
      </c>
      <c r="V55" s="37">
        <f ca="1">IF(V$7&lt;YEAR(Startops1),0,IF($D55*12&gt;$AC$10,$E55*V$10/$AC$10,IF(SUM($G$10:V$10)&gt;=$D55*12,$E55-SUM($F55:U55),$E55/$D55*V$10/12)))</f>
        <v>5438.2540183499532</v>
      </c>
      <c r="W55" s="37">
        <f ca="1">IF(W$7&lt;YEAR(Startops1),0,IF($D55*12&gt;$AC$10,$E55*W$10/$AC$10,IF(SUM($G$10:W$10)&gt;=$D55*12,$E55-SUM($F55:V55),$E55/$D55*W$10/12)))</f>
        <v>5438.2540183499532</v>
      </c>
      <c r="X55" s="37">
        <f ca="1">IF(X$7&lt;YEAR(Startops1),0,IF($D55*12&gt;$AC$10,$E55*X$10/$AC$10,IF(SUM($G$10:X$10)&gt;=$D55*12,$E55-SUM($F55:W55),$E55/$D55*X$10/12)))</f>
        <v>5438.2540183499532</v>
      </c>
      <c r="Y55" s="37">
        <f ca="1">IF(Y$7&lt;YEAR(Startops1),0,IF($D55*12&gt;$AC$10,$E55*Y$10/$AC$10,IF(SUM($G$10:Y$10)&gt;=$D55*12,$E55-SUM($F55:X55),$E55/$D55*Y$10/12)))</f>
        <v>5438.2540183499532</v>
      </c>
      <c r="Z55" s="37">
        <f ca="1">IF(Z$7&lt;YEAR(Startops1),0,IF($D55*12&gt;$AC$10,$E55*Z$10/$AC$10,IF(SUM($G$10:Z$10)&gt;=$D55*12,$E55-SUM($F55:Y55),$E55/$D55*Z$10/12)))</f>
        <v>5438.2540183499532</v>
      </c>
      <c r="AA55" s="37">
        <f ca="1">IF(AA$7&lt;YEAR(Startops1),0,IF($D55*12&gt;$AC$10,$E55*AA$10/$AC$10,IF(SUM($G$10:AA$10)&gt;=$D55*12,$E55-SUM($F55:Z55),$E55/$D55*AA$10/12)))</f>
        <v>5438.2540183499532</v>
      </c>
      <c r="AB55" s="37">
        <f ca="1">IF(AB$7&lt;YEAR(Startops1),0,IF($D55*12&gt;$AC$10,$E55*AB$10/$AC$10,IF(SUM($G$10:AB$10)&gt;=$D55*12,$E55-SUM($F55:AA55),$E55/$D55*AB$10/12)))</f>
        <v>1812.7513394499847</v>
      </c>
      <c r="AC55" s="435">
        <f ca="1">SUM(G55:AB55)</f>
        <v>98794.948000024131</v>
      </c>
    </row>
    <row r="56" spans="1:29">
      <c r="A56" s="20"/>
      <c r="B56" s="15" t="s">
        <v>627</v>
      </c>
      <c r="C56" s="15"/>
      <c r="D56" s="230">
        <f>Assm!K60</f>
        <v>20</v>
      </c>
      <c r="E56" s="1202">
        <f ca="1">Assm!J60</f>
        <v>131726.59733336561</v>
      </c>
      <c r="F56" s="15"/>
      <c r="G56" s="142">
        <f ca="1">IF(G$7&lt;YEAR(Startops1),0,IF($D56*12&gt;$AC$11,$E56*G$11/$AC$11,IF(SUM($G$11:G$11)&gt;=$D56*12,$E56-SUM($F56:F56),$E56/$D56*G$11/12)))</f>
        <v>0</v>
      </c>
      <c r="H56" s="142">
        <f ca="1">IF(H$7&lt;YEAR(Startops1),0,IF($D56*12&gt;$AC$11,$E56*H$11/$AC$11,IF(SUM($G$11:H$11)&gt;=$D56*12,$E56-SUM($F56:G56),$E56/$D56*H$11/12)))</f>
        <v>0</v>
      </c>
      <c r="I56" s="142">
        <f ca="1">IF(I$7&lt;YEAR(Startops1),0,IF($D56*12&gt;$AC$11,$E56*I$11/$AC$11,IF(SUM($G$11:I$11)&gt;=$D56*12,$E56-SUM($F56:H56),$E56/$D56*I$11/12)))</f>
        <v>0</v>
      </c>
      <c r="J56" s="142">
        <f ca="1">IF(J$7&lt;YEAR(Startops1),0,IF($D56*12&gt;$AC$11,$E56*J$11/$AC$11,IF(SUM($G$11:J$11)&gt;=$D56*12,$E56-SUM($F56:I56),$E56/$D56*J$11/12)))</f>
        <v>3092.1736463231364</v>
      </c>
      <c r="K56" s="142">
        <f ca="1">IF(K$7&lt;YEAR(Startops1),0,IF($D56*12&gt;$AC$11,$E56*K$11/$AC$11,IF(SUM($G$11:K$11)&gt;=$D56*12,$E56-SUM($F56:J56),$E56/$D56*K$11/12)))</f>
        <v>7421.2167511755279</v>
      </c>
      <c r="L56" s="142">
        <f ca="1">IF(L$7&lt;YEAR(Startops1),0,IF($D56*12&gt;$AC$11,$E56*L$11/$AC$11,IF(SUM($G$11:L$11)&gt;=$D56*12,$E56-SUM($F56:K56),$E56/$D56*L$11/12)))</f>
        <v>7421.2167511755279</v>
      </c>
      <c r="M56" s="142">
        <f ca="1">IF(M$7&lt;YEAR(Startops1),0,IF($D56*12&gt;$AC$11,$E56*M$11/$AC$11,IF(SUM($G$11:M$11)&gt;=$D56*12,$E56-SUM($F56:L56),$E56/$D56*M$11/12)))</f>
        <v>7421.2167511755279</v>
      </c>
      <c r="N56" s="142">
        <f ca="1">IF(N$7&lt;YEAR(Startops1),0,IF($D56*12&gt;$AC$11,$E56*N$11/$AC$11,IF(SUM($G$11:N$11)&gt;=$D56*12,$E56-SUM($F56:M56),$E56/$D56*N$11/12)))</f>
        <v>7421.2167511755279</v>
      </c>
      <c r="O56" s="142">
        <f ca="1">IF(O$7&lt;YEAR(Startops1),0,IF($D56*12&gt;$AC$11,$E56*O$11/$AC$11,IF(SUM($G$11:O$11)&gt;=$D56*12,$E56-SUM($F56:N56),$E56/$D56*O$11/12)))</f>
        <v>7421.2167511755279</v>
      </c>
      <c r="P56" s="142">
        <f ca="1">IF(P$7&lt;YEAR(Startops1),0,IF($D56*12&gt;$AC$11,$E56*P$11/$AC$11,IF(SUM($G$11:P$11)&gt;=$D56*12,$E56-SUM($F56:O56),$E56/$D56*P$11/12)))</f>
        <v>7421.2167511755279</v>
      </c>
      <c r="Q56" s="142">
        <f ca="1">IF(Q$7&lt;YEAR(Startops1),0,IF($D56*12&gt;$AC$11,$E56*Q$11/$AC$11,IF(SUM($G$11:Q$11)&gt;=$D56*12,$E56-SUM($F56:P56),$E56/$D56*Q$11/12)))</f>
        <v>7421.2167511755279</v>
      </c>
      <c r="R56" s="142">
        <f ca="1">IF(R$7&lt;YEAR(Startops1),0,IF($D56*12&gt;$AC$11,$E56*R$11/$AC$11,IF(SUM($G$11:R$11)&gt;=$D56*12,$E56-SUM($F56:Q56),$E56/$D56*R$11/12)))</f>
        <v>7421.2167511755279</v>
      </c>
      <c r="S56" s="142">
        <f ca="1">IF(S$7&lt;YEAR(Startops1),0,IF($D56*12&gt;$AC$11,$E56*S$11/$AC$11,IF(SUM($G$11:S$11)&gt;=$D56*12,$E56-SUM($F56:R56),$E56/$D56*S$11/12)))</f>
        <v>7421.2167511755279</v>
      </c>
      <c r="T56" s="142">
        <f ca="1">IF(T$7&lt;YEAR(Startops1),0,IF($D56*12&gt;$AC$11,$E56*T$11/$AC$11,IF(SUM($G$11:T$11)&gt;=$D56*12,$E56-SUM($F56:S56),$E56/$D56*T$11/12)))</f>
        <v>7421.2167511755279</v>
      </c>
      <c r="U56" s="142">
        <f ca="1">IF(U$7&lt;YEAR(Startops1),0,IF($D56*12&gt;$AC$11,$E56*U$11/$AC$11,IF(SUM($G$11:U$11)&gt;=$D56*12,$E56-SUM($F56:T56),$E56/$D56*U$11/12)))</f>
        <v>7421.2167511755279</v>
      </c>
      <c r="V56" s="142">
        <f ca="1">IF(V$7&lt;YEAR(Startops1),0,IF($D56*12&gt;$AC$11,$E56*V$11/$AC$11,IF(SUM($G$11:V$11)&gt;=$D56*12,$E56-SUM($F56:U56),$E56/$D56*V$11/12)))</f>
        <v>7421.2167511755279</v>
      </c>
      <c r="W56" s="142">
        <f ca="1">IF(W$7&lt;YEAR(Startops1),0,IF($D56*12&gt;$AC$11,$E56*W$11/$AC$11,IF(SUM($G$11:W$11)&gt;=$D56*12,$E56-SUM($F56:V56),$E56/$D56*W$11/12)))</f>
        <v>7421.2167511755279</v>
      </c>
      <c r="X56" s="142">
        <f ca="1">IF(X$7&lt;YEAR(Startops1),0,IF($D56*12&gt;$AC$11,$E56*X$11/$AC$11,IF(SUM($G$11:X$11)&gt;=$D56*12,$E56-SUM($F56:W56),$E56/$D56*X$11/12)))</f>
        <v>7421.2167511755279</v>
      </c>
      <c r="Y56" s="142">
        <f ca="1">IF(Y$7&lt;YEAR(Startops1),0,IF($D56*12&gt;$AC$11,$E56*Y$11/$AC$11,IF(SUM($G$11:Y$11)&gt;=$D56*12,$E56-SUM($F56:X56),$E56/$D56*Y$11/12)))</f>
        <v>7421.2167511755279</v>
      </c>
      <c r="Z56" s="142">
        <f ca="1">IF(Z$7&lt;YEAR(Startops1),0,IF($D56*12&gt;$AC$11,$E56*Z$11/$AC$11,IF(SUM($G$11:Z$11)&gt;=$D56*12,$E56-SUM($F56:Y56),$E56/$D56*Z$11/12)))</f>
        <v>7421.2167511755279</v>
      </c>
      <c r="AA56" s="142">
        <f ca="1">IF(AA$7&lt;YEAR(Startops1),0,IF($D56*12&gt;$AC$11,$E56*AA$11/$AC$11,IF(SUM($G$11:AA$11)&gt;=$D56*12,$E56-SUM($F56:Z56),$E56/$D56*AA$11/12)))</f>
        <v>7421.2167511755279</v>
      </c>
      <c r="AB56" s="142">
        <f ca="1">IF(AB$7&lt;YEAR(Startops1),0,IF($D56*12&gt;$AC$11,$E56*AB$11/$AC$11,IF(SUM($G$11:AB$11)&gt;=$D56*12,$E56-SUM($F56:AA56),$E56/$D56*AB$11/12)))</f>
        <v>2473.7389170585093</v>
      </c>
      <c r="AC56" s="436">
        <f ca="1">SUM(G56:AB56)</f>
        <v>131726.59733336559</v>
      </c>
    </row>
    <row r="57" spans="1:29">
      <c r="A57" s="20"/>
      <c r="B57" s="15" t="s">
        <v>642</v>
      </c>
      <c r="C57" s="15"/>
      <c r="D57" s="14"/>
      <c r="E57" s="1201">
        <f ca="1">SUM(E54:E56)</f>
        <v>329316.49333341396</v>
      </c>
      <c r="F57" s="15"/>
      <c r="G57" s="37">
        <f t="shared" ref="G57:AC57" ca="1" si="21">SUM(G54:G56)</f>
        <v>0</v>
      </c>
      <c r="H57" s="37">
        <f t="shared" ca="1" si="21"/>
        <v>3704.810550000906</v>
      </c>
      <c r="I57" s="37">
        <f t="shared" ca="1" si="21"/>
        <v>4939.747400001208</v>
      </c>
      <c r="J57" s="37">
        <f t="shared" ca="1" si="21"/>
        <v>12563.799394949307</v>
      </c>
      <c r="K57" s="37">
        <f t="shared" ca="1" si="21"/>
        <v>17799.218169526688</v>
      </c>
      <c r="L57" s="37">
        <f t="shared" ca="1" si="21"/>
        <v>17799.218169526688</v>
      </c>
      <c r="M57" s="37">
        <f t="shared" ca="1" si="21"/>
        <v>17799.218169526688</v>
      </c>
      <c r="N57" s="37">
        <f t="shared" ca="1" si="21"/>
        <v>17799.218169526688</v>
      </c>
      <c r="O57" s="37">
        <f t="shared" ca="1" si="21"/>
        <v>17799.218169526688</v>
      </c>
      <c r="P57" s="37">
        <f t="shared" ca="1" si="21"/>
        <v>17799.218169526688</v>
      </c>
      <c r="Q57" s="37">
        <f t="shared" ca="1" si="21"/>
        <v>17799.218169526688</v>
      </c>
      <c r="R57" s="37">
        <f t="shared" ca="1" si="21"/>
        <v>17799.218169526688</v>
      </c>
      <c r="S57" s="37">
        <f t="shared" ca="1" si="21"/>
        <v>17799.218169526688</v>
      </c>
      <c r="T57" s="37">
        <f t="shared" ca="1" si="21"/>
        <v>17799.218169526688</v>
      </c>
      <c r="U57" s="37">
        <f t="shared" ca="1" si="21"/>
        <v>17799.218169526688</v>
      </c>
      <c r="V57" s="37">
        <f t="shared" ca="1" si="21"/>
        <v>17799.218169526688</v>
      </c>
      <c r="W57" s="37">
        <f t="shared" ca="1" si="21"/>
        <v>17799.218169526688</v>
      </c>
      <c r="X57" s="37">
        <f t="shared" ca="1" si="21"/>
        <v>17799.218169526688</v>
      </c>
      <c r="Y57" s="37">
        <f t="shared" ca="1" si="21"/>
        <v>17799.218169526688</v>
      </c>
      <c r="Z57" s="37">
        <f t="shared" ca="1" si="21"/>
        <v>17799.218169526688</v>
      </c>
      <c r="AA57" s="37">
        <f t="shared" ca="1" si="21"/>
        <v>17799.218169526688</v>
      </c>
      <c r="AB57" s="37">
        <f t="shared" ca="1" si="21"/>
        <v>5521.4271065087542</v>
      </c>
      <c r="AC57" s="435">
        <f t="shared" ca="1" si="21"/>
        <v>329316.49333341385</v>
      </c>
    </row>
    <row r="58" spans="1:29">
      <c r="A58" s="20"/>
      <c r="B58" s="43" t="s">
        <v>643</v>
      </c>
      <c r="C58" s="43"/>
      <c r="D58" s="68"/>
      <c r="E58" s="95"/>
      <c r="F58" s="15"/>
      <c r="G58" s="256">
        <f ca="1">G57</f>
        <v>0</v>
      </c>
      <c r="H58" s="256">
        <f t="shared" ref="H58:AB58" ca="1" si="22">G58+H57</f>
        <v>3704.810550000906</v>
      </c>
      <c r="I58" s="256">
        <f t="shared" ca="1" si="22"/>
        <v>8644.557950002114</v>
      </c>
      <c r="J58" s="256">
        <f t="shared" ca="1" si="22"/>
        <v>21208.357344951422</v>
      </c>
      <c r="K58" s="256">
        <f t="shared" ca="1" si="22"/>
        <v>39007.575514478114</v>
      </c>
      <c r="L58" s="256">
        <f t="shared" ca="1" si="22"/>
        <v>56806.793684004806</v>
      </c>
      <c r="M58" s="256">
        <f t="shared" ca="1" si="22"/>
        <v>74606.011853531498</v>
      </c>
      <c r="N58" s="256">
        <f t="shared" ca="1" si="22"/>
        <v>92405.23002305819</v>
      </c>
      <c r="O58" s="256">
        <f t="shared" ca="1" si="22"/>
        <v>110204.44819258488</v>
      </c>
      <c r="P58" s="256">
        <f t="shared" ca="1" si="22"/>
        <v>128003.66636211157</v>
      </c>
      <c r="Q58" s="256">
        <f t="shared" ca="1" si="22"/>
        <v>145802.88453163826</v>
      </c>
      <c r="R58" s="256">
        <f t="shared" ca="1" si="22"/>
        <v>163602.10270116496</v>
      </c>
      <c r="S58" s="256">
        <f t="shared" ca="1" si="22"/>
        <v>181401.32087069165</v>
      </c>
      <c r="T58" s="256">
        <f t="shared" ca="1" si="22"/>
        <v>199200.53904021834</v>
      </c>
      <c r="U58" s="256">
        <f t="shared" ca="1" si="22"/>
        <v>216999.75720974503</v>
      </c>
      <c r="V58" s="256">
        <f t="shared" ca="1" si="22"/>
        <v>234798.97537927172</v>
      </c>
      <c r="W58" s="256">
        <f t="shared" ca="1" si="22"/>
        <v>252598.19354879842</v>
      </c>
      <c r="X58" s="256">
        <f t="shared" ca="1" si="22"/>
        <v>270397.41171832511</v>
      </c>
      <c r="Y58" s="256">
        <f t="shared" ca="1" si="22"/>
        <v>288196.62988785177</v>
      </c>
      <c r="Z58" s="256">
        <f t="shared" ca="1" si="22"/>
        <v>305995.84805737843</v>
      </c>
      <c r="AA58" s="256">
        <f t="shared" ca="1" si="22"/>
        <v>323795.0662269051</v>
      </c>
      <c r="AB58" s="256">
        <f t="shared" ca="1" si="22"/>
        <v>329316.49333341385</v>
      </c>
      <c r="AC58" s="435"/>
    </row>
    <row r="59" spans="1:29">
      <c r="A59" s="20"/>
      <c r="B59" s="15"/>
      <c r="C59" s="15"/>
      <c r="D59" s="14"/>
      <c r="E59" s="29"/>
      <c r="F59" s="1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431"/>
    </row>
    <row r="60" spans="1:29">
      <c r="A60" s="20"/>
      <c r="B60" s="15" t="s">
        <v>1530</v>
      </c>
      <c r="C60" s="15"/>
      <c r="D60" s="14"/>
      <c r="E60" s="29"/>
      <c r="F60" s="15"/>
      <c r="G60" s="766">
        <v>0</v>
      </c>
      <c r="H60" s="37">
        <f t="shared" ref="H60:AB60" ca="1" si="23">G63</f>
        <v>0</v>
      </c>
      <c r="I60" s="37">
        <f t="shared" ca="1" si="23"/>
        <v>95090.137450023249</v>
      </c>
      <c r="J60" s="37">
        <f t="shared" ca="1" si="23"/>
        <v>90150.390050022048</v>
      </c>
      <c r="K60" s="37">
        <f t="shared" ca="1" si="23"/>
        <v>308108.13598846254</v>
      </c>
      <c r="L60" s="37">
        <f t="shared" ca="1" si="23"/>
        <v>290308.91781893588</v>
      </c>
      <c r="M60" s="37">
        <f t="shared" ca="1" si="23"/>
        <v>272509.69964940922</v>
      </c>
      <c r="N60" s="37">
        <f t="shared" ca="1" si="23"/>
        <v>254710.48147988252</v>
      </c>
      <c r="O60" s="37">
        <f t="shared" ca="1" si="23"/>
        <v>236911.26331035583</v>
      </c>
      <c r="P60" s="37">
        <f t="shared" ca="1" si="23"/>
        <v>219112.04514082914</v>
      </c>
      <c r="Q60" s="37">
        <f t="shared" ca="1" si="23"/>
        <v>201312.82697130245</v>
      </c>
      <c r="R60" s="37">
        <f t="shared" ca="1" si="23"/>
        <v>183513.60880177576</v>
      </c>
      <c r="S60" s="37">
        <f t="shared" ca="1" si="23"/>
        <v>165714.39063224907</v>
      </c>
      <c r="T60" s="37">
        <f t="shared" ca="1" si="23"/>
        <v>147915.17246272237</v>
      </c>
      <c r="U60" s="37">
        <f t="shared" ca="1" si="23"/>
        <v>130115.95429319568</v>
      </c>
      <c r="V60" s="37">
        <f t="shared" ca="1" si="23"/>
        <v>112316.73612366899</v>
      </c>
      <c r="W60" s="37">
        <f t="shared" ca="1" si="23"/>
        <v>94517.517954142299</v>
      </c>
      <c r="X60" s="37">
        <f t="shared" ca="1" si="23"/>
        <v>76718.299784615607</v>
      </c>
      <c r="Y60" s="37">
        <f t="shared" ca="1" si="23"/>
        <v>58919.081615088915</v>
      </c>
      <c r="Z60" s="37">
        <f t="shared" ca="1" si="23"/>
        <v>41119.863445562223</v>
      </c>
      <c r="AA60" s="37">
        <f t="shared" ca="1" si="23"/>
        <v>23320.645276035535</v>
      </c>
      <c r="AB60" s="37">
        <f t="shared" ca="1" si="23"/>
        <v>5521.4271065088469</v>
      </c>
      <c r="AC60" s="435"/>
    </row>
    <row r="61" spans="1:29">
      <c r="A61" s="20"/>
      <c r="B61" s="15" t="s">
        <v>637</v>
      </c>
      <c r="C61" s="15"/>
      <c r="D61" s="14"/>
      <c r="E61" s="29"/>
      <c r="F61" s="15"/>
      <c r="G61" s="37">
        <f t="shared" ref="G61:AB61" ca="1" si="24">IF(G$7=YEAR(Startops1),$E54,0)+IF(G$7=YEAR(Startops2),$E55,0)+IF(G$7=YEAR(Startops3),$E56,0)</f>
        <v>0</v>
      </c>
      <c r="H61" s="37">
        <f t="shared" ca="1" si="24"/>
        <v>98794.94800002416</v>
      </c>
      <c r="I61" s="37">
        <f t="shared" ca="1" si="24"/>
        <v>0</v>
      </c>
      <c r="J61" s="37">
        <f t="shared" ca="1" si="24"/>
        <v>230521.54533338977</v>
      </c>
      <c r="K61" s="37">
        <f t="shared" ca="1" si="24"/>
        <v>0</v>
      </c>
      <c r="L61" s="37">
        <f t="shared" ca="1" si="24"/>
        <v>0</v>
      </c>
      <c r="M61" s="37">
        <f t="shared" ca="1" si="24"/>
        <v>0</v>
      </c>
      <c r="N61" s="37">
        <f t="shared" ca="1" si="24"/>
        <v>0</v>
      </c>
      <c r="O61" s="37">
        <f t="shared" ca="1" si="24"/>
        <v>0</v>
      </c>
      <c r="P61" s="37">
        <f t="shared" ca="1" si="24"/>
        <v>0</v>
      </c>
      <c r="Q61" s="37">
        <f t="shared" ca="1" si="24"/>
        <v>0</v>
      </c>
      <c r="R61" s="37">
        <f t="shared" ca="1" si="24"/>
        <v>0</v>
      </c>
      <c r="S61" s="37">
        <f t="shared" ca="1" si="24"/>
        <v>0</v>
      </c>
      <c r="T61" s="37">
        <f t="shared" ca="1" si="24"/>
        <v>0</v>
      </c>
      <c r="U61" s="37">
        <f t="shared" ca="1" si="24"/>
        <v>0</v>
      </c>
      <c r="V61" s="37">
        <f t="shared" ca="1" si="24"/>
        <v>0</v>
      </c>
      <c r="W61" s="37">
        <f t="shared" ca="1" si="24"/>
        <v>0</v>
      </c>
      <c r="X61" s="37">
        <f t="shared" ca="1" si="24"/>
        <v>0</v>
      </c>
      <c r="Y61" s="37">
        <f t="shared" ca="1" si="24"/>
        <v>0</v>
      </c>
      <c r="Z61" s="37">
        <f t="shared" ca="1" si="24"/>
        <v>0</v>
      </c>
      <c r="AA61" s="37">
        <f t="shared" ca="1" si="24"/>
        <v>0</v>
      </c>
      <c r="AB61" s="37">
        <f t="shared" ca="1" si="24"/>
        <v>0</v>
      </c>
      <c r="AC61" s="435">
        <f ca="1">SUM(G61:AB61)</f>
        <v>329316.49333341396</v>
      </c>
    </row>
    <row r="62" spans="1:29">
      <c r="A62" s="20"/>
      <c r="B62" s="15" t="s">
        <v>638</v>
      </c>
      <c r="C62" s="15"/>
      <c r="D62" s="14"/>
      <c r="E62" s="29"/>
      <c r="F62" s="15"/>
      <c r="G62" s="142">
        <f ca="1">-G57</f>
        <v>0</v>
      </c>
      <c r="H62" s="142">
        <f t="shared" ref="H62:W62" ca="1" si="25">-H57</f>
        <v>-3704.810550000906</v>
      </c>
      <c r="I62" s="142">
        <f t="shared" ca="1" si="25"/>
        <v>-4939.747400001208</v>
      </c>
      <c r="J62" s="142">
        <f t="shared" ca="1" si="25"/>
        <v>-12563.799394949307</v>
      </c>
      <c r="K62" s="142">
        <f t="shared" ca="1" si="25"/>
        <v>-17799.218169526688</v>
      </c>
      <c r="L62" s="142">
        <f t="shared" ca="1" si="25"/>
        <v>-17799.218169526688</v>
      </c>
      <c r="M62" s="142">
        <f t="shared" ca="1" si="25"/>
        <v>-17799.218169526688</v>
      </c>
      <c r="N62" s="142">
        <f t="shared" ca="1" si="25"/>
        <v>-17799.218169526688</v>
      </c>
      <c r="O62" s="142">
        <f t="shared" ca="1" si="25"/>
        <v>-17799.218169526688</v>
      </c>
      <c r="P62" s="142">
        <f t="shared" ca="1" si="25"/>
        <v>-17799.218169526688</v>
      </c>
      <c r="Q62" s="142">
        <f t="shared" ca="1" si="25"/>
        <v>-17799.218169526688</v>
      </c>
      <c r="R62" s="142">
        <f t="shared" ca="1" si="25"/>
        <v>-17799.218169526688</v>
      </c>
      <c r="S62" s="142">
        <f t="shared" ca="1" si="25"/>
        <v>-17799.218169526688</v>
      </c>
      <c r="T62" s="142">
        <f t="shared" ca="1" si="25"/>
        <v>-17799.218169526688</v>
      </c>
      <c r="U62" s="142">
        <f t="shared" ca="1" si="25"/>
        <v>-17799.218169526688</v>
      </c>
      <c r="V62" s="142">
        <f t="shared" ca="1" si="25"/>
        <v>-17799.218169526688</v>
      </c>
      <c r="W62" s="142">
        <f t="shared" ca="1" si="25"/>
        <v>-17799.218169526688</v>
      </c>
      <c r="X62" s="142">
        <f ca="1">-X57</f>
        <v>-17799.218169526688</v>
      </c>
      <c r="Y62" s="142">
        <f ca="1">-Y57</f>
        <v>-17799.218169526688</v>
      </c>
      <c r="Z62" s="142">
        <f ca="1">-Z57</f>
        <v>-17799.218169526688</v>
      </c>
      <c r="AA62" s="142">
        <f ca="1">-AA57</f>
        <v>-17799.218169526688</v>
      </c>
      <c r="AB62" s="142">
        <f ca="1">-AB57</f>
        <v>-5521.4271065087542</v>
      </c>
      <c r="AC62" s="436">
        <f ca="1">SUM(G62:AB62)</f>
        <v>-329316.49333341385</v>
      </c>
    </row>
    <row r="63" spans="1:29" ht="13.5" thickBot="1">
      <c r="A63" s="48"/>
      <c r="B63" s="49" t="s">
        <v>1531</v>
      </c>
      <c r="C63" s="49" t="s">
        <v>323</v>
      </c>
      <c r="D63" s="567"/>
      <c r="E63" s="568"/>
      <c r="F63" s="49"/>
      <c r="G63" s="51">
        <f t="shared" ref="G63:AB63" ca="1" si="26">SUM(G60:G62)</f>
        <v>0</v>
      </c>
      <c r="H63" s="51">
        <f t="shared" ca="1" si="26"/>
        <v>95090.137450023249</v>
      </c>
      <c r="I63" s="51">
        <f t="shared" ca="1" si="26"/>
        <v>90150.390050022048</v>
      </c>
      <c r="J63" s="51">
        <f t="shared" ca="1" si="26"/>
        <v>308108.13598846254</v>
      </c>
      <c r="K63" s="51">
        <f t="shared" ca="1" si="26"/>
        <v>290308.91781893588</v>
      </c>
      <c r="L63" s="51">
        <f t="shared" ca="1" si="26"/>
        <v>272509.69964940922</v>
      </c>
      <c r="M63" s="51">
        <f t="shared" ca="1" si="26"/>
        <v>254710.48147988252</v>
      </c>
      <c r="N63" s="51">
        <f t="shared" ca="1" si="26"/>
        <v>236911.26331035583</v>
      </c>
      <c r="O63" s="51">
        <f t="shared" ca="1" si="26"/>
        <v>219112.04514082914</v>
      </c>
      <c r="P63" s="51">
        <f t="shared" ca="1" si="26"/>
        <v>201312.82697130245</v>
      </c>
      <c r="Q63" s="51">
        <f t="shared" ca="1" si="26"/>
        <v>183513.60880177576</v>
      </c>
      <c r="R63" s="51">
        <f t="shared" ca="1" si="26"/>
        <v>165714.39063224907</v>
      </c>
      <c r="S63" s="51">
        <f t="shared" ca="1" si="26"/>
        <v>147915.17246272237</v>
      </c>
      <c r="T63" s="51">
        <f t="shared" ca="1" si="26"/>
        <v>130115.95429319568</v>
      </c>
      <c r="U63" s="51">
        <f t="shared" ca="1" si="26"/>
        <v>112316.73612366899</v>
      </c>
      <c r="V63" s="51">
        <f t="shared" ca="1" si="26"/>
        <v>94517.517954142299</v>
      </c>
      <c r="W63" s="51">
        <f t="shared" ca="1" si="26"/>
        <v>76718.299784615607</v>
      </c>
      <c r="X63" s="51">
        <f t="shared" ca="1" si="26"/>
        <v>58919.081615088915</v>
      </c>
      <c r="Y63" s="51">
        <f t="shared" ca="1" si="26"/>
        <v>41119.863445562223</v>
      </c>
      <c r="Z63" s="51">
        <f t="shared" ca="1" si="26"/>
        <v>23320.645276035535</v>
      </c>
      <c r="AA63" s="51">
        <f t="shared" ca="1" si="26"/>
        <v>5521.4271065088469</v>
      </c>
      <c r="AB63" s="51">
        <f t="shared" ca="1" si="26"/>
        <v>9.276845958083868E-11</v>
      </c>
      <c r="AC63" s="484"/>
    </row>
  </sheetData>
  <printOptions horizontalCentered="1"/>
  <pageMargins left="0.25" right="0.25" top="0.5" bottom="0.5" header="0.25" footer="0.25"/>
  <pageSetup scale="44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BA90"/>
  <sheetViews>
    <sheetView topLeftCell="A58" zoomScale="80" workbookViewId="0">
      <selection activeCell="G90" sqref="G90"/>
    </sheetView>
  </sheetViews>
  <sheetFormatPr defaultRowHeight="12.75"/>
  <cols>
    <col min="1" max="2" width="1.7109375" style="67" customWidth="1"/>
    <col min="3" max="4" width="10.7109375" style="67" customWidth="1"/>
    <col min="5" max="5" width="16.42578125" style="67" customWidth="1"/>
    <col min="6" max="6" width="13" style="1611" customWidth="1"/>
    <col min="7" max="28" width="11.7109375" style="1611" customWidth="1"/>
    <col min="29" max="29" width="15.140625" style="1611" customWidth="1"/>
    <col min="30" max="31" width="9.140625" style="1611"/>
    <col min="32" max="32" width="9.42578125" style="1611" customWidth="1"/>
    <col min="33" max="16384" width="9.140625" style="1611"/>
  </cols>
  <sheetData>
    <row r="1" spans="1:32" s="1607" customFormat="1" ht="15.75">
      <c r="A1" s="1605" t="s">
        <v>1546</v>
      </c>
      <c r="B1" s="1606"/>
      <c r="C1" s="1606"/>
      <c r="D1" s="1606"/>
      <c r="E1" s="1606"/>
    </row>
    <row r="2" spans="1:32" s="1607" customFormat="1" ht="15.75">
      <c r="A2" s="1605" t="s">
        <v>1547</v>
      </c>
      <c r="B2" s="1606"/>
      <c r="C2" s="1606"/>
      <c r="D2" s="1606"/>
      <c r="E2" s="1606"/>
    </row>
    <row r="3" spans="1:32" s="1607" customFormat="1" ht="15">
      <c r="A3" s="1608"/>
      <c r="B3" s="1606"/>
      <c r="C3" s="1606"/>
      <c r="D3" s="1606"/>
      <c r="E3" s="1606"/>
    </row>
    <row r="4" spans="1:32" s="1607" customFormat="1" ht="15">
      <c r="A4" s="1609"/>
      <c r="B4" s="1606"/>
      <c r="C4" s="1606"/>
      <c r="D4" s="1606"/>
      <c r="E4" s="1606"/>
    </row>
    <row r="5" spans="1:32" ht="13.5" thickBot="1">
      <c r="C5" s="1610"/>
    </row>
    <row r="6" spans="1:32" s="1617" customFormat="1">
      <c r="A6" s="1612"/>
      <c r="B6" s="1613"/>
      <c r="C6" s="1613"/>
      <c r="D6" s="1613"/>
      <c r="E6" s="1613"/>
      <c r="F6" s="1614" t="s">
        <v>649</v>
      </c>
      <c r="G6" s="1615">
        <v>0</v>
      </c>
      <c r="H6" s="1613">
        <f ca="1">IF(H$7&lt;YEAR(Startops1),0,G$6+1)</f>
        <v>0</v>
      </c>
      <c r="I6" s="1613">
        <f t="shared" ref="I6:AC6" ca="1" si="0">IF(I$7&lt;YEAR(Startops1),0,H$6+1)</f>
        <v>1</v>
      </c>
      <c r="J6" s="1613">
        <f t="shared" ca="1" si="0"/>
        <v>2</v>
      </c>
      <c r="K6" s="1613">
        <f t="shared" ca="1" si="0"/>
        <v>3</v>
      </c>
      <c r="L6" s="1613">
        <f t="shared" ca="1" si="0"/>
        <v>4</v>
      </c>
      <c r="M6" s="1613">
        <f t="shared" ca="1" si="0"/>
        <v>5</v>
      </c>
      <c r="N6" s="1613">
        <f t="shared" ca="1" si="0"/>
        <v>6</v>
      </c>
      <c r="O6" s="1613">
        <f t="shared" ca="1" si="0"/>
        <v>7</v>
      </c>
      <c r="P6" s="1613">
        <f t="shared" ca="1" si="0"/>
        <v>8</v>
      </c>
      <c r="Q6" s="1613">
        <f t="shared" ca="1" si="0"/>
        <v>9</v>
      </c>
      <c r="R6" s="1613">
        <f t="shared" ca="1" si="0"/>
        <v>10</v>
      </c>
      <c r="S6" s="1613">
        <f t="shared" ca="1" si="0"/>
        <v>11</v>
      </c>
      <c r="T6" s="1613">
        <f t="shared" ca="1" si="0"/>
        <v>12</v>
      </c>
      <c r="U6" s="1613">
        <f t="shared" ca="1" si="0"/>
        <v>13</v>
      </c>
      <c r="V6" s="1613">
        <f t="shared" ca="1" si="0"/>
        <v>14</v>
      </c>
      <c r="W6" s="1613">
        <f t="shared" ca="1" si="0"/>
        <v>15</v>
      </c>
      <c r="X6" s="1613">
        <f t="shared" ca="1" si="0"/>
        <v>16</v>
      </c>
      <c r="Y6" s="1613">
        <f t="shared" ca="1" si="0"/>
        <v>17</v>
      </c>
      <c r="Z6" s="1613">
        <f t="shared" ca="1" si="0"/>
        <v>18</v>
      </c>
      <c r="AA6" s="1613">
        <f t="shared" ca="1" si="0"/>
        <v>19</v>
      </c>
      <c r="AB6" s="1613">
        <f t="shared" ca="1" si="0"/>
        <v>20</v>
      </c>
      <c r="AC6" s="1613">
        <f t="shared" ca="1" si="0"/>
        <v>21</v>
      </c>
      <c r="AD6" s="1616"/>
      <c r="AF6" s="1618" t="s">
        <v>1898</v>
      </c>
    </row>
    <row r="7" spans="1:32" s="1617" customFormat="1" ht="13.5" thickBot="1">
      <c r="A7" s="1619" t="s">
        <v>648</v>
      </c>
      <c r="B7" s="1620"/>
      <c r="C7" s="1620"/>
      <c r="D7" s="1620"/>
      <c r="E7" s="1620"/>
      <c r="F7" s="664" t="s">
        <v>650</v>
      </c>
      <c r="G7" s="1621">
        <f>YEAR(Startconst)</f>
        <v>1997</v>
      </c>
      <c r="H7" s="1622">
        <f>G7+1</f>
        <v>1998</v>
      </c>
      <c r="I7" s="1622">
        <f t="shared" ref="I7:AC7" si="1">H7+1</f>
        <v>1999</v>
      </c>
      <c r="J7" s="1622">
        <f t="shared" si="1"/>
        <v>2000</v>
      </c>
      <c r="K7" s="1622">
        <f t="shared" si="1"/>
        <v>2001</v>
      </c>
      <c r="L7" s="1622">
        <f t="shared" si="1"/>
        <v>2002</v>
      </c>
      <c r="M7" s="1622">
        <f t="shared" si="1"/>
        <v>2003</v>
      </c>
      <c r="N7" s="1622">
        <f t="shared" si="1"/>
        <v>2004</v>
      </c>
      <c r="O7" s="1622">
        <f t="shared" si="1"/>
        <v>2005</v>
      </c>
      <c r="P7" s="1622">
        <f t="shared" si="1"/>
        <v>2006</v>
      </c>
      <c r="Q7" s="1622">
        <f t="shared" si="1"/>
        <v>2007</v>
      </c>
      <c r="R7" s="1622">
        <f t="shared" si="1"/>
        <v>2008</v>
      </c>
      <c r="S7" s="1622">
        <f t="shared" si="1"/>
        <v>2009</v>
      </c>
      <c r="T7" s="1622">
        <f t="shared" si="1"/>
        <v>2010</v>
      </c>
      <c r="U7" s="1622">
        <f t="shared" si="1"/>
        <v>2011</v>
      </c>
      <c r="V7" s="1622">
        <f t="shared" si="1"/>
        <v>2012</v>
      </c>
      <c r="W7" s="1622">
        <f t="shared" si="1"/>
        <v>2013</v>
      </c>
      <c r="X7" s="1622">
        <f t="shared" si="1"/>
        <v>2014</v>
      </c>
      <c r="Y7" s="1622">
        <f t="shared" si="1"/>
        <v>2015</v>
      </c>
      <c r="Z7" s="1622">
        <f t="shared" si="1"/>
        <v>2016</v>
      </c>
      <c r="AA7" s="1622">
        <f t="shared" si="1"/>
        <v>2017</v>
      </c>
      <c r="AB7" s="1622">
        <f t="shared" si="1"/>
        <v>2018</v>
      </c>
      <c r="AC7" s="1622">
        <f t="shared" si="1"/>
        <v>2019</v>
      </c>
      <c r="AD7" s="1623" t="s">
        <v>441</v>
      </c>
      <c r="AF7" s="1624">
        <v>1</v>
      </c>
    </row>
    <row r="8" spans="1:32">
      <c r="A8" s="1625" t="s">
        <v>1099</v>
      </c>
    </row>
    <row r="9" spans="1:32">
      <c r="A9" s="1626"/>
      <c r="B9" s="67" t="s">
        <v>1100</v>
      </c>
      <c r="G9" s="1611">
        <f ca="1">BS_IS!G9/BS_IS!G$18</f>
        <v>0</v>
      </c>
      <c r="H9" s="1611">
        <f ca="1">BS_IS!H9/BS_IS!H$18</f>
        <v>0</v>
      </c>
      <c r="I9" s="1611">
        <f ca="1">BS_IS!I9/BS_IS!I$18</f>
        <v>-2.9046362270720978E-16</v>
      </c>
      <c r="J9" s="1611">
        <f ca="1">BS_IS!J9/BS_IS!J$18</f>
        <v>-1.3719798102664095E-16</v>
      </c>
      <c r="K9" s="1611">
        <f ca="1">BS_IS!K9/BS_IS!K$18</f>
        <v>1.2903717305904698E-16</v>
      </c>
      <c r="L9" s="1611">
        <f ca="1">BS_IS!L9/BS_IS!L$18</f>
        <v>1.3560082091199743E-16</v>
      </c>
      <c r="M9" s="1611">
        <f ca="1">BS_IS!M9/BS_IS!M$18</f>
        <v>1.4166402679512543E-16</v>
      </c>
      <c r="N9" s="1611">
        <f ca="1">BS_IS!N9/BS_IS!N$18</f>
        <v>6.99237124786177E-2</v>
      </c>
      <c r="O9" s="1611">
        <f ca="1">BS_IS!O9/BS_IS!O$18</f>
        <v>7.28204869658923E-2</v>
      </c>
      <c r="P9" s="1611">
        <f ca="1">BS_IS!P9/BS_IS!P$18</f>
        <v>7.6014173766794549E-2</v>
      </c>
      <c r="Q9" s="1611">
        <f ca="1">BS_IS!Q9/BS_IS!Q$18</f>
        <v>8.030880971205881E-2</v>
      </c>
      <c r="R9" s="1611">
        <f ca="1">BS_IS!R9/BS_IS!R$18</f>
        <v>8.657073320494639E-2</v>
      </c>
      <c r="S9" s="1611">
        <f ca="1">BS_IS!S9/BS_IS!S$18</f>
        <v>9.4591250435852842E-2</v>
      </c>
      <c r="T9" s="1611">
        <f ca="1">BS_IS!T9/BS_IS!T$18</f>
        <v>0.10474173035598003</v>
      </c>
      <c r="U9" s="1611">
        <f ca="1">BS_IS!U9/BS_IS!U$18</f>
        <v>0.11782880515939624</v>
      </c>
      <c r="V9" s="1611">
        <f ca="1">BS_IS!V9/BS_IS!V$18</f>
        <v>0.1329296328799893</v>
      </c>
      <c r="W9" s="1611">
        <f ca="1">BS_IS!W9/BS_IS!W$18</f>
        <v>0.14504612755005161</v>
      </c>
      <c r="X9" s="1611">
        <f ca="1">BS_IS!X9/BS_IS!X$18</f>
        <v>0.15972676261010807</v>
      </c>
      <c r="Y9" s="1611">
        <f ca="1">BS_IS!Y9/BS_IS!Y$18</f>
        <v>0.18838239542314442</v>
      </c>
      <c r="Z9" s="1611">
        <f ca="1">BS_IS!Z9/BS_IS!Z$18</f>
        <v>0.21076463232887271</v>
      </c>
      <c r="AA9" s="1611">
        <f ca="1">BS_IS!AA9/BS_IS!AA$18</f>
        <v>0.24308804735438705</v>
      </c>
      <c r="AB9" s="1611">
        <f ca="1">BS_IS!AB9/BS_IS!AB$18</f>
        <v>0.28115946348771914</v>
      </c>
      <c r="AC9" s="1611">
        <f ca="1">BS_IS!AC9/BS_IS!AC$18</f>
        <v>0.79361194812318403</v>
      </c>
    </row>
    <row r="10" spans="1:32">
      <c r="A10" s="1626"/>
      <c r="B10" s="67" t="s">
        <v>60</v>
      </c>
      <c r="G10" s="1611">
        <f ca="1">BS_IS!G10/BS_IS!G$18</f>
        <v>0</v>
      </c>
      <c r="H10" s="1611">
        <f ca="1">BS_IS!H10/BS_IS!H$18</f>
        <v>0</v>
      </c>
      <c r="I10" s="1611">
        <f ca="1">BS_IS!I10/BS_IS!I$18</f>
        <v>7.9165448365080271E-3</v>
      </c>
      <c r="J10" s="1611">
        <f ca="1">BS_IS!J10/BS_IS!J$18</f>
        <v>5.0161495895892057E-3</v>
      </c>
      <c r="K10" s="1611">
        <f ca="1">BS_IS!K10/BS_IS!K$18</f>
        <v>1.4020232470993909E-2</v>
      </c>
      <c r="L10" s="1611">
        <f ca="1">BS_IS!L10/BS_IS!L$18</f>
        <v>1.4733390288811227E-2</v>
      </c>
      <c r="M10" s="1611">
        <f ca="1">BS_IS!M10/BS_IS!M$18</f>
        <v>1.5392173753960863E-2</v>
      </c>
      <c r="N10" s="1611">
        <f ca="1">BS_IS!N10/BS_IS!N$18</f>
        <v>1.5629285712217309E-2</v>
      </c>
      <c r="O10" s="1611">
        <f ca="1">BS_IS!O10/BS_IS!O$18</f>
        <v>1.6276770156343774E-2</v>
      </c>
      <c r="P10" s="1611">
        <f ca="1">BS_IS!P10/BS_IS!P$18</f>
        <v>1.6990620175418525E-2</v>
      </c>
      <c r="Q10" s="1611">
        <f ca="1">BS_IS!Q10/BS_IS!Q$18</f>
        <v>1.7950553363162512E-2</v>
      </c>
      <c r="R10" s="1611">
        <f ca="1">BS_IS!R10/BS_IS!R$18</f>
        <v>1.9350212905099931E-2</v>
      </c>
      <c r="S10" s="1611">
        <f ca="1">BS_IS!S10/BS_IS!S$18</f>
        <v>2.1142951747448038E-2</v>
      </c>
      <c r="T10" s="1611">
        <f ca="1">BS_IS!T10/BS_IS!T$18</f>
        <v>2.3411777946232965E-2</v>
      </c>
      <c r="U10" s="1611">
        <f ca="1">BS_IS!U10/BS_IS!U$18</f>
        <v>2.6336989208468217E-2</v>
      </c>
      <c r="V10" s="1611">
        <f ca="1">BS_IS!V10/BS_IS!V$18</f>
        <v>2.9712312722766639E-2</v>
      </c>
      <c r="W10" s="1611">
        <f ca="1">BS_IS!W10/BS_IS!W$18</f>
        <v>3.2420580781143418E-2</v>
      </c>
      <c r="X10" s="1611">
        <f ca="1">BS_IS!X10/BS_IS!X$18</f>
        <v>3.5701983207546056E-2</v>
      </c>
      <c r="Y10" s="1611">
        <f ca="1">BS_IS!Y10/BS_IS!Y$18</f>
        <v>4.2107064640204458E-2</v>
      </c>
      <c r="Z10" s="1611">
        <f ca="1">BS_IS!Z10/BS_IS!Z$18</f>
        <v>4.7109922227108691E-2</v>
      </c>
      <c r="AA10" s="1611">
        <f ca="1">BS_IS!AA10/BS_IS!AA$18</f>
        <v>5.4334823061469174E-2</v>
      </c>
      <c r="AB10" s="1611">
        <f ca="1">BS_IS!AB10/BS_IS!AB$18</f>
        <v>6.2844511965623476E-2</v>
      </c>
      <c r="AC10" s="1611">
        <f ca="1">BS_IS!AC10/BS_IS!AC$18</f>
        <v>0</v>
      </c>
    </row>
    <row r="11" spans="1:32">
      <c r="A11" s="1626"/>
      <c r="B11" s="67" t="s">
        <v>51</v>
      </c>
      <c r="G11" s="1611">
        <f ca="1">BS_IS!G11/BS_IS!G$18</f>
        <v>0</v>
      </c>
      <c r="H11" s="1611">
        <f ca="1">BS_IS!H11/BS_IS!H$18</f>
        <v>0</v>
      </c>
      <c r="I11" s="1611">
        <f ca="1">BS_IS!I11/BS_IS!I$18</f>
        <v>-1.1488589552797222E-2</v>
      </c>
      <c r="J11" s="1611">
        <f ca="1">BS_IS!J11/BS_IS!J$18</f>
        <v>5.0767935313165129E-3</v>
      </c>
      <c r="K11" s="1611">
        <f ca="1">BS_IS!K11/BS_IS!K$18</f>
        <v>5.0327190588056105E-2</v>
      </c>
      <c r="L11" s="1611">
        <f ca="1">BS_IS!L11/BS_IS!L$18</f>
        <v>5.8483981306088617E-2</v>
      </c>
      <c r="M11" s="1611">
        <f ca="1">BS_IS!M11/BS_IS!M$18</f>
        <v>7.6348605370940209E-2</v>
      </c>
      <c r="N11" s="1611">
        <f ca="1">BS_IS!N11/BS_IS!N$18</f>
        <v>5.2092840180451842E-2</v>
      </c>
      <c r="O11" s="1611">
        <f ca="1">BS_IS!O11/BS_IS!O$18</f>
        <v>7.6530195708689699E-2</v>
      </c>
      <c r="P11" s="1611">
        <f ca="1">BS_IS!P11/BS_IS!P$18</f>
        <v>0.10345784122499616</v>
      </c>
      <c r="Q11" s="1611">
        <f ca="1">BS_IS!Q11/BS_IS!Q$18</f>
        <v>0.11625560624754594</v>
      </c>
      <c r="R11" s="1611">
        <f ca="1">BS_IS!R11/BS_IS!R$18</f>
        <v>0.11482634269241934</v>
      </c>
      <c r="S11" s="1611">
        <f ca="1">BS_IS!S11/BS_IS!S$18</f>
        <v>0.1202505774485005</v>
      </c>
      <c r="T11" s="1611">
        <f ca="1">BS_IS!T11/BS_IS!T$18</f>
        <v>0.12157971721168655</v>
      </c>
      <c r="U11" s="1611">
        <f ca="1">BS_IS!U11/BS_IS!U$18</f>
        <v>9.4162453781022379E-2</v>
      </c>
      <c r="V11" s="1611">
        <f ca="1">BS_IS!V11/BS_IS!V$18</f>
        <v>7.2846875898011879E-2</v>
      </c>
      <c r="W11" s="1611">
        <f ca="1">BS_IS!W11/BS_IS!W$18</f>
        <v>0.12987668081420753</v>
      </c>
      <c r="X11" s="1611">
        <f ca="1">BS_IS!X11/BS_IS!X$18</f>
        <v>0.1691519227990293</v>
      </c>
      <c r="Y11" s="1611">
        <f ca="1">BS_IS!Y11/BS_IS!Y$18</f>
        <v>0.18146241464254767</v>
      </c>
      <c r="Z11" s="1611">
        <f ca="1">BS_IS!Z11/BS_IS!Z$18</f>
        <v>0.26475029591641791</v>
      </c>
      <c r="AA11" s="1611">
        <f ca="1">BS_IS!AA11/BS_IS!AA$18</f>
        <v>0.36021926998236398</v>
      </c>
      <c r="AB11" s="1611">
        <f ca="1">BS_IS!AB11/BS_IS!AB$18</f>
        <v>0.50086023152807135</v>
      </c>
      <c r="AC11" s="1611">
        <f ca="1">BS_IS!AC11/BS_IS!AC$18</f>
        <v>0</v>
      </c>
    </row>
    <row r="12" spans="1:32">
      <c r="A12" s="1626"/>
      <c r="B12" s="67" t="s">
        <v>61</v>
      </c>
      <c r="G12" s="1611">
        <f ca="1">BS_IS!G12/BS_IS!G$18</f>
        <v>0</v>
      </c>
      <c r="H12" s="1611">
        <f ca="1">BS_IS!H12/BS_IS!H$18</f>
        <v>0</v>
      </c>
      <c r="I12" s="1611">
        <f ca="1">BS_IS!I12/BS_IS!I$18</f>
        <v>0</v>
      </c>
      <c r="J12" s="1611">
        <f ca="1">BS_IS!J12/BS_IS!J$18</f>
        <v>0</v>
      </c>
      <c r="K12" s="1611">
        <f ca="1">BS_IS!K12/BS_IS!K$18</f>
        <v>0</v>
      </c>
      <c r="L12" s="1611">
        <f ca="1">BS_IS!L12/BS_IS!L$18</f>
        <v>0</v>
      </c>
      <c r="M12" s="1611">
        <f ca="1">BS_IS!M12/BS_IS!M$18</f>
        <v>0</v>
      </c>
      <c r="N12" s="1611">
        <f ca="1">BS_IS!N12/BS_IS!N$18</f>
        <v>0</v>
      </c>
      <c r="O12" s="1611">
        <f ca="1">BS_IS!O12/BS_IS!O$18</f>
        <v>0</v>
      </c>
      <c r="P12" s="1611">
        <f ca="1">BS_IS!P12/BS_IS!P$18</f>
        <v>0</v>
      </c>
      <c r="Q12" s="1611">
        <f ca="1">BS_IS!Q12/BS_IS!Q$18</f>
        <v>0</v>
      </c>
      <c r="R12" s="1611">
        <f ca="1">BS_IS!R12/BS_IS!R$18</f>
        <v>0</v>
      </c>
      <c r="S12" s="1611">
        <f ca="1">BS_IS!S12/BS_IS!S$18</f>
        <v>0</v>
      </c>
      <c r="T12" s="1611">
        <f ca="1">BS_IS!T12/BS_IS!T$18</f>
        <v>0</v>
      </c>
      <c r="U12" s="1611">
        <f ca="1">BS_IS!U12/BS_IS!U$18</f>
        <v>0</v>
      </c>
      <c r="V12" s="1611">
        <f ca="1">BS_IS!V12/BS_IS!V$18</f>
        <v>0</v>
      </c>
      <c r="W12" s="1611">
        <f ca="1">BS_IS!W12/BS_IS!W$18</f>
        <v>0</v>
      </c>
      <c r="X12" s="1611">
        <f ca="1">BS_IS!X12/BS_IS!X$18</f>
        <v>0</v>
      </c>
      <c r="Y12" s="1611">
        <f ca="1">BS_IS!Y12/BS_IS!Y$18</f>
        <v>0</v>
      </c>
      <c r="Z12" s="1611">
        <f ca="1">BS_IS!Z12/BS_IS!Z$18</f>
        <v>0</v>
      </c>
      <c r="AA12" s="1611">
        <f ca="1">BS_IS!AA12/BS_IS!AA$18</f>
        <v>0</v>
      </c>
      <c r="AB12" s="1611">
        <f ca="1">BS_IS!AB12/BS_IS!AB$18</f>
        <v>0</v>
      </c>
      <c r="AC12" s="1611">
        <f ca="1">BS_IS!AC12/BS_IS!AC$18</f>
        <v>0</v>
      </c>
    </row>
    <row r="13" spans="1:32">
      <c r="A13" s="1626"/>
      <c r="C13" s="67" t="s">
        <v>62</v>
      </c>
      <c r="G13" s="1611">
        <f ca="1">BS_IS!G13/BS_IS!G$18</f>
        <v>1</v>
      </c>
      <c r="H13" s="1611">
        <f ca="1">BS_IS!H13/BS_IS!H$18</f>
        <v>1</v>
      </c>
      <c r="I13" s="1611">
        <f ca="1">BS_IS!I13/BS_IS!I$18</f>
        <v>1.0229202039713718</v>
      </c>
      <c r="J13" s="1611">
        <f ca="1">BS_IS!J13/BS_IS!J$18</f>
        <v>1.0163106938327355</v>
      </c>
      <c r="K13" s="1611">
        <f ca="1">BS_IS!K13/BS_IS!K$18</f>
        <v>0.99410049686079416</v>
      </c>
      <c r="L13" s="1611">
        <f ca="1">BS_IS!L13/BS_IS!L$18</f>
        <v>1.044666744068113</v>
      </c>
      <c r="M13" s="1611">
        <f ca="1">BS_IS!M13/BS_IS!M$18</f>
        <v>1.0913775936480916</v>
      </c>
      <c r="N13" s="1611">
        <f ca="1">BS_IS!N13/BS_IS!N$18</f>
        <v>1.1081899479369401</v>
      </c>
      <c r="O13" s="1611">
        <f ca="1">BS_IS!O13/BS_IS!O$18</f>
        <v>1.1540996437246109</v>
      </c>
      <c r="P13" s="1611">
        <f ca="1">BS_IS!P13/BS_IS!P$18</f>
        <v>1.2047149712603311</v>
      </c>
      <c r="Q13" s="1611">
        <f ca="1">BS_IS!Q13/BS_IS!Q$18</f>
        <v>1.2727787541443689</v>
      </c>
      <c r="R13" s="1611">
        <f ca="1">BS_IS!R13/BS_IS!R$18</f>
        <v>1.3720212060048906</v>
      </c>
      <c r="S13" s="1611">
        <f ca="1">BS_IS!S13/BS_IS!S$18</f>
        <v>1.4991348310897077</v>
      </c>
      <c r="T13" s="1611">
        <f ca="1">BS_IS!T13/BS_IS!T$18</f>
        <v>1.660005291416889</v>
      </c>
      <c r="U13" s="1611">
        <f ca="1">BS_IS!U13/BS_IS!U$18</f>
        <v>1.8674165433506245</v>
      </c>
      <c r="V13" s="1611">
        <f ca="1">BS_IS!V13/BS_IS!V$18</f>
        <v>2.1067428733221072</v>
      </c>
      <c r="W13" s="1611">
        <f ca="1">BS_IS!W13/BS_IS!W$18</f>
        <v>2.2987718306189695</v>
      </c>
      <c r="X13" s="1611">
        <f ca="1">BS_IS!X13/BS_IS!X$18</f>
        <v>2.5314387132285012</v>
      </c>
      <c r="Y13" s="1611">
        <f ca="1">BS_IS!Y13/BS_IS!Y$18</f>
        <v>2.9855891453138956</v>
      </c>
      <c r="Z13" s="1611">
        <f ca="1">BS_IS!Z13/BS_IS!Z$18</f>
        <v>3.3403153043240623</v>
      </c>
      <c r="AA13" s="1611">
        <f ca="1">BS_IS!AA13/BS_IS!AA$18</f>
        <v>3.8525947921333374</v>
      </c>
      <c r="AB13" s="1611">
        <f ca="1">BS_IS!AB13/BS_IS!AB$18</f>
        <v>4.4559718035525266</v>
      </c>
      <c r="AC13" s="1611">
        <f ca="1">BS_IS!AC13/BS_IS!AC$18</f>
        <v>12.577604253231049</v>
      </c>
    </row>
    <row r="14" spans="1:32" s="1628" customFormat="1">
      <c r="A14" s="1627"/>
      <c r="B14" s="385"/>
      <c r="C14" s="67" t="s">
        <v>1102</v>
      </c>
      <c r="D14" s="385"/>
      <c r="E14" s="385"/>
      <c r="G14" s="1628">
        <f ca="1">BS_IS!G14/BS_IS!G$18</f>
        <v>0</v>
      </c>
      <c r="H14" s="1628">
        <f ca="1">BS_IS!H14/BS_IS!H$18</f>
        <v>0</v>
      </c>
      <c r="I14" s="1628">
        <f ca="1">BS_IS!I14/BS_IS!I$18</f>
        <v>-2.1512698538678626E-2</v>
      </c>
      <c r="J14" s="1628">
        <f ca="1">BS_IS!J14/BS_IS!J$18</f>
        <v>-3.1805811467006895E-2</v>
      </c>
      <c r="K14" s="1628">
        <f ca="1">BS_IS!K14/BS_IS!K$18</f>
        <v>-6.4021204528228501E-2</v>
      </c>
      <c r="L14" s="1628">
        <f ca="1">BS_IS!L14/BS_IS!L$18</f>
        <v>-0.12374089282386466</v>
      </c>
      <c r="M14" s="1628">
        <f ca="1">BS_IS!M14/BS_IS!M$18</f>
        <v>-0.18826163599083312</v>
      </c>
      <c r="N14" s="1628">
        <f ca="1">BS_IS!N14/BS_IS!N$18</f>
        <v>-0.25105827999948221</v>
      </c>
      <c r="O14" s="1628">
        <f ca="1">BS_IS!O14/BS_IS!O$18</f>
        <v>-0.32383693257637869</v>
      </c>
      <c r="P14" s="1628">
        <f ca="1">BS_IS!P14/BS_IS!P$18</f>
        <v>-0.40315304980086059</v>
      </c>
      <c r="Q14" s="1628">
        <f ca="1">BS_IS!Q14/BS_IS!Q$18</f>
        <v>-0.49472270686829056</v>
      </c>
      <c r="R14" s="1628">
        <f ca="1">BS_IS!R14/BS_IS!R$18</f>
        <v>-0.60745408603496998</v>
      </c>
      <c r="S14" s="1628">
        <f ca="1">BS_IS!S14/BS_IS!S$18</f>
        <v>-0.74475957191284325</v>
      </c>
      <c r="T14" s="1628">
        <f ca="1">BS_IS!T14/BS_IS!T$18</f>
        <v>-0.91440045855974594</v>
      </c>
      <c r="U14" s="1628">
        <f ca="1">BS_IS!U14/BS_IS!U$18</f>
        <v>-1.1295832112224244</v>
      </c>
      <c r="V14" s="1628">
        <f ca="1">BS_IS!V14/BS_IS!V$18</f>
        <v>-1.3882168104814818</v>
      </c>
      <c r="W14" s="1628">
        <f ca="1">BS_IS!W14/BS_IS!W$18</f>
        <v>-1.6389985967499117</v>
      </c>
      <c r="X14" s="1628">
        <f ca="1">BS_IS!X14/BS_IS!X$18</f>
        <v>-1.9417091429842888</v>
      </c>
      <c r="Y14" s="1628">
        <f ca="1">BS_IS!Y14/BS_IS!Y$18</f>
        <v>-2.4514277106973323</v>
      </c>
      <c r="Z14" s="1628">
        <f ca="1">BS_IS!Z14/BS_IS!Z$18</f>
        <v>-2.9232292732279395</v>
      </c>
      <c r="AA14" s="1628">
        <f ca="1">BS_IS!AA14/BS_IS!AA$18</f>
        <v>-3.5797721477822697</v>
      </c>
      <c r="AB14" s="1628">
        <f ca="1">BS_IS!AB14/BS_IS!AB$18</f>
        <v>-4.3812615354668525</v>
      </c>
      <c r="AC14" s="1628">
        <f ca="1">BS_IS!AC14/BS_IS!AC$18</f>
        <v>-12.577604253231051</v>
      </c>
    </row>
    <row r="15" spans="1:32">
      <c r="A15" s="1626"/>
      <c r="C15" s="67" t="s">
        <v>1104</v>
      </c>
      <c r="G15" s="1611">
        <f ca="1">BS_IS!G15/BS_IS!G$18</f>
        <v>1</v>
      </c>
      <c r="H15" s="1611">
        <f ca="1">BS_IS!H15/BS_IS!H$18</f>
        <v>1</v>
      </c>
      <c r="I15" s="1611">
        <f ca="1">BS_IS!I15/BS_IS!I$18</f>
        <v>1.0014075054326932</v>
      </c>
      <c r="J15" s="1611">
        <f ca="1">BS_IS!J15/BS_IS!J$18</f>
        <v>0.98450488236572842</v>
      </c>
      <c r="K15" s="1611">
        <f ca="1">BS_IS!K15/BS_IS!K$18</f>
        <v>0.9300792923325657</v>
      </c>
      <c r="L15" s="1611">
        <f ca="1">BS_IS!L15/BS_IS!L$18</f>
        <v>0.92092585124424842</v>
      </c>
      <c r="M15" s="1611">
        <f ca="1">BS_IS!M15/BS_IS!M$18</f>
        <v>0.90311595765725849</v>
      </c>
      <c r="N15" s="1611">
        <f ca="1">BS_IS!N15/BS_IS!N$18</f>
        <v>0.85713166793745799</v>
      </c>
      <c r="O15" s="1611">
        <f ca="1">BS_IS!O15/BS_IS!O$18</f>
        <v>0.83026271114823225</v>
      </c>
      <c r="P15" s="1611">
        <f ca="1">BS_IS!P15/BS_IS!P$18</f>
        <v>0.80156192145947047</v>
      </c>
      <c r="Q15" s="1611">
        <f ca="1">BS_IS!Q15/BS_IS!Q$18</f>
        <v>0.77805604727607836</v>
      </c>
      <c r="R15" s="1611">
        <f ca="1">BS_IS!R15/BS_IS!R$18</f>
        <v>0.76456711996992077</v>
      </c>
      <c r="S15" s="1611">
        <f ca="1">BS_IS!S15/BS_IS!S$18</f>
        <v>0.75437525917686454</v>
      </c>
      <c r="T15" s="1611">
        <f ca="1">BS_IS!T15/BS_IS!T$18</f>
        <v>0.74560483285714307</v>
      </c>
      <c r="U15" s="1611">
        <f ca="1">BS_IS!U15/BS_IS!U$18</f>
        <v>0.73783333212820013</v>
      </c>
      <c r="V15" s="1611">
        <f ca="1">BS_IS!V15/BS_IS!V$18</f>
        <v>0.71852606284062526</v>
      </c>
      <c r="W15" s="1611">
        <f ca="1">BS_IS!W15/BS_IS!W$18</f>
        <v>0.65977323386905795</v>
      </c>
      <c r="X15" s="1611">
        <f ca="1">BS_IS!X15/BS_IS!X$18</f>
        <v>0.58972957024421235</v>
      </c>
      <c r="Y15" s="1611">
        <f ca="1">BS_IS!Y15/BS_IS!Y$18</f>
        <v>0.53416143461656351</v>
      </c>
      <c r="Z15" s="1611">
        <f ca="1">BS_IS!Z15/BS_IS!Z$18</f>
        <v>0.41708603109612297</v>
      </c>
      <c r="AA15" s="1611">
        <f ca="1">BS_IS!AA15/BS_IS!AA$18</f>
        <v>0.27282264435106779</v>
      </c>
      <c r="AB15" s="1611">
        <f ca="1">BS_IS!AB15/BS_IS!AB$18</f>
        <v>7.4710268085673798E-2</v>
      </c>
      <c r="AC15" s="1611">
        <f ca="1">BS_IS!AC15/BS_IS!AC$18</f>
        <v>0</v>
      </c>
    </row>
    <row r="16" spans="1:32">
      <c r="A16" s="1626"/>
      <c r="B16" s="67" t="s">
        <v>651</v>
      </c>
      <c r="G16" s="1611">
        <f ca="1">BS_IS!G16/BS_IS!G$18</f>
        <v>0</v>
      </c>
      <c r="H16" s="1611">
        <f ca="1">BS_IS!H16/BS_IS!H$18</f>
        <v>0</v>
      </c>
      <c r="I16" s="1611">
        <f ca="1">BS_IS!I16/BS_IS!I$18</f>
        <v>9.4068431198596246E-4</v>
      </c>
      <c r="J16" s="1611">
        <f ca="1">BS_IS!J16/BS_IS!J$18</f>
        <v>5.960445273727221E-4</v>
      </c>
      <c r="K16" s="1611">
        <f ca="1">BS_IS!K16/BS_IS!K$18</f>
        <v>1.6300861911624197E-3</v>
      </c>
      <c r="L16" s="1611">
        <f ca="1">BS_IS!L16/BS_IS!L$18</f>
        <v>1.7130026986703101E-3</v>
      </c>
      <c r="M16" s="1611">
        <f ca="1">BS_IS!M16/BS_IS!M$18</f>
        <v>1.7895972795182568E-3</v>
      </c>
      <c r="N16" s="1611">
        <f ca="1">BS_IS!N16/BS_IS!N$18</f>
        <v>1.8171655049177256E-3</v>
      </c>
      <c r="O16" s="1611">
        <f ca="1">BS_IS!O16/BS_IS!O$18</f>
        <v>1.8924463858550873E-3</v>
      </c>
      <c r="P16" s="1611">
        <f ca="1">BS_IS!P16/BS_IS!P$18</f>
        <v>1.9754433733203238E-3</v>
      </c>
      <c r="Q16" s="1611">
        <f ca="1">BS_IS!Q16/BS_IS!Q$18</f>
        <v>2.0870516392329837E-3</v>
      </c>
      <c r="R16" s="1611">
        <f ca="1">BS_IS!R16/BS_IS!R$18</f>
        <v>2.2497854381454607E-3</v>
      </c>
      <c r="S16" s="1611">
        <f ca="1">BS_IS!S16/BS_IS!S$18</f>
        <v>2.4582212709547994E-3</v>
      </c>
      <c r="T16" s="1611">
        <f ca="1">BS_IS!T16/BS_IS!T$18</f>
        <v>2.7220102105774712E-3</v>
      </c>
      <c r="U16" s="1611">
        <f ca="1">BS_IS!U16/BS_IS!U$18</f>
        <v>3.0621148767923565E-3</v>
      </c>
      <c r="V16" s="1611">
        <f ca="1">BS_IS!V16/BS_IS!V$18</f>
        <v>3.4545526101000422E-3</v>
      </c>
      <c r="W16" s="1611">
        <f ca="1">BS_IS!W16/BS_IS!W$18</f>
        <v>3.7694340054734588E-3</v>
      </c>
      <c r="X16" s="1611">
        <f ca="1">BS_IS!X16/BS_IS!X$18</f>
        <v>4.1509518436399903E-3</v>
      </c>
      <c r="Y16" s="1611">
        <f ca="1">BS_IS!Y16/BS_IS!Y$18</f>
        <v>4.8956495380789401E-3</v>
      </c>
      <c r="Z16" s="1611">
        <f ca="1">BS_IS!Z16/BS_IS!Z$18</f>
        <v>5.4773152904576249E-3</v>
      </c>
      <c r="AA16" s="1611">
        <f ca="1">BS_IS!AA16/BS_IS!AA$18</f>
        <v>6.3173306829965451E-3</v>
      </c>
      <c r="AB16" s="1611">
        <f ca="1">BS_IS!AB16/BS_IS!AB$18</f>
        <v>7.3067241472239341E-3</v>
      </c>
      <c r="AC16" s="1611">
        <f ca="1">BS_IS!AC16/BS_IS!AC$18</f>
        <v>0</v>
      </c>
    </row>
    <row r="17" spans="1:29" s="1628" customFormat="1">
      <c r="A17" s="1627"/>
      <c r="B17" s="67" t="s">
        <v>653</v>
      </c>
      <c r="C17" s="385"/>
      <c r="D17" s="385"/>
      <c r="E17" s="385"/>
      <c r="G17" s="1628">
        <f ca="1">BS_IS!G17/BS_IS!G$18</f>
        <v>0</v>
      </c>
      <c r="H17" s="1628">
        <f ca="1">BS_IS!H17/BS_IS!H$18</f>
        <v>0</v>
      </c>
      <c r="I17" s="1628">
        <f ca="1">BS_IS!I17/BS_IS!I$18</f>
        <v>1.2238549716104103E-3</v>
      </c>
      <c r="J17" s="1628">
        <f ca="1">BS_IS!J17/BS_IS!J$18</f>
        <v>4.8061299859933774E-3</v>
      </c>
      <c r="K17" s="1628">
        <f ca="1">BS_IS!K17/BS_IS!K$18</f>
        <v>3.9431984172217964E-3</v>
      </c>
      <c r="L17" s="1628">
        <f ca="1">BS_IS!L17/BS_IS!L$18</f>
        <v>4.1437744621814305E-3</v>
      </c>
      <c r="M17" s="1628">
        <f ca="1">BS_IS!M17/BS_IS!M$18</f>
        <v>3.3536659383221704E-3</v>
      </c>
      <c r="N17" s="1628">
        <f ca="1">BS_IS!N17/BS_IS!N$18</f>
        <v>3.4053281863375869E-3</v>
      </c>
      <c r="O17" s="1628">
        <f ca="1">BS_IS!O17/BS_IS!O$18</f>
        <v>2.2173896349868866E-3</v>
      </c>
      <c r="P17" s="1628">
        <f ca="1">BS_IS!P17/BS_IS!P$18</f>
        <v>0</v>
      </c>
      <c r="Q17" s="1628">
        <f ca="1">BS_IS!Q17/BS_IS!Q$18</f>
        <v>5.3419317619214013E-3</v>
      </c>
      <c r="R17" s="1628">
        <f ca="1">BS_IS!R17/BS_IS!R$18</f>
        <v>1.2435805789468141E-2</v>
      </c>
      <c r="S17" s="1628">
        <f ca="1">BS_IS!S17/BS_IS!S$18</f>
        <v>7.1817399203792489E-3</v>
      </c>
      <c r="T17" s="1628">
        <f ca="1">BS_IS!T17/BS_IS!T$18</f>
        <v>1.9399314183798069E-3</v>
      </c>
      <c r="U17" s="1628">
        <f ca="1">BS_IS!U17/BS_IS!U$18</f>
        <v>2.0776304846120679E-2</v>
      </c>
      <c r="V17" s="1628">
        <f ca="1">BS_IS!V17/BS_IS!V$18</f>
        <v>4.253056304850697E-2</v>
      </c>
      <c r="W17" s="1628">
        <f ca="1">BS_IS!W17/BS_IS!W$18</f>
        <v>2.911394298006607E-2</v>
      </c>
      <c r="X17" s="1628">
        <f ca="1">BS_IS!X17/BS_IS!X$18</f>
        <v>4.1538809295464212E-2</v>
      </c>
      <c r="Y17" s="1628">
        <f ca="1">BS_IS!Y17/BS_IS!Y$18</f>
        <v>4.8991041139461067E-2</v>
      </c>
      <c r="Z17" s="1628">
        <f ca="1">BS_IS!Z17/BS_IS!Z$18</f>
        <v>5.4811803141020056E-2</v>
      </c>
      <c r="AA17" s="1628">
        <f ca="1">BS_IS!AA17/BS_IS!AA$18</f>
        <v>6.3217884567715363E-2</v>
      </c>
      <c r="AB17" s="1628">
        <f ca="1">BS_IS!AB17/BS_IS!AB$18</f>
        <v>7.3118800785688373E-2</v>
      </c>
      <c r="AC17" s="1628">
        <f ca="1">BS_IS!AC17/BS_IS!AC$18</f>
        <v>0.20638805187681594</v>
      </c>
    </row>
    <row r="18" spans="1:29" s="1631" customFormat="1" ht="13.5" thickBot="1">
      <c r="A18" s="1629" t="s">
        <v>654</v>
      </c>
      <c r="B18" s="1630"/>
      <c r="C18" s="1630"/>
      <c r="D18" s="1630"/>
      <c r="E18" s="1630"/>
      <c r="G18" s="1631">
        <f ca="1">BS_IS!G18/BS_IS!G$18</f>
        <v>1</v>
      </c>
      <c r="H18" s="1631">
        <f ca="1">BS_IS!H18/BS_IS!H$18</f>
        <v>1</v>
      </c>
      <c r="I18" s="1631">
        <f ca="1">BS_IS!I18/BS_IS!I$18</f>
        <v>1</v>
      </c>
      <c r="J18" s="1631">
        <f ca="1">BS_IS!J18/BS_IS!J$18</f>
        <v>1</v>
      </c>
      <c r="K18" s="1631">
        <f ca="1">BS_IS!K18/BS_IS!K$18</f>
        <v>1</v>
      </c>
      <c r="L18" s="1631">
        <f ca="1">BS_IS!L18/BS_IS!L$18</f>
        <v>1</v>
      </c>
      <c r="M18" s="1631">
        <f ca="1">BS_IS!M18/BS_IS!M$18</f>
        <v>1</v>
      </c>
      <c r="N18" s="1631">
        <f ca="1">BS_IS!N18/BS_IS!N$18</f>
        <v>1</v>
      </c>
      <c r="O18" s="1631">
        <f ca="1">BS_IS!O18/BS_IS!O$18</f>
        <v>1</v>
      </c>
      <c r="P18" s="1631">
        <f ca="1">BS_IS!P18/BS_IS!P$18</f>
        <v>1</v>
      </c>
      <c r="Q18" s="1631">
        <f ca="1">BS_IS!Q18/BS_IS!Q$18</f>
        <v>1</v>
      </c>
      <c r="R18" s="1631">
        <f ca="1">BS_IS!R18/BS_IS!R$18</f>
        <v>1</v>
      </c>
      <c r="S18" s="1631">
        <f ca="1">BS_IS!S18/BS_IS!S$18</f>
        <v>1</v>
      </c>
      <c r="T18" s="1631">
        <f ca="1">BS_IS!T18/BS_IS!T$18</f>
        <v>1</v>
      </c>
      <c r="U18" s="1631">
        <f ca="1">BS_IS!U18/BS_IS!U$18</f>
        <v>1</v>
      </c>
      <c r="V18" s="1631">
        <f ca="1">BS_IS!V18/BS_IS!V$18</f>
        <v>1</v>
      </c>
      <c r="W18" s="1631">
        <f ca="1">BS_IS!W18/BS_IS!W$18</f>
        <v>1</v>
      </c>
      <c r="X18" s="1631">
        <f ca="1">BS_IS!X18/BS_IS!X$18</f>
        <v>1</v>
      </c>
      <c r="Y18" s="1631">
        <f ca="1">BS_IS!Y18/BS_IS!Y$18</f>
        <v>1</v>
      </c>
      <c r="Z18" s="1631">
        <f ca="1">BS_IS!Z18/BS_IS!Z$18</f>
        <v>1</v>
      </c>
      <c r="AA18" s="1631">
        <f ca="1">BS_IS!AA18/BS_IS!AA$18</f>
        <v>1</v>
      </c>
      <c r="AB18" s="1631">
        <f ca="1">BS_IS!AB18/BS_IS!AB$18</f>
        <v>1</v>
      </c>
      <c r="AC18" s="1631">
        <f ca="1">BS_IS!AC18/BS_IS!AC$18</f>
        <v>1</v>
      </c>
    </row>
    <row r="19" spans="1:29" ht="13.5" thickTop="1">
      <c r="A19" s="1626"/>
    </row>
    <row r="20" spans="1:29">
      <c r="A20" s="1632" t="s">
        <v>1204</v>
      </c>
    </row>
    <row r="21" spans="1:29">
      <c r="A21" s="1626"/>
      <c r="B21" s="67" t="s">
        <v>655</v>
      </c>
      <c r="G21" s="1611">
        <f ca="1">BS_IS!G21/BS_IS!G$34</f>
        <v>0</v>
      </c>
      <c r="H21" s="1611">
        <f ca="1">BS_IS!H21/BS_IS!H$34</f>
        <v>0</v>
      </c>
      <c r="I21" s="1611">
        <f ca="1">BS_IS!I21/BS_IS!I$34</f>
        <v>0</v>
      </c>
      <c r="J21" s="1611">
        <f ca="1">BS_IS!J21/BS_IS!J$34</f>
        <v>0</v>
      </c>
      <c r="K21" s="1611">
        <f ca="1">BS_IS!K21/BS_IS!K$34</f>
        <v>0</v>
      </c>
      <c r="L21" s="1611">
        <f ca="1">BS_IS!L21/BS_IS!L$34</f>
        <v>0</v>
      </c>
      <c r="M21" s="1611">
        <f ca="1">BS_IS!M21/BS_IS!M$34</f>
        <v>0</v>
      </c>
      <c r="N21" s="1611">
        <f ca="1">BS_IS!N21/BS_IS!N$34</f>
        <v>0</v>
      </c>
      <c r="O21" s="1611">
        <f ca="1">BS_IS!O21/BS_IS!O$34</f>
        <v>0</v>
      </c>
      <c r="P21" s="1611">
        <f ca="1">BS_IS!P21/BS_IS!P$34</f>
        <v>8.1504916162500687E-4</v>
      </c>
      <c r="Q21" s="1611">
        <f ca="1">BS_IS!Q21/BS_IS!Q$34</f>
        <v>0</v>
      </c>
      <c r="R21" s="1611">
        <f ca="1">BS_IS!R21/BS_IS!R$34</f>
        <v>0</v>
      </c>
      <c r="S21" s="1611">
        <f ca="1">BS_IS!S21/BS_IS!S$34</f>
        <v>0</v>
      </c>
      <c r="T21" s="1611">
        <f ca="1">BS_IS!T21/BS_IS!T$34</f>
        <v>0</v>
      </c>
      <c r="U21" s="1611">
        <f ca="1">BS_IS!U21/BS_IS!U$34</f>
        <v>0</v>
      </c>
      <c r="V21" s="1611">
        <f ca="1">BS_IS!V21/BS_IS!V$34</f>
        <v>0</v>
      </c>
      <c r="W21" s="1611">
        <f ca="1">BS_IS!W21/BS_IS!W$34</f>
        <v>0</v>
      </c>
      <c r="X21" s="1611">
        <f ca="1">BS_IS!X21/BS_IS!X$34</f>
        <v>0</v>
      </c>
      <c r="Y21" s="1611">
        <f ca="1">BS_IS!Y21/BS_IS!Y$34</f>
        <v>0</v>
      </c>
      <c r="Z21" s="1611">
        <f ca="1">BS_IS!Z21/BS_IS!Z$34</f>
        <v>0</v>
      </c>
      <c r="AA21" s="1611">
        <f ca="1">BS_IS!AA21/BS_IS!AA$34</f>
        <v>0</v>
      </c>
      <c r="AB21" s="1611">
        <f ca="1">BS_IS!AB21/BS_IS!AB$34</f>
        <v>0</v>
      </c>
      <c r="AC21" s="1611">
        <f ca="1">BS_IS!AC21/BS_IS!AC$34</f>
        <v>0</v>
      </c>
    </row>
    <row r="22" spans="1:29">
      <c r="A22" s="1626"/>
      <c r="B22" s="67" t="s">
        <v>93</v>
      </c>
      <c r="G22" s="1611">
        <f ca="1">BS_IS!G22/BS_IS!G$34</f>
        <v>0</v>
      </c>
      <c r="H22" s="1611">
        <f ca="1">BS_IS!H22/BS_IS!H$34</f>
        <v>0.22206021799188372</v>
      </c>
      <c r="I22" s="1611">
        <f ca="1">BS_IS!I22/BS_IS!I$34</f>
        <v>0.49869393516187743</v>
      </c>
      <c r="J22" s="1611">
        <f ca="1">BS_IS!J22/BS_IS!J$34</f>
        <v>0</v>
      </c>
      <c r="K22" s="1611">
        <f ca="1">BS_IS!K22/BS_IS!K$34</f>
        <v>0</v>
      </c>
      <c r="L22" s="1611">
        <f ca="1">BS_IS!L22/BS_IS!L$34</f>
        <v>0</v>
      </c>
      <c r="M22" s="1611">
        <f ca="1">BS_IS!M22/BS_IS!M$34</f>
        <v>0</v>
      </c>
      <c r="N22" s="1611">
        <f ca="1">BS_IS!N22/BS_IS!N$34</f>
        <v>0</v>
      </c>
      <c r="O22" s="1611">
        <f ca="1">BS_IS!O22/BS_IS!O$34</f>
        <v>0</v>
      </c>
      <c r="P22" s="1611">
        <f ca="1">BS_IS!P22/BS_IS!P$34</f>
        <v>0</v>
      </c>
      <c r="Q22" s="1611">
        <f ca="1">BS_IS!Q22/BS_IS!Q$34</f>
        <v>0</v>
      </c>
      <c r="R22" s="1611">
        <f ca="1">BS_IS!R22/BS_IS!R$34</f>
        <v>0</v>
      </c>
      <c r="S22" s="1611">
        <f ca="1">BS_IS!S22/BS_IS!S$34</f>
        <v>0</v>
      </c>
      <c r="T22" s="1611">
        <f ca="1">BS_IS!T22/BS_IS!T$34</f>
        <v>0</v>
      </c>
      <c r="U22" s="1611">
        <f ca="1">BS_IS!U22/BS_IS!U$34</f>
        <v>0</v>
      </c>
      <c r="V22" s="1611">
        <f ca="1">BS_IS!V22/BS_IS!V$34</f>
        <v>0</v>
      </c>
      <c r="W22" s="1611">
        <f ca="1">BS_IS!W22/BS_IS!W$34</f>
        <v>0</v>
      </c>
      <c r="X22" s="1611">
        <f ca="1">BS_IS!X22/BS_IS!X$34</f>
        <v>0</v>
      </c>
      <c r="Y22" s="1611">
        <f ca="1">BS_IS!Y22/BS_IS!Y$34</f>
        <v>0</v>
      </c>
      <c r="Z22" s="1611">
        <f ca="1">BS_IS!Z22/BS_IS!Z$34</f>
        <v>0</v>
      </c>
      <c r="AA22" s="1611">
        <f ca="1">BS_IS!AA22/BS_IS!AA$34</f>
        <v>0</v>
      </c>
      <c r="AB22" s="1611">
        <f ca="1">BS_IS!AB22/BS_IS!AB$34</f>
        <v>0</v>
      </c>
      <c r="AC22" s="1611">
        <f ca="1">BS_IS!AC22/BS_IS!AC$34</f>
        <v>0</v>
      </c>
    </row>
    <row r="23" spans="1:29">
      <c r="A23" s="1626"/>
      <c r="B23" s="67" t="s">
        <v>738</v>
      </c>
      <c r="G23" s="1611">
        <f ca="1">BS_IS!G23/BS_IS!G$34</f>
        <v>0</v>
      </c>
      <c r="H23" s="1611">
        <f ca="1">BS_IS!H23/BS_IS!H$34</f>
        <v>0</v>
      </c>
      <c r="I23" s="1611">
        <f ca="1">BS_IS!I23/BS_IS!I$34</f>
        <v>0</v>
      </c>
      <c r="J23" s="1611">
        <f ca="1">BS_IS!J23/BS_IS!J$34</f>
        <v>0.55646130220250123</v>
      </c>
      <c r="K23" s="1611">
        <f ca="1">BS_IS!K23/BS_IS!K$34</f>
        <v>0.60781422248537897</v>
      </c>
      <c r="L23" s="1611">
        <f ca="1">BS_IS!L23/BS_IS!L$34</f>
        <v>0.60017367203845984</v>
      </c>
      <c r="M23" s="1611">
        <f ca="1">BS_IS!M23/BS_IS!M$34</f>
        <v>0.58497088584728862</v>
      </c>
      <c r="N23" s="1611">
        <f ca="1">BS_IS!N23/BS_IS!N$34</f>
        <v>0.54511263781854014</v>
      </c>
      <c r="O23" s="1611">
        <f ca="1">BS_IS!O23/BS_IS!O$34</f>
        <v>0.51371459570722922</v>
      </c>
      <c r="P23" s="1611">
        <f ca="1">BS_IS!P23/BS_IS!P$34</f>
        <v>0.47756911530258916</v>
      </c>
      <c r="Q23" s="1611">
        <f ca="1">BS_IS!Q23/BS_IS!Q$34</f>
        <v>0.44066813062385091</v>
      </c>
      <c r="R23" s="1611">
        <f ca="1">BS_IS!R23/BS_IS!R$34</f>
        <v>0.40920366993384422</v>
      </c>
      <c r="S23" s="1611">
        <f ca="1">BS_IS!S23/BS_IS!S$34</f>
        <v>0.37841002404712581</v>
      </c>
      <c r="T23" s="1611">
        <f ca="1">BS_IS!T23/BS_IS!T$34</f>
        <v>0.34150389442773665</v>
      </c>
      <c r="U23" s="1611">
        <f ca="1">BS_IS!U23/BS_IS!U$34</f>
        <v>0.29246660643862543</v>
      </c>
      <c r="V23" s="1611">
        <f ca="1">BS_IS!V23/BS_IS!V$34</f>
        <v>0.2464133910275107</v>
      </c>
      <c r="W23" s="1611">
        <f ca="1">BS_IS!W23/BS_IS!W$34</f>
        <v>0.17772420613155193</v>
      </c>
      <c r="X23" s="1611">
        <f ca="1">BS_IS!X23/BS_IS!X$34</f>
        <v>9.4498745015154206E-2</v>
      </c>
      <c r="Y23" s="1611">
        <f ca="1">BS_IS!Y23/BS_IS!Y$34</f>
        <v>-1.0389323738779716E-15</v>
      </c>
      <c r="Z23" s="1611">
        <f ca="1">BS_IS!Z23/BS_IS!Z$34</f>
        <v>-1.1623708218759136E-15</v>
      </c>
      <c r="AA23" s="1611">
        <f ca="1">BS_IS!AA23/BS_IS!AA$34</f>
        <v>-1.3406350499576799E-15</v>
      </c>
      <c r="AB23" s="1611">
        <f ca="1">BS_IS!AB23/BS_IS!AB$34</f>
        <v>-1.5505996098171812E-15</v>
      </c>
      <c r="AC23" s="1611">
        <f ca="1">BS_IS!AC23/BS_IS!AC$34</f>
        <v>-4.3767844832290918E-15</v>
      </c>
    </row>
    <row r="24" spans="1:29">
      <c r="A24" s="1626"/>
      <c r="B24" s="67" t="s">
        <v>105</v>
      </c>
      <c r="G24" s="1628">
        <f ca="1">BS_IS!G24/BS_IS!G$34</f>
        <v>0</v>
      </c>
      <c r="H24" s="1628">
        <f ca="1">BS_IS!H24/BS_IS!H$34</f>
        <v>0</v>
      </c>
      <c r="I24" s="1628">
        <f ca="1">BS_IS!I24/BS_IS!I$34</f>
        <v>0</v>
      </c>
      <c r="J24" s="1628">
        <f ca="1">BS_IS!J24/BS_IS!J$34</f>
        <v>0.13749039875728988</v>
      </c>
      <c r="K24" s="1628">
        <f ca="1">BS_IS!K24/BS_IS!K$34</f>
        <v>0.15017867278299174</v>
      </c>
      <c r="L24" s="1628">
        <f ca="1">BS_IS!L24/BS_IS!L$34</f>
        <v>0.15074868711498152</v>
      </c>
      <c r="M24" s="1628">
        <f ca="1">BS_IS!M24/BS_IS!M$34</f>
        <v>0.14911283748388734</v>
      </c>
      <c r="N24" s="1628">
        <f ca="1">BS_IS!N24/BS_IS!N$34</f>
        <v>0.14176283179500948</v>
      </c>
      <c r="O24" s="1628">
        <f ca="1">BS_IS!O24/BS_IS!O$34</f>
        <v>0.13624051335213916</v>
      </c>
      <c r="P24" s="1628">
        <f ca="1">BS_IS!P24/BS_IS!P$34</f>
        <v>0.12872402960076934</v>
      </c>
      <c r="Q24" s="1628">
        <f ca="1">BS_IS!Q24/BS_IS!Q$34</f>
        <v>0.11982961158333498</v>
      </c>
      <c r="R24" s="1628">
        <f ca="1">BS_IS!R24/BS_IS!R$34</f>
        <v>0.10940622725973617</v>
      </c>
      <c r="S24" s="1628">
        <f ca="1">BS_IS!S24/BS_IS!S$34</f>
        <v>9.5045158849624334E-2</v>
      </c>
      <c r="T24" s="1628">
        <f ca="1">BS_IS!T24/BS_IS!T$34</f>
        <v>7.4477365765178619E-2</v>
      </c>
      <c r="U24" s="1628">
        <f ca="1">BS_IS!U24/BS_IS!U$34</f>
        <v>4.4526140215671452E-2</v>
      </c>
      <c r="V24" s="1628">
        <f ca="1">BS_IS!V24/BS_IS!V$34</f>
        <v>-8.1456596559899254E-17</v>
      </c>
      <c r="W24" s="1628">
        <f ca="1">BS_IS!W24/BS_IS!W$34</f>
        <v>-8.8881339987502663E-17</v>
      </c>
      <c r="X24" s="1628">
        <f ca="1">BS_IS!X24/BS_IS!X$34</f>
        <v>-9.7877336902725846E-17</v>
      </c>
      <c r="Y24" s="1628">
        <f ca="1">BS_IS!Y24/BS_IS!Y$34</f>
        <v>-1.1543693043088573E-16</v>
      </c>
      <c r="Z24" s="1628">
        <f ca="1">BS_IS!Z24/BS_IS!Z$34</f>
        <v>-1.2915231354176817E-16</v>
      </c>
      <c r="AA24" s="1628">
        <f ca="1">BS_IS!AA24/BS_IS!AA$34</f>
        <v>-1.4895944999529778E-16</v>
      </c>
      <c r="AB24" s="1628">
        <f ca="1">BS_IS!AB24/BS_IS!AB$34</f>
        <v>-1.7228884553524234E-16</v>
      </c>
      <c r="AC24" s="1628">
        <f ca="1">BS_IS!AC24/BS_IS!AC$34</f>
        <v>-4.8630938702545463E-16</v>
      </c>
    </row>
    <row r="25" spans="1:29">
      <c r="A25" s="1626"/>
      <c r="C25" s="67" t="s">
        <v>1205</v>
      </c>
      <c r="G25" s="1611">
        <f ca="1">BS_IS!G25/BS_IS!G$34</f>
        <v>0</v>
      </c>
      <c r="H25" s="1611">
        <f ca="1">BS_IS!H25/BS_IS!H$34</f>
        <v>0.22206021799188372</v>
      </c>
      <c r="I25" s="1611">
        <f ca="1">BS_IS!I25/BS_IS!I$34</f>
        <v>0.49869393516187743</v>
      </c>
      <c r="J25" s="1611">
        <f ca="1">BS_IS!J25/BS_IS!J$34</f>
        <v>0.69395170095979108</v>
      </c>
      <c r="K25" s="1611">
        <f ca="1">BS_IS!K25/BS_IS!K$34</f>
        <v>0.75799289526837066</v>
      </c>
      <c r="L25" s="1611">
        <f ca="1">BS_IS!L25/BS_IS!L$34</f>
        <v>0.7509223591534413</v>
      </c>
      <c r="M25" s="1611">
        <f ca="1">BS_IS!M25/BS_IS!M$34</f>
        <v>0.73408372333117589</v>
      </c>
      <c r="N25" s="1611">
        <f ca="1">BS_IS!N25/BS_IS!N$34</f>
        <v>0.68687546961354962</v>
      </c>
      <c r="O25" s="1611">
        <f ca="1">BS_IS!O25/BS_IS!O$34</f>
        <v>0.64995510905936837</v>
      </c>
      <c r="P25" s="1611">
        <f ca="1">BS_IS!P25/BS_IS!P$34</f>
        <v>0.60710819406498351</v>
      </c>
      <c r="Q25" s="1611">
        <f ca="1">BS_IS!Q25/BS_IS!Q$34</f>
        <v>0.56049774220718585</v>
      </c>
      <c r="R25" s="1611">
        <f ca="1">BS_IS!R25/BS_IS!R$34</f>
        <v>0.51860989719358042</v>
      </c>
      <c r="S25" s="1611">
        <f ca="1">BS_IS!S25/BS_IS!S$34</f>
        <v>0.47345518289675015</v>
      </c>
      <c r="T25" s="1611">
        <f ca="1">BS_IS!T25/BS_IS!T$34</f>
        <v>0.41598126019291531</v>
      </c>
      <c r="U25" s="1611">
        <f ca="1">BS_IS!U25/BS_IS!U$34</f>
        <v>0.3369927466542969</v>
      </c>
      <c r="V25" s="1611">
        <f ca="1">BS_IS!V25/BS_IS!V$34</f>
        <v>0.24641339102751059</v>
      </c>
      <c r="W25" s="1611">
        <f ca="1">BS_IS!W25/BS_IS!W$34</f>
        <v>0.17772420613155185</v>
      </c>
      <c r="X25" s="1611">
        <f ca="1">BS_IS!X25/BS_IS!X$34</f>
        <v>9.4498745015154109E-2</v>
      </c>
      <c r="Y25" s="1611">
        <f ca="1">BS_IS!Y25/BS_IS!Y$34</f>
        <v>-1.1543693043088575E-15</v>
      </c>
      <c r="Z25" s="1611">
        <f ca="1">BS_IS!Z25/BS_IS!Z$34</f>
        <v>-1.2915231354176819E-15</v>
      </c>
      <c r="AA25" s="1611">
        <f ca="1">BS_IS!AA25/BS_IS!AA$34</f>
        <v>-1.4895944999529778E-15</v>
      </c>
      <c r="AB25" s="1611">
        <f ca="1">BS_IS!AB25/BS_IS!AB$34</f>
        <v>-1.7228884553524236E-15</v>
      </c>
      <c r="AC25" s="1611">
        <f ca="1">BS_IS!AC25/BS_IS!AC$34</f>
        <v>-4.8630938702545465E-15</v>
      </c>
    </row>
    <row r="26" spans="1:29">
      <c r="A26" s="1626"/>
    </row>
    <row r="27" spans="1:29">
      <c r="A27" s="1632" t="s">
        <v>1206</v>
      </c>
    </row>
    <row r="28" spans="1:29">
      <c r="A28" s="1626"/>
      <c r="B28" s="67" t="s">
        <v>218</v>
      </c>
      <c r="G28" s="1611">
        <f ca="1">BS_IS!G28/BS_IS!G$34</f>
        <v>1</v>
      </c>
      <c r="H28" s="1611">
        <f ca="1">BS_IS!H28/BS_IS!H$34</f>
        <v>0.7779397820081162</v>
      </c>
      <c r="I28" s="1611">
        <f ca="1">BS_IS!I28/BS_IS!I$34</f>
        <v>0.53882380089466309</v>
      </c>
      <c r="J28" s="1611">
        <f ca="1">BS_IS!J28/BS_IS!J$34</f>
        <v>0.34141419565443515</v>
      </c>
      <c r="K28" s="1611">
        <f ca="1">BS_IS!K28/BS_IS!K$34</f>
        <v>0.28011392114759104</v>
      </c>
      <c r="L28" s="1611">
        <f ca="1">BS_IS!L28/BS_IS!L$34</f>
        <v>0.29436228922273938</v>
      </c>
      <c r="M28" s="1611">
        <f ca="1">BS_IS!M28/BS_IS!M$34</f>
        <v>0.30752429776946211</v>
      </c>
      <c r="N28" s="1611">
        <f ca="1">BS_IS!N28/BS_IS!N$34</f>
        <v>0.31226162010100034</v>
      </c>
      <c r="O28" s="1611">
        <f ca="1">BS_IS!O28/BS_IS!O$34</f>
        <v>0.32519788252757298</v>
      </c>
      <c r="P28" s="1611">
        <f ca="1">BS_IS!P28/BS_IS!P$34</f>
        <v>0.33946008027415109</v>
      </c>
      <c r="Q28" s="1611">
        <f ca="1">BS_IS!Q28/BS_IS!Q$34</f>
        <v>0.35863883853047646</v>
      </c>
      <c r="R28" s="1611">
        <f ca="1">BS_IS!R28/BS_IS!R$34</f>
        <v>0.38660300555658411</v>
      </c>
      <c r="S28" s="1611">
        <f ca="1">BS_IS!S28/BS_IS!S$34</f>
        <v>0.42242060756586958</v>
      </c>
      <c r="T28" s="1611">
        <f ca="1">BS_IS!T28/BS_IS!T$34</f>
        <v>0.46775008439579102</v>
      </c>
      <c r="U28" s="1611">
        <f ca="1">BS_IS!U28/BS_IS!U$34</f>
        <v>0.52619365147251607</v>
      </c>
      <c r="V28" s="1611">
        <f ca="1">BS_IS!V28/BS_IS!V$34</f>
        <v>0.59363012991093467</v>
      </c>
      <c r="W28" s="1611">
        <f ca="1">BS_IS!W28/BS_IS!W$34</f>
        <v>0.6477393315179828</v>
      </c>
      <c r="X28" s="1611">
        <f ca="1">BS_IS!X28/BS_IS!X$34</f>
        <v>0.71329933577786253</v>
      </c>
      <c r="Y28" s="1611">
        <f ca="1">BS_IS!Y28/BS_IS!Y$34</f>
        <v>0.8412681465007551</v>
      </c>
      <c r="Z28" s="1611">
        <f ca="1">BS_IS!Z28/BS_IS!Z$34</f>
        <v>0.94122155729547508</v>
      </c>
      <c r="AA28" s="1611">
        <f ca="1">BS_IS!AA28/BS_IS!AA$34</f>
        <v>1.0855697560006103</v>
      </c>
      <c r="AB28" s="1611">
        <f ca="1">BS_IS!AB28/BS_IS!AB$34</f>
        <v>1.2555870743025968</v>
      </c>
      <c r="AC28" s="1611">
        <f ca="1">BS_IS!AC28/BS_IS!AC$34</f>
        <v>3.5440702998748597</v>
      </c>
    </row>
    <row r="29" spans="1:29">
      <c r="A29" s="1626"/>
      <c r="B29" s="67" t="s">
        <v>50</v>
      </c>
      <c r="G29" s="1611">
        <f ca="1">BS_IS!G29/BS_IS!G$34</f>
        <v>0</v>
      </c>
      <c r="H29" s="1611">
        <f ca="1">BS_IS!H29/BS_IS!H$34</f>
        <v>0</v>
      </c>
      <c r="I29" s="1611">
        <f ca="1">BS_IS!I29/BS_IS!I$34</f>
        <v>0</v>
      </c>
      <c r="J29" s="1611">
        <f ca="1">BS_IS!J29/BS_IS!J$34</f>
        <v>0</v>
      </c>
      <c r="K29" s="1611">
        <f ca="1">BS_IS!K29/BS_IS!K$34</f>
        <v>0</v>
      </c>
      <c r="L29" s="1611">
        <f ca="1">BS_IS!L29/BS_IS!L$34</f>
        <v>0</v>
      </c>
      <c r="M29" s="1611">
        <f ca="1">BS_IS!M29/BS_IS!M$34</f>
        <v>0</v>
      </c>
      <c r="N29" s="1611">
        <f ca="1">BS_IS!N29/BS_IS!N$34</f>
        <v>0</v>
      </c>
      <c r="O29" s="1611">
        <f ca="1">BS_IS!O29/BS_IS!O$34</f>
        <v>0</v>
      </c>
      <c r="P29" s="1611">
        <f ca="1">BS_IS!P29/BS_IS!P$34</f>
        <v>0</v>
      </c>
      <c r="Q29" s="1611">
        <f ca="1">BS_IS!Q29/BS_IS!Q$34</f>
        <v>5.5460955027887961E-4</v>
      </c>
      <c r="R29" s="1611">
        <f ca="1">BS_IS!R29/BS_IS!R$34</f>
        <v>8.2163640448892974E-3</v>
      </c>
      <c r="S29" s="1611">
        <f ca="1">BS_IS!S29/BS_IS!S$34</f>
        <v>9.532959101527615E-3</v>
      </c>
      <c r="T29" s="1611">
        <f ca="1">BS_IS!T29/BS_IS!T$34</f>
        <v>1.1526925055313875E-2</v>
      </c>
      <c r="U29" s="1611">
        <f ca="1">BS_IS!U29/BS_IS!U$34</f>
        <v>1.8984796713791191E-2</v>
      </c>
      <c r="V29" s="1611">
        <f ca="1">BS_IS!V29/BS_IS!V$34</f>
        <v>2.7026846181565856E-2</v>
      </c>
      <c r="W29" s="1611">
        <f ca="1">BS_IS!W29/BS_IS!W$34</f>
        <v>2.9490334800414159E-2</v>
      </c>
      <c r="X29" s="1611">
        <f ca="1">BS_IS!X29/BS_IS!X$34</f>
        <v>3.2475156596875901E-2</v>
      </c>
      <c r="Y29" s="1611">
        <f ca="1">BS_IS!Y29/BS_IS!Y$34</f>
        <v>3.8301332171832722E-2</v>
      </c>
      <c r="Z29" s="1611">
        <f ca="1">BS_IS!Z29/BS_IS!Z$34</f>
        <v>4.2852020088022337E-2</v>
      </c>
      <c r="AA29" s="1611">
        <f ca="1">BS_IS!AA29/BS_IS!AA$34</f>
        <v>4.9423917918705429E-2</v>
      </c>
      <c r="AB29" s="1611">
        <f ca="1">BS_IS!AB29/BS_IS!AB$34</f>
        <v>8.5233767317913524E-3</v>
      </c>
      <c r="AC29" s="1611">
        <f ca="1">BS_IS!AC29/BS_IS!AC$34</f>
        <v>0</v>
      </c>
    </row>
    <row r="30" spans="1:29">
      <c r="A30" s="1626"/>
      <c r="B30" s="67" t="s">
        <v>1111</v>
      </c>
      <c r="G30" s="1611">
        <f ca="1">BS_IS!G30/BS_IS!G$34</f>
        <v>0</v>
      </c>
      <c r="H30" s="1611">
        <f ca="1">BS_IS!H30/BS_IS!H$34</f>
        <v>0</v>
      </c>
      <c r="I30" s="1611">
        <f ca="1">BS_IS!I30/BS_IS!I$34</f>
        <v>-3.751773605654047E-2</v>
      </c>
      <c r="J30" s="1611">
        <f ca="1">BS_IS!J30/BS_IS!J$34</f>
        <v>-3.5365896614226205E-2</v>
      </c>
      <c r="K30" s="1611">
        <f ca="1">BS_IS!K30/BS_IS!K$34</f>
        <v>-3.8106816415961677E-2</v>
      </c>
      <c r="L30" s="1611">
        <f ca="1">BS_IS!L30/BS_IS!L$34</f>
        <v>-4.5284648376180694E-2</v>
      </c>
      <c r="M30" s="1611">
        <f ca="1">BS_IS!M30/BS_IS!M$34</f>
        <v>-4.1608021100638021E-2</v>
      </c>
      <c r="N30" s="1611">
        <f ca="1">BS_IS!N30/BS_IS!N$34</f>
        <v>8.6291028545018491E-4</v>
      </c>
      <c r="O30" s="1611">
        <f ca="1">BS_IS!O30/BS_IS!O$34</f>
        <v>2.4847008413058685E-2</v>
      </c>
      <c r="P30" s="1611">
        <f ca="1">BS_IS!P30/BS_IS!P$34</f>
        <v>5.3431725660865431E-2</v>
      </c>
      <c r="Q30" s="1611">
        <f ca="1">BS_IS!Q30/BS_IS!Q$34</f>
        <v>8.918673653609005E-2</v>
      </c>
      <c r="R30" s="1611">
        <f ca="1">BS_IS!R30/BS_IS!R$34</f>
        <v>0.12090852186654763</v>
      </c>
      <c r="S30" s="1611">
        <f ca="1">BS_IS!S30/BS_IS!S$34</f>
        <v>0.16040451337955716</v>
      </c>
      <c r="T30" s="1611">
        <f ca="1">BS_IS!T30/BS_IS!T$34</f>
        <v>0.21367850338117345</v>
      </c>
      <c r="U30" s="1611">
        <f ca="1">BS_IS!U30/BS_IS!U$34</f>
        <v>0.28445211178407648</v>
      </c>
      <c r="V30" s="1611">
        <f ca="1">BS_IS!V30/BS_IS!V$34</f>
        <v>0.35616213668971675</v>
      </c>
      <c r="W30" s="1611">
        <f ca="1">BS_IS!W30/BS_IS!W$34</f>
        <v>0.43814025043635135</v>
      </c>
      <c r="X30" s="1611">
        <f ca="1">BS_IS!X30/BS_IS!X$34</f>
        <v>0.50101541100184477</v>
      </c>
      <c r="Y30" s="1611">
        <f ca="1">BS_IS!Y30/BS_IS!Y$34</f>
        <v>0.52294774551795831</v>
      </c>
      <c r="Z30" s="1611">
        <f ca="1">BS_IS!Z30/BS_IS!Z$34</f>
        <v>0.46626783892559831</v>
      </c>
      <c r="AA30" s="1611">
        <f ca="1">BS_IS!AA30/BS_IS!AA$34</f>
        <v>0.38441327934297781</v>
      </c>
      <c r="AB30" s="1611">
        <f ca="1">BS_IS!AB30/BS_IS!AB$34</f>
        <v>0.33664381023176904</v>
      </c>
      <c r="AC30" s="1611">
        <f ca="1">BS_IS!AC30/BS_IS!AC$34</f>
        <v>0.85575150938694777</v>
      </c>
    </row>
    <row r="31" spans="1:29">
      <c r="A31" s="1626"/>
      <c r="B31" s="67" t="s">
        <v>1905</v>
      </c>
      <c r="G31" s="1611">
        <f ca="1">BS_IS!G31/BS_IS!G$34</f>
        <v>0</v>
      </c>
      <c r="H31" s="1611">
        <f ca="1">BS_IS!H31/BS_IS!H$34</f>
        <v>0</v>
      </c>
      <c r="I31" s="1611">
        <f ca="1">BS_IS!I31/BS_IS!I$34</f>
        <v>0</v>
      </c>
      <c r="J31" s="1611">
        <f ca="1">BS_IS!J31/BS_IS!J$34</f>
        <v>0</v>
      </c>
      <c r="K31" s="1611">
        <f ca="1">BS_IS!K31/BS_IS!K$34</f>
        <v>0</v>
      </c>
      <c r="L31" s="1611">
        <f ca="1">BS_IS!L31/BS_IS!L$34</f>
        <v>1.4425619245957175E-18</v>
      </c>
      <c r="M31" s="1611">
        <f ca="1">BS_IS!M31/BS_IS!M$34</f>
        <v>-4.5211923445252786E-18</v>
      </c>
      <c r="N31" s="1611">
        <f ca="1">BS_IS!N31/BS_IS!N$34</f>
        <v>-4.5908399971311085E-18</v>
      </c>
      <c r="O31" s="1611">
        <f ca="1">BS_IS!O31/BS_IS!O$34</f>
        <v>1.593675890115304E-18</v>
      </c>
      <c r="P31" s="1611">
        <f ca="1">BS_IS!P31/BS_IS!P$34</f>
        <v>8.317848526329976E-18</v>
      </c>
      <c r="Q31" s="1611">
        <f ca="1">BS_IS!Q31/BS_IS!Q$34</f>
        <v>-8.8779268240313583E-3</v>
      </c>
      <c r="R31" s="1611">
        <f ca="1">BS_IS!R31/BS_IS!R$34</f>
        <v>-3.4337788661601414E-2</v>
      </c>
      <c r="S31" s="1611">
        <f ca="1">BS_IS!S31/BS_IS!S$34</f>
        <v>-6.5813262943704515E-2</v>
      </c>
      <c r="T31" s="1611">
        <f ca="1">BS_IS!T31/BS_IS!T$34</f>
        <v>-0.10893677302519367</v>
      </c>
      <c r="U31" s="1611">
        <f ca="1">BS_IS!U31/BS_IS!U$34</f>
        <v>-0.16662330662468047</v>
      </c>
      <c r="V31" s="1611">
        <f ca="1">BS_IS!V31/BS_IS!V$34</f>
        <v>-0.22323250380972787</v>
      </c>
      <c r="W31" s="1611">
        <f ca="1">BS_IS!W31/BS_IS!W$34</f>
        <v>-0.29309412288630021</v>
      </c>
      <c r="X31" s="1611">
        <f ca="1">BS_IS!X31/BS_IS!X$34</f>
        <v>-0.34128864839173723</v>
      </c>
      <c r="Y31" s="1611">
        <f ca="1">BS_IS!Y31/BS_IS!Y$34</f>
        <v>-0.40251722419054492</v>
      </c>
      <c r="Z31" s="1611">
        <f ca="1">BS_IS!Z31/BS_IS!Z$34</f>
        <v>-0.45034141630909413</v>
      </c>
      <c r="AA31" s="1611">
        <f ca="1">BS_IS!AA31/BS_IS!AA$34</f>
        <v>-0.51940695326229214</v>
      </c>
      <c r="AB31" s="1611">
        <f ca="1">BS_IS!AB31/BS_IS!AB$34</f>
        <v>-0.60075426126615517</v>
      </c>
      <c r="AC31" s="1611">
        <f ca="1">BS_IS!AC31/BS_IS!AC$34</f>
        <v>-3.3998218092618022</v>
      </c>
    </row>
    <row r="32" spans="1:29">
      <c r="A32" s="1626"/>
      <c r="B32" s="67" t="s">
        <v>1248</v>
      </c>
      <c r="G32" s="1611">
        <f ca="1">BS_IS!G32/BS_IS!G$34</f>
        <v>1</v>
      </c>
      <c r="H32" s="1611">
        <f ca="1">BS_IS!H32/BS_IS!H$34</f>
        <v>0.7779397820081162</v>
      </c>
      <c r="I32" s="1611">
        <f ca="1">BS_IS!I32/BS_IS!I$34</f>
        <v>0.50130606483812268</v>
      </c>
      <c r="J32" s="1611">
        <f ca="1">BS_IS!J32/BS_IS!J$34</f>
        <v>0.30604829904020892</v>
      </c>
      <c r="K32" s="1611">
        <f ca="1">BS_IS!K32/BS_IS!K$34</f>
        <v>0.24200710473162934</v>
      </c>
      <c r="L32" s="1611">
        <f ca="1">BS_IS!L32/BS_IS!L$34</f>
        <v>0.24907764084655873</v>
      </c>
      <c r="M32" s="1611">
        <f ca="1">BS_IS!M32/BS_IS!M$34</f>
        <v>0.26591627666882411</v>
      </c>
      <c r="N32" s="1611">
        <f ca="1">BS_IS!N32/BS_IS!N$34</f>
        <v>0.31312453038645049</v>
      </c>
      <c r="O32" s="1611">
        <f ca="1">BS_IS!O32/BS_IS!O$34</f>
        <v>0.35004489094063168</v>
      </c>
      <c r="P32" s="1611">
        <f ca="1">BS_IS!P32/BS_IS!P$34</f>
        <v>0.39289180593501655</v>
      </c>
      <c r="Q32" s="1611">
        <f ca="1">BS_IS!Q32/BS_IS!Q$34</f>
        <v>0.43950225779281404</v>
      </c>
      <c r="R32" s="1611">
        <f ca="1">BS_IS!R32/BS_IS!R$34</f>
        <v>0.48139010280641958</v>
      </c>
      <c r="S32" s="1611">
        <f ca="1">BS_IS!S32/BS_IS!S$34</f>
        <v>0.52654481710324985</v>
      </c>
      <c r="T32" s="1611">
        <f ca="1">BS_IS!T32/BS_IS!T$34</f>
        <v>0.58401873980708474</v>
      </c>
      <c r="U32" s="1611">
        <f ca="1">BS_IS!U32/BS_IS!U$34</f>
        <v>0.66300725334570321</v>
      </c>
      <c r="V32" s="1611">
        <f ca="1">BS_IS!V32/BS_IS!V$34</f>
        <v>0.75358660897248941</v>
      </c>
      <c r="W32" s="1611">
        <f ca="1">BS_IS!W32/BS_IS!W$34</f>
        <v>0.82227579386844818</v>
      </c>
      <c r="X32" s="1611">
        <f ca="1">BS_IS!X32/BS_IS!X$34</f>
        <v>0.9055012549848459</v>
      </c>
      <c r="Y32" s="1611">
        <f ca="1">BS_IS!Y32/BS_IS!Y$34</f>
        <v>1.0000000000000011</v>
      </c>
      <c r="Z32" s="1611">
        <f ca="1">BS_IS!Z32/BS_IS!Z$34</f>
        <v>1.0000000000000013</v>
      </c>
      <c r="AA32" s="1611">
        <f ca="1">BS_IS!AA32/BS_IS!AA$34</f>
        <v>1.0000000000000016</v>
      </c>
      <c r="AB32" s="1611">
        <f ca="1">BS_IS!AB32/BS_IS!AB$34</f>
        <v>1.0000000000000018</v>
      </c>
      <c r="AC32" s="1611">
        <f ca="1">BS_IS!AC32/BS_IS!AC$34</f>
        <v>1.0000000000000049</v>
      </c>
    </row>
    <row r="33" spans="1:30">
      <c r="A33" s="1626"/>
    </row>
    <row r="34" spans="1:30" s="1631" customFormat="1" ht="13.5" thickBot="1">
      <c r="A34" s="1629" t="s">
        <v>1207</v>
      </c>
      <c r="B34" s="1630"/>
      <c r="C34" s="1630"/>
      <c r="D34" s="1630"/>
      <c r="E34" s="1630"/>
      <c r="G34" s="1631">
        <f ca="1">BS_IS!G34/BS_IS!G$34</f>
        <v>1</v>
      </c>
      <c r="H34" s="1631">
        <f ca="1">BS_IS!H34/BS_IS!H$34</f>
        <v>1</v>
      </c>
      <c r="I34" s="1631">
        <f ca="1">BS_IS!I34/BS_IS!I$34</f>
        <v>1</v>
      </c>
      <c r="J34" s="1631">
        <f ca="1">BS_IS!J34/BS_IS!J$34</f>
        <v>1</v>
      </c>
      <c r="K34" s="1631">
        <f ca="1">BS_IS!K34/BS_IS!K$34</f>
        <v>1</v>
      </c>
      <c r="L34" s="1631">
        <f ca="1">BS_IS!L34/BS_IS!L$34</f>
        <v>1</v>
      </c>
      <c r="M34" s="1631">
        <f ca="1">BS_IS!M34/BS_IS!M$34</f>
        <v>1</v>
      </c>
      <c r="N34" s="1631">
        <f ca="1">BS_IS!N34/BS_IS!N$34</f>
        <v>1</v>
      </c>
      <c r="O34" s="1631">
        <f ca="1">BS_IS!O34/BS_IS!O$34</f>
        <v>1</v>
      </c>
      <c r="P34" s="1631">
        <f ca="1">BS_IS!P34/BS_IS!P$34</f>
        <v>1</v>
      </c>
      <c r="Q34" s="1631">
        <f ca="1">BS_IS!Q34/BS_IS!Q$34</f>
        <v>1</v>
      </c>
      <c r="R34" s="1631">
        <f ca="1">BS_IS!R34/BS_IS!R$34</f>
        <v>1</v>
      </c>
      <c r="S34" s="1631">
        <f ca="1">BS_IS!S34/BS_IS!S$34</f>
        <v>1</v>
      </c>
      <c r="T34" s="1631">
        <f ca="1">BS_IS!T34/BS_IS!T$34</f>
        <v>1</v>
      </c>
      <c r="U34" s="1631">
        <f ca="1">BS_IS!U34/BS_IS!U$34</f>
        <v>1</v>
      </c>
      <c r="V34" s="1631">
        <f ca="1">BS_IS!V34/BS_IS!V$34</f>
        <v>1</v>
      </c>
      <c r="W34" s="1631">
        <f ca="1">BS_IS!W34/BS_IS!W$34</f>
        <v>1</v>
      </c>
      <c r="X34" s="1631">
        <f ca="1">BS_IS!X34/BS_IS!X$34</f>
        <v>1</v>
      </c>
      <c r="Y34" s="1631">
        <f ca="1">BS_IS!Y34/BS_IS!Y$34</f>
        <v>1</v>
      </c>
      <c r="Z34" s="1631">
        <f ca="1">BS_IS!Z34/BS_IS!Z$34</f>
        <v>1</v>
      </c>
      <c r="AA34" s="1631">
        <f ca="1">BS_IS!AA34/BS_IS!AA$34</f>
        <v>1</v>
      </c>
      <c r="AB34" s="1631">
        <f ca="1">BS_IS!AB34/BS_IS!AB$34</f>
        <v>1</v>
      </c>
      <c r="AC34" s="1631">
        <f ca="1">BS_IS!AC34/BS_IS!AC$34</f>
        <v>1</v>
      </c>
    </row>
    <row r="35" spans="1:30" ht="13.5" thickTop="1">
      <c r="A35" s="1626"/>
    </row>
    <row r="36" spans="1:30" s="1606" customFormat="1">
      <c r="A36" s="1544"/>
      <c r="B36" s="1633"/>
      <c r="C36" s="1633"/>
      <c r="D36" s="1633"/>
      <c r="E36" s="1633"/>
    </row>
    <row r="37" spans="1:30">
      <c r="A37" s="1626"/>
    </row>
    <row r="38" spans="1:30" s="15" customFormat="1" ht="13.5" thickBot="1">
      <c r="A38" s="1634" t="s">
        <v>664</v>
      </c>
      <c r="B38" s="49"/>
      <c r="C38" s="49"/>
      <c r="D38" s="49"/>
      <c r="E38" s="49"/>
      <c r="F38" s="49"/>
      <c r="G38" s="83">
        <f>G$7</f>
        <v>1997</v>
      </c>
      <c r="H38" s="83">
        <f>H$7</f>
        <v>1998</v>
      </c>
      <c r="I38" s="83">
        <f t="shared" ref="I38:AD38" si="2">I$7</f>
        <v>1999</v>
      </c>
      <c r="J38" s="83">
        <f t="shared" si="2"/>
        <v>2000</v>
      </c>
      <c r="K38" s="83">
        <f t="shared" si="2"/>
        <v>2001</v>
      </c>
      <c r="L38" s="83">
        <f t="shared" si="2"/>
        <v>2002</v>
      </c>
      <c r="M38" s="83">
        <f t="shared" si="2"/>
        <v>2003</v>
      </c>
      <c r="N38" s="83">
        <f t="shared" si="2"/>
        <v>2004</v>
      </c>
      <c r="O38" s="83">
        <f t="shared" si="2"/>
        <v>2005</v>
      </c>
      <c r="P38" s="83">
        <f t="shared" si="2"/>
        <v>2006</v>
      </c>
      <c r="Q38" s="83">
        <f t="shared" si="2"/>
        <v>2007</v>
      </c>
      <c r="R38" s="83">
        <f t="shared" si="2"/>
        <v>2008</v>
      </c>
      <c r="S38" s="83">
        <f t="shared" si="2"/>
        <v>2009</v>
      </c>
      <c r="T38" s="83">
        <f t="shared" si="2"/>
        <v>2010</v>
      </c>
      <c r="U38" s="83">
        <f t="shared" si="2"/>
        <v>2011</v>
      </c>
      <c r="V38" s="83">
        <f t="shared" si="2"/>
        <v>2012</v>
      </c>
      <c r="W38" s="83">
        <f t="shared" si="2"/>
        <v>2013</v>
      </c>
      <c r="X38" s="83">
        <f t="shared" si="2"/>
        <v>2014</v>
      </c>
      <c r="Y38" s="83">
        <f t="shared" si="2"/>
        <v>2015</v>
      </c>
      <c r="Z38" s="83">
        <f t="shared" si="2"/>
        <v>2016</v>
      </c>
      <c r="AA38" s="83">
        <f t="shared" si="2"/>
        <v>2017</v>
      </c>
      <c r="AB38" s="83">
        <f t="shared" si="2"/>
        <v>2018</v>
      </c>
      <c r="AC38" s="83">
        <f t="shared" si="2"/>
        <v>2019</v>
      </c>
      <c r="AD38" s="425" t="str">
        <f t="shared" si="2"/>
        <v>Totals</v>
      </c>
    </row>
    <row r="39" spans="1:30">
      <c r="A39" s="1635" t="s">
        <v>665</v>
      </c>
      <c r="G39" s="1611" t="e">
        <f ca="1">BS_IS!G39/BS_IS!G$39</f>
        <v>#DIV/0!</v>
      </c>
      <c r="H39" s="1611" t="e">
        <f ca="1">BS_IS!H39/BS_IS!H$39</f>
        <v>#DIV/0!</v>
      </c>
      <c r="I39" s="1611">
        <f ca="1">BS_IS!I39/BS_IS!I$39</f>
        <v>1</v>
      </c>
      <c r="J39" s="1611">
        <f ca="1">BS_IS!J39/BS_IS!J$39</f>
        <v>1</v>
      </c>
      <c r="K39" s="1611">
        <f ca="1">BS_IS!K39/BS_IS!K$39</f>
        <v>1</v>
      </c>
      <c r="L39" s="1611">
        <f ca="1">BS_IS!L39/BS_IS!L$39</f>
        <v>1</v>
      </c>
      <c r="M39" s="1611">
        <f ca="1">BS_IS!M39/BS_IS!M$39</f>
        <v>1</v>
      </c>
      <c r="N39" s="1611">
        <f ca="1">BS_IS!N39/BS_IS!N$39</f>
        <v>1</v>
      </c>
      <c r="O39" s="1611">
        <f ca="1">BS_IS!O39/BS_IS!O$39</f>
        <v>1</v>
      </c>
      <c r="P39" s="1611">
        <f ca="1">BS_IS!P39/BS_IS!P$39</f>
        <v>1</v>
      </c>
      <c r="Q39" s="1611">
        <f ca="1">BS_IS!Q39/BS_IS!Q$39</f>
        <v>1</v>
      </c>
      <c r="R39" s="1611">
        <f ca="1">BS_IS!R39/BS_IS!R$39</f>
        <v>1</v>
      </c>
      <c r="S39" s="1611">
        <f ca="1">BS_IS!S39/BS_IS!S$39</f>
        <v>1</v>
      </c>
      <c r="T39" s="1611">
        <f ca="1">BS_IS!T39/BS_IS!T$39</f>
        <v>1</v>
      </c>
      <c r="U39" s="1611">
        <f ca="1">BS_IS!U39/BS_IS!U$39</f>
        <v>1</v>
      </c>
      <c r="V39" s="1611">
        <f ca="1">BS_IS!V39/BS_IS!V$39</f>
        <v>1</v>
      </c>
      <c r="W39" s="1611">
        <f ca="1">BS_IS!W39/BS_IS!W$39</f>
        <v>1</v>
      </c>
      <c r="X39" s="1611">
        <f ca="1">BS_IS!X39/BS_IS!X$39</f>
        <v>1</v>
      </c>
      <c r="Y39" s="1611">
        <f ca="1">BS_IS!Y39/BS_IS!Y$39</f>
        <v>1</v>
      </c>
      <c r="Z39" s="1611">
        <f ca="1">BS_IS!Z39/BS_IS!Z$39</f>
        <v>1</v>
      </c>
      <c r="AA39" s="1611">
        <f ca="1">BS_IS!AA39/BS_IS!AA$39</f>
        <v>1</v>
      </c>
      <c r="AB39" s="1611">
        <f ca="1">BS_IS!AB39/BS_IS!AB$39</f>
        <v>1</v>
      </c>
      <c r="AC39" s="1611">
        <f ca="1">BS_IS!AC39/BS_IS!AC$39</f>
        <v>1</v>
      </c>
    </row>
    <row r="40" spans="1:30" s="1628" customFormat="1">
      <c r="A40" s="1626" t="s">
        <v>899</v>
      </c>
      <c r="B40" s="385"/>
      <c r="C40" s="385"/>
      <c r="D40" s="385"/>
      <c r="E40" s="385"/>
      <c r="G40" s="1628" t="e">
        <f ca="1">BS_IS!G40/BS_IS!G$39</f>
        <v>#DIV/0!</v>
      </c>
      <c r="H40" s="1628" t="e">
        <f ca="1">BS_IS!H40/BS_IS!H$39</f>
        <v>#DIV/0!</v>
      </c>
      <c r="I40" s="1628">
        <f ca="1">BS_IS!I40/BS_IS!I$39</f>
        <v>-2.6499999999999999E-2</v>
      </c>
      <c r="J40" s="1628">
        <f ca="1">BS_IS!J40/BS_IS!J$39</f>
        <v>-2.6499999999999999E-2</v>
      </c>
      <c r="K40" s="1628">
        <f ca="1">BS_IS!K40/BS_IS!K$39</f>
        <v>-2.6499999999999999E-2</v>
      </c>
      <c r="L40" s="1628">
        <f ca="1">BS_IS!L40/BS_IS!L$39</f>
        <v>-2.6499999999999999E-2</v>
      </c>
      <c r="M40" s="1628">
        <f ca="1">BS_IS!M40/BS_IS!M$39</f>
        <v>-2.6499999999999999E-2</v>
      </c>
      <c r="N40" s="1628">
        <f ca="1">BS_IS!N40/BS_IS!N$39</f>
        <v>-2.6500000000000003E-2</v>
      </c>
      <c r="O40" s="1628">
        <f ca="1">BS_IS!O40/BS_IS!O$39</f>
        <v>-2.6499999999999999E-2</v>
      </c>
      <c r="P40" s="1628">
        <f ca="1">BS_IS!P40/BS_IS!P$39</f>
        <v>-2.6499999999999996E-2</v>
      </c>
      <c r="Q40" s="1628">
        <f ca="1">BS_IS!Q40/BS_IS!Q$39</f>
        <v>-2.6499999999999999E-2</v>
      </c>
      <c r="R40" s="1628">
        <f ca="1">BS_IS!R40/BS_IS!R$39</f>
        <v>-2.6499999999999996E-2</v>
      </c>
      <c r="S40" s="1628">
        <f ca="1">BS_IS!S40/BS_IS!S$39</f>
        <v>-2.6499999999999999E-2</v>
      </c>
      <c r="T40" s="1628">
        <f ca="1">BS_IS!T40/BS_IS!T$39</f>
        <v>-2.6499999999999999E-2</v>
      </c>
      <c r="U40" s="1628">
        <f ca="1">BS_IS!U40/BS_IS!U$39</f>
        <v>-2.6499999999999999E-2</v>
      </c>
      <c r="V40" s="1628">
        <f ca="1">BS_IS!V40/BS_IS!V$39</f>
        <v>-2.6499999999999999E-2</v>
      </c>
      <c r="W40" s="1628">
        <f ca="1">BS_IS!W40/BS_IS!W$39</f>
        <v>-2.6499999999999999E-2</v>
      </c>
      <c r="X40" s="1628">
        <f ca="1">BS_IS!X40/BS_IS!X$39</f>
        <v>-2.6499999999999999E-2</v>
      </c>
      <c r="Y40" s="1628">
        <f ca="1">BS_IS!Y40/BS_IS!Y$39</f>
        <v>-2.6499999999999999E-2</v>
      </c>
      <c r="Z40" s="1628">
        <f ca="1">BS_IS!Z40/BS_IS!Z$39</f>
        <v>-2.6499999999999999E-2</v>
      </c>
      <c r="AA40" s="1628">
        <f ca="1">BS_IS!AA40/BS_IS!AA$39</f>
        <v>-2.6499999999999999E-2</v>
      </c>
      <c r="AB40" s="1628">
        <f ca="1">BS_IS!AB40/BS_IS!AB$39</f>
        <v>-2.6499999999999999E-2</v>
      </c>
      <c r="AC40" s="1628">
        <f ca="1">BS_IS!AC40/BS_IS!AC$39</f>
        <v>-2.6499999999999999E-2</v>
      </c>
    </row>
    <row r="41" spans="1:30">
      <c r="A41" s="1626"/>
      <c r="B41" s="67" t="s">
        <v>1106</v>
      </c>
      <c r="G41" s="1611" t="e">
        <f ca="1">BS_IS!G41/BS_IS!G$39</f>
        <v>#DIV/0!</v>
      </c>
      <c r="H41" s="1611" t="e">
        <f ca="1">BS_IS!H41/BS_IS!H$39</f>
        <v>#DIV/0!</v>
      </c>
      <c r="I41" s="1611">
        <f ca="1">BS_IS!I41/BS_IS!I$39</f>
        <v>0.97349999999999992</v>
      </c>
      <c r="J41" s="1611">
        <f ca="1">BS_IS!J41/BS_IS!J$39</f>
        <v>0.97350000000000003</v>
      </c>
      <c r="K41" s="1611">
        <f ca="1">BS_IS!K41/BS_IS!K$39</f>
        <v>0.97349999999999992</v>
      </c>
      <c r="L41" s="1611">
        <f ca="1">BS_IS!L41/BS_IS!L$39</f>
        <v>0.97350000000000003</v>
      </c>
      <c r="M41" s="1611">
        <f ca="1">BS_IS!M41/BS_IS!M$39</f>
        <v>0.97350000000000003</v>
      </c>
      <c r="N41" s="1611">
        <f ca="1">BS_IS!N41/BS_IS!N$39</f>
        <v>0.97350000000000003</v>
      </c>
      <c r="O41" s="1611">
        <f ca="1">BS_IS!O41/BS_IS!O$39</f>
        <v>0.97349999999999992</v>
      </c>
      <c r="P41" s="1611">
        <f ca="1">BS_IS!P41/BS_IS!P$39</f>
        <v>0.97350000000000003</v>
      </c>
      <c r="Q41" s="1611">
        <f ca="1">BS_IS!Q41/BS_IS!Q$39</f>
        <v>0.97350000000000003</v>
      </c>
      <c r="R41" s="1611">
        <f ca="1">BS_IS!R41/BS_IS!R$39</f>
        <v>0.97350000000000003</v>
      </c>
      <c r="S41" s="1611">
        <f ca="1">BS_IS!S41/BS_IS!S$39</f>
        <v>0.97349999999999992</v>
      </c>
      <c r="T41" s="1611">
        <f ca="1">BS_IS!T41/BS_IS!T$39</f>
        <v>0.97349999999999992</v>
      </c>
      <c r="U41" s="1611">
        <f ca="1">BS_IS!U41/BS_IS!U$39</f>
        <v>0.97350000000000003</v>
      </c>
      <c r="V41" s="1611">
        <f ca="1">BS_IS!V41/BS_IS!V$39</f>
        <v>0.97350000000000003</v>
      </c>
      <c r="W41" s="1611">
        <f ca="1">BS_IS!W41/BS_IS!W$39</f>
        <v>0.97349999999999992</v>
      </c>
      <c r="X41" s="1611">
        <f ca="1">BS_IS!X41/BS_IS!X$39</f>
        <v>0.97349999999999992</v>
      </c>
      <c r="Y41" s="1611">
        <f ca="1">BS_IS!Y41/BS_IS!Y$39</f>
        <v>0.97350000000000003</v>
      </c>
      <c r="Z41" s="1611">
        <f ca="1">BS_IS!Z41/BS_IS!Z$39</f>
        <v>0.97349999999999992</v>
      </c>
      <c r="AA41" s="1611">
        <f ca="1">BS_IS!AA41/BS_IS!AA$39</f>
        <v>0.97349999999999992</v>
      </c>
      <c r="AB41" s="1611">
        <f ca="1">BS_IS!AB41/BS_IS!AB$39</f>
        <v>0.97349999999999992</v>
      </c>
      <c r="AC41" s="1611">
        <f ca="1">BS_IS!AC41/BS_IS!AC$39</f>
        <v>0.97350000000000003</v>
      </c>
    </row>
    <row r="42" spans="1:30">
      <c r="A42" s="1626"/>
    </row>
    <row r="43" spans="1:30">
      <c r="A43" s="1626" t="s">
        <v>586</v>
      </c>
      <c r="G43" s="1611" t="e">
        <f ca="1">BS_IS!G43/BS_IS!G$39</f>
        <v>#DIV/0!</v>
      </c>
      <c r="H43" s="1611" t="e">
        <f ca="1">BS_IS!H43/BS_IS!H$39</f>
        <v>#DIV/0!</v>
      </c>
      <c r="I43" s="1611">
        <f ca="1">BS_IS!I43/BS_IS!I$39</f>
        <v>0</v>
      </c>
      <c r="J43" s="1611">
        <f ca="1">BS_IS!J43/BS_IS!J$39</f>
        <v>0</v>
      </c>
      <c r="K43" s="1611">
        <f ca="1">BS_IS!K43/BS_IS!K$39</f>
        <v>-0.26787219161642528</v>
      </c>
      <c r="L43" s="1611">
        <f ca="1">BS_IS!L43/BS_IS!L$39</f>
        <v>-0.27174301105872628</v>
      </c>
      <c r="M43" s="1611">
        <f ca="1">BS_IS!M43/BS_IS!M$39</f>
        <v>-0.26572579399846896</v>
      </c>
      <c r="N43" s="1611">
        <f ca="1">BS_IS!N43/BS_IS!N$39</f>
        <v>-0.26244234578705483</v>
      </c>
      <c r="O43" s="1611">
        <f ca="1">BS_IS!O43/BS_IS!O$39</f>
        <v>-0.26140141511407694</v>
      </c>
      <c r="P43" s="1611">
        <f ca="1">BS_IS!P43/BS_IS!P$39</f>
        <v>-0.26185092752068273</v>
      </c>
      <c r="Q43" s="1611">
        <f ca="1">BS_IS!Q43/BS_IS!Q$39</f>
        <v>-0.26771589810126573</v>
      </c>
      <c r="R43" s="1611">
        <f ca="1">BS_IS!R43/BS_IS!R$39</f>
        <v>-0.2767681331595806</v>
      </c>
      <c r="S43" s="1611">
        <f ca="1">BS_IS!S43/BS_IS!S$39</f>
        <v>-0.27936606323318069</v>
      </c>
      <c r="T43" s="1611">
        <f ca="1">BS_IS!T43/BS_IS!T$39</f>
        <v>-0.27871549254007993</v>
      </c>
      <c r="U43" s="1611">
        <f ca="1">BS_IS!U43/BS_IS!U$39</f>
        <v>-0.28191037177102463</v>
      </c>
      <c r="V43" s="1611">
        <f ca="1">BS_IS!V43/BS_IS!V$39</f>
        <v>-0.2964913278889566</v>
      </c>
      <c r="W43" s="1611">
        <f ca="1">BS_IS!W43/BS_IS!W$39</f>
        <v>-0.29051667106467732</v>
      </c>
      <c r="X43" s="1611">
        <f ca="1">BS_IS!X43/BS_IS!X$39</f>
        <v>-0.31461493254964495</v>
      </c>
      <c r="Y43" s="1611">
        <f ca="1">BS_IS!Y43/BS_IS!Y$39</f>
        <v>-0.3507792023488871</v>
      </c>
      <c r="Z43" s="1611">
        <f ca="1">BS_IS!Z43/BS_IS!Z$39</f>
        <v>-0.36306987384773165</v>
      </c>
      <c r="AA43" s="1611">
        <f ca="1">BS_IS!AA43/BS_IS!AA$39</f>
        <v>-0.36458035575901343</v>
      </c>
      <c r="AB43" s="1611">
        <f ca="1">BS_IS!AB43/BS_IS!AB$39</f>
        <v>-0.37675494895568645</v>
      </c>
      <c r="AC43" s="1611">
        <f ca="1">BS_IS!AC43/BS_IS!AC$39</f>
        <v>-0.3774963321830605</v>
      </c>
    </row>
    <row r="44" spans="1:30">
      <c r="A44" s="1626" t="s">
        <v>1108</v>
      </c>
      <c r="G44" s="1611" t="e">
        <f ca="1">BS_IS!G44/BS_IS!G$39</f>
        <v>#DIV/0!</v>
      </c>
      <c r="H44" s="1611" t="e">
        <f ca="1">BS_IS!H44/BS_IS!H$39</f>
        <v>#DIV/0!</v>
      </c>
      <c r="I44" s="1611">
        <f ca="1">BS_IS!I44/BS_IS!I$39</f>
        <v>0</v>
      </c>
      <c r="J44" s="1611">
        <f ca="1">BS_IS!J44/BS_IS!J$39</f>
        <v>0</v>
      </c>
      <c r="K44" s="1611">
        <f ca="1">BS_IS!K44/BS_IS!K$39</f>
        <v>-0.26953536026475594</v>
      </c>
      <c r="L44" s="1611">
        <f ca="1">BS_IS!L44/BS_IS!L$39</f>
        <v>-0.3015501868650311</v>
      </c>
      <c r="M44" s="1611">
        <f ca="1">BS_IS!M44/BS_IS!M$39</f>
        <v>-0.29698456271792661</v>
      </c>
      <c r="N44" s="1611">
        <f ca="1">BS_IS!N44/BS_IS!N$39</f>
        <v>-0.29462957508186921</v>
      </c>
      <c r="O44" s="1611">
        <f ca="1">BS_IS!O44/BS_IS!O$39</f>
        <v>-0.29584417731561602</v>
      </c>
      <c r="P44" s="1611">
        <f ca="1">BS_IS!P44/BS_IS!P$39</f>
        <v>-0.29825163601948956</v>
      </c>
      <c r="Q44" s="1611">
        <f ca="1">BS_IS!Q44/BS_IS!Q$39</f>
        <v>-0.30697553905734132</v>
      </c>
      <c r="R44" s="1611">
        <f ca="1">BS_IS!R44/BS_IS!R$39</f>
        <v>-0.31813698518037337</v>
      </c>
      <c r="S44" s="1611">
        <f ca="1">BS_IS!S44/BS_IS!S$39</f>
        <v>-0.32389137744992447</v>
      </c>
      <c r="T44" s="1611">
        <f ca="1">BS_IS!T44/BS_IS!T$39</f>
        <v>-0.32512002919183991</v>
      </c>
      <c r="U44" s="1611">
        <f ca="1">BS_IS!U44/BS_IS!U$39</f>
        <v>-0.33025453360570073</v>
      </c>
      <c r="V44" s="1611">
        <f ca="1">BS_IS!V44/BS_IS!V$39</f>
        <v>-0.34830642466421224</v>
      </c>
      <c r="W44" s="1611">
        <f ca="1">BS_IS!W44/BS_IS!W$39</f>
        <v>-0.34426620680944775</v>
      </c>
      <c r="X44" s="1611">
        <f ca="1">BS_IS!X44/BS_IS!X$39</f>
        <v>-0.37453291935617239</v>
      </c>
      <c r="Y44" s="1611">
        <f ca="1">BS_IS!Y44/BS_IS!Y$39</f>
        <v>-0.41985289970870532</v>
      </c>
      <c r="Z44" s="1611">
        <f ca="1">BS_IS!Z44/BS_IS!Z$39</f>
        <v>-0.43589784920997932</v>
      </c>
      <c r="AA44" s="1611">
        <f ca="1">BS_IS!AA44/BS_IS!AA$39</f>
        <v>-0.44066330905532713</v>
      </c>
      <c r="AB44" s="1611">
        <f ca="1">BS_IS!AB44/BS_IS!AB$39</f>
        <v>-0.45781262363329778</v>
      </c>
      <c r="AC44" s="1611">
        <f ca="1">BS_IS!AC44/BS_IS!AC$39</f>
        <v>-0.46609835336642785</v>
      </c>
    </row>
    <row r="45" spans="1:30">
      <c r="A45" s="1626" t="s">
        <v>63</v>
      </c>
      <c r="G45" s="1628" t="e">
        <f ca="1">BS_IS!G45/BS_IS!G$39</f>
        <v>#DIV/0!</v>
      </c>
      <c r="H45" s="1628" t="e">
        <f ca="1">BS_IS!H45/BS_IS!H$39</f>
        <v>#DIV/0!</v>
      </c>
      <c r="I45" s="1628">
        <f ca="1">BS_IS!I45/BS_IS!I$39</f>
        <v>-1.1690560281101565</v>
      </c>
      <c r="J45" s="1628">
        <f ca="1">BS_IS!J45/BS_IS!J$39</f>
        <v>-0.71674538595424664</v>
      </c>
      <c r="K45" s="1628">
        <f ca="1">BS_IS!K45/BS_IS!K$39</f>
        <v>-0.14988344683640123</v>
      </c>
      <c r="L45" s="1628">
        <f ca="1">BS_IS!L45/BS_IS!L$39</f>
        <v>-0.10733725447286302</v>
      </c>
      <c r="M45" s="1628">
        <f ca="1">BS_IS!M45/BS_IS!M$39</f>
        <v>-0.10320871878558062</v>
      </c>
      <c r="N45" s="1628">
        <f ca="1">BS_IS!N45/BS_IS!N$39</f>
        <v>-0.10095850723133694</v>
      </c>
      <c r="O45" s="1628">
        <f ca="1">BS_IS!O45/BS_IS!O$39</f>
        <v>-0.10061809879252276</v>
      </c>
      <c r="P45" s="1628">
        <f ca="1">BS_IS!P45/BS_IS!P$39</f>
        <v>-0.10065503869573227</v>
      </c>
      <c r="Q45" s="1628">
        <f ca="1">BS_IS!Q45/BS_IS!Q$39</f>
        <v>-0.10289141097019591</v>
      </c>
      <c r="R45" s="1628">
        <f ca="1">BS_IS!R45/BS_IS!R$39</f>
        <v>-0.10617405891460191</v>
      </c>
      <c r="S45" s="1628">
        <f ca="1">BS_IS!S45/BS_IS!S$39</f>
        <v>-0.10760347893180114</v>
      </c>
      <c r="T45" s="1628">
        <f ca="1">BS_IS!T45/BS_IS!T$39</f>
        <v>-0.10754210119158843</v>
      </c>
      <c r="U45" s="1628">
        <f ca="1">BS_IS!U45/BS_IS!U$39</f>
        <v>-0.10906875027736886</v>
      </c>
      <c r="V45" s="1628">
        <f ca="1">BS_IS!V45/BS_IS!V$39</f>
        <v>-0.11487163357761801</v>
      </c>
      <c r="W45" s="1628">
        <f ca="1">BS_IS!W45/BS_IS!W$39</f>
        <v>-0.11339752381257842</v>
      </c>
      <c r="X45" s="1628">
        <f ca="1">BS_IS!X45/BS_IS!X$39</f>
        <v>-0.12340771944149162</v>
      </c>
      <c r="Y45" s="1628">
        <f ca="1">BS_IS!Y45/BS_IS!Y$39</f>
        <v>-0.13828117829831937</v>
      </c>
      <c r="Z45" s="1628">
        <f ca="1">BS_IS!Z45/BS_IS!Z$39</f>
        <v>-0.14345968664981981</v>
      </c>
      <c r="AA45" s="1628">
        <f ca="1">BS_IS!AA45/BS_IS!AA$39</f>
        <v>-0.14512004588146579</v>
      </c>
      <c r="AB45" s="1628">
        <f ca="1">BS_IS!AB45/BS_IS!AB$39</f>
        <v>-0.10401975691580385</v>
      </c>
      <c r="AC45" s="1628">
        <f ca="1">BS_IS!AC45/BS_IS!AC$39</f>
        <v>-0.1152593903365553</v>
      </c>
    </row>
    <row r="46" spans="1:30">
      <c r="A46" s="1626"/>
      <c r="B46" s="67" t="s">
        <v>1114</v>
      </c>
      <c r="G46" s="1611" t="e">
        <f ca="1">BS_IS!G46/BS_IS!G$39</f>
        <v>#DIV/0!</v>
      </c>
      <c r="H46" s="1611" t="e">
        <f ca="1">BS_IS!H46/BS_IS!H$39</f>
        <v>#DIV/0!</v>
      </c>
      <c r="I46" s="1611">
        <f ca="1">BS_IS!I46/BS_IS!I$39</f>
        <v>-1.1690560281101565</v>
      </c>
      <c r="J46" s="1611">
        <f ca="1">BS_IS!J46/BS_IS!J$39</f>
        <v>-0.71674538595424664</v>
      </c>
      <c r="K46" s="1611">
        <f ca="1">BS_IS!K46/BS_IS!K$39</f>
        <v>-0.68729099871758259</v>
      </c>
      <c r="L46" s="1611">
        <f ca="1">BS_IS!L46/BS_IS!L$39</f>
        <v>-0.68063045239662034</v>
      </c>
      <c r="M46" s="1611">
        <f ca="1">BS_IS!M46/BS_IS!M$39</f>
        <v>-0.66591907550197615</v>
      </c>
      <c r="N46" s="1611">
        <f ca="1">BS_IS!N46/BS_IS!N$39</f>
        <v>-0.65803042810026091</v>
      </c>
      <c r="O46" s="1611">
        <f ca="1">BS_IS!O46/BS_IS!O$39</f>
        <v>-0.65786369122221566</v>
      </c>
      <c r="P46" s="1611">
        <f ca="1">BS_IS!P46/BS_IS!P$39</f>
        <v>-0.66075760223590452</v>
      </c>
      <c r="Q46" s="1611">
        <f ca="1">BS_IS!Q46/BS_IS!Q$39</f>
        <v>-0.67758284812880287</v>
      </c>
      <c r="R46" s="1611">
        <f ca="1">BS_IS!R46/BS_IS!R$39</f>
        <v>-0.70107917725455582</v>
      </c>
      <c r="S46" s="1611">
        <f ca="1">BS_IS!S46/BS_IS!S$39</f>
        <v>-0.71086091961490627</v>
      </c>
      <c r="T46" s="1611">
        <f ca="1">BS_IS!T46/BS_IS!T$39</f>
        <v>-0.71137762292350815</v>
      </c>
      <c r="U46" s="1611">
        <f ca="1">BS_IS!U46/BS_IS!U$39</f>
        <v>-0.72123365565409414</v>
      </c>
      <c r="V46" s="1611">
        <f ca="1">BS_IS!V46/BS_IS!V$39</f>
        <v>-0.75966938613078694</v>
      </c>
      <c r="W46" s="1611">
        <f ca="1">BS_IS!W46/BS_IS!W$39</f>
        <v>-0.74818040168670352</v>
      </c>
      <c r="X46" s="1611">
        <f ca="1">BS_IS!X46/BS_IS!X$39</f>
        <v>-0.81255557134730894</v>
      </c>
      <c r="Y46" s="1611">
        <f ca="1">BS_IS!Y46/BS_IS!Y$39</f>
        <v>-0.9089132803559119</v>
      </c>
      <c r="Z46" s="1611">
        <f ca="1">BS_IS!Z46/BS_IS!Z$39</f>
        <v>-0.94242740970753069</v>
      </c>
      <c r="AA46" s="1611">
        <f ca="1">BS_IS!AA46/BS_IS!AA$39</f>
        <v>-0.95036371069580639</v>
      </c>
      <c r="AB46" s="1611">
        <f ca="1">BS_IS!AB46/BS_IS!AB$39</f>
        <v>-0.93858732950478796</v>
      </c>
      <c r="AC46" s="1611">
        <f ca="1">BS_IS!AC46/BS_IS!AC$39</f>
        <v>-0.95885407588604366</v>
      </c>
    </row>
    <row r="47" spans="1:30">
      <c r="A47" s="1626"/>
    </row>
    <row r="48" spans="1:30">
      <c r="A48" s="1626" t="s">
        <v>799</v>
      </c>
      <c r="G48" s="1628" t="e">
        <f ca="1">BS_IS!G48/BS_IS!G$39</f>
        <v>#DIV/0!</v>
      </c>
      <c r="H48" s="1628" t="e">
        <f ca="1">BS_IS!H48/BS_IS!H$39</f>
        <v>#DIV/0!</v>
      </c>
      <c r="I48" s="1628">
        <f ca="1">BS_IS!I48/BS_IS!I$39</f>
        <v>-1.5122775852786005E-2</v>
      </c>
      <c r="J48" s="1628">
        <f ca="1">BS_IS!J48/BS_IS!J$39</f>
        <v>2.2363640671676601E-3</v>
      </c>
      <c r="K48" s="1628">
        <f ca="1">BS_IS!K48/BS_IS!K$39</f>
        <v>-4.2482044267042315E-2</v>
      </c>
      <c r="L48" s="1628">
        <f ca="1">BS_IS!L48/BS_IS!L$39</f>
        <v>-2.574573342073417E-2</v>
      </c>
      <c r="M48" s="1628">
        <f ca="1">BS_IS!M48/BS_IS!M$39</f>
        <v>-2.2912813863426355E-2</v>
      </c>
      <c r="N48" s="1628">
        <f ca="1">BS_IS!N48/BS_IS!N$39</f>
        <v>5.1783654884335903E-3</v>
      </c>
      <c r="O48" s="1628">
        <f ca="1">BS_IS!O48/BS_IS!O$39</f>
        <v>5.8062490774719233E-3</v>
      </c>
      <c r="P48" s="1628">
        <f ca="1">BS_IS!P48/BS_IS!P$39</f>
        <v>4.5837659792804988E-3</v>
      </c>
      <c r="Q48" s="1628">
        <f ca="1">BS_IS!Q48/BS_IS!Q$39</f>
        <v>7.1979243426747337E-3</v>
      </c>
      <c r="R48" s="1628">
        <f ca="1">BS_IS!R48/BS_IS!R$39</f>
        <v>1.0099076698152711E-2</v>
      </c>
      <c r="S48" s="1628">
        <f ca="1">BS_IS!S48/BS_IS!S$39</f>
        <v>1.0215761982521977E-2</v>
      </c>
      <c r="T48" s="1628">
        <f ca="1">BS_IS!T48/BS_IS!T$39</f>
        <v>7.4514225184371561E-3</v>
      </c>
      <c r="U48" s="1628">
        <f ca="1">BS_IS!U48/BS_IS!U$39</f>
        <v>7.4820778124359243E-3</v>
      </c>
      <c r="V48" s="1628">
        <f ca="1">BS_IS!V48/BS_IS!V$39</f>
        <v>9.1713591057903648E-3</v>
      </c>
      <c r="W48" s="1628">
        <f ca="1">BS_IS!W48/BS_IS!W$39</f>
        <v>5.3253794803526005E-3</v>
      </c>
      <c r="X48" s="1628">
        <f ca="1">BS_IS!X48/BS_IS!X$39</f>
        <v>4.9508893778279633E-3</v>
      </c>
      <c r="Y48" s="1628">
        <f ca="1">BS_IS!Y48/BS_IS!Y$39</f>
        <v>9.9899033686941981E-3</v>
      </c>
      <c r="Z48" s="1628">
        <f ca="1">BS_IS!Z48/BS_IS!Z$39</f>
        <v>1.0633217642197143E-2</v>
      </c>
      <c r="AA48" s="1628">
        <f ca="1">BS_IS!AA48/BS_IS!AA$39</f>
        <v>8.5556695719475589E-3</v>
      </c>
      <c r="AB48" s="1628">
        <f ca="1">BS_IS!AB48/BS_IS!AB$39</f>
        <v>7.6356874560589766E-3</v>
      </c>
      <c r="AC48" s="1628">
        <f ca="1">BS_IS!AC48/BS_IS!AC$39</f>
        <v>3.5373093932386267E-2</v>
      </c>
    </row>
    <row r="49" spans="1:29">
      <c r="A49" s="1626"/>
    </row>
    <row r="50" spans="1:29">
      <c r="A50" s="1626" t="s">
        <v>73</v>
      </c>
      <c r="G50" s="1611" t="e">
        <f ca="1">BS_IS!G50/BS_IS!G$39</f>
        <v>#DIV/0!</v>
      </c>
      <c r="H50" s="1611" t="e">
        <f ca="1">BS_IS!H50/BS_IS!H$39</f>
        <v>#DIV/0!</v>
      </c>
      <c r="I50" s="1611">
        <f ca="1">BS_IS!I50/BS_IS!I$39</f>
        <v>-0.21067880396294258</v>
      </c>
      <c r="J50" s="1611">
        <f ca="1">BS_IS!J50/BS_IS!J$39</f>
        <v>0.25899097811292099</v>
      </c>
      <c r="K50" s="1611">
        <f ca="1">BS_IS!K50/BS_IS!K$39</f>
        <v>0.24372695701537508</v>
      </c>
      <c r="L50" s="1611">
        <f ca="1">BS_IS!L50/BS_IS!L$39</f>
        <v>0.26712381418264552</v>
      </c>
      <c r="M50" s="1611">
        <f ca="1">BS_IS!M50/BS_IS!M$39</f>
        <v>0.28466811063459752</v>
      </c>
      <c r="N50" s="1611">
        <f ca="1">BS_IS!N50/BS_IS!N$39</f>
        <v>0.32064793738817271</v>
      </c>
      <c r="O50" s="1611">
        <f ca="1">BS_IS!O50/BS_IS!O$39</f>
        <v>0.32144255785525622</v>
      </c>
      <c r="P50" s="1611">
        <f ca="1">BS_IS!P50/BS_IS!P$39</f>
        <v>0.31732616374337591</v>
      </c>
      <c r="Q50" s="1611">
        <f ca="1">BS_IS!Q50/BS_IS!Q$39</f>
        <v>0.3031150762138719</v>
      </c>
      <c r="R50" s="1611">
        <f ca="1">BS_IS!R50/BS_IS!R$39</f>
        <v>0.28251989944359684</v>
      </c>
      <c r="S50" s="1611">
        <f ca="1">BS_IS!S50/BS_IS!S$39</f>
        <v>0.27285484236761565</v>
      </c>
      <c r="T50" s="1611">
        <f ca="1">BS_IS!T50/BS_IS!T$39</f>
        <v>0.26957379959492889</v>
      </c>
      <c r="U50" s="1611">
        <f ca="1">BS_IS!U50/BS_IS!U$39</f>
        <v>0.25974842215834176</v>
      </c>
      <c r="V50" s="1611">
        <f ca="1">BS_IS!V50/BS_IS!V$39</f>
        <v>0.22300197297500346</v>
      </c>
      <c r="W50" s="1611">
        <f ca="1">BS_IS!W50/BS_IS!W$39</f>
        <v>0.23064497779364895</v>
      </c>
      <c r="X50" s="1611">
        <f ca="1">BS_IS!X50/BS_IS!X$39</f>
        <v>0.16589531803051891</v>
      </c>
      <c r="Y50" s="1611">
        <f ca="1">BS_IS!Y50/BS_IS!Y$39</f>
        <v>7.4576623012782381E-2</v>
      </c>
      <c r="Z50" s="1611">
        <f ca="1">BS_IS!Z50/BS_IS!Z$39</f>
        <v>4.1705807934666377E-2</v>
      </c>
      <c r="AA50" s="1611">
        <f ca="1">BS_IS!AA50/BS_IS!AA$39</f>
        <v>3.169195887614111E-2</v>
      </c>
      <c r="AB50" s="1611">
        <f ca="1">BS_IS!AB50/BS_IS!AB$39</f>
        <v>4.2548357951270918E-2</v>
      </c>
      <c r="AC50" s="1611">
        <f ca="1">BS_IS!AC50/BS_IS!AC$39</f>
        <v>5.0019018046342602E-2</v>
      </c>
    </row>
    <row r="51" spans="1:29">
      <c r="A51" s="1626"/>
    </row>
    <row r="52" spans="1:29">
      <c r="A52" s="1626" t="s">
        <v>318</v>
      </c>
      <c r="G52" s="1611" t="e">
        <f ca="1">BS_IS!G52/BS_IS!G$39</f>
        <v>#DIV/0!</v>
      </c>
      <c r="H52" s="1611" t="e">
        <f ca="1">BS_IS!H52/BS_IS!H$39</f>
        <v>#DIV/0!</v>
      </c>
      <c r="I52" s="1611">
        <f ca="1">BS_IS!I52/BS_IS!I$39</f>
        <v>-0.41414111443657198</v>
      </c>
      <c r="J52" s="1611">
        <f ca="1">BS_IS!J52/BS_IS!J$39</f>
        <v>-0.33370745839096727</v>
      </c>
      <c r="K52" s="1611">
        <f ca="1">BS_IS!K52/BS_IS!K$39</f>
        <v>-0.1232098404768085</v>
      </c>
      <c r="L52" s="1611">
        <f ca="1">BS_IS!L52/BS_IS!L$39</f>
        <v>-0.12257040136023557</v>
      </c>
      <c r="M52" s="1611">
        <f ca="1">BS_IS!M52/BS_IS!M$39</f>
        <v>-0.11707093340666122</v>
      </c>
      <c r="N52" s="1611">
        <f ca="1">BS_IS!N52/BS_IS!N$39</f>
        <v>-0.11273353988188431</v>
      </c>
      <c r="O52" s="1611">
        <f ca="1">BS_IS!O52/BS_IS!O$39</f>
        <v>-0.11012821597336753</v>
      </c>
      <c r="P52" s="1611">
        <f ca="1">BS_IS!P52/BS_IS!P$39</f>
        <v>-0.10794985722360827</v>
      </c>
      <c r="Q52" s="1611">
        <f ca="1">BS_IS!Q52/BS_IS!Q$39</f>
        <v>-0.10804678087378369</v>
      </c>
      <c r="R52" s="1611">
        <f ca="1">BS_IS!R52/BS_IS!R$39</f>
        <v>-0.10910470994503044</v>
      </c>
      <c r="S52" s="1611">
        <f ca="1">BS_IS!S52/BS_IS!S$39</f>
        <v>-0.10819183775104843</v>
      </c>
      <c r="T52" s="1611">
        <f ca="1">BS_IS!T52/BS_IS!T$39</f>
        <v>-0.1057889168922507</v>
      </c>
      <c r="U52" s="1611">
        <f ca="1">BS_IS!U52/BS_IS!U$39</f>
        <v>-0.10489726014169229</v>
      </c>
      <c r="V52" s="1611">
        <f ca="1">BS_IS!V52/BS_IS!V$39</f>
        <v>-0.10788231354631281</v>
      </c>
      <c r="W52" s="1611">
        <f ca="1">BS_IS!W52/BS_IS!W$39</f>
        <v>-0.10393803090509117</v>
      </c>
      <c r="X52" s="1611">
        <f ca="1">BS_IS!X52/BS_IS!X$39</f>
        <v>-0.11036293040211606</v>
      </c>
      <c r="Y52" s="1611">
        <f ca="1">BS_IS!Y52/BS_IS!Y$39</f>
        <v>-0.12060945582320247</v>
      </c>
      <c r="Z52" s="1611">
        <f ca="1">BS_IS!Z52/BS_IS!Z$39</f>
        <v>-0.12198051445402787</v>
      </c>
      <c r="AA52" s="1611">
        <f ca="1">BS_IS!AA52/BS_IS!AA$39</f>
        <v>-0.12027771377800638</v>
      </c>
      <c r="AB52" s="1611">
        <f ca="1">BS_IS!AB52/BS_IS!AB$39</f>
        <v>-0.12166675159776244</v>
      </c>
      <c r="AC52" s="1611">
        <f ca="1">BS_IS!AC52/BS_IS!AC$39</f>
        <v>-0.11421911471032364</v>
      </c>
    </row>
    <row r="53" spans="1:29">
      <c r="A53" s="1626" t="s">
        <v>149</v>
      </c>
      <c r="G53" s="1611" t="e">
        <f ca="1">BS_IS!G53/BS_IS!G$39</f>
        <v>#DIV/0!</v>
      </c>
      <c r="H53" s="1611" t="e">
        <f ca="1">BS_IS!H53/BS_IS!H$39</f>
        <v>#DIV/0!</v>
      </c>
      <c r="I53" s="1611">
        <f ca="1">BS_IS!I53/BS_IS!I$39</f>
        <v>0</v>
      </c>
      <c r="J53" s="1611">
        <f ca="1">BS_IS!J53/BS_IS!J$39</f>
        <v>0</v>
      </c>
      <c r="K53" s="1611">
        <f ca="1">BS_IS!K53/BS_IS!K$39</f>
        <v>-6.7334398536622403E-2</v>
      </c>
      <c r="L53" s="1611">
        <f ca="1">BS_IS!L53/BS_IS!L$39</f>
        <v>-0.11187346668388681</v>
      </c>
      <c r="M53" s="1611">
        <f ca="1">BS_IS!M53/BS_IS!M$39</f>
        <v>-0.10061382821701281</v>
      </c>
      <c r="N53" s="1611">
        <f ca="1">BS_IS!N53/BS_IS!N$39</f>
        <v>-9.0296734409656618E-2</v>
      </c>
      <c r="O53" s="1611">
        <f ca="1">BS_IS!O53/BS_IS!O$39</f>
        <v>-8.0730460811961335E-2</v>
      </c>
      <c r="P53" s="1611">
        <f ca="1">BS_IS!P53/BS_IS!P$39</f>
        <v>-7.1264671027135296E-2</v>
      </c>
      <c r="Q53" s="1611">
        <f ca="1">BS_IS!Q53/BS_IS!Q$39</f>
        <v>-6.3009998788787325E-2</v>
      </c>
      <c r="R53" s="1611">
        <f ca="1">BS_IS!R53/BS_IS!R$39</f>
        <v>-5.5008725724770113E-2</v>
      </c>
      <c r="S53" s="1611">
        <f ca="1">BS_IS!S53/BS_IS!S$39</f>
        <v>-4.6836091304737135E-2</v>
      </c>
      <c r="T53" s="1611">
        <f ca="1">BS_IS!T53/BS_IS!T$39</f>
        <v>-3.8424564651342995E-2</v>
      </c>
      <c r="U53" s="1611">
        <f ca="1">BS_IS!U53/BS_IS!U$39</f>
        <v>-3.0632384614612304E-2</v>
      </c>
      <c r="V53" s="1611">
        <f ca="1">BS_IS!V53/BS_IS!V$39</f>
        <v>-2.3700906871570934E-2</v>
      </c>
      <c r="W53" s="1611">
        <f ca="1">BS_IS!W53/BS_IS!W$39</f>
        <v>-1.6632839875336761E-2</v>
      </c>
      <c r="X53" s="1611">
        <f ca="1">BS_IS!X53/BS_IS!X$39</f>
        <v>-1.1076109040691551E-2</v>
      </c>
      <c r="Y53" s="1611">
        <f ca="1">BS_IS!Y53/BS_IS!Y$39</f>
        <v>-4.7556582186626013E-3</v>
      </c>
      <c r="Z53" s="1611">
        <f ca="1">BS_IS!Z53/BS_IS!Z$39</f>
        <v>0</v>
      </c>
      <c r="AA53" s="1611">
        <f ca="1">BS_IS!AA53/BS_IS!AA$39</f>
        <v>0</v>
      </c>
      <c r="AB53" s="1611">
        <f ca="1">BS_IS!AB53/BS_IS!AB$39</f>
        <v>0</v>
      </c>
      <c r="AC53" s="1611">
        <f ca="1">BS_IS!AC53/BS_IS!AC$39</f>
        <v>0</v>
      </c>
    </row>
    <row r="54" spans="1:29">
      <c r="A54" s="1626" t="s">
        <v>150</v>
      </c>
      <c r="G54" s="1611" t="e">
        <f ca="1">BS_IS!G54/BS_IS!G$39</f>
        <v>#DIV/0!</v>
      </c>
      <c r="H54" s="1611" t="e">
        <f ca="1">BS_IS!H54/BS_IS!H$39</f>
        <v>#DIV/0!</v>
      </c>
      <c r="I54" s="1611">
        <f ca="1">BS_IS!I54/BS_IS!I$39</f>
        <v>0</v>
      </c>
      <c r="J54" s="1611">
        <f ca="1">BS_IS!J54/BS_IS!J$39</f>
        <v>0</v>
      </c>
      <c r="K54" s="1611">
        <f ca="1">BS_IS!K54/BS_IS!K$39</f>
        <v>-2.6427006147064089E-2</v>
      </c>
      <c r="L54" s="1611">
        <f ca="1">BS_IS!L54/BS_IS!L$39</f>
        <v>-4.4053820072961269E-2</v>
      </c>
      <c r="M54" s="1611">
        <f ca="1">BS_IS!M54/BS_IS!M$39</f>
        <v>-4.0109892896978104E-2</v>
      </c>
      <c r="N54" s="1611">
        <f ca="1">BS_IS!N54/BS_IS!N$39</f>
        <v>-3.6475129374076092E-2</v>
      </c>
      <c r="O54" s="1611">
        <f ca="1">BS_IS!O54/BS_IS!O$39</f>
        <v>-3.3251362605232614E-2</v>
      </c>
      <c r="P54" s="1611">
        <f ca="1">BS_IS!P54/BS_IS!P$39</f>
        <v>-2.9946683810201845E-2</v>
      </c>
      <c r="Q54" s="1611">
        <f ca="1">BS_IS!Q54/BS_IS!Q$39</f>
        <v>-2.6968627874457179E-2</v>
      </c>
      <c r="R54" s="1611">
        <f ca="1">BS_IS!R54/BS_IS!R$39</f>
        <v>-2.3791034212261072E-2</v>
      </c>
      <c r="S54" s="1611">
        <f ca="1">BS_IS!S54/BS_IS!S$39</f>
        <v>-1.9721027115606592E-2</v>
      </c>
      <c r="T54" s="1611">
        <f ca="1">BS_IS!T54/BS_IS!T$39</f>
        <v>-1.4990012371796596E-2</v>
      </c>
      <c r="U54" s="1611">
        <f ca="1">BS_IS!U54/BS_IS!U$39</f>
        <v>-1.0035463852718918E-2</v>
      </c>
      <c r="V54" s="1611">
        <f ca="1">BS_IS!V54/BS_IS!V$39</f>
        <v>-4.6889358721840819E-3</v>
      </c>
      <c r="W54" s="1611">
        <f ca="1">BS_IS!W54/BS_IS!W$39</f>
        <v>0</v>
      </c>
      <c r="X54" s="1611">
        <f ca="1">BS_IS!X54/BS_IS!X$39</f>
        <v>0</v>
      </c>
      <c r="Y54" s="1611">
        <f ca="1">BS_IS!Y54/BS_IS!Y$39</f>
        <v>0</v>
      </c>
      <c r="Z54" s="1611">
        <f ca="1">BS_IS!Z54/BS_IS!Z$39</f>
        <v>0</v>
      </c>
      <c r="AA54" s="1611">
        <f ca="1">BS_IS!AA54/BS_IS!AA$39</f>
        <v>0</v>
      </c>
      <c r="AB54" s="1611">
        <f ca="1">BS_IS!AB54/BS_IS!AB$39</f>
        <v>0</v>
      </c>
      <c r="AC54" s="1611">
        <f ca="1">BS_IS!AC54/BS_IS!AC$39</f>
        <v>0</v>
      </c>
    </row>
    <row r="55" spans="1:29">
      <c r="A55" s="1626" t="s">
        <v>88</v>
      </c>
      <c r="G55" s="1628" t="e">
        <f ca="1">BS_IS!G55/BS_IS!G$39</f>
        <v>#DIV/0!</v>
      </c>
      <c r="H55" s="1628" t="e">
        <f ca="1">BS_IS!H55/BS_IS!H$39</f>
        <v>#DIV/0!</v>
      </c>
      <c r="I55" s="1628">
        <f ca="1">BS_IS!I55/BS_IS!I$39</f>
        <v>-0.11050661315798581</v>
      </c>
      <c r="J55" s="1628">
        <f ca="1">BS_IS!J55/BS_IS!J$39</f>
        <v>-0.18004455589037621</v>
      </c>
      <c r="K55" s="1628">
        <f ca="1">BS_IS!K55/BS_IS!K$39</f>
        <v>-5.6288856112166004E-2</v>
      </c>
      <c r="L55" s="1628">
        <f ca="1">BS_IS!L55/BS_IS!L$39</f>
        <v>0</v>
      </c>
      <c r="M55" s="1628">
        <f ca="1">BS_IS!M55/BS_IS!M$39</f>
        <v>0</v>
      </c>
      <c r="N55" s="1628">
        <f ca="1">BS_IS!N55/BS_IS!N$39</f>
        <v>0</v>
      </c>
      <c r="O55" s="1628">
        <f ca="1">BS_IS!O55/BS_IS!O$39</f>
        <v>0</v>
      </c>
      <c r="P55" s="1628">
        <f ca="1">BS_IS!P55/BS_IS!P$39</f>
        <v>0</v>
      </c>
      <c r="Q55" s="1628">
        <f ca="1">BS_IS!Q55/BS_IS!Q$39</f>
        <v>0</v>
      </c>
      <c r="R55" s="1628">
        <f ca="1">BS_IS!R55/BS_IS!R$39</f>
        <v>0</v>
      </c>
      <c r="S55" s="1628">
        <f ca="1">BS_IS!S55/BS_IS!S$39</f>
        <v>0</v>
      </c>
      <c r="T55" s="1628">
        <f ca="1">BS_IS!T55/BS_IS!T$39</f>
        <v>0</v>
      </c>
      <c r="U55" s="1628">
        <f ca="1">BS_IS!U55/BS_IS!U$39</f>
        <v>0</v>
      </c>
      <c r="V55" s="1628">
        <f ca="1">BS_IS!V55/BS_IS!V$39</f>
        <v>0</v>
      </c>
      <c r="W55" s="1628">
        <f ca="1">BS_IS!W55/BS_IS!W$39</f>
        <v>0</v>
      </c>
      <c r="X55" s="1628">
        <f ca="1">BS_IS!X55/BS_IS!X$39</f>
        <v>0</v>
      </c>
      <c r="Y55" s="1628">
        <f ca="1">BS_IS!Y55/BS_IS!Y$39</f>
        <v>0</v>
      </c>
      <c r="Z55" s="1628">
        <f ca="1">BS_IS!Z55/BS_IS!Z$39</f>
        <v>0</v>
      </c>
      <c r="AA55" s="1628">
        <f ca="1">BS_IS!AA55/BS_IS!AA$39</f>
        <v>0</v>
      </c>
      <c r="AB55" s="1628">
        <f ca="1">BS_IS!AB55/BS_IS!AB$39</f>
        <v>0</v>
      </c>
      <c r="AC55" s="1628">
        <f ca="1">BS_IS!AC55/BS_IS!AC$39</f>
        <v>0</v>
      </c>
    </row>
    <row r="56" spans="1:29">
      <c r="A56" s="1626"/>
      <c r="B56" s="67" t="s">
        <v>1115</v>
      </c>
      <c r="G56" s="1611" t="e">
        <f ca="1">BS_IS!G56/BS_IS!G$39</f>
        <v>#DIV/0!</v>
      </c>
      <c r="H56" s="1611" t="e">
        <f ca="1">BS_IS!H56/BS_IS!H$39</f>
        <v>#DIV/0!</v>
      </c>
      <c r="I56" s="1611">
        <f ca="1">BS_IS!I56/BS_IS!I$39</f>
        <v>-0.5246477275945578</v>
      </c>
      <c r="J56" s="1611">
        <f ca="1">BS_IS!J56/BS_IS!J$39</f>
        <v>-0.51375201428134343</v>
      </c>
      <c r="K56" s="1611">
        <f ca="1">BS_IS!K56/BS_IS!K$39</f>
        <v>-0.27326010127266098</v>
      </c>
      <c r="L56" s="1611">
        <f ca="1">BS_IS!L56/BS_IS!L$39</f>
        <v>-0.27849768811708364</v>
      </c>
      <c r="M56" s="1611">
        <f ca="1">BS_IS!M56/BS_IS!M$39</f>
        <v>-0.25779465452065209</v>
      </c>
      <c r="N56" s="1611">
        <f ca="1">BS_IS!N56/BS_IS!N$39</f>
        <v>-0.23950540366561698</v>
      </c>
      <c r="O56" s="1611">
        <f ca="1">BS_IS!O56/BS_IS!O$39</f>
        <v>-0.22411003939056148</v>
      </c>
      <c r="P56" s="1611">
        <f ca="1">BS_IS!P56/BS_IS!P$39</f>
        <v>-0.20916121206094543</v>
      </c>
      <c r="Q56" s="1611">
        <f ca="1">BS_IS!Q56/BS_IS!Q$39</f>
        <v>-0.19802540753702821</v>
      </c>
      <c r="R56" s="1611">
        <f ca="1">BS_IS!R56/BS_IS!R$39</f>
        <v>-0.18790446988206161</v>
      </c>
      <c r="S56" s="1611">
        <f ca="1">BS_IS!S56/BS_IS!S$39</f>
        <v>-0.17474895617139216</v>
      </c>
      <c r="T56" s="1611">
        <f ca="1">BS_IS!T56/BS_IS!T$39</f>
        <v>-0.15920349391539029</v>
      </c>
      <c r="U56" s="1611">
        <f ca="1">BS_IS!U56/BS_IS!U$39</f>
        <v>-0.1455651086090235</v>
      </c>
      <c r="V56" s="1611">
        <f ca="1">BS_IS!V56/BS_IS!V$39</f>
        <v>-0.13627215629006784</v>
      </c>
      <c r="W56" s="1611">
        <f ca="1">BS_IS!W56/BS_IS!W$39</f>
        <v>-0.12057087078042794</v>
      </c>
      <c r="X56" s="1611">
        <f ca="1">BS_IS!X56/BS_IS!X$39</f>
        <v>-0.12143903944280761</v>
      </c>
      <c r="Y56" s="1611">
        <f ca="1">BS_IS!Y56/BS_IS!Y$39</f>
        <v>-0.12536511404186507</v>
      </c>
      <c r="Z56" s="1611">
        <f ca="1">BS_IS!Z56/BS_IS!Z$39</f>
        <v>-0.12198051445402787</v>
      </c>
      <c r="AA56" s="1611">
        <f ca="1">BS_IS!AA56/BS_IS!AA$39</f>
        <v>-0.12027771377800638</v>
      </c>
      <c r="AB56" s="1611">
        <f ca="1">BS_IS!AB56/BS_IS!AB$39</f>
        <v>-0.12166675159776244</v>
      </c>
      <c r="AC56" s="1611">
        <f ca="1">BS_IS!AC56/BS_IS!AC$39</f>
        <v>-0.11421911471032364</v>
      </c>
    </row>
    <row r="57" spans="1:29">
      <c r="A57" s="1626"/>
    </row>
    <row r="58" spans="1:29">
      <c r="A58" s="1626" t="s">
        <v>1109</v>
      </c>
      <c r="G58" s="1611" t="e">
        <f ca="1">BS_IS!G58/BS_IS!G$39</f>
        <v>#DIV/0!</v>
      </c>
      <c r="H58" s="1611" t="e">
        <f ca="1">BS_IS!H58/BS_IS!H$39</f>
        <v>#DIV/0!</v>
      </c>
      <c r="I58" s="1611">
        <f ca="1">BS_IS!I58/BS_IS!I$39</f>
        <v>-0.73532653155750038</v>
      </c>
      <c r="J58" s="1611">
        <f ca="1">BS_IS!J58/BS_IS!J$39</f>
        <v>-0.25476103616842249</v>
      </c>
      <c r="K58" s="1611">
        <f ca="1">BS_IS!K58/BS_IS!K$39</f>
        <v>-2.9533144257285912E-2</v>
      </c>
      <c r="L58" s="1611">
        <f ca="1">BS_IS!L58/BS_IS!L$39</f>
        <v>-1.1373873934438099E-2</v>
      </c>
      <c r="M58" s="1611">
        <f ca="1">BS_IS!M58/BS_IS!M$39</f>
        <v>2.6873456113945392E-2</v>
      </c>
      <c r="N58" s="1611">
        <f ca="1">BS_IS!N58/BS_IS!N$39</f>
        <v>8.114253372255574E-2</v>
      </c>
      <c r="O58" s="1611">
        <f ca="1">BS_IS!O58/BS_IS!O$39</f>
        <v>9.733251846469472E-2</v>
      </c>
      <c r="P58" s="1611">
        <f ca="1">BS_IS!P58/BS_IS!P$39</f>
        <v>0.10816495168243048</v>
      </c>
      <c r="Q58" s="1611">
        <f ca="1">BS_IS!Q58/BS_IS!Q$39</f>
        <v>0.1050896686768437</v>
      </c>
      <c r="R58" s="1611">
        <f ca="1">BS_IS!R58/BS_IS!R$39</f>
        <v>9.461542956153525E-2</v>
      </c>
      <c r="S58" s="1611">
        <f ca="1">BS_IS!S58/BS_IS!S$39</f>
        <v>9.8105886196223485E-2</v>
      </c>
      <c r="T58" s="1611">
        <f ca="1">BS_IS!T58/BS_IS!T$39</f>
        <v>0.11037030567953862</v>
      </c>
      <c r="U58" s="1611">
        <f ca="1">BS_IS!U58/BS_IS!U$39</f>
        <v>0.11418331354931822</v>
      </c>
      <c r="V58" s="1611">
        <f ca="1">BS_IS!V58/BS_IS!V$39</f>
        <v>8.6729816684935651E-2</v>
      </c>
      <c r="W58" s="1611">
        <f ca="1">BS_IS!W58/BS_IS!W$39</f>
        <v>0.11007410701322103</v>
      </c>
      <c r="X58" s="1611">
        <f ca="1">BS_IS!X58/BS_IS!X$39</f>
        <v>4.4456278587711291E-2</v>
      </c>
      <c r="Y58" s="1611">
        <f ca="1">BS_IS!Y58/BS_IS!Y$39</f>
        <v>-5.0788491029082686E-2</v>
      </c>
      <c r="Z58" s="1611">
        <f ca="1">BS_IS!Z58/BS_IS!Z$39</f>
        <v>-8.0274706519361499E-2</v>
      </c>
      <c r="AA58" s="1611">
        <f ca="1">BS_IS!AA58/BS_IS!AA$39</f>
        <v>-8.8585754901865266E-2</v>
      </c>
      <c r="AB58" s="1611">
        <f ca="1">BS_IS!AB58/BS_IS!AB$39</f>
        <v>-7.9118393646491522E-2</v>
      </c>
      <c r="AC58" s="1611">
        <f ca="1">BS_IS!AC58/BS_IS!AC$39</f>
        <v>-6.4200096663981049E-2</v>
      </c>
    </row>
    <row r="59" spans="1:29">
      <c r="A59" s="1626" t="s">
        <v>667</v>
      </c>
      <c r="G59" s="1611" t="e">
        <f ca="1">BS_IS!G59/BS_IS!G$39</f>
        <v>#DIV/0!</v>
      </c>
      <c r="H59" s="1611" t="e">
        <f ca="1">BS_IS!H59/BS_IS!H$39</f>
        <v>#DIV/0!</v>
      </c>
      <c r="I59" s="1611">
        <f ca="1">BS_IS!I59/BS_IS!I$39</f>
        <v>0</v>
      </c>
      <c r="J59" s="1611">
        <f ca="1">BS_IS!J59/BS_IS!J$39</f>
        <v>0</v>
      </c>
      <c r="K59" s="1611">
        <f ca="1">BS_IS!K59/BS_IS!K$39</f>
        <v>0</v>
      </c>
      <c r="L59" s="1611">
        <f ca="1">BS_IS!L59/BS_IS!L$39</f>
        <v>0</v>
      </c>
      <c r="M59" s="1611">
        <f ca="1">BS_IS!M59/BS_IS!M$39</f>
        <v>-1.343672805697263E-2</v>
      </c>
      <c r="N59" s="1611">
        <f ca="1">BS_IS!N59/BS_IS!N$39</f>
        <v>0</v>
      </c>
      <c r="O59" s="1611">
        <f ca="1">BS_IS!O59/BS_IS!O$39</f>
        <v>-4.8666259232347395E-2</v>
      </c>
      <c r="P59" s="1611">
        <f ca="1">BS_IS!P59/BS_IS!P$39</f>
        <v>-5.4082475841215283E-2</v>
      </c>
      <c r="Q59" s="1611">
        <f ca="1">BS_IS!Q59/BS_IS!Q$39</f>
        <v>-5.2544834338421852E-2</v>
      </c>
      <c r="R59" s="1611">
        <f ca="1">BS_IS!R59/BS_IS!R$39</f>
        <v>-4.7307714780767667E-2</v>
      </c>
      <c r="S59" s="1611">
        <f ca="1">BS_IS!S59/BS_IS!S$39</f>
        <v>-4.9052943098111743E-2</v>
      </c>
      <c r="T59" s="1611">
        <f ca="1">BS_IS!T59/BS_IS!T$39</f>
        <v>-5.5151474593136324E-2</v>
      </c>
      <c r="U59" s="1611">
        <f ca="1">BS_IS!U59/BS_IS!U$39</f>
        <v>-5.4686622640125901E-2</v>
      </c>
      <c r="V59" s="1611">
        <f ca="1">BS_IS!V59/BS_IS!V$39</f>
        <v>-4.3364908342467874E-2</v>
      </c>
      <c r="W59" s="1611">
        <f ca="1">BS_IS!W59/BS_IS!W$39</f>
        <v>-5.4186542778969143E-2</v>
      </c>
      <c r="X59" s="1611">
        <f ca="1">BS_IS!X59/BS_IS!X$39</f>
        <v>-2.2228139293855642E-2</v>
      </c>
      <c r="Y59" s="1611">
        <f ca="1">BS_IS!Y59/BS_IS!Y$39</f>
        <v>0</v>
      </c>
      <c r="Z59" s="1611">
        <f ca="1">BS_IS!Z59/BS_IS!Z$39</f>
        <v>0</v>
      </c>
      <c r="AA59" s="1611">
        <f ca="1">BS_IS!AA59/BS_IS!AA$39</f>
        <v>0</v>
      </c>
      <c r="AB59" s="1611">
        <f ca="1">BS_IS!AB59/BS_IS!AB$39</f>
        <v>0</v>
      </c>
      <c r="AC59" s="1611">
        <f ca="1">BS_IS!AC59/BS_IS!AC$39</f>
        <v>0</v>
      </c>
    </row>
    <row r="60" spans="1:29">
      <c r="A60" s="1626" t="s">
        <v>1110</v>
      </c>
      <c r="G60" s="1611" t="e">
        <f ca="1">BS_IS!G60/BS_IS!G$39</f>
        <v>#DIV/0!</v>
      </c>
      <c r="H60" s="1611" t="e">
        <f ca="1">BS_IS!H60/BS_IS!H$39</f>
        <v>#DIV/0!</v>
      </c>
      <c r="I60" s="1611">
        <f ca="1">BS_IS!I60/BS_IS!I$39</f>
        <v>0</v>
      </c>
      <c r="J60" s="1611">
        <f ca="1">BS_IS!J60/BS_IS!J$39</f>
        <v>0</v>
      </c>
      <c r="K60" s="1611">
        <f ca="1">BS_IS!K60/BS_IS!K$39</f>
        <v>0</v>
      </c>
      <c r="L60" s="1611">
        <f ca="1">BS_IS!L60/BS_IS!L$39</f>
        <v>0</v>
      </c>
      <c r="M60" s="1611">
        <f ca="1">BS_IS!M60/BS_IS!M$39</f>
        <v>-3.0273703873103159E-3</v>
      </c>
      <c r="N60" s="1611">
        <f ca="1">BS_IS!N60/BS_IS!N$39</f>
        <v>0</v>
      </c>
      <c r="O60" s="1611">
        <f ca="1">BS_IS!O60/BS_IS!O$39</f>
        <v>-1.117549853980729E-2</v>
      </c>
      <c r="P60" s="1611">
        <f ca="1">BS_IS!P60/BS_IS!P$39</f>
        <v>-1.2429842941703679E-2</v>
      </c>
      <c r="Q60" s="1611">
        <f ca="1">BS_IS!Q60/BS_IS!Q$39</f>
        <v>-1.207632645129483E-2</v>
      </c>
      <c r="R60" s="1611">
        <f ca="1">BS_IS!R60/BS_IS!R$39</f>
        <v>-1.0867615222237651E-2</v>
      </c>
      <c r="S60" s="1611">
        <f ca="1">BS_IS!S60/BS_IS!S$39</f>
        <v>-1.1272808732980494E-2</v>
      </c>
      <c r="T60" s="1611">
        <f ca="1">BS_IS!T60/BS_IS!T$39</f>
        <v>-1.2699836367145738E-2</v>
      </c>
      <c r="U60" s="1611">
        <f ca="1">BS_IS!U60/BS_IS!U$39</f>
        <v>-1.3689799599230057E-2</v>
      </c>
      <c r="V60" s="1611">
        <f ca="1">BS_IS!V60/BS_IS!V$39</f>
        <v>-9.9630280581787679E-3</v>
      </c>
      <c r="W60" s="1611">
        <f ca="1">BS_IS!W60/BS_IS!W$39</f>
        <v>-1.4466658761975811E-2</v>
      </c>
      <c r="X60" s="1611">
        <f ca="1">BS_IS!X60/BS_IS!X$39</f>
        <v>-7.2819554481486351E-3</v>
      </c>
      <c r="Y60" s="1611">
        <f ca="1">BS_IS!Y60/BS_IS!Y$39</f>
        <v>0</v>
      </c>
      <c r="Z60" s="1611">
        <f ca="1">BS_IS!Z60/BS_IS!Z$39</f>
        <v>0</v>
      </c>
      <c r="AA60" s="1611">
        <f ca="1">BS_IS!AA60/BS_IS!AA$39</f>
        <v>0</v>
      </c>
      <c r="AB60" s="1611">
        <f ca="1">BS_IS!AB60/BS_IS!AB$39</f>
        <v>0</v>
      </c>
      <c r="AC60" s="1611">
        <f ca="1">BS_IS!AC60/BS_IS!AC$39</f>
        <v>0</v>
      </c>
    </row>
    <row r="61" spans="1:29">
      <c r="A61" s="1626" t="s">
        <v>70</v>
      </c>
      <c r="G61" s="1628" t="e">
        <f ca="1">BS_IS!G61/BS_IS!G$39</f>
        <v>#DIV/0!</v>
      </c>
      <c r="H61" s="1628" t="e">
        <f ca="1">BS_IS!H61/BS_IS!H$39</f>
        <v>#DIV/0!</v>
      </c>
      <c r="I61" s="1628">
        <f ca="1">BS_IS!I61/BS_IS!I$39</f>
        <v>1.3072324645381548E-2</v>
      </c>
      <c r="J61" s="1628">
        <f ca="1">BS_IS!J61/BS_IS!J$39</f>
        <v>4.1890670675919367E-2</v>
      </c>
      <c r="K61" s="1628">
        <f ca="1">BS_IS!K61/BS_IS!K$39</f>
        <v>0</v>
      </c>
      <c r="L61" s="1628">
        <f ca="1">BS_IS!L61/BS_IS!L$39</f>
        <v>0</v>
      </c>
      <c r="M61" s="1628">
        <f ca="1">BS_IS!M61/BS_IS!M$39</f>
        <v>9.0613169557469649E-4</v>
      </c>
      <c r="N61" s="1628">
        <f ca="1">BS_IS!N61/BS_IS!N$39</f>
        <v>0</v>
      </c>
      <c r="O61" s="1628">
        <f ca="1">BS_IS!O61/BS_IS!O$39</f>
        <v>4.7900636111743826E-3</v>
      </c>
      <c r="P61" s="1628">
        <f ca="1">BS_IS!P61/BS_IS!P$39</f>
        <v>3.9304908335359209E-3</v>
      </c>
      <c r="Q61" s="1628">
        <f ca="1">BS_IS!Q61/BS_IS!Q$39</f>
        <v>1.0947717507796708E-2</v>
      </c>
      <c r="R61" s="1628">
        <f ca="1">BS_IS!R61/BS_IS!R$39</f>
        <v>0</v>
      </c>
      <c r="S61" s="1628">
        <f ca="1">BS_IS!S61/BS_IS!S$39</f>
        <v>0</v>
      </c>
      <c r="T61" s="1628">
        <f ca="1">BS_IS!T61/BS_IS!T$39</f>
        <v>0</v>
      </c>
      <c r="U61" s="1628">
        <f ca="1">BS_IS!U61/BS_IS!U$39</f>
        <v>0</v>
      </c>
      <c r="V61" s="1628">
        <f ca="1">BS_IS!V61/BS_IS!V$39</f>
        <v>0</v>
      </c>
      <c r="W61" s="1628">
        <f ca="1">BS_IS!W61/BS_IS!W$39</f>
        <v>0</v>
      </c>
      <c r="X61" s="1628">
        <f ca="1">BS_IS!X61/BS_IS!X$39</f>
        <v>0</v>
      </c>
      <c r="Y61" s="1628">
        <f ca="1">BS_IS!Y61/BS_IS!Y$39</f>
        <v>0</v>
      </c>
      <c r="Z61" s="1628">
        <f ca="1">BS_IS!Z61/BS_IS!Z$39</f>
        <v>0</v>
      </c>
      <c r="AA61" s="1628">
        <f ca="1">BS_IS!AA61/BS_IS!AA$39</f>
        <v>0</v>
      </c>
      <c r="AB61" s="1628">
        <f ca="1">BS_IS!AB61/BS_IS!AB$39</f>
        <v>2.4572280671309166E-2</v>
      </c>
      <c r="AC61" s="1628">
        <f ca="1">BS_IS!AC61/BS_IS!AC$39</f>
        <v>1.3030773006079603E-2</v>
      </c>
    </row>
    <row r="62" spans="1:29" s="1631" customFormat="1" ht="13.5" thickBot="1">
      <c r="A62" s="1636" t="s">
        <v>1111</v>
      </c>
      <c r="B62" s="1637"/>
      <c r="C62" s="1637"/>
      <c r="D62" s="1637"/>
      <c r="E62" s="1637" t="s">
        <v>323</v>
      </c>
      <c r="G62" s="1631" t="e">
        <f ca="1">BS_IS!G62/BS_IS!G$39</f>
        <v>#DIV/0!</v>
      </c>
      <c r="H62" s="1631" t="e">
        <f ca="1">BS_IS!H62/BS_IS!H$39</f>
        <v>#DIV/0!</v>
      </c>
      <c r="I62" s="1631">
        <f ca="1">BS_IS!I62/BS_IS!I$39</f>
        <v>-0.72225420691211883</v>
      </c>
      <c r="J62" s="1631">
        <f ca="1">BS_IS!J62/BS_IS!J$39</f>
        <v>-0.2128703654925031</v>
      </c>
      <c r="K62" s="1631">
        <f ca="1">BS_IS!K62/BS_IS!K$39</f>
        <v>-2.9533144257285912E-2</v>
      </c>
      <c r="L62" s="1631">
        <f ca="1">BS_IS!L62/BS_IS!L$39</f>
        <v>-1.1373873934438099E-2</v>
      </c>
      <c r="M62" s="1631">
        <f ca="1">BS_IS!M62/BS_IS!M$39</f>
        <v>1.1315489365237142E-2</v>
      </c>
      <c r="N62" s="1631">
        <f ca="1">BS_IS!N62/BS_IS!N$39</f>
        <v>8.114253372255574E-2</v>
      </c>
      <c r="O62" s="1631">
        <f ca="1">BS_IS!O62/BS_IS!O$39</f>
        <v>4.2280824303714416E-2</v>
      </c>
      <c r="P62" s="1631">
        <f ca="1">BS_IS!P62/BS_IS!P$39</f>
        <v>4.5583123733047438E-2</v>
      </c>
      <c r="Q62" s="1631">
        <f ca="1">BS_IS!Q62/BS_IS!Q$39</f>
        <v>5.1416225394923729E-2</v>
      </c>
      <c r="R62" s="1631">
        <f ca="1">BS_IS!R62/BS_IS!R$39</f>
        <v>3.6440099558529927E-2</v>
      </c>
      <c r="S62" s="1631">
        <f ca="1">BS_IS!S62/BS_IS!S$39</f>
        <v>3.7780134365131252E-2</v>
      </c>
      <c r="T62" s="1631">
        <f ca="1">BS_IS!T62/BS_IS!T$39</f>
        <v>4.2518994719256555E-2</v>
      </c>
      <c r="U62" s="1631">
        <f ca="1">BS_IS!U62/BS_IS!U$39</f>
        <v>4.5806891309962273E-2</v>
      </c>
      <c r="V62" s="1631">
        <f ca="1">BS_IS!V62/BS_IS!V$39</f>
        <v>3.3401880284289004E-2</v>
      </c>
      <c r="W62" s="1631">
        <f ca="1">BS_IS!W62/BS_IS!W$39</f>
        <v>4.1420905472276066E-2</v>
      </c>
      <c r="X62" s="1631">
        <f ca="1">BS_IS!X62/BS_IS!X$39</f>
        <v>1.4946183845707013E-2</v>
      </c>
      <c r="Y62" s="1631">
        <f ca="1">BS_IS!Y62/BS_IS!Y$39</f>
        <v>-5.0788491029082686E-2</v>
      </c>
      <c r="Z62" s="1631">
        <f ca="1">BS_IS!Z62/BS_IS!Z$39</f>
        <v>-8.0274706519361499E-2</v>
      </c>
      <c r="AA62" s="1631">
        <f ca="1">BS_IS!AA62/BS_IS!AA$39</f>
        <v>-8.8585754901865266E-2</v>
      </c>
      <c r="AB62" s="1631">
        <f ca="1">BS_IS!AB62/BS_IS!AB$39</f>
        <v>-5.4546112975182352E-2</v>
      </c>
      <c r="AC62" s="1631">
        <f ca="1">BS_IS!AC62/BS_IS!AC$39</f>
        <v>-5.1169323657901451E-2</v>
      </c>
    </row>
    <row r="63" spans="1:29" ht="13.5" thickTop="1">
      <c r="A63" s="1626"/>
    </row>
    <row r="65" spans="1:53" ht="13.5" thickBot="1">
      <c r="A65" s="83" t="s">
        <v>1548</v>
      </c>
      <c r="B65" s="268"/>
      <c r="C65" s="268"/>
      <c r="D65" s="268"/>
      <c r="E65" s="268"/>
      <c r="F65" s="1638" t="s">
        <v>1362</v>
      </c>
      <c r="G65" s="1272">
        <v>1997</v>
      </c>
      <c r="H65" s="1272">
        <v>1998</v>
      </c>
      <c r="I65" s="1272">
        <v>1999</v>
      </c>
      <c r="J65" s="1272">
        <v>2000</v>
      </c>
      <c r="K65" s="1272">
        <v>2001</v>
      </c>
      <c r="L65" s="1272">
        <v>2002</v>
      </c>
      <c r="M65" s="1272">
        <v>2003</v>
      </c>
      <c r="N65" s="1272">
        <v>2004</v>
      </c>
      <c r="O65" s="1272">
        <v>2005</v>
      </c>
      <c r="P65" s="1272">
        <v>2006</v>
      </c>
      <c r="Q65" s="1272">
        <v>2007</v>
      </c>
      <c r="R65" s="1272">
        <v>2008</v>
      </c>
      <c r="S65" s="1272">
        <v>2009</v>
      </c>
      <c r="T65" s="1272">
        <v>2010</v>
      </c>
      <c r="U65" s="1272">
        <v>2011</v>
      </c>
      <c r="V65" s="1272">
        <v>2012</v>
      </c>
      <c r="W65" s="1272">
        <v>2013</v>
      </c>
      <c r="X65" s="1272">
        <v>2014</v>
      </c>
      <c r="Y65" s="1272">
        <v>2015</v>
      </c>
      <c r="Z65" s="1272">
        <v>2016</v>
      </c>
      <c r="AA65" s="1272">
        <v>2017</v>
      </c>
      <c r="AB65" s="1272">
        <v>2018</v>
      </c>
      <c r="AC65" s="1272">
        <v>2019</v>
      </c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</row>
    <row r="66" spans="1:53">
      <c r="A66" s="9"/>
      <c r="B66"/>
      <c r="C66"/>
      <c r="D66"/>
      <c r="E66"/>
      <c r="F66" s="1639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</row>
    <row r="67" spans="1:53">
      <c r="A67" s="9"/>
      <c r="B67"/>
      <c r="C67"/>
      <c r="D67"/>
      <c r="E67"/>
      <c r="F67" s="1639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</row>
    <row r="68" spans="1:53" s="1607" customFormat="1">
      <c r="A68" s="1640" t="s">
        <v>1549</v>
      </c>
      <c r="B68" s="289"/>
      <c r="C68" s="289"/>
      <c r="D68" s="1641"/>
      <c r="E68" s="1641"/>
      <c r="F68" s="1639"/>
      <c r="G68" s="1641"/>
      <c r="H68" s="1641"/>
      <c r="I68" s="1641"/>
      <c r="J68" s="1641"/>
      <c r="K68" s="1641"/>
      <c r="L68" s="1641"/>
      <c r="M68" s="1641"/>
      <c r="N68" s="1641"/>
      <c r="O68" s="1641"/>
      <c r="P68" s="1641"/>
      <c r="Q68" s="1641"/>
      <c r="R68" s="1641"/>
      <c r="S68" s="1641"/>
      <c r="T68" s="1641"/>
      <c r="U68" s="1641"/>
      <c r="V68" s="1641"/>
      <c r="W68" s="1641"/>
      <c r="X68" s="1641"/>
      <c r="Y68" s="1641"/>
      <c r="Z68" s="1641"/>
      <c r="AA68" s="1641"/>
      <c r="AB68" s="1641"/>
      <c r="AC68" s="1641"/>
      <c r="AD68" s="1641"/>
      <c r="AE68" s="1641"/>
      <c r="AF68" s="1641"/>
      <c r="AG68" s="1641"/>
      <c r="AH68" s="1641"/>
      <c r="AI68" s="1641"/>
      <c r="AJ68" s="1641"/>
      <c r="AK68" s="1641"/>
      <c r="AL68" s="1641"/>
      <c r="AM68" s="1641"/>
      <c r="AN68" s="1641"/>
      <c r="AO68" s="1641"/>
      <c r="AP68" s="1641"/>
      <c r="AQ68" s="1641"/>
      <c r="AR68" s="1641"/>
      <c r="AS68" s="1641"/>
      <c r="AT68" s="1641"/>
      <c r="AU68" s="1641"/>
      <c r="AV68" s="1641"/>
      <c r="AW68" s="1641"/>
      <c r="AX68" s="1641"/>
      <c r="AY68" s="1641"/>
      <c r="AZ68" s="1641"/>
      <c r="BA68" s="1641"/>
    </row>
    <row r="69" spans="1:53" s="1643" customFormat="1">
      <c r="A69" s="1651" t="s">
        <v>1550</v>
      </c>
      <c r="B69" s="1651"/>
      <c r="C69" s="1651"/>
      <c r="F69" s="1652">
        <f ca="1">AVERAGE(G69:AC69)</f>
        <v>-1.0283768948384635E-2</v>
      </c>
      <c r="G69" s="1643">
        <f ca="1">BS_IS!G62/BS_IS!G18</f>
        <v>0</v>
      </c>
      <c r="H69" s="1643">
        <f ca="1">BS_IS!H62/BS_IS!H18</f>
        <v>0</v>
      </c>
      <c r="I69" s="1643">
        <f ca="1">BS_IS!I62/BS_IS!I18</f>
        <v>-3.751773605654047E-2</v>
      </c>
      <c r="J69" s="1643">
        <f ca="1">BS_IS!J62/BS_IS!J18</f>
        <v>-1.1593584297563592E-2</v>
      </c>
      <c r="K69" s="1643">
        <f ca="1">BS_IS!K62/BS_IS!K18</f>
        <v>-9.0907997956740701E-3</v>
      </c>
      <c r="L69" s="1643">
        <f ca="1">BS_IS!L62/BS_IS!L18</f>
        <v>-5.2394779353912221E-3</v>
      </c>
      <c r="M69" s="1643">
        <f ca="1">BS_IS!M62/BS_IS!M18</f>
        <v>5.7014686046968051E-3</v>
      </c>
      <c r="N69" s="1643">
        <f ca="1">BS_IS!N62/BS_IS!N18</f>
        <v>4.3111890845099587E-2</v>
      </c>
      <c r="O69" s="1643">
        <f ca="1">BS_IS!O62/BS_IS!O18</f>
        <v>2.3948349789725796E-2</v>
      </c>
      <c r="P69" s="1643">
        <f ca="1">BS_IS!P62/BS_IS!P18</f>
        <v>2.749500244202881E-2</v>
      </c>
      <c r="Q69" s="1643">
        <f ca="1">BS_IS!Q62/BS_IS!Q18</f>
        <v>3.273623426726404E-2</v>
      </c>
      <c r="R69" s="1643">
        <f ca="1">BS_IS!R62/BS_IS!R18</f>
        <v>2.4767622732708858E-2</v>
      </c>
      <c r="S69" s="1643">
        <f ca="1">BS_IS!S62/BS_IS!S18</f>
        <v>2.8294181766310211E-2</v>
      </c>
      <c r="T69" s="1643">
        <f ca="1">BS_IS!T62/BS_IS!T18</f>
        <v>3.6061163396040131E-2</v>
      </c>
      <c r="U69" s="1643">
        <f ca="1">BS_IS!U62/BS_IS!U18</f>
        <v>4.4075304411481615E-2</v>
      </c>
      <c r="V69" s="1643">
        <f ca="1">BS_IS!V62/BS_IS!V18</f>
        <v>3.5254912516106997E-2</v>
      </c>
      <c r="W69" s="1643">
        <f ca="1">BS_IS!W62/BS_IS!W18</f>
        <v>4.9514045823006239E-2</v>
      </c>
      <c r="X69" s="1643">
        <f ca="1">BS_IS!X62/BS_IS!X18</f>
        <v>1.8529425657415655E-2</v>
      </c>
      <c r="Y69" s="1643">
        <f ca="1">BS_IS!Y62/BS_IS!Y18</f>
        <v>-6.7951874095730669E-2</v>
      </c>
      <c r="Z69" s="1643">
        <f ca="1">BS_IS!Z62/BS_IS!Z18</f>
        <v>-0.11881278425966184</v>
      </c>
      <c r="AA69" s="1643">
        <f ca="1">BS_IS!AA62/BS_IS!AA18</f>
        <v>-0.15336261434545617</v>
      </c>
      <c r="AB69" s="1643">
        <f ca="1">BS_IS!AB62/BS_IS!AB18</f>
        <v>-0.1079746420282853</v>
      </c>
      <c r="AC69" s="1643">
        <f ca="1">BS_IS!AC62/BS_IS!AC18</f>
        <v>-9.4472775250428048E-2</v>
      </c>
    </row>
    <row r="70" spans="1:53" s="1643" customFormat="1">
      <c r="A70" s="1651" t="s">
        <v>1551</v>
      </c>
      <c r="B70" s="1651"/>
      <c r="C70" s="1651"/>
      <c r="F70" s="1652">
        <f ca="1">AVERAGE(G70:AC70)</f>
        <v>1.0498264485883259E-2</v>
      </c>
      <c r="G70" s="1643">
        <f ca="1">BS_IS!G62/BS_IS!G28</f>
        <v>0</v>
      </c>
      <c r="H70" s="1643">
        <f ca="1">BS_IS!H62/BS_IS!H28</f>
        <v>0</v>
      </c>
      <c r="I70" s="1643">
        <f ca="1">BS_IS!I62/BS_IS!I28</f>
        <v>-6.9628951049018284E-2</v>
      </c>
      <c r="J70" s="1643">
        <f ca="1">BS_IS!J62/BS_IS!J28</f>
        <v>-3.3957534411656748E-2</v>
      </c>
      <c r="K70" s="1643">
        <f ca="1">BS_IS!K62/BS_IS!K28</f>
        <v>-3.2453937877954163E-2</v>
      </c>
      <c r="L70" s="1643">
        <f ca="1">BS_IS!L62/BS_IS!L28</f>
        <v>-1.7799419719237847E-2</v>
      </c>
      <c r="M70" s="1643">
        <f ca="1">BS_IS!M62/BS_IS!M28</f>
        <v>1.8539896346567556E-2</v>
      </c>
      <c r="N70" s="1643">
        <f ca="1">BS_IS!N62/BS_IS!N28</f>
        <v>0.13806336760551979</v>
      </c>
      <c r="O70" s="1643">
        <f ca="1">BS_IS!O62/BS_IS!O28</f>
        <v>7.3642391529702686E-2</v>
      </c>
      <c r="P70" s="1643">
        <f ca="1">BS_IS!P62/BS_IS!P28</f>
        <v>8.0996276262656819E-2</v>
      </c>
      <c r="Q70" s="1643">
        <f ca="1">BS_IS!Q62/BS_IS!Q28</f>
        <v>9.1279110766142424E-2</v>
      </c>
      <c r="R70" s="1643">
        <f ca="1">BS_IS!R62/BS_IS!R28</f>
        <v>6.4064744393415765E-2</v>
      </c>
      <c r="S70" s="1643">
        <f ca="1">BS_IS!S62/BS_IS!S28</f>
        <v>6.698106403792857E-2</v>
      </c>
      <c r="T70" s="1643">
        <f ca="1">BS_IS!T62/BS_IS!T28</f>
        <v>7.7094937230469077E-2</v>
      </c>
      <c r="U70" s="1643">
        <f ca="1">BS_IS!U62/BS_IS!U28</f>
        <v>8.3762516495856532E-2</v>
      </c>
      <c r="V70" s="1643">
        <f ca="1">BS_IS!V62/BS_IS!V28</f>
        <v>5.9388684535598736E-2</v>
      </c>
      <c r="W70" s="1643">
        <f ca="1">BS_IS!W62/BS_IS!W28</f>
        <v>7.6441314296863266E-2</v>
      </c>
      <c r="X70" s="1643">
        <f ca="1">BS_IS!X62/BS_IS!X28</f>
        <v>2.5977068431178429E-2</v>
      </c>
      <c r="Y70" s="1643">
        <f ca="1">BS_IS!Y62/BS_IS!Y28</f>
        <v>-8.0773145136156257E-2</v>
      </c>
      <c r="Z70" s="1643">
        <f ca="1">BS_IS!Z62/BS_IS!Z28</f>
        <v>-0.12623253615340146</v>
      </c>
      <c r="AA70" s="1643">
        <f ca="1">BS_IS!AA62/BS_IS!AA28</f>
        <v>-0.14127384582863231</v>
      </c>
      <c r="AB70" s="1643">
        <f ca="1">BS_IS!AB62/BS_IS!AB28</f>
        <v>-8.5995343722583967E-2</v>
      </c>
      <c r="AC70" s="1643">
        <f ca="1">BS_IS!AC62/BS_IS!AC28</f>
        <v>-2.6656574857943489E-2</v>
      </c>
    </row>
    <row r="71" spans="1:53" s="1643" customFormat="1">
      <c r="A71" s="1651"/>
      <c r="B71" s="1651"/>
      <c r="C71" s="1651"/>
      <c r="F71" s="1652"/>
    </row>
    <row r="72" spans="1:53" s="1643" customFormat="1">
      <c r="A72" s="1653" t="s">
        <v>1552</v>
      </c>
      <c r="B72" s="1651"/>
      <c r="C72" s="1651"/>
      <c r="F72" s="1652"/>
    </row>
    <row r="73" spans="1:53" s="1643" customFormat="1">
      <c r="A73" s="1651" t="s">
        <v>1553</v>
      </c>
      <c r="B73" s="1651"/>
      <c r="C73" s="1651"/>
      <c r="F73" s="1652">
        <f ca="1">AVERAGE(I73:AC73)</f>
        <v>0.19291160901753002</v>
      </c>
      <c r="G73" s="1650" t="e">
        <f ca="1">(BS_IS!G41+BS_IS!G46+BS_IS!G48)/BS_IS!G39</f>
        <v>#DIV/0!</v>
      </c>
      <c r="H73" s="1643" t="e">
        <f ca="1">(BS_IS!H41+BS_IS!H46+BS_IS!H48)/BS_IS!H39</f>
        <v>#DIV/0!</v>
      </c>
      <c r="I73" s="1643">
        <f ca="1">(BS_IS!I41+BS_IS!I46+BS_IS!I48)/BS_IS!I39</f>
        <v>-0.21067880396294258</v>
      </c>
      <c r="J73" s="1643">
        <f ca="1">(BS_IS!J41+BS_IS!J46+BS_IS!J48)/BS_IS!J39</f>
        <v>0.25899097811292099</v>
      </c>
      <c r="K73" s="1643">
        <f ca="1">(BS_IS!K41+BS_IS!K46+BS_IS!K48)/BS_IS!K39</f>
        <v>0.24372695701537508</v>
      </c>
      <c r="L73" s="1643">
        <f ca="1">(BS_IS!L41+BS_IS!L46+BS_IS!L48)/BS_IS!L39</f>
        <v>0.26712381418264552</v>
      </c>
      <c r="M73" s="1643">
        <f ca="1">(BS_IS!M41+BS_IS!M46+BS_IS!M48)/BS_IS!M39</f>
        <v>0.28466811063459752</v>
      </c>
      <c r="N73" s="1643">
        <f ca="1">(BS_IS!N41+BS_IS!N46+BS_IS!N48)/BS_IS!N39</f>
        <v>0.32064793738817271</v>
      </c>
      <c r="O73" s="1643">
        <f ca="1">(BS_IS!O41+BS_IS!O46+BS_IS!O48)/BS_IS!O39</f>
        <v>0.32144255785525622</v>
      </c>
      <c r="P73" s="1643">
        <f ca="1">(BS_IS!P41+BS_IS!P46+BS_IS!P48)/BS_IS!P39</f>
        <v>0.31732616374337591</v>
      </c>
      <c r="Q73" s="1643">
        <f ca="1">(BS_IS!Q41+BS_IS!Q46+BS_IS!Q48)/BS_IS!Q39</f>
        <v>0.3031150762138719</v>
      </c>
      <c r="R73" s="1643">
        <f ca="1">(BS_IS!R41+BS_IS!R46+BS_IS!R48)/BS_IS!R39</f>
        <v>0.28251989944359684</v>
      </c>
      <c r="S73" s="1643">
        <f ca="1">(BS_IS!S41+BS_IS!S46+BS_IS!S48)/BS_IS!S39</f>
        <v>0.27285484236761565</v>
      </c>
      <c r="T73" s="1643">
        <f ca="1">(BS_IS!T41+BS_IS!T46+BS_IS!T48)/BS_IS!T39</f>
        <v>0.26957379959492889</v>
      </c>
      <c r="U73" s="1643">
        <f ca="1">(BS_IS!U41+BS_IS!U46+BS_IS!U48)/BS_IS!U39</f>
        <v>0.25974842215834176</v>
      </c>
      <c r="V73" s="1643">
        <f ca="1">(BS_IS!V41+BS_IS!V46+BS_IS!V48)/BS_IS!V39</f>
        <v>0.22300197297500346</v>
      </c>
      <c r="W73" s="1643">
        <f ca="1">(BS_IS!W41+BS_IS!W46+BS_IS!W48)/BS_IS!W39</f>
        <v>0.23064497779364895</v>
      </c>
      <c r="X73" s="1643">
        <f ca="1">(BS_IS!X41+BS_IS!X46+BS_IS!X48)/BS_IS!X39</f>
        <v>0.16589531803051891</v>
      </c>
      <c r="Y73" s="1643">
        <f ca="1">(BS_IS!Y41+BS_IS!Y46+BS_IS!Y48)/BS_IS!Y39</f>
        <v>7.4576623012782381E-2</v>
      </c>
      <c r="Z73" s="1643">
        <f ca="1">(BS_IS!Z41+BS_IS!Z46+BS_IS!Z48)/BS_IS!Z39</f>
        <v>4.1705807934666377E-2</v>
      </c>
      <c r="AA73" s="1643">
        <f ca="1">(BS_IS!AA41+BS_IS!AA46+BS_IS!AA48)/BS_IS!AA39</f>
        <v>3.169195887614111E-2</v>
      </c>
      <c r="AB73" s="1643">
        <f ca="1">(BS_IS!AB41+BS_IS!AB46+BS_IS!AB48)/BS_IS!AB39</f>
        <v>4.2548357951270918E-2</v>
      </c>
      <c r="AC73" s="1643">
        <f ca="1">(BS_IS!AC41+BS_IS!AC46+BS_IS!AC48)/BS_IS!AC39</f>
        <v>5.0019018046342602E-2</v>
      </c>
    </row>
    <row r="74" spans="1:53" s="1643" customFormat="1">
      <c r="A74" s="1651" t="s">
        <v>1554</v>
      </c>
      <c r="B74" s="1651"/>
      <c r="C74" s="1651"/>
      <c r="F74" s="1652">
        <f ca="1">AVERAGE(I74:AC74)</f>
        <v>-3.8921080647862316E-2</v>
      </c>
      <c r="G74" s="1643" t="e">
        <f ca="1">BS_IS!G62/BS_IS!G39</f>
        <v>#DIV/0!</v>
      </c>
      <c r="H74" s="1643" t="e">
        <f ca="1">BS_IS!H62/BS_IS!H39</f>
        <v>#DIV/0!</v>
      </c>
      <c r="I74" s="1643">
        <f ca="1">BS_IS!I62/BS_IS!I39</f>
        <v>-0.72225420691211883</v>
      </c>
      <c r="J74" s="1643">
        <f ca="1">BS_IS!J62/BS_IS!J39</f>
        <v>-0.2128703654925031</v>
      </c>
      <c r="K74" s="1643">
        <f ca="1">BS_IS!K62/BS_IS!K39</f>
        <v>-2.9533144257285912E-2</v>
      </c>
      <c r="L74" s="1643">
        <f ca="1">BS_IS!L62/BS_IS!L39</f>
        <v>-1.1373873934438099E-2</v>
      </c>
      <c r="M74" s="1643">
        <f ca="1">BS_IS!M62/BS_IS!M39</f>
        <v>1.1315489365237142E-2</v>
      </c>
      <c r="N74" s="1643">
        <f ca="1">BS_IS!N62/BS_IS!N39</f>
        <v>8.114253372255574E-2</v>
      </c>
      <c r="O74" s="1643">
        <f ca="1">BS_IS!O62/BS_IS!O39</f>
        <v>4.2280824303714416E-2</v>
      </c>
      <c r="P74" s="1643">
        <f ca="1">BS_IS!P62/BS_IS!P39</f>
        <v>4.5583123733047438E-2</v>
      </c>
      <c r="Q74" s="1643">
        <f ca="1">BS_IS!Q62/BS_IS!Q39</f>
        <v>5.1416225394923729E-2</v>
      </c>
      <c r="R74" s="1643">
        <f ca="1">BS_IS!R62/BS_IS!R39</f>
        <v>3.6440099558529927E-2</v>
      </c>
      <c r="S74" s="1643">
        <f ca="1">BS_IS!S62/BS_IS!S39</f>
        <v>3.7780134365131252E-2</v>
      </c>
      <c r="T74" s="1643">
        <f ca="1">BS_IS!T62/BS_IS!T39</f>
        <v>4.2518994719256555E-2</v>
      </c>
      <c r="U74" s="1643">
        <f ca="1">BS_IS!U62/BS_IS!U39</f>
        <v>4.5806891309962273E-2</v>
      </c>
      <c r="V74" s="1643">
        <f ca="1">BS_IS!V62/BS_IS!V39</f>
        <v>3.3401880284289004E-2</v>
      </c>
      <c r="W74" s="1643">
        <f ca="1">BS_IS!W62/BS_IS!W39</f>
        <v>4.1420905472276066E-2</v>
      </c>
      <c r="X74" s="1643">
        <f ca="1">BS_IS!X62/BS_IS!X39</f>
        <v>1.4946183845707013E-2</v>
      </c>
      <c r="Y74" s="1643">
        <f ca="1">BS_IS!Y62/BS_IS!Y39</f>
        <v>-5.0788491029082686E-2</v>
      </c>
      <c r="Z74" s="1643">
        <f ca="1">BS_IS!Z62/BS_IS!Z39</f>
        <v>-8.0274706519361499E-2</v>
      </c>
      <c r="AA74" s="1643">
        <f ca="1">BS_IS!AA62/BS_IS!AA39</f>
        <v>-8.8585754901865266E-2</v>
      </c>
      <c r="AB74" s="1643">
        <f ca="1">BS_IS!AB62/BS_IS!AB39</f>
        <v>-5.4546112975182352E-2</v>
      </c>
      <c r="AC74" s="1643">
        <f ca="1">BS_IS!AC62/BS_IS!AC39</f>
        <v>-5.1169323657901451E-2</v>
      </c>
    </row>
    <row r="75" spans="1:53" s="1645" customFormat="1">
      <c r="A75" s="1644" t="s">
        <v>1555</v>
      </c>
      <c r="B75" s="1644"/>
      <c r="C75" s="1644"/>
      <c r="F75" s="1646">
        <f ca="1">AVERAGE(I75:AC75)</f>
        <v>2.7709645817536406</v>
      </c>
      <c r="G75" s="1645" t="e">
        <f ca="1">BS_IS!G73/BS_IS!G62</f>
        <v>#DIV/0!</v>
      </c>
      <c r="H75" s="1645" t="e">
        <f ca="1">BS_IS!H73/BS_IS!H62</f>
        <v>#DIV/0!</v>
      </c>
      <c r="I75" s="1645">
        <f ca="1">BS_IS!I73/BS_IS!I62</f>
        <v>0.26994288245775022</v>
      </c>
      <c r="J75" s="1645">
        <f ca="1">BS_IS!J73/BS_IS!J62</f>
        <v>-1.1921982959110355</v>
      </c>
      <c r="K75" s="1645">
        <f ca="1">BS_IS!K73/BS_IS!K62</f>
        <v>-9.8452223095822333</v>
      </c>
      <c r="L75" s="1645">
        <f ca="1">BS_IS!L73/BS_IS!L62</f>
        <v>-25.923385432159932</v>
      </c>
      <c r="M75" s="1645">
        <f ca="1">BS_IS!M73/BS_IS!M62</f>
        <v>27.296460402205767</v>
      </c>
      <c r="N75" s="1645">
        <f ca="1">BS_IS!N73/BS_IS!N62</f>
        <v>3.9148793181498314</v>
      </c>
      <c r="O75" s="1645">
        <f ca="1">BS_IS!O73/BS_IS!O62</f>
        <v>7.4368611448555955</v>
      </c>
      <c r="P75" s="1645">
        <f ca="1">BS_IS!P73/BS_IS!P62</f>
        <v>6.8315725006830101</v>
      </c>
      <c r="Q75" s="1645">
        <f ca="1">BS_IS!Q73/BS_IS!Q62</f>
        <v>5.6088110947986873</v>
      </c>
      <c r="R75" s="1645">
        <f ca="1">BS_IS!R73/BS_IS!R62</f>
        <v>7.3423757965751104</v>
      </c>
      <c r="S75" s="1645">
        <f ca="1">BS_IS!S73/BS_IS!S62</f>
        <v>7.0240808799824208</v>
      </c>
      <c r="T75" s="1645">
        <f ca="1">BS_IS!T73/BS_IS!T62</f>
        <v>6.1251905445502111</v>
      </c>
      <c r="U75" s="1645">
        <f ca="1">BS_IS!U73/BS_IS!U62</f>
        <v>4.9854876516589544</v>
      </c>
      <c r="V75" s="1645">
        <f ca="1">BS_IS!V73/BS_IS!V62</f>
        <v>5.8718402401245227</v>
      </c>
      <c r="W75" s="1645">
        <f ca="1">BS_IS!W73/BS_IS!W62</f>
        <v>5.5234415610787719</v>
      </c>
      <c r="X75" s="1645">
        <f ca="1">BS_IS!X73/BS_IS!X62</f>
        <v>9.9170631294539167</v>
      </c>
      <c r="Y75" s="1645">
        <f ca="1">BS_IS!Y73/BS_IS!Y62</f>
        <v>-1.3649434060196519</v>
      </c>
      <c r="Z75" s="1645">
        <f ca="1">BS_IS!Z73/BS_IS!Z62</f>
        <v>-0.45228716523034201</v>
      </c>
      <c r="AA75" s="1645">
        <f ca="1">BS_IS!AA73/BS_IS!AA62</f>
        <v>-0.28203995290185163</v>
      </c>
      <c r="AB75" s="1645">
        <f ca="1">BS_IS!AB73/BS_IS!AB62</f>
        <v>-0.62627311868586577</v>
      </c>
      <c r="AC75" s="1645">
        <f ca="1">BS_IS!AC73/BS_IS!AC62</f>
        <v>-0.27140124925718356</v>
      </c>
    </row>
    <row r="76" spans="1:53" s="1645" customFormat="1">
      <c r="A76" s="1644"/>
      <c r="B76" s="1644"/>
      <c r="C76" s="1644"/>
      <c r="F76" s="1646"/>
    </row>
    <row r="77" spans="1:53" s="1645" customFormat="1">
      <c r="A77" s="1649" t="s">
        <v>1556</v>
      </c>
      <c r="B77" s="1644"/>
      <c r="C77" s="1644"/>
      <c r="F77" s="1646"/>
    </row>
    <row r="78" spans="1:53" s="1645" customFormat="1">
      <c r="A78" s="1644" t="s">
        <v>1557</v>
      </c>
      <c r="B78" s="1644"/>
      <c r="C78" s="1644"/>
      <c r="F78" s="1646">
        <f ca="1">AVERAGE(G78:AC78)</f>
        <v>0.81830022985878725</v>
      </c>
      <c r="G78" s="1645">
        <f ca="1">BS_IS!G39/BS_IS!G18</f>
        <v>0</v>
      </c>
      <c r="H78" s="1645">
        <f ca="1">BS_IS!H39/BS_IS!H18</f>
        <v>0</v>
      </c>
      <c r="I78" s="1645">
        <f ca="1">BS_IS!I39/BS_IS!I18</f>
        <v>5.1945334063115384E-2</v>
      </c>
      <c r="J78" s="1645">
        <f ca="1">BS_IS!J39/BS_IS!J18</f>
        <v>5.4463120175231229E-2</v>
      </c>
      <c r="K78" s="1645">
        <f ca="1">BS_IS!K39/BS_IS!K18</f>
        <v>0.30781686218294696</v>
      </c>
      <c r="L78" s="1645">
        <f ca="1">BS_IS!L39/BS_IS!L18</f>
        <v>0.46065904770818672</v>
      </c>
      <c r="M78" s="1645">
        <f ca="1">BS_IS!M39/BS_IS!M18</f>
        <v>0.50386407698924274</v>
      </c>
      <c r="N78" s="1645">
        <f ca="1">BS_IS!N39/BS_IS!N18</f>
        <v>0.53131063164121384</v>
      </c>
      <c r="O78" s="1645">
        <f ca="1">BS_IS!O39/BS_IS!O18</f>
        <v>0.56641161056128964</v>
      </c>
      <c r="P78" s="1645">
        <f ca="1">BS_IS!P39/BS_IS!P18</f>
        <v>0.60318381432238555</v>
      </c>
      <c r="Q78" s="1645">
        <f ca="1">BS_IS!Q39/BS_IS!Q18</f>
        <v>0.63669073363164574</v>
      </c>
      <c r="R78" s="1645">
        <f ca="1">BS_IS!R39/BS_IS!R18</f>
        <v>0.67968043536563927</v>
      </c>
      <c r="S78" s="1645">
        <f ca="1">BS_IS!S39/BS_IS!S18</f>
        <v>0.74891691736342814</v>
      </c>
      <c r="T78" s="1645">
        <f ca="1">BS_IS!T39/BS_IS!T18</f>
        <v>0.8481189085994143</v>
      </c>
      <c r="U78" s="1645">
        <f ca="1">BS_IS!U39/BS_IS!U18</f>
        <v>0.96219811366889096</v>
      </c>
      <c r="V78" s="1645">
        <f ca="1">BS_IS!V39/BS_IS!V18</f>
        <v>1.0554768838175133</v>
      </c>
      <c r="W78" s="1645">
        <f ca="1">BS_IS!W39/BS_IS!W18</f>
        <v>1.195387818263584</v>
      </c>
      <c r="X78" s="1645">
        <f ca="1">BS_IS!X39/BS_IS!X18</f>
        <v>1.2397429235916868</v>
      </c>
      <c r="Y78" s="1645">
        <f ca="1">BS_IS!Y39/BS_IS!Y18</f>
        <v>1.3379384328788155</v>
      </c>
      <c r="Z78" s="1645">
        <f ca="1">BS_IS!Z39/BS_IS!Z18</f>
        <v>1.4800774666302308</v>
      </c>
      <c r="AA78" s="1645">
        <f ca="1">BS_IS!AA39/BS_IS!AA18</f>
        <v>1.7312333626930234</v>
      </c>
      <c r="AB78" s="1645">
        <f ca="1">BS_IS!AB39/BS_IS!AB18</f>
        <v>1.9795112087530804</v>
      </c>
      <c r="AC78" s="1645">
        <f ca="1">BS_IS!AC39/BS_IS!AC18</f>
        <v>1.8462775838515464</v>
      </c>
    </row>
    <row r="79" spans="1:53" s="1645" customFormat="1">
      <c r="A79" s="1644" t="s">
        <v>1558</v>
      </c>
      <c r="B79" s="1644"/>
      <c r="C79" s="1644"/>
      <c r="F79" s="1647" t="s">
        <v>1559</v>
      </c>
      <c r="G79" s="1648" t="s">
        <v>1559</v>
      </c>
      <c r="H79" s="1648" t="s">
        <v>1559</v>
      </c>
      <c r="I79" s="1648" t="s">
        <v>1559</v>
      </c>
      <c r="J79" s="1648" t="s">
        <v>1559</v>
      </c>
      <c r="K79" s="1648" t="s">
        <v>1559</v>
      </c>
      <c r="L79" s="1648" t="s">
        <v>1559</v>
      </c>
      <c r="M79" s="1648" t="s">
        <v>1559</v>
      </c>
      <c r="N79" s="1648" t="s">
        <v>1559</v>
      </c>
      <c r="O79" s="1648" t="s">
        <v>1559</v>
      </c>
      <c r="P79" s="1648" t="s">
        <v>1559</v>
      </c>
      <c r="Q79" s="1648" t="s">
        <v>1559</v>
      </c>
      <c r="R79" s="1648" t="s">
        <v>1559</v>
      </c>
      <c r="S79" s="1648" t="s">
        <v>1559</v>
      </c>
      <c r="T79" s="1648" t="s">
        <v>1559</v>
      </c>
      <c r="U79" s="1648" t="s">
        <v>1559</v>
      </c>
      <c r="V79" s="1648" t="s">
        <v>1559</v>
      </c>
      <c r="W79" s="1648" t="s">
        <v>1559</v>
      </c>
      <c r="X79" s="1648" t="s">
        <v>1559</v>
      </c>
      <c r="Y79" s="1648" t="s">
        <v>1559</v>
      </c>
      <c r="Z79" s="1648" t="s">
        <v>1559</v>
      </c>
      <c r="AA79" s="1648" t="s">
        <v>1559</v>
      </c>
      <c r="AB79" s="1648" t="s">
        <v>1559</v>
      </c>
      <c r="AC79" s="1648" t="s">
        <v>1559</v>
      </c>
    </row>
    <row r="80" spans="1:53" s="1645" customFormat="1">
      <c r="A80" s="1644" t="s">
        <v>1560</v>
      </c>
      <c r="B80" s="1644"/>
      <c r="C80" s="1644"/>
      <c r="F80" s="1646">
        <f ca="1">AVERAGE(G80:AB80)</f>
        <v>2.4077416363099422</v>
      </c>
      <c r="G80" s="1645">
        <f ca="1">BS_IS!G39/BS_IS!G15</f>
        <v>0</v>
      </c>
      <c r="H80" s="1645">
        <f ca="1">BS_IS!H39/BS_IS!H15</f>
        <v>0</v>
      </c>
      <c r="I80" s="1645">
        <f ca="1">BS_IS!I39/BS_IS!I15</f>
        <v>5.187232348600241E-2</v>
      </c>
      <c r="J80" s="1645">
        <f ca="1">BS_IS!J39/BS_IS!J15</f>
        <v>5.5320314963150201E-2</v>
      </c>
      <c r="K80" s="1645">
        <f ca="1">BS_IS!K39/BS_IS!K15</f>
        <v>0.33095765567575053</v>
      </c>
      <c r="L80" s="1645">
        <f ca="1">BS_IS!L39/BS_IS!L15</f>
        <v>0.50021296186419084</v>
      </c>
      <c r="M80" s="1645">
        <f ca="1">BS_IS!M39/BS_IS!M15</f>
        <v>0.55791736677568948</v>
      </c>
      <c r="N80" s="1645">
        <f ca="1">BS_IS!N39/BS_IS!N15</f>
        <v>0.61987049541609263</v>
      </c>
      <c r="O80" s="1645">
        <f ca="1">BS_IS!O39/BS_IS!O15</f>
        <v>0.68220769517392477</v>
      </c>
      <c r="P80" s="1645">
        <f ca="1">BS_IS!P39/BS_IS!P15</f>
        <v>0.75251056490323109</v>
      </c>
      <c r="Q80" s="1645">
        <f ca="1">BS_IS!Q39/BS_IS!Q15</f>
        <v>0.81830960103794181</v>
      </c>
      <c r="R80" s="1645">
        <f ca="1">BS_IS!R39/BS_IS!R15</f>
        <v>0.88897418894024505</v>
      </c>
      <c r="S80" s="1645">
        <f ca="1">BS_IS!S39/BS_IS!S15</f>
        <v>0.99276442096020989</v>
      </c>
      <c r="T80" s="1645">
        <f ca="1">BS_IS!T39/BS_IS!T15</f>
        <v>1.1374911631801516</v>
      </c>
      <c r="U80" s="1645">
        <f ca="1">BS_IS!U39/BS_IS!U15</f>
        <v>1.3040859930975672</v>
      </c>
      <c r="V80" s="1645">
        <f ca="1">BS_IS!V39/BS_IS!V15</f>
        <v>1.4689472496582583</v>
      </c>
      <c r="W80" s="1645">
        <f ca="1">BS_IS!W39/BS_IS!W15</f>
        <v>1.8118161769818431</v>
      </c>
      <c r="X80" s="1645">
        <f ca="1">BS_IS!X39/BS_IS!X15</f>
        <v>2.1022227579300425</v>
      </c>
      <c r="Y80" s="1645">
        <f ca="1">BS_IS!Y39/BS_IS!Y15</f>
        <v>2.5047454686413788</v>
      </c>
      <c r="Z80" s="1645">
        <f ca="1">BS_IS!Z39/BS_IS!Z15</f>
        <v>3.5486143296156745</v>
      </c>
      <c r="AA80" s="1645">
        <f ca="1">BS_IS!AA39/BS_IS!AA15</f>
        <v>6.3456366197568075</v>
      </c>
      <c r="AB80" s="1645">
        <f ca="1">BS_IS!AB39/BS_IS!AB15</f>
        <v>26.495838650760575</v>
      </c>
      <c r="AC80" s="1645" t="e">
        <f ca="1">BS_IS!AC39/BS_IS!AC15</f>
        <v>#DIV/0!</v>
      </c>
    </row>
    <row r="81" spans="1:53" s="1645" customFormat="1">
      <c r="A81" s="1644"/>
      <c r="B81" s="1644"/>
      <c r="C81" s="1644"/>
      <c r="F81" s="1646"/>
    </row>
    <row r="82" spans="1:53" s="1645" customFormat="1">
      <c r="A82" s="1649" t="s">
        <v>1562</v>
      </c>
      <c r="B82" s="1644"/>
      <c r="C82" s="1644"/>
      <c r="F82" s="1646"/>
    </row>
    <row r="83" spans="1:53" s="1645" customFormat="1">
      <c r="A83" s="1644" t="s">
        <v>1563</v>
      </c>
      <c r="B83" s="1644"/>
      <c r="C83" s="1644"/>
      <c r="F83" s="1647" t="s">
        <v>1559</v>
      </c>
      <c r="G83" s="1648" t="s">
        <v>1559</v>
      </c>
      <c r="H83" s="1648" t="s">
        <v>1559</v>
      </c>
      <c r="I83" s="1648" t="s">
        <v>1559</v>
      </c>
      <c r="J83" s="1648" t="s">
        <v>1559</v>
      </c>
      <c r="K83" s="1648" t="s">
        <v>1559</v>
      </c>
      <c r="L83" s="1648" t="s">
        <v>1559</v>
      </c>
      <c r="M83" s="1648" t="s">
        <v>1559</v>
      </c>
      <c r="N83" s="1648" t="s">
        <v>1559</v>
      </c>
      <c r="O83" s="1648" t="s">
        <v>1559</v>
      </c>
      <c r="P83" s="1648" t="s">
        <v>1559</v>
      </c>
      <c r="Q83" s="1648" t="s">
        <v>1559</v>
      </c>
      <c r="R83" s="1648" t="s">
        <v>1559</v>
      </c>
      <c r="S83" s="1648" t="s">
        <v>1559</v>
      </c>
      <c r="T83" s="1648" t="s">
        <v>1559</v>
      </c>
      <c r="U83" s="1648" t="s">
        <v>1559</v>
      </c>
      <c r="V83" s="1648" t="s">
        <v>1559</v>
      </c>
      <c r="W83" s="1648" t="s">
        <v>1559</v>
      </c>
      <c r="X83" s="1648" t="s">
        <v>1559</v>
      </c>
      <c r="Y83" s="1648" t="s">
        <v>1559</v>
      </c>
      <c r="Z83" s="1648" t="s">
        <v>1559</v>
      </c>
      <c r="AA83" s="1648" t="s">
        <v>1559</v>
      </c>
      <c r="AB83" s="1648" t="s">
        <v>1559</v>
      </c>
      <c r="AC83" s="1648" t="s">
        <v>1559</v>
      </c>
    </row>
    <row r="84" spans="1:53" s="1645" customFormat="1">
      <c r="A84" s="1644" t="s">
        <v>1564</v>
      </c>
      <c r="B84" s="1644"/>
      <c r="C84" s="1644"/>
      <c r="F84" s="1647" t="s">
        <v>1559</v>
      </c>
      <c r="G84" s="1648" t="s">
        <v>1559</v>
      </c>
      <c r="H84" s="1648" t="s">
        <v>1559</v>
      </c>
      <c r="I84" s="1648" t="s">
        <v>1559</v>
      </c>
      <c r="J84" s="1648" t="s">
        <v>1559</v>
      </c>
      <c r="K84" s="1648" t="s">
        <v>1559</v>
      </c>
      <c r="L84" s="1648" t="s">
        <v>1559</v>
      </c>
      <c r="M84" s="1648" t="s">
        <v>1559</v>
      </c>
      <c r="N84" s="1648" t="s">
        <v>1559</v>
      </c>
      <c r="O84" s="1648" t="s">
        <v>1559</v>
      </c>
      <c r="P84" s="1648" t="s">
        <v>1559</v>
      </c>
      <c r="Q84" s="1648" t="s">
        <v>1559</v>
      </c>
      <c r="R84" s="1648" t="s">
        <v>1559</v>
      </c>
      <c r="S84" s="1648" t="s">
        <v>1559</v>
      </c>
      <c r="T84" s="1648" t="s">
        <v>1559</v>
      </c>
      <c r="U84" s="1648" t="s">
        <v>1559</v>
      </c>
      <c r="V84" s="1648" t="s">
        <v>1559</v>
      </c>
      <c r="W84" s="1648" t="s">
        <v>1559</v>
      </c>
      <c r="X84" s="1648" t="s">
        <v>1559</v>
      </c>
      <c r="Y84" s="1648" t="s">
        <v>1559</v>
      </c>
      <c r="Z84" s="1648" t="s">
        <v>1559</v>
      </c>
      <c r="AA84" s="1648" t="s">
        <v>1559</v>
      </c>
      <c r="AB84" s="1648" t="s">
        <v>1559</v>
      </c>
      <c r="AC84" s="1648" t="s">
        <v>1559</v>
      </c>
    </row>
    <row r="85" spans="1:53" s="1645" customFormat="1">
      <c r="A85" s="1644" t="s">
        <v>1565</v>
      </c>
      <c r="B85" s="1644"/>
      <c r="C85" s="1644"/>
      <c r="F85" s="1646">
        <f ca="1">AVERAGE(I85:Y85)</f>
        <v>1.3610814887201017</v>
      </c>
      <c r="G85" s="1645" t="e">
        <f ca="1">(BS_IS!G50+BS_IS!G52)/-(SUM(BS_IS!G53:G55))</f>
        <v>#DIV/0!</v>
      </c>
      <c r="H85" s="1645" t="e">
        <f ca="1">(BS_IS!H50+BS_IS!H52)/-(SUM(BS_IS!H53:H55))</f>
        <v>#DIV/0!</v>
      </c>
      <c r="I85" s="1645">
        <f ca="1">(BS_IS!I50+BS_IS!I52)/-(SUM(BS_IS!I53:I55))</f>
        <v>-5.6541405128961886</v>
      </c>
      <c r="J85" s="1645">
        <f ca="1">(BS_IS!J50+BS_IS!J52)/-(SUM(BS_IS!J53:J55))</f>
        <v>-0.41498883378367146</v>
      </c>
      <c r="K85" s="1645">
        <f ca="1">(BS_IS!K50+BS_IS!K52)/-(SUM(BS_IS!K53:K55))</f>
        <v>0.80317832104626219</v>
      </c>
      <c r="L85" s="1645">
        <f ca="1">(BS_IS!L50+BS_IS!L52)/-(SUM(BS_IS!L53:L55))</f>
        <v>0.92705655199288839</v>
      </c>
      <c r="M85" s="1645">
        <f ca="1">(BS_IS!M50+BS_IS!M52)/-(SUM(BS_IS!M53:M55))</f>
        <v>1.1909660709737555</v>
      </c>
      <c r="N85" s="1645">
        <f ca="1">(BS_IS!N50+BS_IS!N52)/-(SUM(BS_IS!N53:N55))</f>
        <v>1.6400673722126653</v>
      </c>
      <c r="O85" s="1645">
        <f ca="1">(BS_IS!O50+BS_IS!O52)/-(SUM(BS_IS!O53:O55))</f>
        <v>1.8539301754143742</v>
      </c>
      <c r="P85" s="1645">
        <f ca="1">(BS_IS!P50+BS_IS!P52)/-(SUM(BS_IS!P53:P55))</f>
        <v>2.0687037225839817</v>
      </c>
      <c r="Q85" s="1645">
        <f ca="1">(BS_IS!Q50+BS_IS!Q52)/-(SUM(BS_IS!Q53:Q55))</f>
        <v>2.1679403495471656</v>
      </c>
      <c r="R85" s="1645">
        <f ca="1">(BS_IS!R50+BS_IS!R52)/-(SUM(BS_IS!R53:R55))</f>
        <v>2.2007070787670209</v>
      </c>
      <c r="S85" s="1645">
        <f ca="1">(BS_IS!S50+BS_IS!S52)/-(SUM(BS_IS!S53:S55))</f>
        <v>2.4740104217948926</v>
      </c>
      <c r="T85" s="1645">
        <f ca="1">(BS_IS!T50+BS_IS!T52)/-(SUM(BS_IS!T53:T55))</f>
        <v>3.0662956037586029</v>
      </c>
      <c r="U85" s="1645">
        <f ca="1">(BS_IS!U50+BS_IS!U52)/-(SUM(BS_IS!U53:U55))</f>
        <v>3.8077048049650948</v>
      </c>
      <c r="V85" s="1645">
        <f ca="1">(BS_IS!V50+BS_IS!V52)/-(SUM(BS_IS!V53:V55))</f>
        <v>4.0549593905029226</v>
      </c>
      <c r="W85" s="1645">
        <f ca="1">(BS_IS!W50+BS_IS!W52)/-(SUM(BS_IS!W53:W55))</f>
        <v>7.6178781157172892</v>
      </c>
      <c r="X85" s="1645">
        <f ca="1">(BS_IS!X50+BS_IS!X52)/-(SUM(BS_IS!X53:X55))</f>
        <v>5.0137090041626751</v>
      </c>
      <c r="Y85" s="1645">
        <f ca="1">(BS_IS!Y50+BS_IS!Y52)/-(SUM(BS_IS!Y53:Y55))</f>
        <v>-9.6795923285179999</v>
      </c>
      <c r="Z85" s="1645" t="e">
        <f ca="1">(BS_IS!Z50+BS_IS!Z52)/-(SUM(BS_IS!Z53:Z55))</f>
        <v>#DIV/0!</v>
      </c>
      <c r="AA85" s="1645" t="e">
        <f ca="1">(BS_IS!AA50+BS_IS!AA52)/-(SUM(BS_IS!AA53:AA55))</f>
        <v>#DIV/0!</v>
      </c>
      <c r="AB85" s="1645" t="e">
        <f ca="1">(BS_IS!AB50+BS_IS!AB52)/-(SUM(BS_IS!AB53:AB55))</f>
        <v>#DIV/0!</v>
      </c>
      <c r="AC85" s="1645" t="e">
        <f ca="1">(BS_IS!AC50+BS_IS!AC52)/-(SUM(BS_IS!AC53:AC55))</f>
        <v>#DIV/0!</v>
      </c>
    </row>
    <row r="86" spans="1:53" s="1645" customFormat="1">
      <c r="A86" s="1644" t="s">
        <v>1566</v>
      </c>
      <c r="B86" s="1644"/>
      <c r="C86" s="1644"/>
      <c r="F86" s="1646">
        <f ca="1">AVERAGE(K86:Y86)</f>
        <v>1.9407942821722735</v>
      </c>
      <c r="G86" s="1645" t="s">
        <v>1561</v>
      </c>
      <c r="H86" s="1645" t="s">
        <v>1561</v>
      </c>
      <c r="I86" s="1645" t="s">
        <v>1561</v>
      </c>
      <c r="J86" s="1645" t="s">
        <v>1561</v>
      </c>
      <c r="K86" s="1645">
        <f ca="1">BS_IS!K50/('Debt Amort'!G14)</f>
        <v>3.6196500200831943</v>
      </c>
      <c r="L86" s="1645">
        <f ca="1">BS_IS!L50/('Debt Amort'!H14)</f>
        <v>1.3658388083533055</v>
      </c>
      <c r="M86" s="1645">
        <f ca="1">BS_IS!M50/('Debt Amort'!I14)</f>
        <v>1.5467182851750727</v>
      </c>
      <c r="N86" s="1645">
        <f ca="1">BS_IS!N50/('Debt Amort'!J14)</f>
        <v>1.7591342897644426</v>
      </c>
      <c r="O86" s="1645">
        <f ca="1">BS_IS!O50/('Debt Amort'!K14)</f>
        <v>1.8260301418828551</v>
      </c>
      <c r="P86" s="1645">
        <f ca="1">BS_IS!P50/('Debt Amort'!L14)</f>
        <v>1.8827842187104238</v>
      </c>
      <c r="Q86" s="1645">
        <f ca="1">BS_IS!Q50/('Debt Amort'!M14)</f>
        <v>1.855669788419944</v>
      </c>
      <c r="R86" s="1645">
        <f ca="1">BS_IS!R50/('Debt Amort'!N14)</f>
        <v>1.8604550004646918</v>
      </c>
      <c r="S86" s="1645">
        <f ca="1">BS_IS!S50/('Debt Amort'!O14)</f>
        <v>1.9689989238430321</v>
      </c>
      <c r="T86" s="1645">
        <f ca="1">BS_IS!T50/('Debt Amort'!P14)</f>
        <v>2.0765446187561416</v>
      </c>
      <c r="U86" s="1645">
        <f ca="1">BS_IS!U50/('Debt Amort'!Q14)</f>
        <v>2.0624422586994489</v>
      </c>
      <c r="V86" s="1645">
        <f ca="1">BS_IS!V50/('Debt Amort'!R14)</f>
        <v>2.1683167973756117</v>
      </c>
      <c r="W86" s="1645">
        <f ca="1">BS_IS!W50/('Debt Amort'!S14)</f>
        <v>2.4831512159688249</v>
      </c>
      <c r="X86" s="1645">
        <f ca="1">BS_IS!X50/('Debt Amort'!T14)</f>
        <v>1.7892678056437792</v>
      </c>
      <c r="Y86" s="1645">
        <f ca="1">BS_IS!Y50/('Debt Amort'!U14)</f>
        <v>0.84691205944333459</v>
      </c>
      <c r="Z86" s="1645" t="e">
        <f ca="1">BS_IS!Z50/('Debt Amort'!V14)</f>
        <v>#DIV/0!</v>
      </c>
      <c r="AA86" s="1645" t="e">
        <f ca="1">BS_IS!AA50/('Debt Amort'!W14)</f>
        <v>#DIV/0!</v>
      </c>
      <c r="AB86" s="1645" t="e">
        <f ca="1">BS_IS!AB50/('Debt Amort'!X14)</f>
        <v>#DIV/0!</v>
      </c>
      <c r="AC86" s="1645" t="e">
        <f ca="1">BS_IS!AC50/('Debt Amort'!Y14)</f>
        <v>#DIV/0!</v>
      </c>
    </row>
    <row r="87" spans="1:53" s="1607" customFormat="1">
      <c r="A87" s="289"/>
      <c r="B87" s="289"/>
      <c r="C87" s="289"/>
      <c r="D87" s="1641"/>
      <c r="E87" s="1641"/>
      <c r="F87" s="1641"/>
      <c r="G87" s="1641"/>
      <c r="H87" s="1642"/>
      <c r="I87" s="1643"/>
      <c r="J87" s="1643"/>
      <c r="K87" s="1643"/>
      <c r="L87" s="1643"/>
      <c r="M87" s="1643"/>
      <c r="N87" s="1643"/>
      <c r="O87" s="1643"/>
      <c r="P87" s="1643"/>
      <c r="Q87" s="1643"/>
      <c r="R87" s="1643"/>
      <c r="S87" s="1643"/>
      <c r="T87" s="1643"/>
      <c r="U87" s="1643"/>
      <c r="V87" s="1643"/>
      <c r="W87" s="1643"/>
      <c r="X87" s="1643"/>
      <c r="Y87" s="1643"/>
      <c r="Z87" s="1643"/>
      <c r="AA87" s="1643"/>
      <c r="AB87" s="1643"/>
      <c r="AC87" s="1643"/>
      <c r="AD87" s="1641"/>
      <c r="AE87" s="1641"/>
      <c r="AF87" s="1641"/>
      <c r="AG87" s="1641"/>
      <c r="AH87" s="1641"/>
      <c r="AI87" s="1641"/>
      <c r="AJ87" s="1641"/>
      <c r="AK87" s="1641"/>
      <c r="AL87" s="1641"/>
      <c r="AM87" s="1641"/>
      <c r="AN87" s="1641"/>
      <c r="AO87" s="1641"/>
      <c r="AP87" s="1641"/>
      <c r="AQ87" s="1641"/>
      <c r="AR87" s="1641"/>
      <c r="AS87" s="1641"/>
      <c r="AT87" s="1641"/>
      <c r="AU87" s="1641"/>
      <c r="AV87" s="1641"/>
      <c r="AW87" s="1641"/>
      <c r="AX87" s="1641"/>
      <c r="AY87" s="1641"/>
      <c r="AZ87" s="1641"/>
      <c r="BA87" s="1641"/>
    </row>
    <row r="88" spans="1:53" s="1607" customFormat="1">
      <c r="A88" s="289"/>
      <c r="B88" s="289"/>
      <c r="C88" s="289"/>
      <c r="D88" s="1641"/>
      <c r="E88" s="1641"/>
      <c r="F88" s="1641"/>
      <c r="G88" s="1641"/>
      <c r="H88" s="1643"/>
      <c r="I88" s="1643"/>
      <c r="J88" s="1643"/>
      <c r="K88" s="1643"/>
      <c r="L88" s="1643"/>
      <c r="M88" s="1643"/>
      <c r="N88" s="1643"/>
      <c r="O88" s="1643"/>
      <c r="P88" s="1643"/>
      <c r="Q88" s="1643"/>
      <c r="R88" s="1643"/>
      <c r="S88" s="1643"/>
      <c r="T88" s="1643"/>
      <c r="U88" s="1643"/>
      <c r="V88" s="1643"/>
      <c r="W88" s="1643"/>
      <c r="X88" s="1643"/>
      <c r="Y88" s="1643"/>
      <c r="Z88" s="1643"/>
      <c r="AA88" s="1643"/>
      <c r="AB88" s="1643"/>
      <c r="AC88" s="1643"/>
      <c r="AD88" s="1641"/>
      <c r="AE88" s="1641"/>
      <c r="AF88" s="1641"/>
      <c r="AG88" s="1641"/>
      <c r="AH88" s="1641"/>
      <c r="AI88" s="1641"/>
      <c r="AJ88" s="1641"/>
      <c r="AK88" s="1641"/>
      <c r="AL88" s="1641"/>
      <c r="AM88" s="1641"/>
      <c r="AN88" s="1641"/>
      <c r="AO88" s="1641"/>
      <c r="AP88" s="1641"/>
      <c r="AQ88" s="1641"/>
      <c r="AR88" s="1641"/>
      <c r="AS88" s="1641"/>
      <c r="AT88" s="1641"/>
      <c r="AU88" s="1641"/>
      <c r="AV88" s="1641"/>
      <c r="AW88" s="1641"/>
      <c r="AX88" s="1641"/>
      <c r="AY88" s="1641"/>
      <c r="AZ88" s="1641"/>
      <c r="BA88" s="1641"/>
    </row>
    <row r="89" spans="1:53" s="1607" customFormat="1">
      <c r="A89" s="1544"/>
      <c r="B89" s="1544"/>
      <c r="C89" s="1544"/>
      <c r="D89" s="1544"/>
      <c r="E89" s="1544"/>
      <c r="F89" s="1544"/>
      <c r="G89" s="1544"/>
    </row>
    <row r="90" spans="1:53" s="1607" customFormat="1">
      <c r="A90" s="1544"/>
      <c r="B90" s="1544"/>
      <c r="C90" s="1544"/>
      <c r="D90" s="1544"/>
      <c r="E90" s="1544"/>
      <c r="F90" s="1544"/>
      <c r="G90" s="1544"/>
    </row>
  </sheetData>
  <pageMargins left="0.75" right="0.75" top="1" bottom="1" header="0.5" footer="0.5"/>
  <headerFooter alignWithMargins="0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fitToPage="1"/>
  </sheetPr>
  <dimension ref="A1:AP104"/>
  <sheetViews>
    <sheetView showGridLines="0" zoomScale="80" workbookViewId="0">
      <selection activeCell="I59" sqref="I59:AC61"/>
    </sheetView>
  </sheetViews>
  <sheetFormatPr defaultRowHeight="12.75"/>
  <cols>
    <col min="1" max="2" width="1.7109375" style="15" customWidth="1"/>
    <col min="3" max="5" width="10.7109375" style="15" customWidth="1"/>
    <col min="6" max="6" width="9.140625" style="7"/>
    <col min="7" max="29" width="10.7109375" style="7" customWidth="1"/>
    <col min="30" max="30" width="12.7109375" style="15" customWidth="1"/>
    <col min="31" max="16384" width="9.140625" style="7"/>
  </cols>
  <sheetData>
    <row r="1" spans="1:42" s="1" customFormat="1" ht="15.75">
      <c r="A1" s="1137" t="s">
        <v>773</v>
      </c>
      <c r="AE1" s="15"/>
      <c r="AF1" s="15"/>
    </row>
    <row r="2" spans="1:42" s="1" customFormat="1" ht="15.75">
      <c r="A2" s="1137" t="str">
        <f>TOC!B3</f>
        <v>480 MW POWER PLANT (CUIABA, BRAZIL)</v>
      </c>
      <c r="AE2" s="15"/>
      <c r="AF2" s="15"/>
    </row>
    <row r="3" spans="1:42" s="1" customFormat="1" ht="15">
      <c r="A3" s="118" t="str">
        <f>TOC!B4</f>
        <v>ENRON INTERNATIONAL</v>
      </c>
      <c r="AE3" s="15"/>
      <c r="AF3" s="15"/>
    </row>
    <row r="4" spans="1:42" s="1" customFormat="1" ht="15">
      <c r="A4" s="932" t="s">
        <v>1105</v>
      </c>
      <c r="B4" s="933"/>
      <c r="C4" s="933"/>
      <c r="D4" s="933"/>
      <c r="E4" s="933"/>
      <c r="F4" s="933"/>
      <c r="AE4" s="15"/>
      <c r="AF4" s="15"/>
    </row>
    <row r="5" spans="1:42" customFormat="1" ht="13.5" thickBot="1">
      <c r="A5" s="15"/>
      <c r="B5" s="15"/>
      <c r="C5" s="1"/>
      <c r="D5" s="15"/>
      <c r="E5" s="15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1"/>
      <c r="AB5" s="1"/>
      <c r="AC5" s="1"/>
      <c r="AD5" s="1"/>
      <c r="AE5" s="15"/>
      <c r="AF5" s="1309" t="s">
        <v>628</v>
      </c>
      <c r="AG5" s="1"/>
      <c r="AH5" s="1"/>
      <c r="AI5" s="1"/>
      <c r="AJ5" s="1"/>
      <c r="AK5" s="1"/>
      <c r="AL5" s="1"/>
      <c r="AM5" s="1"/>
      <c r="AN5" s="1"/>
      <c r="AO5" s="1"/>
      <c r="AP5" s="1"/>
    </row>
    <row r="6" spans="1:42" s="15" customFormat="1">
      <c r="A6" s="412"/>
      <c r="B6" s="11"/>
      <c r="C6" s="11"/>
      <c r="D6" s="11"/>
      <c r="E6" s="11"/>
      <c r="F6" s="574" t="s">
        <v>649</v>
      </c>
      <c r="G6" s="939">
        <v>0</v>
      </c>
      <c r="H6" s="11">
        <f ca="1">IF(H$7&lt;YEAR(Startops1),0,G$6+1)</f>
        <v>0</v>
      </c>
      <c r="I6" s="11">
        <f t="shared" ref="I6:AC6" ca="1" si="0">IF(I$7&lt;YEAR(Startops1),0,H$6+1)</f>
        <v>1</v>
      </c>
      <c r="J6" s="11">
        <f t="shared" ca="1" si="0"/>
        <v>2</v>
      </c>
      <c r="K6" s="11">
        <f t="shared" ca="1" si="0"/>
        <v>3</v>
      </c>
      <c r="L6" s="11">
        <f t="shared" ca="1" si="0"/>
        <v>4</v>
      </c>
      <c r="M6" s="11">
        <f t="shared" ca="1" si="0"/>
        <v>5</v>
      </c>
      <c r="N6" s="11">
        <f t="shared" ca="1" si="0"/>
        <v>6</v>
      </c>
      <c r="O6" s="11">
        <f t="shared" ca="1" si="0"/>
        <v>7</v>
      </c>
      <c r="P6" s="11">
        <f t="shared" ca="1" si="0"/>
        <v>8</v>
      </c>
      <c r="Q6" s="11">
        <f t="shared" ca="1" si="0"/>
        <v>9</v>
      </c>
      <c r="R6" s="11">
        <f t="shared" ca="1" si="0"/>
        <v>10</v>
      </c>
      <c r="S6" s="11">
        <f t="shared" ca="1" si="0"/>
        <v>11</v>
      </c>
      <c r="T6" s="11">
        <f t="shared" ca="1" si="0"/>
        <v>12</v>
      </c>
      <c r="U6" s="11">
        <f t="shared" ca="1" si="0"/>
        <v>13</v>
      </c>
      <c r="V6" s="11">
        <f t="shared" ca="1" si="0"/>
        <v>14</v>
      </c>
      <c r="W6" s="11">
        <f t="shared" ca="1" si="0"/>
        <v>15</v>
      </c>
      <c r="X6" s="11">
        <f t="shared" ca="1" si="0"/>
        <v>16</v>
      </c>
      <c r="Y6" s="11">
        <f t="shared" ca="1" si="0"/>
        <v>17</v>
      </c>
      <c r="Z6" s="11">
        <f t="shared" ca="1" si="0"/>
        <v>18</v>
      </c>
      <c r="AA6" s="11">
        <f t="shared" ca="1" si="0"/>
        <v>19</v>
      </c>
      <c r="AB6" s="11">
        <f t="shared" ca="1" si="0"/>
        <v>20</v>
      </c>
      <c r="AC6" s="11">
        <f t="shared" ca="1" si="0"/>
        <v>21</v>
      </c>
      <c r="AD6" s="424"/>
      <c r="AF6" s="1310" t="s">
        <v>1898</v>
      </c>
    </row>
    <row r="7" spans="1:42" s="15" customFormat="1" ht="13.5" thickBot="1">
      <c r="A7" s="415" t="s">
        <v>648</v>
      </c>
      <c r="B7" s="49"/>
      <c r="C7" s="49"/>
      <c r="D7" s="49"/>
      <c r="E7" s="49"/>
      <c r="F7" s="275" t="s">
        <v>650</v>
      </c>
      <c r="G7" s="320">
        <f>YEAR(Startconst)</f>
        <v>1997</v>
      </c>
      <c r="H7" s="83">
        <f>G7+1</f>
        <v>1998</v>
      </c>
      <c r="I7" s="83">
        <f t="shared" ref="I7:AC7" si="1">H7+1</f>
        <v>1999</v>
      </c>
      <c r="J7" s="83">
        <f t="shared" si="1"/>
        <v>2000</v>
      </c>
      <c r="K7" s="83">
        <f t="shared" si="1"/>
        <v>2001</v>
      </c>
      <c r="L7" s="83">
        <f t="shared" si="1"/>
        <v>2002</v>
      </c>
      <c r="M7" s="83">
        <f t="shared" si="1"/>
        <v>2003</v>
      </c>
      <c r="N7" s="83">
        <f t="shared" si="1"/>
        <v>2004</v>
      </c>
      <c r="O7" s="83">
        <f t="shared" si="1"/>
        <v>2005</v>
      </c>
      <c r="P7" s="83">
        <f t="shared" si="1"/>
        <v>2006</v>
      </c>
      <c r="Q7" s="83">
        <f t="shared" si="1"/>
        <v>2007</v>
      </c>
      <c r="R7" s="83">
        <f t="shared" si="1"/>
        <v>2008</v>
      </c>
      <c r="S7" s="83">
        <f t="shared" si="1"/>
        <v>2009</v>
      </c>
      <c r="T7" s="83">
        <f t="shared" si="1"/>
        <v>2010</v>
      </c>
      <c r="U7" s="83">
        <f t="shared" si="1"/>
        <v>2011</v>
      </c>
      <c r="V7" s="83">
        <f t="shared" si="1"/>
        <v>2012</v>
      </c>
      <c r="W7" s="83">
        <f t="shared" si="1"/>
        <v>2013</v>
      </c>
      <c r="X7" s="83">
        <f t="shared" si="1"/>
        <v>2014</v>
      </c>
      <c r="Y7" s="83">
        <f t="shared" si="1"/>
        <v>2015</v>
      </c>
      <c r="Z7" s="83">
        <f t="shared" si="1"/>
        <v>2016</v>
      </c>
      <c r="AA7" s="83">
        <f t="shared" si="1"/>
        <v>2017</v>
      </c>
      <c r="AB7" s="83">
        <f t="shared" si="1"/>
        <v>2018</v>
      </c>
      <c r="AC7" s="83">
        <f t="shared" si="1"/>
        <v>2019</v>
      </c>
      <c r="AD7" s="425" t="s">
        <v>441</v>
      </c>
      <c r="AF7" s="787">
        <v>1</v>
      </c>
    </row>
    <row r="8" spans="1:42">
      <c r="A8" s="1172" t="s">
        <v>1099</v>
      </c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430"/>
      <c r="AF8" s="34">
        <f t="shared" ref="AF8:AF36" si="2">AF7+1</f>
        <v>2</v>
      </c>
    </row>
    <row r="9" spans="1:42">
      <c r="A9" s="20"/>
      <c r="B9" s="15" t="s">
        <v>1100</v>
      </c>
      <c r="F9" s="937">
        <v>0</v>
      </c>
      <c r="G9" s="37">
        <f ca="1">G104</f>
        <v>0</v>
      </c>
      <c r="H9" s="37">
        <f t="shared" ref="H9:AC9" ca="1" si="3">H104</f>
        <v>0</v>
      </c>
      <c r="I9" s="37">
        <f t="shared" ca="1" si="3"/>
        <v>-5.0022208597511053E-11</v>
      </c>
      <c r="J9" s="37">
        <f t="shared" ca="1" si="3"/>
        <v>-3.7289282772690058E-11</v>
      </c>
      <c r="K9" s="37">
        <f t="shared" ca="1" si="3"/>
        <v>4.2746250983327627E-11</v>
      </c>
      <c r="L9" s="37">
        <f t="shared" ca="1" si="3"/>
        <v>4.2746250983327627E-11</v>
      </c>
      <c r="M9" s="37">
        <f t="shared" ca="1" si="3"/>
        <v>4.2746250983327627E-11</v>
      </c>
      <c r="N9" s="37">
        <f t="shared" ca="1" si="3"/>
        <v>20778.957467698096</v>
      </c>
      <c r="O9" s="37">
        <f t="shared" ca="1" si="3"/>
        <v>20778.957467698096</v>
      </c>
      <c r="P9" s="37">
        <f t="shared" ca="1" si="3"/>
        <v>20778.957467698096</v>
      </c>
      <c r="Q9" s="37">
        <f t="shared" ca="1" si="3"/>
        <v>20778.957467698096</v>
      </c>
      <c r="R9" s="37">
        <f t="shared" ca="1" si="3"/>
        <v>20778.957467698096</v>
      </c>
      <c r="S9" s="37">
        <f t="shared" ca="1" si="3"/>
        <v>20778.957467698096</v>
      </c>
      <c r="T9" s="37">
        <f t="shared" ca="1" si="3"/>
        <v>20778.957467698096</v>
      </c>
      <c r="U9" s="37">
        <f t="shared" ca="1" si="3"/>
        <v>20778.957467698096</v>
      </c>
      <c r="V9" s="37">
        <f t="shared" ca="1" si="3"/>
        <v>20778.957467698096</v>
      </c>
      <c r="W9" s="37">
        <f t="shared" ca="1" si="3"/>
        <v>20778.957467698096</v>
      </c>
      <c r="X9" s="37">
        <f t="shared" ca="1" si="3"/>
        <v>20778.957467698096</v>
      </c>
      <c r="Y9" s="37">
        <f t="shared" ca="1" si="3"/>
        <v>20778.957467698066</v>
      </c>
      <c r="Z9" s="37">
        <f t="shared" ca="1" si="3"/>
        <v>20778.957467698066</v>
      </c>
      <c r="AA9" s="37">
        <f t="shared" ca="1" si="3"/>
        <v>20778.957467698037</v>
      </c>
      <c r="AB9" s="37">
        <f t="shared" ca="1" si="3"/>
        <v>20778.957467698037</v>
      </c>
      <c r="AC9" s="37">
        <f t="shared" ca="1" si="3"/>
        <v>20778.957467698048</v>
      </c>
      <c r="AD9" s="435"/>
      <c r="AF9" s="34">
        <f t="shared" si="2"/>
        <v>3</v>
      </c>
    </row>
    <row r="10" spans="1:42">
      <c r="A10" s="20"/>
      <c r="B10" s="15" t="s">
        <v>60</v>
      </c>
      <c r="F10" s="937">
        <v>0</v>
      </c>
      <c r="G10" s="37">
        <f ca="1">-SUM($G86:G87)</f>
        <v>0</v>
      </c>
      <c r="H10" s="37">
        <f ca="1">-SUM($G86:H87)</f>
        <v>0</v>
      </c>
      <c r="I10" s="37">
        <f ca="1">-SUM($G86:I87)</f>
        <v>1363.3481999999999</v>
      </c>
      <c r="J10" s="37">
        <f ca="1">-SUM($G86:J87)</f>
        <v>1363.3481999999999</v>
      </c>
      <c r="K10" s="37">
        <f ca="1">-SUM($G86:K87)</f>
        <v>4644.4939999999997</v>
      </c>
      <c r="L10" s="37">
        <f ca="1">-SUM($G86:L87)</f>
        <v>4644.4939999999997</v>
      </c>
      <c r="M10" s="37">
        <f ca="1">-SUM($G86:M87)</f>
        <v>4644.4939999999997</v>
      </c>
      <c r="N10" s="37">
        <f ca="1">-SUM($G86:N87)</f>
        <v>4644.4939999999997</v>
      </c>
      <c r="O10" s="37">
        <f ca="1">-SUM($G86:O87)</f>
        <v>4644.4939999999997</v>
      </c>
      <c r="P10" s="37">
        <f ca="1">-SUM($G86:P87)</f>
        <v>4644.4939999999997</v>
      </c>
      <c r="Q10" s="37">
        <f ca="1">-SUM($G86:Q87)</f>
        <v>4644.4939999999997</v>
      </c>
      <c r="R10" s="37">
        <f ca="1">-SUM($G86:R87)</f>
        <v>4644.4939999999997</v>
      </c>
      <c r="S10" s="37">
        <f ca="1">-SUM($G86:S87)</f>
        <v>4644.4939999999997</v>
      </c>
      <c r="T10" s="37">
        <f ca="1">-SUM($G86:T87)</f>
        <v>4644.4939999999997</v>
      </c>
      <c r="U10" s="37">
        <f ca="1">-SUM($G86:U87)</f>
        <v>4644.4939999999997</v>
      </c>
      <c r="V10" s="37">
        <f ca="1">-SUM($G86:V87)</f>
        <v>4644.4939999999997</v>
      </c>
      <c r="W10" s="37">
        <f ca="1">-SUM($G86:W87)</f>
        <v>4644.4939999999997</v>
      </c>
      <c r="X10" s="37">
        <f ca="1">-SUM($G86:X87)</f>
        <v>4644.4939999999997</v>
      </c>
      <c r="Y10" s="37">
        <f ca="1">-SUM($G86:Y87)</f>
        <v>4644.4939999999997</v>
      </c>
      <c r="Z10" s="37">
        <f ca="1">-SUM($G86:Z87)</f>
        <v>4644.4939999999997</v>
      </c>
      <c r="AA10" s="37">
        <f ca="1">-SUM($G86:AA87)</f>
        <v>4644.4939999999997</v>
      </c>
      <c r="AB10" s="37">
        <f ca="1">-SUM($G86:AB87)</f>
        <v>4644.4939999999997</v>
      </c>
      <c r="AC10" s="37">
        <f ca="1">-SUM($G86:AC87)</f>
        <v>0</v>
      </c>
      <c r="AD10" s="435"/>
      <c r="AF10" s="34">
        <f t="shared" si="2"/>
        <v>4</v>
      </c>
    </row>
    <row r="11" spans="1:42">
      <c r="A11" s="20"/>
      <c r="B11" s="15" t="s">
        <v>51</v>
      </c>
      <c r="F11" s="937">
        <v>0</v>
      </c>
      <c r="G11" s="37">
        <f ca="1">-SUM($G88:G89)</f>
        <v>0</v>
      </c>
      <c r="H11" s="37">
        <f ca="1">-SUM($G88:H89)</f>
        <v>0</v>
      </c>
      <c r="I11" s="37">
        <f ca="1">-SUM($G88:I89)</f>
        <v>-1978.5080752796939</v>
      </c>
      <c r="J11" s="37">
        <f ca="1">-SUM($G88:J89)</f>
        <v>1379.8307245575661</v>
      </c>
      <c r="K11" s="37">
        <f ca="1">-SUM($G88:K89)</f>
        <v>16671.930027313781</v>
      </c>
      <c r="L11" s="37">
        <f ca="1">-SUM($G88:L89)</f>
        <v>18436.252277829073</v>
      </c>
      <c r="M11" s="37">
        <f ca="1">-SUM($G88:M89)</f>
        <v>23037.723275599739</v>
      </c>
      <c r="N11" s="37">
        <f ca="1">-SUM($G88:N89)</f>
        <v>15480.226551360614</v>
      </c>
      <c r="O11" s="37">
        <f ca="1">-SUM($G88:O89)</f>
        <v>21837.504085495908</v>
      </c>
      <c r="P11" s="37">
        <f ca="1">-SUM($G88:P89)</f>
        <v>28280.858371352009</v>
      </c>
      <c r="Q11" s="37">
        <f ca="1">-SUM($G88:Q89)</f>
        <v>30079.767167019632</v>
      </c>
      <c r="R11" s="37">
        <f ca="1">-SUM($G88:R89)</f>
        <v>27560.950481135354</v>
      </c>
      <c r="S11" s="37">
        <f ca="1">-SUM($G88:S89)</f>
        <v>26415.568276719328</v>
      </c>
      <c r="T11" s="37">
        <f ca="1">-SUM($G88:T89)</f>
        <v>24119.324401939888</v>
      </c>
      <c r="U11" s="37">
        <f ca="1">-SUM($G88:U89)</f>
        <v>16605.426996591446</v>
      </c>
      <c r="V11" s="37">
        <f ca="1">-SUM($G88:V89)</f>
        <v>11387.093330093248</v>
      </c>
      <c r="W11" s="37">
        <f ca="1">-SUM($G88:W89)</f>
        <v>18605.819212601647</v>
      </c>
      <c r="X11" s="37">
        <f ca="1">-SUM($G88:X89)</f>
        <v>22005.082629765595</v>
      </c>
      <c r="Y11" s="37">
        <f ca="1">-SUM($G88:Y89)</f>
        <v>20015.669656253016</v>
      </c>
      <c r="Z11" s="37">
        <f ca="1">-SUM($G88:Z89)</f>
        <v>26101.320120084059</v>
      </c>
      <c r="AA11" s="37">
        <f ca="1">-SUM($G88:AA89)</f>
        <v>30791.233758592676</v>
      </c>
      <c r="AB11" s="37">
        <f ca="1">-SUM($G88:AB89)</f>
        <v>37015.839051200106</v>
      </c>
      <c r="AC11" s="37">
        <f ca="1">-SUM($G88:AC89)</f>
        <v>0</v>
      </c>
      <c r="AD11" s="435"/>
      <c r="AF11" s="34">
        <f t="shared" si="2"/>
        <v>5</v>
      </c>
    </row>
    <row r="12" spans="1:42">
      <c r="A12" s="20"/>
      <c r="B12" s="15" t="s">
        <v>61</v>
      </c>
      <c r="F12" s="276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435"/>
      <c r="AF12" s="34">
        <f t="shared" si="2"/>
        <v>6</v>
      </c>
    </row>
    <row r="13" spans="1:42">
      <c r="A13" s="20"/>
      <c r="C13" s="15" t="s">
        <v>62</v>
      </c>
      <c r="F13" s="937">
        <v>0</v>
      </c>
      <c r="G13" s="37">
        <f ca="1">-SUM($G83:G83)</f>
        <v>7598.2078853046587</v>
      </c>
      <c r="H13" s="37">
        <f ca="1">-SUM($G83:H83)</f>
        <v>119281.17362167625</v>
      </c>
      <c r="I13" s="37">
        <f ca="1">-SUM($G83:I83)</f>
        <v>176162.25861523149</v>
      </c>
      <c r="J13" s="37">
        <f ca="1">-SUM($G83:J83)</f>
        <v>276224.88730266964</v>
      </c>
      <c r="K13" s="37">
        <f ca="1">-SUM($G83:K83)</f>
        <v>329316.49333341379</v>
      </c>
      <c r="L13" s="37">
        <f ca="1">-SUM($G83:L83)</f>
        <v>329316.49333341379</v>
      </c>
      <c r="M13" s="37">
        <f ca="1">-SUM($G83:M83)</f>
        <v>329316.49333341379</v>
      </c>
      <c r="N13" s="37">
        <f ca="1">-SUM($G83:N83)</f>
        <v>329316.49333341379</v>
      </c>
      <c r="O13" s="37">
        <f ca="1">-SUM($G83:O83)</f>
        <v>329316.49333341379</v>
      </c>
      <c r="P13" s="37">
        <f ca="1">-SUM($G83:P83)</f>
        <v>329316.49333341379</v>
      </c>
      <c r="Q13" s="37">
        <f ca="1">-SUM($G83:Q83)</f>
        <v>329316.49333341379</v>
      </c>
      <c r="R13" s="37">
        <f ca="1">-SUM($G83:R83)</f>
        <v>329316.49333341379</v>
      </c>
      <c r="S13" s="37">
        <f ca="1">-SUM($G83:S83)</f>
        <v>329316.49333341379</v>
      </c>
      <c r="T13" s="37">
        <f ca="1">-SUM($G83:T83)</f>
        <v>329316.49333341379</v>
      </c>
      <c r="U13" s="37">
        <f ca="1">-SUM($G83:U83)</f>
        <v>329316.49333341379</v>
      </c>
      <c r="V13" s="37">
        <f ca="1">-SUM($G83:V83)</f>
        <v>329316.49333341379</v>
      </c>
      <c r="W13" s="37">
        <f ca="1">-SUM($G83:W83)</f>
        <v>329316.49333341379</v>
      </c>
      <c r="X13" s="37">
        <f ca="1">-SUM($G83:X83)</f>
        <v>329316.49333341379</v>
      </c>
      <c r="Y13" s="37">
        <f ca="1">-SUM($G83:Y83)</f>
        <v>329316.49333341379</v>
      </c>
      <c r="Z13" s="37">
        <f ca="1">-SUM($G83:Z83)</f>
        <v>329316.49333341379</v>
      </c>
      <c r="AA13" s="37">
        <f ca="1">-SUM($G83:AA83)</f>
        <v>329316.49333341379</v>
      </c>
      <c r="AB13" s="37">
        <f ca="1">-SUM($G83:AB83)</f>
        <v>329316.49333341379</v>
      </c>
      <c r="AC13" s="37">
        <f ca="1">-SUM($G83:AC83)</f>
        <v>329316.49333341379</v>
      </c>
      <c r="AD13" s="435"/>
      <c r="AF13" s="34">
        <f t="shared" si="2"/>
        <v>7</v>
      </c>
    </row>
    <row r="14" spans="1:42">
      <c r="A14" s="20"/>
      <c r="C14" s="15" t="s">
        <v>1102</v>
      </c>
      <c r="F14" s="938">
        <v>0</v>
      </c>
      <c r="G14" s="142">
        <f ca="1">SUM($G52:G52)</f>
        <v>0</v>
      </c>
      <c r="H14" s="142">
        <f ca="1">SUM($G52:H52)</f>
        <v>0</v>
      </c>
      <c r="I14" s="142">
        <f ca="1">SUM($G52:I52)</f>
        <v>-3704.810550000906</v>
      </c>
      <c r="J14" s="142">
        <f ca="1">SUM($G52:J52)</f>
        <v>-8644.557950002114</v>
      </c>
      <c r="K14" s="142">
        <f ca="1">SUM($G52:K52)</f>
        <v>-21208.357344951422</v>
      </c>
      <c r="L14" s="142">
        <f ca="1">SUM($G52:L52)</f>
        <v>-39007.575514478114</v>
      </c>
      <c r="M14" s="142">
        <f ca="1">SUM($G52:M52)</f>
        <v>-56806.793684004806</v>
      </c>
      <c r="N14" s="142">
        <f ca="1">SUM($G52:N52)</f>
        <v>-74606.011853531498</v>
      </c>
      <c r="O14" s="142">
        <f ca="1">SUM($G52:O52)</f>
        <v>-92405.23002305819</v>
      </c>
      <c r="P14" s="142">
        <f ca="1">SUM($G52:P52)</f>
        <v>-110204.44819258488</v>
      </c>
      <c r="Q14" s="142">
        <f ca="1">SUM($G52:Q52)</f>
        <v>-128003.66636211157</v>
      </c>
      <c r="R14" s="142">
        <f ca="1">SUM($G52:R52)</f>
        <v>-145802.88453163826</v>
      </c>
      <c r="S14" s="142">
        <f ca="1">SUM($G52:S52)</f>
        <v>-163602.10270116496</v>
      </c>
      <c r="T14" s="142">
        <f ca="1">SUM($G52:T52)</f>
        <v>-181401.32087069165</v>
      </c>
      <c r="U14" s="142">
        <f ca="1">SUM($G52:U52)</f>
        <v>-199200.53904021834</v>
      </c>
      <c r="V14" s="142">
        <f ca="1">SUM($G52:V52)</f>
        <v>-216999.75720974503</v>
      </c>
      <c r="W14" s="142">
        <f ca="1">SUM($G52:W52)</f>
        <v>-234798.97537927172</v>
      </c>
      <c r="X14" s="142">
        <f ca="1">SUM($G52:X52)</f>
        <v>-252598.19354879842</v>
      </c>
      <c r="Y14" s="142">
        <f ca="1">SUM($G52:Y52)</f>
        <v>-270397.41171832511</v>
      </c>
      <c r="Z14" s="142">
        <f ca="1">SUM($G52:Z52)</f>
        <v>-288196.62988785177</v>
      </c>
      <c r="AA14" s="142">
        <f ca="1">SUM($G52:AA52)</f>
        <v>-305995.84805737843</v>
      </c>
      <c r="AB14" s="142">
        <f ca="1">SUM($G52:AB52)</f>
        <v>-323795.0662269051</v>
      </c>
      <c r="AC14" s="142">
        <f ca="1">SUM($G52:AC52)</f>
        <v>-329316.49333341385</v>
      </c>
      <c r="AD14" s="436"/>
      <c r="AF14" s="34">
        <f t="shared" si="2"/>
        <v>8</v>
      </c>
    </row>
    <row r="15" spans="1:42">
      <c r="A15" s="20"/>
      <c r="C15" s="15" t="s">
        <v>1104</v>
      </c>
      <c r="F15" s="37">
        <f>SUM(F13:F14)</f>
        <v>0</v>
      </c>
      <c r="G15" s="37">
        <f ca="1">SUM(G13:G14)</f>
        <v>7598.2078853046587</v>
      </c>
      <c r="H15" s="37">
        <f ca="1">SUM(H13:H14)</f>
        <v>119281.17362167625</v>
      </c>
      <c r="I15" s="37">
        <f t="shared" ref="I15:AC15" ca="1" si="4">SUM(I13:I14)</f>
        <v>172457.44806523059</v>
      </c>
      <c r="J15" s="37">
        <f t="shared" ca="1" si="4"/>
        <v>267580.3293526675</v>
      </c>
      <c r="K15" s="37">
        <f t="shared" ca="1" si="4"/>
        <v>308108.13598846237</v>
      </c>
      <c r="L15" s="37">
        <f t="shared" ca="1" si="4"/>
        <v>290308.9178189357</v>
      </c>
      <c r="M15" s="37">
        <f t="shared" ca="1" si="4"/>
        <v>272509.69964940898</v>
      </c>
      <c r="N15" s="37">
        <f t="shared" ca="1" si="4"/>
        <v>254710.48147988229</v>
      </c>
      <c r="O15" s="37">
        <f t="shared" ca="1" si="4"/>
        <v>236911.2633103556</v>
      </c>
      <c r="P15" s="37">
        <f t="shared" ca="1" si="4"/>
        <v>219112.04514082891</v>
      </c>
      <c r="Q15" s="37">
        <f t="shared" ca="1" si="4"/>
        <v>201312.82697130222</v>
      </c>
      <c r="R15" s="37">
        <f t="shared" ca="1" si="4"/>
        <v>183513.60880177552</v>
      </c>
      <c r="S15" s="37">
        <f t="shared" ca="1" si="4"/>
        <v>165714.39063224883</v>
      </c>
      <c r="T15" s="37">
        <f t="shared" ca="1" si="4"/>
        <v>147915.17246272214</v>
      </c>
      <c r="U15" s="37">
        <f t="shared" ca="1" si="4"/>
        <v>130115.95429319545</v>
      </c>
      <c r="V15" s="37">
        <f t="shared" ca="1" si="4"/>
        <v>112316.73612366876</v>
      </c>
      <c r="W15" s="37">
        <f t="shared" ca="1" si="4"/>
        <v>94517.517954142066</v>
      </c>
      <c r="X15" s="37">
        <f t="shared" ca="1" si="4"/>
        <v>76718.299784615374</v>
      </c>
      <c r="Y15" s="37">
        <f t="shared" ca="1" si="4"/>
        <v>58919.081615088682</v>
      </c>
      <c r="Z15" s="37">
        <f t="shared" ca="1" si="4"/>
        <v>41119.863445562019</v>
      </c>
      <c r="AA15" s="37">
        <f t="shared" ca="1" si="4"/>
        <v>23320.645276035357</v>
      </c>
      <c r="AB15" s="37">
        <f t="shared" ca="1" si="4"/>
        <v>5521.4271065086941</v>
      </c>
      <c r="AC15" s="37">
        <f t="shared" ca="1" si="4"/>
        <v>0</v>
      </c>
      <c r="AD15" s="435"/>
      <c r="AF15" s="34">
        <f t="shared" si="2"/>
        <v>9</v>
      </c>
    </row>
    <row r="16" spans="1:42">
      <c r="A16" s="20"/>
      <c r="B16" s="15" t="s">
        <v>651</v>
      </c>
      <c r="F16" s="937">
        <v>0</v>
      </c>
      <c r="G16" s="37">
        <f ca="1">-SUM($G84:G85)</f>
        <v>0</v>
      </c>
      <c r="H16" s="37">
        <f ca="1">-SUM($G84:H85)</f>
        <v>0</v>
      </c>
      <c r="I16" s="37">
        <f ca="1">-SUM($G84:I85)</f>
        <v>162</v>
      </c>
      <c r="J16" s="37">
        <f ca="1">-SUM($G84:J85)</f>
        <v>162</v>
      </c>
      <c r="K16" s="37">
        <f ca="1">-SUM($G84:K85)</f>
        <v>540</v>
      </c>
      <c r="L16" s="37">
        <f ca="1">-SUM($G84:L85)</f>
        <v>540</v>
      </c>
      <c r="M16" s="37">
        <f ca="1">-SUM($G84:M85)</f>
        <v>540</v>
      </c>
      <c r="N16" s="37">
        <f ca="1">-SUM($G84:N85)</f>
        <v>540</v>
      </c>
      <c r="O16" s="37">
        <f ca="1">-SUM($G84:O85)</f>
        <v>540</v>
      </c>
      <c r="P16" s="37">
        <f ca="1">-SUM($G84:P85)</f>
        <v>540</v>
      </c>
      <c r="Q16" s="37">
        <f ca="1">-SUM($G84:Q85)</f>
        <v>540</v>
      </c>
      <c r="R16" s="37">
        <f ca="1">-SUM($G84:R85)</f>
        <v>540</v>
      </c>
      <c r="S16" s="37">
        <f ca="1">-SUM($G84:S85)</f>
        <v>540</v>
      </c>
      <c r="T16" s="37">
        <f ca="1">-SUM($G84:T85)</f>
        <v>540</v>
      </c>
      <c r="U16" s="37">
        <f ca="1">-SUM($G84:U85)</f>
        <v>540</v>
      </c>
      <c r="V16" s="37">
        <f ca="1">-SUM($G84:V85)</f>
        <v>540</v>
      </c>
      <c r="W16" s="37">
        <f ca="1">-SUM($G84:W85)</f>
        <v>540</v>
      </c>
      <c r="X16" s="37">
        <f ca="1">-SUM($G84:X85)</f>
        <v>540</v>
      </c>
      <c r="Y16" s="37">
        <f ca="1">-SUM($G84:Y85)</f>
        <v>540</v>
      </c>
      <c r="Z16" s="37">
        <f ca="1">-SUM($G84:Z85)</f>
        <v>540</v>
      </c>
      <c r="AA16" s="37">
        <f ca="1">-SUM($G84:AA85)</f>
        <v>540</v>
      </c>
      <c r="AB16" s="37">
        <f ca="1">-SUM($G84:AB85)</f>
        <v>540</v>
      </c>
      <c r="AC16" s="37">
        <f ca="1">-SUM($G84:AC85)</f>
        <v>0</v>
      </c>
      <c r="AD16" s="435"/>
      <c r="AF16" s="34">
        <f t="shared" si="2"/>
        <v>10</v>
      </c>
    </row>
    <row r="17" spans="1:32">
      <c r="A17" s="20"/>
      <c r="B17" s="15" t="s">
        <v>653</v>
      </c>
      <c r="F17" s="938">
        <v>0</v>
      </c>
      <c r="G17" s="142">
        <f>IF(Taxes!C$90&gt;0,Taxes!C$90,0)</f>
        <v>0</v>
      </c>
      <c r="H17" s="142">
        <f ca="1">IF(Taxes!D$90&gt;0,Taxes!D$90,0)</f>
        <v>0</v>
      </c>
      <c r="I17" s="142">
        <f ca="1">IF(Taxes!E$90&gt;0,Taxes!E$90,0)</f>
        <v>210.76625056318053</v>
      </c>
      <c r="J17" s="142">
        <f ca="1">IF(Taxes!F$90&gt;0,Taxes!F$90,0)</f>
        <v>1306.2665991798508</v>
      </c>
      <c r="K17" s="142">
        <f ca="1">IF(Taxes!G$90&gt;0,Taxes!G$90,0)</f>
        <v>1306.2665991798508</v>
      </c>
      <c r="L17" s="142">
        <f ca="1">IF(Taxes!H$90&gt;0,Taxes!H$90,0)</f>
        <v>1306.2665991798508</v>
      </c>
      <c r="M17" s="142">
        <f ca="1">IF(Taxes!I$90&gt;0,Taxes!I$90,0)</f>
        <v>1011.948122306864</v>
      </c>
      <c r="N17" s="142">
        <f ca="1">IF(Taxes!J$90&gt;0,Taxes!J$90,0)</f>
        <v>1011.948122306864</v>
      </c>
      <c r="O17" s="142">
        <f ca="1">IF(Taxes!K$90&gt;0,Taxes!K$90,0)</f>
        <v>632.7209118539372</v>
      </c>
      <c r="P17" s="142">
        <f ca="1">IF(Taxes!L$90&gt;0,Taxes!L$90,0)</f>
        <v>0</v>
      </c>
      <c r="Q17" s="142">
        <f ca="1">IF(Taxes!M$90&gt;0,Taxes!M$90,0)</f>
        <v>1382.1618484235</v>
      </c>
      <c r="R17" s="142">
        <f ca="1">IF(Taxes!N$90&gt;0,Taxes!N$90,0)</f>
        <v>2984.8780299015407</v>
      </c>
      <c r="S17" s="142">
        <f ca="1">IF(Taxes!O$90&gt;0,Taxes!O$90,0)</f>
        <v>1577.6202097130513</v>
      </c>
      <c r="T17" s="142">
        <f ca="1">IF(Taxes!P$90&gt;0,Taxes!P$90,0)</f>
        <v>384.849021452736</v>
      </c>
      <c r="U17" s="142">
        <f ca="1">IF(Taxes!Q$90&gt;0,Taxes!Q$90,0)</f>
        <v>3663.8745012262802</v>
      </c>
      <c r="V17" s="142">
        <f ca="1">IF(Taxes!R$90&gt;0,Taxes!R$90,0)</f>
        <v>6648.1847690050563</v>
      </c>
      <c r="W17" s="142">
        <f ca="1">IF(Taxes!S$90&gt;0,Taxes!S$90,0)</f>
        <v>4170.7930650614953</v>
      </c>
      <c r="X17" s="142">
        <f ca="1">IF(Taxes!T$90&gt;0,Taxes!T$90,0)</f>
        <v>5403.8104667292055</v>
      </c>
      <c r="Y17" s="142">
        <f ca="1">IF(Taxes!U$90&gt;0,Taxes!U$90,0)</f>
        <v>5403.8104667292055</v>
      </c>
      <c r="Z17" s="142">
        <f ca="1">IF(Taxes!V$90&gt;0,Taxes!V$90,0)</f>
        <v>5403.8104667292055</v>
      </c>
      <c r="AA17" s="142">
        <f ca="1">IF(Taxes!W$90&gt;0,Taxes!W$90,0)</f>
        <v>5403.8104667292055</v>
      </c>
      <c r="AB17" s="142">
        <f ca="1">IF(Taxes!X$90&gt;0,Taxes!X$90,0)</f>
        <v>5403.8104667292055</v>
      </c>
      <c r="AC17" s="142">
        <f ca="1">IF(Taxes!Y$90&gt;0,Taxes!Y$90,0)</f>
        <v>5403.8104667292055</v>
      </c>
      <c r="AD17" s="436"/>
      <c r="AF17" s="34">
        <f t="shared" si="2"/>
        <v>11</v>
      </c>
    </row>
    <row r="18" spans="1:32">
      <c r="A18" s="20" t="s">
        <v>654</v>
      </c>
      <c r="F18" s="142">
        <f t="shared" ref="F18:AC18" si="5">SUM(F9:F11)+F15+SUM(F16:F17)</f>
        <v>0</v>
      </c>
      <c r="G18" s="142">
        <f t="shared" ca="1" si="5"/>
        <v>7598.2078853046587</v>
      </c>
      <c r="H18" s="142">
        <f t="shared" ca="1" si="5"/>
        <v>119281.17362167625</v>
      </c>
      <c r="I18" s="142">
        <f t="shared" ca="1" si="5"/>
        <v>172215.05444051401</v>
      </c>
      <c r="J18" s="142">
        <f t="shared" ca="1" si="5"/>
        <v>271791.77487640484</v>
      </c>
      <c r="K18" s="142">
        <f t="shared" ca="1" si="5"/>
        <v>331270.82661495602</v>
      </c>
      <c r="L18" s="142">
        <f t="shared" ca="1" si="5"/>
        <v>315235.93069594464</v>
      </c>
      <c r="M18" s="142">
        <f t="shared" ca="1" si="5"/>
        <v>301743.8650473156</v>
      </c>
      <c r="N18" s="142">
        <f t="shared" ca="1" si="5"/>
        <v>297166.10762124782</v>
      </c>
      <c r="O18" s="142">
        <f t="shared" ca="1" si="5"/>
        <v>285344.93977540353</v>
      </c>
      <c r="P18" s="142">
        <f t="shared" ca="1" si="5"/>
        <v>273356.35497987899</v>
      </c>
      <c r="Q18" s="142">
        <f t="shared" ca="1" si="5"/>
        <v>258738.20745444344</v>
      </c>
      <c r="R18" s="142">
        <f t="shared" ca="1" si="5"/>
        <v>240022.88878051052</v>
      </c>
      <c r="S18" s="142">
        <f t="shared" ca="1" si="5"/>
        <v>219671.03058637932</v>
      </c>
      <c r="T18" s="142">
        <f t="shared" ca="1" si="5"/>
        <v>198382.79735381287</v>
      </c>
      <c r="U18" s="142">
        <f t="shared" ca="1" si="5"/>
        <v>176348.70725871128</v>
      </c>
      <c r="V18" s="142">
        <f t="shared" ca="1" si="5"/>
        <v>156315.46569046515</v>
      </c>
      <c r="W18" s="142">
        <f t="shared" ca="1" si="5"/>
        <v>143257.58169950329</v>
      </c>
      <c r="X18" s="142">
        <f t="shared" ca="1" si="5"/>
        <v>130090.64434880827</v>
      </c>
      <c r="Y18" s="142">
        <f t="shared" ca="1" si="5"/>
        <v>110302.01320576896</v>
      </c>
      <c r="Z18" s="142">
        <f t="shared" ca="1" si="5"/>
        <v>98588.445500073358</v>
      </c>
      <c r="AA18" s="142">
        <f t="shared" ca="1" si="5"/>
        <v>85479.140969055283</v>
      </c>
      <c r="AB18" s="142">
        <f t="shared" ca="1" si="5"/>
        <v>73904.528092136039</v>
      </c>
      <c r="AC18" s="142">
        <f t="shared" ca="1" si="5"/>
        <v>26182.767934427255</v>
      </c>
      <c r="AD18" s="436"/>
      <c r="AF18" s="34">
        <f t="shared" si="2"/>
        <v>12</v>
      </c>
    </row>
    <row r="19" spans="1:32">
      <c r="A19" s="20"/>
      <c r="F19" s="276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435"/>
      <c r="AF19" s="34">
        <f t="shared" si="2"/>
        <v>13</v>
      </c>
    </row>
    <row r="20" spans="1:32">
      <c r="A20" s="128" t="s">
        <v>1204</v>
      </c>
      <c r="F20" s="276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435"/>
      <c r="AF20" s="34">
        <f t="shared" si="2"/>
        <v>14</v>
      </c>
    </row>
    <row r="21" spans="1:32">
      <c r="A21" s="20"/>
      <c r="B21" s="15" t="s">
        <v>655</v>
      </c>
      <c r="F21" s="937">
        <v>0</v>
      </c>
      <c r="G21" s="37">
        <f>IF(Taxes!C$90&lt;0,-Taxes!C$90,0)</f>
        <v>0</v>
      </c>
      <c r="H21" s="37">
        <f ca="1">IF(Taxes!D$90&lt;0,-Taxes!D$90,0)</f>
        <v>0</v>
      </c>
      <c r="I21" s="37">
        <f ca="1">IF(Taxes!E$90&lt;0,-Taxes!E$90,0)</f>
        <v>0</v>
      </c>
      <c r="J21" s="37">
        <f ca="1">IF(Taxes!F$90&lt;0,-Taxes!F$90,0)</f>
        <v>0</v>
      </c>
      <c r="K21" s="37">
        <f ca="1">IF(Taxes!G$90&lt;0,-Taxes!G$90,0)</f>
        <v>0</v>
      </c>
      <c r="L21" s="37">
        <f ca="1">IF(Taxes!H$90&lt;0,-Taxes!H$90,0)</f>
        <v>0</v>
      </c>
      <c r="M21" s="37">
        <f ca="1">IF(Taxes!I$90&lt;0,-Taxes!I$90,0)</f>
        <v>0</v>
      </c>
      <c r="N21" s="37">
        <f ca="1">IF(Taxes!J$90&lt;0,-Taxes!J$90,0)</f>
        <v>0</v>
      </c>
      <c r="O21" s="37">
        <f ca="1">IF(Taxes!K$90&lt;0,-Taxes!K$90,0)</f>
        <v>0</v>
      </c>
      <c r="P21" s="37">
        <f ca="1">IF(Taxes!L$90&lt;0,-Taxes!L$90,0)</f>
        <v>222.7988679512182</v>
      </c>
      <c r="Q21" s="37">
        <f ca="1">IF(Taxes!M$90&lt;0,-Taxes!M$90,0)</f>
        <v>0</v>
      </c>
      <c r="R21" s="37">
        <f ca="1">IF(Taxes!N$90&lt;0,-Taxes!N$90,0)</f>
        <v>0</v>
      </c>
      <c r="S21" s="37">
        <f ca="1">IF(Taxes!O$90&lt;0,-Taxes!O$90,0)</f>
        <v>0</v>
      </c>
      <c r="T21" s="37">
        <f ca="1">IF(Taxes!P$90&lt;0,-Taxes!P$90,0)</f>
        <v>0</v>
      </c>
      <c r="U21" s="37">
        <f ca="1">IF(Taxes!Q$90&lt;0,-Taxes!Q$90,0)</f>
        <v>0</v>
      </c>
      <c r="V21" s="37">
        <f ca="1">IF(Taxes!R$90&lt;0,-Taxes!R$90,0)</f>
        <v>0</v>
      </c>
      <c r="W21" s="37">
        <f ca="1">IF(Taxes!S$90&lt;0,-Taxes!S$90,0)</f>
        <v>0</v>
      </c>
      <c r="X21" s="37">
        <f ca="1">IF(Taxes!T$90&lt;0,-Taxes!T$90,0)</f>
        <v>0</v>
      </c>
      <c r="Y21" s="37">
        <f ca="1">IF(Taxes!U$90&lt;0,-Taxes!U$90,0)</f>
        <v>0</v>
      </c>
      <c r="Z21" s="37">
        <f ca="1">IF(Taxes!V$90&lt;0,-Taxes!V$90,0)</f>
        <v>0</v>
      </c>
      <c r="AA21" s="37">
        <f ca="1">IF(Taxes!W$90&lt;0,-Taxes!W$90,0)</f>
        <v>0</v>
      </c>
      <c r="AB21" s="37">
        <f ca="1">IF(Taxes!X$90&lt;0,-Taxes!X$90,0)</f>
        <v>0</v>
      </c>
      <c r="AC21" s="37">
        <f ca="1">IF(Taxes!Y$90&lt;0,-Taxes!Y$90,0)</f>
        <v>0</v>
      </c>
      <c r="AD21" s="435"/>
      <c r="AF21" s="34">
        <f t="shared" si="2"/>
        <v>15</v>
      </c>
    </row>
    <row r="22" spans="1:32">
      <c r="A22" s="20"/>
      <c r="B22" s="15" t="s">
        <v>93</v>
      </c>
      <c r="F22" s="937">
        <v>0</v>
      </c>
      <c r="G22" s="37">
        <f ca="1">SUM($G77:G78)</f>
        <v>0</v>
      </c>
      <c r="H22" s="37">
        <f ca="1">SUM($G77:H78)</f>
        <v>26487.60341675716</v>
      </c>
      <c r="I22" s="37">
        <f ca="1">SUM($G77:I78)</f>
        <v>85882.603193056886</v>
      </c>
      <c r="J22" s="37">
        <f ca="1">SUM($G77:J78)</f>
        <v>0</v>
      </c>
      <c r="K22" s="37">
        <f ca="1">SUM($G77:K78)</f>
        <v>0</v>
      </c>
      <c r="L22" s="37">
        <f ca="1">SUM($G77:L78)</f>
        <v>0</v>
      </c>
      <c r="M22" s="37">
        <f ca="1">SUM($G77:M78)</f>
        <v>0</v>
      </c>
      <c r="N22" s="37">
        <f ca="1">SUM($G77:N78)</f>
        <v>0</v>
      </c>
      <c r="O22" s="37">
        <f ca="1">SUM($G77:O78)</f>
        <v>0</v>
      </c>
      <c r="P22" s="37">
        <f ca="1">SUM($G77:P78)</f>
        <v>0</v>
      </c>
      <c r="Q22" s="37">
        <f ca="1">SUM($G77:Q78)</f>
        <v>0</v>
      </c>
      <c r="R22" s="37">
        <f ca="1">SUM($G77:R78)</f>
        <v>0</v>
      </c>
      <c r="S22" s="37">
        <f ca="1">SUM($G77:S78)</f>
        <v>0</v>
      </c>
      <c r="T22" s="37">
        <f ca="1">SUM($G77:T78)</f>
        <v>0</v>
      </c>
      <c r="U22" s="37">
        <f ca="1">SUM($G77:U78)</f>
        <v>0</v>
      </c>
      <c r="V22" s="37">
        <f ca="1">SUM($G77:V78)</f>
        <v>0</v>
      </c>
      <c r="W22" s="37">
        <f ca="1">SUM($G77:W78)</f>
        <v>0</v>
      </c>
      <c r="X22" s="37">
        <f ca="1">SUM($G77:X78)</f>
        <v>0</v>
      </c>
      <c r="Y22" s="37">
        <f ca="1">SUM($G77:Y78)</f>
        <v>0</v>
      </c>
      <c r="Z22" s="37">
        <f ca="1">SUM($G77:Z78)</f>
        <v>0</v>
      </c>
      <c r="AA22" s="37">
        <f ca="1">SUM($G77:AA78)</f>
        <v>0</v>
      </c>
      <c r="AB22" s="37">
        <f ca="1">SUM($G77:AB78)</f>
        <v>0</v>
      </c>
      <c r="AC22" s="37">
        <f ca="1">SUM($G77:AC78)</f>
        <v>0</v>
      </c>
      <c r="AD22" s="436"/>
      <c r="AF22" s="34">
        <f t="shared" si="2"/>
        <v>16</v>
      </c>
    </row>
    <row r="23" spans="1:32">
      <c r="A23" s="20"/>
      <c r="B23" s="15" t="s">
        <v>738</v>
      </c>
      <c r="F23" s="937">
        <v>0</v>
      </c>
      <c r="G23" s="37">
        <f ca="1">SUM($G79:G80)</f>
        <v>0</v>
      </c>
      <c r="H23" s="37">
        <f ca="1">SUM($G79:H80)</f>
        <v>0</v>
      </c>
      <c r="I23" s="37">
        <f ca="1">SUM($G79:I80)</f>
        <v>0</v>
      </c>
      <c r="J23" s="37">
        <f ca="1">SUM($G79:J80)</f>
        <v>151241.60497565332</v>
      </c>
      <c r="K23" s="37">
        <f ca="1">SUM($G79:K80)</f>
        <v>201351.11991105828</v>
      </c>
      <c r="L23" s="37">
        <f ca="1">SUM($G79:L80)</f>
        <v>189196.30608424652</v>
      </c>
      <c r="M23" s="37">
        <f ca="1">SUM($G79:M80)</f>
        <v>176511.37603571295</v>
      </c>
      <c r="N23" s="37">
        <f ca="1">SUM($G79:N80)</f>
        <v>161989.00079568662</v>
      </c>
      <c r="O23" s="37">
        <f ca="1">SUM($G79:O80)</f>
        <v>146585.86037382513</v>
      </c>
      <c r="P23" s="37">
        <f ca="1">SUM($G79:P80)</f>
        <v>130546.55261008134</v>
      </c>
      <c r="Q23" s="37">
        <f ca="1">SUM($G79:Q80)</f>
        <v>114017.68219991574</v>
      </c>
      <c r="R23" s="37">
        <f ca="1">SUM($G79:R80)</f>
        <v>98218.24695710784</v>
      </c>
      <c r="S23" s="37">
        <f ca="1">SUM($G79:S80)</f>
        <v>83125.719966648714</v>
      </c>
      <c r="T23" s="37">
        <f ca="1">SUM($G79:T80)</f>
        <v>67748.497883795601</v>
      </c>
      <c r="U23" s="37">
        <f ca="1">SUM($G79:U80)</f>
        <v>51576.107961793881</v>
      </c>
      <c r="V23" s="37">
        <f ca="1">SUM($G79:V80)</f>
        <v>38518.223970832027</v>
      </c>
      <c r="W23" s="37">
        <f ca="1">SUM($G79:W80)</f>
        <v>25460.339979870172</v>
      </c>
      <c r="X23" s="37">
        <f ca="1">SUM($G79:X80)</f>
        <v>12293.402629175145</v>
      </c>
      <c r="Y23" s="37">
        <f ca="1">SUM($G79:Y80)</f>
        <v>-1.1459633242338896E-10</v>
      </c>
      <c r="Z23" s="37">
        <f ca="1">SUM($G79:Z80)</f>
        <v>-1.1459633242338896E-10</v>
      </c>
      <c r="AA23" s="37">
        <f ca="1">SUM($G79:AA80)</f>
        <v>-1.1459633242338896E-10</v>
      </c>
      <c r="AB23" s="37">
        <f ca="1">SUM($G79:AB80)</f>
        <v>-1.1459633242338896E-10</v>
      </c>
      <c r="AC23" s="37">
        <f ca="1">SUM($G79:AC80)</f>
        <v>-1.1459633242338896E-10</v>
      </c>
      <c r="AD23" s="436"/>
      <c r="AF23" s="34">
        <f t="shared" si="2"/>
        <v>17</v>
      </c>
    </row>
    <row r="24" spans="1:32">
      <c r="A24" s="20"/>
      <c r="B24" s="15" t="s">
        <v>105</v>
      </c>
      <c r="F24" s="938">
        <v>0</v>
      </c>
      <c r="G24" s="142">
        <f ca="1">SUM($G81:G82)</f>
        <v>0</v>
      </c>
      <c r="H24" s="142">
        <f ca="1">SUM($G81:H82)</f>
        <v>0</v>
      </c>
      <c r="I24" s="142">
        <f ca="1">SUM($G81:I82)</f>
        <v>0</v>
      </c>
      <c r="J24" s="142">
        <f ca="1">SUM($G81:J82)</f>
        <v>37368.759506708469</v>
      </c>
      <c r="K24" s="142">
        <f ca="1">SUM($G81:K82)</f>
        <v>49749.813072758669</v>
      </c>
      <c r="L24" s="142">
        <f ca="1">SUM($G81:L82)</f>
        <v>47521.40268388296</v>
      </c>
      <c r="M24" s="142">
        <f ca="1">SUM($G81:M82)</f>
        <v>44993.883910560413</v>
      </c>
      <c r="N24" s="142">
        <f ca="1">SUM($G81:N82)</f>
        <v>42127.108929888651</v>
      </c>
      <c r="O24" s="142">
        <f ca="1">SUM($G81:O82)</f>
        <v>38875.541077436217</v>
      </c>
      <c r="P24" s="142">
        <f ca="1">SUM($G81:P82)</f>
        <v>35187.531529988359</v>
      </c>
      <c r="Q24" s="142">
        <f ca="1">SUM($G81:Q82)</f>
        <v>31004.498901034312</v>
      </c>
      <c r="R24" s="142">
        <f ca="1">SUM($G81:R82)</f>
        <v>26259.998717458915</v>
      </c>
      <c r="S24" s="142">
        <f ca="1">SUM($G81:S82)</f>
        <v>20878.667996743112</v>
      </c>
      <c r="T24" s="142">
        <f ca="1">SUM($G81:T82)</f>
        <v>14775.028160039232</v>
      </c>
      <c r="U24" s="142">
        <f ca="1">SUM($G81:U82)</f>
        <v>7852.1272662537767</v>
      </c>
      <c r="V24" s="142">
        <f ca="1">SUM($G81:V82)</f>
        <v>-1.2732925824820995E-11</v>
      </c>
      <c r="W24" s="142">
        <f ca="1">SUM($G81:W82)</f>
        <v>-1.2732925824820995E-11</v>
      </c>
      <c r="X24" s="142">
        <f ca="1">SUM($G81:X82)</f>
        <v>-1.2732925824820995E-11</v>
      </c>
      <c r="Y24" s="142">
        <f ca="1">SUM($G81:Y82)</f>
        <v>-1.2732925824820995E-11</v>
      </c>
      <c r="Z24" s="142">
        <f ca="1">SUM($G81:Z82)</f>
        <v>-1.2732925824820995E-11</v>
      </c>
      <c r="AA24" s="142">
        <f ca="1">SUM($G81:AA82)</f>
        <v>-1.2732925824820995E-11</v>
      </c>
      <c r="AB24" s="142">
        <f ca="1">SUM($G81:AB82)</f>
        <v>-1.2732925824820995E-11</v>
      </c>
      <c r="AC24" s="142">
        <f ca="1">SUM($G81:AC82)</f>
        <v>-1.2732925824820995E-11</v>
      </c>
      <c r="AD24" s="436"/>
      <c r="AF24" s="34">
        <f t="shared" si="2"/>
        <v>18</v>
      </c>
    </row>
    <row r="25" spans="1:32">
      <c r="A25" s="20"/>
      <c r="C25" s="15" t="s">
        <v>1205</v>
      </c>
      <c r="F25" s="37">
        <f>SUM(F21:F24)</f>
        <v>0</v>
      </c>
      <c r="G25" s="37">
        <f t="shared" ref="G25:AC25" ca="1" si="6">SUM(G21:G24)</f>
        <v>0</v>
      </c>
      <c r="H25" s="37">
        <f t="shared" ca="1" si="6"/>
        <v>26487.60341675716</v>
      </c>
      <c r="I25" s="37">
        <f t="shared" ca="1" si="6"/>
        <v>85882.603193056886</v>
      </c>
      <c r="J25" s="37">
        <f t="shared" ca="1" si="6"/>
        <v>188610.36448236179</v>
      </c>
      <c r="K25" s="37">
        <f t="shared" ca="1" si="6"/>
        <v>251100.93298381695</v>
      </c>
      <c r="L25" s="37">
        <f t="shared" ca="1" si="6"/>
        <v>236717.70876812947</v>
      </c>
      <c r="M25" s="37">
        <f t="shared" ca="1" si="6"/>
        <v>221505.25994627335</v>
      </c>
      <c r="N25" s="37">
        <f t="shared" ca="1" si="6"/>
        <v>204116.10972557525</v>
      </c>
      <c r="O25" s="37">
        <f t="shared" ca="1" si="6"/>
        <v>185461.40145126134</v>
      </c>
      <c r="P25" s="37">
        <f t="shared" ca="1" si="6"/>
        <v>165956.88300802093</v>
      </c>
      <c r="Q25" s="37">
        <f t="shared" ca="1" si="6"/>
        <v>145022.18110095005</v>
      </c>
      <c r="R25" s="37">
        <f t="shared" ca="1" si="6"/>
        <v>124478.24567456676</v>
      </c>
      <c r="S25" s="37">
        <f t="shared" ca="1" si="6"/>
        <v>104004.38796339183</v>
      </c>
      <c r="T25" s="37">
        <f t="shared" ca="1" si="6"/>
        <v>82523.526043834834</v>
      </c>
      <c r="U25" s="37">
        <f t="shared" ca="1" si="6"/>
        <v>59428.235228047655</v>
      </c>
      <c r="V25" s="37">
        <f t="shared" ca="1" si="6"/>
        <v>38518.223970832012</v>
      </c>
      <c r="W25" s="37">
        <f t="shared" ca="1" si="6"/>
        <v>25460.339979870158</v>
      </c>
      <c r="X25" s="37">
        <f t="shared" ca="1" si="6"/>
        <v>12293.402629175132</v>
      </c>
      <c r="Y25" s="37">
        <f t="shared" ca="1" si="6"/>
        <v>-1.2732925824820995E-10</v>
      </c>
      <c r="Z25" s="37">
        <f t="shared" ca="1" si="6"/>
        <v>-1.2732925824820995E-10</v>
      </c>
      <c r="AA25" s="37">
        <f t="shared" ca="1" si="6"/>
        <v>-1.2732925824820995E-10</v>
      </c>
      <c r="AB25" s="37">
        <f t="shared" ca="1" si="6"/>
        <v>-1.2732925824820995E-10</v>
      </c>
      <c r="AC25" s="37">
        <f t="shared" ca="1" si="6"/>
        <v>-1.2732925824820995E-10</v>
      </c>
      <c r="AD25" s="435"/>
      <c r="AF25" s="34">
        <f t="shared" si="2"/>
        <v>19</v>
      </c>
    </row>
    <row r="26" spans="1:32">
      <c r="A26" s="20"/>
      <c r="F26" s="276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435"/>
      <c r="AF26" s="34">
        <f t="shared" si="2"/>
        <v>20</v>
      </c>
    </row>
    <row r="27" spans="1:32">
      <c r="A27" s="128" t="s">
        <v>1206</v>
      </c>
      <c r="F27" s="276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435"/>
      <c r="AF27" s="34">
        <f t="shared" si="2"/>
        <v>21</v>
      </c>
    </row>
    <row r="28" spans="1:32">
      <c r="A28" s="20"/>
      <c r="B28" s="15" t="s">
        <v>218</v>
      </c>
      <c r="F28" s="937">
        <v>0</v>
      </c>
      <c r="G28" s="37">
        <f ca="1">SUM($G76:G76)</f>
        <v>7598.2078853046587</v>
      </c>
      <c r="H28" s="37">
        <f ca="1">SUM($G76:H76)</f>
        <v>92793.570204919088</v>
      </c>
      <c r="I28" s="37">
        <f ca="1">SUM($G76:I76)</f>
        <v>92793.570204919088</v>
      </c>
      <c r="J28" s="37">
        <f ca="1">SUM($G76:J76)</f>
        <v>92793.570204919088</v>
      </c>
      <c r="K28" s="37">
        <f ca="1">SUM($G76:K76)</f>
        <v>92793.570204919088</v>
      </c>
      <c r="L28" s="37">
        <f ca="1">SUM($G76:L76)</f>
        <v>92793.570204919088</v>
      </c>
      <c r="M28" s="37">
        <f ca="1">SUM($G76:M76)</f>
        <v>92793.570204919088</v>
      </c>
      <c r="N28" s="37">
        <f ca="1">SUM($G76:N76)</f>
        <v>92793.570204919088</v>
      </c>
      <c r="O28" s="37">
        <f ca="1">SUM($G76:O76)</f>
        <v>92793.570204919088</v>
      </c>
      <c r="P28" s="37">
        <f ca="1">SUM($G76:P76)</f>
        <v>92793.570204919088</v>
      </c>
      <c r="Q28" s="37">
        <f ca="1">SUM($G76:Q76)</f>
        <v>92793.570204919088</v>
      </c>
      <c r="R28" s="37">
        <f ca="1">SUM($G76:R76)</f>
        <v>92793.570204919088</v>
      </c>
      <c r="S28" s="37">
        <f ca="1">SUM($G76:S76)</f>
        <v>92793.570204919088</v>
      </c>
      <c r="T28" s="37">
        <f ca="1">SUM($G76:T76)</f>
        <v>92793.570204919088</v>
      </c>
      <c r="U28" s="37">
        <f ca="1">SUM($G76:U76)</f>
        <v>92793.570204919088</v>
      </c>
      <c r="V28" s="37">
        <f ca="1">SUM($G76:V76)</f>
        <v>92793.570204919088</v>
      </c>
      <c r="W28" s="37">
        <f ca="1">SUM($G76:W76)</f>
        <v>92793.570204919088</v>
      </c>
      <c r="X28" s="37">
        <f ca="1">SUM($G76:X76)</f>
        <v>92793.570204919088</v>
      </c>
      <c r="Y28" s="37">
        <f ca="1">SUM($G76:Y76)</f>
        <v>92793.570204919088</v>
      </c>
      <c r="Z28" s="37">
        <f ca="1">SUM($G76:Z76)</f>
        <v>92793.570204919088</v>
      </c>
      <c r="AA28" s="37">
        <f ca="1">SUM($G76:AA76)</f>
        <v>92793.570204919088</v>
      </c>
      <c r="AB28" s="37">
        <f ca="1">SUM($G76:AB76)</f>
        <v>92793.570204919088</v>
      </c>
      <c r="AC28" s="37">
        <f ca="1">SUM($G76:AC76)</f>
        <v>92793.570204919088</v>
      </c>
      <c r="AD28" s="435"/>
      <c r="AF28" s="34">
        <f t="shared" si="2"/>
        <v>22</v>
      </c>
    </row>
    <row r="29" spans="1:32">
      <c r="A29" s="20"/>
      <c r="B29" s="15" t="s">
        <v>50</v>
      </c>
      <c r="F29" s="937">
        <v>0</v>
      </c>
      <c r="G29" s="37">
        <f ca="1">IF(G$7&lt;YEAR(Startops1),0,HLOOKUP(G$7,Reserve_Table,Trapped!$AD$46))</f>
        <v>0</v>
      </c>
      <c r="H29" s="37">
        <f ca="1">IF(H$7&lt;YEAR(Startops1),0,HLOOKUP(H$7,Reserve_Table,Trapped!$AD$46))</f>
        <v>0</v>
      </c>
      <c r="I29" s="37">
        <f ca="1">IF(I$7&lt;YEAR(Startops1),0,HLOOKUP(I$7,Reserve_Table,Trapped!$AD$46))</f>
        <v>0</v>
      </c>
      <c r="J29" s="37">
        <f ca="1">IF(J$7&lt;YEAR(Startops1),0,HLOOKUP(J$7,Reserve_Table,Trapped!$AD$46))</f>
        <v>0</v>
      </c>
      <c r="K29" s="37">
        <f ca="1">IF(K$7&lt;YEAR(Startops1),0,HLOOKUP(K$7,Reserve_Table,Trapped!$AD$46))</f>
        <v>0</v>
      </c>
      <c r="L29" s="37">
        <f ca="1">IF(L$7&lt;YEAR(Startops1),0,HLOOKUP(L$7,Reserve_Table,Trapped!$AD$46))</f>
        <v>0</v>
      </c>
      <c r="M29" s="37">
        <f ca="1">IF(M$7&lt;YEAR(Startops1),0,HLOOKUP(M$7,Reserve_Table,Trapped!$AD$46))</f>
        <v>0</v>
      </c>
      <c r="N29" s="37">
        <f ca="1">IF(N$7&lt;YEAR(Startops1),0,HLOOKUP(N$7,Reserve_Table,Trapped!$AD$46))</f>
        <v>0</v>
      </c>
      <c r="O29" s="37">
        <f ca="1">IF(O$7&lt;YEAR(Startops1),0,HLOOKUP(O$7,Reserve_Table,Trapped!$AD$46))</f>
        <v>0</v>
      </c>
      <c r="P29" s="37">
        <f ca="1">IF(P$7&lt;YEAR(Startops1),0,HLOOKUP(P$7,Reserve_Table,Trapped!$AD$46))</f>
        <v>0</v>
      </c>
      <c r="Q29" s="37">
        <f ca="1">IF(Q$7&lt;YEAR(Startops1),0,HLOOKUP(Q$7,Reserve_Table,Trapped!$AD$46))</f>
        <v>143.49868087627237</v>
      </c>
      <c r="R29" s="37">
        <f ca="1">IF(R$7&lt;YEAR(Startops1),0,HLOOKUP(R$7,Reserve_Table,Trapped!$AD$46))</f>
        <v>1972.1154333266497</v>
      </c>
      <c r="S29" s="37">
        <f ca="1">IF(S$7&lt;YEAR(Startops1),0,HLOOKUP(S$7,Reserve_Table,Trapped!$AD$46))</f>
        <v>2094.1149503703759</v>
      </c>
      <c r="T29" s="37">
        <f ca="1">IF(T$7&lt;YEAR(Startops1),0,HLOOKUP(T$7,Reserve_Table,Trapped!$AD$46))</f>
        <v>2286.7436373609212</v>
      </c>
      <c r="U29" s="37">
        <f ca="1">IF(U$7&lt;YEAR(Startops1),0,HLOOKUP(U$7,Reserve_Table,Trapped!$AD$46))</f>
        <v>3347.9443580465067</v>
      </c>
      <c r="V29" s="37">
        <f ca="1">IF(V$7&lt;YEAR(Startops1),0,HLOOKUP(V$7,Reserve_Table,Trapped!$AD$46))</f>
        <v>4224.7140470160375</v>
      </c>
      <c r="W29" s="37">
        <f ca="1">IF(W$7&lt;YEAR(Startops1),0,HLOOKUP(W$7,Reserve_Table,Trapped!$AD$46))</f>
        <v>4224.7140470160375</v>
      </c>
      <c r="X29" s="37">
        <f ca="1">IF(X$7&lt;YEAR(Startops1),0,HLOOKUP(X$7,Reserve_Table,Trapped!$AD$46))</f>
        <v>4224.7140470160375</v>
      </c>
      <c r="Y29" s="37">
        <f ca="1">IF(Y$7&lt;YEAR(Startops1),0,HLOOKUP(Y$7,Reserve_Table,Trapped!$AD$46))</f>
        <v>4224.7140470160375</v>
      </c>
      <c r="Z29" s="37">
        <f ca="1">IF(Z$7&lt;YEAR(Startops1),0,HLOOKUP(Z$7,Reserve_Table,Trapped!$AD$46))</f>
        <v>4224.7140470160375</v>
      </c>
      <c r="AA29" s="37">
        <f ca="1">IF(AA$7&lt;YEAR(Startops1),0,HLOOKUP(AA$7,Reserve_Table,Trapped!$AD$46))</f>
        <v>4224.7140470160375</v>
      </c>
      <c r="AB29" s="37">
        <f ca="1">IF(AB$7&lt;YEAR(Startops1),0,HLOOKUP(AB$7,Reserve_Table,Trapped!$AD$46))</f>
        <v>629.91613511453215</v>
      </c>
      <c r="AC29" s="37">
        <f ca="1">IF(AC$7&lt;YEAR(Startops1),0,HLOOKUP(AC$7,Reserve_Table,Trapped!$AD$46))</f>
        <v>0</v>
      </c>
      <c r="AD29" s="435"/>
      <c r="AF29" s="34">
        <f t="shared" si="2"/>
        <v>23</v>
      </c>
    </row>
    <row r="30" spans="1:32">
      <c r="A30" s="20"/>
      <c r="B30" s="15" t="s">
        <v>1111</v>
      </c>
      <c r="F30" s="937">
        <v>0</v>
      </c>
      <c r="G30" s="37">
        <f ca="1">SUM($G62:G62)</f>
        <v>0</v>
      </c>
      <c r="H30" s="37">
        <f ca="1">SUM($G62:H62)</f>
        <v>0</v>
      </c>
      <c r="I30" s="37">
        <f ca="1">SUM($G62:I62)</f>
        <v>-6461.118957461953</v>
      </c>
      <c r="J30" s="37">
        <f ca="1">SUM($G62:J62)</f>
        <v>-9612.159810875979</v>
      </c>
      <c r="K30" s="37">
        <f ca="1">SUM($G62:K62)</f>
        <v>-12623.676573780001</v>
      </c>
      <c r="L30" s="37">
        <f ca="1">SUM($G62:L62)</f>
        <v>-14275.34827710392</v>
      </c>
      <c r="M30" s="37">
        <f ca="1">SUM($G62:M62)</f>
        <v>-12554.965103876781</v>
      </c>
      <c r="N30" s="37">
        <f ca="1">SUM($G62:N62)</f>
        <v>256.42769075357137</v>
      </c>
      <c r="O30" s="37">
        <f ca="1">SUM($G62:O62)</f>
        <v>7089.9681192231765</v>
      </c>
      <c r="P30" s="37">
        <f ca="1">SUM($G62:P62)</f>
        <v>14605.901766939043</v>
      </c>
      <c r="Q30" s="37">
        <f ca="1">SUM($G62:Q62)</f>
        <v>23076.016340059665</v>
      </c>
      <c r="R30" s="37">
        <f ca="1">SUM($G62:R62)</f>
        <v>29020.812696590288</v>
      </c>
      <c r="S30" s="37">
        <f ca="1">SUM($G62:S62)</f>
        <v>35236.224764793995</v>
      </c>
      <c r="T30" s="37">
        <f ca="1">SUM($G62:T62)</f>
        <v>42390.139235133356</v>
      </c>
      <c r="U30" s="37">
        <f ca="1">SUM($G62:U62)</f>
        <v>50162.762190132315</v>
      </c>
      <c r="V30" s="37">
        <f ca="1">SUM($G62:V62)</f>
        <v>55673.650257964189</v>
      </c>
      <c r="W30" s="37">
        <f ca="1">SUM($G62:W62)</f>
        <v>62766.912722726454</v>
      </c>
      <c r="X30" s="37">
        <f ca="1">SUM($G62:X62)</f>
        <v>65177.417645912996</v>
      </c>
      <c r="Y30" s="37">
        <f ca="1">SUM($G62:Y62)</f>
        <v>57682.189132048959</v>
      </c>
      <c r="Z30" s="37">
        <f ca="1">SUM($G62:Z62)</f>
        <v>45968.621426353318</v>
      </c>
      <c r="AA30" s="37">
        <f ca="1">SUM($G62:AA62)</f>
        <v>32859.316895335214</v>
      </c>
      <c r="AB30" s="37">
        <f ca="1">SUM($G62:AB62)</f>
        <v>24879.50193031747</v>
      </c>
      <c r="AC30" s="37">
        <f ca="1">SUM($G62:AC62)</f>
        <v>22405.94317981421</v>
      </c>
      <c r="AD30" s="435"/>
      <c r="AF30" s="34">
        <f t="shared" si="2"/>
        <v>24</v>
      </c>
    </row>
    <row r="31" spans="1:32">
      <c r="A31" s="20"/>
      <c r="B31" s="15" t="s">
        <v>1905</v>
      </c>
      <c r="F31" s="937">
        <v>0</v>
      </c>
      <c r="G31" s="142">
        <f ca="1">SUM($G99:G99)</f>
        <v>0</v>
      </c>
      <c r="H31" s="142">
        <f ca="1">SUM($G99:H99)</f>
        <v>0</v>
      </c>
      <c r="I31" s="142">
        <f ca="1">SUM($G99:I99)</f>
        <v>0</v>
      </c>
      <c r="J31" s="142">
        <f ca="1">SUM($G99:J99)</f>
        <v>0</v>
      </c>
      <c r="K31" s="142">
        <f ca="1">SUM($G99:K99)</f>
        <v>0</v>
      </c>
      <c r="L31" s="142">
        <f ca="1">SUM($G99:L99)</f>
        <v>4.5474735088646412E-13</v>
      </c>
      <c r="M31" s="142">
        <f ca="1">SUM($G99:M99)</f>
        <v>-1.3642420526593924E-12</v>
      </c>
      <c r="N31" s="142">
        <f ca="1">SUM($G99:N99)</f>
        <v>-1.3642420526593924E-12</v>
      </c>
      <c r="O31" s="142">
        <f ca="1">SUM($G99:O99)</f>
        <v>4.5474735088646412E-13</v>
      </c>
      <c r="P31" s="142">
        <f ca="1">SUM($G99:P99)</f>
        <v>2.2737367544323206E-12</v>
      </c>
      <c r="Q31" s="142">
        <f ca="1">SUM($G99:Q99)</f>
        <v>-2297.0588723615942</v>
      </c>
      <c r="R31" s="142">
        <f ca="1">SUM($G99:R99)</f>
        <v>-8241.8552288922328</v>
      </c>
      <c r="S31" s="142">
        <f ca="1">SUM($G99:S99)</f>
        <v>-14457.267297095941</v>
      </c>
      <c r="T31" s="142">
        <f ca="1">SUM($G99:T99)</f>
        <v>-21611.181767435308</v>
      </c>
      <c r="U31" s="142">
        <f ca="1">SUM($G99:U99)</f>
        <v>-29383.804722434263</v>
      </c>
      <c r="V31" s="142">
        <f ca="1">SUM($G99:V99)</f>
        <v>-34894.692790266155</v>
      </c>
      <c r="W31" s="142">
        <f ca="1">SUM($G99:W99)</f>
        <v>-41987.955255028421</v>
      </c>
      <c r="X31" s="142">
        <f ca="1">SUM($G99:X99)</f>
        <v>-44398.460178214962</v>
      </c>
      <c r="Y31" s="142">
        <f ca="1">SUM($G99:Y99)</f>
        <v>-44398.460178214962</v>
      </c>
      <c r="Z31" s="142">
        <f ca="1">SUM($G99:Z99)</f>
        <v>-44398.460178214962</v>
      </c>
      <c r="AA31" s="142">
        <f ca="1">SUM($G99:AA99)</f>
        <v>-44398.460178214962</v>
      </c>
      <c r="AB31" s="142">
        <f ca="1">SUM($G99:AB99)</f>
        <v>-44398.460178214962</v>
      </c>
      <c r="AC31" s="142">
        <f ca="1">SUM($G99:AC99)</f>
        <v>-89016.745450306014</v>
      </c>
      <c r="AD31" s="435"/>
      <c r="AF31" s="34">
        <f t="shared" si="2"/>
        <v>25</v>
      </c>
    </row>
    <row r="32" spans="1:32">
      <c r="A32" s="20"/>
      <c r="B32" s="15" t="s">
        <v>1248</v>
      </c>
      <c r="F32" s="37">
        <f t="shared" ref="F32:AC32" si="7">SUM(F28:F31)</f>
        <v>0</v>
      </c>
      <c r="G32" s="37">
        <f t="shared" ca="1" si="7"/>
        <v>7598.2078853046587</v>
      </c>
      <c r="H32" s="37">
        <f t="shared" ca="1" si="7"/>
        <v>92793.570204919088</v>
      </c>
      <c r="I32" s="37">
        <f t="shared" ca="1" si="7"/>
        <v>86332.451247457138</v>
      </c>
      <c r="J32" s="37">
        <f t="shared" ca="1" si="7"/>
        <v>83181.410394043109</v>
      </c>
      <c r="K32" s="37">
        <f t="shared" ca="1" si="7"/>
        <v>80169.893631139086</v>
      </c>
      <c r="L32" s="37">
        <f t="shared" ca="1" si="7"/>
        <v>78518.221927815175</v>
      </c>
      <c r="M32" s="37">
        <f t="shared" ca="1" si="7"/>
        <v>80238.605101042311</v>
      </c>
      <c r="N32" s="37">
        <f t="shared" ca="1" si="7"/>
        <v>93049.997895672655</v>
      </c>
      <c r="O32" s="37">
        <f t="shared" ca="1" si="7"/>
        <v>99883.538324142268</v>
      </c>
      <c r="P32" s="37">
        <f t="shared" ca="1" si="7"/>
        <v>107399.47197185813</v>
      </c>
      <c r="Q32" s="37">
        <f t="shared" ca="1" si="7"/>
        <v>113716.02635349343</v>
      </c>
      <c r="R32" s="37">
        <f t="shared" ca="1" si="7"/>
        <v>115544.64310594379</v>
      </c>
      <c r="S32" s="37">
        <f t="shared" ca="1" si="7"/>
        <v>115666.64262298752</v>
      </c>
      <c r="T32" s="37">
        <f t="shared" ca="1" si="7"/>
        <v>115859.27130997807</v>
      </c>
      <c r="U32" s="37">
        <f t="shared" ca="1" si="7"/>
        <v>116920.47203066363</v>
      </c>
      <c r="V32" s="37">
        <f t="shared" ca="1" si="7"/>
        <v>117797.24171963317</v>
      </c>
      <c r="W32" s="37">
        <f t="shared" ca="1" si="7"/>
        <v>117797.24171963317</v>
      </c>
      <c r="X32" s="37">
        <f t="shared" ca="1" si="7"/>
        <v>117797.24171963314</v>
      </c>
      <c r="Y32" s="37">
        <f t="shared" ca="1" si="7"/>
        <v>110302.01320576912</v>
      </c>
      <c r="Z32" s="37">
        <f t="shared" ca="1" si="7"/>
        <v>98588.44550007346</v>
      </c>
      <c r="AA32" s="37">
        <f t="shared" ca="1" si="7"/>
        <v>85479.140969055385</v>
      </c>
      <c r="AB32" s="37">
        <f t="shared" ca="1" si="7"/>
        <v>73904.528092136112</v>
      </c>
      <c r="AC32" s="37">
        <f t="shared" ca="1" si="7"/>
        <v>26182.767934427276</v>
      </c>
      <c r="AD32" s="435"/>
      <c r="AF32" s="34">
        <f t="shared" si="2"/>
        <v>26</v>
      </c>
    </row>
    <row r="33" spans="1:32">
      <c r="A33" s="20"/>
      <c r="F33" s="276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435"/>
      <c r="AF33" s="34">
        <f t="shared" si="2"/>
        <v>27</v>
      </c>
    </row>
    <row r="34" spans="1:32">
      <c r="A34" s="20" t="s">
        <v>1207</v>
      </c>
      <c r="F34" s="142">
        <f t="shared" ref="F34:AC34" si="8">SUM(F25,F32)</f>
        <v>0</v>
      </c>
      <c r="G34" s="142">
        <f t="shared" ca="1" si="8"/>
        <v>7598.2078853046587</v>
      </c>
      <c r="H34" s="142">
        <f t="shared" ca="1" si="8"/>
        <v>119281.17362167625</v>
      </c>
      <c r="I34" s="142">
        <f t="shared" ca="1" si="8"/>
        <v>172215.05444051401</v>
      </c>
      <c r="J34" s="142">
        <f t="shared" ca="1" si="8"/>
        <v>271791.7748764049</v>
      </c>
      <c r="K34" s="142">
        <f t="shared" ca="1" si="8"/>
        <v>331270.82661495602</v>
      </c>
      <c r="L34" s="142">
        <f t="shared" ca="1" si="8"/>
        <v>315235.93069594464</v>
      </c>
      <c r="M34" s="142">
        <f t="shared" ca="1" si="8"/>
        <v>301743.86504731566</v>
      </c>
      <c r="N34" s="142">
        <f t="shared" ca="1" si="8"/>
        <v>297166.10762124788</v>
      </c>
      <c r="O34" s="142">
        <f t="shared" ca="1" si="8"/>
        <v>285344.93977540359</v>
      </c>
      <c r="P34" s="142">
        <f t="shared" ca="1" si="8"/>
        <v>273356.35497987905</v>
      </c>
      <c r="Q34" s="142">
        <f t="shared" ca="1" si="8"/>
        <v>258738.2074544435</v>
      </c>
      <c r="R34" s="142">
        <f t="shared" ca="1" si="8"/>
        <v>240022.88878051055</v>
      </c>
      <c r="S34" s="142">
        <f t="shared" ca="1" si="8"/>
        <v>219671.03058637935</v>
      </c>
      <c r="T34" s="142">
        <f t="shared" ca="1" si="8"/>
        <v>198382.7973538129</v>
      </c>
      <c r="U34" s="142">
        <f t="shared" ca="1" si="8"/>
        <v>176348.70725871128</v>
      </c>
      <c r="V34" s="142">
        <f t="shared" ca="1" si="8"/>
        <v>156315.46569046518</v>
      </c>
      <c r="W34" s="142">
        <f t="shared" ca="1" si="8"/>
        <v>143257.58169950332</v>
      </c>
      <c r="X34" s="142">
        <f t="shared" ca="1" si="8"/>
        <v>130090.64434880827</v>
      </c>
      <c r="Y34" s="142">
        <f t="shared" ca="1" si="8"/>
        <v>110302.01320576899</v>
      </c>
      <c r="Z34" s="142">
        <f t="shared" ca="1" si="8"/>
        <v>98588.445500073329</v>
      </c>
      <c r="AA34" s="142">
        <f t="shared" ca="1" si="8"/>
        <v>85479.140969055254</v>
      </c>
      <c r="AB34" s="142">
        <f t="shared" ca="1" si="8"/>
        <v>73904.528092135981</v>
      </c>
      <c r="AC34" s="142">
        <f t="shared" ca="1" si="8"/>
        <v>26182.767934427149</v>
      </c>
      <c r="AD34" s="436"/>
      <c r="AF34" s="34">
        <f t="shared" si="2"/>
        <v>28</v>
      </c>
    </row>
    <row r="35" spans="1:32">
      <c r="A35" s="20"/>
      <c r="F35" s="276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435"/>
      <c r="AF35" s="34">
        <f t="shared" si="2"/>
        <v>29</v>
      </c>
    </row>
    <row r="36" spans="1:32">
      <c r="A36" s="1173" t="s">
        <v>1249</v>
      </c>
      <c r="B36" s="572"/>
      <c r="C36" s="572"/>
      <c r="D36" s="572"/>
      <c r="E36" s="572"/>
      <c r="F36" s="573">
        <f t="shared" ref="F36:AC36" si="9">F18-F34</f>
        <v>0</v>
      </c>
      <c r="G36" s="573">
        <f t="shared" ca="1" si="9"/>
        <v>0</v>
      </c>
      <c r="H36" s="573">
        <f t="shared" ca="1" si="9"/>
        <v>0</v>
      </c>
      <c r="I36" s="573">
        <f t="shared" ca="1" si="9"/>
        <v>0</v>
      </c>
      <c r="J36" s="573">
        <f t="shared" ca="1" si="9"/>
        <v>0</v>
      </c>
      <c r="K36" s="573">
        <f t="shared" ca="1" si="9"/>
        <v>0</v>
      </c>
      <c r="L36" s="573">
        <f t="shared" ca="1" si="9"/>
        <v>0</v>
      </c>
      <c r="M36" s="573">
        <f t="shared" ca="1" si="9"/>
        <v>0</v>
      </c>
      <c r="N36" s="573">
        <f t="shared" ca="1" si="9"/>
        <v>0</v>
      </c>
      <c r="O36" s="573">
        <f t="shared" ca="1" si="9"/>
        <v>0</v>
      </c>
      <c r="P36" s="573">
        <f t="shared" ca="1" si="9"/>
        <v>0</v>
      </c>
      <c r="Q36" s="573">
        <f t="shared" ca="1" si="9"/>
        <v>0</v>
      </c>
      <c r="R36" s="573">
        <f t="shared" ca="1" si="9"/>
        <v>0</v>
      </c>
      <c r="S36" s="573">
        <f t="shared" ca="1" si="9"/>
        <v>0</v>
      </c>
      <c r="T36" s="573">
        <f t="shared" ca="1" si="9"/>
        <v>0</v>
      </c>
      <c r="U36" s="573">
        <f t="shared" ca="1" si="9"/>
        <v>0</v>
      </c>
      <c r="V36" s="573">
        <f t="shared" ca="1" si="9"/>
        <v>0</v>
      </c>
      <c r="W36" s="573">
        <f t="shared" ca="1" si="9"/>
        <v>0</v>
      </c>
      <c r="X36" s="573">
        <f t="shared" ca="1" si="9"/>
        <v>0</v>
      </c>
      <c r="Y36" s="573">
        <f t="shared" ca="1" si="9"/>
        <v>0</v>
      </c>
      <c r="Z36" s="573">
        <f t="shared" ca="1" si="9"/>
        <v>0</v>
      </c>
      <c r="AA36" s="573">
        <f t="shared" ca="1" si="9"/>
        <v>0</v>
      </c>
      <c r="AB36" s="573">
        <f t="shared" ca="1" si="9"/>
        <v>0</v>
      </c>
      <c r="AC36" s="573">
        <f t="shared" ca="1" si="9"/>
        <v>1.0550138540565968E-10</v>
      </c>
      <c r="AD36" s="576"/>
      <c r="AF36" s="34">
        <f t="shared" si="2"/>
        <v>30</v>
      </c>
    </row>
    <row r="37" spans="1:32">
      <c r="A37" s="20"/>
      <c r="F37" s="15"/>
      <c r="G37" s="15"/>
      <c r="H37" s="15"/>
      <c r="I37" s="15"/>
      <c r="J37" s="6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430"/>
    </row>
    <row r="38" spans="1:32" s="15" customFormat="1" ht="16.5" thickBot="1">
      <c r="A38" s="936" t="s">
        <v>664</v>
      </c>
      <c r="B38" s="49"/>
      <c r="C38" s="49"/>
      <c r="D38" s="49"/>
      <c r="E38" s="49"/>
      <c r="F38" s="49"/>
      <c r="G38" s="83">
        <f>G$7</f>
        <v>1997</v>
      </c>
      <c r="H38" s="83">
        <f>H$7</f>
        <v>1998</v>
      </c>
      <c r="I38" s="83">
        <f t="shared" ref="I38:AD38" si="10">I$7</f>
        <v>1999</v>
      </c>
      <c r="J38" s="83">
        <f t="shared" si="10"/>
        <v>2000</v>
      </c>
      <c r="K38" s="83">
        <f t="shared" si="10"/>
        <v>2001</v>
      </c>
      <c r="L38" s="83">
        <f t="shared" si="10"/>
        <v>2002</v>
      </c>
      <c r="M38" s="83">
        <f t="shared" si="10"/>
        <v>2003</v>
      </c>
      <c r="N38" s="83">
        <f t="shared" si="10"/>
        <v>2004</v>
      </c>
      <c r="O38" s="83">
        <f t="shared" si="10"/>
        <v>2005</v>
      </c>
      <c r="P38" s="83">
        <f t="shared" si="10"/>
        <v>2006</v>
      </c>
      <c r="Q38" s="83">
        <f t="shared" si="10"/>
        <v>2007</v>
      </c>
      <c r="R38" s="83">
        <f t="shared" si="10"/>
        <v>2008</v>
      </c>
      <c r="S38" s="83">
        <f t="shared" si="10"/>
        <v>2009</v>
      </c>
      <c r="T38" s="83">
        <f t="shared" si="10"/>
        <v>2010</v>
      </c>
      <c r="U38" s="83">
        <f t="shared" si="10"/>
        <v>2011</v>
      </c>
      <c r="V38" s="83">
        <f t="shared" si="10"/>
        <v>2012</v>
      </c>
      <c r="W38" s="83">
        <f t="shared" si="10"/>
        <v>2013</v>
      </c>
      <c r="X38" s="83">
        <f t="shared" si="10"/>
        <v>2014</v>
      </c>
      <c r="Y38" s="83">
        <f t="shared" si="10"/>
        <v>2015</v>
      </c>
      <c r="Z38" s="83">
        <f t="shared" si="10"/>
        <v>2016</v>
      </c>
      <c r="AA38" s="83">
        <f t="shared" si="10"/>
        <v>2017</v>
      </c>
      <c r="AB38" s="83">
        <f t="shared" si="10"/>
        <v>2018</v>
      </c>
      <c r="AC38" s="83">
        <f t="shared" si="10"/>
        <v>2019</v>
      </c>
      <c r="AD38" s="425" t="str">
        <f t="shared" si="10"/>
        <v>Totals</v>
      </c>
    </row>
    <row r="39" spans="1:32" s="15" customFormat="1">
      <c r="A39" s="412" t="s">
        <v>665</v>
      </c>
      <c r="G39" s="37">
        <f ca="1">IF(G$7&lt;YEAR(Startops1),0,HLOOKUP(G$7,CF_Table,CF!$AB$17))</f>
        <v>0</v>
      </c>
      <c r="H39" s="37">
        <f ca="1">IF(H$7&lt;YEAR(Startops1),0,HLOOKUP(H$7,CF_Table,CF!$AB$17))</f>
        <v>0</v>
      </c>
      <c r="I39" s="37">
        <f ca="1">IF(I$7&lt;YEAR(Startops1),0,HLOOKUP(I$7,CF_Table,CF!$AB$17))</f>
        <v>8945.7685336101022</v>
      </c>
      <c r="J39" s="37">
        <f ca="1">IF(J$7&lt;YEAR(Startops1),0,HLOOKUP(J$7,CF_Table,CF!$AB$17))</f>
        <v>14802.62809773303</v>
      </c>
      <c r="K39" s="37">
        <f ca="1">IF(K$7&lt;YEAR(Startops1),0,HLOOKUP(K$7,CF_Table,CF!$AB$17))</f>
        <v>101970.74638136684</v>
      </c>
      <c r="L39" s="1867">
        <f ca="1">IF(L$7&lt;YEAR(Startops1),0,HLOOKUP(L$7,CF_Table,CF!$AB$17))</f>
        <v>145216.28363779781</v>
      </c>
      <c r="M39" s="37">
        <f ca="1">IF(M$7&lt;YEAR(Startops1),0,HLOOKUP(M$7,CF_Table,CF!$AB$17))</f>
        <v>152037.8940492323</v>
      </c>
      <c r="N39" s="37">
        <f ca="1">IF(N$7&lt;YEAR(Startops1),0,HLOOKUP(N$7,CF_Table,CF!$AB$17))</f>
        <v>157887.51234260612</v>
      </c>
      <c r="O39" s="37">
        <f ca="1">IF(O$7&lt;YEAR(Startops1),0,HLOOKUP(O$7,CF_Table,CF!$AB$17))</f>
        <v>161622.68690370049</v>
      </c>
      <c r="P39" s="37">
        <f ca="1">IF(P$7&lt;YEAR(Startops1),0,HLOOKUP(P$7,CF_Table,CF!$AB$17))</f>
        <v>164884.12886602743</v>
      </c>
      <c r="Q39" s="37">
        <f ca="1">IF(Q$7&lt;YEAR(Startops1),0,HLOOKUP(Q$7,CF_Table,CF!$AB$17))</f>
        <v>164736.21912270653</v>
      </c>
      <c r="R39" s="37">
        <f ca="1">IF(R$7&lt;YEAR(Startops1),0,HLOOKUP(R$7,CF_Table,CF!$AB$17))</f>
        <v>163138.86154405581</v>
      </c>
      <c r="S39" s="37">
        <f ca="1">IF(S$7&lt;YEAR(Startops1),0,HLOOKUP(S$7,CF_Table,CF!$AB$17))</f>
        <v>164515.35106079854</v>
      </c>
      <c r="T39" s="37">
        <f ca="1">IF(T$7&lt;YEAR(Startops1),0,HLOOKUP(T$7,CF_Table,CF!$AB$17))</f>
        <v>168252.20157661455</v>
      </c>
      <c r="U39" s="37">
        <f ca="1">IF(U$7&lt;YEAR(Startops1),0,HLOOKUP(U$7,CF_Table,CF!$AB$17))</f>
        <v>169682.39347227945</v>
      </c>
      <c r="V39" s="37">
        <f ca="1">IF(V$7&lt;YEAR(Startops1),0,HLOOKUP(V$7,CF_Table,CF!$AB$17))</f>
        <v>164987.36061945558</v>
      </c>
      <c r="W39" s="37">
        <f ca="1">IF(W$7&lt;YEAR(Startops1),0,HLOOKUP(W$7,CF_Table,CF!$AB$17))</f>
        <v>171248.36803748639</v>
      </c>
      <c r="X39" s="37">
        <f ca="1">IF(X$7&lt;YEAR(Startops1),0,HLOOKUP(X$7,CF_Table,CF!$AB$17))</f>
        <v>161278.95575691792</v>
      </c>
      <c r="Y39" s="37">
        <f ca="1">IF(Y$7&lt;YEAR(Startops1),0,HLOOKUP(Y$7,CF_Table,CF!$AB$17))</f>
        <v>147577.30269190494</v>
      </c>
      <c r="Z39" s="37">
        <f ca="1">IF(Z$7&lt;YEAR(Startops1),0,HLOOKUP(Z$7,CF_Table,CF!$AB$17))</f>
        <v>145918.53665476115</v>
      </c>
      <c r="AA39" s="37">
        <f ca="1">IF(AA$7&lt;YEAR(Startops1),0,HLOOKUP(AA$7,CF_Table,CF!$AB$17))</f>
        <v>147984.34065996855</v>
      </c>
      <c r="AB39" s="37">
        <f ca="1">IF(AB$7&lt;YEAR(Startops1),0,HLOOKUP(AB$7,CF_Table,CF!$AB$17))</f>
        <v>146294.84173599019</v>
      </c>
      <c r="AC39" s="37">
        <f ca="1">IF(AC$7&lt;YEAR(Startops1),0,HLOOKUP(AC$7,CF_Table,CF!$AB$17))</f>
        <v>48340.657520520093</v>
      </c>
      <c r="AD39" s="435">
        <f ca="1">SUM(G39:AC39)</f>
        <v>2871323.0392655339</v>
      </c>
    </row>
    <row r="40" spans="1:32">
      <c r="A40" s="20" t="s">
        <v>899</v>
      </c>
      <c r="F40" s="15"/>
      <c r="G40" s="142">
        <f ca="1">IF(G$7&lt;YEAR(Startops1),0,HLOOKUP(G$7,CF_Table,CF!$AB$18))</f>
        <v>0</v>
      </c>
      <c r="H40" s="142">
        <f ca="1">IF(H$7&lt;YEAR(Startops1),0,HLOOKUP(H$7,CF_Table,CF!$AB$18))</f>
        <v>0</v>
      </c>
      <c r="I40" s="142">
        <f ca="1">IF(I$7&lt;YEAR(Startops1),0,HLOOKUP(I$7,CF_Table,CF!$AB$18))</f>
        <v>-237.06286614066769</v>
      </c>
      <c r="J40" s="142">
        <f ca="1">IF(J$7&lt;YEAR(Startops1),0,HLOOKUP(J$7,CF_Table,CF!$AB$18))</f>
        <v>-392.26964458992529</v>
      </c>
      <c r="K40" s="142">
        <f ca="1">IF(K$7&lt;YEAR(Startops1),0,HLOOKUP(K$7,CF_Table,CF!$AB$18))</f>
        <v>-2702.2247791062214</v>
      </c>
      <c r="L40" s="142">
        <f ca="1">IF(L$7&lt;YEAR(Startops1),0,HLOOKUP(L$7,CF_Table,CF!$AB$18))</f>
        <v>-3848.2315164016418</v>
      </c>
      <c r="M40" s="142">
        <f ca="1">IF(M$7&lt;YEAR(Startops1),0,HLOOKUP(M$7,CF_Table,CF!$AB$18))</f>
        <v>-4029.004192304656</v>
      </c>
      <c r="N40" s="142">
        <f ca="1">IF(N$7&lt;YEAR(Startops1),0,HLOOKUP(N$7,CF_Table,CF!$AB$18))</f>
        <v>-4184.0190770790623</v>
      </c>
      <c r="O40" s="142">
        <f ca="1">IF(O$7&lt;YEAR(Startops1),0,HLOOKUP(O$7,CF_Table,CF!$AB$18))</f>
        <v>-4283.0012029480631</v>
      </c>
      <c r="P40" s="142">
        <f ca="1">IF(P$7&lt;YEAR(Startops1),0,HLOOKUP(P$7,CF_Table,CF!$AB$18))</f>
        <v>-4369.4294149497264</v>
      </c>
      <c r="Q40" s="142">
        <f ca="1">IF(Q$7&lt;YEAR(Startops1),0,HLOOKUP(Q$7,CF_Table,CF!$AB$18))</f>
        <v>-4365.5098067517229</v>
      </c>
      <c r="R40" s="142">
        <f ca="1">IF(R$7&lt;YEAR(Startops1),0,HLOOKUP(R$7,CF_Table,CF!$AB$18))</f>
        <v>-4323.1798309174783</v>
      </c>
      <c r="S40" s="142">
        <f ca="1">IF(S$7&lt;YEAR(Startops1),0,HLOOKUP(S$7,CF_Table,CF!$AB$18))</f>
        <v>-4359.656803111161</v>
      </c>
      <c r="T40" s="142">
        <f ca="1">IF(T$7&lt;YEAR(Startops1),0,HLOOKUP(T$7,CF_Table,CF!$AB$18))</f>
        <v>-4458.6833417802854</v>
      </c>
      <c r="U40" s="142">
        <f ca="1">IF(U$7&lt;YEAR(Startops1),0,HLOOKUP(U$7,CF_Table,CF!$AB$18))</f>
        <v>-4496.5834270154055</v>
      </c>
      <c r="V40" s="142">
        <f ca="1">IF(V$7&lt;YEAR(Startops1),0,HLOOKUP(V$7,CF_Table,CF!$AB$18))</f>
        <v>-4372.1650564155725</v>
      </c>
      <c r="W40" s="142">
        <f ca="1">IF(W$7&lt;YEAR(Startops1),0,HLOOKUP(W$7,CF_Table,CF!$AB$18))</f>
        <v>-4538.0817529933893</v>
      </c>
      <c r="X40" s="142">
        <f ca="1">IF(X$7&lt;YEAR(Startops1),0,HLOOKUP(X$7,CF_Table,CF!$AB$18))</f>
        <v>-4273.8923275583247</v>
      </c>
      <c r="Y40" s="142">
        <f ca="1">IF(Y$7&lt;YEAR(Startops1),0,HLOOKUP(Y$7,CF_Table,CF!$AB$18))</f>
        <v>-3910.7985213354809</v>
      </c>
      <c r="Z40" s="142">
        <f ca="1">IF(Z$7&lt;YEAR(Startops1),0,HLOOKUP(Z$7,CF_Table,CF!$AB$18))</f>
        <v>-3866.8412213511701</v>
      </c>
      <c r="AA40" s="142">
        <f ca="1">IF(AA$7&lt;YEAR(Startops1),0,HLOOKUP(AA$7,CF_Table,CF!$AB$18))</f>
        <v>-3921.5850274891668</v>
      </c>
      <c r="AB40" s="142">
        <f ca="1">IF(AB$7&lt;YEAR(Startops1),0,HLOOKUP(AB$7,CF_Table,CF!$AB$18))</f>
        <v>-3876.8133060037399</v>
      </c>
      <c r="AC40" s="142">
        <f ca="1">IF(AC$7&lt;YEAR(Startops1),0,HLOOKUP(AC$7,CF_Table,CF!$AB$18))</f>
        <v>-1281.0274242937824</v>
      </c>
      <c r="AD40" s="436">
        <f ca="1">SUM(G40:AC40)</f>
        <v>-76090.060540536651</v>
      </c>
    </row>
    <row r="41" spans="1:32">
      <c r="A41" s="20"/>
      <c r="B41" s="15" t="s">
        <v>1106</v>
      </c>
      <c r="F41" s="15"/>
      <c r="G41" s="37">
        <f ca="1">SUM(G39:G40)</f>
        <v>0</v>
      </c>
      <c r="H41" s="37">
        <f t="shared" ref="H41:AC41" ca="1" si="11">SUM(H39:H40)</f>
        <v>0</v>
      </c>
      <c r="I41" s="37">
        <f t="shared" ca="1" si="11"/>
        <v>8708.705667469434</v>
      </c>
      <c r="J41" s="37">
        <f t="shared" ca="1" si="11"/>
        <v>14410.358453143104</v>
      </c>
      <c r="K41" s="37">
        <f t="shared" ca="1" si="11"/>
        <v>99268.521602260618</v>
      </c>
      <c r="L41" s="1867">
        <f ca="1">SUM(L39:L40)</f>
        <v>141368.05212139618</v>
      </c>
      <c r="M41" s="37">
        <f t="shared" ca="1" si="11"/>
        <v>148008.88985692765</v>
      </c>
      <c r="N41" s="37">
        <f t="shared" ca="1" si="11"/>
        <v>153703.49326552707</v>
      </c>
      <c r="O41" s="37">
        <f t="shared" ca="1" si="11"/>
        <v>157339.68570075242</v>
      </c>
      <c r="P41" s="37">
        <f t="shared" ca="1" si="11"/>
        <v>160514.6994510777</v>
      </c>
      <c r="Q41" s="37">
        <f t="shared" ca="1" si="11"/>
        <v>160370.70931595482</v>
      </c>
      <c r="R41" s="37">
        <f t="shared" ca="1" si="11"/>
        <v>158815.68171313833</v>
      </c>
      <c r="S41" s="37">
        <f t="shared" ca="1" si="11"/>
        <v>160155.69425768737</v>
      </c>
      <c r="T41" s="37">
        <f t="shared" ca="1" si="11"/>
        <v>163793.51823483425</v>
      </c>
      <c r="U41" s="37">
        <f t="shared" ca="1" si="11"/>
        <v>165185.81004526405</v>
      </c>
      <c r="V41" s="37">
        <f t="shared" ca="1" si="11"/>
        <v>160615.19556304</v>
      </c>
      <c r="W41" s="37">
        <f t="shared" ca="1" si="11"/>
        <v>166710.28628449299</v>
      </c>
      <c r="X41" s="37">
        <f t="shared" ca="1" si="11"/>
        <v>157005.06342935958</v>
      </c>
      <c r="Y41" s="37">
        <f t="shared" ca="1" si="11"/>
        <v>143666.50417056947</v>
      </c>
      <c r="Z41" s="37">
        <f t="shared" ca="1" si="11"/>
        <v>142051.69543340997</v>
      </c>
      <c r="AA41" s="37">
        <f t="shared" ca="1" si="11"/>
        <v>144062.75563247938</v>
      </c>
      <c r="AB41" s="37">
        <f t="shared" ca="1" si="11"/>
        <v>142418.02842998644</v>
      </c>
      <c r="AC41" s="37">
        <f t="shared" ca="1" si="11"/>
        <v>47059.630096226312</v>
      </c>
      <c r="AD41" s="435">
        <f ca="1">SUM(G41:AC41)</f>
        <v>2795232.978724997</v>
      </c>
      <c r="AE41" s="119" t="str">
        <f ca="1">IF(ROUND(AD41-CF!Z19,2)=0," ","CHECK REVENUES")</f>
        <v xml:space="preserve"> </v>
      </c>
    </row>
    <row r="42" spans="1:32">
      <c r="A42" s="20"/>
      <c r="F42" s="15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435"/>
    </row>
    <row r="43" spans="1:32">
      <c r="A43" s="20" t="s">
        <v>586</v>
      </c>
      <c r="F43" s="15"/>
      <c r="G43" s="37">
        <f ca="1">IF(G$7&lt;YEAR(Startops1),0,-HLOOKUP(G$7,CF_Table,CF!$AB$22))</f>
        <v>0</v>
      </c>
      <c r="H43" s="37">
        <f ca="1">IF(H$7&lt;YEAR(Startops1),0,-HLOOKUP(H$7,CF_Table,CF!$AB$22))</f>
        <v>0</v>
      </c>
      <c r="I43" s="37">
        <f ca="1">IF(I$7&lt;YEAR(Startops1),0,-HLOOKUP(I$7,CF_Table,CF!$AB$22))</f>
        <v>0</v>
      </c>
      <c r="J43" s="37">
        <f ca="1">IF(J$7&lt;YEAR(Startops1),0,-HLOOKUP(J$7,CF_Table,CF!$AB$22))</f>
        <v>0</v>
      </c>
      <c r="K43" s="37">
        <f ca="1">IF(K$7&lt;YEAR(Startops1),0,-HLOOKUP(K$7,CF_Table,CF!$AB$22))</f>
        <v>-27315.127313939403</v>
      </c>
      <c r="L43" s="37">
        <f ca="1">IF(L$7&lt;YEAR(Startops1),0,-HLOOKUP(L$7,CF_Table,CF!$AB$22))</f>
        <v>-39461.510170493224</v>
      </c>
      <c r="M43" s="37">
        <f ca="1">IF(M$7&lt;YEAR(Startops1),0,-HLOOKUP(M$7,CF_Table,CF!$AB$22))</f>
        <v>-40400.390114087357</v>
      </c>
      <c r="N43" s="37">
        <f ca="1">IF(N$7&lt;YEAR(Startops1),0,-HLOOKUP(N$7,CF_Table,CF!$AB$22))</f>
        <v>-41436.369109676125</v>
      </c>
      <c r="O43" s="37">
        <f ca="1">IF(O$7&lt;YEAR(Startops1),0,-HLOOKUP(O$7,CF_Table,CF!$AB$22))</f>
        <v>-42248.399071166699</v>
      </c>
      <c r="P43" s="37">
        <f ca="1">IF(P$7&lt;YEAR(Startops1),0,-HLOOKUP(P$7,CF_Table,CF!$AB$22))</f>
        <v>-43175.062077009061</v>
      </c>
      <c r="Q43" s="37">
        <f ca="1">IF(Q$7&lt;YEAR(Startops1),0,-HLOOKUP(Q$7,CF_Table,CF!$AB$22))</f>
        <v>-44102.50485224228</v>
      </c>
      <c r="R43" s="37">
        <f ca="1">IF(R$7&lt;YEAR(Startops1),0,-HLOOKUP(R$7,CF_Table,CF!$AB$22))</f>
        <v>-45151.638155327622</v>
      </c>
      <c r="S43" s="37">
        <f ca="1">IF(S$7&lt;YEAR(Startops1),0,-HLOOKUP(S$7,CF_Table,CF!$AB$22))</f>
        <v>-45960.005967279969</v>
      </c>
      <c r="T43" s="37">
        <f ca="1">IF(T$7&lt;YEAR(Startops1),0,-HLOOKUP(T$7,CF_Table,CF!$AB$22))</f>
        <v>-46894.495233378933</v>
      </c>
      <c r="U43" s="37">
        <f ca="1">IF(U$7&lt;YEAR(Startops1),0,-HLOOKUP(U$7,CF_Table,CF!$AB$22))</f>
        <v>-47835.22662676758</v>
      </c>
      <c r="V43" s="37">
        <f ca="1">IF(V$7&lt;YEAR(Startops1),0,-HLOOKUP(V$7,CF_Table,CF!$AB$22))</f>
        <v>-48917.321634956534</v>
      </c>
      <c r="W43" s="37">
        <f ca="1">IF(W$7&lt;YEAR(Startops1),0,-HLOOKUP(W$7,CF_Table,CF!$AB$22))</f>
        <v>-49750.505807509238</v>
      </c>
      <c r="X43" s="37">
        <f ca="1">IF(X$7&lt;YEAR(Startops1),0,-HLOOKUP(X$7,CF_Table,CF!$AB$22))</f>
        <v>-50740.767787139906</v>
      </c>
      <c r="Y43" s="37">
        <f ca="1">IF(Y$7&lt;YEAR(Startops1),0,-HLOOKUP(Y$7,CF_Table,CF!$AB$22))</f>
        <v>-51767.048523066689</v>
      </c>
      <c r="Z43" s="37">
        <f ca="1">IF(Z$7&lt;YEAR(Startops1),0,-HLOOKUP(Z$7,CF_Table,CF!$AB$22))</f>
        <v>-52978.624695289735</v>
      </c>
      <c r="AA43" s="37">
        <f ca="1">IF(AA$7&lt;YEAR(Startops1),0,-HLOOKUP(AA$7,CF_Table,CF!$AB$22))</f>
        <v>-53952.18356457437</v>
      </c>
      <c r="AB43" s="37">
        <f ca="1">IF(AB$7&lt;YEAR(Startops1),0,-HLOOKUP(AB$7,CF_Table,CF!$AB$22))</f>
        <v>-55117.305630723211</v>
      </c>
      <c r="AC43" s="37">
        <f ca="1">IF(AC$7&lt;YEAR(Startops1),0,-HLOOKUP(AC$7,CF_Table,CF!$AB$22))</f>
        <v>-18248.420909313816</v>
      </c>
      <c r="AD43" s="435">
        <f ca="1">SUM(G43:AC43)</f>
        <v>-845452.90724394179</v>
      </c>
    </row>
    <row r="44" spans="1:32">
      <c r="A44" s="20" t="s">
        <v>1108</v>
      </c>
      <c r="F44" s="15"/>
      <c r="G44" s="37">
        <f ca="1">IF(G$7&lt;YEAR(Startops1),0,-HLOOKUP(G$7,CF_Table,CF!$AB$23))</f>
        <v>0</v>
      </c>
      <c r="H44" s="37">
        <f ca="1">IF(H$7&lt;YEAR(Startops1),0,-HLOOKUP(H$7,CF_Table,CF!$AB$23))</f>
        <v>0</v>
      </c>
      <c r="I44" s="37">
        <f ca="1">IF(I$7&lt;YEAR(Startops1),0,-HLOOKUP(I$7,CF_Table,CF!$AB$23))</f>
        <v>0</v>
      </c>
      <c r="J44" s="37">
        <f ca="1">IF(J$7&lt;YEAR(Startops1),0,-HLOOKUP(J$7,CF_Table,CF!$AB$23))</f>
        <v>0</v>
      </c>
      <c r="K44" s="37">
        <f ca="1">IF(K$7&lt;YEAR(Startops1),0,-HLOOKUP(K$7,CF_Table,CF!$AB$23))</f>
        <v>-27484.721862367773</v>
      </c>
      <c r="L44" s="37">
        <f ca="1">IF(L$7&lt;YEAR(Startops1),0,-HLOOKUP(L$7,CF_Table,CF!$AB$23))</f>
        <v>-43789.99746682329</v>
      </c>
      <c r="M44" s="37">
        <f ca="1">IF(M$7&lt;YEAR(Startops1),0,-HLOOKUP(M$7,CF_Table,CF!$AB$23))</f>
        <v>-45152.907480765716</v>
      </c>
      <c r="N44" s="37">
        <f ca="1">IF(N$7&lt;YEAR(Startops1),0,-HLOOKUP(N$7,CF_Table,CF!$AB$23))</f>
        <v>-46518.330672235417</v>
      </c>
      <c r="O44" s="37">
        <f ca="1">IF(O$7&lt;YEAR(Startops1),0,-HLOOKUP(O$7,CF_Table,CF!$AB$23))</f>
        <v>-47815.130842564657</v>
      </c>
      <c r="P44" s="37">
        <f ca="1">IF(P$7&lt;YEAR(Startops1),0,-HLOOKUP(P$7,CF_Table,CF!$AB$23))</f>
        <v>-49176.961187941022</v>
      </c>
      <c r="Q44" s="37">
        <f ca="1">IF(Q$7&lt;YEAR(Startops1),0,-HLOOKUP(Q$7,CF_Table,CF!$AB$23))</f>
        <v>-50569.989667461137</v>
      </c>
      <c r="R44" s="37">
        <f ca="1">IF(R$7&lt;YEAR(Startops1),0,-HLOOKUP(R$7,CF_Table,CF!$AB$23))</f>
        <v>-51900.505577384261</v>
      </c>
      <c r="S44" s="37">
        <f ca="1">IF(S$7&lt;YEAR(Startops1),0,-HLOOKUP(S$7,CF_Table,CF!$AB$23))</f>
        <v>-53285.103666739931</v>
      </c>
      <c r="T44" s="37">
        <f ca="1">IF(T$7&lt;YEAR(Startops1),0,-HLOOKUP(T$7,CF_Table,CF!$AB$23))</f>
        <v>-54702.160688180251</v>
      </c>
      <c r="U44" s="37">
        <f ca="1">IF(U$7&lt;YEAR(Startops1),0,-HLOOKUP(U$7,CF_Table,CF!$AB$23))</f>
        <v>-56038.379717286647</v>
      </c>
      <c r="V44" s="37">
        <f ca="1">IF(V$7&lt;YEAR(Startops1),0,-HLOOKUP(V$7,CF_Table,CF!$AB$23))</f>
        <v>-57466.157692147623</v>
      </c>
      <c r="W44" s="37">
        <f ca="1">IF(W$7&lt;YEAR(Startops1),0,-HLOOKUP(W$7,CF_Table,CF!$AB$23))</f>
        <v>-58955.026086573715</v>
      </c>
      <c r="X44" s="37">
        <f ca="1">IF(X$7&lt;YEAR(Startops1),0,-HLOOKUP(X$7,CF_Table,CF!$AB$23))</f>
        <v>-60404.278130353428</v>
      </c>
      <c r="Y44" s="37">
        <f ca="1">IF(Y$7&lt;YEAR(Startops1),0,-HLOOKUP(Y$7,CF_Table,CF!$AB$23))</f>
        <v>-61960.758466385618</v>
      </c>
      <c r="Z44" s="37">
        <f ca="1">IF(Z$7&lt;YEAR(Startops1),0,-HLOOKUP(Z$7,CF_Table,CF!$AB$23))</f>
        <v>-63605.576287677912</v>
      </c>
      <c r="AA44" s="37">
        <f ca="1">IF(AA$7&lt;YEAR(Startops1),0,-HLOOKUP(AA$7,CF_Table,CF!$AB$23))</f>
        <v>-65211.269243592535</v>
      </c>
      <c r="AB44" s="37">
        <f ca="1">IF(AB$7&lt;YEAR(Startops1),0,-HLOOKUP(AB$7,CF_Table,CF!$AB$23))</f>
        <v>-66975.625319171741</v>
      </c>
      <c r="AC44" s="37">
        <f ca="1">IF(AC$7&lt;YEAR(Startops1),0,-HLOOKUP(AC$7,CF_Table,CF!$AB$23))</f>
        <v>-22531.500870964843</v>
      </c>
      <c r="AD44" s="435">
        <f ca="1">SUM(G44:AC44)</f>
        <v>-983544.38092661742</v>
      </c>
    </row>
    <row r="45" spans="1:32">
      <c r="A45" s="20" t="s">
        <v>63</v>
      </c>
      <c r="F45" s="15"/>
      <c r="G45" s="142">
        <f ca="1">IF(G$7&lt;YEAR(Startops1),0,-HLOOKUP(G$7,CF_Table,CF!$AB$24)-HLOOKUP(G$7,CF_Table,CF!$AB$25)-HLOOKUP(G$7,CF_Table,CF!$AB$26))</f>
        <v>0</v>
      </c>
      <c r="H45" s="142">
        <f ca="1">IF(H$7&lt;YEAR(Startops1),0,-HLOOKUP(H$7,CF_Table,CF!$AB$24)-HLOOKUP(H$7,CF_Table,CF!$AB$25)-HLOOKUP(H$7,CF_Table,CF!$AB$26))</f>
        <v>0</v>
      </c>
      <c r="I45" s="142">
        <f ca="1">IF(I$7&lt;YEAR(Startops1),0,-HLOOKUP(I$7,CF_Table,CF!$AB$24)-HLOOKUP(I$7,CF_Table,CF!$AB$25)-HLOOKUP(I$7,CF_Table,CF!$AB$26))</f>
        <v>-10458.104630295045</v>
      </c>
      <c r="J45" s="142">
        <f ca="1">IF(J$7&lt;YEAR(Startops1),0,-HLOOKUP(J$7,CF_Table,CF!$AB$24)-HLOOKUP(J$7,CF_Table,CF!$AB$25)-HLOOKUP(J$7,CF_Table,CF!$AB$26))</f>
        <v>-10609.715389046836</v>
      </c>
      <c r="K45" s="142">
        <f ca="1">IF(K$7&lt;YEAR(Startops1),0,-HLOOKUP(K$7,CF_Table,CF!$AB$24)-HLOOKUP(K$7,CF_Table,CF!$AB$25)-HLOOKUP(K$7,CF_Table,CF!$AB$26))</f>
        <v>-15283.726944119751</v>
      </c>
      <c r="L45" s="142">
        <f ca="1">IF(L$7&lt;YEAR(Startops1),0,-HLOOKUP(L$7,CF_Table,CF!$AB$24)-HLOOKUP(L$7,CF_Table,CF!$AB$25)-HLOOKUP(L$7,CF_Table,CF!$AB$26))</f>
        <v>-15587.117190433757</v>
      </c>
      <c r="M45" s="142">
        <f ca="1">IF(M$7&lt;YEAR(Startops1),0,-HLOOKUP(M$7,CF_Table,CF!$AB$24)-HLOOKUP(M$7,CF_Table,CF!$AB$25)-HLOOKUP(M$7,CF_Table,CF!$AB$26))</f>
        <v>-15691.636251679118</v>
      </c>
      <c r="N45" s="142">
        <f ca="1">IF(N$7&lt;YEAR(Startops1),0,-HLOOKUP(N$7,CF_Table,CF!$AB$24)-HLOOKUP(N$7,CF_Table,CF!$AB$25)-HLOOKUP(N$7,CF_Table,CF!$AB$26))</f>
        <v>-15940.087556578801</v>
      </c>
      <c r="O45" s="142">
        <f ca="1">IF(O$7&lt;YEAR(Startops1),0,-HLOOKUP(O$7,CF_Table,CF!$AB$24)-HLOOKUP(O$7,CF_Table,CF!$AB$25)-HLOOKUP(O$7,CF_Table,CF!$AB$26))</f>
        <v>-16262.167477989511</v>
      </c>
      <c r="P45" s="142">
        <f ca="1">IF(P$7&lt;YEAR(Startops1),0,-HLOOKUP(P$7,CF_Table,CF!$AB$24)-HLOOKUP(P$7,CF_Table,CF!$AB$25)-HLOOKUP(P$7,CF_Table,CF!$AB$26))</f>
        <v>-16596.418371322095</v>
      </c>
      <c r="Q45" s="142">
        <f ca="1">IF(Q$7&lt;YEAR(Startops1),0,-HLOOKUP(Q$7,CF_Table,CF!$AB$24)-HLOOKUP(Q$7,CF_Table,CF!$AB$25)-HLOOKUP(Q$7,CF_Table,CF!$AB$26))</f>
        <v>-16949.942023430645</v>
      </c>
      <c r="R45" s="142">
        <f ca="1">IF(R$7&lt;YEAR(Startops1),0,-HLOOKUP(R$7,CF_Table,CF!$AB$24)-HLOOKUP(R$7,CF_Table,CF!$AB$25)-HLOOKUP(R$7,CF_Table,CF!$AB$26))</f>
        <v>-17321.115096839665</v>
      </c>
      <c r="S45" s="142">
        <f ca="1">IF(S$7&lt;YEAR(Startops1),0,-HLOOKUP(S$7,CF_Table,CF!$AB$24)-HLOOKUP(S$7,CF_Table,CF!$AB$25)-HLOOKUP(S$7,CF_Table,CF!$AB$26))</f>
        <v>-17702.424111828503</v>
      </c>
      <c r="T45" s="142">
        <f ca="1">IF(T$7&lt;YEAR(Startops1),0,-HLOOKUP(T$7,CF_Table,CF!$AB$24)-HLOOKUP(T$7,CF_Table,CF!$AB$25)-HLOOKUP(T$7,CF_Table,CF!$AB$26))</f>
        <v>-18094.195287659815</v>
      </c>
      <c r="U45" s="142">
        <f ca="1">IF(U$7&lt;YEAR(Startops1),0,-HLOOKUP(U$7,CF_Table,CF!$AB$24)-HLOOKUP(U$7,CF_Table,CF!$AB$25)-HLOOKUP(U$7,CF_Table,CF!$AB$26))</f>
        <v>-18507.046600094291</v>
      </c>
      <c r="V45" s="142">
        <f ca="1">IF(V$7&lt;YEAR(Startops1),0,-HLOOKUP(V$7,CF_Table,CF!$AB$24)-HLOOKUP(V$7,CF_Table,CF!$AB$25)-HLOOKUP(V$7,CF_Table,CF!$AB$26))</f>
        <v>-18952.367634016424</v>
      </c>
      <c r="W45" s="142">
        <f ca="1">IF(W$7&lt;YEAR(Startops1),0,-HLOOKUP(W$7,CF_Table,CF!$AB$24)-HLOOKUP(W$7,CF_Table,CF!$AB$25)-HLOOKUP(W$7,CF_Table,CF!$AB$26))</f>
        <v>-19419.140892396055</v>
      </c>
      <c r="X45" s="142">
        <f ca="1">IF(X$7&lt;YEAR(Startops1),0,-HLOOKUP(X$7,CF_Table,CF!$AB$24)-HLOOKUP(X$7,CF_Table,CF!$AB$25)-HLOOKUP(X$7,CF_Table,CF!$AB$26))</f>
        <v>-19903.068123866466</v>
      </c>
      <c r="Y45" s="142">
        <f ca="1">IF(Y$7&lt;YEAR(Startops1),0,-HLOOKUP(Y$7,CF_Table,CF!$AB$24)-HLOOKUP(Y$7,CF_Table,CF!$AB$25)-HLOOKUP(Y$7,CF_Table,CF!$AB$26))</f>
        <v>-20407.163306324353</v>
      </c>
      <c r="Z45" s="142">
        <f ca="1">IF(Z$7&lt;YEAR(Startops1),0,-HLOOKUP(Z$7,CF_Table,CF!$AB$24)-HLOOKUP(Z$7,CF_Table,CF!$AB$25)-HLOOKUP(Z$7,CF_Table,CF!$AB$26))</f>
        <v>-20933.427544892282</v>
      </c>
      <c r="AA45" s="142">
        <f ca="1">IF(AA$7&lt;YEAR(Startops1),0,-HLOOKUP(AA$7,CF_Table,CF!$AB$24)-HLOOKUP(AA$7,CF_Table,CF!$AB$25)-HLOOKUP(AA$7,CF_Table,CF!$AB$26))</f>
        <v>-21475.4943063131</v>
      </c>
      <c r="AB45" s="142">
        <f ca="1">IF(AB$7&lt;YEAR(Startops1),0,-HLOOKUP(AB$7,CF_Table,CF!$AB$24)-HLOOKUP(AB$7,CF_Table,CF!$AB$25)-HLOOKUP(AB$7,CF_Table,CF!$AB$26))</f>
        <v>-15217.553875413696</v>
      </c>
      <c r="AC45" s="142">
        <f ca="1">IF(AC$7&lt;YEAR(Startops1),0,-HLOOKUP(AC$7,CF_Table,CF!$AB$24)-HLOOKUP(AC$7,CF_Table,CF!$AB$25)-HLOOKUP(AC$7,CF_Table,CF!$AB$26))</f>
        <v>-5571.7147142833628</v>
      </c>
      <c r="AD45" s="436">
        <f ca="1">SUM(G45:AC45)</f>
        <v>-346883.62732882361</v>
      </c>
    </row>
    <row r="46" spans="1:32">
      <c r="A46" s="20"/>
      <c r="B46" s="15" t="s">
        <v>1114</v>
      </c>
      <c r="F46" s="15"/>
      <c r="G46" s="37">
        <f t="shared" ref="G46:AC46" ca="1" si="12">SUM(G43:G45)</f>
        <v>0</v>
      </c>
      <c r="H46" s="37">
        <f t="shared" ca="1" si="12"/>
        <v>0</v>
      </c>
      <c r="I46" s="37">
        <f t="shared" ca="1" si="12"/>
        <v>-10458.104630295045</v>
      </c>
      <c r="J46" s="37">
        <f t="shared" ca="1" si="12"/>
        <v>-10609.715389046836</v>
      </c>
      <c r="K46" s="37">
        <f t="shared" ca="1" si="12"/>
        <v>-70083.576120426937</v>
      </c>
      <c r="L46" s="37">
        <f ca="1">SUM(L43:L45)</f>
        <v>-98838.62482775026</v>
      </c>
      <c r="M46" s="37">
        <f t="shared" ca="1" si="12"/>
        <v>-101244.93384653218</v>
      </c>
      <c r="N46" s="37">
        <f t="shared" ca="1" si="12"/>
        <v>-103894.78733849034</v>
      </c>
      <c r="O46" s="37">
        <f t="shared" ca="1" si="12"/>
        <v>-106325.69739172087</v>
      </c>
      <c r="P46" s="37">
        <f t="shared" ca="1" si="12"/>
        <v>-108948.44163627218</v>
      </c>
      <c r="Q46" s="37">
        <f t="shared" ca="1" si="12"/>
        <v>-111622.43654313406</v>
      </c>
      <c r="R46" s="37">
        <f t="shared" ca="1" si="12"/>
        <v>-114373.25882955155</v>
      </c>
      <c r="S46" s="37">
        <f t="shared" ca="1" si="12"/>
        <v>-116947.5337458484</v>
      </c>
      <c r="T46" s="37">
        <f t="shared" ca="1" si="12"/>
        <v>-119690.85120921899</v>
      </c>
      <c r="U46" s="37">
        <f t="shared" ca="1" si="12"/>
        <v>-122380.65294414852</v>
      </c>
      <c r="V46" s="37">
        <f t="shared" ca="1" si="12"/>
        <v>-125335.84696112058</v>
      </c>
      <c r="W46" s="37">
        <f t="shared" ca="1" si="12"/>
        <v>-128124.67278647902</v>
      </c>
      <c r="X46" s="37">
        <f t="shared" ca="1" si="12"/>
        <v>-131048.1140413598</v>
      </c>
      <c r="Y46" s="37">
        <f t="shared" ca="1" si="12"/>
        <v>-134134.97029577667</v>
      </c>
      <c r="Z46" s="37">
        <f t="shared" ca="1" si="12"/>
        <v>-137517.62852785992</v>
      </c>
      <c r="AA46" s="37">
        <f t="shared" ca="1" si="12"/>
        <v>-140638.94711448002</v>
      </c>
      <c r="AB46" s="37">
        <f t="shared" ca="1" si="12"/>
        <v>-137310.48482530864</v>
      </c>
      <c r="AC46" s="37">
        <f t="shared" ca="1" si="12"/>
        <v>-46351.636494562023</v>
      </c>
      <c r="AD46" s="435">
        <f ca="1">SUM(G46:AC46)</f>
        <v>-2175880.9154993827</v>
      </c>
      <c r="AE46" s="119" t="str">
        <f ca="1">IF(ROUND(AD46+CF!Z27,2)=0," ","CHECK EXPENSES")</f>
        <v>CHECK EXPENSES</v>
      </c>
    </row>
    <row r="47" spans="1:32">
      <c r="A47" s="20"/>
      <c r="F47" s="15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435" t="s">
        <v>323</v>
      </c>
    </row>
    <row r="48" spans="1:32">
      <c r="A48" s="20" t="s">
        <v>799</v>
      </c>
      <c r="F48" s="15"/>
      <c r="G48" s="142">
        <f ca="1">IF(G$7&lt;YEAR(Startops1),0,HLOOKUP(G$7,CF_Table,CF!$AB$38))</f>
        <v>0</v>
      </c>
      <c r="H48" s="142">
        <f ca="1">IF(H$7&lt;YEAR(Startops1),0,HLOOKUP(H$7,CF_Table,CF!$AB$38))</f>
        <v>0</v>
      </c>
      <c r="I48" s="142">
        <f ca="1">IF(I$7&lt;YEAR(Startops1),0,HLOOKUP(I$7,CF_Table,CF!$AB$38))</f>
        <v>-135.28485236469172</v>
      </c>
      <c r="J48" s="142">
        <f ca="1">IF(J$7&lt;YEAR(Startops1),0,HLOOKUP(J$7,CF_Table,CF!$AB$38))</f>
        <v>33.10406557741652</v>
      </c>
      <c r="K48" s="142">
        <f ca="1">IF(K$7&lt;YEAR(Startops1),0,HLOOKUP(K$7,CF_Table,CF!$AB$38))</f>
        <v>-4331.9257617165713</v>
      </c>
      <c r="L48" s="142">
        <f ca="1">IF(L$7&lt;YEAR(Startops1),0,HLOOKUP(L$7,CF_Table,CF!$AB$38))</f>
        <v>-3738.6997268884638</v>
      </c>
      <c r="M48" s="142">
        <f ca="1">IF(M$7&lt;YEAR(Startops1),0,HLOOKUP(M$7,CF_Table,CF!$AB$38))</f>
        <v>-3483.6159665373971</v>
      </c>
      <c r="N48" s="142">
        <f ca="1">IF(N$7&lt;YEAR(Startops1),0,HLOOKUP(N$7,CF_Table,CF!$AB$38))</f>
        <v>817.59924496958411</v>
      </c>
      <c r="O48" s="142">
        <f ca="1">IF(O$7&lt;YEAR(Startops1),0,HLOOKUP(O$7,CF_Table,CF!$AB$38))</f>
        <v>938.42157673314455</v>
      </c>
      <c r="P48" s="142">
        <f ca="1">IF(P$7&lt;YEAR(Startops1),0,HLOOKUP(P$7,CF_Table,CF!$AB$38))</f>
        <v>755.79026041939824</v>
      </c>
      <c r="Q48" s="142">
        <f ca="1">IF(Q$7&lt;YEAR(Startops1),0,HLOOKUP(Q$7,CF_Table,CF!$AB$38))</f>
        <v>1185.7588417435284</v>
      </c>
      <c r="R48" s="142">
        <f ca="1">IF(R$7&lt;YEAR(Startops1),0,HLOOKUP(R$7,CF_Table,CF!$AB$38))</f>
        <v>1647.5518751827353</v>
      </c>
      <c r="S48" s="142">
        <f ca="1">IF(S$7&lt;YEAR(Startops1),0,HLOOKUP(S$7,CF_Table,CF!$AB$38))</f>
        <v>1680.6496689081623</v>
      </c>
      <c r="T48" s="142">
        <f ca="1">IF(T$7&lt;YEAR(Startops1),0,HLOOKUP(T$7,CF_Table,CF!$AB$38))</f>
        <v>1253.7182436046132</v>
      </c>
      <c r="U48" s="142">
        <f ca="1">IF(U$7&lt;YEAR(Startops1),0,HLOOKUP(U$7,CF_Table,CF!$AB$38))</f>
        <v>1269.5768713599643</v>
      </c>
      <c r="V48" s="142">
        <f ca="1">IF(V$7&lt;YEAR(Startops1),0,HLOOKUP(V$7,CF_Table,CF!$AB$38))</f>
        <v>1513.1583321575627</v>
      </c>
      <c r="W48" s="142">
        <f ca="1">IF(W$7&lt;YEAR(Startops1),0,HLOOKUP(W$7,CF_Table,CF!$AB$38))</f>
        <v>911.96254519070021</v>
      </c>
      <c r="X48" s="142">
        <f ca="1">IF(X$7&lt;YEAR(Startops1),0,HLOOKUP(X$7,CF_Table,CF!$AB$38))</f>
        <v>798.4742689241109</v>
      </c>
      <c r="Y48" s="142">
        <f ca="1">IF(Y$7&lt;YEAR(Startops1),0,HLOOKUP(Y$7,CF_Table,CF!$AB$38))</f>
        <v>1474.2829933046646</v>
      </c>
      <c r="Z48" s="142">
        <f ca="1">IF(Z$7&lt;YEAR(Startops1),0,HLOOKUP(Z$7,CF_Table,CF!$AB$38))</f>
        <v>1551.5835582809968</v>
      </c>
      <c r="AA48" s="142">
        <f ca="1">IF(AA$7&lt;YEAR(Startops1),0,HLOOKUP(AA$7,CF_Table,CF!$AB$38))</f>
        <v>1266.1051205092149</v>
      </c>
      <c r="AB48" s="142">
        <f ca="1">IF(AB$7&lt;YEAR(Startops1),0,HLOOKUP(AB$7,CF_Table,CF!$AB$38))</f>
        <v>1117.0616879296335</v>
      </c>
      <c r="AC48" s="142">
        <f ca="1">IF(AC$7&lt;YEAR(Startops1),0,HLOOKUP(AC$7,CF_Table,CF!$AB$38))</f>
        <v>1709.958619226672</v>
      </c>
      <c r="AD48" s="436">
        <f ca="1">SUM(G48:AC48)</f>
        <v>8235.2314665149806</v>
      </c>
      <c r="AE48" s="119" t="str">
        <f ca="1">IF(ROUND(AD48-CF!Z38,2)=0," ","CHECK OTHER INC &amp; EXP")</f>
        <v xml:space="preserve"> </v>
      </c>
    </row>
    <row r="49" spans="1:31">
      <c r="A49" s="20"/>
      <c r="F49" s="15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435" t="s">
        <v>323</v>
      </c>
    </row>
    <row r="50" spans="1:31">
      <c r="A50" s="20" t="s">
        <v>73</v>
      </c>
      <c r="F50" s="15"/>
      <c r="G50" s="37">
        <f ca="1">SUM(G41,G46,G48)</f>
        <v>0</v>
      </c>
      <c r="H50" s="37">
        <f t="shared" ref="H50:AC50" ca="1" si="13">SUM(H41,H46,H48)</f>
        <v>0</v>
      </c>
      <c r="I50" s="37">
        <f t="shared" ca="1" si="13"/>
        <v>-1884.683815190303</v>
      </c>
      <c r="J50" s="37">
        <f t="shared" ca="1" si="13"/>
        <v>3833.7471296736844</v>
      </c>
      <c r="K50" s="37">
        <f t="shared" ca="1" si="13"/>
        <v>24853.01972011711</v>
      </c>
      <c r="L50" s="1867">
        <f ca="1">SUM(L41,L46,L48)</f>
        <v>38790.72756675745</v>
      </c>
      <c r="M50" s="37">
        <f t="shared" ca="1" si="13"/>
        <v>43280.340043858072</v>
      </c>
      <c r="N50" s="37">
        <f t="shared" ca="1" si="13"/>
        <v>50626.305172006316</v>
      </c>
      <c r="O50" s="37">
        <f t="shared" ca="1" si="13"/>
        <v>51952.409885764704</v>
      </c>
      <c r="P50" s="37">
        <f t="shared" ca="1" si="13"/>
        <v>52322.048075224913</v>
      </c>
      <c r="Q50" s="37">
        <f t="shared" ca="1" si="13"/>
        <v>49934.031614564294</v>
      </c>
      <c r="R50" s="37">
        <f t="shared" ca="1" si="13"/>
        <v>46089.974758769516</v>
      </c>
      <c r="S50" s="37">
        <f t="shared" ca="1" si="13"/>
        <v>44888.810180747132</v>
      </c>
      <c r="T50" s="37">
        <f t="shared" ca="1" si="13"/>
        <v>45356.385269219871</v>
      </c>
      <c r="U50" s="37">
        <f t="shared" ca="1" si="13"/>
        <v>44074.733972475493</v>
      </c>
      <c r="V50" s="37">
        <f t="shared" ca="1" si="13"/>
        <v>36792.506934076984</v>
      </c>
      <c r="W50" s="37">
        <f t="shared" ca="1" si="13"/>
        <v>39497.576043204674</v>
      </c>
      <c r="X50" s="37">
        <f t="shared" ca="1" si="13"/>
        <v>26755.423656923886</v>
      </c>
      <c r="Y50" s="37">
        <f t="shared" ca="1" si="13"/>
        <v>11005.816868097469</v>
      </c>
      <c r="Z50" s="37">
        <f t="shared" ca="1" si="13"/>
        <v>6085.6504638310444</v>
      </c>
      <c r="AA50" s="37">
        <f t="shared" ca="1" si="13"/>
        <v>4689.9136385085803</v>
      </c>
      <c r="AB50" s="37">
        <f t="shared" ca="1" si="13"/>
        <v>6224.605292607439</v>
      </c>
      <c r="AC50" s="37">
        <f t="shared" ca="1" si="13"/>
        <v>2417.9522208909616</v>
      </c>
      <c r="AD50" s="435">
        <f ca="1">SUM(G50:AC50)</f>
        <v>627587.29469212925</v>
      </c>
      <c r="AE50" s="119" t="str">
        <f ca="1">IF(ROUND(AD50-CF!Z40,2)=0," ","CHECK EBDIT")</f>
        <v>CHECK EBDIT</v>
      </c>
    </row>
    <row r="51" spans="1:31">
      <c r="A51" s="20"/>
      <c r="F51" s="15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435" t="s">
        <v>323</v>
      </c>
    </row>
    <row r="52" spans="1:31">
      <c r="A52" s="20" t="s">
        <v>318</v>
      </c>
      <c r="F52" s="15"/>
      <c r="G52" s="37">
        <f ca="1">IF(G$7&lt;YEAR(Startops1),0,HLOOKUP(G$7,CF_Table,CF!$AB$41))</f>
        <v>0</v>
      </c>
      <c r="H52" s="37">
        <f ca="1">IF(H$7&lt;YEAR(Startops1),0,HLOOKUP(H$7,CF_Table,CF!$AB$41))</f>
        <v>0</v>
      </c>
      <c r="I52" s="37">
        <f ca="1">IF(I$7&lt;YEAR(Startops1),0,HLOOKUP(I$7,CF_Table,CF!$AB$41))</f>
        <v>-3704.810550000906</v>
      </c>
      <c r="J52" s="37">
        <f ca="1">IF(J$7&lt;YEAR(Startops1),0,HLOOKUP(J$7,CF_Table,CF!$AB$41))</f>
        <v>-4939.747400001208</v>
      </c>
      <c r="K52" s="37">
        <f ca="1">IF(K$7&lt;YEAR(Startops1),0,HLOOKUP(K$7,CF_Table,CF!$AB$41))</f>
        <v>-12563.799394949307</v>
      </c>
      <c r="L52" s="37">
        <f ca="1">IF(L$7&lt;YEAR(Startops1),0,HLOOKUP(L$7,CF_Table,CF!$AB$41))</f>
        <v>-17799.218169526688</v>
      </c>
      <c r="M52" s="37">
        <f ca="1">IF(M$7&lt;YEAR(Startops1),0,HLOOKUP(M$7,CF_Table,CF!$AB$41))</f>
        <v>-17799.218169526688</v>
      </c>
      <c r="N52" s="37">
        <f ca="1">IF(N$7&lt;YEAR(Startops1),0,HLOOKUP(N$7,CF_Table,CF!$AB$41))</f>
        <v>-17799.218169526688</v>
      </c>
      <c r="O52" s="37">
        <f ca="1">IF(O$7&lt;YEAR(Startops1),0,HLOOKUP(O$7,CF_Table,CF!$AB$41))</f>
        <v>-17799.218169526688</v>
      </c>
      <c r="P52" s="37">
        <f ca="1">IF(P$7&lt;YEAR(Startops1),0,HLOOKUP(P$7,CF_Table,CF!$AB$41))</f>
        <v>-17799.218169526688</v>
      </c>
      <c r="Q52" s="37">
        <f ca="1">IF(Q$7&lt;YEAR(Startops1),0,HLOOKUP(Q$7,CF_Table,CF!$AB$41))</f>
        <v>-17799.218169526688</v>
      </c>
      <c r="R52" s="37">
        <f ca="1">IF(R$7&lt;YEAR(Startops1),0,HLOOKUP(R$7,CF_Table,CF!$AB$41))</f>
        <v>-17799.218169526688</v>
      </c>
      <c r="S52" s="37">
        <f ca="1">IF(S$7&lt;YEAR(Startops1),0,HLOOKUP(S$7,CF_Table,CF!$AB$41))</f>
        <v>-17799.218169526688</v>
      </c>
      <c r="T52" s="37">
        <f ca="1">IF(T$7&lt;YEAR(Startops1),0,HLOOKUP(T$7,CF_Table,CF!$AB$41))</f>
        <v>-17799.218169526688</v>
      </c>
      <c r="U52" s="37">
        <f ca="1">IF(U$7&lt;YEAR(Startops1),0,HLOOKUP(U$7,CF_Table,CF!$AB$41))</f>
        <v>-17799.218169526688</v>
      </c>
      <c r="V52" s="37">
        <f ca="1">IF(V$7&lt;YEAR(Startops1),0,HLOOKUP(V$7,CF_Table,CF!$AB$41))</f>
        <v>-17799.218169526688</v>
      </c>
      <c r="W52" s="37">
        <f ca="1">IF(W$7&lt;YEAR(Startops1),0,HLOOKUP(W$7,CF_Table,CF!$AB$41))</f>
        <v>-17799.218169526688</v>
      </c>
      <c r="X52" s="37">
        <f ca="1">IF(X$7&lt;YEAR(Startops1),0,HLOOKUP(X$7,CF_Table,CF!$AB$41))</f>
        <v>-17799.218169526688</v>
      </c>
      <c r="Y52" s="37">
        <f ca="1">IF(Y$7&lt;YEAR(Startops1),0,HLOOKUP(Y$7,CF_Table,CF!$AB$41))</f>
        <v>-17799.218169526688</v>
      </c>
      <c r="Z52" s="37">
        <f ca="1">IF(Z$7&lt;YEAR(Startops1),0,HLOOKUP(Z$7,CF_Table,CF!$AB$41))</f>
        <v>-17799.218169526688</v>
      </c>
      <c r="AA52" s="37">
        <f ca="1">IF(AA$7&lt;YEAR(Startops1),0,HLOOKUP(AA$7,CF_Table,CF!$AB$41))</f>
        <v>-17799.218169526688</v>
      </c>
      <c r="AB52" s="37">
        <f ca="1">IF(AB$7&lt;YEAR(Startops1),0,HLOOKUP(AB$7,CF_Table,CF!$AB$41))</f>
        <v>-17799.218169526688</v>
      </c>
      <c r="AC52" s="37">
        <f ca="1">IF(AC$7&lt;YEAR(Startops1),0,HLOOKUP(AC$7,CF_Table,CF!$AB$41))</f>
        <v>-5521.4271065087542</v>
      </c>
      <c r="AD52" s="435">
        <f ca="1">SUM(G52:AC52)</f>
        <v>-329316.49333341385</v>
      </c>
    </row>
    <row r="53" spans="1:31">
      <c r="A53" s="20" t="s">
        <v>149</v>
      </c>
      <c r="F53" s="15"/>
      <c r="G53" s="37">
        <f ca="1">IF(G$7&lt;YEAR(Startops1),0,HLOOKUP(G$7,CF_Table,CF!$AB$44))</f>
        <v>0</v>
      </c>
      <c r="H53" s="37">
        <f ca="1">IF(H$7&lt;YEAR(Startops1),0,HLOOKUP(H$7,CF_Table,CF!$AB$44))</f>
        <v>0</v>
      </c>
      <c r="I53" s="37">
        <f ca="1">IF(I$7&lt;YEAR(Startops1),0,HLOOKUP(I$7,CF_Table,CF!$AB$44))</f>
        <v>0</v>
      </c>
      <c r="J53" s="37">
        <f ca="1">IF(J$7&lt;YEAR(Startops1),0,HLOOKUP(J$7,CF_Table,CF!$AB$44))</f>
        <v>0</v>
      </c>
      <c r="K53" s="37">
        <f ca="1">IF(K$7&lt;YEAR(Startops1),0,HLOOKUP(K$7,CF_Table,CF!$AB$44))</f>
        <v>-6866.1388759198016</v>
      </c>
      <c r="L53" s="37">
        <f ca="1">IF(L$7&lt;YEAR(Startops1),0,HLOOKUP(L$7,CF_Table,CF!$AB$44))</f>
        <v>-16245.84906951103</v>
      </c>
      <c r="M53" s="37">
        <f ca="1">IF(M$7&lt;YEAR(Startops1),0,HLOOKUP(M$7,CF_Table,CF!$AB$44))</f>
        <v>-15297.114554345853</v>
      </c>
      <c r="N53" s="37">
        <f ca="1">IF(N$7&lt;YEAR(Startops1),0,HLOOKUP(N$7,CF_Table,CF!$AB$44))</f>
        <v>-14256.726768601686</v>
      </c>
      <c r="O53" s="37">
        <f ca="1">IF(O$7&lt;YEAR(Startops1),0,HLOOKUP(O$7,CF_Table,CF!$AB$44))</f>
        <v>-13047.87399140309</v>
      </c>
      <c r="P53" s="37">
        <f ca="1">IF(P$7&lt;YEAR(Startops1),0,HLOOKUP(P$7,CF_Table,CF!$AB$44))</f>
        <v>-11750.413201233227</v>
      </c>
      <c r="Q53" s="37">
        <f ca="1">IF(Q$7&lt;YEAR(Startops1),0,HLOOKUP(Q$7,CF_Table,CF!$AB$44))</f>
        <v>-10380.028967391143</v>
      </c>
      <c r="R53" s="37">
        <f ca="1">IF(R$7&lt;YEAR(Startops1),0,HLOOKUP(R$7,CF_Table,CF!$AB$44))</f>
        <v>-8974.0608897282127</v>
      </c>
      <c r="S53" s="37">
        <f ca="1">IF(S$7&lt;YEAR(Startops1),0,HLOOKUP(S$7,CF_Table,CF!$AB$44))</f>
        <v>-7705.2560033144437</v>
      </c>
      <c r="T53" s="37">
        <f ca="1">IF(T$7&lt;YEAR(Startops1),0,HLOOKUP(T$7,CF_Table,CF!$AB$44))</f>
        <v>-6465.0175972114193</v>
      </c>
      <c r="U53" s="37">
        <f ca="1">IF(U$7&lt;YEAR(Startops1),0,HLOOKUP(U$7,CF_Table,CF!$AB$44))</f>
        <v>-5197.776339170844</v>
      </c>
      <c r="V53" s="37">
        <f ca="1">IF(V$7&lt;YEAR(Startops1),0,HLOOKUP(V$7,CF_Table,CF!$AB$44))</f>
        <v>-3910.3500690280061</v>
      </c>
      <c r="W53" s="37">
        <f ca="1">IF(W$7&lt;YEAR(Startops1),0,HLOOKUP(W$7,CF_Table,CF!$AB$44))</f>
        <v>-2848.3466844802488</v>
      </c>
      <c r="X53" s="37">
        <f ca="1">IF(X$7&lt;YEAR(Startops1),0,HLOOKUP(X$7,CF_Table,CF!$AB$44))</f>
        <v>-1786.3432999324914</v>
      </c>
      <c r="Y53" s="37">
        <f ca="1">IF(Y$7&lt;YEAR(Startops1),0,HLOOKUP(Y$7,CF_Table,CF!$AB$44))</f>
        <v>-701.82721243481615</v>
      </c>
      <c r="Z53" s="37">
        <f ca="1">IF(Z$7&lt;YEAR(Startops1),0,HLOOKUP(Z$7,CF_Table,CF!$AB$44))</f>
        <v>0</v>
      </c>
      <c r="AA53" s="37">
        <f ca="1">IF(AA$7&lt;YEAR(Startops1),0,HLOOKUP(AA$7,CF_Table,CF!$AB$44))</f>
        <v>0</v>
      </c>
      <c r="AB53" s="37">
        <f ca="1">IF(AB$7&lt;YEAR(Startops1),0,HLOOKUP(AB$7,CF_Table,CF!$AB$44))</f>
        <v>0</v>
      </c>
      <c r="AC53" s="37">
        <f ca="1">IF(AC$7&lt;YEAR(Startops1),0,HLOOKUP(AC$7,CF_Table,CF!$AB$44))</f>
        <v>0</v>
      </c>
      <c r="AD53" s="435">
        <f ca="1">SUM(G53:AC53)</f>
        <v>-125433.12352370631</v>
      </c>
    </row>
    <row r="54" spans="1:31">
      <c r="A54" s="20" t="s">
        <v>150</v>
      </c>
      <c r="F54" s="15"/>
      <c r="G54" s="37">
        <f ca="1">IF(G$7&lt;YEAR(Startops1),0,HLOOKUP(G$7,CF_Table,CF!$AB$45))</f>
        <v>0</v>
      </c>
      <c r="H54" s="37">
        <f ca="1">IF(H$7&lt;YEAR(Startops1),0,HLOOKUP(H$7,CF_Table,CF!$AB$45))</f>
        <v>0</v>
      </c>
      <c r="I54" s="37">
        <f ca="1">IF(I$7&lt;YEAR(Startops1),0,HLOOKUP(I$7,CF_Table,CF!$AB$45))</f>
        <v>0</v>
      </c>
      <c r="J54" s="37">
        <f ca="1">IF(J$7&lt;YEAR(Startops1),0,HLOOKUP(J$7,CF_Table,CF!$AB$45))</f>
        <v>0</v>
      </c>
      <c r="K54" s="37">
        <f ca="1">IF(K$7&lt;YEAR(Startops1),0,HLOOKUP(K$7,CF_Table,CF!$AB$45))</f>
        <v>-2694.7815414410948</v>
      </c>
      <c r="L54" s="37">
        <f ca="1">IF(L$7&lt;YEAR(Startops1),0,HLOOKUP(L$7,CF_Table,CF!$AB$45))</f>
        <v>-6397.3320310436538</v>
      </c>
      <c r="M54" s="37">
        <f ca="1">IF(M$7&lt;YEAR(Startops1),0,HLOOKUP(M$7,CF_Table,CF!$AB$45))</f>
        <v>-6098.2236465968126</v>
      </c>
      <c r="N54" s="37">
        <f ca="1">IF(N$7&lt;YEAR(Startops1),0,HLOOKUP(N$7,CF_Table,CF!$AB$45))</f>
        <v>-5758.9674392475936</v>
      </c>
      <c r="O54" s="37">
        <f ca="1">IF(O$7&lt;YEAR(Startops1),0,HLOOKUP(O$7,CF_Table,CF!$AB$45))</f>
        <v>-5374.1745674669255</v>
      </c>
      <c r="P54" s="37">
        <f ca="1">IF(P$7&lt;YEAR(Startops1),0,HLOOKUP(P$7,CF_Table,CF!$AB$45))</f>
        <v>-4937.732872471498</v>
      </c>
      <c r="Q54" s="37">
        <f ca="1">IF(Q$7&lt;YEAR(Startops1),0,HLOOKUP(Q$7,CF_Table,CF!$AB$45))</f>
        <v>-4442.7097909653094</v>
      </c>
      <c r="R54" s="37">
        <f ca="1">IF(R$7&lt;YEAR(Startops1),0,HLOOKUP(R$7,CF_Table,CF!$AB$45))</f>
        <v>-3881.2422363439537</v>
      </c>
      <c r="S54" s="37">
        <f ca="1">IF(S$7&lt;YEAR(Startops1),0,HLOOKUP(S$7,CF_Table,CF!$AB$45))</f>
        <v>-3244.4116992035456</v>
      </c>
      <c r="T54" s="37">
        <f ca="1">IF(T$7&lt;YEAR(Startops1),0,HLOOKUP(T$7,CF_Table,CF!$AB$45))</f>
        <v>-2522.1025832154669</v>
      </c>
      <c r="U54" s="37">
        <f ca="1">IF(U$7&lt;YEAR(Startops1),0,HLOOKUP(U$7,CF_Table,CF!$AB$45))</f>
        <v>-1702.8415261338889</v>
      </c>
      <c r="V54" s="37">
        <f ca="1">IF(V$7&lt;YEAR(Startops1),0,HLOOKUP(V$7,CF_Table,CF!$AB$45))</f>
        <v>-773.61515366553658</v>
      </c>
      <c r="W54" s="37">
        <f ca="1">IF(W$7&lt;YEAR(Startops1),0,HLOOKUP(W$7,CF_Table,CF!$AB$45))</f>
        <v>0</v>
      </c>
      <c r="X54" s="37">
        <f ca="1">IF(X$7&lt;YEAR(Startops1),0,HLOOKUP(X$7,CF_Table,CF!$AB$45))</f>
        <v>0</v>
      </c>
      <c r="Y54" s="37">
        <f ca="1">IF(Y$7&lt;YEAR(Startops1),0,HLOOKUP(Y$7,CF_Table,CF!$AB$45))</f>
        <v>0</v>
      </c>
      <c r="Z54" s="37">
        <f ca="1">IF(Z$7&lt;YEAR(Startops1),0,HLOOKUP(Z$7,CF_Table,CF!$AB$45))</f>
        <v>0</v>
      </c>
      <c r="AA54" s="37">
        <f ca="1">IF(AA$7&lt;YEAR(Startops1),0,HLOOKUP(AA$7,CF_Table,CF!$AB$45))</f>
        <v>0</v>
      </c>
      <c r="AB54" s="37">
        <f ca="1">IF(AB$7&lt;YEAR(Startops1),0,HLOOKUP(AB$7,CF_Table,CF!$AB$45))</f>
        <v>0</v>
      </c>
      <c r="AC54" s="37">
        <f ca="1">IF(AC$7&lt;YEAR(Startops1),0,HLOOKUP(AC$7,CF_Table,CF!$AB$45))</f>
        <v>0</v>
      </c>
      <c r="AD54" s="435">
        <f ca="1">SUM(G54:AC54)</f>
        <v>-47828.135087795286</v>
      </c>
    </row>
    <row r="55" spans="1:31">
      <c r="A55" s="20" t="s">
        <v>88</v>
      </c>
      <c r="F55" s="15"/>
      <c r="G55" s="142">
        <f ca="1">IF(G$7&lt;YEAR(Startops1),0,HLOOKUP(G$7,CF_Table,CF!$AB$46))</f>
        <v>0</v>
      </c>
      <c r="H55" s="142">
        <f ca="1">IF(H$7&lt;YEAR(Startops1),0,HLOOKUP(H$7,CF_Table,CF!$AB$46))</f>
        <v>0</v>
      </c>
      <c r="I55" s="142">
        <f ca="1">IF(I$7&lt;YEAR(Startops1),0,HLOOKUP(I$7,CF_Table,CF!$AB$46))</f>
        <v>-988.56658274453355</v>
      </c>
      <c r="J55" s="142">
        <f ca="1">IF(J$7&lt;YEAR(Startops1),0,HLOOKUP(J$7,CF_Table,CF!$AB$46))</f>
        <v>-2665.1326018667478</v>
      </c>
      <c r="K55" s="142">
        <f ca="1">IF(K$7&lt;YEAR(Startops1),0,HLOOKUP(K$7,CF_Table,CF!$AB$46))</f>
        <v>-5739.8166707109303</v>
      </c>
      <c r="L55" s="142">
        <f ca="1">IF(L$7&lt;YEAR(Startops1),0,HLOOKUP(L$7,CF_Table,CF!$AB$46))</f>
        <v>0</v>
      </c>
      <c r="M55" s="142">
        <f ca="1">IF(M$7&lt;YEAR(Startops1),0,HLOOKUP(M$7,CF_Table,CF!$AB$46))</f>
        <v>0</v>
      </c>
      <c r="N55" s="142">
        <f ca="1">IF(N$7&lt;YEAR(Startops1),0,HLOOKUP(N$7,CF_Table,CF!$AB$46))</f>
        <v>0</v>
      </c>
      <c r="O55" s="142">
        <f ca="1">IF(O$7&lt;YEAR(Startops1),0,HLOOKUP(O$7,CF_Table,CF!$AB$46))</f>
        <v>0</v>
      </c>
      <c r="P55" s="142">
        <f ca="1">IF(P$7&lt;YEAR(Startops1),0,HLOOKUP(P$7,CF_Table,CF!$AB$46))</f>
        <v>0</v>
      </c>
      <c r="Q55" s="142">
        <f ca="1">IF(Q$7&lt;YEAR(Startops1),0,HLOOKUP(Q$7,CF_Table,CF!$AB$46))</f>
        <v>0</v>
      </c>
      <c r="R55" s="142">
        <f ca="1">IF(R$7&lt;YEAR(Startops1),0,HLOOKUP(R$7,CF_Table,CF!$AB$46))</f>
        <v>0</v>
      </c>
      <c r="S55" s="142">
        <f ca="1">IF(S$7&lt;YEAR(Startops1),0,HLOOKUP(S$7,CF_Table,CF!$AB$46))</f>
        <v>0</v>
      </c>
      <c r="T55" s="142">
        <f ca="1">IF(T$7&lt;YEAR(Startops1),0,HLOOKUP(T$7,CF_Table,CF!$AB$46))</f>
        <v>0</v>
      </c>
      <c r="U55" s="142">
        <f ca="1">IF(U$7&lt;YEAR(Startops1),0,HLOOKUP(U$7,CF_Table,CF!$AB$46))</f>
        <v>0</v>
      </c>
      <c r="V55" s="142">
        <f ca="1">IF(V$7&lt;YEAR(Startops1),0,HLOOKUP(V$7,CF_Table,CF!$AB$46))</f>
        <v>0</v>
      </c>
      <c r="W55" s="142">
        <f ca="1">IF(W$7&lt;YEAR(Startops1),0,HLOOKUP(W$7,CF_Table,CF!$AB$46))</f>
        <v>0</v>
      </c>
      <c r="X55" s="142">
        <f ca="1">IF(X$7&lt;YEAR(Startops1),0,HLOOKUP(X$7,CF_Table,CF!$AB$46))</f>
        <v>0</v>
      </c>
      <c r="Y55" s="142">
        <f ca="1">IF(Y$7&lt;YEAR(Startops1),0,HLOOKUP(Y$7,CF_Table,CF!$AB$46))</f>
        <v>0</v>
      </c>
      <c r="Z55" s="142">
        <f ca="1">IF(Z$7&lt;YEAR(Startops1),0,HLOOKUP(Z$7,CF_Table,CF!$AB$46))</f>
        <v>0</v>
      </c>
      <c r="AA55" s="142">
        <f ca="1">IF(AA$7&lt;YEAR(Startops1),0,HLOOKUP(AA$7,CF_Table,CF!$AB$46))</f>
        <v>0</v>
      </c>
      <c r="AB55" s="142">
        <f ca="1">IF(AB$7&lt;YEAR(Startops1),0,HLOOKUP(AB$7,CF_Table,CF!$AB$46))</f>
        <v>0</v>
      </c>
      <c r="AC55" s="142">
        <f ca="1">IF(AC$7&lt;YEAR(Startops1),0,HLOOKUP(AC$7,CF_Table,CF!$AB$46))</f>
        <v>0</v>
      </c>
      <c r="AD55" s="436">
        <f ca="1">SUM(G55:AC55)</f>
        <v>-9393.5158553222118</v>
      </c>
    </row>
    <row r="56" spans="1:31">
      <c r="A56" s="20"/>
      <c r="B56" s="15" t="s">
        <v>1115</v>
      </c>
      <c r="F56" s="15"/>
      <c r="G56" s="37">
        <f t="shared" ref="G56:AC56" ca="1" si="14">SUM(G52:G55)</f>
        <v>0</v>
      </c>
      <c r="H56" s="37">
        <f t="shared" ca="1" si="14"/>
        <v>0</v>
      </c>
      <c r="I56" s="37">
        <f t="shared" ca="1" si="14"/>
        <v>-4693.3771327454397</v>
      </c>
      <c r="J56" s="37">
        <f t="shared" ca="1" si="14"/>
        <v>-7604.8800018679558</v>
      </c>
      <c r="K56" s="37">
        <f t="shared" ca="1" si="14"/>
        <v>-27864.536483021133</v>
      </c>
      <c r="L56" s="37">
        <f t="shared" ca="1" si="14"/>
        <v>-40442.399270081369</v>
      </c>
      <c r="M56" s="37">
        <f t="shared" ca="1" si="14"/>
        <v>-39194.556370469349</v>
      </c>
      <c r="N56" s="37">
        <f t="shared" ca="1" si="14"/>
        <v>-37814.912377375964</v>
      </c>
      <c r="O56" s="37">
        <f t="shared" ca="1" si="14"/>
        <v>-36221.266728396702</v>
      </c>
      <c r="P56" s="37">
        <f t="shared" ca="1" si="14"/>
        <v>-34487.364243231415</v>
      </c>
      <c r="Q56" s="37">
        <f t="shared" ca="1" si="14"/>
        <v>-32621.95692788314</v>
      </c>
      <c r="R56" s="37">
        <f t="shared" ca="1" si="14"/>
        <v>-30654.521295598854</v>
      </c>
      <c r="S56" s="37">
        <f t="shared" ca="1" si="14"/>
        <v>-28748.885872044677</v>
      </c>
      <c r="T56" s="37">
        <f t="shared" ca="1" si="14"/>
        <v>-26786.338349953574</v>
      </c>
      <c r="U56" s="37">
        <f t="shared" ca="1" si="14"/>
        <v>-24699.83603483142</v>
      </c>
      <c r="V56" s="37">
        <f t="shared" ca="1" si="14"/>
        <v>-22483.183392220231</v>
      </c>
      <c r="W56" s="37">
        <f t="shared" ca="1" si="14"/>
        <v>-20647.564854006938</v>
      </c>
      <c r="X56" s="37">
        <f t="shared" ca="1" si="14"/>
        <v>-19585.561469459179</v>
      </c>
      <c r="Y56" s="37">
        <f t="shared" ca="1" si="14"/>
        <v>-18501.045381961503</v>
      </c>
      <c r="Z56" s="37">
        <f t="shared" ca="1" si="14"/>
        <v>-17799.218169526688</v>
      </c>
      <c r="AA56" s="37">
        <f t="shared" ca="1" si="14"/>
        <v>-17799.218169526688</v>
      </c>
      <c r="AB56" s="37">
        <f t="shared" ca="1" si="14"/>
        <v>-17799.218169526688</v>
      </c>
      <c r="AC56" s="37">
        <f t="shared" ca="1" si="14"/>
        <v>-5521.4271065087542</v>
      </c>
      <c r="AD56" s="435">
        <f ca="1">SUM(G56:AC56)</f>
        <v>-511971.26780023752</v>
      </c>
      <c r="AE56" s="119" t="str">
        <f ca="1">IF(ROUND(AD56-CF!Z41-SUM(CF!Z44:Z46),2)=0," ","CHECK DEPR &amp; INT")</f>
        <v xml:space="preserve"> </v>
      </c>
    </row>
    <row r="57" spans="1:31">
      <c r="A57" s="20"/>
      <c r="F57" s="15"/>
      <c r="G57" s="142"/>
      <c r="H57" s="142"/>
      <c r="I57" s="142"/>
      <c r="J57" s="142"/>
      <c r="K57" s="142"/>
      <c r="L57" s="142"/>
      <c r="M57" s="142"/>
      <c r="N57" s="142"/>
      <c r="O57" s="142"/>
      <c r="P57" s="142"/>
      <c r="Q57" s="142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436"/>
    </row>
    <row r="58" spans="1:31">
      <c r="A58" s="20" t="s">
        <v>1109</v>
      </c>
      <c r="F58" s="15"/>
      <c r="G58" s="37">
        <f t="shared" ref="G58:AC58" ca="1" si="15">SUM(G50,G56)</f>
        <v>0</v>
      </c>
      <c r="H58" s="37">
        <f t="shared" ca="1" si="15"/>
        <v>0</v>
      </c>
      <c r="I58" s="37">
        <f t="shared" ca="1" si="15"/>
        <v>-6578.0609479357427</v>
      </c>
      <c r="J58" s="37">
        <f t="shared" ca="1" si="15"/>
        <v>-3771.1328721942714</v>
      </c>
      <c r="K58" s="37">
        <f t="shared" ca="1" si="15"/>
        <v>-3011.5167629040225</v>
      </c>
      <c r="L58" s="1867">
        <f ca="1">SUM(L50,L56)</f>
        <v>-1651.6717033239183</v>
      </c>
      <c r="M58" s="37">
        <f t="shared" ca="1" si="15"/>
        <v>4085.7836733887234</v>
      </c>
      <c r="N58" s="37">
        <f t="shared" ca="1" si="15"/>
        <v>12811.392794630352</v>
      </c>
      <c r="O58" s="37">
        <f t="shared" ca="1" si="15"/>
        <v>15731.143157368002</v>
      </c>
      <c r="P58" s="37">
        <f t="shared" ca="1" si="15"/>
        <v>17834.683831993498</v>
      </c>
      <c r="Q58" s="37">
        <f t="shared" ca="1" si="15"/>
        <v>17312.074686681153</v>
      </c>
      <c r="R58" s="37">
        <f t="shared" ca="1" si="15"/>
        <v>15435.453463170663</v>
      </c>
      <c r="S58" s="37">
        <f t="shared" ca="1" si="15"/>
        <v>16139.924308702455</v>
      </c>
      <c r="T58" s="37">
        <f t="shared" ca="1" si="15"/>
        <v>18570.046919266297</v>
      </c>
      <c r="U58" s="37">
        <f t="shared" ca="1" si="15"/>
        <v>19374.897937644073</v>
      </c>
      <c r="V58" s="37">
        <f t="shared" ca="1" si="15"/>
        <v>14309.323541856753</v>
      </c>
      <c r="W58" s="37">
        <f t="shared" ca="1" si="15"/>
        <v>18850.011189197736</v>
      </c>
      <c r="X58" s="37">
        <f t="shared" ca="1" si="15"/>
        <v>7169.8621874647069</v>
      </c>
      <c r="Y58" s="37">
        <f t="shared" ca="1" si="15"/>
        <v>-7495.2285138640345</v>
      </c>
      <c r="Z58" s="37">
        <f t="shared" ca="1" si="15"/>
        <v>-11713.567705695645</v>
      </c>
      <c r="AA58" s="37">
        <f t="shared" ca="1" si="15"/>
        <v>-13109.304531018108</v>
      </c>
      <c r="AB58" s="37">
        <f t="shared" ca="1" si="15"/>
        <v>-11574.612876919249</v>
      </c>
      <c r="AC58" s="37">
        <f t="shared" ca="1" si="15"/>
        <v>-3103.4748856177926</v>
      </c>
      <c r="AD58" s="435">
        <f ca="1">SUM(G58:AC58)</f>
        <v>115616.02689189167</v>
      </c>
      <c r="AE58" s="119" t="str">
        <f ca="1">IF(ROUND(AD58-CF!Z48,2)=0," ","CHECK EARNINGS BEFORE TAXES")</f>
        <v>CHECK EARNINGS BEFORE TAXES</v>
      </c>
    </row>
    <row r="59" spans="1:31">
      <c r="A59" s="20" t="s">
        <v>667</v>
      </c>
      <c r="F59" s="15"/>
      <c r="G59" s="37">
        <f ca="1">IF(G$7&lt;YEAR(Startops1),0,HLOOKUP(G$7,CF_Table,CF!$AB$49))</f>
        <v>0</v>
      </c>
      <c r="H59" s="37">
        <f ca="1">IF(H$7&lt;YEAR(Startops1),0,HLOOKUP(H$7,CF_Table,CF!$AB$49))</f>
        <v>0</v>
      </c>
      <c r="I59" s="37">
        <f ca="1">IF(I$7&lt;YEAR(Startops1),0,HLOOKUP(I$7,CF_Table,CF!$AB$49))</f>
        <v>0</v>
      </c>
      <c r="J59" s="37">
        <f ca="1">IF(J$7&lt;YEAR(Startops1),0,HLOOKUP(J$7,CF_Table,CF!$AB$49))</f>
        <v>0</v>
      </c>
      <c r="K59" s="37">
        <f ca="1">IF(K$7&lt;YEAR(Startops1),0,HLOOKUP(K$7,CF_Table,CF!$AB$49))</f>
        <v>0</v>
      </c>
      <c r="L59" s="37">
        <f ca="1">IF(L$7&lt;YEAR(Startops1),0,HLOOKUP(L$7,CF_Table,CF!$AB$49))</f>
        <v>0</v>
      </c>
      <c r="M59" s="37">
        <f ca="1">IF(M$7&lt;YEAR(Startops1),0,HLOOKUP(M$7,CF_Table,CF!$AB$49))</f>
        <v>-2042.8918366943517</v>
      </c>
      <c r="N59" s="37">
        <f ca="1">IF(N$7&lt;YEAR(Startops1),0,HLOOKUP(N$7,CF_Table,CF!$AB$49))</f>
        <v>0</v>
      </c>
      <c r="O59" s="37">
        <f ca="1">IF(O$7&lt;YEAR(Startops1),0,HLOOKUP(O$7,CF_Table,CF!$AB$49))</f>
        <v>-7865.5715786840065</v>
      </c>
      <c r="P59" s="37">
        <f ca="1">IF(P$7&lt;YEAR(Startops1),0,HLOOKUP(P$7,CF_Table,CF!$AB$49))</f>
        <v>-8917.3419159967561</v>
      </c>
      <c r="Q59" s="37">
        <f ca="1">IF(Q$7&lt;YEAR(Startops1),0,HLOOKUP(Q$7,CF_Table,CF!$AB$49))</f>
        <v>-8656.0373433405766</v>
      </c>
      <c r="R59" s="37">
        <f ca="1">IF(R$7&lt;YEAR(Startops1),0,HLOOKUP(R$7,CF_Table,CF!$AB$49))</f>
        <v>-7717.7267315853387</v>
      </c>
      <c r="S59" s="37">
        <f ca="1">IF(S$7&lt;YEAR(Startops1),0,HLOOKUP(S$7,CF_Table,CF!$AB$49))</f>
        <v>-8069.9621543512276</v>
      </c>
      <c r="T59" s="37">
        <f ca="1">IF(T$7&lt;YEAR(Startops1),0,HLOOKUP(T$7,CF_Table,CF!$AB$49))</f>
        <v>-9279.3570204919088</v>
      </c>
      <c r="U59" s="37">
        <f ca="1">IF(U$7&lt;YEAR(Startops1),0,HLOOKUP(U$7,CF_Table,CF!$AB$49))</f>
        <v>-9279.3570204919088</v>
      </c>
      <c r="V59" s="37">
        <f ca="1">IF(V$7&lt;YEAR(Startops1),0,HLOOKUP(V$7,CF_Table,CF!$AB$49))</f>
        <v>-7154.6617709283846</v>
      </c>
      <c r="W59" s="37">
        <f ca="1">IF(W$7&lt;YEAR(Startops1),0,HLOOKUP(W$7,CF_Table,CF!$AB$49))</f>
        <v>-9279.3570204919088</v>
      </c>
      <c r="X59" s="37">
        <f ca="1">IF(X$7&lt;YEAR(Startops1),0,HLOOKUP(X$7,CF_Table,CF!$AB$49))</f>
        <v>-3584.931093732353</v>
      </c>
      <c r="Y59" s="37">
        <f ca="1">IF(Y$7&lt;YEAR(Startops1),0,HLOOKUP(Y$7,CF_Table,CF!$AB$49))</f>
        <v>0</v>
      </c>
      <c r="Z59" s="37">
        <f ca="1">IF(Z$7&lt;YEAR(Startops1),0,HLOOKUP(Z$7,CF_Table,CF!$AB$49))</f>
        <v>0</v>
      </c>
      <c r="AA59" s="37">
        <f ca="1">IF(AA$7&lt;YEAR(Startops1),0,HLOOKUP(AA$7,CF_Table,CF!$AB$49))</f>
        <v>0</v>
      </c>
      <c r="AB59" s="37">
        <f ca="1">IF(AB$7&lt;YEAR(Startops1),0,HLOOKUP(AB$7,CF_Table,CF!$AB$49))</f>
        <v>0</v>
      </c>
      <c r="AC59" s="37">
        <f ca="1">IF(AC$7&lt;YEAR(Startops1),0,HLOOKUP(AC$7,CF_Table,CF!$AB$49))</f>
        <v>0</v>
      </c>
      <c r="AD59" s="435">
        <f ca="1">SUM(G59:AC59)</f>
        <v>-81847.195486788711</v>
      </c>
    </row>
    <row r="60" spans="1:31">
      <c r="A60" s="20" t="s">
        <v>1110</v>
      </c>
      <c r="F60" s="15"/>
      <c r="G60" s="37">
        <f ca="1">IF(G$7&lt;YEAR(Startops1),0,HLOOKUP(G$7,CF_Table,CF!$AB$52))</f>
        <v>0</v>
      </c>
      <c r="H60" s="37">
        <f ca="1">IF(H$7&lt;YEAR(Startops1),0,HLOOKUP(H$7,CF_Table,CF!$AB$52))</f>
        <v>0</v>
      </c>
      <c r="I60" s="37">
        <f ca="1">IF(I$7&lt;YEAR(Startops1),0,HLOOKUP(I$7,CF_Table,CF!$AB$52))</f>
        <v>0</v>
      </c>
      <c r="J60" s="37">
        <f ca="1">IF(J$7&lt;YEAR(Startops1),0,HLOOKUP(J$7,CF_Table,CF!$AB$52))</f>
        <v>0</v>
      </c>
      <c r="K60" s="37">
        <f ca="1">IF(K$7&lt;YEAR(Startops1),0,HLOOKUP(K$7,CF_Table,CF!$AB$52))</f>
        <v>0</v>
      </c>
      <c r="L60" s="37">
        <f ca="1">IF(L$7&lt;YEAR(Startops1),0,HLOOKUP(L$7,CF_Table,CF!$AB$52))</f>
        <v>0</v>
      </c>
      <c r="M60" s="37">
        <f ca="1">IF(M$7&lt;YEAR(Startops1),0,HLOOKUP(M$7,CF_Table,CF!$AB$52))</f>
        <v>-460.27501819366915</v>
      </c>
      <c r="N60" s="37">
        <f ca="1">IF(N$7&lt;YEAR(Startops1),0,HLOOKUP(N$7,CF_Table,CF!$AB$52))</f>
        <v>0</v>
      </c>
      <c r="O60" s="37">
        <f ca="1">IF(O$7&lt;YEAR(Startops1),0,HLOOKUP(O$7,CF_Table,CF!$AB$52))</f>
        <v>-1806.2141014920358</v>
      </c>
      <c r="P60" s="37">
        <f ca="1">IF(P$7&lt;YEAR(Startops1),0,HLOOKUP(P$7,CF_Table,CF!$AB$52))</f>
        <v>-2049.4838253843509</v>
      </c>
      <c r="Q60" s="37">
        <f ca="1">IF(Q$7&lt;YEAR(Startops1),0,HLOOKUP(Q$7,CF_Table,CF!$AB$52))</f>
        <v>-1989.4083604778421</v>
      </c>
      <c r="R60" s="37">
        <f ca="1">IF(R$7&lt;YEAR(Startops1),0,HLOOKUP(R$7,CF_Table,CF!$AB$52))</f>
        <v>-1772.9303750547012</v>
      </c>
      <c r="S60" s="37">
        <f ca="1">IF(S$7&lt;YEAR(Startops1),0,HLOOKUP(S$7,CF_Table,CF!$AB$52))</f>
        <v>-1854.5500861475216</v>
      </c>
      <c r="T60" s="37">
        <f ca="1">IF(T$7&lt;YEAR(Startops1),0,HLOOKUP(T$7,CF_Table,CF!$AB$52))</f>
        <v>-2136.7754284350249</v>
      </c>
      <c r="U60" s="37">
        <f ca="1">IF(U$7&lt;YEAR(Startops1),0,HLOOKUP(U$7,CF_Table,CF!$AB$52))</f>
        <v>-2322.917962153208</v>
      </c>
      <c r="V60" s="37">
        <f ca="1">IF(V$7&lt;YEAR(Startops1),0,HLOOKUP(V$7,CF_Table,CF!$AB$52))</f>
        <v>-1643.7737030964945</v>
      </c>
      <c r="W60" s="37">
        <f ca="1">IF(W$7&lt;YEAR(Startops1),0,HLOOKUP(W$7,CF_Table,CF!$AB$52))</f>
        <v>-2477.391703943561</v>
      </c>
      <c r="X60" s="37">
        <f ca="1">IF(X$7&lt;YEAR(Startops1),0,HLOOKUP(X$7,CF_Table,CF!$AB$52))</f>
        <v>-1174.4261705458111</v>
      </c>
      <c r="Y60" s="37">
        <f ca="1">IF(Y$7&lt;YEAR(Startops1),0,HLOOKUP(Y$7,CF_Table,CF!$AB$52))</f>
        <v>0</v>
      </c>
      <c r="Z60" s="37">
        <f ca="1">IF(Z$7&lt;YEAR(Startops1),0,HLOOKUP(Z$7,CF_Table,CF!$AB$52))</f>
        <v>0</v>
      </c>
      <c r="AA60" s="37">
        <f ca="1">IF(AA$7&lt;YEAR(Startops1),0,HLOOKUP(AA$7,CF_Table,CF!$AB$52))</f>
        <v>0</v>
      </c>
      <c r="AB60" s="37">
        <f ca="1">IF(AB$7&lt;YEAR(Startops1),0,HLOOKUP(AB$7,CF_Table,CF!$AB$52))</f>
        <v>0</v>
      </c>
      <c r="AC60" s="37">
        <f ca="1">IF(AC$7&lt;YEAR(Startops1),0,HLOOKUP(AC$7,CF_Table,CF!$AB$52))</f>
        <v>0</v>
      </c>
      <c r="AD60" s="435">
        <f ca="1">SUM(G60:AC60)</f>
        <v>-19688.146734924223</v>
      </c>
    </row>
    <row r="61" spans="1:31">
      <c r="A61" s="20" t="s">
        <v>70</v>
      </c>
      <c r="F61" s="15"/>
      <c r="G61" s="142">
        <f ca="1">IF(G$7&lt;YEAR(Startops1),0,HLOOKUP(G$7,CF_Table,CF!$AB$55))</f>
        <v>0</v>
      </c>
      <c r="H61" s="142">
        <f ca="1">IF(H$7&lt;YEAR(Startops1),0,HLOOKUP(H$7,CF_Table,CF!$AB$55))</f>
        <v>0</v>
      </c>
      <c r="I61" s="142">
        <f ca="1">IF(I$7&lt;YEAR(Startops1),0,HLOOKUP(I$7,CF_Table,CF!$AB$55))</f>
        <v>116.9419904737901</v>
      </c>
      <c r="J61" s="142">
        <f ca="1">IF(J$7&lt;YEAR(Startops1),0,HLOOKUP(J$7,CF_Table,CF!$AB$55))</f>
        <v>620.0920187802451</v>
      </c>
      <c r="K61" s="142">
        <f ca="1">IF(K$7&lt;YEAR(Startops1),0,HLOOKUP(K$7,CF_Table,CF!$AB$55))</f>
        <v>0</v>
      </c>
      <c r="L61" s="142">
        <f ca="1">IF(L$7&lt;YEAR(Startops1),0,HLOOKUP(L$7,CF_Table,CF!$AB$55))</f>
        <v>0</v>
      </c>
      <c r="M61" s="142">
        <f ca="1">IF(M$7&lt;YEAR(Startops1),0,HLOOKUP(M$7,CF_Table,CF!$AB$55))</f>
        <v>137.76635472643693</v>
      </c>
      <c r="N61" s="142">
        <f ca="1">IF(N$7&lt;YEAR(Startops1),0,HLOOKUP(N$7,CF_Table,CF!$AB$55))</f>
        <v>0</v>
      </c>
      <c r="O61" s="142">
        <f ca="1">IF(O$7&lt;YEAR(Startops1),0,HLOOKUP(O$7,CF_Table,CF!$AB$55))</f>
        <v>774.18295127764623</v>
      </c>
      <c r="P61" s="142">
        <f ca="1">IF(P$7&lt;YEAR(Startops1),0,HLOOKUP(P$7,CF_Table,CF!$AB$55))</f>
        <v>648.07555710347629</v>
      </c>
      <c r="Q61" s="142">
        <f ca="1">IF(Q$7&lt;YEAR(Startops1),0,HLOOKUP(Q$7,CF_Table,CF!$AB$55))</f>
        <v>1803.4855902578893</v>
      </c>
      <c r="R61" s="142">
        <f ca="1">IF(R$7&lt;YEAR(Startops1),0,HLOOKUP(R$7,CF_Table,CF!$AB$55))</f>
        <v>0</v>
      </c>
      <c r="S61" s="142">
        <f ca="1">IF(S$7&lt;YEAR(Startops1),0,HLOOKUP(S$7,CF_Table,CF!$AB$55))</f>
        <v>0</v>
      </c>
      <c r="T61" s="142">
        <f ca="1">IF(T$7&lt;YEAR(Startops1),0,HLOOKUP(T$7,CF_Table,CF!$AB$55))</f>
        <v>0</v>
      </c>
      <c r="U61" s="142">
        <f ca="1">IF(U$7&lt;YEAR(Startops1),0,HLOOKUP(U$7,CF_Table,CF!$AB$55))</f>
        <v>0</v>
      </c>
      <c r="V61" s="142">
        <f ca="1">IF(V$7&lt;YEAR(Startops1),0,HLOOKUP(V$7,CF_Table,CF!$AB$55))</f>
        <v>0</v>
      </c>
      <c r="W61" s="142">
        <f ca="1">IF(W$7&lt;YEAR(Startops1),0,HLOOKUP(W$7,CF_Table,CF!$AB$55))</f>
        <v>0</v>
      </c>
      <c r="X61" s="142">
        <f ca="1">IF(X$7&lt;YEAR(Startops1),0,HLOOKUP(X$7,CF_Table,CF!$AB$55))</f>
        <v>0</v>
      </c>
      <c r="Y61" s="142">
        <f ca="1">IF(Y$7&lt;YEAR(Startops1),0,HLOOKUP(Y$7,CF_Table,CF!$AB$55))</f>
        <v>0</v>
      </c>
      <c r="Z61" s="142">
        <f ca="1">IF(Z$7&lt;YEAR(Startops1),0,HLOOKUP(Z$7,CF_Table,CF!$AB$55))</f>
        <v>0</v>
      </c>
      <c r="AA61" s="142">
        <f ca="1">IF(AA$7&lt;YEAR(Startops1),0,HLOOKUP(AA$7,CF_Table,CF!$AB$55))</f>
        <v>0</v>
      </c>
      <c r="AB61" s="142">
        <f ca="1">IF(AB$7&lt;YEAR(Startops1),0,HLOOKUP(AB$7,CF_Table,CF!$AB$55))</f>
        <v>3594.7979119015054</v>
      </c>
      <c r="AC61" s="142">
        <f ca="1">IF(AC$7&lt;YEAR(Startops1),0,HLOOKUP(AC$7,CF_Table,CF!$AB$55))</f>
        <v>629.91613511453215</v>
      </c>
      <c r="AD61" s="436">
        <f ca="1">SUM(G61:AC61)</f>
        <v>8325.2585096355215</v>
      </c>
    </row>
    <row r="62" spans="1:31">
      <c r="A62" s="575" t="s">
        <v>1111</v>
      </c>
      <c r="B62" s="4"/>
      <c r="C62" s="4"/>
      <c r="D62" s="4"/>
      <c r="E62" s="4" t="s">
        <v>323</v>
      </c>
      <c r="F62" s="4"/>
      <c r="G62" s="211">
        <f ca="1">SUM(G58:G61)</f>
        <v>0</v>
      </c>
      <c r="H62" s="211">
        <f t="shared" ref="H62:AC62" ca="1" si="16">SUM(H58:H61)</f>
        <v>0</v>
      </c>
      <c r="I62" s="211">
        <f t="shared" ca="1" si="16"/>
        <v>-6461.118957461953</v>
      </c>
      <c r="J62" s="211">
        <f t="shared" ca="1" si="16"/>
        <v>-3151.0408534140261</v>
      </c>
      <c r="K62" s="211">
        <f t="shared" ca="1" si="16"/>
        <v>-3011.5167629040225</v>
      </c>
      <c r="L62" s="1866">
        <f ca="1">SUM(L58:L61)</f>
        <v>-1651.6717033239183</v>
      </c>
      <c r="M62" s="211">
        <f t="shared" ca="1" si="16"/>
        <v>1720.3831732271394</v>
      </c>
      <c r="N62" s="211">
        <f t="shared" ca="1" si="16"/>
        <v>12811.392794630352</v>
      </c>
      <c r="O62" s="211">
        <f t="shared" ca="1" si="16"/>
        <v>6833.5404284696051</v>
      </c>
      <c r="P62" s="211">
        <f t="shared" ca="1" si="16"/>
        <v>7515.9336477158668</v>
      </c>
      <c r="Q62" s="211">
        <f t="shared" ca="1" si="16"/>
        <v>8470.1145731206234</v>
      </c>
      <c r="R62" s="211">
        <f t="shared" ca="1" si="16"/>
        <v>5944.7963565306227</v>
      </c>
      <c r="S62" s="211">
        <f t="shared" ca="1" si="16"/>
        <v>6215.4120682037064</v>
      </c>
      <c r="T62" s="211">
        <f t="shared" ca="1" si="16"/>
        <v>7153.9144703393631</v>
      </c>
      <c r="U62" s="211">
        <f t="shared" ca="1" si="16"/>
        <v>7772.6229549989566</v>
      </c>
      <c r="V62" s="211">
        <f t="shared" ca="1" si="16"/>
        <v>5510.8880678318737</v>
      </c>
      <c r="W62" s="211">
        <f t="shared" ca="1" si="16"/>
        <v>7093.2624647622661</v>
      </c>
      <c r="X62" s="211">
        <f t="shared" ca="1" si="16"/>
        <v>2410.5049231865428</v>
      </c>
      <c r="Y62" s="211">
        <f t="shared" ca="1" si="16"/>
        <v>-7495.2285138640345</v>
      </c>
      <c r="Z62" s="211">
        <f t="shared" ca="1" si="16"/>
        <v>-11713.567705695645</v>
      </c>
      <c r="AA62" s="211">
        <f t="shared" ca="1" si="16"/>
        <v>-13109.304531018108</v>
      </c>
      <c r="AB62" s="211">
        <f t="shared" ca="1" si="16"/>
        <v>-7979.8149650177438</v>
      </c>
      <c r="AC62" s="211">
        <f t="shared" ca="1" si="16"/>
        <v>-2473.5587505032604</v>
      </c>
      <c r="AD62" s="577">
        <f ca="1">SUM(G62:AC62)</f>
        <v>22405.94317981421</v>
      </c>
      <c r="AE62" s="119" t="str">
        <f ca="1">IF(ROUND(AD62-CF!Z57,2)=0," ","CHECK NET INCOME")</f>
        <v>CHECK NET INCOME</v>
      </c>
    </row>
    <row r="63" spans="1:31">
      <c r="A63" s="20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535"/>
    </row>
    <row r="64" spans="1:31" ht="16.5" thickBot="1">
      <c r="A64" s="936" t="s">
        <v>668</v>
      </c>
      <c r="B64" s="49"/>
      <c r="C64" s="49"/>
      <c r="D64" s="49"/>
      <c r="E64" s="49"/>
      <c r="F64" s="49"/>
      <c r="G64" s="83">
        <f>G$7</f>
        <v>1997</v>
      </c>
      <c r="H64" s="83">
        <f t="shared" ref="H64:AD64" si="17">H$7</f>
        <v>1998</v>
      </c>
      <c r="I64" s="83">
        <f t="shared" si="17"/>
        <v>1999</v>
      </c>
      <c r="J64" s="83">
        <f t="shared" si="17"/>
        <v>2000</v>
      </c>
      <c r="K64" s="83">
        <f t="shared" si="17"/>
        <v>2001</v>
      </c>
      <c r="L64" s="83">
        <f t="shared" si="17"/>
        <v>2002</v>
      </c>
      <c r="M64" s="83">
        <f t="shared" si="17"/>
        <v>2003</v>
      </c>
      <c r="N64" s="83">
        <f t="shared" si="17"/>
        <v>2004</v>
      </c>
      <c r="O64" s="83">
        <f t="shared" si="17"/>
        <v>2005</v>
      </c>
      <c r="P64" s="83">
        <f t="shared" si="17"/>
        <v>2006</v>
      </c>
      <c r="Q64" s="83">
        <f t="shared" si="17"/>
        <v>2007</v>
      </c>
      <c r="R64" s="83">
        <f t="shared" si="17"/>
        <v>2008</v>
      </c>
      <c r="S64" s="83">
        <f t="shared" si="17"/>
        <v>2009</v>
      </c>
      <c r="T64" s="83">
        <f t="shared" si="17"/>
        <v>2010</v>
      </c>
      <c r="U64" s="83">
        <f t="shared" si="17"/>
        <v>2011</v>
      </c>
      <c r="V64" s="83">
        <f t="shared" si="17"/>
        <v>2012</v>
      </c>
      <c r="W64" s="83">
        <f t="shared" si="17"/>
        <v>2013</v>
      </c>
      <c r="X64" s="83">
        <f t="shared" si="17"/>
        <v>2014</v>
      </c>
      <c r="Y64" s="83">
        <f t="shared" si="17"/>
        <v>2015</v>
      </c>
      <c r="Z64" s="83">
        <f t="shared" si="17"/>
        <v>2016</v>
      </c>
      <c r="AA64" s="83">
        <f t="shared" si="17"/>
        <v>2017</v>
      </c>
      <c r="AB64" s="83">
        <f t="shared" si="17"/>
        <v>2018</v>
      </c>
      <c r="AC64" s="83">
        <f t="shared" si="17"/>
        <v>2019</v>
      </c>
      <c r="AD64" s="425" t="str">
        <f t="shared" si="17"/>
        <v>Totals</v>
      </c>
    </row>
    <row r="65" spans="1:30">
      <c r="A65" s="1172" t="s">
        <v>1197</v>
      </c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430"/>
    </row>
    <row r="66" spans="1:30">
      <c r="A66" s="20"/>
      <c r="B66" s="15" t="s">
        <v>669</v>
      </c>
      <c r="F66" s="15"/>
      <c r="G66" s="37">
        <f ca="1">G39</f>
        <v>0</v>
      </c>
      <c r="H66" s="37">
        <f t="shared" ref="H66:AC66" ca="1" si="18">H39</f>
        <v>0</v>
      </c>
      <c r="I66" s="37">
        <f t="shared" ca="1" si="18"/>
        <v>8945.7685336101022</v>
      </c>
      <c r="J66" s="37">
        <f t="shared" ca="1" si="18"/>
        <v>14802.62809773303</v>
      </c>
      <c r="K66" s="37">
        <f t="shared" ca="1" si="18"/>
        <v>101970.74638136684</v>
      </c>
      <c r="L66" s="37">
        <f t="shared" ca="1" si="18"/>
        <v>145216.28363779781</v>
      </c>
      <c r="M66" s="37">
        <f t="shared" ca="1" si="18"/>
        <v>152037.8940492323</v>
      </c>
      <c r="N66" s="37">
        <f t="shared" ca="1" si="18"/>
        <v>157887.51234260612</v>
      </c>
      <c r="O66" s="37">
        <f t="shared" ca="1" si="18"/>
        <v>161622.68690370049</v>
      </c>
      <c r="P66" s="37">
        <f t="shared" ca="1" si="18"/>
        <v>164884.12886602743</v>
      </c>
      <c r="Q66" s="37">
        <f t="shared" ca="1" si="18"/>
        <v>164736.21912270653</v>
      </c>
      <c r="R66" s="37">
        <f t="shared" ca="1" si="18"/>
        <v>163138.86154405581</v>
      </c>
      <c r="S66" s="37">
        <f t="shared" ca="1" si="18"/>
        <v>164515.35106079854</v>
      </c>
      <c r="T66" s="37">
        <f t="shared" ca="1" si="18"/>
        <v>168252.20157661455</v>
      </c>
      <c r="U66" s="37">
        <f t="shared" ca="1" si="18"/>
        <v>169682.39347227945</v>
      </c>
      <c r="V66" s="37">
        <f t="shared" ca="1" si="18"/>
        <v>164987.36061945558</v>
      </c>
      <c r="W66" s="37">
        <f t="shared" ca="1" si="18"/>
        <v>171248.36803748639</v>
      </c>
      <c r="X66" s="37">
        <f t="shared" ca="1" si="18"/>
        <v>161278.95575691792</v>
      </c>
      <c r="Y66" s="37">
        <f t="shared" ca="1" si="18"/>
        <v>147577.30269190494</v>
      </c>
      <c r="Z66" s="37">
        <f t="shared" ca="1" si="18"/>
        <v>145918.53665476115</v>
      </c>
      <c r="AA66" s="37">
        <f t="shared" ca="1" si="18"/>
        <v>147984.34065996855</v>
      </c>
      <c r="AB66" s="37">
        <f t="shared" ca="1" si="18"/>
        <v>146294.84173599019</v>
      </c>
      <c r="AC66" s="37">
        <f t="shared" ca="1" si="18"/>
        <v>48340.657520520093</v>
      </c>
      <c r="AD66" s="435">
        <f t="shared" ref="AD66:AD73" ca="1" si="19">SUM(G66:AC66)</f>
        <v>2871323.0392655339</v>
      </c>
    </row>
    <row r="67" spans="1:30">
      <c r="A67" s="20"/>
      <c r="B67" s="15" t="s">
        <v>666</v>
      </c>
      <c r="F67" s="15"/>
      <c r="G67" s="37">
        <f ca="1">G40</f>
        <v>0</v>
      </c>
      <c r="H67" s="37">
        <f t="shared" ref="H67:AC67" ca="1" si="20">H40</f>
        <v>0</v>
      </c>
      <c r="I67" s="37">
        <f t="shared" ca="1" si="20"/>
        <v>-237.06286614066769</v>
      </c>
      <c r="J67" s="37">
        <f t="shared" ca="1" si="20"/>
        <v>-392.26964458992529</v>
      </c>
      <c r="K67" s="37">
        <f t="shared" ca="1" si="20"/>
        <v>-2702.2247791062214</v>
      </c>
      <c r="L67" s="37">
        <f t="shared" ca="1" si="20"/>
        <v>-3848.2315164016418</v>
      </c>
      <c r="M67" s="37">
        <f t="shared" ca="1" si="20"/>
        <v>-4029.004192304656</v>
      </c>
      <c r="N67" s="37">
        <f t="shared" ca="1" si="20"/>
        <v>-4184.0190770790623</v>
      </c>
      <c r="O67" s="37">
        <f t="shared" ca="1" si="20"/>
        <v>-4283.0012029480631</v>
      </c>
      <c r="P67" s="37">
        <f t="shared" ca="1" si="20"/>
        <v>-4369.4294149497264</v>
      </c>
      <c r="Q67" s="37">
        <f t="shared" ca="1" si="20"/>
        <v>-4365.5098067517229</v>
      </c>
      <c r="R67" s="37">
        <f t="shared" ca="1" si="20"/>
        <v>-4323.1798309174783</v>
      </c>
      <c r="S67" s="37">
        <f t="shared" ca="1" si="20"/>
        <v>-4359.656803111161</v>
      </c>
      <c r="T67" s="37">
        <f t="shared" ca="1" si="20"/>
        <v>-4458.6833417802854</v>
      </c>
      <c r="U67" s="37">
        <f t="shared" ca="1" si="20"/>
        <v>-4496.5834270154055</v>
      </c>
      <c r="V67" s="37">
        <f t="shared" ca="1" si="20"/>
        <v>-4372.1650564155725</v>
      </c>
      <c r="W67" s="37">
        <f t="shared" ca="1" si="20"/>
        <v>-4538.0817529933893</v>
      </c>
      <c r="X67" s="37">
        <f t="shared" ca="1" si="20"/>
        <v>-4273.8923275583247</v>
      </c>
      <c r="Y67" s="37">
        <f t="shared" ca="1" si="20"/>
        <v>-3910.7985213354809</v>
      </c>
      <c r="Z67" s="37">
        <f t="shared" ca="1" si="20"/>
        <v>-3866.8412213511701</v>
      </c>
      <c r="AA67" s="37">
        <f t="shared" ca="1" si="20"/>
        <v>-3921.5850274891668</v>
      </c>
      <c r="AB67" s="37">
        <f t="shared" ca="1" si="20"/>
        <v>-3876.8133060037399</v>
      </c>
      <c r="AC67" s="37">
        <f t="shared" ca="1" si="20"/>
        <v>-1281.0274242937824</v>
      </c>
      <c r="AD67" s="435">
        <f t="shared" ca="1" si="19"/>
        <v>-76090.060540536651</v>
      </c>
    </row>
    <row r="68" spans="1:30">
      <c r="A68" s="20"/>
      <c r="B68" s="15" t="s">
        <v>1116</v>
      </c>
      <c r="F68" s="15"/>
      <c r="G68" s="37">
        <f ca="1">G46</f>
        <v>0</v>
      </c>
      <c r="H68" s="37">
        <f t="shared" ref="H68:AC68" ca="1" si="21">H46</f>
        <v>0</v>
      </c>
      <c r="I68" s="37">
        <f t="shared" ca="1" si="21"/>
        <v>-10458.104630295045</v>
      </c>
      <c r="J68" s="37">
        <f t="shared" ca="1" si="21"/>
        <v>-10609.715389046836</v>
      </c>
      <c r="K68" s="37">
        <f t="shared" ca="1" si="21"/>
        <v>-70083.576120426937</v>
      </c>
      <c r="L68" s="37">
        <f t="shared" ca="1" si="21"/>
        <v>-98838.62482775026</v>
      </c>
      <c r="M68" s="37">
        <f t="shared" ca="1" si="21"/>
        <v>-101244.93384653218</v>
      </c>
      <c r="N68" s="37">
        <f t="shared" ca="1" si="21"/>
        <v>-103894.78733849034</v>
      </c>
      <c r="O68" s="37">
        <f t="shared" ca="1" si="21"/>
        <v>-106325.69739172087</v>
      </c>
      <c r="P68" s="37">
        <f t="shared" ca="1" si="21"/>
        <v>-108948.44163627218</v>
      </c>
      <c r="Q68" s="37">
        <f t="shared" ca="1" si="21"/>
        <v>-111622.43654313406</v>
      </c>
      <c r="R68" s="37">
        <f t="shared" ca="1" si="21"/>
        <v>-114373.25882955155</v>
      </c>
      <c r="S68" s="37">
        <f t="shared" ca="1" si="21"/>
        <v>-116947.5337458484</v>
      </c>
      <c r="T68" s="37">
        <f t="shared" ca="1" si="21"/>
        <v>-119690.85120921899</v>
      </c>
      <c r="U68" s="37">
        <f t="shared" ca="1" si="21"/>
        <v>-122380.65294414852</v>
      </c>
      <c r="V68" s="37">
        <f t="shared" ca="1" si="21"/>
        <v>-125335.84696112058</v>
      </c>
      <c r="W68" s="37">
        <f t="shared" ca="1" si="21"/>
        <v>-128124.67278647902</v>
      </c>
      <c r="X68" s="37">
        <f t="shared" ca="1" si="21"/>
        <v>-131048.1140413598</v>
      </c>
      <c r="Y68" s="37">
        <f t="shared" ca="1" si="21"/>
        <v>-134134.97029577667</v>
      </c>
      <c r="Z68" s="37">
        <f t="shared" ca="1" si="21"/>
        <v>-137517.62852785992</v>
      </c>
      <c r="AA68" s="37">
        <f t="shared" ca="1" si="21"/>
        <v>-140638.94711448002</v>
      </c>
      <c r="AB68" s="37">
        <f t="shared" ca="1" si="21"/>
        <v>-137310.48482530864</v>
      </c>
      <c r="AC68" s="37">
        <f t="shared" ca="1" si="21"/>
        <v>-46351.636494562023</v>
      </c>
      <c r="AD68" s="435">
        <f t="shared" ca="1" si="19"/>
        <v>-2175880.9154993827</v>
      </c>
    </row>
    <row r="69" spans="1:30">
      <c r="A69" s="20"/>
      <c r="B69" s="15" t="s">
        <v>376</v>
      </c>
      <c r="F69" s="15"/>
      <c r="G69" s="37">
        <f ca="1">IF(G$7&lt;YEAR(Startops1),0,HLOOKUP(G$7,CF_Table,CF!$AB$31))</f>
        <v>0</v>
      </c>
      <c r="H69" s="37">
        <f ca="1">IF(H$7&lt;YEAR(Startops1),0,HLOOKUP(H$7,CF_Table,CF!$AB$31))</f>
        <v>0</v>
      </c>
      <c r="I69" s="37">
        <f ca="1">IF(I$7&lt;YEAR(Startops1),0,HLOOKUP(I$7,CF_Table,CF!$AB$31))</f>
        <v>0</v>
      </c>
      <c r="J69" s="37">
        <f ca="1">IF(J$7&lt;YEAR(Startops1),0,HLOOKUP(J$7,CF_Table,CF!$AB$31))</f>
        <v>0</v>
      </c>
      <c r="K69" s="37">
        <f ca="1">IF(K$7&lt;YEAR(Startops1),0,HLOOKUP(K$7,CF_Table,CF!$AB$31))</f>
        <v>0</v>
      </c>
      <c r="L69" s="37">
        <f ca="1">IF(L$7&lt;YEAR(Startops1),0,HLOOKUP(L$7,CF_Table,CF!$AB$31))</f>
        <v>0</v>
      </c>
      <c r="M69" s="37">
        <f ca="1">IF(M$7&lt;YEAR(Startops1),0,HLOOKUP(M$7,CF_Table,CF!$AB$31))</f>
        <v>0</v>
      </c>
      <c r="N69" s="37">
        <f ca="1">IF(N$7&lt;YEAR(Startops1),0,HLOOKUP(N$7,CF_Table,CF!$AB$31))</f>
        <v>0</v>
      </c>
      <c r="O69" s="37">
        <f ca="1">IF(O$7&lt;YEAR(Startops1),0,HLOOKUP(O$7,CF_Table,CF!$AB$31))</f>
        <v>0</v>
      </c>
      <c r="P69" s="37">
        <f ca="1">IF(P$7&lt;YEAR(Startops1),0,HLOOKUP(P$7,CF_Table,CF!$AB$31))</f>
        <v>0</v>
      </c>
      <c r="Q69" s="37">
        <f ca="1">IF(Q$7&lt;YEAR(Startops1),0,HLOOKUP(Q$7,CF_Table,CF!$AB$31))</f>
        <v>0</v>
      </c>
      <c r="R69" s="37">
        <f ca="1">IF(R$7&lt;YEAR(Startops1),0,HLOOKUP(R$7,CF_Table,CF!$AB$31))</f>
        <v>0</v>
      </c>
      <c r="S69" s="37">
        <f ca="1">IF(S$7&lt;YEAR(Startops1),0,HLOOKUP(S$7,CF_Table,CF!$AB$31))</f>
        <v>0</v>
      </c>
      <c r="T69" s="37">
        <f ca="1">IF(T$7&lt;YEAR(Startops1),0,HLOOKUP(T$7,CF_Table,CF!$AB$31))</f>
        <v>0</v>
      </c>
      <c r="U69" s="37">
        <f ca="1">IF(U$7&lt;YEAR(Startops1),0,HLOOKUP(U$7,CF_Table,CF!$AB$31))</f>
        <v>0</v>
      </c>
      <c r="V69" s="37">
        <f ca="1">IF(V$7&lt;YEAR(Startops1),0,HLOOKUP(V$7,CF_Table,CF!$AB$31))</f>
        <v>0</v>
      </c>
      <c r="W69" s="37">
        <f ca="1">IF(W$7&lt;YEAR(Startops1),0,HLOOKUP(W$7,CF_Table,CF!$AB$31))</f>
        <v>0</v>
      </c>
      <c r="X69" s="37">
        <f ca="1">IF(X$7&lt;YEAR(Startops1),0,HLOOKUP(X$7,CF_Table,CF!$AB$31))</f>
        <v>0</v>
      </c>
      <c r="Y69" s="37">
        <f ca="1">IF(Y$7&lt;YEAR(Startops1),0,HLOOKUP(Y$7,CF_Table,CF!$AB$31))</f>
        <v>0</v>
      </c>
      <c r="Z69" s="37">
        <f ca="1">IF(Z$7&lt;YEAR(Startops1),0,HLOOKUP(Z$7,CF_Table,CF!$AB$31))</f>
        <v>0</v>
      </c>
      <c r="AA69" s="37">
        <f ca="1">IF(AA$7&lt;YEAR(Startops1),0,HLOOKUP(AA$7,CF_Table,CF!$AB$31))</f>
        <v>0</v>
      </c>
      <c r="AB69" s="37">
        <f ca="1">IF(AB$7&lt;YEAR(Startops1),0,HLOOKUP(AB$7,CF_Table,CF!$AB$31))</f>
        <v>0</v>
      </c>
      <c r="AC69" s="37">
        <f ca="1">IF(AC$7&lt;YEAR(Startops1),0,HLOOKUP(AC$7,CF_Table,CF!$AB$31))</f>
        <v>0</v>
      </c>
      <c r="AD69" s="435">
        <f t="shared" ca="1" si="19"/>
        <v>0</v>
      </c>
    </row>
    <row r="70" spans="1:30">
      <c r="A70" s="20"/>
      <c r="B70" s="15" t="s">
        <v>1117</v>
      </c>
      <c r="F70" s="15"/>
      <c r="G70" s="37">
        <f ca="1">IF(G$7&lt;YEAR(Startops1),0,HLOOKUP(G$7,CF_Table,CF!$AB$32))</f>
        <v>0</v>
      </c>
      <c r="H70" s="37">
        <f ca="1">IF(H$7&lt;YEAR(Startops1),0,HLOOKUP(H$7,CF_Table,CF!$AB$32))</f>
        <v>0</v>
      </c>
      <c r="I70" s="37">
        <f ca="1">IF(I$7&lt;YEAR(Startops1),0,HLOOKUP(I$7,CF_Table,CF!$AB$32))</f>
        <v>181.59014763530828</v>
      </c>
      <c r="J70" s="37">
        <f ca="1">IF(J$7&lt;YEAR(Startops1),0,HLOOKUP(J$7,CF_Table,CF!$AB$32))</f>
        <v>541.43080152641403</v>
      </c>
      <c r="K70" s="37">
        <f ca="1">IF(K$7&lt;YEAR(Startops1),0,HLOOKUP(K$7,CF_Table,CF!$AB$32))</f>
        <v>574.10653798986891</v>
      </c>
      <c r="L70" s="37">
        <f ca="1">IF(L$7&lt;YEAR(Startops1),0,HLOOKUP(L$7,CF_Table,CF!$AB$32))</f>
        <v>397.49487901212376</v>
      </c>
      <c r="M70" s="37">
        <f ca="1">IF(M$7&lt;YEAR(Startops1),0,HLOOKUP(M$7,CF_Table,CF!$AB$32))</f>
        <v>334.60534081449305</v>
      </c>
      <c r="N70" s="37">
        <f ca="1">IF(N$7&lt;YEAR(Startops1),0,HLOOKUP(N$7,CF_Table,CF!$AB$32))</f>
        <v>456.35076135540453</v>
      </c>
      <c r="O70" s="37">
        <f ca="1">IF(O$7&lt;YEAR(Startops1),0,HLOOKUP(O$7,CF_Table,CF!$AB$32))</f>
        <v>568.90692501537001</v>
      </c>
      <c r="P70" s="37">
        <f ca="1">IF(P$7&lt;YEAR(Startops1),0,HLOOKUP(P$7,CF_Table,CF!$AB$32))</f>
        <v>435.27629836406231</v>
      </c>
      <c r="Q70" s="37">
        <f ca="1">IF(Q$7&lt;YEAR(Startops1),0,HLOOKUP(Q$7,CF_Table,CF!$AB$32))</f>
        <v>516.38462483262958</v>
      </c>
      <c r="R70" s="37">
        <f ca="1">IF(R$7&lt;YEAR(Startops1),0,HLOOKUP(R$7,CF_Table,CF!$AB$32))</f>
        <v>863.53580425392363</v>
      </c>
      <c r="S70" s="37">
        <f ca="1">IF(S$7&lt;YEAR(Startops1),0,HLOOKUP(S$7,CF_Table,CF!$AB$32))</f>
        <v>884.68930655798749</v>
      </c>
      <c r="T70" s="37">
        <f ca="1">IF(T$7&lt;YEAR(Startops1),0,HLOOKUP(T$7,CF_Table,CF!$AB$32))</f>
        <v>577.79779781250261</v>
      </c>
      <c r="U70" s="37">
        <f ca="1">IF(U$7&lt;YEAR(Startops1),0,HLOOKUP(U$7,CF_Table,CF!$AB$32))</f>
        <v>595.90138327387115</v>
      </c>
      <c r="V70" s="37">
        <f ca="1">IF(V$7&lt;YEAR(Startops1),0,HLOOKUP(V$7,CF_Table,CF!$AB$32))</f>
        <v>941.0199955035946</v>
      </c>
      <c r="W70" s="37">
        <f ca="1">IF(W$7&lt;YEAR(Startops1),0,HLOOKUP(W$7,CF_Table,CF!$AB$32))</f>
        <v>703.60720349397184</v>
      </c>
      <c r="X70" s="37">
        <f ca="1">IF(X$7&lt;YEAR(Startops1),0,HLOOKUP(X$7,CF_Table,CF!$AB$32))</f>
        <v>465.62368131415462</v>
      </c>
      <c r="Y70" s="37">
        <f ca="1">IF(Y$7&lt;YEAR(Startops1),0,HLOOKUP(Y$7,CF_Table,CF!$AB$32))</f>
        <v>809.02886181638485</v>
      </c>
      <c r="Z70" s="37">
        <f ca="1">IF(Z$7&lt;YEAR(Startops1),0,HLOOKUP(Z$7,CF_Table,CF!$AB$32))</f>
        <v>873.82942679271696</v>
      </c>
      <c r="AA70" s="37">
        <f ca="1">IF(AA$7&lt;YEAR(Startops1),0,HLOOKUP(AA$7,CF_Table,CF!$AB$32))</f>
        <v>383.53911450501192</v>
      </c>
      <c r="AB70" s="37">
        <f ca="1">IF(AB$7&lt;YEAR(Startops1),0,HLOOKUP(AB$7,CF_Table,CF!$AB$32))</f>
        <v>0</v>
      </c>
      <c r="AC70" s="37">
        <f ca="1">IF(AC$7&lt;YEAR(Startops1),0,HLOOKUP(AC$7,CF_Table,CF!$AB$32))</f>
        <v>0</v>
      </c>
      <c r="AD70" s="435">
        <f t="shared" ca="1" si="19"/>
        <v>11104.718891869794</v>
      </c>
    </row>
    <row r="71" spans="1:30">
      <c r="A71" s="20"/>
      <c r="B71" s="15" t="s">
        <v>410</v>
      </c>
      <c r="F71" s="15"/>
      <c r="G71" s="37">
        <f ca="1">IF(G$7&lt;YEAR(Startops1),0,HLOOKUP(G$7,CF_Table,CF!$AB$37))</f>
        <v>0</v>
      </c>
      <c r="H71" s="37">
        <f ca="1">IF(H$7&lt;YEAR(Startops1),0,HLOOKUP(H$7,CF_Table,CF!$AB$37))</f>
        <v>0</v>
      </c>
      <c r="I71" s="37">
        <f ca="1">IF(I$7&lt;YEAR(Startops1),0,HLOOKUP(I$7,CF_Table,CF!$AB$37))</f>
        <v>-82.5</v>
      </c>
      <c r="J71" s="37">
        <f ca="1">IF(J$7&lt;YEAR(Startops1),0,HLOOKUP(J$7,CF_Table,CF!$AB$37))</f>
        <v>-110</v>
      </c>
      <c r="K71" s="37">
        <f ca="1">IF(K$7&lt;YEAR(Startops1),0,HLOOKUP(K$7,CF_Table,CF!$AB$37))</f>
        <v>-110</v>
      </c>
      <c r="L71" s="37">
        <f ca="1">IF(L$7&lt;YEAR(Startops1),0,HLOOKUP(L$7,CF_Table,CF!$AB$37))</f>
        <v>-110</v>
      </c>
      <c r="M71" s="37">
        <f ca="1">IF(M$7&lt;YEAR(Startops1),0,HLOOKUP(M$7,CF_Table,CF!$AB$37))</f>
        <v>-110</v>
      </c>
      <c r="N71" s="37">
        <f ca="1">IF(N$7&lt;YEAR(Startops1),0,HLOOKUP(N$7,CF_Table,CF!$AB$37))</f>
        <v>-110</v>
      </c>
      <c r="O71" s="37">
        <f ca="1">IF(O$7&lt;YEAR(Startops1),0,HLOOKUP(O$7,CF_Table,CF!$AB$37))</f>
        <v>-110</v>
      </c>
      <c r="P71" s="37">
        <f ca="1">IF(P$7&lt;YEAR(Startops1),0,HLOOKUP(P$7,CF_Table,CF!$AB$37))</f>
        <v>-110</v>
      </c>
      <c r="Q71" s="37">
        <f ca="1">IF(Q$7&lt;YEAR(Startops1),0,HLOOKUP(Q$7,CF_Table,CF!$AB$37))</f>
        <v>-110</v>
      </c>
      <c r="R71" s="37">
        <f ca="1">IF(R$7&lt;YEAR(Startops1),0,HLOOKUP(R$7,CF_Table,CF!$AB$37))</f>
        <v>-110</v>
      </c>
      <c r="S71" s="37">
        <f ca="1">IF(S$7&lt;YEAR(Startops1),0,HLOOKUP(S$7,CF_Table,CF!$AB$37))</f>
        <v>-110</v>
      </c>
      <c r="T71" s="37">
        <f ca="1">IF(T$7&lt;YEAR(Startops1),0,HLOOKUP(T$7,CF_Table,CF!$AB$37))</f>
        <v>-110</v>
      </c>
      <c r="U71" s="37">
        <f ca="1">IF(U$7&lt;YEAR(Startops1),0,HLOOKUP(U$7,CF_Table,CF!$AB$37))</f>
        <v>-110</v>
      </c>
      <c r="V71" s="37">
        <f ca="1">IF(V$7&lt;YEAR(Startops1),0,HLOOKUP(V$7,CF_Table,CF!$AB$37))</f>
        <v>-110</v>
      </c>
      <c r="W71" s="37">
        <f ca="1">IF(W$7&lt;YEAR(Startops1),0,HLOOKUP(W$7,CF_Table,CF!$AB$37))</f>
        <v>-110</v>
      </c>
      <c r="X71" s="37">
        <f ca="1">IF(X$7&lt;YEAR(Startops1),0,HLOOKUP(X$7,CF_Table,CF!$AB$37))</f>
        <v>-110</v>
      </c>
      <c r="Y71" s="37">
        <f ca="1">IF(Y$7&lt;YEAR(Startops1),0,HLOOKUP(Y$7,CF_Table,CF!$AB$37))</f>
        <v>-110</v>
      </c>
      <c r="Z71" s="37">
        <f ca="1">IF(Z$7&lt;YEAR(Startops1),0,HLOOKUP(Z$7,CF_Table,CF!$AB$37))</f>
        <v>-110</v>
      </c>
      <c r="AA71" s="37">
        <f ca="1">IF(AA$7&lt;YEAR(Startops1),0,HLOOKUP(AA$7,CF_Table,CF!$AB$37))</f>
        <v>-110</v>
      </c>
      <c r="AB71" s="37">
        <f ca="1">IF(AB$7&lt;YEAR(Startops1),0,HLOOKUP(AB$7,CF_Table,CF!$AB$37))</f>
        <v>-110</v>
      </c>
      <c r="AC71" s="37">
        <f ca="1">IF(AC$7&lt;YEAR(Startops1),0,HLOOKUP(AC$7,CF_Table,CF!$AB$37))</f>
        <v>-36.666666666666664</v>
      </c>
      <c r="AD71" s="435">
        <f t="shared" ca="1" si="19"/>
        <v>-2209.1666666666665</v>
      </c>
    </row>
    <row r="72" spans="1:30">
      <c r="A72" s="20"/>
      <c r="B72" s="15" t="s">
        <v>1118</v>
      </c>
      <c r="F72" s="15"/>
      <c r="G72" s="142">
        <f ca="1">IF(G$7&lt;YEAR(Startops1),0,HLOOKUP(G$7,CF_Table,CF!$AB$66))</f>
        <v>0</v>
      </c>
      <c r="H72" s="142">
        <f ca="1">IF(H$7&lt;YEAR(Startops1),0,HLOOKUP(H$7,CF_Table,CF!$AB$66))</f>
        <v>0</v>
      </c>
      <c r="I72" s="142">
        <f ca="1">IF(I$7&lt;YEAR(Startops1),0,HLOOKUP(I$7,CF_Table,CF!$AB$66))</f>
        <v>-93.824260089390435</v>
      </c>
      <c r="J72" s="142">
        <f ca="1">IF(J$7&lt;YEAR(Startops1),0,HLOOKUP(J$7,CF_Table,CF!$AB$66))</f>
        <v>-475.40832983642508</v>
      </c>
      <c r="K72" s="142">
        <f ca="1">IF(K$7&lt;YEAR(Startops1),0,HLOOKUP(K$7,CF_Table,CF!$AB$66))</f>
        <v>0</v>
      </c>
      <c r="L72" s="142">
        <f ca="1">IF(L$7&lt;YEAR(Startops1),0,HLOOKUP(L$7,CF_Table,CF!$AB$66))</f>
        <v>0</v>
      </c>
      <c r="M72" s="142">
        <f ca="1">IF(M$7&lt;YEAR(Startops1),0,HLOOKUP(M$7,CF_Table,CF!$AB$66))</f>
        <v>-28.190186594245574</v>
      </c>
      <c r="N72" s="142">
        <f ca="1">IF(N$7&lt;YEAR(Startops1),0,HLOOKUP(N$7,CF_Table,CF!$AB$66))</f>
        <v>0</v>
      </c>
      <c r="O72" s="142">
        <f ca="1">IF(O$7&lt;YEAR(Startops1),0,HLOOKUP(O$7,CF_Table,CF!$AB$66))</f>
        <v>-652.80393976146297</v>
      </c>
      <c r="P72" s="142">
        <f ca="1">IF(P$7&lt;YEAR(Startops1),0,HLOOKUP(P$7,CF_Table,CF!$AB$66))</f>
        <v>-545.88848847571899</v>
      </c>
      <c r="Q72" s="142">
        <f ca="1">IF(Q$7&lt;YEAR(Startops1),0,HLOOKUP(Q$7,CF_Table,CF!$AB$66))</f>
        <v>-1647.3848057183986</v>
      </c>
      <c r="R72" s="142">
        <f ca="1">IF(R$7&lt;YEAR(Startops1),0,HLOOKUP(R$7,CF_Table,CF!$AB$66))</f>
        <v>-1547.0298040823643</v>
      </c>
      <c r="S72" s="142">
        <f ca="1">IF(S$7&lt;YEAR(Startops1),0,HLOOKUP(S$7,CF_Table,CF!$AB$66))</f>
        <v>-325.29274891530639</v>
      </c>
      <c r="T72" s="142">
        <f ca="1">IF(T$7&lt;YEAR(Startops1),0,HLOOKUP(T$7,CF_Table,CF!$AB$66))</f>
        <v>-751.37555318416423</v>
      </c>
      <c r="U72" s="142">
        <f ca="1">IF(U$7&lt;YEAR(Startops1),0,HLOOKUP(U$7,CF_Table,CF!$AB$66))</f>
        <v>-4540.7427212411676</v>
      </c>
      <c r="V72" s="142">
        <f ca="1">IF(V$7&lt;YEAR(Startops1),0,HLOOKUP(V$7,CF_Table,CF!$AB$66))</f>
        <v>-3751.3142819057398</v>
      </c>
      <c r="W72" s="142">
        <f ca="1">IF(W$7&lt;YEAR(Startops1),0,HLOOKUP(W$7,CF_Table,CF!$AB$66))</f>
        <v>0</v>
      </c>
      <c r="X72" s="142">
        <f ca="1">IF(X$7&lt;YEAR(Startops1),0,HLOOKUP(X$7,CF_Table,CF!$AB$66))</f>
        <v>-2407.4435722135208</v>
      </c>
      <c r="Y72" s="142">
        <f ca="1">IF(Y$7&lt;YEAR(Startops1),0,HLOOKUP(Y$7,CF_Table,CF!$AB$66))</f>
        <v>0</v>
      </c>
      <c r="Z72" s="142">
        <f ca="1">IF(Z$7&lt;YEAR(Startops1),0,HLOOKUP(Z$7,CF_Table,CF!$AB$66))</f>
        <v>0</v>
      </c>
      <c r="AA72" s="142">
        <f ca="1">IF(AA$7&lt;YEAR(Startops1),0,HLOOKUP(AA$7,CF_Table,CF!$AB$66))</f>
        <v>0</v>
      </c>
      <c r="AB72" s="142">
        <f ca="1">IF(AB$7&lt;YEAR(Startops1),0,HLOOKUP(AB$7,CF_Table,CF!$AB$66))</f>
        <v>0</v>
      </c>
      <c r="AC72" s="142">
        <f ca="1">IF(AC$7&lt;YEAR(Startops1),0,HLOOKUP(AC$7,CF_Table,CF!$AB$66))</f>
        <v>0</v>
      </c>
      <c r="AD72" s="436">
        <f t="shared" ca="1" si="19"/>
        <v>-16766.698692017904</v>
      </c>
    </row>
    <row r="73" spans="1:30">
      <c r="A73" s="20"/>
      <c r="C73" s="15" t="s">
        <v>1196</v>
      </c>
      <c r="F73" s="15"/>
      <c r="G73" s="37">
        <f ca="1">SUM(G66:G72)</f>
        <v>0</v>
      </c>
      <c r="H73" s="37">
        <f t="shared" ref="H73:AC73" ca="1" si="22">SUM(H66:H72)</f>
        <v>0</v>
      </c>
      <c r="I73" s="37">
        <f t="shared" ca="1" si="22"/>
        <v>-1744.1330752796935</v>
      </c>
      <c r="J73" s="37">
        <f t="shared" ca="1" si="22"/>
        <v>3756.6655357862574</v>
      </c>
      <c r="K73" s="37">
        <f t="shared" ca="1" si="22"/>
        <v>29649.05201982355</v>
      </c>
      <c r="L73" s="37">
        <f t="shared" ca="1" si="22"/>
        <v>42816.922172658044</v>
      </c>
      <c r="M73" s="37">
        <f t="shared" ca="1" si="22"/>
        <v>46960.371164615717</v>
      </c>
      <c r="N73" s="37">
        <f t="shared" ca="1" si="22"/>
        <v>50155.056688392135</v>
      </c>
      <c r="O73" s="37">
        <f t="shared" ca="1" si="22"/>
        <v>50820.091294285463</v>
      </c>
      <c r="P73" s="37">
        <f t="shared" ca="1" si="22"/>
        <v>51345.645624693861</v>
      </c>
      <c r="Q73" s="37">
        <f t="shared" ca="1" si="22"/>
        <v>47507.272591934998</v>
      </c>
      <c r="R73" s="37">
        <f t="shared" ca="1" si="22"/>
        <v>43648.928883758344</v>
      </c>
      <c r="S73" s="37">
        <f t="shared" ca="1" si="22"/>
        <v>43657.557069481649</v>
      </c>
      <c r="T73" s="37">
        <f t="shared" ca="1" si="22"/>
        <v>43819.089270243596</v>
      </c>
      <c r="U73" s="37">
        <f t="shared" ca="1" si="22"/>
        <v>38750.315763148232</v>
      </c>
      <c r="V73" s="37">
        <f t="shared" ca="1" si="22"/>
        <v>32359.054315517278</v>
      </c>
      <c r="W73" s="37">
        <f t="shared" ca="1" si="22"/>
        <v>39179.220701507948</v>
      </c>
      <c r="X73" s="37">
        <f t="shared" ca="1" si="22"/>
        <v>23905.12949710041</v>
      </c>
      <c r="Y73" s="37">
        <f t="shared" ca="1" si="22"/>
        <v>10230.562736609189</v>
      </c>
      <c r="Z73" s="37">
        <f t="shared" ca="1" si="22"/>
        <v>5297.8963323427643</v>
      </c>
      <c r="AA73" s="37">
        <f t="shared" ca="1" si="22"/>
        <v>3697.3476325043771</v>
      </c>
      <c r="AB73" s="37">
        <f t="shared" ca="1" si="22"/>
        <v>4997.543604677805</v>
      </c>
      <c r="AC73" s="37">
        <f t="shared" ca="1" si="22"/>
        <v>671.32693499762297</v>
      </c>
      <c r="AD73" s="435">
        <f t="shared" ca="1" si="19"/>
        <v>611480.91675879946</v>
      </c>
    </row>
    <row r="74" spans="1:30">
      <c r="A74" s="20"/>
      <c r="F74" s="1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431"/>
    </row>
    <row r="75" spans="1:30">
      <c r="A75" s="128" t="s">
        <v>1198</v>
      </c>
      <c r="F75" s="1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431"/>
    </row>
    <row r="76" spans="1:30">
      <c r="A76" s="20"/>
      <c r="B76" s="15" t="s">
        <v>217</v>
      </c>
      <c r="F76" s="15"/>
      <c r="G76" s="37">
        <f ca="1">(HLOOKUP(DATE(G$7,12,31),Idc_Table,IDC!$BB$72)+HLOOKUP(DATE(G$7,12,31),Idc_Table,IDC!$BB$84))-SUM($F76:F76)</f>
        <v>7598.2078853046587</v>
      </c>
      <c r="H76" s="37">
        <f ca="1">(HLOOKUP(DATE(H$7,12,31),Idc_Table,IDC!$BB$72)+HLOOKUP(DATE(H$7,12,31),Idc_Table,IDC!$BB$84))-SUM($F76:G76)</f>
        <v>85195.362319614433</v>
      </c>
      <c r="I76" s="37">
        <f ca="1">(HLOOKUP(DATE(I$7,12,31),Idc_Table,IDC!$BB$72)+HLOOKUP(DATE(I$7,12,31),Idc_Table,IDC!$BB$84))-SUM($F76:H76)</f>
        <v>0</v>
      </c>
      <c r="J76" s="37">
        <f ca="1">(HLOOKUP(DATE(J$7,12,31),Idc_Table,IDC!$BB$72)+HLOOKUP(DATE(J$7,12,31),Idc_Table,IDC!$BB$84))-SUM($F76:I76)</f>
        <v>0</v>
      </c>
      <c r="K76" s="37">
        <f ca="1">(HLOOKUP(DATE(K$7,12,31),Idc_Table,IDC!$BB$72)+HLOOKUP(DATE(K$7,12,31),Idc_Table,IDC!$BB$84))-SUM($F76:J76)</f>
        <v>0</v>
      </c>
      <c r="L76" s="37">
        <f ca="1">(HLOOKUP(DATE(L$7,12,31),Idc_Table,IDC!$BB$72)+HLOOKUP(DATE(L$7,12,31),Idc_Table,IDC!$BB$84))-SUM($F76:K76)</f>
        <v>0</v>
      </c>
      <c r="M76" s="37">
        <f ca="1">(HLOOKUP(DATE(M$7,12,31),Idc_Table,IDC!$BB$72)+HLOOKUP(DATE(M$7,12,31),Idc_Table,IDC!$BB$84))-SUM($F76:L76)</f>
        <v>0</v>
      </c>
      <c r="N76" s="37">
        <f ca="1">(HLOOKUP(DATE(N$7,12,31),Idc_Table,IDC!$BB$72)+HLOOKUP(DATE(N$7,12,31),Idc_Table,IDC!$BB$84))-SUM($F76:M76)</f>
        <v>0</v>
      </c>
      <c r="O76" s="37">
        <f ca="1">(HLOOKUP(DATE(O$7,12,31),Idc_Table,IDC!$BB$72)+HLOOKUP(DATE(O$7,12,31),Idc_Table,IDC!$BB$84))-SUM($F76:N76)</f>
        <v>0</v>
      </c>
      <c r="P76" s="37">
        <f ca="1">(HLOOKUP(DATE(P$7,12,31),Idc_Table,IDC!$BB$72)+HLOOKUP(DATE(P$7,12,31),Idc_Table,IDC!$BB$84))-SUM($F76:O76)</f>
        <v>0</v>
      </c>
      <c r="Q76" s="37">
        <f ca="1">(HLOOKUP(DATE(Q$7,12,31),Idc_Table,IDC!$BB$72)+HLOOKUP(DATE(Q$7,12,31),Idc_Table,IDC!$BB$84))-SUM($F76:P76)</f>
        <v>0</v>
      </c>
      <c r="R76" s="37">
        <f ca="1">(HLOOKUP(DATE(R$7,12,31),Idc_Table,IDC!$BB$72)+HLOOKUP(DATE(R$7,12,31),Idc_Table,IDC!$BB$84))-SUM($F76:Q76)</f>
        <v>0</v>
      </c>
      <c r="S76" s="37">
        <f ca="1">(HLOOKUP(DATE(S$7,12,31),Idc_Table,IDC!$BB$72)+HLOOKUP(DATE(S$7,12,31),Idc_Table,IDC!$BB$84))-SUM($F76:R76)</f>
        <v>0</v>
      </c>
      <c r="T76" s="37">
        <f ca="1">(HLOOKUP(DATE(T$7,12,31),Idc_Table,IDC!$BB$72)+HLOOKUP(DATE(T$7,12,31),Idc_Table,IDC!$BB$84))-SUM($F76:S76)</f>
        <v>0</v>
      </c>
      <c r="U76" s="37">
        <f ca="1">(HLOOKUP(DATE(U$7,12,31),Idc_Table,IDC!$BB$72)+HLOOKUP(DATE(U$7,12,31),Idc_Table,IDC!$BB$84))-SUM($F76:T76)</f>
        <v>0</v>
      </c>
      <c r="V76" s="37">
        <f ca="1">(HLOOKUP(DATE(V$7,12,31),Idc_Table,IDC!$BB$72)+HLOOKUP(DATE(V$7,12,31),Idc_Table,IDC!$BB$84))-SUM($F76:U76)</f>
        <v>0</v>
      </c>
      <c r="W76" s="37">
        <f ca="1">(HLOOKUP(DATE(W$7,12,31),Idc_Table,IDC!$BB$72)+HLOOKUP(DATE(W$7,12,31),Idc_Table,IDC!$BB$84))-SUM($F76:V76)</f>
        <v>0</v>
      </c>
      <c r="X76" s="37">
        <f ca="1">(HLOOKUP(DATE(X$7,12,31),Idc_Table,IDC!$BB$72)+HLOOKUP(DATE(X$7,12,31),Idc_Table,IDC!$BB$84))-SUM($F76:W76)</f>
        <v>0</v>
      </c>
      <c r="Y76" s="37">
        <f ca="1">(HLOOKUP(DATE(Y$7,12,31),Idc_Table,IDC!$BB$72)+HLOOKUP(DATE(Y$7,12,31),Idc_Table,IDC!$BB$84))-SUM($F76:X76)</f>
        <v>0</v>
      </c>
      <c r="Z76" s="37">
        <f ca="1">(HLOOKUP(DATE(Z$7,12,31),Idc_Table,IDC!$BB$72)+HLOOKUP(DATE(Z$7,12,31),Idc_Table,IDC!$BB$84))-SUM($F76:Y76)</f>
        <v>0</v>
      </c>
      <c r="AA76" s="37">
        <f ca="1">(HLOOKUP(DATE(AA$7,12,31),Idc_Table,IDC!$BB$72)+HLOOKUP(DATE(AA$7,12,31),Idc_Table,IDC!$BB$84))-SUM($F76:Z76)</f>
        <v>0</v>
      </c>
      <c r="AB76" s="37">
        <f ca="1">(HLOOKUP(DATE(AB$7,12,31),Idc_Table,IDC!$BB$72)+HLOOKUP(DATE(AB$7,12,31),Idc_Table,IDC!$BB$84))-SUM($F76:AA76)</f>
        <v>0</v>
      </c>
      <c r="AC76" s="37">
        <f ca="1">(HLOOKUP(DATE(AC$7,12,31),Idc_Table,IDC!$BB$72)+HLOOKUP(DATE(AC$7,12,31),Idc_Table,IDC!$BB$84))-SUM($F76:AB76)</f>
        <v>0</v>
      </c>
      <c r="AD76" s="435">
        <f t="shared" ref="AD76:AD100" ca="1" si="23">SUM(G76:AC76)</f>
        <v>92793.570204919088</v>
      </c>
    </row>
    <row r="77" spans="1:30">
      <c r="A77" s="20"/>
      <c r="B77" s="15" t="s">
        <v>121</v>
      </c>
      <c r="F77" s="65"/>
      <c r="G77" s="37">
        <f ca="1">HLOOKUP(DATE(G$7,12,31),Idc_Table,IDC!$BB$92)-SUM($F77:F77)</f>
        <v>0</v>
      </c>
      <c r="H77" s="37">
        <f ca="1">HLOOKUP(DATE(H$7,12,31),Idc_Table,IDC!$BB$92)-SUM($F77:G77)</f>
        <v>26487.60341675716</v>
      </c>
      <c r="I77" s="37">
        <f ca="1">HLOOKUP(DATE(I$7,12,31),Idc_Table,IDC!$BB$92)-SUM($F77:H77)</f>
        <v>59394.999776299723</v>
      </c>
      <c r="J77" s="37">
        <f ca="1">HLOOKUP(DATE(J$7,12,31),Idc_Table,IDC!$BB$92)-SUM($F77:I77)</f>
        <v>44565.86586793758</v>
      </c>
      <c r="K77" s="37">
        <f ca="1">HLOOKUP(DATE(K$7,12,31),Idc_Table,IDC!$BB$92)-SUM($F77:J77)</f>
        <v>0</v>
      </c>
      <c r="L77" s="37">
        <f ca="1">HLOOKUP(DATE(L$7,12,31),Idc_Table,IDC!$BB$92)-SUM($F77:K77)</f>
        <v>0</v>
      </c>
      <c r="M77" s="37">
        <f ca="1">HLOOKUP(DATE(M$7,12,31),Idc_Table,IDC!$BB$92)-SUM($F77:L77)</f>
        <v>0</v>
      </c>
      <c r="N77" s="37">
        <f ca="1">HLOOKUP(DATE(N$7,12,31),Idc_Table,IDC!$BB$92)-SUM($F77:M77)</f>
        <v>0</v>
      </c>
      <c r="O77" s="37">
        <f ca="1">HLOOKUP(DATE(O$7,12,31),Idc_Table,IDC!$BB$92)-SUM($F77:N77)</f>
        <v>0</v>
      </c>
      <c r="P77" s="37">
        <f ca="1">HLOOKUP(DATE(P$7,12,31),Idc_Table,IDC!$BB$92)-SUM($F77:O77)</f>
        <v>0</v>
      </c>
      <c r="Q77" s="37">
        <f ca="1">HLOOKUP(DATE(Q$7,12,31),Idc_Table,IDC!$BB$92)-SUM($F77:P77)</f>
        <v>0</v>
      </c>
      <c r="R77" s="37">
        <f ca="1">HLOOKUP(DATE(R$7,12,31),Idc_Table,IDC!$BB$92)-SUM($F77:Q77)</f>
        <v>0</v>
      </c>
      <c r="S77" s="37">
        <f ca="1">HLOOKUP(DATE(S$7,12,31),Idc_Table,IDC!$BB$92)-SUM($F77:R77)</f>
        <v>0</v>
      </c>
      <c r="T77" s="37">
        <f ca="1">HLOOKUP(DATE(T$7,12,31),Idc_Table,IDC!$BB$92)-SUM($F77:S77)</f>
        <v>0</v>
      </c>
      <c r="U77" s="37">
        <f ca="1">HLOOKUP(DATE(U$7,12,31),Idc_Table,IDC!$BB$92)-SUM($F77:T77)</f>
        <v>0</v>
      </c>
      <c r="V77" s="37">
        <f ca="1">HLOOKUP(DATE(V$7,12,31),Idc_Table,IDC!$BB$92)-SUM($F77:U77)</f>
        <v>0</v>
      </c>
      <c r="W77" s="37">
        <f ca="1">HLOOKUP(DATE(W$7,12,31),Idc_Table,IDC!$BB$92)-SUM($F77:V77)</f>
        <v>0</v>
      </c>
      <c r="X77" s="37">
        <f ca="1">HLOOKUP(DATE(X$7,12,31),Idc_Table,IDC!$BB$92)-SUM($F77:W77)</f>
        <v>0</v>
      </c>
      <c r="Y77" s="37">
        <f ca="1">HLOOKUP(DATE(Y$7,12,31),Idc_Table,IDC!$BB$92)-SUM($F77:X77)</f>
        <v>0</v>
      </c>
      <c r="Z77" s="37">
        <f ca="1">HLOOKUP(DATE(Z$7,12,31),Idc_Table,IDC!$BB$92)-SUM($F77:Y77)</f>
        <v>0</v>
      </c>
      <c r="AA77" s="37">
        <f ca="1">HLOOKUP(DATE(AA$7,12,31),Idc_Table,IDC!$BB$92)-SUM($F77:Z77)</f>
        <v>0</v>
      </c>
      <c r="AB77" s="37">
        <f ca="1">HLOOKUP(DATE(AB$7,12,31),Idc_Table,IDC!$BB$92)-SUM($F77:AA77)</f>
        <v>0</v>
      </c>
      <c r="AC77" s="37">
        <f ca="1">HLOOKUP(DATE(AC$7,12,31),Idc_Table,IDC!$BB$92)-SUM($F77:AB77)</f>
        <v>0</v>
      </c>
      <c r="AD77" s="435">
        <f ca="1">SUM(G77:AC77)</f>
        <v>130448.46906099447</v>
      </c>
    </row>
    <row r="78" spans="1:30">
      <c r="A78" s="20"/>
      <c r="B78" s="15" t="s">
        <v>122</v>
      </c>
      <c r="F78" s="15"/>
      <c r="G78" s="37">
        <f ca="1">IF(G$64=YEAR(Fin_Close),-SUM($F77:G77),0)</f>
        <v>0</v>
      </c>
      <c r="H78" s="37">
        <f ca="1">IF(H$64=YEAR(Fin_Close),-SUM($F77:H77),0)</f>
        <v>0</v>
      </c>
      <c r="I78" s="37">
        <f ca="1">IF(I$64=YEAR(Fin_Close),-SUM($F77:I77),0)</f>
        <v>0</v>
      </c>
      <c r="J78" s="37">
        <f ca="1">IF(J$64=YEAR(Fin_Close),-SUM($F77:J77),0)</f>
        <v>-130448.46906099447</v>
      </c>
      <c r="K78" s="37">
        <f ca="1">IF(K$64=YEAR(Fin_Close),-SUM($F77:K77),0)</f>
        <v>0</v>
      </c>
      <c r="L78" s="37">
        <f ca="1">IF(L$64=YEAR(Fin_Close),-SUM($F77:L77),0)</f>
        <v>0</v>
      </c>
      <c r="M78" s="37">
        <f ca="1">IF(M$64=YEAR(Fin_Close),-SUM($F77:M77),0)</f>
        <v>0</v>
      </c>
      <c r="N78" s="37">
        <f ca="1">IF(N$64=YEAR(Fin_Close),-SUM($F77:N77),0)</f>
        <v>0</v>
      </c>
      <c r="O78" s="37">
        <f ca="1">IF(O$64=YEAR(Fin_Close),-SUM($F77:O77),0)</f>
        <v>0</v>
      </c>
      <c r="P78" s="37">
        <f ca="1">IF(P$64=YEAR(Fin_Close),-SUM($F77:P77),0)</f>
        <v>0</v>
      </c>
      <c r="Q78" s="37">
        <f ca="1">IF(Q$64=YEAR(Fin_Close),-SUM($F77:Q77),0)</f>
        <v>0</v>
      </c>
      <c r="R78" s="37">
        <f ca="1">IF(R$64=YEAR(Fin_Close),-SUM($F77:R77),0)</f>
        <v>0</v>
      </c>
      <c r="S78" s="37">
        <f ca="1">IF(S$64=YEAR(Fin_Close),-SUM($F77:S77),0)</f>
        <v>0</v>
      </c>
      <c r="T78" s="37">
        <f ca="1">IF(T$64=YEAR(Fin_Close),-SUM($F77:T77),0)</f>
        <v>0</v>
      </c>
      <c r="U78" s="37">
        <f ca="1">IF(U$64=YEAR(Fin_Close),-SUM($F77:U77),0)</f>
        <v>0</v>
      </c>
      <c r="V78" s="37">
        <f ca="1">IF(V$64=YEAR(Fin_Close),-SUM($F77:V77),0)</f>
        <v>0</v>
      </c>
      <c r="W78" s="37">
        <f ca="1">IF(W$64=YEAR(Fin_Close),-SUM($F77:W77),0)</f>
        <v>0</v>
      </c>
      <c r="X78" s="37">
        <f ca="1">IF(X$64=YEAR(Fin_Close),-SUM($F77:X77),0)</f>
        <v>0</v>
      </c>
      <c r="Y78" s="37">
        <f ca="1">IF(Y$64=YEAR(Fin_Close),-SUM($F77:Y77),0)</f>
        <v>0</v>
      </c>
      <c r="Z78" s="37">
        <f ca="1">IF(Z$64=YEAR(Fin_Close),-SUM($F77:Z77),0)</f>
        <v>0</v>
      </c>
      <c r="AA78" s="37">
        <f ca="1">IF(AA$64=YEAR(Fin_Close),-SUM($F77:AA77),0)</f>
        <v>0</v>
      </c>
      <c r="AB78" s="37">
        <f ca="1">IF(AB$64=YEAR(Fin_Close),-SUM($F77:AB77),0)</f>
        <v>0</v>
      </c>
      <c r="AC78" s="37">
        <f ca="1">IF(AC$64=YEAR(Fin_Close),-SUM($F77:AC77),0)</f>
        <v>0</v>
      </c>
      <c r="AD78" s="435">
        <f ca="1">SUM(G78:AC78)</f>
        <v>-130448.46906099447</v>
      </c>
    </row>
    <row r="79" spans="1:30">
      <c r="A79" s="20"/>
      <c r="B79" s="15" t="s">
        <v>136</v>
      </c>
      <c r="F79" s="65"/>
      <c r="G79" s="37">
        <f ca="1">HLOOKUP(DATE(G$7,12,31),Idc_Table,IDC!$BB$40)-SUM($F79:F79)</f>
        <v>0</v>
      </c>
      <c r="H79" s="37">
        <f ca="1">HLOOKUP(DATE(H$7,12,31),Idc_Table,IDC!$BB$40)-SUM($F79:G79)</f>
        <v>0</v>
      </c>
      <c r="I79" s="37">
        <f ca="1">HLOOKUP(DATE(I$7,12,31),Idc_Table,IDC!$BB$40)-SUM($F79:H79)</f>
        <v>0</v>
      </c>
      <c r="J79" s="37">
        <f ca="1">HLOOKUP(DATE(J$7,12,31),Idc_Table,IDC!$BB$40)-SUM($F79:I79)</f>
        <v>151241.60497565332</v>
      </c>
      <c r="K79" s="37">
        <f ca="1">HLOOKUP(DATE(K$7,12,31),Idc_Table,IDC!$BB$40)-SUM($F79:J79)</f>
        <v>50109.514935404964</v>
      </c>
      <c r="L79" s="37">
        <f ca="1">HLOOKUP(DATE(L$7,12,31),Idc_Table,IDC!$BB$40)-SUM($F79:K79)</f>
        <v>0</v>
      </c>
      <c r="M79" s="37">
        <f ca="1">HLOOKUP(DATE(M$7,12,31),Idc_Table,IDC!$BB$40)-SUM($F79:L79)</f>
        <v>0</v>
      </c>
      <c r="N79" s="37">
        <f ca="1">HLOOKUP(DATE(N$7,12,31),Idc_Table,IDC!$BB$40)-SUM($F79:M79)</f>
        <v>0</v>
      </c>
      <c r="O79" s="37">
        <f ca="1">HLOOKUP(DATE(O$7,12,31),Idc_Table,IDC!$BB$40)-SUM($F79:N79)</f>
        <v>0</v>
      </c>
      <c r="P79" s="37">
        <f ca="1">HLOOKUP(DATE(P$7,12,31),Idc_Table,IDC!$BB$40)-SUM($F79:O79)</f>
        <v>0</v>
      </c>
      <c r="Q79" s="37">
        <f ca="1">HLOOKUP(DATE(Q$7,12,31),Idc_Table,IDC!$BB$40)-SUM($F79:P79)</f>
        <v>0</v>
      </c>
      <c r="R79" s="37">
        <f ca="1">HLOOKUP(DATE(R$7,12,31),Idc_Table,IDC!$BB$40)-SUM($F79:Q79)</f>
        <v>0</v>
      </c>
      <c r="S79" s="37">
        <f ca="1">HLOOKUP(DATE(S$7,12,31),Idc_Table,IDC!$BB$40)-SUM($F79:R79)</f>
        <v>0</v>
      </c>
      <c r="T79" s="37">
        <f ca="1">HLOOKUP(DATE(T$7,12,31),Idc_Table,IDC!$BB$40)-SUM($F79:S79)</f>
        <v>0</v>
      </c>
      <c r="U79" s="37">
        <f ca="1">HLOOKUP(DATE(U$7,12,31),Idc_Table,IDC!$BB$40)-SUM($F79:T79)</f>
        <v>0</v>
      </c>
      <c r="V79" s="37">
        <f ca="1">HLOOKUP(DATE(V$7,12,31),Idc_Table,IDC!$BB$40)-SUM($F79:U79)</f>
        <v>0</v>
      </c>
      <c r="W79" s="37">
        <f ca="1">HLOOKUP(DATE(W$7,12,31),Idc_Table,IDC!$BB$40)-SUM($F79:V79)</f>
        <v>0</v>
      </c>
      <c r="X79" s="37">
        <f ca="1">HLOOKUP(DATE(X$7,12,31),Idc_Table,IDC!$BB$40)-SUM($F79:W79)</f>
        <v>0</v>
      </c>
      <c r="Y79" s="37">
        <f ca="1">HLOOKUP(DATE(Y$7,12,31),Idc_Table,IDC!$BB$40)-SUM($F79:X79)</f>
        <v>0</v>
      </c>
      <c r="Z79" s="37">
        <f ca="1">HLOOKUP(DATE(Z$7,12,31),Idc_Table,IDC!$BB$40)-SUM($F79:Y79)</f>
        <v>0</v>
      </c>
      <c r="AA79" s="37">
        <f ca="1">HLOOKUP(DATE(AA$7,12,31),Idc_Table,IDC!$BB$40)-SUM($F79:Z79)</f>
        <v>0</v>
      </c>
      <c r="AB79" s="37">
        <f ca="1">HLOOKUP(DATE(AB$7,12,31),Idc_Table,IDC!$BB$40)-SUM($F79:AA79)</f>
        <v>0</v>
      </c>
      <c r="AC79" s="37">
        <f ca="1">HLOOKUP(DATE(AC$7,12,31),Idc_Table,IDC!$BB$40)-SUM($F79:AB79)</f>
        <v>0</v>
      </c>
      <c r="AD79" s="435">
        <f t="shared" ca="1" si="23"/>
        <v>201351.11991105828</v>
      </c>
    </row>
    <row r="80" spans="1:30">
      <c r="A80" s="20"/>
      <c r="B80" s="15" t="s">
        <v>137</v>
      </c>
      <c r="F80" s="15"/>
      <c r="G80" s="37">
        <f ca="1">IF(G$7&lt;YEAR(Startops1),0,HLOOKUP(G$7,CF_Table,CF!$AB$67))</f>
        <v>0</v>
      </c>
      <c r="H80" s="37">
        <f ca="1">IF(H$7&lt;YEAR(Startops1),0,HLOOKUP(H$7,CF_Table,CF!$AB$67))</f>
        <v>0</v>
      </c>
      <c r="I80" s="37">
        <f ca="1">IF(I$7&lt;YEAR(Startops1),0,HLOOKUP(I$7,CF_Table,CF!$AB$67))</f>
        <v>0</v>
      </c>
      <c r="J80" s="37">
        <f ca="1">IF(J$7&lt;YEAR(Startops1),0,HLOOKUP(J$7,CF_Table,CF!$AB$67))</f>
        <v>0</v>
      </c>
      <c r="K80" s="37">
        <f ca="1">IF(K$7&lt;YEAR(Startops1),0,HLOOKUP(K$7,CF_Table,CF!$AB$67))</f>
        <v>0</v>
      </c>
      <c r="L80" s="37">
        <f ca="1">IF(L$7&lt;YEAR(Startops1),0,HLOOKUP(L$7,CF_Table,CF!$AB$67))</f>
        <v>-12154.813826811755</v>
      </c>
      <c r="M80" s="37">
        <f ca="1">IF(M$7&lt;YEAR(Startops1),0,HLOOKUP(M$7,CF_Table,CF!$AB$67))</f>
        <v>-12684.930048533581</v>
      </c>
      <c r="N80" s="37">
        <f ca="1">IF(N$7&lt;YEAR(Startops1),0,HLOOKUP(N$7,CF_Table,CF!$AB$67))</f>
        <v>-14522.375240026344</v>
      </c>
      <c r="O80" s="37">
        <f ca="1">IF(O$7&lt;YEAR(Startops1),0,HLOOKUP(O$7,CF_Table,CF!$AB$67))</f>
        <v>-15403.140421861506</v>
      </c>
      <c r="P80" s="37">
        <f ca="1">IF(P$7&lt;YEAR(Startops1),0,HLOOKUP(P$7,CF_Table,CF!$AB$67))</f>
        <v>-16039.307763743778</v>
      </c>
      <c r="Q80" s="37">
        <f ca="1">IF(Q$7&lt;YEAR(Startops1),0,HLOOKUP(Q$7,CF_Table,CF!$AB$67))</f>
        <v>-16528.870410165604</v>
      </c>
      <c r="R80" s="37">
        <f ca="1">IF(R$7&lt;YEAR(Startops1),0,HLOOKUP(R$7,CF_Table,CF!$AB$67))</f>
        <v>-15799.435242807904</v>
      </c>
      <c r="S80" s="37">
        <f ca="1">IF(S$7&lt;YEAR(Startops1),0,HLOOKUP(S$7,CF_Table,CF!$AB$67))</f>
        <v>-15092.526990459122</v>
      </c>
      <c r="T80" s="37">
        <f ca="1">IF(T$7&lt;YEAR(Startops1),0,HLOOKUP(T$7,CF_Table,CF!$AB$67))</f>
        <v>-15377.222082853108</v>
      </c>
      <c r="U80" s="37">
        <f ca="1">IF(U$7&lt;YEAR(Startops1),0,HLOOKUP(U$7,CF_Table,CF!$AB$67))</f>
        <v>-16172.389922001716</v>
      </c>
      <c r="V80" s="37">
        <f ca="1">IF(V$7&lt;YEAR(Startops1),0,HLOOKUP(V$7,CF_Table,CF!$AB$67))</f>
        <v>-13057.883990961853</v>
      </c>
      <c r="W80" s="37">
        <f ca="1">IF(W$7&lt;YEAR(Startops1),0,HLOOKUP(W$7,CF_Table,CF!$AB$67))</f>
        <v>-13057.883990961853</v>
      </c>
      <c r="X80" s="37">
        <f ca="1">IF(X$7&lt;YEAR(Startops1),0,HLOOKUP(X$7,CF_Table,CF!$AB$67))</f>
        <v>-13166.937350695027</v>
      </c>
      <c r="Y80" s="37">
        <f ca="1">IF(Y$7&lt;YEAR(Startops1),0,HLOOKUP(Y$7,CF_Table,CF!$AB$67))</f>
        <v>-12293.40262917526</v>
      </c>
      <c r="Z80" s="37">
        <f ca="1">IF(Z$7&lt;YEAR(Startops1),0,HLOOKUP(Z$7,CF_Table,CF!$AB$67))</f>
        <v>0</v>
      </c>
      <c r="AA80" s="37">
        <f ca="1">IF(AA$7&lt;YEAR(Startops1),0,HLOOKUP(AA$7,CF_Table,CF!$AB$67))</f>
        <v>0</v>
      </c>
      <c r="AB80" s="37">
        <f ca="1">IF(AB$7&lt;YEAR(Startops1),0,HLOOKUP(AB$7,CF_Table,CF!$AB$67))</f>
        <v>0</v>
      </c>
      <c r="AC80" s="37">
        <f ca="1">IF(AC$7&lt;YEAR(Startops1),0,HLOOKUP(AC$7,CF_Table,CF!$AB$67))</f>
        <v>0</v>
      </c>
      <c r="AD80" s="435">
        <f t="shared" ca="1" si="23"/>
        <v>-201351.1199110584</v>
      </c>
    </row>
    <row r="81" spans="1:30">
      <c r="A81" s="20"/>
      <c r="B81" s="15" t="s">
        <v>146</v>
      </c>
      <c r="F81" s="65"/>
      <c r="G81" s="37">
        <f ca="1">HLOOKUP(DATE(G$7,12,31),Idc_Table,IDC!$BB$49)-SUM($F81:F81)</f>
        <v>0</v>
      </c>
      <c r="H81" s="37">
        <f ca="1">HLOOKUP(DATE(H$7,12,31),Idc_Table,IDC!$BB$49)-SUM($F81:G81)</f>
        <v>0</v>
      </c>
      <c r="I81" s="37">
        <f ca="1">HLOOKUP(DATE(I$7,12,31),Idc_Table,IDC!$BB$49)-SUM($F81:H81)</f>
        <v>0</v>
      </c>
      <c r="J81" s="37">
        <f ca="1">HLOOKUP(DATE(J$7,12,31),Idc_Table,IDC!$BB$49)-SUM($F81:I81)</f>
        <v>37368.759506708469</v>
      </c>
      <c r="K81" s="37">
        <f ca="1">HLOOKUP(DATE(K$7,12,31),Idc_Table,IDC!$BB$49)-SUM($F81:J81)</f>
        <v>12381.053566050199</v>
      </c>
      <c r="L81" s="37">
        <f ca="1">HLOOKUP(DATE(L$7,12,31),Idc_Table,IDC!$BB$49)-SUM($F81:K81)</f>
        <v>0</v>
      </c>
      <c r="M81" s="37">
        <f ca="1">HLOOKUP(DATE(M$7,12,31),Idc_Table,IDC!$BB$49)-SUM($F81:L81)</f>
        <v>0</v>
      </c>
      <c r="N81" s="37">
        <f ca="1">HLOOKUP(DATE(N$7,12,31),Idc_Table,IDC!$BB$49)-SUM($F81:M81)</f>
        <v>0</v>
      </c>
      <c r="O81" s="37">
        <f ca="1">HLOOKUP(DATE(O$7,12,31),Idc_Table,IDC!$BB$49)-SUM($F81:N81)</f>
        <v>0</v>
      </c>
      <c r="P81" s="37">
        <f ca="1">HLOOKUP(DATE(P$7,12,31),Idc_Table,IDC!$BB$49)-SUM($F81:O81)</f>
        <v>0</v>
      </c>
      <c r="Q81" s="37">
        <f ca="1">HLOOKUP(DATE(Q$7,12,31),Idc_Table,IDC!$BB$49)-SUM($F81:P81)</f>
        <v>0</v>
      </c>
      <c r="R81" s="37">
        <f ca="1">HLOOKUP(DATE(R$7,12,31),Idc_Table,IDC!$BB$49)-SUM($F81:Q81)</f>
        <v>0</v>
      </c>
      <c r="S81" s="37">
        <f ca="1">HLOOKUP(DATE(S$7,12,31),Idc_Table,IDC!$BB$49)-SUM($F81:R81)</f>
        <v>0</v>
      </c>
      <c r="T81" s="37">
        <f ca="1">HLOOKUP(DATE(T$7,12,31),Idc_Table,IDC!$BB$49)-SUM($F81:S81)</f>
        <v>0</v>
      </c>
      <c r="U81" s="37">
        <f ca="1">HLOOKUP(DATE(U$7,12,31),Idc_Table,IDC!$BB$49)-SUM($F81:T81)</f>
        <v>0</v>
      </c>
      <c r="V81" s="37">
        <f ca="1">HLOOKUP(DATE(V$7,12,31),Idc_Table,IDC!$BB$49)-SUM($F81:U81)</f>
        <v>0</v>
      </c>
      <c r="W81" s="37">
        <f ca="1">HLOOKUP(DATE(W$7,12,31),Idc_Table,IDC!$BB$49)-SUM($F81:V81)</f>
        <v>0</v>
      </c>
      <c r="X81" s="37">
        <f ca="1">HLOOKUP(DATE(X$7,12,31),Idc_Table,IDC!$BB$49)-SUM($F81:W81)</f>
        <v>0</v>
      </c>
      <c r="Y81" s="37">
        <f ca="1">HLOOKUP(DATE(Y$7,12,31),Idc_Table,IDC!$BB$49)-SUM($F81:X81)</f>
        <v>0</v>
      </c>
      <c r="Z81" s="37">
        <f ca="1">HLOOKUP(DATE(Z$7,12,31),Idc_Table,IDC!$BB$49)-SUM($F81:Y81)</f>
        <v>0</v>
      </c>
      <c r="AA81" s="37">
        <f ca="1">HLOOKUP(DATE(AA$7,12,31),Idc_Table,IDC!$BB$49)-SUM($F81:Z81)</f>
        <v>0</v>
      </c>
      <c r="AB81" s="37">
        <f ca="1">HLOOKUP(DATE(AB$7,12,31),Idc_Table,IDC!$BB$49)-SUM($F81:AA81)</f>
        <v>0</v>
      </c>
      <c r="AC81" s="37">
        <f ca="1">HLOOKUP(DATE(AC$7,12,31),Idc_Table,IDC!$BB$49)-SUM($F81:AB81)</f>
        <v>0</v>
      </c>
      <c r="AD81" s="435">
        <f ca="1">SUM(G81:AC81)</f>
        <v>49749.813072758669</v>
      </c>
    </row>
    <row r="82" spans="1:30">
      <c r="A82" s="20"/>
      <c r="B82" s="15" t="s">
        <v>147</v>
      </c>
      <c r="F82" s="15"/>
      <c r="G82" s="37">
        <f ca="1">IF(G$7&lt;YEAR(Startops1),0,HLOOKUP(G$7,CF_Table,CF!$AB$71))</f>
        <v>0</v>
      </c>
      <c r="H82" s="37">
        <f ca="1">IF(H$7&lt;YEAR(Startops1),0,HLOOKUP(H$7,CF_Table,CF!$AB$71))</f>
        <v>0</v>
      </c>
      <c r="I82" s="37">
        <f ca="1">IF(I$7&lt;YEAR(Startops1),0,HLOOKUP(I$7,CF_Table,CF!$AB$71))</f>
        <v>0</v>
      </c>
      <c r="J82" s="37">
        <f ca="1">IF(J$7&lt;YEAR(Startops1),0,HLOOKUP(J$7,CF_Table,CF!$AB$71))</f>
        <v>0</v>
      </c>
      <c r="K82" s="37">
        <f ca="1">IF(K$7&lt;YEAR(Startops1),0,HLOOKUP(K$7,CF_Table,CF!$AB$71))</f>
        <v>0</v>
      </c>
      <c r="L82" s="37">
        <f ca="1">IF(L$7&lt;YEAR(Startops1),0,HLOOKUP(L$7,CF_Table,CF!$AB$71))</f>
        <v>-2228.4103888757058</v>
      </c>
      <c r="M82" s="37">
        <f ca="1">IF(M$7&lt;YEAR(Startops1),0,HLOOKUP(M$7,CF_Table,CF!$AB$71))</f>
        <v>-2527.5187733225443</v>
      </c>
      <c r="N82" s="37">
        <f ca="1">IF(N$7&lt;YEAR(Startops1),0,HLOOKUP(N$7,CF_Table,CF!$AB$71))</f>
        <v>-2866.7749806717629</v>
      </c>
      <c r="O82" s="37">
        <f ca="1">IF(O$7&lt;YEAR(Startops1),0,HLOOKUP(O$7,CF_Table,CF!$AB$71))</f>
        <v>-3251.5678524524315</v>
      </c>
      <c r="P82" s="37">
        <f ca="1">IF(P$7&lt;YEAR(Startops1),0,HLOOKUP(P$7,CF_Table,CF!$AB$71))</f>
        <v>-3688.0095474478567</v>
      </c>
      <c r="Q82" s="37">
        <f ca="1">IF(Q$7&lt;YEAR(Startops1),0,HLOOKUP(Q$7,CF_Table,CF!$AB$71))</f>
        <v>-4183.0326289540444</v>
      </c>
      <c r="R82" s="37">
        <f ca="1">IF(R$7&lt;YEAR(Startops1),0,HLOOKUP(R$7,CF_Table,CF!$AB$71))</f>
        <v>-4744.5001835753974</v>
      </c>
      <c r="S82" s="37">
        <f ca="1">IF(S$7&lt;YEAR(Startops1),0,HLOOKUP(S$7,CF_Table,CF!$AB$71))</f>
        <v>-5381.330720715805</v>
      </c>
      <c r="T82" s="37">
        <f ca="1">IF(T$7&lt;YEAR(Startops1),0,HLOOKUP(T$7,CF_Table,CF!$AB$71))</f>
        <v>-6103.6398367038801</v>
      </c>
      <c r="U82" s="37">
        <f ca="1">IF(U$7&lt;YEAR(Startops1),0,HLOOKUP(U$7,CF_Table,CF!$AB$71))</f>
        <v>-6922.9008937854551</v>
      </c>
      <c r="V82" s="37">
        <f ca="1">IF(V$7&lt;YEAR(Startops1),0,HLOOKUP(V$7,CF_Table,CF!$AB$71))</f>
        <v>-7852.1272662537895</v>
      </c>
      <c r="W82" s="37">
        <f ca="1">IF(W$7&lt;YEAR(Startops1),0,HLOOKUP(W$7,CF_Table,CF!$AB$71))</f>
        <v>0</v>
      </c>
      <c r="X82" s="37">
        <f ca="1">IF(X$7&lt;YEAR(Startops1),0,HLOOKUP(X$7,CF_Table,CF!$AB$71))</f>
        <v>0</v>
      </c>
      <c r="Y82" s="37">
        <f ca="1">IF(Y$7&lt;YEAR(Startops1),0,HLOOKUP(Y$7,CF_Table,CF!$AB$71))</f>
        <v>0</v>
      </c>
      <c r="Z82" s="37">
        <f ca="1">IF(Z$7&lt;YEAR(Startops1),0,HLOOKUP(Z$7,CF_Table,CF!$AB$71))</f>
        <v>0</v>
      </c>
      <c r="AA82" s="37">
        <f ca="1">IF(AA$7&lt;YEAR(Startops1),0,HLOOKUP(AA$7,CF_Table,CF!$AB$71))</f>
        <v>0</v>
      </c>
      <c r="AB82" s="37">
        <f ca="1">IF(AB$7&lt;YEAR(Startops1),0,HLOOKUP(AB$7,CF_Table,CF!$AB$71))</f>
        <v>0</v>
      </c>
      <c r="AC82" s="37">
        <f ca="1">IF(AC$7&lt;YEAR(Startops1),0,HLOOKUP(AC$7,CF_Table,CF!$AB$71))</f>
        <v>0</v>
      </c>
      <c r="AD82" s="435">
        <f ca="1">SUM(G82:AC82)</f>
        <v>-49749.813072758669</v>
      </c>
    </row>
    <row r="83" spans="1:30">
      <c r="A83" s="20"/>
      <c r="B83" s="15" t="s">
        <v>1101</v>
      </c>
      <c r="F83" s="65"/>
      <c r="G83" s="37">
        <f ca="1">-HLOOKUP(DATE(G$7,12,31),Idc_Table,IDC!$BB$21)+HLOOKUP(DATE(G$7,12,31),Idc_Table,IDC!$BB$63)+IF(G$7&gt;=YEAR(Startops1),Land1+Wcap1+Spares1,0)+IF(G$7&gt;=YEAR(Startops2),Land2+Wcap2+Spares2,0)+IF(G$7&gt;=YEAR(Startops3),Land3+Wcap3+Spares3+Spares_WTF,0)-SUM($F83:F83)</f>
        <v>-7598.2078853046587</v>
      </c>
      <c r="H83" s="37">
        <f ca="1">-HLOOKUP(DATE(H$7,12,31),Idc_Table,IDC!$BB$21)+HLOOKUP(DATE(H$7,12,31),Idc_Table,IDC!$BB$63)+IF(H$7&gt;=YEAR(Startops1),Land1+Wcap1+Spares1,0)+IF(H$7&gt;=YEAR(Startops2),Land2+Wcap2+Spares2,0)+IF(H$7&gt;=YEAR(Startops3),Land3+Wcap3+Spares3+Spares_WTF,0)-SUM($F83:G83)</f>
        <v>-111682.9657363716</v>
      </c>
      <c r="I83" s="37">
        <f ca="1">-HLOOKUP(DATE(I$7,12,31),Idc_Table,IDC!$BB$21)+HLOOKUP(DATE(I$7,12,31),Idc_Table,IDC!$BB$63)+IF(I$7&gt;=YEAR(Startops1),Land1+Wcap1+Spares1,0)+IF(I$7&gt;=YEAR(Startops2),Land2+Wcap2+Spares2,0)+IF(I$7&gt;=YEAR(Startops3),Land3+Wcap3+Spares3+Spares_WTF,0)-SUM($F83:H83)</f>
        <v>-56881.08499355524</v>
      </c>
      <c r="J83" s="37">
        <f ca="1">-HLOOKUP(DATE(J$7,12,31),Idc_Table,IDC!$BB$21)+HLOOKUP(DATE(J$7,12,31),Idc_Table,IDC!$BB$63)+IF(J$7&gt;=YEAR(Startops1),Land1+Wcap1+Spares1,0)+IF(J$7&gt;=YEAR(Startops2),Land2+Wcap2+Spares2,0)+IF(J$7&gt;=YEAR(Startops3),Land3+Wcap3+Spares3+Spares_WTF,0)-SUM($F83:I83)</f>
        <v>-100062.62868743815</v>
      </c>
      <c r="K83" s="37">
        <f ca="1">-HLOOKUP(DATE(K$7,12,31),Idc_Table,IDC!$BB$21)+HLOOKUP(DATE(K$7,12,31),Idc_Table,IDC!$BB$63)+IF(K$7&gt;=YEAR(Startops1),Land1+Wcap1+Spares1,0)+IF(K$7&gt;=YEAR(Startops2),Land2+Wcap2+Spares2,0)+IF(K$7&gt;=YEAR(Startops3),Land3+Wcap3+Spares3+Spares_WTF,0)-SUM($F83:J83)</f>
        <v>-53091.606030744151</v>
      </c>
      <c r="L83" s="37">
        <f ca="1">-HLOOKUP(DATE(L$7,12,31),Idc_Table,IDC!$BB$21)+HLOOKUP(DATE(L$7,12,31),Idc_Table,IDC!$BB$63)+IF(L$7&gt;=YEAR(Startops1),Land1+Wcap1+Spares1,0)+IF(L$7&gt;=YEAR(Startops2),Land2+Wcap2+Spares2,0)+IF(L$7&gt;=YEAR(Startops3),Land3+Wcap3+Spares3+Spares_WTF,0)-SUM($F83:K83)</f>
        <v>0</v>
      </c>
      <c r="M83" s="37">
        <f ca="1">-HLOOKUP(DATE(M$7,12,31),Idc_Table,IDC!$BB$21)+HLOOKUP(DATE(M$7,12,31),Idc_Table,IDC!$BB$63)+IF(M$7&gt;=YEAR(Startops1),Land1+Wcap1+Spares1,0)+IF(M$7&gt;=YEAR(Startops2),Land2+Wcap2+Spares2,0)+IF(M$7&gt;=YEAR(Startops3),Land3+Wcap3+Spares3+Spares_WTF,0)-SUM($F83:L83)</f>
        <v>0</v>
      </c>
      <c r="N83" s="37">
        <f ca="1">-HLOOKUP(DATE(N$7,12,31),Idc_Table,IDC!$BB$21)+HLOOKUP(DATE(N$7,12,31),Idc_Table,IDC!$BB$63)+IF(N$7&gt;=YEAR(Startops1),Land1+Wcap1+Spares1,0)+IF(N$7&gt;=YEAR(Startops2),Land2+Wcap2+Spares2,0)+IF(N$7&gt;=YEAR(Startops3),Land3+Wcap3+Spares3+Spares_WTF,0)-SUM($F83:M83)</f>
        <v>0</v>
      </c>
      <c r="O83" s="37">
        <f ca="1">-HLOOKUP(DATE(O$7,12,31),Idc_Table,IDC!$BB$21)+HLOOKUP(DATE(O$7,12,31),Idc_Table,IDC!$BB$63)+IF(O$7&gt;=YEAR(Startops1),Land1+Wcap1+Spares1,0)+IF(O$7&gt;=YEAR(Startops2),Land2+Wcap2+Spares2,0)+IF(O$7&gt;=YEAR(Startops3),Land3+Wcap3+Spares3+Spares_WTF,0)-SUM($F83:N83)</f>
        <v>0</v>
      </c>
      <c r="P83" s="37">
        <f ca="1">-HLOOKUP(DATE(P$7,12,31),Idc_Table,IDC!$BB$21)+HLOOKUP(DATE(P$7,12,31),Idc_Table,IDC!$BB$63)+IF(P$7&gt;=YEAR(Startops1),Land1+Wcap1+Spares1,0)+IF(P$7&gt;=YEAR(Startops2),Land2+Wcap2+Spares2,0)+IF(P$7&gt;=YEAR(Startops3),Land3+Wcap3+Spares3+Spares_WTF,0)-SUM($F83:O83)</f>
        <v>0</v>
      </c>
      <c r="Q83" s="37">
        <f ca="1">-HLOOKUP(DATE(Q$7,12,31),Idc_Table,IDC!$BB$21)+HLOOKUP(DATE(Q$7,12,31),Idc_Table,IDC!$BB$63)+IF(Q$7&gt;=YEAR(Startops1),Land1+Wcap1+Spares1,0)+IF(Q$7&gt;=YEAR(Startops2),Land2+Wcap2+Spares2,0)+IF(Q$7&gt;=YEAR(Startops3),Land3+Wcap3+Spares3+Spares_WTF,0)-SUM($F83:P83)</f>
        <v>0</v>
      </c>
      <c r="R83" s="37">
        <f ca="1">-HLOOKUP(DATE(R$7,12,31),Idc_Table,IDC!$BB$21)+HLOOKUP(DATE(R$7,12,31),Idc_Table,IDC!$BB$63)+IF(R$7&gt;=YEAR(Startops1),Land1+Wcap1+Spares1,0)+IF(R$7&gt;=YEAR(Startops2),Land2+Wcap2+Spares2,0)+IF(R$7&gt;=YEAR(Startops3),Land3+Wcap3+Spares3+Spares_WTF,0)-SUM($F83:Q83)</f>
        <v>0</v>
      </c>
      <c r="S83" s="37">
        <f ca="1">-HLOOKUP(DATE(S$7,12,31),Idc_Table,IDC!$BB$21)+HLOOKUP(DATE(S$7,12,31),Idc_Table,IDC!$BB$63)+IF(S$7&gt;=YEAR(Startops1),Land1+Wcap1+Spares1,0)+IF(S$7&gt;=YEAR(Startops2),Land2+Wcap2+Spares2,0)+IF(S$7&gt;=YEAR(Startops3),Land3+Wcap3+Spares3+Spares_WTF,0)-SUM($F83:R83)</f>
        <v>0</v>
      </c>
      <c r="T83" s="37">
        <f ca="1">-HLOOKUP(DATE(T$7,12,31),Idc_Table,IDC!$BB$21)+HLOOKUP(DATE(T$7,12,31),Idc_Table,IDC!$BB$63)+IF(T$7&gt;=YEAR(Startops1),Land1+Wcap1+Spares1,0)+IF(T$7&gt;=YEAR(Startops2),Land2+Wcap2+Spares2,0)+IF(T$7&gt;=YEAR(Startops3),Land3+Wcap3+Spares3+Spares_WTF,0)-SUM($F83:S83)</f>
        <v>0</v>
      </c>
      <c r="U83" s="37">
        <f ca="1">-HLOOKUP(DATE(U$7,12,31),Idc_Table,IDC!$BB$21)+HLOOKUP(DATE(U$7,12,31),Idc_Table,IDC!$BB$63)+IF(U$7&gt;=YEAR(Startops1),Land1+Wcap1+Spares1,0)+IF(U$7&gt;=YEAR(Startops2),Land2+Wcap2+Spares2,0)+IF(U$7&gt;=YEAR(Startops3),Land3+Wcap3+Spares3+Spares_WTF,0)-SUM($F83:T83)</f>
        <v>0</v>
      </c>
      <c r="V83" s="37">
        <f ca="1">-HLOOKUP(DATE(V$7,12,31),Idc_Table,IDC!$BB$21)+HLOOKUP(DATE(V$7,12,31),Idc_Table,IDC!$BB$63)+IF(V$7&gt;=YEAR(Startops1),Land1+Wcap1+Spares1,0)+IF(V$7&gt;=YEAR(Startops2),Land2+Wcap2+Spares2,0)+IF(V$7&gt;=YEAR(Startops3),Land3+Wcap3+Spares3+Spares_WTF,0)-SUM($F83:U83)</f>
        <v>0</v>
      </c>
      <c r="W83" s="37">
        <f ca="1">-HLOOKUP(DATE(W$7,12,31),Idc_Table,IDC!$BB$21)+HLOOKUP(DATE(W$7,12,31),Idc_Table,IDC!$BB$63)+IF(W$7&gt;=YEAR(Startops1),Land1+Wcap1+Spares1,0)+IF(W$7&gt;=YEAR(Startops2),Land2+Wcap2+Spares2,0)+IF(W$7&gt;=YEAR(Startops3),Land3+Wcap3+Spares3+Spares_WTF,0)-SUM($F83:V83)</f>
        <v>0</v>
      </c>
      <c r="X83" s="37">
        <f ca="1">-HLOOKUP(DATE(X$7,12,31),Idc_Table,IDC!$BB$21)+HLOOKUP(DATE(X$7,12,31),Idc_Table,IDC!$BB$63)+IF(X$7&gt;=YEAR(Startops1),Land1+Wcap1+Spares1,0)+IF(X$7&gt;=YEAR(Startops2),Land2+Wcap2+Spares2,0)+IF(X$7&gt;=YEAR(Startops3),Land3+Wcap3+Spares3+Spares_WTF,0)-SUM($F83:W83)</f>
        <v>0</v>
      </c>
      <c r="Y83" s="37">
        <f ca="1">-HLOOKUP(DATE(Y$7,12,31),Idc_Table,IDC!$BB$21)+HLOOKUP(DATE(Y$7,12,31),Idc_Table,IDC!$BB$63)+IF(Y$7&gt;=YEAR(Startops1),Land1+Wcap1+Spares1,0)+IF(Y$7&gt;=YEAR(Startops2),Land2+Wcap2+Spares2,0)+IF(Y$7&gt;=YEAR(Startops3),Land3+Wcap3+Spares3+Spares_WTF,0)-SUM($F83:X83)</f>
        <v>0</v>
      </c>
      <c r="Z83" s="37">
        <f ca="1">-HLOOKUP(DATE(Z$7,12,31),Idc_Table,IDC!$BB$21)+HLOOKUP(DATE(Z$7,12,31),Idc_Table,IDC!$BB$63)+IF(Z$7&gt;=YEAR(Startops1),Land1+Wcap1+Spares1,0)+IF(Z$7&gt;=YEAR(Startops2),Land2+Wcap2+Spares2,0)+IF(Z$7&gt;=YEAR(Startops3),Land3+Wcap3+Spares3+Spares_WTF,0)-SUM($F83:Y83)</f>
        <v>0</v>
      </c>
      <c r="AA83" s="37">
        <f ca="1">-HLOOKUP(DATE(AA$7,12,31),Idc_Table,IDC!$BB$21)+HLOOKUP(DATE(AA$7,12,31),Idc_Table,IDC!$BB$63)+IF(AA$7&gt;=YEAR(Startops1),Land1+Wcap1+Spares1,0)+IF(AA$7&gt;=YEAR(Startops2),Land2+Wcap2+Spares2,0)+IF(AA$7&gt;=YEAR(Startops3),Land3+Wcap3+Spares3+Spares_WTF,0)-SUM($F83:Z83)</f>
        <v>0</v>
      </c>
      <c r="AB83" s="37">
        <f ca="1">-HLOOKUP(DATE(AB$7,12,31),Idc_Table,IDC!$BB$21)+HLOOKUP(DATE(AB$7,12,31),Idc_Table,IDC!$BB$63)+IF(AB$7&gt;=YEAR(Startops1),Land1+Wcap1+Spares1,0)+IF(AB$7&gt;=YEAR(Startops2),Land2+Wcap2+Spares2,0)+IF(AB$7&gt;=YEAR(Startops3),Land3+Wcap3+Spares3+Spares_WTF,0)-SUM($F83:AA83)</f>
        <v>0</v>
      </c>
      <c r="AC83" s="37">
        <f ca="1">-HLOOKUP(DATE(AC$7,12,31),Idc_Table,IDC!$BB$21)+HLOOKUP(DATE(AC$7,12,31),Idc_Table,IDC!$BB$63)+IF(AC$7&gt;=YEAR(Startops1),Land1+Wcap1+Spares1,0)+IF(AC$7&gt;=YEAR(Startops2),Land2+Wcap2+Spares2,0)+IF(AC$7&gt;=YEAR(Startops3),Land3+Wcap3+Spares3+Spares_WTF,0)-SUM($F83:AB83)</f>
        <v>0</v>
      </c>
      <c r="AD83" s="435">
        <f ca="1">SUM(G83:AC83)</f>
        <v>-329316.49333341379</v>
      </c>
    </row>
    <row r="84" spans="1:30">
      <c r="A84" s="20"/>
      <c r="B84" s="15" t="s">
        <v>1253</v>
      </c>
      <c r="F84" s="15"/>
      <c r="G84" s="37">
        <f t="shared" ref="G84:AC84" ca="1" si="24">IF(G$7=YEAR(Startops1),-Land1,0)+IF(G$7=YEAR(Startops2),-Land2,0)+IF(G$7=YEAR(Startops3),-Land3,0)</f>
        <v>0</v>
      </c>
      <c r="H84" s="37">
        <f t="shared" ca="1" si="24"/>
        <v>0</v>
      </c>
      <c r="I84" s="37">
        <f t="shared" ca="1" si="24"/>
        <v>-162</v>
      </c>
      <c r="J84" s="37">
        <f t="shared" ca="1" si="24"/>
        <v>0</v>
      </c>
      <c r="K84" s="37">
        <f t="shared" ca="1" si="24"/>
        <v>-378</v>
      </c>
      <c r="L84" s="37">
        <f t="shared" ca="1" si="24"/>
        <v>0</v>
      </c>
      <c r="M84" s="37">
        <f t="shared" ca="1" si="24"/>
        <v>0</v>
      </c>
      <c r="N84" s="37">
        <f t="shared" ca="1" si="24"/>
        <v>0</v>
      </c>
      <c r="O84" s="37">
        <f t="shared" ca="1" si="24"/>
        <v>0</v>
      </c>
      <c r="P84" s="37">
        <f t="shared" ca="1" si="24"/>
        <v>0</v>
      </c>
      <c r="Q84" s="37">
        <f t="shared" ca="1" si="24"/>
        <v>0</v>
      </c>
      <c r="R84" s="37">
        <f t="shared" ca="1" si="24"/>
        <v>0</v>
      </c>
      <c r="S84" s="37">
        <f t="shared" ca="1" si="24"/>
        <v>0</v>
      </c>
      <c r="T84" s="37">
        <f t="shared" ca="1" si="24"/>
        <v>0</v>
      </c>
      <c r="U84" s="37">
        <f t="shared" ca="1" si="24"/>
        <v>0</v>
      </c>
      <c r="V84" s="37">
        <f t="shared" ca="1" si="24"/>
        <v>0</v>
      </c>
      <c r="W84" s="37">
        <f t="shared" ca="1" si="24"/>
        <v>0</v>
      </c>
      <c r="X84" s="37">
        <f t="shared" ca="1" si="24"/>
        <v>0</v>
      </c>
      <c r="Y84" s="37">
        <f t="shared" ca="1" si="24"/>
        <v>0</v>
      </c>
      <c r="Z84" s="37">
        <f t="shared" ca="1" si="24"/>
        <v>0</v>
      </c>
      <c r="AA84" s="37">
        <f t="shared" ca="1" si="24"/>
        <v>0</v>
      </c>
      <c r="AB84" s="37">
        <f t="shared" ca="1" si="24"/>
        <v>0</v>
      </c>
      <c r="AC84" s="37">
        <f t="shared" ca="1" si="24"/>
        <v>0</v>
      </c>
      <c r="AD84" s="435">
        <f t="shared" ca="1" si="23"/>
        <v>-540</v>
      </c>
    </row>
    <row r="85" spans="1:30">
      <c r="A85" s="20"/>
      <c r="B85" s="15" t="s">
        <v>1252</v>
      </c>
      <c r="F85" s="15"/>
      <c r="G85" s="37">
        <f ca="1">IF(G$7&lt;YEAR(Startops1),0,HLOOKUP(G$7,CF_Table,CF!$AB$61))</f>
        <v>0</v>
      </c>
      <c r="H85" s="37">
        <f ca="1">IF(H$7&lt;YEAR(Startops1),0,HLOOKUP(H$7,CF_Table,CF!$AB$61))</f>
        <v>0</v>
      </c>
      <c r="I85" s="37">
        <f ca="1">IF(I$7&lt;YEAR(Startops1),0,HLOOKUP(I$7,CF_Table,CF!$AB$61))</f>
        <v>0</v>
      </c>
      <c r="J85" s="37">
        <f ca="1">IF(J$7&lt;YEAR(Startops1),0,HLOOKUP(J$7,CF_Table,CF!$AB$61))</f>
        <v>0</v>
      </c>
      <c r="K85" s="37">
        <f ca="1">IF(K$7&lt;YEAR(Startops1),0,HLOOKUP(K$7,CF_Table,CF!$AB$61))</f>
        <v>0</v>
      </c>
      <c r="L85" s="37">
        <f ca="1">IF(L$7&lt;YEAR(Startops1),0,HLOOKUP(L$7,CF_Table,CF!$AB$61))</f>
        <v>0</v>
      </c>
      <c r="M85" s="37">
        <f ca="1">IF(M$7&lt;YEAR(Startops1),0,HLOOKUP(M$7,CF_Table,CF!$AB$61))</f>
        <v>0</v>
      </c>
      <c r="N85" s="37">
        <f ca="1">IF(N$7&lt;YEAR(Startops1),0,HLOOKUP(N$7,CF_Table,CF!$AB$61))</f>
        <v>0</v>
      </c>
      <c r="O85" s="37">
        <f ca="1">IF(O$7&lt;YEAR(Startops1),0,HLOOKUP(O$7,CF_Table,CF!$AB$61))</f>
        <v>0</v>
      </c>
      <c r="P85" s="37">
        <f ca="1">IF(P$7&lt;YEAR(Startops1),0,HLOOKUP(P$7,CF_Table,CF!$AB$61))</f>
        <v>0</v>
      </c>
      <c r="Q85" s="37">
        <f ca="1">IF(Q$7&lt;YEAR(Startops1),0,HLOOKUP(Q$7,CF_Table,CF!$AB$61))</f>
        <v>0</v>
      </c>
      <c r="R85" s="37">
        <f ca="1">IF(R$7&lt;YEAR(Startops1),0,HLOOKUP(R$7,CF_Table,CF!$AB$61))</f>
        <v>0</v>
      </c>
      <c r="S85" s="37">
        <f ca="1">IF(S$7&lt;YEAR(Startops1),0,HLOOKUP(S$7,CF_Table,CF!$AB$61))</f>
        <v>0</v>
      </c>
      <c r="T85" s="37">
        <f ca="1">IF(T$7&lt;YEAR(Startops1),0,HLOOKUP(T$7,CF_Table,CF!$AB$61))</f>
        <v>0</v>
      </c>
      <c r="U85" s="37">
        <f ca="1">IF(U$7&lt;YEAR(Startops1),0,HLOOKUP(U$7,CF_Table,CF!$AB$61))</f>
        <v>0</v>
      </c>
      <c r="V85" s="37">
        <f ca="1">IF(V$7&lt;YEAR(Startops1),0,HLOOKUP(V$7,CF_Table,CF!$AB$61))</f>
        <v>0</v>
      </c>
      <c r="W85" s="37">
        <f ca="1">IF(W$7&lt;YEAR(Startops1),0,HLOOKUP(W$7,CF_Table,CF!$AB$61))</f>
        <v>0</v>
      </c>
      <c r="X85" s="37">
        <f ca="1">IF(X$7&lt;YEAR(Startops1),0,HLOOKUP(X$7,CF_Table,CF!$AB$61))</f>
        <v>0</v>
      </c>
      <c r="Y85" s="37">
        <f ca="1">IF(Y$7&lt;YEAR(Startops1),0,HLOOKUP(Y$7,CF_Table,CF!$AB$61))</f>
        <v>0</v>
      </c>
      <c r="Z85" s="37">
        <f ca="1">IF(Z$7&lt;YEAR(Startops1),0,HLOOKUP(Z$7,CF_Table,CF!$AB$61))</f>
        <v>0</v>
      </c>
      <c r="AA85" s="37">
        <f ca="1">IF(AA$7&lt;YEAR(Startops1),0,HLOOKUP(AA$7,CF_Table,CF!$AB$61))</f>
        <v>0</v>
      </c>
      <c r="AB85" s="37">
        <f ca="1">IF(AB$7&lt;YEAR(Startops1),0,HLOOKUP(AB$7,CF_Table,CF!$AB$61))</f>
        <v>0</v>
      </c>
      <c r="AC85" s="37">
        <f ca="1">IF(AC$7&lt;YEAR(Startops1),0,HLOOKUP(AC$7,CF_Table,CF!$AB$61))</f>
        <v>540</v>
      </c>
      <c r="AD85" s="435">
        <f t="shared" ca="1" si="23"/>
        <v>540</v>
      </c>
    </row>
    <row r="86" spans="1:30">
      <c r="A86" s="20"/>
      <c r="B86" s="15" t="s">
        <v>66</v>
      </c>
      <c r="F86" s="15"/>
      <c r="G86" s="37">
        <f ca="1">IF(G$7=YEAR(Startops1),-Spares1,0)+IF(G$7=YEAR(Startops2),-Spares2,0)+IF(G$7=YEAR(Startops3),-Spares3-Spares_WTF,0)</f>
        <v>0</v>
      </c>
      <c r="H86" s="37">
        <f ca="1">IF(H$7=YEAR(Startops1),-Spares1,0)+IF(H$7=YEAR(Startops2),-Spares2,0)+IF(H$7=YEAR(Startops3),-Spares3-Spares_WTF,0)</f>
        <v>0</v>
      </c>
      <c r="I86" s="37">
        <f ca="1">IF(I$7=YEAR(Startops1),-Spares1,0)+IF(I$7=YEAR(Startops2),-Spares2,0)+IF(I$7=YEAR(Startops3),-Spares3-Spares_WTF,0)</f>
        <v>-1363.3481999999999</v>
      </c>
      <c r="J86" s="37">
        <f t="shared" ref="J86:AC86" ca="1" si="25">IF(J$7=YEAR(Startops1),-Spares1,0)+IF(J$7=YEAR(Startops2),-Spares2,0)+IF(J$7=YEAR(Startops3),-Spares3-Spares_WTF,0)</f>
        <v>0</v>
      </c>
      <c r="K86" s="37">
        <f t="shared" ca="1" si="25"/>
        <v>-3281.1457999999998</v>
      </c>
      <c r="L86" s="37">
        <f t="shared" ca="1" si="25"/>
        <v>0</v>
      </c>
      <c r="M86" s="37">
        <f t="shared" ca="1" si="25"/>
        <v>0</v>
      </c>
      <c r="N86" s="37">
        <f t="shared" ca="1" si="25"/>
        <v>0</v>
      </c>
      <c r="O86" s="37">
        <f t="shared" ca="1" si="25"/>
        <v>0</v>
      </c>
      <c r="P86" s="37">
        <f t="shared" ca="1" si="25"/>
        <v>0</v>
      </c>
      <c r="Q86" s="37">
        <f t="shared" ca="1" si="25"/>
        <v>0</v>
      </c>
      <c r="R86" s="37">
        <f t="shared" ca="1" si="25"/>
        <v>0</v>
      </c>
      <c r="S86" s="37">
        <f t="shared" ca="1" si="25"/>
        <v>0</v>
      </c>
      <c r="T86" s="37">
        <f t="shared" ca="1" si="25"/>
        <v>0</v>
      </c>
      <c r="U86" s="37">
        <f t="shared" ca="1" si="25"/>
        <v>0</v>
      </c>
      <c r="V86" s="37">
        <f t="shared" ca="1" si="25"/>
        <v>0</v>
      </c>
      <c r="W86" s="37">
        <f t="shared" ca="1" si="25"/>
        <v>0</v>
      </c>
      <c r="X86" s="37">
        <f t="shared" ca="1" si="25"/>
        <v>0</v>
      </c>
      <c r="Y86" s="37">
        <f t="shared" ca="1" si="25"/>
        <v>0</v>
      </c>
      <c r="Z86" s="37">
        <f t="shared" ca="1" si="25"/>
        <v>0</v>
      </c>
      <c r="AA86" s="37">
        <f t="shared" ca="1" si="25"/>
        <v>0</v>
      </c>
      <c r="AB86" s="37">
        <f t="shared" ca="1" si="25"/>
        <v>0</v>
      </c>
      <c r="AC86" s="37">
        <f t="shared" ca="1" si="25"/>
        <v>0</v>
      </c>
      <c r="AD86" s="435">
        <f t="shared" ca="1" si="23"/>
        <v>-4644.4939999999997</v>
      </c>
    </row>
    <row r="87" spans="1:30">
      <c r="A87" s="20"/>
      <c r="B87" s="15" t="s">
        <v>67</v>
      </c>
      <c r="F87" s="15"/>
      <c r="G87" s="37">
        <f ca="1">IF(G$7&lt;YEAR(Startops1),0,HLOOKUP(G$7,CF_Table,CF!$AB$63))</f>
        <v>0</v>
      </c>
      <c r="H87" s="37">
        <f ca="1">IF(H$7&lt;YEAR(Startops1),0,HLOOKUP(H$7,CF_Table,CF!$AB$63))</f>
        <v>0</v>
      </c>
      <c r="I87" s="37">
        <f ca="1">IF(I$7&lt;YEAR(Startops1),0,HLOOKUP(I$7,CF_Table,CF!$AB$63))</f>
        <v>0</v>
      </c>
      <c r="J87" s="37">
        <f ca="1">IF(J$7&lt;YEAR(Startops1),0,HLOOKUP(J$7,CF_Table,CF!$AB$63))</f>
        <v>0</v>
      </c>
      <c r="K87" s="37">
        <f ca="1">IF(K$7&lt;YEAR(Startops1),0,HLOOKUP(K$7,CF_Table,CF!$AB$63))</f>
        <v>0</v>
      </c>
      <c r="L87" s="37">
        <f ca="1">IF(L$7&lt;YEAR(Startops1),0,HLOOKUP(L$7,CF_Table,CF!$AB$63))</f>
        <v>0</v>
      </c>
      <c r="M87" s="37">
        <f ca="1">IF(M$7&lt;YEAR(Startops1),0,HLOOKUP(M$7,CF_Table,CF!$AB$63))</f>
        <v>0</v>
      </c>
      <c r="N87" s="37">
        <f ca="1">IF(N$7&lt;YEAR(Startops1),0,HLOOKUP(N$7,CF_Table,CF!$AB$63))</f>
        <v>0</v>
      </c>
      <c r="O87" s="37">
        <f ca="1">IF(O$7&lt;YEAR(Startops1),0,HLOOKUP(O$7,CF_Table,CF!$AB$63))</f>
        <v>0</v>
      </c>
      <c r="P87" s="37">
        <f ca="1">IF(P$7&lt;YEAR(Startops1),0,HLOOKUP(P$7,CF_Table,CF!$AB$63))</f>
        <v>0</v>
      </c>
      <c r="Q87" s="37">
        <f ca="1">IF(Q$7&lt;YEAR(Startops1),0,HLOOKUP(Q$7,CF_Table,CF!$AB$63))</f>
        <v>0</v>
      </c>
      <c r="R87" s="37">
        <f ca="1">IF(R$7&lt;YEAR(Startops1),0,HLOOKUP(R$7,CF_Table,CF!$AB$63))</f>
        <v>0</v>
      </c>
      <c r="S87" s="37">
        <f ca="1">IF(S$7&lt;YEAR(Startops1),0,HLOOKUP(S$7,CF_Table,CF!$AB$63))</f>
        <v>0</v>
      </c>
      <c r="T87" s="37">
        <f ca="1">IF(T$7&lt;YEAR(Startops1),0,HLOOKUP(T$7,CF_Table,CF!$AB$63))</f>
        <v>0</v>
      </c>
      <c r="U87" s="37">
        <f ca="1">IF(U$7&lt;YEAR(Startops1),0,HLOOKUP(U$7,CF_Table,CF!$AB$63))</f>
        <v>0</v>
      </c>
      <c r="V87" s="37">
        <f ca="1">IF(V$7&lt;YEAR(Startops1),0,HLOOKUP(V$7,CF_Table,CF!$AB$63))</f>
        <v>0</v>
      </c>
      <c r="W87" s="37">
        <f ca="1">IF(W$7&lt;YEAR(Startops1),0,HLOOKUP(W$7,CF_Table,CF!$AB$63))</f>
        <v>0</v>
      </c>
      <c r="X87" s="37">
        <f ca="1">IF(X$7&lt;YEAR(Startops1),0,HLOOKUP(X$7,CF_Table,CF!$AB$63))</f>
        <v>0</v>
      </c>
      <c r="Y87" s="37">
        <f ca="1">IF(Y$7&lt;YEAR(Startops1),0,HLOOKUP(Y$7,CF_Table,CF!$AB$63))</f>
        <v>0</v>
      </c>
      <c r="Z87" s="37">
        <f ca="1">IF(Z$7&lt;YEAR(Startops1),0,HLOOKUP(Z$7,CF_Table,CF!$AB$63))</f>
        <v>0</v>
      </c>
      <c r="AA87" s="37">
        <f ca="1">IF(AA$7&lt;YEAR(Startops1),0,HLOOKUP(AA$7,CF_Table,CF!$AB$63))</f>
        <v>0</v>
      </c>
      <c r="AB87" s="37">
        <f ca="1">IF(AB$7&lt;YEAR(Startops1),0,HLOOKUP(AB$7,CF_Table,CF!$AB$63))</f>
        <v>0</v>
      </c>
      <c r="AC87" s="37">
        <f ca="1">IF(AC$7&lt;YEAR(Startops1),0,HLOOKUP(AC$7,CF_Table,CF!$AB$63))</f>
        <v>4644.4939999999997</v>
      </c>
      <c r="AD87" s="435">
        <f t="shared" ca="1" si="23"/>
        <v>4644.4939999999997</v>
      </c>
    </row>
    <row r="88" spans="1:30">
      <c r="A88" s="20"/>
      <c r="B88" s="15" t="s">
        <v>140</v>
      </c>
      <c r="F88" s="15"/>
      <c r="G88" s="37">
        <f ca="1">IF(G$7&lt;YEAR(Startops1),0,HLOOKUP(G$7,CF_Table,CF!$AB$75))</f>
        <v>0</v>
      </c>
      <c r="H88" s="37">
        <f ca="1">IF(H$7&lt;YEAR(Startops1),0,HLOOKUP(H$7,CF_Table,CF!$AB$75))</f>
        <v>0</v>
      </c>
      <c r="I88" s="37">
        <f ca="1">IF(I$7&lt;YEAR(Startops1),0,HLOOKUP(I$7,CF_Table,CF!$AB$75))</f>
        <v>0</v>
      </c>
      <c r="J88" s="37">
        <f ca="1">IF(J$7&lt;YEAR(Startops1),0,HLOOKUP(J$7,CF_Table,CF!$AB$75))</f>
        <v>-3358.33879983726</v>
      </c>
      <c r="K88" s="37">
        <f ca="1">IF(K$7&lt;YEAR(Startops1),0,HLOOKUP(K$7,CF_Table,CF!$AB$75))</f>
        <v>-15292.099302756214</v>
      </c>
      <c r="L88" s="37">
        <f ca="1">IF(L$7&lt;YEAR(Startops1),0,HLOOKUP(L$7,CF_Table,CF!$AB$75))</f>
        <v>-1764.3222505152917</v>
      </c>
      <c r="M88" s="37">
        <f ca="1">IF(M$7&lt;YEAR(Startops1),0,HLOOKUP(M$7,CF_Table,CF!$AB$75))</f>
        <v>-4601.4709977706661</v>
      </c>
      <c r="N88" s="37">
        <f ca="1">IF(N$7&lt;YEAR(Startops1),0,HLOOKUP(N$7,CF_Table,CF!$AB$75))</f>
        <v>0</v>
      </c>
      <c r="O88" s="37">
        <f ca="1">IF(O$7&lt;YEAR(Startops1),0,HLOOKUP(O$7,CF_Table,CF!$AB$75))</f>
        <v>-6357.2775341352935</v>
      </c>
      <c r="P88" s="37">
        <f ca="1">IF(P$7&lt;YEAR(Startops1),0,HLOOKUP(P$7,CF_Table,CF!$AB$75))</f>
        <v>-6443.3542858560977</v>
      </c>
      <c r="Q88" s="37">
        <f ca="1">IF(Q$7&lt;YEAR(Startops1),0,HLOOKUP(Q$7,CF_Table,CF!$AB$75))</f>
        <v>-1798.9087956676231</v>
      </c>
      <c r="R88" s="37">
        <f ca="1">IF(R$7&lt;YEAR(Startops1),0,HLOOKUP(R$7,CF_Table,CF!$AB$75))</f>
        <v>0</v>
      </c>
      <c r="S88" s="37">
        <f ca="1">IF(S$7&lt;YEAR(Startops1),0,HLOOKUP(S$7,CF_Table,CF!$AB$75))</f>
        <v>0</v>
      </c>
      <c r="T88" s="37">
        <f ca="1">IF(T$7&lt;YEAR(Startops1),0,HLOOKUP(T$7,CF_Table,CF!$AB$75))</f>
        <v>0</v>
      </c>
      <c r="U88" s="37">
        <f ca="1">IF(U$7&lt;YEAR(Startops1),0,HLOOKUP(U$7,CF_Table,CF!$AB$75))</f>
        <v>0</v>
      </c>
      <c r="V88" s="37">
        <f ca="1">IF(V$7&lt;YEAR(Startops1),0,HLOOKUP(V$7,CF_Table,CF!$AB$75))</f>
        <v>0</v>
      </c>
      <c r="W88" s="37">
        <f ca="1">IF(W$7&lt;YEAR(Startops1),0,HLOOKUP(W$7,CF_Table,CF!$AB$75))</f>
        <v>-7218.7258825083991</v>
      </c>
      <c r="X88" s="37">
        <f ca="1">IF(X$7&lt;YEAR(Startops1),0,HLOOKUP(X$7,CF_Table,CF!$AB$75))</f>
        <v>-3399.2634171639511</v>
      </c>
      <c r="Y88" s="37">
        <f ca="1">IF(Y$7&lt;YEAR(Startops1),0,HLOOKUP(Y$7,CF_Table,CF!$AB$75))</f>
        <v>0</v>
      </c>
      <c r="Z88" s="37">
        <f ca="1">IF(Z$7&lt;YEAR(Startops1),0,HLOOKUP(Z$7,CF_Table,CF!$AB$75))</f>
        <v>-6085.6504638310435</v>
      </c>
      <c r="AA88" s="37">
        <f ca="1">IF(AA$7&lt;YEAR(Startops1),0,HLOOKUP(AA$7,CF_Table,CF!$AB$75))</f>
        <v>-4689.9136385086094</v>
      </c>
      <c r="AB88" s="37">
        <f ca="1">IF(AB$7&lt;YEAR(Startops1),0,HLOOKUP(AB$7,CF_Table,CF!$AB$75))</f>
        <v>-6224.6052926074371</v>
      </c>
      <c r="AC88" s="37">
        <f ca="1">IF(AC$7&lt;YEAR(Startops1),0,HLOOKUP(AC$7,CF_Table,CF!$AB$75))</f>
        <v>0</v>
      </c>
      <c r="AD88" s="435">
        <f t="shared" ca="1" si="23"/>
        <v>-67233.930661157894</v>
      </c>
    </row>
    <row r="89" spans="1:30">
      <c r="A89" s="20"/>
      <c r="B89" s="15" t="s">
        <v>141</v>
      </c>
      <c r="F89" s="15"/>
      <c r="G89" s="37">
        <f ca="1">IF(G$7&lt;YEAR(Startops1),0,HLOOKUP(G$7,CF_Table,CF!$AB$76))</f>
        <v>0</v>
      </c>
      <c r="H89" s="37">
        <f ca="1">IF(H$7&lt;YEAR(Startops1),0,HLOOKUP(H$7,CF_Table,CF!$AB$76))</f>
        <v>0</v>
      </c>
      <c r="I89" s="37">
        <f ca="1">IF(I$7&lt;YEAR(Startops1),0,HLOOKUP(I$7,CF_Table,CF!$AB$76))</f>
        <v>1978.5080752796939</v>
      </c>
      <c r="J89" s="37">
        <f ca="1">IF(J$7&lt;YEAR(Startops1),0,HLOOKUP(J$7,CF_Table,CF!$AB$76))</f>
        <v>0</v>
      </c>
      <c r="K89" s="37">
        <f ca="1">IF(K$7&lt;YEAR(Startops1),0,HLOOKUP(K$7,CF_Table,CF!$AB$76))</f>
        <v>0</v>
      </c>
      <c r="L89" s="37">
        <f ca="1">IF(L$7&lt;YEAR(Startops1),0,HLOOKUP(L$7,CF_Table,CF!$AB$76))</f>
        <v>0</v>
      </c>
      <c r="M89" s="37">
        <f ca="1">IF(M$7&lt;YEAR(Startops1),0,HLOOKUP(M$7,CF_Table,CF!$AB$76))</f>
        <v>0</v>
      </c>
      <c r="N89" s="37">
        <f ca="1">IF(N$7&lt;YEAR(Startops1),0,HLOOKUP(N$7,CF_Table,CF!$AB$76))</f>
        <v>7557.4967242391249</v>
      </c>
      <c r="O89" s="37">
        <f ca="1">IF(O$7&lt;YEAR(Startops1),0,HLOOKUP(O$7,CF_Table,CF!$AB$76))</f>
        <v>0</v>
      </c>
      <c r="P89" s="37">
        <f ca="1">IF(P$7&lt;YEAR(Startops1),0,HLOOKUP(P$7,CF_Table,CF!$AB$76))</f>
        <v>0</v>
      </c>
      <c r="Q89" s="37">
        <f ca="1">IF(Q$7&lt;YEAR(Startops1),0,HLOOKUP(Q$7,CF_Table,CF!$AB$76))</f>
        <v>0</v>
      </c>
      <c r="R89" s="37">
        <f ca="1">IF(R$7&lt;YEAR(Startops1),0,HLOOKUP(R$7,CF_Table,CF!$AB$76))</f>
        <v>2518.8166858842778</v>
      </c>
      <c r="S89" s="37">
        <f ca="1">IF(S$7&lt;YEAR(Startops1),0,HLOOKUP(S$7,CF_Table,CF!$AB$76))</f>
        <v>1145.3822044160261</v>
      </c>
      <c r="T89" s="37">
        <f ca="1">IF(T$7&lt;YEAR(Startops1),0,HLOOKUP(T$7,CF_Table,CF!$AB$76))</f>
        <v>2296.2438747794404</v>
      </c>
      <c r="U89" s="37">
        <f ca="1">IF(U$7&lt;YEAR(Startops1),0,HLOOKUP(U$7,CF_Table,CF!$AB$76))</f>
        <v>7513.8974053484417</v>
      </c>
      <c r="V89" s="37">
        <f ca="1">IF(V$7&lt;YEAR(Startops1),0,HLOOKUP(V$7,CF_Table,CF!$AB$76))</f>
        <v>5218.333666498198</v>
      </c>
      <c r="W89" s="37">
        <f ca="1">IF(W$7&lt;YEAR(Startops1),0,HLOOKUP(W$7,CF_Table,CF!$AB$76))</f>
        <v>0</v>
      </c>
      <c r="X89" s="37">
        <f ca="1">IF(X$7&lt;YEAR(Startops1),0,HLOOKUP(X$7,CF_Table,CF!$AB$76))</f>
        <v>0</v>
      </c>
      <c r="Y89" s="37">
        <f ca="1">IF(Y$7&lt;YEAR(Startops1),0,HLOOKUP(Y$7,CF_Table,CF!$AB$76))</f>
        <v>1989.4129735125789</v>
      </c>
      <c r="Z89" s="37">
        <f ca="1">IF(Z$7&lt;YEAR(Startops1),0,HLOOKUP(Z$7,CF_Table,CF!$AB$76))</f>
        <v>0</v>
      </c>
      <c r="AA89" s="37">
        <f ca="1">IF(AA$7&lt;YEAR(Startops1),0,HLOOKUP(AA$7,CF_Table,CF!$AB$76))</f>
        <v>0</v>
      </c>
      <c r="AB89" s="37">
        <f ca="1">IF(AB$7&lt;YEAR(Startops1),0,HLOOKUP(AB$7,CF_Table,CF!$AB$76))</f>
        <v>0</v>
      </c>
      <c r="AC89" s="37">
        <f ca="1">IF(AC$7&lt;YEAR(Startops1),0,HLOOKUP(AC$7,CF_Table,CF!$AB$76))</f>
        <v>37015.839051200106</v>
      </c>
      <c r="AD89" s="435">
        <f t="shared" ca="1" si="23"/>
        <v>67233.93066115788</v>
      </c>
    </row>
    <row r="90" spans="1:30">
      <c r="A90" s="20"/>
      <c r="B90" s="15" t="s">
        <v>139</v>
      </c>
      <c r="F90" s="15"/>
      <c r="G90" s="37">
        <f ca="1">IF(G$7&lt;YEAR(Startops1),0,HLOOKUP(G$7,CF_Table,CF!$AB$30))</f>
        <v>0</v>
      </c>
      <c r="H90" s="37">
        <f ca="1">IF(H$7&lt;YEAR(Startops1),0,HLOOKUP(H$7,CF_Table,CF!$AB$30))</f>
        <v>0</v>
      </c>
      <c r="I90" s="37">
        <f ca="1">IF(I$7&lt;YEAR(Startops1),0,HLOOKUP(I$7,CF_Table,CF!$AB$30))</f>
        <v>0</v>
      </c>
      <c r="J90" s="37">
        <f ca="1">IF(J$7&lt;YEAR(Startops1),0,HLOOKUP(J$7,CF_Table,CF!$AB$30))</f>
        <v>0</v>
      </c>
      <c r="K90" s="37">
        <f ca="1">IF(K$7&lt;YEAR(Startops1),0,HLOOKUP(K$7,CF_Table,CF!$AB$30))</f>
        <v>68.991536227878314</v>
      </c>
      <c r="L90" s="37">
        <f ca="1">IF(L$7&lt;YEAR(Startops1),0,HLOOKUP(L$7,CF_Table,CF!$AB$30))</f>
        <v>833.59650136568916</v>
      </c>
      <c r="M90" s="37">
        <f ca="1">IF(M$7&lt;YEAR(Startops1),0,HLOOKUP(M$7,CF_Table,CF!$AB$30))</f>
        <v>921.81261389145368</v>
      </c>
      <c r="N90" s="37">
        <f ca="1">IF(N$7&lt;YEAR(Startops1),0,HLOOKUP(N$7,CF_Table,CF!$AB$30))</f>
        <v>1151.8861637799871</v>
      </c>
      <c r="O90" s="37">
        <f ca="1">IF(O$7&lt;YEAR(Startops1),0,HLOOKUP(O$7,CF_Table,CF!$AB$30))</f>
        <v>1151.8861637799871</v>
      </c>
      <c r="P90" s="37">
        <f ca="1">IF(P$7&lt;YEAR(Startops1),0,HLOOKUP(P$7,CF_Table,CF!$AB$30))</f>
        <v>1091.8752042747954</v>
      </c>
      <c r="Q90" s="37">
        <f ca="1">IF(Q$7&lt;YEAR(Startops1),0,HLOOKUP(Q$7,CF_Table,CF!$AB$30))</f>
        <v>1414.0429185676003</v>
      </c>
      <c r="R90" s="37">
        <f ca="1">IF(R$7&lt;YEAR(Startops1),0,HLOOKUP(R$7,CF_Table,CF!$AB$30))</f>
        <v>1503.9883583509816</v>
      </c>
      <c r="S90" s="37">
        <f ca="1">IF(S$7&lt;YEAR(Startops1),0,HLOOKUP(S$7,CF_Table,CF!$AB$30))</f>
        <v>1503.9883583509816</v>
      </c>
      <c r="T90" s="37">
        <f ca="1">IF(T$7&lt;YEAR(Startops1),0,HLOOKUP(T$7,CF_Table,CF!$AB$30))</f>
        <v>1378.0475240567675</v>
      </c>
      <c r="U90" s="37">
        <f ca="1">IF(U$7&lt;YEAR(Startops1),0,HLOOKUP(U$7,CF_Table,CF!$AB$30))</f>
        <v>1320.7784138359664</v>
      </c>
      <c r="V90" s="37">
        <f ca="1">IF(V$7&lt;YEAR(Startops1),0,HLOOKUP(V$7,CF_Table,CF!$AB$30))</f>
        <v>1205.9662200969942</v>
      </c>
      <c r="W90" s="37">
        <f ca="1">IF(W$7&lt;YEAR(Startops1),0,HLOOKUP(W$7,CF_Table,CF!$AB$30))</f>
        <v>830.27134982957216</v>
      </c>
      <c r="X90" s="37">
        <f ca="1">IF(X$7&lt;YEAR(Startops1),0,HLOOKUP(X$7,CF_Table,CF!$AB$30))</f>
        <v>930.29096063008228</v>
      </c>
      <c r="Y90" s="37">
        <f ca="1">IF(Y$7&lt;YEAR(Startops1),0,HLOOKUP(Y$7,CF_Table,CF!$AB$30))</f>
        <v>1100.2541314882799</v>
      </c>
      <c r="Z90" s="37">
        <f ca="1">IF(Z$7&lt;YEAR(Startops1),0,HLOOKUP(Z$7,CF_Table,CF!$AB$30))</f>
        <v>1100.2541314882799</v>
      </c>
      <c r="AA90" s="37">
        <f ca="1">IF(AA$7&lt;YEAR(Startops1),0,HLOOKUP(AA$7,CF_Table,CF!$AB$30))</f>
        <v>1305.066006004203</v>
      </c>
      <c r="AB90" s="37">
        <f ca="1">IF(AB$7&lt;YEAR(Startops1),0,HLOOKUP(AB$7,CF_Table,CF!$AB$30))</f>
        <v>1539.5616879296335</v>
      </c>
      <c r="AC90" s="37">
        <f ca="1">IF(AC$7&lt;YEAR(Startops1),0,HLOOKUP(AC$7,CF_Table,CF!$AB$30))</f>
        <v>1850.7919525600055</v>
      </c>
      <c r="AD90" s="435">
        <f t="shared" ca="1" si="23"/>
        <v>22203.350196509135</v>
      </c>
    </row>
    <row r="91" spans="1:30">
      <c r="A91" s="20"/>
      <c r="B91" s="15" t="s">
        <v>138</v>
      </c>
      <c r="F91" s="15"/>
      <c r="G91" s="37">
        <f t="shared" ref="G91:AC91" ca="1" si="26">G53</f>
        <v>0</v>
      </c>
      <c r="H91" s="37">
        <f t="shared" ca="1" si="26"/>
        <v>0</v>
      </c>
      <c r="I91" s="37">
        <f t="shared" ca="1" si="26"/>
        <v>0</v>
      </c>
      <c r="J91" s="37">
        <f t="shared" ca="1" si="26"/>
        <v>0</v>
      </c>
      <c r="K91" s="37">
        <f t="shared" ca="1" si="26"/>
        <v>-6866.1388759198016</v>
      </c>
      <c r="L91" s="37">
        <f t="shared" ca="1" si="26"/>
        <v>-16245.84906951103</v>
      </c>
      <c r="M91" s="37">
        <f t="shared" ca="1" si="26"/>
        <v>-15297.114554345853</v>
      </c>
      <c r="N91" s="37">
        <f t="shared" ca="1" si="26"/>
        <v>-14256.726768601686</v>
      </c>
      <c r="O91" s="37">
        <f t="shared" ca="1" si="26"/>
        <v>-13047.87399140309</v>
      </c>
      <c r="P91" s="37">
        <f t="shared" ca="1" si="26"/>
        <v>-11750.413201233227</v>
      </c>
      <c r="Q91" s="37">
        <f t="shared" ca="1" si="26"/>
        <v>-10380.028967391143</v>
      </c>
      <c r="R91" s="37">
        <f t="shared" ca="1" si="26"/>
        <v>-8974.0608897282127</v>
      </c>
      <c r="S91" s="37">
        <f t="shared" ca="1" si="26"/>
        <v>-7705.2560033144437</v>
      </c>
      <c r="T91" s="37">
        <f t="shared" ca="1" si="26"/>
        <v>-6465.0175972114193</v>
      </c>
      <c r="U91" s="37">
        <f t="shared" ca="1" si="26"/>
        <v>-5197.776339170844</v>
      </c>
      <c r="V91" s="37">
        <f t="shared" ca="1" si="26"/>
        <v>-3910.3500690280061</v>
      </c>
      <c r="W91" s="37">
        <f t="shared" ca="1" si="26"/>
        <v>-2848.3466844802488</v>
      </c>
      <c r="X91" s="37">
        <f t="shared" ca="1" si="26"/>
        <v>-1786.3432999324914</v>
      </c>
      <c r="Y91" s="37">
        <f t="shared" ca="1" si="26"/>
        <v>-701.82721243481615</v>
      </c>
      <c r="Z91" s="37">
        <f t="shared" ca="1" si="26"/>
        <v>0</v>
      </c>
      <c r="AA91" s="37">
        <f t="shared" ca="1" si="26"/>
        <v>0</v>
      </c>
      <c r="AB91" s="37">
        <f t="shared" ca="1" si="26"/>
        <v>0</v>
      </c>
      <c r="AC91" s="37">
        <f t="shared" ca="1" si="26"/>
        <v>0</v>
      </c>
      <c r="AD91" s="435">
        <f ca="1">SUM(G91:AC91)</f>
        <v>-125433.12352370631</v>
      </c>
    </row>
    <row r="92" spans="1:30">
      <c r="A92" s="20"/>
      <c r="B92" s="15" t="s">
        <v>148</v>
      </c>
      <c r="F92" s="15"/>
      <c r="G92" s="37">
        <f ca="1">G54</f>
        <v>0</v>
      </c>
      <c r="H92" s="37">
        <f t="shared" ref="H92:AC92" ca="1" si="27">H54</f>
        <v>0</v>
      </c>
      <c r="I92" s="37">
        <f t="shared" ca="1" si="27"/>
        <v>0</v>
      </c>
      <c r="J92" s="37">
        <f t="shared" ca="1" si="27"/>
        <v>0</v>
      </c>
      <c r="K92" s="37">
        <f t="shared" ca="1" si="27"/>
        <v>-2694.7815414410948</v>
      </c>
      <c r="L92" s="37">
        <f t="shared" ca="1" si="27"/>
        <v>-6397.3320310436538</v>
      </c>
      <c r="M92" s="37">
        <f t="shared" ca="1" si="27"/>
        <v>-6098.2236465968126</v>
      </c>
      <c r="N92" s="37">
        <f t="shared" ca="1" si="27"/>
        <v>-5758.9674392475936</v>
      </c>
      <c r="O92" s="37">
        <f t="shared" ca="1" si="27"/>
        <v>-5374.1745674669255</v>
      </c>
      <c r="P92" s="37">
        <f t="shared" ca="1" si="27"/>
        <v>-4937.732872471498</v>
      </c>
      <c r="Q92" s="37">
        <f t="shared" ca="1" si="27"/>
        <v>-4442.7097909653094</v>
      </c>
      <c r="R92" s="37">
        <f t="shared" ca="1" si="27"/>
        <v>-3881.2422363439537</v>
      </c>
      <c r="S92" s="37">
        <f t="shared" ca="1" si="27"/>
        <v>-3244.4116992035456</v>
      </c>
      <c r="T92" s="37">
        <f t="shared" ca="1" si="27"/>
        <v>-2522.1025832154669</v>
      </c>
      <c r="U92" s="37">
        <f t="shared" ca="1" si="27"/>
        <v>-1702.8415261338889</v>
      </c>
      <c r="V92" s="37">
        <f t="shared" ca="1" si="27"/>
        <v>-773.61515366553658</v>
      </c>
      <c r="W92" s="37">
        <f t="shared" ca="1" si="27"/>
        <v>0</v>
      </c>
      <c r="X92" s="37">
        <f t="shared" ca="1" si="27"/>
        <v>0</v>
      </c>
      <c r="Y92" s="37">
        <f t="shared" ca="1" si="27"/>
        <v>0</v>
      </c>
      <c r="Z92" s="37">
        <f t="shared" ca="1" si="27"/>
        <v>0</v>
      </c>
      <c r="AA92" s="37">
        <f t="shared" ca="1" si="27"/>
        <v>0</v>
      </c>
      <c r="AB92" s="37">
        <f t="shared" ca="1" si="27"/>
        <v>0</v>
      </c>
      <c r="AC92" s="37">
        <f t="shared" ca="1" si="27"/>
        <v>0</v>
      </c>
      <c r="AD92" s="435">
        <f ca="1">SUM(G92:AC92)</f>
        <v>-47828.135087795286</v>
      </c>
    </row>
    <row r="93" spans="1:30">
      <c r="A93" s="20"/>
      <c r="B93" s="15" t="s">
        <v>88</v>
      </c>
      <c r="F93" s="15"/>
      <c r="G93" s="37">
        <f t="shared" ref="G93:AC93" ca="1" si="28">G55</f>
        <v>0</v>
      </c>
      <c r="H93" s="37">
        <f t="shared" ca="1" si="28"/>
        <v>0</v>
      </c>
      <c r="I93" s="37">
        <f t="shared" ca="1" si="28"/>
        <v>-988.56658274453355</v>
      </c>
      <c r="J93" s="37">
        <f t="shared" ca="1" si="28"/>
        <v>-2665.1326018667478</v>
      </c>
      <c r="K93" s="37">
        <f t="shared" ca="1" si="28"/>
        <v>-5739.8166707109303</v>
      </c>
      <c r="L93" s="37">
        <f t="shared" ca="1" si="28"/>
        <v>0</v>
      </c>
      <c r="M93" s="37">
        <f t="shared" ca="1" si="28"/>
        <v>0</v>
      </c>
      <c r="N93" s="37">
        <f t="shared" ca="1" si="28"/>
        <v>0</v>
      </c>
      <c r="O93" s="37">
        <f t="shared" ca="1" si="28"/>
        <v>0</v>
      </c>
      <c r="P93" s="37">
        <f t="shared" ca="1" si="28"/>
        <v>0</v>
      </c>
      <c r="Q93" s="37">
        <f t="shared" ca="1" si="28"/>
        <v>0</v>
      </c>
      <c r="R93" s="37">
        <f t="shared" ca="1" si="28"/>
        <v>0</v>
      </c>
      <c r="S93" s="37">
        <f t="shared" ca="1" si="28"/>
        <v>0</v>
      </c>
      <c r="T93" s="37">
        <f t="shared" ca="1" si="28"/>
        <v>0</v>
      </c>
      <c r="U93" s="37">
        <f t="shared" ca="1" si="28"/>
        <v>0</v>
      </c>
      <c r="V93" s="37">
        <f t="shared" ca="1" si="28"/>
        <v>0</v>
      </c>
      <c r="W93" s="37">
        <f t="shared" ca="1" si="28"/>
        <v>0</v>
      </c>
      <c r="X93" s="37">
        <f t="shared" ca="1" si="28"/>
        <v>0</v>
      </c>
      <c r="Y93" s="37">
        <f t="shared" ca="1" si="28"/>
        <v>0</v>
      </c>
      <c r="Z93" s="37">
        <f t="shared" ca="1" si="28"/>
        <v>0</v>
      </c>
      <c r="AA93" s="37">
        <f t="shared" ca="1" si="28"/>
        <v>0</v>
      </c>
      <c r="AB93" s="37">
        <f t="shared" ca="1" si="28"/>
        <v>0</v>
      </c>
      <c r="AC93" s="37">
        <f t="shared" ca="1" si="28"/>
        <v>0</v>
      </c>
      <c r="AD93" s="435">
        <f ca="1">SUM(G93:AC93)</f>
        <v>-9393.5158553222118</v>
      </c>
    </row>
    <row r="94" spans="1:30">
      <c r="A94" s="20"/>
      <c r="B94" s="15" t="s">
        <v>89</v>
      </c>
      <c r="F94" s="15"/>
      <c r="G94" s="37">
        <f ca="1">G59</f>
        <v>0</v>
      </c>
      <c r="H94" s="37">
        <f t="shared" ref="H94:AC94" ca="1" si="29">H59</f>
        <v>0</v>
      </c>
      <c r="I94" s="37">
        <f t="shared" ca="1" si="29"/>
        <v>0</v>
      </c>
      <c r="J94" s="37">
        <f t="shared" ca="1" si="29"/>
        <v>0</v>
      </c>
      <c r="K94" s="37">
        <f t="shared" ca="1" si="29"/>
        <v>0</v>
      </c>
      <c r="L94" s="37">
        <f t="shared" ca="1" si="29"/>
        <v>0</v>
      </c>
      <c r="M94" s="37">
        <f t="shared" ca="1" si="29"/>
        <v>-2042.8918366943517</v>
      </c>
      <c r="N94" s="37">
        <f t="shared" ca="1" si="29"/>
        <v>0</v>
      </c>
      <c r="O94" s="37">
        <f t="shared" ca="1" si="29"/>
        <v>-7865.5715786840065</v>
      </c>
      <c r="P94" s="37">
        <f t="shared" ca="1" si="29"/>
        <v>-8917.3419159967561</v>
      </c>
      <c r="Q94" s="37">
        <f t="shared" ca="1" si="29"/>
        <v>-8656.0373433405766</v>
      </c>
      <c r="R94" s="37">
        <f t="shared" ca="1" si="29"/>
        <v>-7717.7267315853387</v>
      </c>
      <c r="S94" s="37">
        <f t="shared" ca="1" si="29"/>
        <v>-8069.9621543512276</v>
      </c>
      <c r="T94" s="37">
        <f t="shared" ca="1" si="29"/>
        <v>-9279.3570204919088</v>
      </c>
      <c r="U94" s="37">
        <f t="shared" ca="1" si="29"/>
        <v>-9279.3570204919088</v>
      </c>
      <c r="V94" s="37">
        <f t="shared" ca="1" si="29"/>
        <v>-7154.6617709283846</v>
      </c>
      <c r="W94" s="37">
        <f t="shared" ca="1" si="29"/>
        <v>-9279.3570204919088</v>
      </c>
      <c r="X94" s="37">
        <f t="shared" ca="1" si="29"/>
        <v>-3584.931093732353</v>
      </c>
      <c r="Y94" s="37">
        <f t="shared" ca="1" si="29"/>
        <v>0</v>
      </c>
      <c r="Z94" s="37">
        <f t="shared" ca="1" si="29"/>
        <v>0</v>
      </c>
      <c r="AA94" s="37">
        <f t="shared" ca="1" si="29"/>
        <v>0</v>
      </c>
      <c r="AB94" s="37">
        <f t="shared" ca="1" si="29"/>
        <v>0</v>
      </c>
      <c r="AC94" s="37">
        <f t="shared" ca="1" si="29"/>
        <v>0</v>
      </c>
      <c r="AD94" s="435">
        <f t="shared" ca="1" si="23"/>
        <v>-81847.195486788711</v>
      </c>
    </row>
    <row r="95" spans="1:30">
      <c r="A95" s="20"/>
      <c r="B95" s="15" t="s">
        <v>685</v>
      </c>
      <c r="F95" s="15"/>
      <c r="G95" s="37">
        <f ca="1">IF(G$7&lt;YEAR(Startops1),0,HLOOKUP(G$7,CF_Table,CF!$AB$33))</f>
        <v>0</v>
      </c>
      <c r="H95" s="37">
        <f ca="1">IF(H$7&lt;YEAR(Startops1),0,HLOOKUP(H$7,CF_Table,CF!$AB$33))</f>
        <v>0</v>
      </c>
      <c r="I95" s="37">
        <f ca="1">IF(I$7&lt;YEAR(Startops1),0,HLOOKUP(I$7,CF_Table,CF!$AB$33))</f>
        <v>0</v>
      </c>
      <c r="J95" s="37">
        <f ca="1">IF(J$7&lt;YEAR(Startops1),0,HLOOKUP(J$7,CF_Table,CF!$AB$33))</f>
        <v>0</v>
      </c>
      <c r="K95" s="37">
        <f ca="1">IF(K$7&lt;YEAR(Startops1),0,HLOOKUP(K$7,CF_Table,CF!$AB$33))</f>
        <v>-12.5</v>
      </c>
      <c r="L95" s="37">
        <f ca="1">IF(L$7&lt;YEAR(Startops1),0,HLOOKUP(L$7,CF_Table,CF!$AB$33))</f>
        <v>-12.5</v>
      </c>
      <c r="M95" s="37">
        <f ca="1">IF(M$7&lt;YEAR(Startops1),0,HLOOKUP(M$7,CF_Table,CF!$AB$33))</f>
        <v>-12.5</v>
      </c>
      <c r="N95" s="37">
        <f ca="1">IF(N$7&lt;YEAR(Startops1),0,HLOOKUP(N$7,CF_Table,CF!$AB$33))</f>
        <v>-12.5</v>
      </c>
      <c r="O95" s="37">
        <f ca="1">IF(O$7&lt;YEAR(Startops1),0,HLOOKUP(O$7,CF_Table,CF!$AB$33))</f>
        <v>-12.5</v>
      </c>
      <c r="P95" s="37">
        <f ca="1">IF(P$7&lt;YEAR(Startops1),0,HLOOKUP(P$7,CF_Table,CF!$AB$33))</f>
        <v>-12.5</v>
      </c>
      <c r="Q95" s="37">
        <f ca="1">IF(Q$7&lt;YEAR(Startops1),0,HLOOKUP(Q$7,CF_Table,CF!$AB$33))</f>
        <v>-12.5</v>
      </c>
      <c r="R95" s="37">
        <f ca="1">IF(R$7&lt;YEAR(Startops1),0,HLOOKUP(R$7,CF_Table,CF!$AB$33))</f>
        <v>-12.5</v>
      </c>
      <c r="S95" s="37">
        <f ca="1">IF(S$7&lt;YEAR(Startops1),0,HLOOKUP(S$7,CF_Table,CF!$AB$33))</f>
        <v>-12.5</v>
      </c>
      <c r="T95" s="37">
        <f ca="1">IF(T$7&lt;YEAR(Startops1),0,HLOOKUP(T$7,CF_Table,CF!$AB$33))</f>
        <v>-12.5</v>
      </c>
      <c r="U95" s="37">
        <f ca="1">IF(U$7&lt;YEAR(Startops1),0,HLOOKUP(U$7,CF_Table,CF!$AB$33))</f>
        <v>-12.5</v>
      </c>
      <c r="V95" s="37">
        <f ca="1">IF(V$7&lt;YEAR(Startops1),0,HLOOKUP(V$7,CF_Table,CF!$AB$33))</f>
        <v>-12.5</v>
      </c>
      <c r="W95" s="37">
        <f ca="1">IF(W$7&lt;YEAR(Startops1),0,HLOOKUP(W$7,CF_Table,CF!$AB$33))</f>
        <v>-12.5</v>
      </c>
      <c r="X95" s="37">
        <f ca="1">IF(X$7&lt;YEAR(Startops1),0,HLOOKUP(X$7,CF_Table,CF!$AB$33))</f>
        <v>-12.5</v>
      </c>
      <c r="Y95" s="37">
        <f ca="1">IF(Y$7&lt;YEAR(Startops1),0,HLOOKUP(Y$7,CF_Table,CF!$AB$33))</f>
        <v>-12.5</v>
      </c>
      <c r="Z95" s="37">
        <f ca="1">IF(Z$7&lt;YEAR(Startops1),0,HLOOKUP(Z$7,CF_Table,CF!$AB$33))</f>
        <v>0</v>
      </c>
      <c r="AA95" s="37">
        <f ca="1">IF(AA$7&lt;YEAR(Startops1),0,HLOOKUP(AA$7,CF_Table,CF!$AB$33))</f>
        <v>0</v>
      </c>
      <c r="AB95" s="37">
        <f ca="1">IF(AB$7&lt;YEAR(Startops1),0,HLOOKUP(AB$7,CF_Table,CF!$AB$33))</f>
        <v>0</v>
      </c>
      <c r="AC95" s="37">
        <f ca="1">IF(AC$7&lt;YEAR(Startops1),0,HLOOKUP(AC$7,CF_Table,CF!$AB$33))</f>
        <v>0</v>
      </c>
      <c r="AD95" s="435">
        <f ca="1">SUM(G95:AC95)</f>
        <v>-187.5</v>
      </c>
    </row>
    <row r="96" spans="1:30">
      <c r="A96" s="20"/>
      <c r="B96" s="15" t="s">
        <v>687</v>
      </c>
      <c r="F96" s="15"/>
      <c r="G96" s="37">
        <f ca="1">IF(G$7&lt;YEAR(Startops1),0,HLOOKUP(G$7,CF_Table,CF!$AB$34))</f>
        <v>0</v>
      </c>
      <c r="H96" s="37">
        <f ca="1">IF(H$7&lt;YEAR(Startops1),0,HLOOKUP(H$7,CF_Table,CF!$AB$34))</f>
        <v>0</v>
      </c>
      <c r="I96" s="37">
        <f ca="1">IF(I$7&lt;YEAR(Startops1),0,HLOOKUP(I$7,CF_Table,CF!$AB$34))</f>
        <v>0</v>
      </c>
      <c r="J96" s="37">
        <f ca="1">IF(J$7&lt;YEAR(Startops1),0,HLOOKUP(J$7,CF_Table,CF!$AB$34))</f>
        <v>-85.826735948997523</v>
      </c>
      <c r="K96" s="37">
        <f ca="1">IF(K$7&lt;YEAR(Startops1),0,HLOOKUP(K$7,CF_Table,CF!$AB$34))</f>
        <v>-355.00828620403485</v>
      </c>
      <c r="L96" s="37">
        <f ca="1">IF(L$7&lt;YEAR(Startops1),0,HLOOKUP(L$7,CF_Table,CF!$AB$34))</f>
        <v>-349.7755575359929</v>
      </c>
      <c r="M96" s="37">
        <f ca="1">IF(M$7&lt;YEAR(Startops1),0,HLOOKUP(M$7,CF_Table,CF!$AB$34))</f>
        <v>-359.73877510785042</v>
      </c>
      <c r="N96" s="37">
        <f ca="1">IF(N$7&lt;YEAR(Startops1),0,HLOOKUP(N$7,CF_Table,CF!$AB$34))</f>
        <v>-355.63768016580747</v>
      </c>
      <c r="O96" s="37">
        <f ca="1">IF(O$7&lt;YEAR(Startops1),0,HLOOKUP(O$7,CF_Table,CF!$AB$34))</f>
        <v>-347.37151206221256</v>
      </c>
      <c r="P96" s="37">
        <f ca="1">IF(P$7&lt;YEAR(Startops1),0,HLOOKUP(P$7,CF_Table,CF!$AB$34))</f>
        <v>-336.36124221945937</v>
      </c>
      <c r="Q96" s="37">
        <f ca="1">IF(Q$7&lt;YEAR(Startops1),0,HLOOKUP(Q$7,CF_Table,CF!$AB$34))</f>
        <v>-309.66870165670139</v>
      </c>
      <c r="R96" s="37">
        <f ca="1">IF(R$7&lt;YEAR(Startops1),0,HLOOKUP(R$7,CF_Table,CF!$AB$34))</f>
        <v>-284.97228742216959</v>
      </c>
      <c r="S96" s="37">
        <f ca="1">IF(S$7&lt;YEAR(Startops1),0,HLOOKUP(S$7,CF_Table,CF!$AB$34))</f>
        <v>-273.02799600080664</v>
      </c>
      <c r="T96" s="37">
        <f ca="1">IF(T$7&lt;YEAR(Startops1),0,HLOOKUP(T$7,CF_Table,CF!$AB$34))</f>
        <v>-267.12707826465697</v>
      </c>
      <c r="U96" s="37">
        <f ca="1">IF(U$7&lt;YEAR(Startops1),0,HLOOKUP(U$7,CF_Table,CF!$AB$34))</f>
        <v>-212.10292574987326</v>
      </c>
      <c r="V96" s="37">
        <f ca="1">IF(V$7&lt;YEAR(Startops1),0,HLOOKUP(V$7,CF_Table,CF!$AB$34))</f>
        <v>-198.82788344302628</v>
      </c>
      <c r="W96" s="37">
        <f ca="1">IF(W$7&lt;YEAR(Startops1),0,HLOOKUP(W$7,CF_Table,CF!$AB$34))</f>
        <v>-186.91600813284398</v>
      </c>
      <c r="X96" s="37">
        <f ca="1">IF(X$7&lt;YEAR(Startops1),0,HLOOKUP(X$7,CF_Table,CF!$AB$34))</f>
        <v>-162.44037302012597</v>
      </c>
      <c r="Y96" s="37">
        <f ca="1">IF(Y$7&lt;YEAR(Startops1),0,HLOOKUP(Y$7,CF_Table,CF!$AB$34))</f>
        <v>0</v>
      </c>
      <c r="Z96" s="37">
        <f ca="1">IF(Z$7&lt;YEAR(Startops1),0,HLOOKUP(Z$7,CF_Table,CF!$AB$34))</f>
        <v>0</v>
      </c>
      <c r="AA96" s="37">
        <f ca="1">IF(AA$7&lt;YEAR(Startops1),0,HLOOKUP(AA$7,CF_Table,CF!$AB$34))</f>
        <v>0</v>
      </c>
      <c r="AB96" s="37">
        <f ca="1">IF(AB$7&lt;YEAR(Startops1),0,HLOOKUP(AB$7,CF_Table,CF!$AB$34))</f>
        <v>0</v>
      </c>
      <c r="AC96" s="37">
        <f ca="1">IF(AC$7&lt;YEAR(Startops1),0,HLOOKUP(AC$7,CF_Table,CF!$AB$34))</f>
        <v>0</v>
      </c>
      <c r="AD96" s="435">
        <f t="shared" ca="1" si="23"/>
        <v>-4084.8030429345595</v>
      </c>
    </row>
    <row r="97" spans="1:30">
      <c r="A97" s="20"/>
      <c r="B97" s="15" t="s">
        <v>64</v>
      </c>
      <c r="F97" s="15"/>
      <c r="G97" s="37">
        <f ca="1">IF(G$7&lt;YEAR(Startops1),0,HLOOKUP(G$7,CF_Table,CF!$AB$35))</f>
        <v>0</v>
      </c>
      <c r="H97" s="37">
        <f ca="1">IF(H$7&lt;YEAR(Startops1),0,HLOOKUP(H$7,CF_Table,CF!$AB$35))</f>
        <v>0</v>
      </c>
      <c r="I97" s="37">
        <f ca="1">IF(I$7&lt;YEAR(Startops1),0,HLOOKUP(I$7,CF_Table,CF!$AB$35))</f>
        <v>0</v>
      </c>
      <c r="J97" s="37">
        <f ca="1">IF(J$7&lt;YEAR(Startops1),0,HLOOKUP(J$7,CF_Table,CF!$AB$35))</f>
        <v>0</v>
      </c>
      <c r="K97" s="37">
        <f ca="1">IF(K$7&lt;YEAR(Startops1),0,HLOOKUP(K$7,CF_Table,CF!$AB$35))</f>
        <v>0</v>
      </c>
      <c r="L97" s="37">
        <f ca="1">IF(L$7&lt;YEAR(Startops1),0,HLOOKUP(L$7,CF_Table,CF!$AB$35))</f>
        <v>0</v>
      </c>
      <c r="M97" s="37">
        <f ca="1">IF(M$7&lt;YEAR(Startops1),0,HLOOKUP(M$7,CF_Table,CF!$AB$35))</f>
        <v>0</v>
      </c>
      <c r="N97" s="37">
        <f ca="1">IF(N$7&lt;YEAR(Startops1),0,HLOOKUP(N$7,CF_Table,CF!$AB$35))</f>
        <v>0</v>
      </c>
      <c r="O97" s="37">
        <f ca="1">IF(O$7&lt;YEAR(Startops1),0,HLOOKUP(O$7,CF_Table,CF!$AB$35))</f>
        <v>0</v>
      </c>
      <c r="P97" s="37">
        <f ca="1">IF(P$7&lt;YEAR(Startops1),0,HLOOKUP(P$7,CF_Table,CF!$AB$35))</f>
        <v>0</v>
      </c>
      <c r="Q97" s="37">
        <f ca="1">IF(Q$7&lt;YEAR(Startops1),0,HLOOKUP(Q$7,CF_Table,CF!$AB$35))</f>
        <v>0</v>
      </c>
      <c r="R97" s="37">
        <f ca="1">IF(R$7&lt;YEAR(Startops1),0,HLOOKUP(R$7,CF_Table,CF!$AB$35))</f>
        <v>0</v>
      </c>
      <c r="S97" s="37">
        <f ca="1">IF(S$7&lt;YEAR(Startops1),0,HLOOKUP(S$7,CF_Table,CF!$AB$35))</f>
        <v>0</v>
      </c>
      <c r="T97" s="37">
        <f ca="1">IF(T$7&lt;YEAR(Startops1),0,HLOOKUP(T$7,CF_Table,CF!$AB$35))</f>
        <v>0</v>
      </c>
      <c r="U97" s="37">
        <f ca="1">IF(U$7&lt;YEAR(Startops1),0,HLOOKUP(U$7,CF_Table,CF!$AB$35))</f>
        <v>0</v>
      </c>
      <c r="V97" s="37">
        <f ca="1">IF(V$7&lt;YEAR(Startops1),0,HLOOKUP(V$7,CF_Table,CF!$AB$35))</f>
        <v>0</v>
      </c>
      <c r="W97" s="37">
        <f ca="1">IF(W$7&lt;YEAR(Startops1),0,HLOOKUP(W$7,CF_Table,CF!$AB$35))</f>
        <v>0</v>
      </c>
      <c r="X97" s="37">
        <f ca="1">IF(X$7&lt;YEAR(Startops1),0,HLOOKUP(X$7,CF_Table,CF!$AB$35))</f>
        <v>0</v>
      </c>
      <c r="Y97" s="37">
        <f ca="1">IF(Y$7&lt;YEAR(Startops1),0,HLOOKUP(Y$7,CF_Table,CF!$AB$35))</f>
        <v>0</v>
      </c>
      <c r="Z97" s="37">
        <f ca="1">IF(Z$7&lt;YEAR(Startops1),0,HLOOKUP(Z$7,CF_Table,CF!$AB$35))</f>
        <v>0</v>
      </c>
      <c r="AA97" s="37">
        <f ca="1">IF(AA$7&lt;YEAR(Startops1),0,HLOOKUP(AA$7,CF_Table,CF!$AB$35))</f>
        <v>0</v>
      </c>
      <c r="AB97" s="37">
        <f ca="1">IF(AB$7&lt;YEAR(Startops1),0,HLOOKUP(AB$7,CF_Table,CF!$AB$35))</f>
        <v>0</v>
      </c>
      <c r="AC97" s="37">
        <f ca="1">IF(AC$7&lt;YEAR(Startops1),0,HLOOKUP(AC$7,CF_Table,CF!$AB$35))</f>
        <v>0</v>
      </c>
      <c r="AD97" s="435">
        <f t="shared" ca="1" si="23"/>
        <v>0</v>
      </c>
    </row>
    <row r="98" spans="1:30">
      <c r="A98" s="20"/>
      <c r="B98" s="15" t="s">
        <v>1199</v>
      </c>
      <c r="F98" s="15"/>
      <c r="G98" s="37">
        <f ca="1">IF(G$7&lt;YEAR(Startops1),0,HLOOKUP(G$7,CF_Table,CF!$AB$36))</f>
        <v>0</v>
      </c>
      <c r="H98" s="37">
        <f ca="1">IF(H$7&lt;YEAR(Startops1),0,HLOOKUP(H$7,CF_Table,CF!$AB$36))</f>
        <v>0</v>
      </c>
      <c r="I98" s="37">
        <f ca="1">IF(I$7&lt;YEAR(Startops1),0,HLOOKUP(I$7,CF_Table,CF!$AB$36))</f>
        <v>-234.375</v>
      </c>
      <c r="J98" s="37">
        <f ca="1">IF(J$7&lt;YEAR(Startops1),0,HLOOKUP(J$7,CF_Table,CF!$AB$36))</f>
        <v>-312.5</v>
      </c>
      <c r="K98" s="37">
        <f ca="1">IF(K$7&lt;YEAR(Startops1),0,HLOOKUP(K$7,CF_Table,CF!$AB$36))</f>
        <v>-4497.515549730284</v>
      </c>
      <c r="L98" s="37">
        <f ca="1">IF(L$7&lt;YEAR(Startops1),0,HLOOKUP(L$7,CF_Table,CF!$AB$36))</f>
        <v>-4497.515549730284</v>
      </c>
      <c r="M98" s="37">
        <f ca="1">IF(M$7&lt;YEAR(Startops1),0,HLOOKUP(M$7,CF_Table,CF!$AB$36))</f>
        <v>-4257.7951461354933</v>
      </c>
      <c r="N98" s="37">
        <f ca="1">IF(N$7&lt;YEAR(Startops1),0,HLOOKUP(N$7,CF_Table,CF!$AB$36))</f>
        <v>-312.5</v>
      </c>
      <c r="O98" s="37">
        <f ca="1">IF(O$7&lt;YEAR(Startops1),0,HLOOKUP(O$7,CF_Table,CF!$AB$36))</f>
        <v>-312.5</v>
      </c>
      <c r="P98" s="37">
        <f ca="1">IF(P$7&lt;YEAR(Startops1),0,HLOOKUP(P$7,CF_Table,CF!$AB$36))</f>
        <v>-312.5</v>
      </c>
      <c r="Q98" s="37">
        <f ca="1">IF(Q$7&lt;YEAR(Startops1),0,HLOOKUP(Q$7,CF_Table,CF!$AB$36))</f>
        <v>-312.5</v>
      </c>
      <c r="R98" s="37">
        <f ca="1">IF(R$7&lt;YEAR(Startops1),0,HLOOKUP(R$7,CF_Table,CF!$AB$36))</f>
        <v>-312.5</v>
      </c>
      <c r="S98" s="37">
        <f ca="1">IF(S$7&lt;YEAR(Startops1),0,HLOOKUP(S$7,CF_Table,CF!$AB$36))</f>
        <v>-312.5</v>
      </c>
      <c r="T98" s="37">
        <f ca="1">IF(T$7&lt;YEAR(Startops1),0,HLOOKUP(T$7,CF_Table,CF!$AB$36))</f>
        <v>-312.5</v>
      </c>
      <c r="U98" s="37">
        <f ca="1">IF(U$7&lt;YEAR(Startops1),0,HLOOKUP(U$7,CF_Table,CF!$AB$36))</f>
        <v>-312.5</v>
      </c>
      <c r="V98" s="37">
        <f ca="1">IF(V$7&lt;YEAR(Startops1),0,HLOOKUP(V$7,CF_Table,CF!$AB$36))</f>
        <v>-312.5</v>
      </c>
      <c r="W98" s="37">
        <f ca="1">IF(W$7&lt;YEAR(Startops1),0,HLOOKUP(W$7,CF_Table,CF!$AB$36))</f>
        <v>-312.5</v>
      </c>
      <c r="X98" s="37">
        <f ca="1">IF(X$7&lt;YEAR(Startops1),0,HLOOKUP(X$7,CF_Table,CF!$AB$36))</f>
        <v>-312.5</v>
      </c>
      <c r="Y98" s="37">
        <f ca="1">IF(Y$7&lt;YEAR(Startops1),0,HLOOKUP(Y$7,CF_Table,CF!$AB$36))</f>
        <v>-312.5</v>
      </c>
      <c r="Z98" s="37">
        <f ca="1">IF(Z$7&lt;YEAR(Startops1),0,HLOOKUP(Z$7,CF_Table,CF!$AB$36))</f>
        <v>-312.5</v>
      </c>
      <c r="AA98" s="37">
        <f ca="1">IF(AA$7&lt;YEAR(Startops1),0,HLOOKUP(AA$7,CF_Table,CF!$AB$36))</f>
        <v>-312.5</v>
      </c>
      <c r="AB98" s="37">
        <f ca="1">IF(AB$7&lt;YEAR(Startops1),0,HLOOKUP(AB$7,CF_Table,CF!$AB$36))</f>
        <v>-312.5</v>
      </c>
      <c r="AC98" s="37">
        <f ca="1">IF(AC$7&lt;YEAR(Startops1),0,HLOOKUP(AC$7,CF_Table,CF!$AB$36))</f>
        <v>-104.16666666666667</v>
      </c>
      <c r="AD98" s="435">
        <f t="shared" ca="1" si="23"/>
        <v>-18591.367912262729</v>
      </c>
    </row>
    <row r="99" spans="1:30">
      <c r="A99" s="20"/>
      <c r="B99" s="15" t="s">
        <v>1905</v>
      </c>
      <c r="F99" s="15"/>
      <c r="G99" s="142">
        <f ca="1">IF(G$7&lt;YEAR(Startops1),0,-HLOOKUP(G$7,CF_Table,CF!$AB$78))</f>
        <v>0</v>
      </c>
      <c r="H99" s="142">
        <f ca="1">IF(H$7&lt;YEAR(Startops1),0,-HLOOKUP(H$7,CF_Table,CF!$AB$78))</f>
        <v>0</v>
      </c>
      <c r="I99" s="142">
        <f ca="1">IF(I$7&lt;YEAR(Startops1),0,-HLOOKUP(I$7,CF_Table,CF!$AB$78))</f>
        <v>0</v>
      </c>
      <c r="J99" s="142">
        <f ca="1">IF(J$7&lt;YEAR(Startops1),0,-HLOOKUP(J$7,CF_Table,CF!$AB$78))</f>
        <v>0</v>
      </c>
      <c r="K99" s="142">
        <f ca="1">IF(K$7&lt;YEAR(Startops1),0,-HLOOKUP(K$7,CF_Table,CF!$AB$78))</f>
        <v>0</v>
      </c>
      <c r="L99" s="142">
        <f ca="1">IF(L$7&lt;YEAR(Startops1),0,-HLOOKUP(L$7,CF_Table,CF!$AB$78))</f>
        <v>4.5474735088646412E-13</v>
      </c>
      <c r="M99" s="142">
        <f ca="1">IF(M$7&lt;YEAR(Startops1),0,-HLOOKUP(M$7,CF_Table,CF!$AB$78))</f>
        <v>-1.8189894035458565E-12</v>
      </c>
      <c r="N99" s="142">
        <f ca="1">IF(N$7&lt;YEAR(Startops1),0,-HLOOKUP(N$7,CF_Table,CF!$AB$78))</f>
        <v>0</v>
      </c>
      <c r="O99" s="142">
        <f ca="1">IF(O$7&lt;YEAR(Startops1),0,-HLOOKUP(O$7,CF_Table,CF!$AB$78))</f>
        <v>1.8189894035458565E-12</v>
      </c>
      <c r="P99" s="142">
        <f ca="1">IF(P$7&lt;YEAR(Startops1),0,-HLOOKUP(P$7,CF_Table,CF!$AB$78))</f>
        <v>1.8189894035458565E-12</v>
      </c>
      <c r="Q99" s="142">
        <f ca="1">IF(Q$7&lt;YEAR(Startops1),0,-HLOOKUP(Q$7,CF_Table,CF!$AB$78))</f>
        <v>-2297.0588723615965</v>
      </c>
      <c r="R99" s="142">
        <f ca="1">IF(R$7&lt;YEAR(Startops1),0,-HLOOKUP(R$7,CF_Table,CF!$AB$78))</f>
        <v>-5944.7963565306381</v>
      </c>
      <c r="S99" s="142">
        <f ca="1">IF(S$7&lt;YEAR(Startops1),0,-HLOOKUP(S$7,CF_Table,CF!$AB$78))</f>
        <v>-6215.4120682037083</v>
      </c>
      <c r="T99" s="142">
        <f ca="1">IF(T$7&lt;YEAR(Startops1),0,-HLOOKUP(T$7,CF_Table,CF!$AB$78))</f>
        <v>-7153.9144703393649</v>
      </c>
      <c r="U99" s="142">
        <f ca="1">IF(U$7&lt;YEAR(Startops1),0,-HLOOKUP(U$7,CF_Table,CF!$AB$78))</f>
        <v>-7772.6229549989557</v>
      </c>
      <c r="V99" s="142">
        <f ca="1">IF(V$7&lt;YEAR(Startops1),0,-HLOOKUP(V$7,CF_Table,CF!$AB$78))</f>
        <v>-5510.8880678318901</v>
      </c>
      <c r="W99" s="142">
        <f ca="1">IF(W$7&lt;YEAR(Startops1),0,-HLOOKUP(W$7,CF_Table,CF!$AB$78))</f>
        <v>-7093.2624647622633</v>
      </c>
      <c r="X99" s="142">
        <f ca="1">IF(X$7&lt;YEAR(Startops1),0,-HLOOKUP(X$7,CF_Table,CF!$AB$78))</f>
        <v>-2410.5049231865432</v>
      </c>
      <c r="Y99" s="142">
        <f ca="1">IF(Y$7&lt;YEAR(Startops1),0,-HLOOKUP(Y$7,CF_Table,CF!$AB$78))</f>
        <v>0</v>
      </c>
      <c r="Z99" s="142">
        <f ca="1">IF(Z$7&lt;YEAR(Startops1),0,-HLOOKUP(Z$7,CF_Table,CF!$AB$78))</f>
        <v>0</v>
      </c>
      <c r="AA99" s="142">
        <f ca="1">IF(AA$7&lt;YEAR(Startops1),0,-HLOOKUP(AA$7,CF_Table,CF!$AB$78))</f>
        <v>0</v>
      </c>
      <c r="AB99" s="142">
        <f ca="1">IF(AB$7&lt;YEAR(Startops1),0,-HLOOKUP(AB$7,CF_Table,CF!$AB$78))</f>
        <v>-1.8189894035458565E-12</v>
      </c>
      <c r="AC99" s="142">
        <f ca="1">IF(AC$7&lt;YEAR(Startops1),0,-HLOOKUP(AC$7,CF_Table,CF!$AB$78))</f>
        <v>-44618.28527209106</v>
      </c>
      <c r="AD99" s="436">
        <f t="shared" ca="1" si="23"/>
        <v>-89016.745450306014</v>
      </c>
    </row>
    <row r="100" spans="1:30">
      <c r="A100" s="20"/>
      <c r="C100" s="15" t="s">
        <v>1200</v>
      </c>
      <c r="F100" s="15"/>
      <c r="G100" s="37">
        <f ca="1">SUM(G76:G99)</f>
        <v>0</v>
      </c>
      <c r="H100" s="37">
        <f t="shared" ref="H100:AC100" ca="1" si="30">SUM(H76:H99)</f>
        <v>0</v>
      </c>
      <c r="I100" s="37">
        <f t="shared" ca="1" si="30"/>
        <v>1744.1330752796434</v>
      </c>
      <c r="J100" s="37">
        <f t="shared" ca="1" si="30"/>
        <v>-3756.6655357862446</v>
      </c>
      <c r="K100" s="37">
        <f t="shared" ca="1" si="30"/>
        <v>-29649.05201982347</v>
      </c>
      <c r="L100" s="37">
        <f t="shared" ca="1" si="30"/>
        <v>-42816.922172658022</v>
      </c>
      <c r="M100" s="37">
        <f t="shared" ca="1" si="30"/>
        <v>-46960.371164615703</v>
      </c>
      <c r="N100" s="37">
        <f t="shared" ca="1" si="30"/>
        <v>-29376.099220694083</v>
      </c>
      <c r="O100" s="37">
        <f t="shared" ca="1" si="30"/>
        <v>-50820.091294285477</v>
      </c>
      <c r="P100" s="37">
        <f t="shared" ca="1" si="30"/>
        <v>-51345.645624693876</v>
      </c>
      <c r="Q100" s="37">
        <f t="shared" ca="1" si="30"/>
        <v>-47507.272591934998</v>
      </c>
      <c r="R100" s="37">
        <f t="shared" ca="1" si="30"/>
        <v>-43648.928883758359</v>
      </c>
      <c r="S100" s="37">
        <f t="shared" ca="1" si="30"/>
        <v>-43657.557069481649</v>
      </c>
      <c r="T100" s="37">
        <f t="shared" ca="1" si="30"/>
        <v>-43819.089270243596</v>
      </c>
      <c r="U100" s="37">
        <f t="shared" ca="1" si="30"/>
        <v>-38750.315763148239</v>
      </c>
      <c r="V100" s="37">
        <f t="shared" ca="1" si="30"/>
        <v>-32359.054315517296</v>
      </c>
      <c r="W100" s="37">
        <f t="shared" ca="1" si="30"/>
        <v>-39179.220701507948</v>
      </c>
      <c r="X100" s="37">
        <f t="shared" ca="1" si="30"/>
        <v>-23905.12949710041</v>
      </c>
      <c r="Y100" s="37">
        <f t="shared" ca="1" si="30"/>
        <v>-10230.562736609218</v>
      </c>
      <c r="Z100" s="37">
        <f t="shared" ca="1" si="30"/>
        <v>-5297.8963323427633</v>
      </c>
      <c r="AA100" s="37">
        <f t="shared" ca="1" si="30"/>
        <v>-3697.3476325044066</v>
      </c>
      <c r="AB100" s="37">
        <f t="shared" ca="1" si="30"/>
        <v>-4997.543604677805</v>
      </c>
      <c r="AC100" s="37">
        <f t="shared" ca="1" si="30"/>
        <v>-671.32693499761081</v>
      </c>
      <c r="AD100" s="435">
        <f t="shared" ca="1" si="23"/>
        <v>-590701.95929110155</v>
      </c>
    </row>
    <row r="101" spans="1:30">
      <c r="A101" s="20"/>
      <c r="F101" s="1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431"/>
    </row>
    <row r="102" spans="1:30">
      <c r="A102" s="20" t="s">
        <v>1201</v>
      </c>
      <c r="F102" s="15"/>
      <c r="G102" s="37">
        <f t="shared" ref="G102:AC102" ca="1" si="31">G73+G100</f>
        <v>0</v>
      </c>
      <c r="H102" s="37">
        <f t="shared" ca="1" si="31"/>
        <v>0</v>
      </c>
      <c r="I102" s="37">
        <f t="shared" ca="1" si="31"/>
        <v>-5.0022208597511053E-11</v>
      </c>
      <c r="J102" s="37">
        <f t="shared" ca="1" si="31"/>
        <v>1.2732925824820995E-11</v>
      </c>
      <c r="K102" s="37">
        <f t="shared" ca="1" si="31"/>
        <v>8.0035533756017685E-11</v>
      </c>
      <c r="L102" s="37">
        <f t="shared" ca="1" si="31"/>
        <v>0</v>
      </c>
      <c r="M102" s="37">
        <f t="shared" ca="1" si="31"/>
        <v>0</v>
      </c>
      <c r="N102" s="37">
        <f t="shared" ca="1" si="31"/>
        <v>20778.957467698052</v>
      </c>
      <c r="O102" s="37">
        <f t="shared" ca="1" si="31"/>
        <v>0</v>
      </c>
      <c r="P102" s="37">
        <f t="shared" ca="1" si="31"/>
        <v>0</v>
      </c>
      <c r="Q102" s="37">
        <f t="shared" ca="1" si="31"/>
        <v>0</v>
      </c>
      <c r="R102" s="37">
        <f t="shared" ca="1" si="31"/>
        <v>0</v>
      </c>
      <c r="S102" s="37">
        <f t="shared" ca="1" si="31"/>
        <v>0</v>
      </c>
      <c r="T102" s="37">
        <f t="shared" ca="1" si="31"/>
        <v>0</v>
      </c>
      <c r="U102" s="37">
        <f t="shared" ca="1" si="31"/>
        <v>0</v>
      </c>
      <c r="V102" s="37">
        <f t="shared" ca="1" si="31"/>
        <v>0</v>
      </c>
      <c r="W102" s="37">
        <f t="shared" ca="1" si="31"/>
        <v>0</v>
      </c>
      <c r="X102" s="37">
        <f t="shared" ca="1" si="31"/>
        <v>0</v>
      </c>
      <c r="Y102" s="37">
        <f t="shared" ca="1" si="31"/>
        <v>-2.9103830456733704E-11</v>
      </c>
      <c r="Z102" s="37">
        <f t="shared" ca="1" si="31"/>
        <v>0</v>
      </c>
      <c r="AA102" s="37">
        <f t="shared" ca="1" si="31"/>
        <v>-2.9558577807620168E-11</v>
      </c>
      <c r="AB102" s="37">
        <f t="shared" ca="1" si="31"/>
        <v>0</v>
      </c>
      <c r="AC102" s="37">
        <f t="shared" ca="1" si="31"/>
        <v>1.2164491636212915E-11</v>
      </c>
      <c r="AD102" s="435"/>
    </row>
    <row r="103" spans="1:30">
      <c r="A103" s="20" t="s">
        <v>1202</v>
      </c>
      <c r="F103" s="15"/>
      <c r="G103" s="766">
        <v>0</v>
      </c>
      <c r="H103" s="37">
        <f ca="1">G104</f>
        <v>0</v>
      </c>
      <c r="I103" s="37">
        <f t="shared" ref="I103:AC103" ca="1" si="32">H104</f>
        <v>0</v>
      </c>
      <c r="J103" s="37">
        <f t="shared" ca="1" si="32"/>
        <v>-5.0022208597511053E-11</v>
      </c>
      <c r="K103" s="37">
        <f t="shared" ca="1" si="32"/>
        <v>-3.7289282772690058E-11</v>
      </c>
      <c r="L103" s="37">
        <f t="shared" ca="1" si="32"/>
        <v>4.2746250983327627E-11</v>
      </c>
      <c r="M103" s="37">
        <f t="shared" ca="1" si="32"/>
        <v>4.2746250983327627E-11</v>
      </c>
      <c r="N103" s="37">
        <f t="shared" ca="1" si="32"/>
        <v>4.2746250983327627E-11</v>
      </c>
      <c r="O103" s="37">
        <f t="shared" ca="1" si="32"/>
        <v>20778.957467698096</v>
      </c>
      <c r="P103" s="37">
        <f t="shared" ca="1" si="32"/>
        <v>20778.957467698096</v>
      </c>
      <c r="Q103" s="37">
        <f t="shared" ca="1" si="32"/>
        <v>20778.957467698096</v>
      </c>
      <c r="R103" s="37">
        <f t="shared" ca="1" si="32"/>
        <v>20778.957467698096</v>
      </c>
      <c r="S103" s="37">
        <f t="shared" ca="1" si="32"/>
        <v>20778.957467698096</v>
      </c>
      <c r="T103" s="37">
        <f t="shared" ca="1" si="32"/>
        <v>20778.957467698096</v>
      </c>
      <c r="U103" s="37">
        <f t="shared" ca="1" si="32"/>
        <v>20778.957467698096</v>
      </c>
      <c r="V103" s="37">
        <f t="shared" ca="1" si="32"/>
        <v>20778.957467698096</v>
      </c>
      <c r="W103" s="37">
        <f t="shared" ca="1" si="32"/>
        <v>20778.957467698096</v>
      </c>
      <c r="X103" s="37">
        <f t="shared" ca="1" si="32"/>
        <v>20778.957467698096</v>
      </c>
      <c r="Y103" s="37">
        <f t="shared" ca="1" si="32"/>
        <v>20778.957467698096</v>
      </c>
      <c r="Z103" s="37">
        <f t="shared" ca="1" si="32"/>
        <v>20778.957467698066</v>
      </c>
      <c r="AA103" s="37">
        <f t="shared" ca="1" si="32"/>
        <v>20778.957467698066</v>
      </c>
      <c r="AB103" s="37">
        <f t="shared" ca="1" si="32"/>
        <v>20778.957467698037</v>
      </c>
      <c r="AC103" s="37">
        <f t="shared" ca="1" si="32"/>
        <v>20778.957467698037</v>
      </c>
      <c r="AD103" s="435"/>
    </row>
    <row r="104" spans="1:30" ht="13.5" thickBot="1">
      <c r="A104" s="48" t="s">
        <v>1203</v>
      </c>
      <c r="B104" s="49"/>
      <c r="C104" s="49"/>
      <c r="D104" s="49"/>
      <c r="E104" s="49"/>
      <c r="F104" s="49"/>
      <c r="G104" s="51">
        <f t="shared" ref="G104:AC104" ca="1" si="33">G102+G103</f>
        <v>0</v>
      </c>
      <c r="H104" s="51">
        <f t="shared" ca="1" si="33"/>
        <v>0</v>
      </c>
      <c r="I104" s="51">
        <f t="shared" ca="1" si="33"/>
        <v>-5.0022208597511053E-11</v>
      </c>
      <c r="J104" s="51">
        <f t="shared" ca="1" si="33"/>
        <v>-3.7289282772690058E-11</v>
      </c>
      <c r="K104" s="51">
        <f t="shared" ca="1" si="33"/>
        <v>4.2746250983327627E-11</v>
      </c>
      <c r="L104" s="51">
        <f t="shared" ca="1" si="33"/>
        <v>4.2746250983327627E-11</v>
      </c>
      <c r="M104" s="51">
        <f t="shared" ca="1" si="33"/>
        <v>4.2746250983327627E-11</v>
      </c>
      <c r="N104" s="51">
        <f t="shared" ca="1" si="33"/>
        <v>20778.957467698096</v>
      </c>
      <c r="O104" s="51">
        <f t="shared" ca="1" si="33"/>
        <v>20778.957467698096</v>
      </c>
      <c r="P104" s="51">
        <f t="shared" ca="1" si="33"/>
        <v>20778.957467698096</v>
      </c>
      <c r="Q104" s="51">
        <f t="shared" ca="1" si="33"/>
        <v>20778.957467698096</v>
      </c>
      <c r="R104" s="51">
        <f t="shared" ca="1" si="33"/>
        <v>20778.957467698096</v>
      </c>
      <c r="S104" s="51">
        <f t="shared" ca="1" si="33"/>
        <v>20778.957467698096</v>
      </c>
      <c r="T104" s="51">
        <f t="shared" ca="1" si="33"/>
        <v>20778.957467698096</v>
      </c>
      <c r="U104" s="51">
        <f t="shared" ca="1" si="33"/>
        <v>20778.957467698096</v>
      </c>
      <c r="V104" s="51">
        <f t="shared" ca="1" si="33"/>
        <v>20778.957467698096</v>
      </c>
      <c r="W104" s="51">
        <f t="shared" ca="1" si="33"/>
        <v>20778.957467698096</v>
      </c>
      <c r="X104" s="51">
        <f t="shared" ca="1" si="33"/>
        <v>20778.957467698096</v>
      </c>
      <c r="Y104" s="51">
        <f t="shared" ca="1" si="33"/>
        <v>20778.957467698066</v>
      </c>
      <c r="Z104" s="51">
        <f t="shared" ca="1" si="33"/>
        <v>20778.957467698066</v>
      </c>
      <c r="AA104" s="51">
        <f t="shared" ca="1" si="33"/>
        <v>20778.957467698037</v>
      </c>
      <c r="AB104" s="51">
        <f t="shared" ca="1" si="33"/>
        <v>20778.957467698037</v>
      </c>
      <c r="AC104" s="51">
        <f t="shared" ca="1" si="33"/>
        <v>20778.957467698048</v>
      </c>
      <c r="AD104" s="484"/>
    </row>
  </sheetData>
  <printOptions horizontalCentered="1"/>
  <pageMargins left="0.25" right="0.25" top="0.5" bottom="0.5" header="0.25" footer="0.25"/>
  <pageSetup scale="32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J75"/>
  <sheetViews>
    <sheetView showGridLines="0" topLeftCell="C36" zoomScale="75" workbookViewId="0">
      <selection activeCell="H75" sqref="H75"/>
    </sheetView>
  </sheetViews>
  <sheetFormatPr defaultRowHeight="12.75"/>
  <cols>
    <col min="1" max="1" width="30.7109375" style="7" customWidth="1"/>
    <col min="2" max="2" width="47.7109375" style="7" customWidth="1"/>
    <col min="3" max="6" width="10.7109375" style="7" customWidth="1"/>
    <col min="7" max="7" width="23.7109375" style="7" customWidth="1"/>
    <col min="8" max="8" width="13.7109375" style="1489" customWidth="1"/>
    <col min="9" max="9" width="23.7109375" style="7" customWidth="1"/>
    <col min="10" max="10" width="35.7109375" style="7" customWidth="1"/>
    <col min="11" max="16384" width="9.140625" style="7"/>
  </cols>
  <sheetData>
    <row r="1" spans="1:10" s="1" customFormat="1" ht="15.75">
      <c r="A1" s="1137" t="str">
        <f>CONCATENATE(TOC!B2," ",TOC!B6)</f>
        <v>EMPRESSA PRODUTORA DE ENERGÍA LTDA (EPE) *** DRAFT COPY ***</v>
      </c>
      <c r="H1" s="1488"/>
    </row>
    <row r="2" spans="1:10" s="1" customFormat="1" ht="15.75">
      <c r="A2" s="1137" t="str">
        <f>TOC!B3</f>
        <v>480 MW POWER PLANT (CUIABA, BRAZIL)</v>
      </c>
      <c r="H2" s="1488"/>
    </row>
    <row r="3" spans="1:10" s="1" customFormat="1" ht="15">
      <c r="A3" s="118" t="str">
        <f>TOC!B4</f>
        <v>ENRON INTERNATIONAL</v>
      </c>
      <c r="H3" s="1488"/>
    </row>
    <row r="4" spans="1:10" s="1" customFormat="1" ht="15">
      <c r="A4" s="932" t="s">
        <v>670</v>
      </c>
      <c r="H4" s="1488"/>
    </row>
    <row r="5" spans="1:10" customFormat="1" ht="13.5" thickBot="1">
      <c r="A5" s="1"/>
      <c r="B5" s="15"/>
      <c r="C5" s="1"/>
      <c r="D5" s="15"/>
      <c r="E5" s="15"/>
      <c r="F5" s="7"/>
      <c r="G5" s="7"/>
      <c r="H5" s="1489"/>
      <c r="I5" s="7"/>
      <c r="J5" s="7"/>
    </row>
    <row r="6" spans="1:10">
      <c r="A6" s="578"/>
      <c r="B6" s="579"/>
      <c r="C6" s="580"/>
      <c r="D6" s="580"/>
      <c r="E6" s="580"/>
      <c r="F6" s="581"/>
      <c r="G6" s="579"/>
      <c r="H6" s="1490"/>
      <c r="I6" s="579" t="s">
        <v>671</v>
      </c>
      <c r="J6" s="582"/>
    </row>
    <row r="7" spans="1:10">
      <c r="A7" s="583"/>
      <c r="B7" s="96"/>
      <c r="C7" s="103" t="s">
        <v>689</v>
      </c>
      <c r="D7" s="97"/>
      <c r="E7" s="98"/>
      <c r="F7" s="98"/>
      <c r="G7" s="96"/>
      <c r="H7" s="1491" t="s">
        <v>1257</v>
      </c>
      <c r="I7" s="96" t="s">
        <v>672</v>
      </c>
      <c r="J7" s="584"/>
    </row>
    <row r="8" spans="1:10" ht="13.5" thickBot="1">
      <c r="A8" s="585" t="s">
        <v>673</v>
      </c>
      <c r="B8" s="586" t="s">
        <v>674</v>
      </c>
      <c r="C8" s="587" t="s">
        <v>691</v>
      </c>
      <c r="D8" s="588"/>
      <c r="E8" s="589"/>
      <c r="F8" s="589"/>
      <c r="G8" s="586" t="s">
        <v>675</v>
      </c>
      <c r="H8" s="1492" t="s">
        <v>676</v>
      </c>
      <c r="I8" s="586" t="s">
        <v>1258</v>
      </c>
      <c r="J8" s="590" t="s">
        <v>677</v>
      </c>
    </row>
    <row r="9" spans="1:10" s="15" customFormat="1" ht="13.5" thickBot="1">
      <c r="H9" s="1493"/>
    </row>
    <row r="10" spans="1:10">
      <c r="A10" s="591" t="str">
        <f>Assm!A6</f>
        <v>Power Plant Data</v>
      </c>
      <c r="B10" s="393"/>
      <c r="C10" s="592" t="str">
        <f>Assm!C6</f>
        <v>Phase I</v>
      </c>
      <c r="D10" s="593" t="str">
        <f>Assm!D6</f>
        <v>Phase II</v>
      </c>
      <c r="E10" s="593" t="str">
        <f>Assm!E6</f>
        <v>Phase III</v>
      </c>
      <c r="F10" s="555"/>
      <c r="G10" s="940"/>
      <c r="H10" s="1494"/>
      <c r="I10" s="940"/>
      <c r="J10" s="941"/>
    </row>
    <row r="11" spans="1:10">
      <c r="A11" s="594"/>
      <c r="B11" s="64" t="str">
        <f>Assm!A7</f>
        <v>Capacity</v>
      </c>
      <c r="C11" s="65">
        <f>Assm!C7</f>
        <v>150</v>
      </c>
      <c r="D11" s="65">
        <f>Assm!D7</f>
        <v>237.77937158469945</v>
      </c>
      <c r="E11" s="65">
        <f>Assm!E7</f>
        <v>480</v>
      </c>
      <c r="F11" s="17" t="str">
        <f>Assm!F7</f>
        <v>MW</v>
      </c>
      <c r="G11" s="942" t="s">
        <v>341</v>
      </c>
      <c r="H11" s="1495">
        <v>35664</v>
      </c>
      <c r="I11" s="942" t="s">
        <v>1807</v>
      </c>
      <c r="J11" s="943" t="s">
        <v>337</v>
      </c>
    </row>
    <row r="12" spans="1:10">
      <c r="A12" s="595"/>
      <c r="B12" s="64" t="str">
        <f>Assm!A8</f>
        <v>Availability</v>
      </c>
      <c r="C12" s="365" t="str">
        <f>Assm!C8</f>
        <v>See Availability Table (Tariff Sheet)</v>
      </c>
      <c r="D12" s="365"/>
      <c r="E12" s="365"/>
      <c r="F12" s="101"/>
      <c r="G12" s="942" t="s">
        <v>1925</v>
      </c>
      <c r="H12" s="1495">
        <v>36386</v>
      </c>
      <c r="I12" s="942" t="s">
        <v>695</v>
      </c>
      <c r="J12" s="943" t="s">
        <v>338</v>
      </c>
    </row>
    <row r="13" spans="1:10">
      <c r="A13" s="595"/>
      <c r="B13" s="64" t="str">
        <f>Assm!A9</f>
        <v>Heat Rate</v>
      </c>
      <c r="C13" s="65">
        <f>Assm!C9</f>
        <v>10100</v>
      </c>
      <c r="D13" s="65">
        <f>Assm!D9</f>
        <v>10100</v>
      </c>
      <c r="E13" s="65">
        <f>Assm!E9</f>
        <v>7000</v>
      </c>
      <c r="F13" s="17" t="str">
        <f>Assm!F9</f>
        <v>Btu / Kwh</v>
      </c>
      <c r="G13" s="942" t="s">
        <v>336</v>
      </c>
      <c r="H13" s="1495">
        <v>36238</v>
      </c>
      <c r="I13" s="942" t="s">
        <v>694</v>
      </c>
      <c r="J13" s="943" t="s">
        <v>1818</v>
      </c>
    </row>
    <row r="14" spans="1:10">
      <c r="A14" s="595"/>
      <c r="B14" s="64" t="str">
        <f>Assm!A10</f>
        <v xml:space="preserve">Dispatch </v>
      </c>
      <c r="C14" s="277" t="str">
        <f>Assm!C10</f>
        <v>See Dispatch Table (Tariff Sheet)</v>
      </c>
      <c r="D14" s="277"/>
      <c r="E14" s="277"/>
      <c r="F14" s="101"/>
      <c r="G14" s="942" t="s">
        <v>156</v>
      </c>
      <c r="H14" s="1495">
        <v>36020</v>
      </c>
      <c r="I14" s="942" t="s">
        <v>695</v>
      </c>
      <c r="J14" s="943" t="s">
        <v>155</v>
      </c>
    </row>
    <row r="15" spans="1:10" ht="13.5" thickBot="1">
      <c r="A15" s="596"/>
      <c r="B15" s="597" t="str">
        <f>Assm!A11</f>
        <v>Equipment</v>
      </c>
      <c r="C15" s="145" t="str">
        <f>Assm!C11</f>
        <v>2 V84.3A Seimens / 1 Steam Turbine</v>
      </c>
      <c r="D15" s="145"/>
      <c r="E15" s="145"/>
      <c r="F15" s="1344"/>
      <c r="G15" s="944" t="s">
        <v>341</v>
      </c>
      <c r="H15" s="1496">
        <v>35664</v>
      </c>
      <c r="I15" s="944" t="s">
        <v>1807</v>
      </c>
      <c r="J15" s="945" t="s">
        <v>342</v>
      </c>
    </row>
    <row r="16" spans="1:10" s="15" customFormat="1" ht="13.5" thickBot="1">
      <c r="H16" s="1493"/>
      <c r="I16" s="44"/>
    </row>
    <row r="17" spans="1:10">
      <c r="A17" s="591" t="str">
        <f>Assm!A13</f>
        <v>Project Operations</v>
      </c>
      <c r="B17" s="599" t="str">
        <f>Assm!A14</f>
        <v>Start Of Construction</v>
      </c>
      <c r="C17" s="735">
        <f>Assm!C14</f>
        <v>35765</v>
      </c>
      <c r="D17" s="736">
        <f>Assm!C14</f>
        <v>35765</v>
      </c>
      <c r="E17" s="736">
        <f>Assm!C14</f>
        <v>35765</v>
      </c>
      <c r="F17" s="555"/>
      <c r="G17" s="940" t="s">
        <v>1419</v>
      </c>
      <c r="H17" s="1494">
        <v>35664</v>
      </c>
      <c r="I17" s="940" t="s">
        <v>1807</v>
      </c>
      <c r="J17" s="941" t="s">
        <v>1119</v>
      </c>
    </row>
    <row r="18" spans="1:10">
      <c r="A18" s="595"/>
      <c r="B18" s="64" t="str">
        <f>Assm!A15</f>
        <v>Term Of Construction - Months</v>
      </c>
      <c r="C18" s="94">
        <f ca="1">Assm!C15</f>
        <v>16</v>
      </c>
      <c r="D18" s="65">
        <f>Assm!D15</f>
        <v>39</v>
      </c>
      <c r="E18" s="65">
        <f>Assm!E15</f>
        <v>44</v>
      </c>
      <c r="F18" s="805" t="s">
        <v>678</v>
      </c>
      <c r="G18" s="942" t="s">
        <v>692</v>
      </c>
      <c r="H18" s="1495"/>
      <c r="I18" s="942"/>
      <c r="J18" s="943" t="s">
        <v>1829</v>
      </c>
    </row>
    <row r="19" spans="1:10">
      <c r="A19" s="595"/>
      <c r="B19" s="64" t="str">
        <f>Assm!A16</f>
        <v>Start Of Operations</v>
      </c>
      <c r="C19" s="734">
        <f ca="1">Assm!C16</f>
        <v>36251</v>
      </c>
      <c r="D19" s="394">
        <f>Assm!D16</f>
        <v>36951</v>
      </c>
      <c r="E19" s="394">
        <f>Assm!E16</f>
        <v>37104</v>
      </c>
      <c r="F19" s="17"/>
      <c r="G19" s="942" t="s">
        <v>1048</v>
      </c>
      <c r="H19" s="1495">
        <v>36622</v>
      </c>
      <c r="I19" s="942" t="s">
        <v>431</v>
      </c>
      <c r="J19" s="943" t="s">
        <v>488</v>
      </c>
    </row>
    <row r="20" spans="1:10">
      <c r="A20" s="595"/>
      <c r="B20" s="64" t="str">
        <f>Assm!A17</f>
        <v>Term of Operations - Months</v>
      </c>
      <c r="C20" s="94">
        <f ca="1">Assm!C17</f>
        <v>23</v>
      </c>
      <c r="D20" s="65">
        <f>Assm!D17</f>
        <v>5</v>
      </c>
      <c r="E20" s="65">
        <f>Assm!E17</f>
        <v>9</v>
      </c>
      <c r="F20" s="805" t="s">
        <v>678</v>
      </c>
      <c r="G20" s="942" t="s">
        <v>692</v>
      </c>
      <c r="H20" s="1495"/>
      <c r="I20" s="942"/>
      <c r="J20" s="943" t="s">
        <v>340</v>
      </c>
    </row>
    <row r="21" spans="1:10">
      <c r="A21" s="595"/>
      <c r="B21" s="64" t="str">
        <f>Assm!A19</f>
        <v>Term Of Contract - Years</v>
      </c>
      <c r="C21" s="360"/>
      <c r="D21" s="727"/>
      <c r="E21" s="65">
        <f>Assm!F19</f>
        <v>20</v>
      </c>
      <c r="F21" s="805" t="s">
        <v>568</v>
      </c>
      <c r="G21" s="942" t="s">
        <v>1371</v>
      </c>
      <c r="H21" s="1495">
        <v>35759</v>
      </c>
      <c r="I21" s="942"/>
      <c r="J21" s="943" t="s">
        <v>1378</v>
      </c>
    </row>
    <row r="22" spans="1:10">
      <c r="A22" s="595"/>
      <c r="B22" s="64" t="str">
        <f>Assm!A20</f>
        <v>End Date Of PPA</v>
      </c>
      <c r="C22" s="360"/>
      <c r="D22" s="727"/>
      <c r="E22" s="394">
        <f>Assm!F20</f>
        <v>43585</v>
      </c>
      <c r="F22" s="17"/>
      <c r="G22" s="942" t="s">
        <v>1371</v>
      </c>
      <c r="H22" s="1495">
        <v>35759</v>
      </c>
      <c r="I22" s="942"/>
      <c r="J22" s="943" t="s">
        <v>339</v>
      </c>
    </row>
    <row r="23" spans="1:10" s="15" customFormat="1" ht="13.5" thickBot="1">
      <c r="A23" s="596"/>
      <c r="B23" s="597">
        <f>Assm!A21</f>
        <v>0</v>
      </c>
      <c r="C23" s="600"/>
      <c r="D23" s="601"/>
      <c r="E23" s="726" t="str">
        <f>Assm!F21</f>
        <v>BOT</v>
      </c>
      <c r="F23" s="598"/>
      <c r="G23" s="944" t="s">
        <v>1371</v>
      </c>
      <c r="H23" s="1496">
        <v>35759</v>
      </c>
      <c r="I23" s="944"/>
      <c r="J23" s="945" t="s">
        <v>1378</v>
      </c>
    </row>
    <row r="24" spans="1:10" s="15" customFormat="1" ht="13.5" thickBot="1">
      <c r="H24" s="1493"/>
      <c r="I24" s="44"/>
    </row>
    <row r="25" spans="1:10">
      <c r="A25" s="591" t="str">
        <f>Assm!A23</f>
        <v>Financial Closing</v>
      </c>
      <c r="B25" s="599" t="str">
        <f>Assm!A24</f>
        <v>Date Of Financial Close</v>
      </c>
      <c r="C25" s="735">
        <f ca="1">Fin_Close</f>
        <v>36770</v>
      </c>
      <c r="D25" s="413"/>
      <c r="E25" s="413"/>
      <c r="F25" s="620"/>
      <c r="G25" s="940" t="s">
        <v>1048</v>
      </c>
      <c r="H25" s="1494">
        <v>36622</v>
      </c>
      <c r="I25" s="940" t="s">
        <v>431</v>
      </c>
      <c r="J25" s="941" t="s">
        <v>489</v>
      </c>
    </row>
    <row r="26" spans="1:10">
      <c r="A26" s="595"/>
      <c r="B26" s="64" t="str">
        <f>Assm!A25</f>
        <v>PPA To Financial Close - Months</v>
      </c>
      <c r="C26" s="722">
        <f ca="1">Term_Fc</f>
        <v>33</v>
      </c>
      <c r="D26" s="218"/>
      <c r="E26" s="218"/>
      <c r="F26" s="723"/>
      <c r="G26" s="942" t="s">
        <v>692</v>
      </c>
      <c r="H26" s="1495"/>
      <c r="I26" s="942"/>
      <c r="J26" s="943" t="s">
        <v>1385</v>
      </c>
    </row>
    <row r="27" spans="1:10" ht="13.5" thickBot="1">
      <c r="A27" s="596"/>
      <c r="B27" s="597" t="str">
        <f>Assm!A26</f>
        <v>First Debt Service Payment</v>
      </c>
      <c r="C27" s="737">
        <f>Debt_Serv</f>
        <v>37288</v>
      </c>
      <c r="D27" s="724"/>
      <c r="E27" s="724"/>
      <c r="F27" s="725"/>
      <c r="G27" s="944" t="s">
        <v>693</v>
      </c>
      <c r="H27" s="1496">
        <v>36076</v>
      </c>
      <c r="I27" s="944" t="s">
        <v>693</v>
      </c>
      <c r="J27" s="945" t="s">
        <v>1384</v>
      </c>
    </row>
    <row r="28" spans="1:10" s="15" customFormat="1" ht="13.5" thickBot="1">
      <c r="H28" s="1493"/>
      <c r="I28" s="44"/>
    </row>
    <row r="29" spans="1:10">
      <c r="A29" s="591" t="str">
        <f>Assm!A28</f>
        <v>Pricing</v>
      </c>
      <c r="B29" s="819" t="str">
        <f>Assm!E28</f>
        <v>Base Year For Tariff Pricing</v>
      </c>
      <c r="C29" s="817">
        <f>Assm!F28</f>
        <v>1997</v>
      </c>
      <c r="D29" s="131"/>
      <c r="E29" s="131"/>
      <c r="F29" s="603" t="s">
        <v>382</v>
      </c>
      <c r="G29" s="940"/>
      <c r="H29" s="1494"/>
      <c r="I29" s="940"/>
      <c r="J29" s="941"/>
    </row>
    <row r="30" spans="1:10">
      <c r="A30" s="595"/>
      <c r="B30" s="64" t="str">
        <f>Assm!E29</f>
        <v>Annex 12 Escalation (0=Off, 1=On)</v>
      </c>
      <c r="C30" s="818">
        <f>Assm!F29</f>
        <v>1</v>
      </c>
      <c r="D30" s="818" t="str">
        <f>IF(C30=0,"Off","On")</f>
        <v>On</v>
      </c>
      <c r="E30" s="606"/>
      <c r="F30" s="353"/>
      <c r="G30" s="942"/>
      <c r="H30" s="1495"/>
      <c r="I30" s="942"/>
      <c r="J30" s="943"/>
    </row>
    <row r="31" spans="1:10">
      <c r="A31" s="594"/>
      <c r="B31" s="278" t="s">
        <v>731</v>
      </c>
      <c r="C31" s="93"/>
      <c r="D31" s="93"/>
      <c r="E31" s="93"/>
      <c r="F31" s="93"/>
      <c r="G31" s="942"/>
      <c r="H31" s="1495"/>
      <c r="I31" s="942"/>
      <c r="J31" s="943"/>
    </row>
    <row r="32" spans="1:10">
      <c r="A32" s="595"/>
      <c r="B32" s="64" t="str">
        <f>Assm!A31</f>
        <v>Plant &amp; Transmission ($/Kw-Mo)</v>
      </c>
      <c r="C32" s="134" t="str">
        <f>Assm!C31</f>
        <v>See Tariff Sheet</v>
      </c>
      <c r="D32" s="134"/>
      <c r="E32" s="42"/>
      <c r="F32" s="339" t="str">
        <f>Assm!F31</f>
        <v>CPI / IGPM</v>
      </c>
      <c r="G32" s="942" t="s">
        <v>346</v>
      </c>
      <c r="H32" s="1495">
        <v>35759</v>
      </c>
      <c r="I32" s="942" t="s">
        <v>347</v>
      </c>
      <c r="J32" s="943" t="s">
        <v>1376</v>
      </c>
    </row>
    <row r="33" spans="1:10">
      <c r="A33" s="595"/>
      <c r="B33" s="64" t="str">
        <f>Assm!A32</f>
        <v>Transport Gas ($/Kw-Mo)</v>
      </c>
      <c r="C33" s="134" t="str">
        <f>Assm!C32</f>
        <v>See Tariff Sheet</v>
      </c>
      <c r="D33" s="134"/>
      <c r="E33" s="42"/>
      <c r="F33" s="339" t="str">
        <f>Assm!F32</f>
        <v>CPI</v>
      </c>
      <c r="G33" s="942" t="s">
        <v>1371</v>
      </c>
      <c r="H33" s="1495">
        <v>35759</v>
      </c>
      <c r="I33" s="942" t="s">
        <v>695</v>
      </c>
      <c r="J33" s="943" t="s">
        <v>1372</v>
      </c>
    </row>
    <row r="34" spans="1:10">
      <c r="A34" s="595"/>
      <c r="B34" s="64" t="str">
        <f>Assm!A33</f>
        <v>Commodity Gas ($/Kw-Mo)</v>
      </c>
      <c r="C34" s="134" t="str">
        <f>Assm!C33</f>
        <v>See Tariff Sheet</v>
      </c>
      <c r="D34" s="134"/>
      <c r="E34" s="42"/>
      <c r="F34" s="338" t="str">
        <f>Assm!F33</f>
        <v>CPI Less .0025</v>
      </c>
      <c r="G34" s="942" t="s">
        <v>1371</v>
      </c>
      <c r="H34" s="1495">
        <v>35759</v>
      </c>
      <c r="I34" s="942" t="s">
        <v>695</v>
      </c>
      <c r="J34" s="943" t="s">
        <v>1373</v>
      </c>
    </row>
    <row r="35" spans="1:10">
      <c r="A35" s="595"/>
      <c r="B35" s="278" t="str">
        <f>Assm!A34</f>
        <v>Energy (Variable) Payments</v>
      </c>
      <c r="C35" s="14"/>
      <c r="D35" s="15"/>
      <c r="E35" s="15"/>
      <c r="F35" s="17"/>
      <c r="G35" s="942"/>
      <c r="H35" s="1495"/>
      <c r="I35" s="942"/>
      <c r="J35" s="943"/>
    </row>
    <row r="36" spans="1:10">
      <c r="A36" s="595"/>
      <c r="B36" s="64" t="str">
        <f>Assm!A35</f>
        <v>Variable Commodity</v>
      </c>
      <c r="C36" s="42" t="str">
        <f>Assm!C35</f>
        <v>See Tariff Sheet</v>
      </c>
      <c r="D36" s="42"/>
      <c r="E36" s="42"/>
      <c r="F36" s="338" t="str">
        <f>Assm!F35</f>
        <v>CPI Less .0025</v>
      </c>
      <c r="G36" s="942" t="s">
        <v>1371</v>
      </c>
      <c r="H36" s="1495">
        <v>35759</v>
      </c>
      <c r="I36" s="942" t="s">
        <v>695</v>
      </c>
      <c r="J36" s="943" t="s">
        <v>1374</v>
      </c>
    </row>
    <row r="37" spans="1:10" ht="13.5" thickBot="1">
      <c r="A37" s="596"/>
      <c r="B37" s="597" t="str">
        <f>Assm!A36</f>
        <v>Variable O&amp;M</v>
      </c>
      <c r="C37" s="145" t="str">
        <f>Assm!C36</f>
        <v>See Tariff Sheet</v>
      </c>
      <c r="D37" s="145"/>
      <c r="E37" s="145"/>
      <c r="F37" s="604" t="str">
        <f>Assm!F36</f>
        <v>IGPM</v>
      </c>
      <c r="G37" s="944" t="s">
        <v>1371</v>
      </c>
      <c r="H37" s="1496">
        <v>35759</v>
      </c>
      <c r="I37" s="944" t="s">
        <v>695</v>
      </c>
      <c r="J37" s="945" t="s">
        <v>1375</v>
      </c>
    </row>
    <row r="38" spans="1:10" s="15" customFormat="1" ht="13.5" thickBot="1">
      <c r="H38" s="1493"/>
      <c r="I38" s="44"/>
    </row>
    <row r="39" spans="1:10">
      <c r="A39" s="591" t="str">
        <f>Assm!A38</f>
        <v>Fuel Purchases</v>
      </c>
      <c r="B39" s="804" t="s">
        <v>679</v>
      </c>
      <c r="C39" s="602">
        <f>Assm!F38</f>
        <v>1998</v>
      </c>
      <c r="D39" s="131"/>
      <c r="E39" s="131"/>
      <c r="F39" s="603" t="s">
        <v>382</v>
      </c>
      <c r="G39" s="940"/>
      <c r="H39" s="1494"/>
      <c r="I39" s="940"/>
      <c r="J39" s="941"/>
    </row>
    <row r="40" spans="1:10">
      <c r="A40" s="594"/>
      <c r="B40" s="278" t="str">
        <f>Assm!A40</f>
        <v>Diesel (Petrobras-Phase I Only)</v>
      </c>
      <c r="D40" s="143"/>
      <c r="E40" s="143"/>
      <c r="F40" s="350"/>
      <c r="G40" s="942"/>
      <c r="H40" s="1495"/>
      <c r="I40" s="942"/>
      <c r="J40" s="943"/>
    </row>
    <row r="41" spans="1:10">
      <c r="A41" s="595"/>
      <c r="B41" s="64" t="str">
        <f>Assm!A41</f>
        <v>Kcal / Kg</v>
      </c>
      <c r="D41" s="1346">
        <f>Assm!B41</f>
        <v>10400</v>
      </c>
      <c r="E41" s="143"/>
      <c r="F41" s="92"/>
      <c r="G41" s="942" t="s">
        <v>1545</v>
      </c>
      <c r="H41" s="1495">
        <v>36220</v>
      </c>
      <c r="I41" s="942" t="s">
        <v>1807</v>
      </c>
      <c r="J41" s="943" t="s">
        <v>1567</v>
      </c>
    </row>
    <row r="42" spans="1:10">
      <c r="A42" s="595"/>
      <c r="B42" s="64" t="str">
        <f>Assm!A42</f>
        <v>Kg / CM</v>
      </c>
      <c r="D42" s="1346">
        <f>Assm!B42</f>
        <v>850</v>
      </c>
      <c r="E42" s="143"/>
      <c r="F42" s="92"/>
      <c r="G42" s="942" t="s">
        <v>1545</v>
      </c>
      <c r="H42" s="1495">
        <v>36220</v>
      </c>
      <c r="I42" s="942" t="s">
        <v>1807</v>
      </c>
      <c r="J42" s="943" t="s">
        <v>1567</v>
      </c>
    </row>
    <row r="43" spans="1:10">
      <c r="A43" s="595"/>
      <c r="B43" s="64" t="str">
        <f>Assm!A43</f>
        <v>BTU / Kcal</v>
      </c>
      <c r="D43" s="1347">
        <f>Assm!B43</f>
        <v>3.9683000000000002</v>
      </c>
      <c r="E43" s="143"/>
      <c r="F43" s="92"/>
      <c r="G43" s="942" t="s">
        <v>344</v>
      </c>
      <c r="H43" s="1495"/>
      <c r="I43" s="942"/>
      <c r="J43" s="943"/>
    </row>
    <row r="44" spans="1:10">
      <c r="A44" s="595"/>
      <c r="B44" s="64" t="str">
        <f>Assm!A44</f>
        <v>MMBTU / CM</v>
      </c>
      <c r="D44" s="1027">
        <f>Assm!B44</f>
        <v>35.079771999999998</v>
      </c>
      <c r="E44" s="143"/>
      <c r="F44" s="92"/>
      <c r="G44" s="942" t="s">
        <v>692</v>
      </c>
      <c r="H44" s="1495"/>
      <c r="I44" s="942"/>
      <c r="J44" s="943"/>
    </row>
    <row r="45" spans="1:10">
      <c r="A45" s="595"/>
      <c r="B45" s="64" t="str">
        <f>Assm!C41</f>
        <v>R$ / Cubic Meter (CM)</v>
      </c>
      <c r="D45" s="1027">
        <f>Assm!E41</f>
        <v>360.4</v>
      </c>
      <c r="E45" s="143"/>
      <c r="F45" s="92" t="str">
        <f>Assm!F41</f>
        <v>ANP Index</v>
      </c>
      <c r="G45" s="942" t="s">
        <v>1545</v>
      </c>
      <c r="H45" s="1495">
        <v>36220</v>
      </c>
      <c r="I45" s="942" t="s">
        <v>1807</v>
      </c>
      <c r="J45" s="943" t="s">
        <v>1543</v>
      </c>
    </row>
    <row r="46" spans="1:10">
      <c r="A46" s="595"/>
      <c r="B46" s="64"/>
      <c r="D46" s="349"/>
      <c r="E46" s="143"/>
      <c r="F46" s="92"/>
      <c r="G46" s="942"/>
      <c r="H46" s="1495"/>
      <c r="I46" s="942"/>
      <c r="J46" s="943"/>
    </row>
    <row r="47" spans="1:10">
      <c r="A47" s="595"/>
      <c r="B47" s="278" t="str">
        <f>Assm!A46</f>
        <v>Natural Gas (TBS Contract)</v>
      </c>
      <c r="C47" s="349"/>
      <c r="D47" s="349"/>
      <c r="E47" s="143"/>
      <c r="F47" s="350"/>
      <c r="G47" s="942"/>
      <c r="H47" s="1495"/>
      <c r="I47" s="942"/>
      <c r="J47" s="943"/>
    </row>
    <row r="48" spans="1:10">
      <c r="A48" s="595"/>
      <c r="B48" s="64" t="str">
        <f>Assm!A47</f>
        <v>Variable Rate</v>
      </c>
      <c r="C48" s="351">
        <f>Assm!C47</f>
        <v>1.21</v>
      </c>
      <c r="D48" s="349" t="str">
        <f>Assm!D47</f>
        <v>/ MMBTU</v>
      </c>
      <c r="E48" s="143"/>
      <c r="F48" s="352" t="str">
        <f>Assm!F47</f>
        <v>CPI Less .0025</v>
      </c>
      <c r="G48" s="942" t="s">
        <v>926</v>
      </c>
      <c r="H48" s="1495">
        <v>36235</v>
      </c>
      <c r="I48" s="942" t="s">
        <v>1807</v>
      </c>
      <c r="J48" s="943" t="s">
        <v>927</v>
      </c>
    </row>
    <row r="49" spans="1:10">
      <c r="A49" s="595"/>
      <c r="B49" s="64" t="str">
        <f>Assm!A48</f>
        <v>Yabog Rate</v>
      </c>
      <c r="C49" s="351">
        <f>Assm!C48</f>
        <v>0.25</v>
      </c>
      <c r="D49" s="349" t="str">
        <f>Assm!D48</f>
        <v>/ MMBTU</v>
      </c>
      <c r="E49" s="143"/>
      <c r="F49" s="92" t="str">
        <f>Assm!F48</f>
        <v>None</v>
      </c>
      <c r="G49" s="942" t="s">
        <v>926</v>
      </c>
      <c r="H49" s="1495">
        <v>36235</v>
      </c>
      <c r="I49" s="942" t="s">
        <v>1807</v>
      </c>
      <c r="J49" s="943" t="s">
        <v>927</v>
      </c>
    </row>
    <row r="50" spans="1:10">
      <c r="A50" s="595"/>
      <c r="B50" s="68" t="str">
        <f>Assm!A49</f>
        <v>(Variable &amp; Yabog Rates Based On Greater Of Consumed / Take Or Pay Volumes)</v>
      </c>
      <c r="C50" s="349"/>
      <c r="D50" s="349"/>
      <c r="E50" s="143"/>
      <c r="F50" s="350"/>
      <c r="G50" s="942"/>
      <c r="H50" s="1495"/>
      <c r="I50" s="942"/>
      <c r="J50" s="943"/>
    </row>
    <row r="51" spans="1:10">
      <c r="A51" s="595"/>
      <c r="B51" s="64" t="str">
        <f>Assm!A51</f>
        <v>Fixed Transportation Rate</v>
      </c>
      <c r="C51" s="354" t="str">
        <f>Assm!C51</f>
        <v>See Tariff Sheet For Pricing</v>
      </c>
      <c r="D51" s="355"/>
      <c r="E51" s="605"/>
      <c r="F51" s="356" t="str">
        <f>Assm!F51</f>
        <v>CPI</v>
      </c>
      <c r="G51" s="942" t="s">
        <v>926</v>
      </c>
      <c r="H51" s="1495">
        <v>36235</v>
      </c>
      <c r="I51" s="942" t="s">
        <v>1807</v>
      </c>
      <c r="J51" s="943" t="s">
        <v>928</v>
      </c>
    </row>
    <row r="52" spans="1:10">
      <c r="A52" s="595"/>
      <c r="B52" s="64"/>
      <c r="C52" s="354"/>
      <c r="D52" s="355"/>
      <c r="F52" s="56"/>
      <c r="G52" s="942"/>
      <c r="H52" s="1495"/>
      <c r="I52" s="942"/>
      <c r="J52" s="943"/>
    </row>
    <row r="53" spans="1:10">
      <c r="A53" s="595"/>
      <c r="B53" s="64"/>
      <c r="C53" s="1126"/>
      <c r="D53" s="1126" t="str">
        <f>Assm!C53</f>
        <v>Outage</v>
      </c>
      <c r="E53" s="1126" t="str">
        <f>Assm!D53</f>
        <v>Average</v>
      </c>
      <c r="F53" s="1126" t="str">
        <f>Assm!E54</f>
        <v>TOP%</v>
      </c>
      <c r="G53" s="942"/>
      <c r="H53" s="1495"/>
      <c r="I53" s="942"/>
      <c r="J53" s="943"/>
    </row>
    <row r="54" spans="1:10">
      <c r="A54" s="595"/>
      <c r="B54" s="278" t="str">
        <f>Assm!A53</f>
        <v>TOP Obligation (TBS)</v>
      </c>
      <c r="C54" s="1125" t="str">
        <f>Assm!B54</f>
        <v>DCQ</v>
      </c>
      <c r="D54" s="1125" t="str">
        <f>Assm!C54</f>
        <v>Days</v>
      </c>
      <c r="E54" s="1125" t="str">
        <f>Assm!D54</f>
        <v>DCQ</v>
      </c>
      <c r="F54" s="1124">
        <f>Assm!E55</f>
        <v>0.8</v>
      </c>
      <c r="G54" s="942"/>
      <c r="H54" s="1495"/>
      <c r="I54" s="942"/>
      <c r="J54" s="943"/>
    </row>
    <row r="55" spans="1:10" ht="13.5" thickBot="1">
      <c r="A55" s="596"/>
      <c r="B55" s="1127">
        <f>Assm!A55</f>
        <v>37104</v>
      </c>
      <c r="C55" s="346">
        <f>Assm!B55</f>
        <v>80800</v>
      </c>
      <c r="D55" s="346">
        <f>Assm!C55</f>
        <v>32</v>
      </c>
      <c r="E55" s="346">
        <f>Assm!D55</f>
        <v>73716.164383561641</v>
      </c>
      <c r="F55" s="346">
        <f>Assm!F55</f>
        <v>58972.931506849316</v>
      </c>
      <c r="G55" s="944" t="s">
        <v>926</v>
      </c>
      <c r="H55" s="1496">
        <v>36235</v>
      </c>
      <c r="I55" s="944" t="s">
        <v>1807</v>
      </c>
      <c r="J55" s="945" t="s">
        <v>507</v>
      </c>
    </row>
    <row r="56" spans="1:10" s="15" customFormat="1" ht="13.5" thickBot="1">
      <c r="H56" s="1493"/>
      <c r="I56" s="44"/>
    </row>
    <row r="57" spans="1:10">
      <c r="A57" s="591" t="str">
        <f>Assm!A57</f>
        <v>Operating Expenses ($000) - Power Plant</v>
      </c>
      <c r="B57" s="804" t="s">
        <v>679</v>
      </c>
      <c r="C57" s="1295">
        <f>Assm!F57</f>
        <v>1998</v>
      </c>
      <c r="D57" s="131"/>
      <c r="E57" s="131"/>
      <c r="F57" s="603" t="s">
        <v>382</v>
      </c>
      <c r="G57" s="940"/>
      <c r="H57" s="1494"/>
      <c r="I57" s="940"/>
      <c r="J57" s="941"/>
    </row>
    <row r="58" spans="1:10">
      <c r="A58" s="595"/>
      <c r="B58" s="806" t="s">
        <v>680</v>
      </c>
      <c r="C58" s="973" t="str">
        <f>Assm!F60</f>
        <v>IGP</v>
      </c>
      <c r="D58" s="100"/>
      <c r="E58" s="42"/>
      <c r="F58" s="350"/>
      <c r="G58" s="942"/>
      <c r="H58" s="1495"/>
      <c r="I58" s="942"/>
      <c r="J58" s="943"/>
    </row>
    <row r="59" spans="1:10">
      <c r="A59" s="595"/>
      <c r="B59" s="278" t="str">
        <f>Assm!A59</f>
        <v>Fixed (R$ Based)</v>
      </c>
      <c r="C59" s="738">
        <f ca="1">Assm!C59</f>
        <v>1999</v>
      </c>
      <c r="D59" s="137">
        <f>Assm!D59</f>
        <v>2001</v>
      </c>
      <c r="E59" s="137">
        <f>Assm!E59</f>
        <v>2002</v>
      </c>
      <c r="G59" s="942"/>
      <c r="H59" s="1495"/>
      <c r="I59" s="942"/>
      <c r="J59" s="943"/>
    </row>
    <row r="60" spans="1:10">
      <c r="A60" s="595"/>
      <c r="B60" s="64" t="str">
        <f>Assm!A60</f>
        <v>Payroll &amp; Burden (Includes WTF)</v>
      </c>
      <c r="C60" s="974">
        <f>Assm!C60</f>
        <v>1623.0350000000001</v>
      </c>
      <c r="D60" s="102">
        <f>Assm!D60</f>
        <v>2120.2799999999997</v>
      </c>
      <c r="E60" s="102">
        <f>Assm!E60</f>
        <v>1765.57</v>
      </c>
      <c r="F60" s="1296" t="str">
        <f>Assm!F60</f>
        <v>IGP</v>
      </c>
      <c r="G60" s="942" t="s">
        <v>681</v>
      </c>
      <c r="H60" s="1495">
        <v>36048</v>
      </c>
      <c r="I60" s="942" t="s">
        <v>681</v>
      </c>
      <c r="J60" s="943" t="s">
        <v>1420</v>
      </c>
    </row>
    <row r="61" spans="1:10">
      <c r="A61" s="595"/>
      <c r="B61" s="64" t="str">
        <f>Assm!A61</f>
        <v>Other O&amp;M Expenses</v>
      </c>
      <c r="C61" s="974">
        <f>Assm!C61</f>
        <v>692.50199999999995</v>
      </c>
      <c r="D61" s="102">
        <f>Assm!D61</f>
        <v>706.35900000000004</v>
      </c>
      <c r="E61" s="102">
        <f>Assm!E61</f>
        <v>727.95899999999995</v>
      </c>
      <c r="F61" s="1296" t="str">
        <f>Assm!F61</f>
        <v>IGP</v>
      </c>
      <c r="G61" s="942" t="s">
        <v>681</v>
      </c>
      <c r="H61" s="1495">
        <v>36048</v>
      </c>
      <c r="I61" s="942" t="s">
        <v>681</v>
      </c>
      <c r="J61" s="943" t="s">
        <v>1420</v>
      </c>
    </row>
    <row r="62" spans="1:10">
      <c r="A62" s="595"/>
      <c r="B62" s="64" t="str">
        <f>Assm!A62</f>
        <v>Commercial Office</v>
      </c>
      <c r="C62" s="974">
        <f>Assm!C62</f>
        <v>874.14800000000002</v>
      </c>
      <c r="D62" s="102">
        <f>Assm!D62</f>
        <v>874.14800000000002</v>
      </c>
      <c r="E62" s="102">
        <f>Assm!E62</f>
        <v>874.14800000000002</v>
      </c>
      <c r="F62" s="1296" t="str">
        <f>Assm!F62</f>
        <v>IGP</v>
      </c>
      <c r="G62" s="942" t="s">
        <v>681</v>
      </c>
      <c r="H62" s="1495">
        <v>36048</v>
      </c>
      <c r="I62" s="942" t="s">
        <v>681</v>
      </c>
      <c r="J62" s="943" t="s">
        <v>1420</v>
      </c>
    </row>
    <row r="63" spans="1:10">
      <c r="A63" s="595"/>
      <c r="B63" s="64" t="str">
        <f>Assm!A63</f>
        <v>Sustaining Capital</v>
      </c>
      <c r="C63" s="974">
        <f>Assm!C63</f>
        <v>0</v>
      </c>
      <c r="D63" s="102">
        <f>Assm!D63</f>
        <v>337.5</v>
      </c>
      <c r="E63" s="102">
        <f>Assm!E63</f>
        <v>337.5</v>
      </c>
      <c r="F63" s="1296" t="str">
        <f>Assm!F63</f>
        <v>IGP</v>
      </c>
      <c r="G63" s="942" t="s">
        <v>681</v>
      </c>
      <c r="H63" s="1495">
        <v>36048</v>
      </c>
      <c r="I63" s="942" t="s">
        <v>681</v>
      </c>
      <c r="J63" s="943" t="s">
        <v>1420</v>
      </c>
    </row>
    <row r="64" spans="1:10">
      <c r="A64" s="595"/>
      <c r="B64" s="64" t="str">
        <f>Assm!A64</f>
        <v>Minor Maintenance (Incl WTF)</v>
      </c>
      <c r="C64" s="974">
        <f>Assm!C64</f>
        <v>200.46249999999998</v>
      </c>
      <c r="D64" s="102">
        <f>Assm!D64</f>
        <v>992.85479999999995</v>
      </c>
      <c r="E64" s="102">
        <f>Assm!E64</f>
        <v>1144.0793000000001</v>
      </c>
      <c r="F64" s="1296" t="str">
        <f>Assm!F64</f>
        <v>IGP</v>
      </c>
      <c r="G64" s="942" t="s">
        <v>681</v>
      </c>
      <c r="H64" s="1495">
        <v>36048</v>
      </c>
      <c r="I64" s="942" t="s">
        <v>681</v>
      </c>
      <c r="J64" s="943" t="s">
        <v>1420</v>
      </c>
    </row>
    <row r="65" spans="1:10">
      <c r="A65" s="595"/>
      <c r="B65" s="64" t="str">
        <f>Assm!A65</f>
        <v>Major Maintenance (Avg)</v>
      </c>
      <c r="C65" s="974">
        <f>Assm!C65</f>
        <v>215.76834545454543</v>
      </c>
      <c r="D65" s="102">
        <f>Assm!D65</f>
        <v>215.76834545454543</v>
      </c>
      <c r="E65" s="102">
        <f>Assm!E65</f>
        <v>215.76834545454543</v>
      </c>
      <c r="F65" s="1296" t="str">
        <f>Assm!F65</f>
        <v>IGP</v>
      </c>
      <c r="G65" s="942" t="s">
        <v>681</v>
      </c>
      <c r="H65" s="1495">
        <v>36048</v>
      </c>
      <c r="I65" s="942" t="s">
        <v>681</v>
      </c>
      <c r="J65" s="943" t="s">
        <v>1420</v>
      </c>
    </row>
    <row r="66" spans="1:10">
      <c r="A66" s="595"/>
      <c r="B66" s="278" t="str">
        <f>Assm!A67</f>
        <v>Fixed (US$ Based)</v>
      </c>
      <c r="C66" s="974"/>
      <c r="D66" s="102"/>
      <c r="E66" s="102"/>
      <c r="G66" s="942"/>
      <c r="H66" s="1495"/>
      <c r="I66" s="942"/>
      <c r="J66" s="943"/>
    </row>
    <row r="67" spans="1:10">
      <c r="A67" s="595"/>
      <c r="B67" s="64" t="str">
        <f>Assm!A68</f>
        <v>JVM Management Fee</v>
      </c>
      <c r="C67" s="974">
        <f>Assm!C68</f>
        <v>450</v>
      </c>
      <c r="D67" s="102">
        <f>Assm!D68</f>
        <v>900</v>
      </c>
      <c r="E67" s="102">
        <f>Assm!E68</f>
        <v>900</v>
      </c>
      <c r="F67" s="1296" t="str">
        <f>Assm!F68</f>
        <v>CPI</v>
      </c>
      <c r="G67" s="942" t="s">
        <v>681</v>
      </c>
      <c r="H67" s="1495">
        <v>36048</v>
      </c>
      <c r="I67" s="942" t="s">
        <v>681</v>
      </c>
      <c r="J67" s="943" t="s">
        <v>1420</v>
      </c>
    </row>
    <row r="68" spans="1:10">
      <c r="A68" s="595"/>
      <c r="B68" s="64" t="str">
        <f>Assm!A69</f>
        <v>JVM G&amp;A</v>
      </c>
      <c r="C68" s="974">
        <f>Assm!C69</f>
        <v>75</v>
      </c>
      <c r="D68" s="102">
        <f>Assm!D69</f>
        <v>150</v>
      </c>
      <c r="E68" s="102">
        <f>Assm!E69</f>
        <v>150</v>
      </c>
      <c r="F68" s="1296" t="str">
        <f>Assm!F69</f>
        <v>CPI</v>
      </c>
      <c r="G68" s="942" t="s">
        <v>681</v>
      </c>
      <c r="H68" s="1495">
        <v>36048</v>
      </c>
      <c r="I68" s="942" t="s">
        <v>681</v>
      </c>
      <c r="J68" s="943" t="s">
        <v>1420</v>
      </c>
    </row>
    <row r="69" spans="1:10">
      <c r="A69" s="595"/>
      <c r="B69" s="64" t="str">
        <f>Assm!A70</f>
        <v>Operating Insurance</v>
      </c>
      <c r="C69" s="974">
        <f>Assm!C70</f>
        <v>0</v>
      </c>
      <c r="D69" s="102">
        <f>Assm!D70</f>
        <v>1390.002</v>
      </c>
      <c r="E69" s="102">
        <f>Assm!E70</f>
        <v>1390.002</v>
      </c>
      <c r="F69" s="1296" t="str">
        <f>Assm!F70</f>
        <v>CPI</v>
      </c>
      <c r="G69" s="942" t="s">
        <v>1574</v>
      </c>
      <c r="H69" s="1495">
        <v>36171</v>
      </c>
      <c r="I69" s="942" t="s">
        <v>682</v>
      </c>
      <c r="J69" s="943"/>
    </row>
    <row r="70" spans="1:10">
      <c r="A70" s="595"/>
      <c r="B70" s="64" t="str">
        <f>Assm!A71</f>
        <v>Minor Maintenance (Incl WTF)</v>
      </c>
      <c r="C70" s="974">
        <f>Assm!C71</f>
        <v>85.912500000000009</v>
      </c>
      <c r="D70" s="102">
        <f>Assm!D71</f>
        <v>425.50920000000008</v>
      </c>
      <c r="E70" s="102">
        <f>Assm!E71</f>
        <v>490.31970000000013</v>
      </c>
      <c r="F70" s="1296" t="str">
        <f>Assm!F71</f>
        <v>CPI</v>
      </c>
      <c r="G70" s="942" t="s">
        <v>681</v>
      </c>
      <c r="H70" s="1495">
        <v>36048</v>
      </c>
      <c r="I70" s="942" t="s">
        <v>681</v>
      </c>
      <c r="J70" s="943" t="s">
        <v>1420</v>
      </c>
    </row>
    <row r="71" spans="1:10">
      <c r="A71" s="595"/>
      <c r="B71" s="64" t="str">
        <f>Assm!A72</f>
        <v>Major Maintenance (Avg)</v>
      </c>
      <c r="C71" s="974">
        <f>Assm!C72</f>
        <v>4409.7048200000008</v>
      </c>
      <c r="D71" s="102">
        <f>Assm!D72</f>
        <v>4409.7048200000008</v>
      </c>
      <c r="E71" s="102">
        <f>Assm!E72</f>
        <v>4409.7048200000008</v>
      </c>
      <c r="F71" s="1296" t="str">
        <f>Assm!F72</f>
        <v>CPI</v>
      </c>
      <c r="G71" s="942" t="s">
        <v>681</v>
      </c>
      <c r="H71" s="1495">
        <v>36048</v>
      </c>
      <c r="I71" s="942" t="s">
        <v>681</v>
      </c>
      <c r="J71" s="943" t="s">
        <v>1575</v>
      </c>
    </row>
    <row r="72" spans="1:10">
      <c r="A72" s="595"/>
      <c r="B72" s="278" t="str">
        <f>Assm!A74</f>
        <v>Variable</v>
      </c>
      <c r="C72" s="14"/>
      <c r="D72" s="15"/>
      <c r="E72" s="15"/>
      <c r="F72" s="17"/>
      <c r="G72" s="942"/>
      <c r="H72" s="1495"/>
      <c r="I72" s="942"/>
      <c r="J72" s="943"/>
    </row>
    <row r="73" spans="1:10">
      <c r="A73" s="595"/>
      <c r="B73" s="64" t="str">
        <f>Assm!A75</f>
        <v>Chemicals (Includes WTF)</v>
      </c>
      <c r="C73" s="974">
        <f>Assm!C75</f>
        <v>75</v>
      </c>
      <c r="D73" s="102">
        <f>Assm!D75</f>
        <v>726.07100000000003</v>
      </c>
      <c r="E73" s="102">
        <f>Assm!E75</f>
        <v>726.07100000000003</v>
      </c>
      <c r="F73" s="1296" t="str">
        <f>Assm!F75</f>
        <v>IGP</v>
      </c>
      <c r="G73" s="942" t="s">
        <v>681</v>
      </c>
      <c r="H73" s="1495">
        <v>36048</v>
      </c>
      <c r="I73" s="942" t="s">
        <v>681</v>
      </c>
      <c r="J73" s="943" t="s">
        <v>1428</v>
      </c>
    </row>
    <row r="74" spans="1:10">
      <c r="A74" s="595"/>
      <c r="B74" s="64" t="str">
        <f>Assm!A76</f>
        <v>Based On Usage (Kwh)</v>
      </c>
      <c r="C74" s="284">
        <f>Assm!C76</f>
        <v>479562.696</v>
      </c>
      <c r="D74" s="286">
        <f>Assm!D76</f>
        <v>3504784.8959999997</v>
      </c>
      <c r="E74" s="286">
        <f>Assm!E76</f>
        <v>3504784.8959999997</v>
      </c>
      <c r="G74" s="942" t="s">
        <v>681</v>
      </c>
      <c r="H74" s="1495">
        <v>36048</v>
      </c>
      <c r="I74" s="942" t="s">
        <v>681</v>
      </c>
      <c r="J74" s="943" t="s">
        <v>1428</v>
      </c>
    </row>
    <row r="75" spans="1:10" ht="13.5" thickBot="1">
      <c r="A75" s="596"/>
      <c r="B75" s="597" t="str">
        <f>Assm!A77</f>
        <v>Chemicals ($ / Kwh)</v>
      </c>
      <c r="C75" s="975">
        <f>Assm!C77</f>
        <v>1.5639248137015228E-4</v>
      </c>
      <c r="D75" s="608">
        <f>Assm!D77</f>
        <v>2.0716563827602162E-4</v>
      </c>
      <c r="E75" s="608">
        <f>Assm!E77</f>
        <v>2.0716563827602162E-4</v>
      </c>
      <c r="F75" s="598"/>
      <c r="G75" s="944" t="s">
        <v>681</v>
      </c>
      <c r="H75" s="1496">
        <v>36048</v>
      </c>
      <c r="I75" s="944" t="s">
        <v>681</v>
      </c>
      <c r="J75" s="945" t="s">
        <v>1428</v>
      </c>
    </row>
  </sheetData>
  <printOptions horizontalCentered="1"/>
  <pageMargins left="0.25" right="0.25" top="0.5" bottom="0.5" header="0.25" footer="0.25"/>
  <pageSetup scale="49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J77"/>
  <sheetViews>
    <sheetView showGridLines="0" zoomScale="75" workbookViewId="0">
      <selection activeCell="B17" sqref="B17"/>
    </sheetView>
  </sheetViews>
  <sheetFormatPr defaultRowHeight="12.75"/>
  <cols>
    <col min="1" max="1" width="30.7109375" style="7" customWidth="1"/>
    <col min="2" max="2" width="47.7109375" style="7" customWidth="1"/>
    <col min="3" max="6" width="10.7109375" style="7" customWidth="1"/>
    <col min="7" max="7" width="23.7109375" style="7" customWidth="1"/>
    <col min="8" max="8" width="13.7109375" style="1489" customWidth="1"/>
    <col min="9" max="9" width="23.7109375" style="7" customWidth="1"/>
    <col min="10" max="10" width="35.7109375" style="7" customWidth="1"/>
    <col min="11" max="16384" width="9.140625" style="7"/>
  </cols>
  <sheetData>
    <row r="1" spans="1:10" s="1" customFormat="1" ht="15.75">
      <c r="A1" s="1137" t="str">
        <f>CONCATENATE(TOC!B2," ",TOC!B6)</f>
        <v>EMPRESSA PRODUTORA DE ENERGÍA LTDA (EPE) *** DRAFT COPY ***</v>
      </c>
      <c r="H1" s="1488"/>
    </row>
    <row r="2" spans="1:10" s="1" customFormat="1" ht="15.75">
      <c r="A2" s="1137" t="str">
        <f>TOC!B3</f>
        <v>480 MW POWER PLANT (CUIABA, BRAZIL)</v>
      </c>
      <c r="H2" s="1488"/>
    </row>
    <row r="3" spans="1:10" s="1" customFormat="1" ht="15">
      <c r="A3" s="118" t="str">
        <f>TOC!B4</f>
        <v>ENRON INTERNATIONAL</v>
      </c>
      <c r="H3" s="1488"/>
    </row>
    <row r="4" spans="1:10" s="1" customFormat="1" ht="15">
      <c r="A4" s="932" t="s">
        <v>696</v>
      </c>
      <c r="H4" s="1488"/>
    </row>
    <row r="5" spans="1:10" customFormat="1" ht="13.5" thickBot="1">
      <c r="A5" s="1"/>
      <c r="B5" s="15"/>
      <c r="C5" s="1"/>
      <c r="D5" s="15"/>
      <c r="E5" s="15"/>
      <c r="F5" s="15"/>
      <c r="G5" s="15"/>
      <c r="H5" s="1489"/>
      <c r="I5" s="7"/>
      <c r="J5" s="7"/>
    </row>
    <row r="6" spans="1:10">
      <c r="A6" s="578"/>
      <c r="B6" s="579"/>
      <c r="C6" s="609"/>
      <c r="D6" s="580"/>
      <c r="E6" s="580"/>
      <c r="F6" s="581"/>
      <c r="G6" s="579"/>
      <c r="H6" s="1490"/>
      <c r="I6" s="579" t="s">
        <v>671</v>
      </c>
      <c r="J6" s="582"/>
    </row>
    <row r="7" spans="1:10">
      <c r="A7" s="583"/>
      <c r="B7" s="96"/>
      <c r="C7" s="103" t="s">
        <v>689</v>
      </c>
      <c r="D7" s="97"/>
      <c r="E7" s="97"/>
      <c r="F7" s="98"/>
      <c r="G7" s="96"/>
      <c r="H7" s="1491" t="s">
        <v>1257</v>
      </c>
      <c r="I7" s="96" t="s">
        <v>690</v>
      </c>
      <c r="J7" s="584"/>
    </row>
    <row r="8" spans="1:10" ht="13.5" thickBot="1">
      <c r="A8" s="585" t="s">
        <v>673</v>
      </c>
      <c r="B8" s="586" t="s">
        <v>674</v>
      </c>
      <c r="C8" s="587" t="s">
        <v>691</v>
      </c>
      <c r="D8" s="588"/>
      <c r="E8" s="588"/>
      <c r="F8" s="589"/>
      <c r="G8" s="586" t="s">
        <v>675</v>
      </c>
      <c r="H8" s="1492" t="s">
        <v>676</v>
      </c>
      <c r="I8" s="586" t="s">
        <v>1258</v>
      </c>
      <c r="J8" s="590" t="s">
        <v>677</v>
      </c>
    </row>
    <row r="9" spans="1:10" ht="13.5" thickBot="1">
      <c r="A9" s="14"/>
      <c r="B9" s="15"/>
      <c r="C9" s="15"/>
      <c r="D9" s="15"/>
      <c r="E9" s="15"/>
      <c r="F9" s="15"/>
      <c r="G9" s="15"/>
      <c r="H9" s="1493"/>
      <c r="I9" s="15"/>
      <c r="J9" s="15"/>
    </row>
    <row r="10" spans="1:10">
      <c r="A10" s="591" t="str">
        <f>Assm!H6</f>
        <v>Brazilian Taxes</v>
      </c>
      <c r="B10" s="1176" t="str">
        <f>Assm!H7</f>
        <v>Operating Taxes</v>
      </c>
      <c r="C10" s="927"/>
      <c r="D10" s="1349"/>
      <c r="E10" s="190"/>
      <c r="F10" s="1350"/>
      <c r="G10" s="940"/>
      <c r="H10" s="1494"/>
      <c r="I10" s="940"/>
      <c r="J10" s="941"/>
    </row>
    <row r="11" spans="1:10">
      <c r="A11" s="595"/>
      <c r="B11" s="14" t="str">
        <f>Assm!K6</f>
        <v>Project Structure</v>
      </c>
      <c r="C11" s="1352" t="str">
        <f>Assm!L6</f>
        <v>Limitada</v>
      </c>
      <c r="D11" s="1351"/>
      <c r="E11" s="143"/>
      <c r="F11" s="1351"/>
      <c r="G11" s="942" t="s">
        <v>54</v>
      </c>
      <c r="H11" s="1495">
        <v>36250</v>
      </c>
      <c r="I11" s="942" t="s">
        <v>1832</v>
      </c>
      <c r="J11" s="943"/>
    </row>
    <row r="12" spans="1:10">
      <c r="A12" s="594"/>
      <c r="B12" s="14" t="str">
        <f>Assm!H8</f>
        <v>Corporate Income Tax</v>
      </c>
      <c r="C12" s="99">
        <f>Assm!J8</f>
        <v>0.15</v>
      </c>
      <c r="D12" s="104" t="str">
        <f>Assm!K8</f>
        <v>On Taxable income</v>
      </c>
      <c r="E12" s="104"/>
      <c r="F12" s="104"/>
      <c r="G12" s="942" t="s">
        <v>54</v>
      </c>
      <c r="H12" s="1495">
        <v>35993</v>
      </c>
      <c r="I12" s="942" t="s">
        <v>1832</v>
      </c>
      <c r="J12" s="943" t="s">
        <v>1835</v>
      </c>
    </row>
    <row r="13" spans="1:10">
      <c r="A13" s="594"/>
      <c r="B13" s="14" t="str">
        <f>Assm!H9</f>
        <v>Additional Income Tax</v>
      </c>
      <c r="C13" s="99">
        <f>Assm!J9</f>
        <v>0.1</v>
      </c>
      <c r="D13" s="104" t="str">
        <f>Assm!K9</f>
        <v>Income Over R$</v>
      </c>
      <c r="E13" s="104"/>
      <c r="F13" s="104"/>
      <c r="G13" s="942" t="s">
        <v>54</v>
      </c>
      <c r="H13" s="1495">
        <v>35993</v>
      </c>
      <c r="I13" s="942" t="s">
        <v>1832</v>
      </c>
      <c r="J13" s="943" t="s">
        <v>1833</v>
      </c>
    </row>
    <row r="14" spans="1:10">
      <c r="A14" s="594"/>
      <c r="B14" s="14" t="str">
        <f>Assm!H10</f>
        <v>Social Contribution Tax</v>
      </c>
      <c r="C14" s="99">
        <f>Assm!J10</f>
        <v>0.08</v>
      </c>
      <c r="D14" s="104" t="str">
        <f>Assm!K10</f>
        <v>On Taxable income</v>
      </c>
      <c r="E14" s="104"/>
      <c r="F14" s="104"/>
      <c r="G14" s="942" t="s">
        <v>54</v>
      </c>
      <c r="H14" s="1495">
        <v>35993</v>
      </c>
      <c r="I14" s="942" t="s">
        <v>1832</v>
      </c>
      <c r="J14" s="943" t="s">
        <v>1834</v>
      </c>
    </row>
    <row r="15" spans="1:10">
      <c r="A15" s="594"/>
      <c r="B15" s="14" t="str">
        <f>Assm!H11</f>
        <v>NOL (Unlimited Carryforward, No Carryback) - Capped @</v>
      </c>
      <c r="C15" s="99">
        <f>Assm!J11</f>
        <v>0.3</v>
      </c>
      <c r="D15" s="104" t="str">
        <f>Assm!K11</f>
        <v>Of Taxable Income</v>
      </c>
      <c r="E15" s="104"/>
      <c r="F15" s="104"/>
      <c r="G15" s="942" t="s">
        <v>54</v>
      </c>
      <c r="H15" s="1495">
        <v>35993</v>
      </c>
      <c r="I15" s="942" t="s">
        <v>1832</v>
      </c>
      <c r="J15" s="943" t="s">
        <v>1598</v>
      </c>
    </row>
    <row r="16" spans="1:10">
      <c r="A16" s="594"/>
      <c r="B16" s="14" t="str">
        <f>Assm!H12</f>
        <v>Withholding Tax - Dividends (Non-Residents)</v>
      </c>
      <c r="C16" s="99">
        <f>Assm!J12</f>
        <v>0</v>
      </c>
      <c r="D16" s="104" t="str">
        <f>Assm!K12</f>
        <v>Income Earned After 1/1/96 Exempt</v>
      </c>
      <c r="E16" s="104"/>
      <c r="F16" s="104"/>
      <c r="G16" s="942" t="s">
        <v>54</v>
      </c>
      <c r="H16" s="1495">
        <v>35993</v>
      </c>
      <c r="I16" s="942" t="s">
        <v>1832</v>
      </c>
      <c r="J16" s="943" t="s">
        <v>1599</v>
      </c>
    </row>
    <row r="17" spans="1:10" s="15" customFormat="1">
      <c r="A17" s="594"/>
      <c r="B17" s="64" t="str">
        <f>Assm!H13</f>
        <v>Withholding Tax - Interest (Non-MLA's)</v>
      </c>
      <c r="C17" s="99">
        <f>Assm!J13</f>
        <v>0.15</v>
      </c>
      <c r="D17" s="104" t="str">
        <f>Assm!K13</f>
        <v>Gross Up For Interest Payments</v>
      </c>
      <c r="E17" s="104"/>
      <c r="F17" s="104"/>
      <c r="G17" s="942" t="s">
        <v>54</v>
      </c>
      <c r="H17" s="1495">
        <v>35993</v>
      </c>
      <c r="I17" s="942" t="s">
        <v>1832</v>
      </c>
      <c r="J17" s="943" t="s">
        <v>1600</v>
      </c>
    </row>
    <row r="18" spans="1:10">
      <c r="A18" s="594"/>
      <c r="B18" s="14" t="str">
        <f>Assm!H15</f>
        <v>Withholding Tax - Services (Non-Residents)</v>
      </c>
      <c r="C18" s="99">
        <f>Assm!J15</f>
        <v>0.15</v>
      </c>
      <c r="D18" s="104" t="str">
        <f>Assm!K15</f>
        <v>Gross Up At Project Level</v>
      </c>
      <c r="E18" s="104"/>
      <c r="F18" s="104"/>
      <c r="G18" s="942" t="s">
        <v>54</v>
      </c>
      <c r="H18" s="1495">
        <v>35993</v>
      </c>
      <c r="I18" s="942" t="s">
        <v>1832</v>
      </c>
      <c r="J18" s="943" t="s">
        <v>1601</v>
      </c>
    </row>
    <row r="19" spans="1:10">
      <c r="A19" s="594"/>
      <c r="B19" s="14" t="str">
        <f>Assm!H16</f>
        <v>PIS - Social Contribution</v>
      </c>
      <c r="C19" s="99">
        <f>Assm!J16</f>
        <v>6.4999999999999997E-3</v>
      </c>
      <c r="D19" s="104" t="str">
        <f>Assm!K16</f>
        <v>On Gross Revenue</v>
      </c>
      <c r="E19" s="104"/>
      <c r="F19" s="104"/>
      <c r="G19" s="942" t="s">
        <v>54</v>
      </c>
      <c r="H19" s="1495">
        <v>35993</v>
      </c>
      <c r="I19" s="942" t="s">
        <v>1832</v>
      </c>
      <c r="J19" s="943" t="s">
        <v>1838</v>
      </c>
    </row>
    <row r="20" spans="1:10">
      <c r="A20" s="594"/>
      <c r="B20" s="14" t="str">
        <f>Assm!H17</f>
        <v>COFINS - Social Contribution</v>
      </c>
      <c r="C20" s="99">
        <f>Assm!J17</f>
        <v>0.02</v>
      </c>
      <c r="D20" s="104" t="str">
        <f>Assm!K17</f>
        <v>On Gross Revenue</v>
      </c>
      <c r="E20" s="104"/>
      <c r="F20" s="104"/>
      <c r="G20" s="942" t="s">
        <v>54</v>
      </c>
      <c r="H20" s="1495">
        <v>35993</v>
      </c>
      <c r="I20" s="942" t="s">
        <v>1832</v>
      </c>
      <c r="J20" s="943" t="s">
        <v>1839</v>
      </c>
    </row>
    <row r="21" spans="1:10">
      <c r="A21" s="594"/>
      <c r="B21" s="14" t="str">
        <f>Assm!H18</f>
        <v>Payroll Tax</v>
      </c>
      <c r="C21" s="99">
        <f>Assm!J18</f>
        <v>0.28999999999999998</v>
      </c>
      <c r="D21" s="104" t="str">
        <f>Assm!K18</f>
        <v>On Payroll (Included In O&amp;M)</v>
      </c>
      <c r="E21" s="104"/>
      <c r="F21" s="104"/>
      <c r="G21" s="942" t="s">
        <v>54</v>
      </c>
      <c r="H21" s="1495">
        <v>35993</v>
      </c>
      <c r="I21" s="942" t="s">
        <v>1832</v>
      </c>
      <c r="J21" s="943" t="s">
        <v>1840</v>
      </c>
    </row>
    <row r="22" spans="1:10">
      <c r="A22" s="594"/>
      <c r="B22" s="14" t="str">
        <f>Assm!H19</f>
        <v>Severance Fund</v>
      </c>
      <c r="C22" s="99">
        <f>Assm!J19</f>
        <v>0.08</v>
      </c>
      <c r="D22" s="104" t="str">
        <f>Assm!K19</f>
        <v>On Payroll (Included In O&amp;M)</v>
      </c>
      <c r="E22" s="104"/>
      <c r="F22" s="104"/>
      <c r="G22" s="942" t="s">
        <v>54</v>
      </c>
      <c r="H22" s="1495">
        <v>35993</v>
      </c>
      <c r="I22" s="942" t="s">
        <v>1832</v>
      </c>
      <c r="J22" s="943" t="s">
        <v>1841</v>
      </c>
    </row>
    <row r="23" spans="1:10">
      <c r="A23" s="594"/>
      <c r="B23" s="14" t="str">
        <f>Assm!H20</f>
        <v>Education Fund</v>
      </c>
      <c r="C23" s="99">
        <f>Assm!J20</f>
        <v>2.5000000000000001E-2</v>
      </c>
      <c r="D23" s="104" t="str">
        <f>Assm!K20</f>
        <v>On Payroll (Included In O&amp;M)</v>
      </c>
      <c r="E23" s="104"/>
      <c r="F23" s="104"/>
      <c r="G23" s="942" t="s">
        <v>348</v>
      </c>
      <c r="H23" s="1495">
        <v>36130</v>
      </c>
      <c r="I23" s="942" t="s">
        <v>1832</v>
      </c>
      <c r="J23" s="943" t="s">
        <v>349</v>
      </c>
    </row>
    <row r="24" spans="1:10">
      <c r="A24" s="594"/>
      <c r="B24" s="14" t="str">
        <f>Assm!H21</f>
        <v>ICMS - Electricity Sales</v>
      </c>
      <c r="C24" s="99">
        <f>Assm!J21</f>
        <v>0</v>
      </c>
      <c r="D24" s="104" t="str">
        <f>Assm!K21</f>
        <v>Exempt</v>
      </c>
      <c r="E24" s="104"/>
      <c r="F24" s="104"/>
      <c r="G24" s="942" t="s">
        <v>54</v>
      </c>
      <c r="H24" s="1495">
        <v>36059</v>
      </c>
      <c r="I24" s="942" t="s">
        <v>1832</v>
      </c>
      <c r="J24" s="943" t="s">
        <v>1347</v>
      </c>
    </row>
    <row r="25" spans="1:10">
      <c r="A25" s="594"/>
      <c r="B25" s="14" t="str">
        <f>Assm!H22</f>
        <v>ICMS - Transportation</v>
      </c>
      <c r="C25" s="99">
        <f>Assm!J22</f>
        <v>0</v>
      </c>
      <c r="D25" s="104" t="str">
        <f>Assm!K22</f>
        <v>Exempt</v>
      </c>
      <c r="E25" s="104"/>
      <c r="F25" s="104"/>
      <c r="G25" s="942" t="s">
        <v>54</v>
      </c>
      <c r="H25" s="1495">
        <v>36059</v>
      </c>
      <c r="I25" s="942" t="s">
        <v>1832</v>
      </c>
      <c r="J25" s="943" t="s">
        <v>1347</v>
      </c>
    </row>
    <row r="26" spans="1:10">
      <c r="A26" s="594"/>
      <c r="B26" s="14" t="str">
        <f>Assm!H23</f>
        <v>ICMS - Fuel Purchases</v>
      </c>
      <c r="C26" s="99">
        <f>Assm!J23</f>
        <v>0</v>
      </c>
      <c r="D26" s="104" t="str">
        <f>Assm!K23</f>
        <v>Exempt</v>
      </c>
      <c r="E26" s="104"/>
      <c r="F26" s="104"/>
      <c r="G26" s="942" t="s">
        <v>54</v>
      </c>
      <c r="H26" s="1495">
        <v>36059</v>
      </c>
      <c r="I26" s="942" t="s">
        <v>1832</v>
      </c>
      <c r="J26" s="943" t="s">
        <v>1347</v>
      </c>
    </row>
    <row r="27" spans="1:10">
      <c r="A27" s="594"/>
      <c r="B27" s="14" t="str">
        <f>Assm!H24</f>
        <v xml:space="preserve">ISS - Services Rendered Tax </v>
      </c>
      <c r="C27" s="99">
        <f>Assm!J24</f>
        <v>0</v>
      </c>
      <c r="D27" s="104" t="str">
        <f>Assm!K24</f>
        <v>Avg Between 2%-5% (Exempt)</v>
      </c>
      <c r="E27" s="104"/>
      <c r="F27" s="104"/>
      <c r="G27" s="942" t="s">
        <v>54</v>
      </c>
      <c r="H27" s="1495">
        <v>35993</v>
      </c>
      <c r="I27" s="942" t="s">
        <v>1832</v>
      </c>
      <c r="J27" s="943" t="s">
        <v>1602</v>
      </c>
    </row>
    <row r="28" spans="1:10">
      <c r="A28" s="594"/>
      <c r="B28" s="14" t="str">
        <f>Assm!H25</f>
        <v>CCC - Conta Compensador De Combustivel</v>
      </c>
      <c r="C28" s="99">
        <f>Assm!J25</f>
        <v>1</v>
      </c>
      <c r="D28" s="104" t="str">
        <f>Assm!K25</f>
        <v>Subsidy Of Fuel Costs</v>
      </c>
      <c r="E28" s="104"/>
      <c r="F28" s="104"/>
      <c r="G28" s="942" t="s">
        <v>1127</v>
      </c>
      <c r="H28" s="1495">
        <v>35759</v>
      </c>
      <c r="I28" s="942"/>
      <c r="J28" s="943" t="s">
        <v>1128</v>
      </c>
    </row>
    <row r="29" spans="1:10">
      <c r="A29" s="594"/>
      <c r="B29" s="14" t="str">
        <f>Assm!H26</f>
        <v>TJLP Interest Rate (From Finance Plan)</v>
      </c>
      <c r="C29" s="99">
        <f>Assm!J26</f>
        <v>0.1</v>
      </c>
      <c r="D29" s="104" t="str">
        <f>Assm!K26</f>
        <v>Published Monthly In Diario Official By Banco Central</v>
      </c>
      <c r="E29" s="104"/>
      <c r="F29" s="104"/>
      <c r="G29" s="942" t="s">
        <v>54</v>
      </c>
      <c r="H29" s="1495">
        <v>35573</v>
      </c>
      <c r="I29" s="942" t="s">
        <v>1130</v>
      </c>
      <c r="J29" s="943" t="s">
        <v>1131</v>
      </c>
    </row>
    <row r="30" spans="1:10">
      <c r="A30" s="594"/>
      <c r="B30" s="14" t="str">
        <f>Assm!H27</f>
        <v>Real Estate Transfer Tax</v>
      </c>
      <c r="C30" s="99">
        <f>Assm!J27</f>
        <v>0</v>
      </c>
      <c r="D30" s="104" t="str">
        <f>Assm!K27</f>
        <v>Calc'd On Land Costs, Assumed Exempt</v>
      </c>
      <c r="E30" s="104"/>
      <c r="F30" s="104"/>
      <c r="G30" s="942" t="s">
        <v>54</v>
      </c>
      <c r="H30" s="1495">
        <v>35993</v>
      </c>
      <c r="I30" s="942" t="s">
        <v>1832</v>
      </c>
      <c r="J30" s="943" t="s">
        <v>1603</v>
      </c>
    </row>
    <row r="31" spans="1:10">
      <c r="A31" s="594"/>
      <c r="B31" s="14" t="str">
        <f>Assm!H28</f>
        <v>Real Property Tax</v>
      </c>
      <c r="C31" s="99">
        <f>Assm!J28</f>
        <v>0</v>
      </c>
      <c r="D31" s="104" t="str">
        <f>Assm!K28</f>
        <v>Annual On Land, Assumed Exempt</v>
      </c>
      <c r="E31" s="104"/>
      <c r="F31" s="104"/>
      <c r="G31" s="942" t="s">
        <v>54</v>
      </c>
      <c r="H31" s="1495">
        <v>35993</v>
      </c>
      <c r="I31" s="942" t="s">
        <v>1832</v>
      </c>
      <c r="J31" s="943" t="s">
        <v>1604</v>
      </c>
    </row>
    <row r="32" spans="1:10">
      <c r="A32" s="594"/>
      <c r="B32" s="1177" t="str">
        <f>Assm!H29</f>
        <v>Customs Duties</v>
      </c>
      <c r="C32" s="99"/>
      <c r="D32" s="104"/>
      <c r="E32" s="104"/>
      <c r="F32" s="104"/>
      <c r="G32" s="942"/>
      <c r="H32" s="1495"/>
      <c r="I32" s="942"/>
      <c r="J32" s="943"/>
    </row>
    <row r="33" spans="1:10">
      <c r="A33" s="594"/>
      <c r="B33" s="14" t="str">
        <f>Assm!H30</f>
        <v>ICMS - Equipment</v>
      </c>
      <c r="C33" s="99">
        <f>Assm!J30</f>
        <v>0.17</v>
      </c>
      <c r="D33" s="104" t="str">
        <f>Assm!K30</f>
        <v>See Construction Tax Schedule</v>
      </c>
      <c r="E33" s="104"/>
      <c r="F33" s="104"/>
      <c r="G33" s="942" t="s">
        <v>54</v>
      </c>
      <c r="H33" s="1495" t="s">
        <v>1830</v>
      </c>
      <c r="I33" s="942" t="s">
        <v>1832</v>
      </c>
      <c r="J33" s="943" t="s">
        <v>1831</v>
      </c>
    </row>
    <row r="34" spans="1:10">
      <c r="A34" s="594"/>
      <c r="B34" s="14" t="str">
        <f>Assm!H31</f>
        <v>Import Duties - Equipment</v>
      </c>
      <c r="C34" s="99">
        <f>Assm!J31</f>
        <v>0.15</v>
      </c>
      <c r="D34" s="104" t="str">
        <f>Assm!K31</f>
        <v>See Construction Tax Schedule</v>
      </c>
      <c r="E34" s="104"/>
      <c r="F34" s="104"/>
      <c r="G34" s="942" t="s">
        <v>54</v>
      </c>
      <c r="H34" s="1495" t="s">
        <v>1830</v>
      </c>
      <c r="I34" s="942" t="s">
        <v>1832</v>
      </c>
      <c r="J34" s="943" t="s">
        <v>1831</v>
      </c>
    </row>
    <row r="35" spans="1:10">
      <c r="A35" s="594"/>
      <c r="B35" s="14" t="str">
        <f>Assm!H32</f>
        <v>Import Duties - Major Maintenance</v>
      </c>
      <c r="C35" s="99">
        <f>Assm!J32</f>
        <v>0.1</v>
      </c>
      <c r="D35" s="104" t="str">
        <f>Assm!K32</f>
        <v>On Imported Equipment</v>
      </c>
      <c r="E35" s="104"/>
      <c r="F35" s="104"/>
      <c r="G35" s="942" t="s">
        <v>54</v>
      </c>
      <c r="H35" s="1495" t="s">
        <v>1830</v>
      </c>
      <c r="I35" s="942" t="s">
        <v>1832</v>
      </c>
      <c r="J35" s="943" t="s">
        <v>1831</v>
      </c>
    </row>
    <row r="36" spans="1:10" ht="13.5" thickBot="1">
      <c r="A36" s="610"/>
      <c r="B36" s="567" t="str">
        <f>Assm!H33</f>
        <v>IPI - Industrial Products Tax</v>
      </c>
      <c r="C36" s="611">
        <f>Assm!J33</f>
        <v>8.6999999999999994E-2</v>
      </c>
      <c r="D36" s="612" t="str">
        <f>Assm!K33</f>
        <v>Rate Varies By Equipment Type</v>
      </c>
      <c r="E36" s="612"/>
      <c r="F36" s="612"/>
      <c r="G36" s="944" t="s">
        <v>54</v>
      </c>
      <c r="H36" s="1496" t="s">
        <v>1830</v>
      </c>
      <c r="I36" s="944" t="s">
        <v>1832</v>
      </c>
      <c r="J36" s="945" t="s">
        <v>1831</v>
      </c>
    </row>
    <row r="37" spans="1:10" s="15" customFormat="1" ht="13.5" thickBot="1">
      <c r="H37" s="1493"/>
      <c r="I37" s="44"/>
    </row>
    <row r="38" spans="1:10">
      <c r="A38" s="591" t="str">
        <f>Assm!H35</f>
        <v>Sudam Tax Credits Reserve</v>
      </c>
      <c r="B38" s="613" t="str">
        <f>Assm!K35</f>
        <v>(0 = Off, 1 = On)</v>
      </c>
      <c r="C38" s="614">
        <f>Assm!L35</f>
        <v>1</v>
      </c>
      <c r="D38" s="615"/>
      <c r="E38" s="615"/>
      <c r="F38" s="616"/>
      <c r="G38" s="946"/>
      <c r="H38" s="1494"/>
      <c r="I38" s="946"/>
      <c r="J38" s="947"/>
    </row>
    <row r="39" spans="1:10">
      <c r="A39" s="594"/>
      <c r="B39" s="372" t="str">
        <f>Assm!H36</f>
        <v>Credits Held In A Reserve (Non Distributable As Dividends, Only As Trapped Cash Loans)</v>
      </c>
      <c r="C39" s="218"/>
      <c r="D39" s="269"/>
      <c r="E39" s="269"/>
      <c r="F39" s="269"/>
      <c r="G39" s="948" t="s">
        <v>54</v>
      </c>
      <c r="H39" s="1495">
        <v>36061</v>
      </c>
      <c r="I39" s="948" t="s">
        <v>1832</v>
      </c>
      <c r="J39" s="949"/>
    </row>
    <row r="40" spans="1:10">
      <c r="A40" s="594"/>
      <c r="B40" s="372" t="str">
        <f>Assm!H37</f>
        <v>Reserve Can Be Used Against Net Losses (Forward &amp; Backward)</v>
      </c>
      <c r="C40" s="218"/>
      <c r="D40" s="269"/>
      <c r="E40" s="269"/>
      <c r="F40" s="269"/>
      <c r="G40" s="948" t="s">
        <v>54</v>
      </c>
      <c r="H40" s="1495">
        <v>36061</v>
      </c>
      <c r="I40" s="948" t="s">
        <v>1832</v>
      </c>
      <c r="J40" s="949"/>
    </row>
    <row r="41" spans="1:10">
      <c r="A41" s="594"/>
      <c r="B41" s="372" t="str">
        <f>Assm!H38</f>
        <v>Credit Available = Tax Rate X Operating Income Reduced By Below %</v>
      </c>
      <c r="C41" s="218"/>
      <c r="D41" s="269"/>
      <c r="E41" s="269"/>
      <c r="F41" s="269"/>
      <c r="G41" s="948" t="s">
        <v>54</v>
      </c>
      <c r="H41" s="1495">
        <v>36061</v>
      </c>
      <c r="I41" s="948" t="s">
        <v>1832</v>
      </c>
      <c r="J41" s="949"/>
    </row>
    <row r="42" spans="1:10">
      <c r="A42" s="594"/>
      <c r="B42" s="372" t="str">
        <f>Assm!H39</f>
        <v>Final Year Of Tax Credits ==&gt;</v>
      </c>
      <c r="C42" s="56">
        <f>Assm!I39</f>
        <v>2013</v>
      </c>
      <c r="D42" s="269"/>
      <c r="E42" s="269"/>
      <c r="F42" s="269"/>
      <c r="G42" s="948" t="s">
        <v>54</v>
      </c>
      <c r="H42" s="1495">
        <v>36139</v>
      </c>
      <c r="I42" s="948" t="s">
        <v>1832</v>
      </c>
      <c r="J42" s="949" t="s">
        <v>352</v>
      </c>
    </row>
    <row r="43" spans="1:10">
      <c r="A43" s="594"/>
      <c r="B43" s="14" t="str">
        <f>Assm!H41</f>
        <v>Tax Period Starting In Year</v>
      </c>
      <c r="C43" s="370">
        <f>Assm!I41</f>
        <v>1998</v>
      </c>
      <c r="D43" s="371">
        <f>Assm!J41</f>
        <v>2004</v>
      </c>
      <c r="E43" s="371">
        <f>Assm!K41</f>
        <v>2009</v>
      </c>
      <c r="F43" s="366"/>
      <c r="G43" s="948" t="s">
        <v>54</v>
      </c>
      <c r="H43" s="1495">
        <v>36139</v>
      </c>
      <c r="I43" s="948" t="s">
        <v>1832</v>
      </c>
      <c r="J43" s="949" t="s">
        <v>352</v>
      </c>
    </row>
    <row r="44" spans="1:10" ht="13.5" thickBot="1">
      <c r="A44" s="610"/>
      <c r="B44" s="567" t="str">
        <f>Assm!H42</f>
        <v>Operating Income Rate</v>
      </c>
      <c r="C44" s="617">
        <f>Assm!I42</f>
        <v>0.75</v>
      </c>
      <c r="D44" s="618">
        <f>Assm!J42</f>
        <v>0.5</v>
      </c>
      <c r="E44" s="618">
        <f>Assm!K42</f>
        <v>0.25</v>
      </c>
      <c r="F44" s="619"/>
      <c r="G44" s="950" t="s">
        <v>490</v>
      </c>
      <c r="H44" s="1496">
        <v>36598</v>
      </c>
      <c r="I44" s="950" t="s">
        <v>491</v>
      </c>
      <c r="J44" s="951" t="s">
        <v>1831</v>
      </c>
    </row>
    <row r="45" spans="1:10" s="15" customFormat="1" ht="13.5" thickBot="1">
      <c r="H45" s="1493"/>
      <c r="I45" s="44"/>
    </row>
    <row r="46" spans="1:10">
      <c r="A46" s="591" t="str">
        <f>Assm!H44</f>
        <v>US Taxes</v>
      </c>
      <c r="B46" s="599" t="str">
        <f>Assm!H45</f>
        <v>Tax Position / Structure</v>
      </c>
      <c r="C46" s="1348" t="str">
        <f>Assm!J45</f>
        <v>Deferral</v>
      </c>
      <c r="D46" s="413"/>
      <c r="E46" s="413"/>
      <c r="F46" s="620"/>
      <c r="G46" s="940" t="s">
        <v>54</v>
      </c>
      <c r="H46" s="1494">
        <v>36250</v>
      </c>
      <c r="I46" s="940" t="s">
        <v>1832</v>
      </c>
      <c r="J46" s="941"/>
    </row>
    <row r="47" spans="1:10" ht="13.5" thickBot="1">
      <c r="A47" s="596"/>
      <c r="B47" s="597" t="str">
        <f>Assm!H46</f>
        <v>Federal Income Tax</v>
      </c>
      <c r="C47" s="611">
        <f>Assm!J46</f>
        <v>0.37</v>
      </c>
      <c r="D47" s="49"/>
      <c r="E47" s="49"/>
      <c r="F47" s="598"/>
      <c r="G47" s="944" t="s">
        <v>351</v>
      </c>
      <c r="H47" s="1496"/>
      <c r="I47" s="944"/>
      <c r="J47" s="945"/>
    </row>
    <row r="48" spans="1:10" s="15" customFormat="1" ht="13.5" thickBot="1">
      <c r="H48" s="1493"/>
      <c r="I48" s="44"/>
    </row>
    <row r="49" spans="1:10">
      <c r="A49" s="591" t="str">
        <f>Assm!H48</f>
        <v>Depreciation Assumptions</v>
      </c>
      <c r="B49" s="1174" t="str">
        <f>Assm!H50</f>
        <v>Tax</v>
      </c>
      <c r="C49" s="393"/>
      <c r="D49" s="12" t="s">
        <v>325</v>
      </c>
      <c r="E49" s="12" t="s">
        <v>327</v>
      </c>
      <c r="F49" s="12" t="s">
        <v>328</v>
      </c>
      <c r="G49" s="940"/>
      <c r="H49" s="1494"/>
      <c r="I49" s="940"/>
      <c r="J49" s="790"/>
    </row>
    <row r="50" spans="1:10">
      <c r="A50" s="595"/>
      <c r="B50" s="806" t="s">
        <v>706</v>
      </c>
      <c r="C50" s="265" t="str">
        <f>Assm!L50</f>
        <v>S/L</v>
      </c>
      <c r="D50" s="37">
        <f ca="1">Assm!J50</f>
        <v>98794.94800002416</v>
      </c>
      <c r="E50" s="37">
        <f ca="1">Assm!J51</f>
        <v>98794.94800002416</v>
      </c>
      <c r="F50" s="57">
        <f ca="1">Assm!J52</f>
        <v>131726.59733336561</v>
      </c>
      <c r="G50" s="942"/>
      <c r="H50" s="1495"/>
      <c r="I50" s="942"/>
      <c r="J50" s="758"/>
    </row>
    <row r="51" spans="1:10">
      <c r="A51" s="595"/>
      <c r="B51" s="806" t="s">
        <v>707</v>
      </c>
      <c r="C51" s="282">
        <f>Assm!K50</f>
        <v>20</v>
      </c>
      <c r="D51" s="15"/>
      <c r="E51" s="15"/>
      <c r="F51" s="17"/>
      <c r="G51" s="942" t="s">
        <v>1836</v>
      </c>
      <c r="H51" s="1495">
        <v>35993</v>
      </c>
      <c r="I51" s="942" t="s">
        <v>1832</v>
      </c>
      <c r="J51" s="758" t="s">
        <v>1837</v>
      </c>
    </row>
    <row r="52" spans="1:10">
      <c r="A52" s="595"/>
      <c r="B52" s="1175" t="str">
        <f>Assm!H54</f>
        <v>Book</v>
      </c>
      <c r="C52" s="14"/>
      <c r="D52" s="15"/>
      <c r="E52" s="15"/>
      <c r="F52" s="17"/>
      <c r="G52" s="942"/>
      <c r="H52" s="1495"/>
      <c r="I52" s="942"/>
      <c r="J52" s="758"/>
    </row>
    <row r="53" spans="1:10">
      <c r="A53" s="595"/>
      <c r="B53" s="806" t="s">
        <v>706</v>
      </c>
      <c r="C53" s="265" t="str">
        <f>Assm!L54</f>
        <v>S/L</v>
      </c>
      <c r="D53" s="37">
        <f ca="1">Assm!J54</f>
        <v>98794.94800002416</v>
      </c>
      <c r="E53" s="37">
        <f ca="1">Assm!J55</f>
        <v>98794.94800002416</v>
      </c>
      <c r="F53" s="57">
        <f ca="1">Assm!J56</f>
        <v>131726.59733336561</v>
      </c>
      <c r="G53" s="942"/>
      <c r="H53" s="1495"/>
      <c r="I53" s="942"/>
      <c r="J53" s="758"/>
    </row>
    <row r="54" spans="1:10">
      <c r="A54" s="595"/>
      <c r="B54" s="806" t="s">
        <v>707</v>
      </c>
      <c r="C54" s="282">
        <f>Assm!K54</f>
        <v>20</v>
      </c>
      <c r="D54" s="15"/>
      <c r="E54" s="15"/>
      <c r="F54" s="17"/>
      <c r="G54" s="942" t="s">
        <v>1261</v>
      </c>
      <c r="H54" s="1495"/>
      <c r="I54" s="942"/>
      <c r="J54" s="758"/>
    </row>
    <row r="55" spans="1:10">
      <c r="A55" s="20"/>
      <c r="B55" s="1175" t="s">
        <v>708</v>
      </c>
      <c r="C55" s="65"/>
      <c r="D55" s="15"/>
      <c r="E55" s="15"/>
      <c r="F55" s="17"/>
      <c r="G55" s="942"/>
      <c r="H55" s="1495"/>
      <c r="I55" s="942"/>
      <c r="J55" s="758"/>
    </row>
    <row r="56" spans="1:10">
      <c r="A56" s="20"/>
      <c r="B56" s="807" t="s">
        <v>706</v>
      </c>
      <c r="C56" s="283" t="str">
        <f>Assm!L58</f>
        <v>S/L</v>
      </c>
      <c r="D56" s="37">
        <f ca="1">Assm!J58</f>
        <v>98794.94800002416</v>
      </c>
      <c r="E56" s="37">
        <f ca="1">Assm!J59</f>
        <v>98794.94800002416</v>
      </c>
      <c r="F56" s="57">
        <f ca="1">Assm!J60</f>
        <v>131726.59733336561</v>
      </c>
      <c r="G56" s="942"/>
      <c r="H56" s="1495"/>
      <c r="I56" s="942"/>
      <c r="J56" s="758"/>
    </row>
    <row r="57" spans="1:10" ht="13.5" thickBot="1">
      <c r="A57" s="48"/>
      <c r="B57" s="808" t="s">
        <v>707</v>
      </c>
      <c r="C57" s="621">
        <f>Assm!K58</f>
        <v>20</v>
      </c>
      <c r="D57" s="49"/>
      <c r="E57" s="49"/>
      <c r="F57" s="49"/>
      <c r="G57" s="944" t="s">
        <v>1261</v>
      </c>
      <c r="H57" s="1496"/>
      <c r="I57" s="944"/>
      <c r="J57" s="945"/>
    </row>
    <row r="58" spans="1:10" s="15" customFormat="1" ht="13.5" thickBot="1">
      <c r="H58" s="1493"/>
      <c r="I58" s="44"/>
    </row>
    <row r="59" spans="1:10">
      <c r="A59" s="554" t="str">
        <f>Assm!H62</f>
        <v>Trapped Cash</v>
      </c>
      <c r="B59" s="622" t="str">
        <f>Assm!H63</f>
        <v>Distributions Are Limited To Retained Earnings</v>
      </c>
      <c r="C59" s="1353"/>
      <c r="D59" s="413"/>
      <c r="E59" s="413"/>
      <c r="F59" s="620"/>
      <c r="G59" s="952"/>
      <c r="H59" s="1494"/>
      <c r="I59" s="946"/>
      <c r="J59" s="947"/>
    </row>
    <row r="60" spans="1:10">
      <c r="A60" s="27"/>
      <c r="B60" s="64" t="str">
        <f>Assm!H68</f>
        <v>Interest Income To Project On Trapped Cash Loans</v>
      </c>
      <c r="C60" s="1355"/>
      <c r="D60" s="1252">
        <f>Assm!L68</f>
        <v>0.05</v>
      </c>
      <c r="E60" s="606"/>
      <c r="F60" s="367"/>
      <c r="G60" s="953" t="s">
        <v>1812</v>
      </c>
      <c r="H60" s="1495">
        <v>36004</v>
      </c>
      <c r="I60" s="948" t="s">
        <v>1807</v>
      </c>
      <c r="J60" s="949" t="s">
        <v>1813</v>
      </c>
    </row>
    <row r="61" spans="1:10" ht="13.5" thickBot="1">
      <c r="A61" s="455"/>
      <c r="B61" s="597" t="str">
        <f>Assm!H69</f>
        <v>Interest Expense To Shareholders On Trapped Cash Loans</v>
      </c>
      <c r="C61" s="1354"/>
      <c r="D61" s="1356">
        <f>Assm!L69</f>
        <v>0.06</v>
      </c>
      <c r="E61" s="607"/>
      <c r="F61" s="626"/>
      <c r="G61" s="954" t="s">
        <v>1812</v>
      </c>
      <c r="H61" s="1496">
        <v>36004</v>
      </c>
      <c r="I61" s="950" t="s">
        <v>1807</v>
      </c>
      <c r="J61" s="951" t="s">
        <v>1813</v>
      </c>
    </row>
    <row r="62" spans="1:10" ht="13.5" thickBot="1"/>
    <row r="63" spans="1:10" s="15" customFormat="1">
      <c r="A63" s="554" t="str">
        <f>Assm!H71</f>
        <v>Exchange Rate</v>
      </c>
      <c r="B63" s="622" t="str">
        <f>Assm!H72</f>
        <v>Base Exchange Rate Per PPA (R$ Per US$)</v>
      </c>
      <c r="C63" s="614">
        <f>Exch</f>
        <v>1.0649999999999999</v>
      </c>
      <c r="D63" s="413"/>
      <c r="E63" s="413"/>
      <c r="F63" s="620"/>
      <c r="G63" s="952" t="s">
        <v>1371</v>
      </c>
      <c r="H63" s="1494">
        <v>35759</v>
      </c>
      <c r="I63" s="946" t="s">
        <v>695</v>
      </c>
      <c r="J63" s="947" t="s">
        <v>157</v>
      </c>
    </row>
    <row r="64" spans="1:10" s="15" customFormat="1" ht="13.5" thickBot="1">
      <c r="A64" s="455"/>
      <c r="B64" s="597" t="str">
        <f>Assm!H73</f>
        <v>Start Date For Economic Equilibrium</v>
      </c>
      <c r="C64" s="1357">
        <f>EE_Date</f>
        <v>36404</v>
      </c>
      <c r="D64" s="49"/>
      <c r="E64" s="49"/>
      <c r="F64" s="598"/>
      <c r="G64" s="954"/>
      <c r="H64" s="1496"/>
      <c r="I64" s="950"/>
      <c r="J64" s="951"/>
    </row>
    <row r="65" spans="1:10" ht="13.5" thickBot="1"/>
    <row r="66" spans="1:10">
      <c r="A66" s="554" t="str">
        <f>Assm!H80</f>
        <v>Interest On Net Equity (INE)</v>
      </c>
      <c r="B66" s="622" t="str">
        <f>Assm!H81</f>
        <v>Limited To The Lesser Of</v>
      </c>
      <c r="C66" s="628">
        <f>Assm!I81</f>
        <v>0.5</v>
      </c>
      <c r="D66" s="632" t="str">
        <f>Assm!J81</f>
        <v>Of Earnings Before Taxes</v>
      </c>
      <c r="E66" s="632"/>
      <c r="F66" s="633"/>
      <c r="G66" s="1365" t="s">
        <v>54</v>
      </c>
      <c r="H66" s="1494">
        <v>35579</v>
      </c>
      <c r="I66" s="946" t="s">
        <v>1832</v>
      </c>
      <c r="J66" s="947" t="s">
        <v>1929</v>
      </c>
    </row>
    <row r="67" spans="1:10" ht="13.5" thickBot="1">
      <c r="A67" s="455"/>
      <c r="B67" s="597"/>
      <c r="C67" s="611">
        <f>Assm!I82</f>
        <v>0.1</v>
      </c>
      <c r="D67" s="607" t="str">
        <f>Assm!J82</f>
        <v>TJLP Rate Of Project Equity</v>
      </c>
      <c r="E67" s="607"/>
      <c r="F67" s="1366"/>
      <c r="G67" s="1367" t="s">
        <v>54</v>
      </c>
      <c r="H67" s="1496">
        <v>35579</v>
      </c>
      <c r="I67" s="950" t="s">
        <v>1832</v>
      </c>
      <c r="J67" s="951" t="s">
        <v>1929</v>
      </c>
    </row>
    <row r="68" spans="1:10" ht="13.5" thickBot="1"/>
    <row r="69" spans="1:10">
      <c r="A69" s="554" t="str">
        <f>Assm!H113</f>
        <v>Political Risk Insurance</v>
      </c>
      <c r="B69" s="622" t="str">
        <f>Assm!K113</f>
        <v>Partner Level Only</v>
      </c>
      <c r="C69" s="628"/>
      <c r="D69" s="413"/>
      <c r="E69" s="413"/>
      <c r="F69" s="620"/>
      <c r="G69" s="952"/>
      <c r="H69" s="1494"/>
      <c r="I69" s="946"/>
      <c r="J69" s="947"/>
    </row>
    <row r="70" spans="1:10" ht="13.5" thickBot="1">
      <c r="A70" s="455"/>
      <c r="B70" s="629" t="str">
        <f>Assm!H114</f>
        <v>Book Earnings Method</v>
      </c>
      <c r="C70" s="630">
        <f>Opic</f>
        <v>0.01</v>
      </c>
      <c r="D70" s="49" t="str">
        <f>Assm!K114</f>
        <v>Of Equity Book Value</v>
      </c>
      <c r="E70" s="49"/>
      <c r="F70" s="598"/>
      <c r="G70" s="954" t="s">
        <v>1397</v>
      </c>
      <c r="H70" s="1496">
        <v>36084</v>
      </c>
      <c r="I70" s="950" t="s">
        <v>19</v>
      </c>
      <c r="J70" s="951" t="s">
        <v>353</v>
      </c>
    </row>
    <row r="71" spans="1:10" ht="13.5" thickBot="1"/>
    <row r="72" spans="1:10">
      <c r="A72" s="554" t="str">
        <f>Assm!A99</f>
        <v>Electronorte Purchase Price Option</v>
      </c>
      <c r="B72" s="622"/>
      <c r="C72" s="628"/>
      <c r="D72" s="623"/>
      <c r="E72" s="623"/>
      <c r="F72" s="624"/>
      <c r="G72" s="952"/>
      <c r="H72" s="1494"/>
      <c r="I72" s="946"/>
      <c r="J72" s="947"/>
    </row>
    <row r="73" spans="1:10">
      <c r="A73" s="27"/>
      <c r="B73" s="739" t="str">
        <f>Assm!A100</f>
        <v>Final Year Plant &amp; Transmission Capacity Tariff (R$/Mw-Month)</v>
      </c>
      <c r="C73" s="14"/>
      <c r="D73" s="225">
        <f>Assm!F100</f>
        <v>1291.0185185185185</v>
      </c>
      <c r="E73" s="740"/>
      <c r="F73" s="367"/>
      <c r="G73" s="942" t="s">
        <v>346</v>
      </c>
      <c r="H73" s="1495">
        <v>35759</v>
      </c>
      <c r="I73" s="942" t="s">
        <v>347</v>
      </c>
      <c r="J73" s="943" t="s">
        <v>1376</v>
      </c>
    </row>
    <row r="74" spans="1:10" s="15" customFormat="1">
      <c r="A74" s="27"/>
      <c r="B74" s="739" t="str">
        <f>Assm!A101</f>
        <v>Final Year Plant Capacity (Mw)</v>
      </c>
      <c r="C74" s="14"/>
      <c r="D74" s="1362">
        <f>Assm!F101</f>
        <v>480</v>
      </c>
      <c r="E74" s="740"/>
      <c r="F74" s="367"/>
      <c r="G74" s="953" t="s">
        <v>1371</v>
      </c>
      <c r="H74" s="1495">
        <v>35759</v>
      </c>
      <c r="I74" s="948" t="s">
        <v>695</v>
      </c>
      <c r="J74" s="949" t="s">
        <v>1861</v>
      </c>
    </row>
    <row r="75" spans="1:10" s="15" customFormat="1">
      <c r="A75" s="27"/>
      <c r="B75" s="739" t="str">
        <f>Assm!A102</f>
        <v>PPA Multiple</v>
      </c>
      <c r="C75" s="14"/>
      <c r="D75" s="1363">
        <f>Assm!F102</f>
        <v>2.4</v>
      </c>
      <c r="E75" s="740"/>
      <c r="F75" s="367"/>
      <c r="G75" s="953" t="s">
        <v>1371</v>
      </c>
      <c r="H75" s="1495">
        <v>35759</v>
      </c>
      <c r="I75" s="948" t="s">
        <v>695</v>
      </c>
      <c r="J75" s="949" t="s">
        <v>1861</v>
      </c>
    </row>
    <row r="76" spans="1:10" s="15" customFormat="1">
      <c r="A76" s="27"/>
      <c r="B76" s="739" t="str">
        <f>Assm!A103</f>
        <v>Electronorte Purchase Price (R$000)</v>
      </c>
      <c r="C76" s="14"/>
      <c r="D76" s="225">
        <f>Assm!F103</f>
        <v>1487.2533333333333</v>
      </c>
      <c r="E76" s="740"/>
      <c r="F76" s="367"/>
      <c r="G76" s="953" t="s">
        <v>692</v>
      </c>
      <c r="H76" s="1495"/>
      <c r="I76" s="948"/>
      <c r="J76" s="949"/>
    </row>
    <row r="77" spans="1:10" s="15" customFormat="1" ht="13.5" thickBot="1">
      <c r="A77" s="455"/>
      <c r="B77" s="629" t="str">
        <f>Assm!A104</f>
        <v>Electronorte Purchase Price (US$000 @ Bid Exchange)</v>
      </c>
      <c r="C77" s="567"/>
      <c r="D77" s="1364">
        <f>Assm!F104</f>
        <v>1396.4820031298905</v>
      </c>
      <c r="E77" s="631"/>
      <c r="F77" s="626"/>
      <c r="G77" s="954" t="s">
        <v>692</v>
      </c>
      <c r="H77" s="1496"/>
      <c r="I77" s="950"/>
      <c r="J77" s="951"/>
    </row>
  </sheetData>
  <printOptions horizontalCentered="1"/>
  <pageMargins left="0.25" right="0.25" top="0.5" bottom="0.5" header="0.25" footer="0.25"/>
  <pageSetup scale="48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J77"/>
  <sheetViews>
    <sheetView showGridLines="0" topLeftCell="C1" zoomScale="75" workbookViewId="0">
      <selection activeCell="G35" sqref="G35"/>
    </sheetView>
  </sheetViews>
  <sheetFormatPr defaultRowHeight="12.75"/>
  <cols>
    <col min="1" max="1" width="30.7109375" style="7" customWidth="1"/>
    <col min="2" max="2" width="47.7109375" style="7" customWidth="1"/>
    <col min="3" max="6" width="10.7109375" style="7" customWidth="1"/>
    <col min="7" max="7" width="23.7109375" style="7" customWidth="1"/>
    <col min="8" max="8" width="13.7109375" style="1489" customWidth="1"/>
    <col min="9" max="9" width="23.7109375" style="7" customWidth="1"/>
    <col min="10" max="10" width="35.7109375" style="7" customWidth="1"/>
    <col min="11" max="16384" width="9.140625" style="7"/>
  </cols>
  <sheetData>
    <row r="1" spans="1:10" s="1" customFormat="1" ht="15.75">
      <c r="A1" s="1137" t="str">
        <f>CONCATENATE(TOC!B2," ",TOC!B6)</f>
        <v>EMPRESSA PRODUTORA DE ENERGÍA LTDA (EPE) *** DRAFT COPY ***</v>
      </c>
      <c r="B1" s="15"/>
      <c r="C1" s="15"/>
      <c r="D1" s="15"/>
      <c r="E1" s="15"/>
      <c r="F1" s="15"/>
      <c r="H1" s="1488"/>
    </row>
    <row r="2" spans="1:10" s="1" customFormat="1" ht="15.75">
      <c r="A2" s="1137" t="str">
        <f>TOC!B3</f>
        <v>480 MW POWER PLANT (CUIABA, BRAZIL)</v>
      </c>
      <c r="B2" s="15"/>
      <c r="C2" s="15"/>
      <c r="D2" s="15"/>
      <c r="E2" s="15"/>
      <c r="F2" s="15"/>
      <c r="H2" s="1488"/>
    </row>
    <row r="3" spans="1:10" s="1" customFormat="1" ht="15">
      <c r="A3" s="118" t="str">
        <f>TOC!B4</f>
        <v>ENRON INTERNATIONAL</v>
      </c>
      <c r="B3" s="15"/>
      <c r="C3" s="15"/>
      <c r="D3" s="15"/>
      <c r="E3" s="15"/>
      <c r="F3" s="15"/>
      <c r="H3" s="1488"/>
    </row>
    <row r="4" spans="1:10" s="1" customFormat="1" ht="15">
      <c r="A4" s="932" t="s">
        <v>688</v>
      </c>
      <c r="B4" s="15"/>
      <c r="C4" s="15"/>
      <c r="D4" s="15"/>
      <c r="E4" s="15"/>
      <c r="F4" s="15"/>
      <c r="H4" s="1488"/>
    </row>
    <row r="5" spans="1:10" customFormat="1" ht="13.5" thickBot="1">
      <c r="A5" s="1"/>
      <c r="B5" s="15"/>
      <c r="C5" s="15"/>
      <c r="D5" s="15"/>
      <c r="E5" s="15"/>
      <c r="F5" s="15"/>
      <c r="G5" s="7"/>
      <c r="H5" s="1489"/>
      <c r="I5" s="7"/>
      <c r="J5" s="7"/>
    </row>
    <row r="6" spans="1:10">
      <c r="A6" s="578"/>
      <c r="B6" s="579"/>
      <c r="C6" s="609"/>
      <c r="D6" s="580"/>
      <c r="E6" s="580"/>
      <c r="F6" s="581"/>
      <c r="G6" s="579"/>
      <c r="H6" s="1490"/>
      <c r="I6" s="579" t="s">
        <v>671</v>
      </c>
      <c r="J6" s="582"/>
    </row>
    <row r="7" spans="1:10">
      <c r="A7" s="583"/>
      <c r="B7" s="96"/>
      <c r="C7" s="103" t="s">
        <v>689</v>
      </c>
      <c r="D7" s="97"/>
      <c r="E7" s="98"/>
      <c r="F7" s="98"/>
      <c r="G7" s="96"/>
      <c r="H7" s="1491" t="s">
        <v>1257</v>
      </c>
      <c r="I7" s="96" t="s">
        <v>690</v>
      </c>
      <c r="J7" s="584"/>
    </row>
    <row r="8" spans="1:10" ht="13.5" thickBot="1">
      <c r="A8" s="585" t="s">
        <v>673</v>
      </c>
      <c r="B8" s="586" t="s">
        <v>674</v>
      </c>
      <c r="C8" s="587" t="s">
        <v>691</v>
      </c>
      <c r="D8" s="588"/>
      <c r="E8" s="589"/>
      <c r="F8" s="589"/>
      <c r="G8" s="586" t="s">
        <v>675</v>
      </c>
      <c r="H8" s="1492" t="s">
        <v>676</v>
      </c>
      <c r="I8" s="586" t="s">
        <v>1258</v>
      </c>
      <c r="J8" s="590" t="s">
        <v>677</v>
      </c>
    </row>
    <row r="9" spans="1:10" ht="13.5" thickBot="1">
      <c r="A9" s="14"/>
      <c r="B9" s="15"/>
      <c r="C9" s="15"/>
      <c r="D9" s="15"/>
      <c r="E9" s="15"/>
      <c r="F9" s="15"/>
      <c r="G9" s="15"/>
      <c r="H9" s="1493"/>
      <c r="I9" s="15"/>
      <c r="J9" s="15"/>
    </row>
    <row r="10" spans="1:10">
      <c r="A10" s="591" t="str">
        <f>Assm!N6</f>
        <v>Project Costs ($000)</v>
      </c>
      <c r="B10" s="599"/>
      <c r="C10" s="12" t="str">
        <f>Assm!S6</f>
        <v>Phase I</v>
      </c>
      <c r="D10" s="12" t="str">
        <f>Assm!T6</f>
        <v>Phase II</v>
      </c>
      <c r="E10" s="12" t="str">
        <f>Assm!U6</f>
        <v>Phase III</v>
      </c>
      <c r="F10" s="636" t="str">
        <f>Assm!V7</f>
        <v>Total</v>
      </c>
      <c r="G10" s="940"/>
      <c r="H10" s="1494"/>
      <c r="I10" s="940"/>
      <c r="J10" s="941"/>
    </row>
    <row r="11" spans="1:10">
      <c r="A11" s="594"/>
      <c r="B11" s="64" t="str">
        <f>Assm!N8</f>
        <v>EPC Turnkey Contract</v>
      </c>
      <c r="C11" s="37">
        <f>Assm!S8</f>
        <v>71539.914900000003</v>
      </c>
      <c r="D11" s="37">
        <f>Assm!T8</f>
        <v>71539.914900000003</v>
      </c>
      <c r="E11" s="37">
        <f>Assm!U8</f>
        <v>95386.553200000024</v>
      </c>
      <c r="F11" s="347">
        <f>Assm!V8</f>
        <v>238466.38300000003</v>
      </c>
      <c r="G11" s="942" t="s">
        <v>1419</v>
      </c>
      <c r="H11" s="1495">
        <v>35664</v>
      </c>
      <c r="I11" s="942" t="s">
        <v>1807</v>
      </c>
      <c r="J11" s="943" t="s">
        <v>1119</v>
      </c>
    </row>
    <row r="12" spans="1:10">
      <c r="A12" s="594"/>
      <c r="B12" s="64" t="str">
        <f>Assm!N9</f>
        <v>Approved Change Orders</v>
      </c>
      <c r="C12" s="37">
        <f>Assm!S9</f>
        <v>3960.1373999999987</v>
      </c>
      <c r="D12" s="37">
        <f>Assm!T9</f>
        <v>3960.1373999999987</v>
      </c>
      <c r="E12" s="37">
        <f>Assm!U9</f>
        <v>5280.1831999999995</v>
      </c>
      <c r="F12" s="347">
        <f>Assm!V9</f>
        <v>13200.457999999997</v>
      </c>
      <c r="G12" s="942" t="s">
        <v>1189</v>
      </c>
      <c r="H12" s="1495">
        <v>36209</v>
      </c>
      <c r="I12" s="942" t="s">
        <v>1190</v>
      </c>
      <c r="J12" s="943" t="s">
        <v>1191</v>
      </c>
    </row>
    <row r="13" spans="1:10">
      <c r="A13" s="594"/>
      <c r="B13" s="64" t="str">
        <f>Assm!N10</f>
        <v>Pending Change Orders</v>
      </c>
      <c r="C13" s="37">
        <f>Assm!S10</f>
        <v>1221.8999999999999</v>
      </c>
      <c r="D13" s="37">
        <f>Assm!T10</f>
        <v>1221.8999999999999</v>
      </c>
      <c r="E13" s="37">
        <f>Assm!U10</f>
        <v>1629.2</v>
      </c>
      <c r="F13" s="347">
        <f>Assm!V10</f>
        <v>4073</v>
      </c>
      <c r="G13" s="942" t="s">
        <v>1192</v>
      </c>
      <c r="H13" s="1495">
        <v>36407</v>
      </c>
      <c r="I13" s="942" t="s">
        <v>1049</v>
      </c>
      <c r="J13" s="943" t="s">
        <v>1193</v>
      </c>
    </row>
    <row r="14" spans="1:10">
      <c r="A14" s="594"/>
      <c r="B14" s="64" t="str">
        <f>Assm!N11</f>
        <v>Onshore Payment Adjustment</v>
      </c>
      <c r="C14" s="37">
        <f>Assm!S11</f>
        <v>-2302.5701669569439</v>
      </c>
      <c r="D14" s="37">
        <f>Assm!T11</f>
        <v>-2302.5701669569439</v>
      </c>
      <c r="E14" s="37">
        <f>Assm!U11</f>
        <v>-3070.0935559425925</v>
      </c>
      <c r="F14" s="347">
        <f>Assm!V11</f>
        <v>-7675.2338898564803</v>
      </c>
      <c r="G14" s="942" t="s">
        <v>1419</v>
      </c>
      <c r="H14" s="1495">
        <v>36296</v>
      </c>
      <c r="I14" s="942" t="s">
        <v>431</v>
      </c>
      <c r="J14" s="943" t="s">
        <v>1126</v>
      </c>
    </row>
    <row r="15" spans="1:10">
      <c r="A15" s="594"/>
      <c r="B15" s="64" t="str">
        <f>Assm!N12</f>
        <v>Turnkey Tax Adjustment (0=Off, 1=On)</v>
      </c>
      <c r="C15" s="37">
        <f>Assm!S12</f>
        <v>-2254.1505053999999</v>
      </c>
      <c r="D15" s="37">
        <f>Assm!T12</f>
        <v>-2254.1505053999999</v>
      </c>
      <c r="E15" s="37">
        <f>Assm!U12</f>
        <v>-3005.5340072000004</v>
      </c>
      <c r="F15" s="347">
        <f>Assm!V12</f>
        <v>-7513.8350180000007</v>
      </c>
      <c r="G15" s="942" t="s">
        <v>1419</v>
      </c>
      <c r="H15" s="1495">
        <v>36296</v>
      </c>
      <c r="I15" s="942" t="s">
        <v>1832</v>
      </c>
      <c r="J15" s="943" t="s">
        <v>1132</v>
      </c>
    </row>
    <row r="16" spans="1:10">
      <c r="A16" s="594"/>
      <c r="B16" s="64" t="str">
        <f>Assm!N13</f>
        <v>Delay/Performance Damages From SCC (0=Off, 1=On)</v>
      </c>
      <c r="C16" s="142">
        <f>Assm!S13</f>
        <v>-2190.4064999999996</v>
      </c>
      <c r="D16" s="142">
        <f>Assm!T13</f>
        <v>-2190.4064999999996</v>
      </c>
      <c r="E16" s="142">
        <f>Assm!U13</f>
        <v>-2920.5419999999999</v>
      </c>
      <c r="F16" s="348">
        <f>Assm!V13</f>
        <v>-7301.3549999999996</v>
      </c>
      <c r="G16" s="942" t="s">
        <v>430</v>
      </c>
      <c r="H16" s="1495">
        <v>36407</v>
      </c>
      <c r="I16" s="942" t="s">
        <v>431</v>
      </c>
      <c r="J16" s="943"/>
    </row>
    <row r="17" spans="1:10">
      <c r="A17" s="595"/>
      <c r="B17" s="1178" t="str">
        <f>Assm!N14</f>
        <v>Total Turnkey Construction</v>
      </c>
      <c r="C17" s="224">
        <f>Assm!S14</f>
        <v>69974.825127643053</v>
      </c>
      <c r="D17" s="224">
        <f>Assm!T14</f>
        <v>69974.825127643053</v>
      </c>
      <c r="E17" s="224">
        <f>Assm!U14</f>
        <v>93299.766836857423</v>
      </c>
      <c r="F17" s="1179">
        <f>Assm!V14</f>
        <v>233249.4170921435</v>
      </c>
      <c r="G17" s="942"/>
      <c r="H17" s="1495"/>
      <c r="I17" s="942"/>
      <c r="J17" s="943"/>
    </row>
    <row r="18" spans="1:10" s="270" customFormat="1">
      <c r="A18" s="637"/>
      <c r="B18" s="280"/>
      <c r="C18" s="37"/>
      <c r="D18" s="37"/>
      <c r="E18" s="37"/>
      <c r="F18" s="347"/>
      <c r="G18" s="948"/>
      <c r="H18" s="1495"/>
      <c r="I18" s="948"/>
      <c r="J18" s="949"/>
    </row>
    <row r="19" spans="1:10">
      <c r="A19" s="595"/>
      <c r="B19" s="64" t="str">
        <f>Assm!N16</f>
        <v>Diesel Fuel Inventory</v>
      </c>
      <c r="C19" s="37">
        <f>Assm!S16</f>
        <v>520.5</v>
      </c>
      <c r="D19" s="37">
        <f>Assm!T16</f>
        <v>520.5</v>
      </c>
      <c r="E19" s="37">
        <f>Assm!U16</f>
        <v>694</v>
      </c>
      <c r="F19" s="347">
        <f>Assm!V16</f>
        <v>1735</v>
      </c>
      <c r="G19" s="942" t="s">
        <v>1399</v>
      </c>
      <c r="H19" s="1495">
        <v>36298</v>
      </c>
      <c r="I19" s="942" t="s">
        <v>1398</v>
      </c>
      <c r="J19" s="943" t="s">
        <v>243</v>
      </c>
    </row>
    <row r="20" spans="1:10">
      <c r="A20" s="595"/>
      <c r="B20" s="64" t="str">
        <f>Assm!N17</f>
        <v>Land &amp; Rights Of Way</v>
      </c>
      <c r="C20" s="37">
        <f>Assm!S17</f>
        <v>162</v>
      </c>
      <c r="D20" s="37">
        <f>Assm!T17</f>
        <v>162</v>
      </c>
      <c r="E20" s="37">
        <f>Assm!U17</f>
        <v>216</v>
      </c>
      <c r="F20" s="347">
        <f>Assm!V17</f>
        <v>540</v>
      </c>
      <c r="G20" s="942" t="s">
        <v>1399</v>
      </c>
      <c r="H20" s="1495">
        <v>36291</v>
      </c>
      <c r="I20" s="942" t="s">
        <v>1398</v>
      </c>
      <c r="J20" s="943" t="s">
        <v>243</v>
      </c>
    </row>
    <row r="21" spans="1:10">
      <c r="A21" s="595"/>
      <c r="B21" s="64" t="str">
        <f>Assm!N18</f>
        <v>Owner's Engineer (Parson's)</v>
      </c>
      <c r="C21" s="37">
        <f>Assm!S18</f>
        <v>577.5</v>
      </c>
      <c r="D21" s="37">
        <f>Assm!T18</f>
        <v>577.5</v>
      </c>
      <c r="E21" s="37">
        <f>Assm!U18</f>
        <v>770</v>
      </c>
      <c r="F21" s="347">
        <f>Assm!V18</f>
        <v>1925</v>
      </c>
      <c r="G21" s="942" t="s">
        <v>354</v>
      </c>
      <c r="H21" s="1495">
        <v>36259</v>
      </c>
      <c r="I21" s="942" t="s">
        <v>355</v>
      </c>
      <c r="J21" s="943" t="s">
        <v>243</v>
      </c>
    </row>
    <row r="22" spans="1:10">
      <c r="A22" s="595"/>
      <c r="B22" s="64" t="str">
        <f>Assm!N19</f>
        <v>Environmental &amp; Permitting</v>
      </c>
      <c r="C22" s="37">
        <f>Assm!S19</f>
        <v>377.02671599999979</v>
      </c>
      <c r="D22" s="37">
        <f>Assm!T19</f>
        <v>377.02671599999979</v>
      </c>
      <c r="E22" s="37">
        <f>Assm!U19</f>
        <v>502.70228799999978</v>
      </c>
      <c r="F22" s="347">
        <f>Assm!V19</f>
        <v>1256.7557199999994</v>
      </c>
      <c r="G22" s="942" t="s">
        <v>1399</v>
      </c>
      <c r="H22" s="1495">
        <v>36298</v>
      </c>
      <c r="I22" s="942" t="s">
        <v>1398</v>
      </c>
      <c r="J22" s="943" t="s">
        <v>243</v>
      </c>
    </row>
    <row r="23" spans="1:10">
      <c r="A23" s="595"/>
      <c r="B23" s="64" t="str">
        <f>Assm!N20</f>
        <v>Consulting Fee</v>
      </c>
      <c r="C23" s="142">
        <f>Assm!S20</f>
        <v>792.6</v>
      </c>
      <c r="D23" s="142">
        <f>Assm!T20</f>
        <v>792.6</v>
      </c>
      <c r="E23" s="142">
        <f>Assm!U20</f>
        <v>1056.8</v>
      </c>
      <c r="F23" s="348">
        <f>Assm!V20</f>
        <v>2642</v>
      </c>
      <c r="G23" s="942" t="s">
        <v>1399</v>
      </c>
      <c r="H23" s="1495">
        <v>36298</v>
      </c>
      <c r="I23" s="942" t="s">
        <v>1398</v>
      </c>
      <c r="J23" s="943" t="s">
        <v>243</v>
      </c>
    </row>
    <row r="24" spans="1:10">
      <c r="A24" s="595"/>
      <c r="B24" s="1178" t="str">
        <f>Assm!N21</f>
        <v>Total Other Construction</v>
      </c>
      <c r="C24" s="224">
        <f>Assm!S21</f>
        <v>2429.6267159999998</v>
      </c>
      <c r="D24" s="224">
        <f>Assm!T21</f>
        <v>2429.6267159999998</v>
      </c>
      <c r="E24" s="224">
        <f>Assm!U21</f>
        <v>3239.5022879999997</v>
      </c>
      <c r="F24" s="1179">
        <f>Assm!V21</f>
        <v>8098.7557199999992</v>
      </c>
      <c r="G24" s="942"/>
      <c r="H24" s="1495"/>
      <c r="I24" s="942"/>
      <c r="J24" s="943"/>
    </row>
    <row r="25" spans="1:10" s="270" customFormat="1">
      <c r="A25" s="637"/>
      <c r="B25" s="280"/>
      <c r="C25" s="37"/>
      <c r="D25" s="37"/>
      <c r="E25" s="37"/>
      <c r="F25" s="347"/>
      <c r="G25" s="948"/>
      <c r="H25" s="1495"/>
      <c r="I25" s="948"/>
      <c r="J25" s="949"/>
    </row>
    <row r="26" spans="1:10">
      <c r="A26" s="595"/>
      <c r="B26" s="64" t="str">
        <f>Assm!N23</f>
        <v>Interest During Construction "IDC "</v>
      </c>
      <c r="C26" s="37">
        <f ca="1">Assm!S23</f>
        <v>7127.278962004696</v>
      </c>
      <c r="D26" s="37">
        <f ca="1">Assm!T23</f>
        <v>7127.278962004696</v>
      </c>
      <c r="E26" s="37">
        <f ca="1">Assm!U23</f>
        <v>9503.0386160062608</v>
      </c>
      <c r="F26" s="347">
        <f ca="1">Assm!V23</f>
        <v>23757.596540015653</v>
      </c>
      <c r="G26" s="942" t="s">
        <v>692</v>
      </c>
      <c r="H26" s="1495"/>
      <c r="I26" s="942"/>
      <c r="J26" s="943"/>
    </row>
    <row r="27" spans="1:10">
      <c r="A27" s="595"/>
      <c r="B27" s="64" t="str">
        <f>Assm!N24</f>
        <v>Withholding Tax - IDC</v>
      </c>
      <c r="C27" s="37">
        <f ca="1">Assm!S24</f>
        <v>650.45947446866001</v>
      </c>
      <c r="D27" s="37">
        <f ca="1">Assm!T24</f>
        <v>650.45947446866001</v>
      </c>
      <c r="E27" s="37">
        <f ca="1">Assm!U24</f>
        <v>867.27929929154675</v>
      </c>
      <c r="F27" s="347">
        <f ca="1">Assm!V24</f>
        <v>2168.1982482288668</v>
      </c>
      <c r="G27" s="942" t="s">
        <v>692</v>
      </c>
      <c r="H27" s="1495"/>
      <c r="I27" s="942"/>
      <c r="J27" s="943"/>
    </row>
    <row r="28" spans="1:10">
      <c r="A28" s="595"/>
      <c r="B28" s="64" t="str">
        <f>Assm!N25</f>
        <v>Commitment Fee</v>
      </c>
      <c r="C28" s="37">
        <f ca="1">Assm!S25</f>
        <v>49.805016644662132</v>
      </c>
      <c r="D28" s="37">
        <f ca="1">Assm!T25</f>
        <v>49.805016644662132</v>
      </c>
      <c r="E28" s="37">
        <f ca="1">Assm!U25</f>
        <v>66.406688859549519</v>
      </c>
      <c r="F28" s="347">
        <f ca="1">Assm!V25</f>
        <v>166.01672214887378</v>
      </c>
      <c r="G28" s="942" t="s">
        <v>692</v>
      </c>
      <c r="H28" s="1495"/>
      <c r="I28" s="942"/>
      <c r="J28" s="943"/>
    </row>
    <row r="29" spans="1:10">
      <c r="A29" s="595"/>
      <c r="B29" s="64" t="str">
        <f>Assm!N26</f>
        <v>Upfront Fee</v>
      </c>
      <c r="C29" s="37">
        <f ca="1">Assm!S26</f>
        <v>8858.2550395997605</v>
      </c>
      <c r="D29" s="37">
        <f ca="1">Assm!T26</f>
        <v>8858.2550395997605</v>
      </c>
      <c r="E29" s="37">
        <f ca="1">Assm!U26</f>
        <v>11811.00671946635</v>
      </c>
      <c r="F29" s="347">
        <f ca="1">Assm!V26</f>
        <v>29527.516798665871</v>
      </c>
      <c r="G29" s="942" t="s">
        <v>692</v>
      </c>
      <c r="H29" s="1495"/>
      <c r="I29" s="942"/>
      <c r="J29" s="943"/>
    </row>
    <row r="30" spans="1:10">
      <c r="A30" s="595"/>
      <c r="B30" s="64" t="str">
        <f>Assm!N27</f>
        <v>Financing Costs (Borrower And Lender)</v>
      </c>
      <c r="C30" s="37">
        <f>Assm!S27</f>
        <v>2225.9625000000001</v>
      </c>
      <c r="D30" s="37">
        <f>Assm!T27</f>
        <v>2225.9625000000001</v>
      </c>
      <c r="E30" s="37">
        <f>Assm!U27</f>
        <v>2967.9500000000003</v>
      </c>
      <c r="F30" s="347">
        <f>Assm!V27</f>
        <v>7419.875</v>
      </c>
      <c r="G30" s="942" t="s">
        <v>1399</v>
      </c>
      <c r="H30" s="1495">
        <v>36294</v>
      </c>
      <c r="I30" s="942" t="s">
        <v>1398</v>
      </c>
      <c r="J30" s="943" t="s">
        <v>1400</v>
      </c>
    </row>
    <row r="31" spans="1:10">
      <c r="A31" s="595"/>
      <c r="B31" s="64" t="str">
        <f>Assm!N28</f>
        <v>Financing Costs (Other)</v>
      </c>
      <c r="C31" s="37">
        <f>Assm!S28</f>
        <v>0</v>
      </c>
      <c r="D31" s="37">
        <f>Assm!T28</f>
        <v>0</v>
      </c>
      <c r="E31" s="37">
        <f>Assm!U28</f>
        <v>0</v>
      </c>
      <c r="F31" s="347">
        <f>Assm!V28</f>
        <v>0</v>
      </c>
      <c r="G31" s="942" t="s">
        <v>1399</v>
      </c>
      <c r="H31" s="1495">
        <v>36294</v>
      </c>
      <c r="I31" s="942" t="s">
        <v>1398</v>
      </c>
      <c r="J31" s="943" t="s">
        <v>1400</v>
      </c>
    </row>
    <row r="32" spans="1:10">
      <c r="A32" s="595"/>
      <c r="B32" s="64" t="str">
        <f>Assm!N29</f>
        <v>3rd Party Legal Fees</v>
      </c>
      <c r="C32" s="37">
        <f>Assm!S29</f>
        <v>1286.4375</v>
      </c>
      <c r="D32" s="37">
        <f>Assm!T29</f>
        <v>1286.4375</v>
      </c>
      <c r="E32" s="37">
        <f>Assm!U29</f>
        <v>1715.25</v>
      </c>
      <c r="F32" s="347">
        <f>Assm!V29</f>
        <v>4288.125</v>
      </c>
      <c r="G32" s="942" t="s">
        <v>1399</v>
      </c>
      <c r="H32" s="1495">
        <v>36403</v>
      </c>
      <c r="I32" s="942" t="s">
        <v>1398</v>
      </c>
      <c r="J32" s="943" t="s">
        <v>1050</v>
      </c>
    </row>
    <row r="33" spans="1:10">
      <c r="A33" s="595"/>
      <c r="B33" s="64" t="str">
        <f>Assm!N30</f>
        <v>Construction Insurance</v>
      </c>
      <c r="C33" s="142">
        <f>Assm!S30</f>
        <v>1710.654</v>
      </c>
      <c r="D33" s="142">
        <f>Assm!T30</f>
        <v>1710.654</v>
      </c>
      <c r="E33" s="142">
        <f>Assm!U30</f>
        <v>2280.8720000000003</v>
      </c>
      <c r="F33" s="348">
        <f>Assm!V30</f>
        <v>5702.18</v>
      </c>
      <c r="G33" s="942" t="s">
        <v>1574</v>
      </c>
      <c r="H33" s="1495">
        <v>36230</v>
      </c>
      <c r="I33" s="942" t="s">
        <v>682</v>
      </c>
      <c r="J33" s="943"/>
    </row>
    <row r="34" spans="1:10">
      <c r="A34" s="595"/>
      <c r="B34" s="1178" t="str">
        <f>Assm!N31</f>
        <v>Total 3rd Party Dev / Financing Costs</v>
      </c>
      <c r="C34" s="224">
        <f ca="1">Assm!S31</f>
        <v>21908.852492717779</v>
      </c>
      <c r="D34" s="224">
        <f ca="1">Assm!T31</f>
        <v>21908.852492717779</v>
      </c>
      <c r="E34" s="224">
        <f ca="1">Assm!U31</f>
        <v>29211.80332362371</v>
      </c>
      <c r="F34" s="1179">
        <f ca="1">Assm!V31</f>
        <v>73029.508309059267</v>
      </c>
      <c r="G34" s="942"/>
      <c r="H34" s="1495"/>
      <c r="I34" s="942"/>
      <c r="J34" s="943"/>
    </row>
    <row r="35" spans="1:10" s="270" customFormat="1">
      <c r="A35" s="637"/>
      <c r="B35" s="280"/>
      <c r="C35" s="37"/>
      <c r="D35" s="37"/>
      <c r="E35" s="37"/>
      <c r="F35" s="347"/>
      <c r="G35" s="948"/>
      <c r="H35" s="1495"/>
      <c r="I35" s="948"/>
      <c r="J35" s="949"/>
    </row>
    <row r="36" spans="1:10">
      <c r="A36" s="595"/>
      <c r="B36" s="64" t="str">
        <f>Assm!N33</f>
        <v>Development Costs</v>
      </c>
      <c r="C36" s="37">
        <f>Assm!S33</f>
        <v>4216.7759202600009</v>
      </c>
      <c r="D36" s="37">
        <f>Assm!T33</f>
        <v>4216.7759202600009</v>
      </c>
      <c r="E36" s="37">
        <f>Assm!U33</f>
        <v>5622.3678936800015</v>
      </c>
      <c r="F36" s="347">
        <f>Assm!V33</f>
        <v>14055.919734200002</v>
      </c>
      <c r="G36" s="942" t="s">
        <v>1399</v>
      </c>
      <c r="H36" s="1495">
        <v>36403</v>
      </c>
      <c r="I36" s="942" t="s">
        <v>1398</v>
      </c>
      <c r="J36" s="943" t="s">
        <v>1050</v>
      </c>
    </row>
    <row r="37" spans="1:10">
      <c r="A37" s="595"/>
      <c r="B37" s="64" t="str">
        <f>Assm!N34</f>
        <v>Operations Mobilization - Plant</v>
      </c>
      <c r="C37" s="37">
        <f>Assm!S34</f>
        <v>1962</v>
      </c>
      <c r="D37" s="37">
        <f>Assm!T34</f>
        <v>1962</v>
      </c>
      <c r="E37" s="37">
        <f>Assm!U34</f>
        <v>2616</v>
      </c>
      <c r="F37" s="347">
        <f>Assm!V34</f>
        <v>6540</v>
      </c>
      <c r="G37" s="942" t="s">
        <v>1399</v>
      </c>
      <c r="H37" s="1495">
        <v>36294</v>
      </c>
      <c r="I37" s="942" t="s">
        <v>1398</v>
      </c>
      <c r="J37" s="943" t="s">
        <v>1400</v>
      </c>
    </row>
    <row r="38" spans="1:10">
      <c r="A38" s="595"/>
      <c r="B38" s="64" t="str">
        <f>Assm!N35</f>
        <v>Operations Mobilization - WTF</v>
      </c>
      <c r="C38" s="142">
        <f>Assm!S35</f>
        <v>29.099999999999998</v>
      </c>
      <c r="D38" s="142">
        <f>Assm!T35</f>
        <v>29.099999999999998</v>
      </c>
      <c r="E38" s="142">
        <f>Assm!U35</f>
        <v>38.800000000000004</v>
      </c>
      <c r="F38" s="348">
        <f>Assm!V35</f>
        <v>97</v>
      </c>
      <c r="G38" s="942" t="s">
        <v>1218</v>
      </c>
      <c r="H38" s="1495">
        <v>36364</v>
      </c>
      <c r="I38" s="942" t="s">
        <v>681</v>
      </c>
      <c r="J38" s="943" t="s">
        <v>1219</v>
      </c>
    </row>
    <row r="39" spans="1:10">
      <c r="A39" s="595"/>
      <c r="B39" s="1178" t="str">
        <f>Assm!N36</f>
        <v>Total Development Costs / Fees</v>
      </c>
      <c r="C39" s="224">
        <f>Assm!S36</f>
        <v>6207.8759202600013</v>
      </c>
      <c r="D39" s="224">
        <f>Assm!T36</f>
        <v>6207.8759202600013</v>
      </c>
      <c r="E39" s="224">
        <f>Assm!U36</f>
        <v>8277.1678936800017</v>
      </c>
      <c r="F39" s="1179">
        <f>Assm!V36</f>
        <v>20692.919734200004</v>
      </c>
      <c r="G39" s="942"/>
      <c r="H39" s="1495"/>
      <c r="I39" s="942"/>
      <c r="J39" s="943"/>
    </row>
    <row r="40" spans="1:10" s="270" customFormat="1">
      <c r="A40" s="637"/>
      <c r="B40" s="280"/>
      <c r="C40" s="37"/>
      <c r="D40" s="37"/>
      <c r="E40" s="37"/>
      <c r="F40" s="347"/>
      <c r="G40" s="948"/>
      <c r="H40" s="1495"/>
      <c r="I40" s="948"/>
      <c r="J40" s="949"/>
    </row>
    <row r="41" spans="1:10">
      <c r="A41" s="595"/>
      <c r="B41" s="64" t="str">
        <f>Assm!N38</f>
        <v xml:space="preserve">Working Capital </v>
      </c>
      <c r="C41" s="37">
        <f ca="1">Assm!S38</f>
        <v>0</v>
      </c>
      <c r="D41" s="37">
        <f ca="1">Assm!T38</f>
        <v>0</v>
      </c>
      <c r="E41" s="37">
        <f ca="1">Assm!U38</f>
        <v>0</v>
      </c>
      <c r="F41" s="347">
        <f ca="1">Assm!V38</f>
        <v>0</v>
      </c>
      <c r="G41" s="942" t="s">
        <v>692</v>
      </c>
      <c r="H41" s="1495"/>
      <c r="I41" s="942"/>
      <c r="J41" s="943" t="s">
        <v>727</v>
      </c>
    </row>
    <row r="42" spans="1:10">
      <c r="A42" s="595"/>
      <c r="B42" s="64" t="str">
        <f>Assm!N39</f>
        <v>Spare Parts - Plant</v>
      </c>
      <c r="C42" s="142">
        <f>Assm!S39</f>
        <v>1363.3481999999999</v>
      </c>
      <c r="D42" s="142">
        <f>Assm!T39</f>
        <v>1363.3481999999999</v>
      </c>
      <c r="E42" s="142">
        <f>Assm!U39</f>
        <v>1817.7975999999999</v>
      </c>
      <c r="F42" s="348">
        <f>Assm!V39</f>
        <v>4544.4939999999997</v>
      </c>
      <c r="G42" s="942" t="s">
        <v>681</v>
      </c>
      <c r="H42" s="1495">
        <v>36048</v>
      </c>
      <c r="I42" s="942" t="s">
        <v>681</v>
      </c>
      <c r="J42" s="943" t="s">
        <v>15</v>
      </c>
    </row>
    <row r="43" spans="1:10">
      <c r="A43" s="595"/>
      <c r="B43" s="1178" t="str">
        <f>Assm!N41</f>
        <v>Total Other Costs</v>
      </c>
      <c r="C43" s="224">
        <f ca="1">Assm!S41</f>
        <v>1393.3481999999999</v>
      </c>
      <c r="D43" s="224">
        <f ca="1">Assm!T41</f>
        <v>1393.3481999999999</v>
      </c>
      <c r="E43" s="224">
        <f ca="1">Assm!U41</f>
        <v>1857.7975999999999</v>
      </c>
      <c r="F43" s="1179">
        <f ca="1">Assm!V41</f>
        <v>4644.4939999999997</v>
      </c>
      <c r="G43" s="942"/>
      <c r="H43" s="1495"/>
      <c r="I43" s="942"/>
      <c r="J43" s="943"/>
    </row>
    <row r="44" spans="1:10" s="270" customFormat="1">
      <c r="A44" s="637"/>
      <c r="B44" s="280"/>
      <c r="C44" s="37"/>
      <c r="D44" s="37"/>
      <c r="E44" s="37"/>
      <c r="F44" s="347"/>
      <c r="G44" s="948"/>
      <c r="H44" s="1495"/>
      <c r="I44" s="948"/>
      <c r="J44" s="949"/>
    </row>
    <row r="45" spans="1:10">
      <c r="A45" s="595"/>
      <c r="B45" s="64" t="str">
        <f>Assm!N43</f>
        <v>Contingency - Diesel Burned</v>
      </c>
      <c r="C45" s="37">
        <f>Assm!S43</f>
        <v>0</v>
      </c>
      <c r="D45" s="37">
        <f>Assm!T43</f>
        <v>0</v>
      </c>
      <c r="E45" s="37">
        <f>Assm!U43</f>
        <v>0</v>
      </c>
      <c r="F45" s="347">
        <f>Assm!V43</f>
        <v>0</v>
      </c>
      <c r="G45" s="942" t="s">
        <v>1399</v>
      </c>
      <c r="H45" s="1495">
        <v>36294</v>
      </c>
      <c r="I45" s="942" t="s">
        <v>1398</v>
      </c>
      <c r="J45" s="943" t="s">
        <v>1400</v>
      </c>
    </row>
    <row r="46" spans="1:10">
      <c r="A46" s="595"/>
      <c r="B46" s="64" t="str">
        <f>Assm!N44</f>
        <v>Contingency - Change Orders</v>
      </c>
      <c r="C46" s="37">
        <f>Assm!S44</f>
        <v>1253.8224999999998</v>
      </c>
      <c r="D46" s="37">
        <f>Assm!T44</f>
        <v>1253.8224999999998</v>
      </c>
      <c r="E46" s="37">
        <f>Assm!U44</f>
        <v>1671.7633333333333</v>
      </c>
      <c r="F46" s="347">
        <f>Assm!V44</f>
        <v>4179.4083333333328</v>
      </c>
      <c r="G46" s="942" t="s">
        <v>430</v>
      </c>
      <c r="H46" s="1495">
        <v>36298</v>
      </c>
      <c r="I46" s="942" t="s">
        <v>431</v>
      </c>
      <c r="J46" s="943" t="s">
        <v>492</v>
      </c>
    </row>
    <row r="47" spans="1:10">
      <c r="A47" s="595"/>
      <c r="B47" s="64" t="str">
        <f>Assm!N45</f>
        <v>Contingency - Other</v>
      </c>
      <c r="C47" s="142">
        <f>Assm!S45</f>
        <v>0</v>
      </c>
      <c r="D47" s="142">
        <f>Assm!T45</f>
        <v>0</v>
      </c>
      <c r="E47" s="142">
        <f>Assm!U45</f>
        <v>0</v>
      </c>
      <c r="F47" s="348">
        <f>Assm!V45</f>
        <v>0</v>
      </c>
      <c r="G47" s="942" t="s">
        <v>1399</v>
      </c>
      <c r="H47" s="1495">
        <v>36298</v>
      </c>
      <c r="I47" s="942" t="s">
        <v>1398</v>
      </c>
      <c r="J47" s="943" t="s">
        <v>243</v>
      </c>
    </row>
    <row r="48" spans="1:10">
      <c r="A48" s="595"/>
      <c r="B48" s="1178" t="str">
        <f>Assm!N46</f>
        <v>Total Contingency</v>
      </c>
      <c r="C48" s="224">
        <f>Assm!S46</f>
        <v>1253.8224999999998</v>
      </c>
      <c r="D48" s="224">
        <f>Assm!T46</f>
        <v>1253.8224999999998</v>
      </c>
      <c r="E48" s="224">
        <f>Assm!U46</f>
        <v>1671.7633333333333</v>
      </c>
      <c r="F48" s="1179">
        <f>Assm!V46</f>
        <v>4179.4083333333328</v>
      </c>
      <c r="G48" s="942"/>
      <c r="H48" s="1495"/>
      <c r="I48" s="942"/>
      <c r="J48" s="943"/>
    </row>
    <row r="49" spans="1:10" s="270" customFormat="1">
      <c r="A49" s="637"/>
      <c r="B49" s="280"/>
      <c r="C49" s="37"/>
      <c r="D49" s="37"/>
      <c r="E49" s="37"/>
      <c r="F49" s="347"/>
      <c r="G49" s="948"/>
      <c r="H49" s="1495"/>
      <c r="I49" s="948"/>
      <c r="J49" s="949"/>
    </row>
    <row r="50" spans="1:10">
      <c r="A50" s="638"/>
      <c r="B50" s="1180" t="str">
        <f>Assm!N48</f>
        <v>Total Project Costs</v>
      </c>
      <c r="C50" s="1181">
        <f ca="1">Assm!S48</f>
        <v>103168.35095662082</v>
      </c>
      <c r="D50" s="1181">
        <f ca="1">Assm!T48</f>
        <v>103168.35095662082</v>
      </c>
      <c r="E50" s="1181">
        <f ca="1">Assm!U48</f>
        <v>137557.80127549448</v>
      </c>
      <c r="F50" s="1182">
        <f ca="1">Assm!V48</f>
        <v>343894.5031887361</v>
      </c>
      <c r="G50" s="281"/>
      <c r="H50" s="1497"/>
      <c r="I50" s="281"/>
      <c r="J50" s="639"/>
    </row>
    <row r="51" spans="1:10" ht="13.5" thickBot="1">
      <c r="A51" s="640"/>
      <c r="B51" s="1183" t="str">
        <f>Assm!N49</f>
        <v>Total Project Costs ($ / Kw)</v>
      </c>
      <c r="C51" s="1184">
        <f ca="1">Assm!S49</f>
        <v>687.78900637747211</v>
      </c>
      <c r="D51" s="1184">
        <f ca="1">Assm!T49</f>
        <v>433.88267985169267</v>
      </c>
      <c r="E51" s="1184">
        <f ca="1">Assm!U49</f>
        <v>286.57875265728018</v>
      </c>
      <c r="F51" s="1185">
        <f ca="1">Assm!V49</f>
        <v>716.44688164320019</v>
      </c>
      <c r="G51" s="641"/>
      <c r="H51" s="1498"/>
      <c r="I51" s="641"/>
      <c r="J51" s="642"/>
    </row>
    <row r="52" spans="1:10" ht="13.5" thickBot="1"/>
    <row r="53" spans="1:10" s="15" customFormat="1">
      <c r="A53" s="591" t="str">
        <f>Assm!N51</f>
        <v>Delay/Performance Damages (SCC)</v>
      </c>
      <c r="B53" s="599"/>
      <c r="C53" s="393"/>
      <c r="D53" s="11"/>
      <c r="E53" s="146" t="str">
        <f>Assm!Q52</f>
        <v>Damages</v>
      </c>
      <c r="F53" s="1191" t="str">
        <f>Assm!V52</f>
        <v>Damages</v>
      </c>
      <c r="G53" s="940"/>
      <c r="H53" s="1494"/>
      <c r="I53" s="940"/>
      <c r="J53" s="941"/>
    </row>
    <row r="54" spans="1:10" s="15" customFormat="1">
      <c r="A54" s="595"/>
      <c r="B54" s="64"/>
      <c r="C54" s="89" t="str">
        <f>Assm!O53</f>
        <v>From</v>
      </c>
      <c r="D54" s="18" t="str">
        <f>Assm!P53</f>
        <v>To</v>
      </c>
      <c r="E54" s="167" t="str">
        <f>Assm!Q53</f>
        <v>$000 / Day</v>
      </c>
      <c r="F54" s="1192" t="str">
        <f>Assm!V53</f>
        <v>Received</v>
      </c>
      <c r="G54" s="942"/>
      <c r="H54" s="1495"/>
      <c r="I54" s="942"/>
      <c r="J54" s="943"/>
    </row>
    <row r="55" spans="1:10" s="15" customFormat="1">
      <c r="A55" s="595"/>
      <c r="B55" s="966" t="str">
        <f>Assm!N54</f>
        <v>Phase I Operations</v>
      </c>
      <c r="C55" s="965">
        <f>Assm!O54</f>
        <v>36064</v>
      </c>
      <c r="D55" s="359">
        <f>Assm!P54</f>
        <v>36284</v>
      </c>
      <c r="E55" s="222">
        <f>Assm!Q54</f>
        <v>49577</v>
      </c>
      <c r="F55" s="718">
        <f>Assm!V54</f>
        <v>5701.3549999999996</v>
      </c>
      <c r="G55" s="942" t="s">
        <v>1419</v>
      </c>
      <c r="H55" s="1495">
        <v>35664</v>
      </c>
      <c r="I55" s="942" t="s">
        <v>1807</v>
      </c>
      <c r="J55" s="943" t="s">
        <v>1155</v>
      </c>
    </row>
    <row r="56" spans="1:10" s="15" customFormat="1">
      <c r="A56" s="595"/>
      <c r="B56" s="64"/>
      <c r="C56" s="965">
        <f>Assm!O55</f>
        <v>36285</v>
      </c>
      <c r="D56" s="359">
        <f>Assm!P55</f>
        <v>36650</v>
      </c>
      <c r="E56" s="222">
        <f>Assm!Q55</f>
        <v>105948</v>
      </c>
      <c r="F56" s="718">
        <f>Assm!V55</f>
        <v>0</v>
      </c>
      <c r="G56" s="942" t="s">
        <v>1419</v>
      </c>
      <c r="H56" s="1495">
        <v>35664</v>
      </c>
      <c r="I56" s="942" t="s">
        <v>1807</v>
      </c>
      <c r="J56" s="943" t="s">
        <v>1155</v>
      </c>
    </row>
    <row r="57" spans="1:10" s="15" customFormat="1">
      <c r="A57" s="595"/>
      <c r="B57" s="64"/>
      <c r="C57" s="14"/>
      <c r="F57" s="17"/>
      <c r="G57" s="942"/>
      <c r="H57" s="1495"/>
      <c r="I57" s="942"/>
      <c r="J57" s="943"/>
    </row>
    <row r="58" spans="1:10" s="15" customFormat="1">
      <c r="A58" s="595"/>
      <c r="B58" s="966" t="str">
        <f>Assm!N57</f>
        <v>Phase II Operations</v>
      </c>
      <c r="C58" s="965">
        <f>Assm!O57</f>
        <v>36737</v>
      </c>
      <c r="D58" s="359">
        <f>Assm!P57</f>
        <v>36891</v>
      </c>
      <c r="E58" s="222">
        <f>Assm!Q57</f>
        <v>140000</v>
      </c>
      <c r="F58" s="718">
        <f>Assm!V57</f>
        <v>0</v>
      </c>
      <c r="G58" s="942" t="s">
        <v>1419</v>
      </c>
      <c r="H58" s="1495">
        <v>35664</v>
      </c>
      <c r="I58" s="942" t="s">
        <v>1807</v>
      </c>
      <c r="J58" s="943" t="s">
        <v>1182</v>
      </c>
    </row>
    <row r="59" spans="1:10" s="15" customFormat="1">
      <c r="A59" s="595"/>
      <c r="B59" s="64"/>
      <c r="C59" s="965">
        <f>Assm!O58</f>
        <v>36950</v>
      </c>
      <c r="D59" s="359">
        <f>Assm!P58</f>
        <v>37256</v>
      </c>
      <c r="E59" s="222">
        <f>Assm!Q58</f>
        <v>386009</v>
      </c>
      <c r="F59" s="718">
        <f>Assm!V58</f>
        <v>0</v>
      </c>
      <c r="G59" s="942" t="s">
        <v>1419</v>
      </c>
      <c r="H59" s="1495">
        <v>35664</v>
      </c>
      <c r="I59" s="942" t="s">
        <v>1807</v>
      </c>
      <c r="J59" s="943" t="s">
        <v>1182</v>
      </c>
    </row>
    <row r="60" spans="1:10" s="15" customFormat="1">
      <c r="A60" s="595"/>
      <c r="B60" s="966"/>
      <c r="C60" s="360"/>
      <c r="D60" s="37"/>
      <c r="E60" s="37"/>
      <c r="F60" s="17"/>
      <c r="G60" s="942"/>
      <c r="H60" s="1495"/>
      <c r="I60" s="942"/>
      <c r="J60" s="943"/>
    </row>
    <row r="61" spans="1:10" s="15" customFormat="1">
      <c r="A61" s="595"/>
      <c r="B61" s="966" t="str">
        <f>Assm!N60</f>
        <v>Phase III Operations</v>
      </c>
      <c r="C61" s="965">
        <f>Assm!O60</f>
        <v>36892</v>
      </c>
      <c r="D61" s="359">
        <f>Assm!P60</f>
        <v>37015</v>
      </c>
      <c r="E61" s="222">
        <f>Assm!Q60</f>
        <v>115000</v>
      </c>
      <c r="F61" s="718">
        <f>Assm!V60</f>
        <v>0</v>
      </c>
      <c r="G61" s="942" t="s">
        <v>1419</v>
      </c>
      <c r="H61" s="1495">
        <v>35664</v>
      </c>
      <c r="I61" s="942" t="s">
        <v>1807</v>
      </c>
      <c r="J61" s="943" t="s">
        <v>1194</v>
      </c>
    </row>
    <row r="62" spans="1:10" s="15" customFormat="1">
      <c r="A62" s="595"/>
      <c r="B62" s="64"/>
      <c r="C62" s="965">
        <f>Assm!O61</f>
        <v>37016</v>
      </c>
      <c r="D62" s="359">
        <f>Assm!P61</f>
        <v>37380</v>
      </c>
      <c r="E62" s="222">
        <f>Assm!Q61</f>
        <v>181221</v>
      </c>
      <c r="F62" s="718">
        <f>Assm!V61</f>
        <v>0</v>
      </c>
      <c r="G62" s="942" t="s">
        <v>1419</v>
      </c>
      <c r="H62" s="1495">
        <v>35664</v>
      </c>
      <c r="I62" s="942" t="s">
        <v>1807</v>
      </c>
      <c r="J62" s="943" t="s">
        <v>1194</v>
      </c>
    </row>
    <row r="63" spans="1:10" s="15" customFormat="1">
      <c r="A63" s="595"/>
      <c r="B63" s="64"/>
      <c r="C63" s="965"/>
      <c r="D63" s="359"/>
      <c r="E63" s="222"/>
      <c r="F63" s="718"/>
      <c r="G63" s="942"/>
      <c r="H63" s="1495"/>
      <c r="I63" s="942"/>
      <c r="J63" s="943"/>
    </row>
    <row r="64" spans="1:10" s="15" customFormat="1">
      <c r="A64" s="595"/>
      <c r="B64" s="64" t="str">
        <f>Assm!N64</f>
        <v>Total Delay Damages</v>
      </c>
      <c r="C64" s="965"/>
      <c r="D64" s="359"/>
      <c r="E64" s="222"/>
      <c r="F64" s="718">
        <f>Assm!V64</f>
        <v>5701.3549999999996</v>
      </c>
      <c r="G64" s="942" t="s">
        <v>692</v>
      </c>
      <c r="H64" s="1495"/>
      <c r="I64" s="942"/>
      <c r="J64" s="943" t="s">
        <v>38</v>
      </c>
    </row>
    <row r="65" spans="1:10" s="15" customFormat="1">
      <c r="A65" s="595"/>
      <c r="B65" s="64" t="str">
        <f>Assm!N65</f>
        <v>Total Performance Damages</v>
      </c>
      <c r="C65" s="965"/>
      <c r="D65" s="359"/>
      <c r="E65" s="222"/>
      <c r="F65" s="718">
        <f>Assm!T64</f>
        <v>60000</v>
      </c>
      <c r="G65" s="942" t="s">
        <v>1419</v>
      </c>
      <c r="H65" s="1495">
        <v>35664</v>
      </c>
      <c r="I65" s="942" t="s">
        <v>1807</v>
      </c>
      <c r="J65" s="943" t="s">
        <v>1195</v>
      </c>
    </row>
    <row r="66" spans="1:10" s="15" customFormat="1" ht="13.5" thickBot="1">
      <c r="A66" s="596"/>
      <c r="B66" s="597" t="str">
        <f>Assm!N66</f>
        <v>Lesser Of (A) Or (B)</v>
      </c>
      <c r="C66" s="967"/>
      <c r="D66" s="968"/>
      <c r="E66" s="969"/>
      <c r="F66" s="970">
        <f>Assm!R66</f>
        <v>7301.3549999999996</v>
      </c>
      <c r="G66" s="944" t="s">
        <v>692</v>
      </c>
      <c r="H66" s="1496"/>
      <c r="I66" s="944"/>
      <c r="J66" s="945"/>
    </row>
    <row r="67" spans="1:10" s="15" customFormat="1" ht="13.5" thickBot="1">
      <c r="H67" s="1493"/>
      <c r="I67" s="44"/>
    </row>
    <row r="68" spans="1:10">
      <c r="A68" s="591" t="str">
        <f>Assm!H84</f>
        <v>Ownership (Pre Selldown)</v>
      </c>
      <c r="B68" s="599"/>
      <c r="C68" s="1187" t="str">
        <f>Assm!K84</f>
        <v>Equity %</v>
      </c>
      <c r="D68" s="646"/>
      <c r="E68" s="121" t="str">
        <f>Assm!L84</f>
        <v>Cash Flow %</v>
      </c>
      <c r="F68" s="646"/>
      <c r="G68" s="940"/>
      <c r="H68" s="1494"/>
      <c r="I68" s="940"/>
      <c r="J68" s="941"/>
    </row>
    <row r="69" spans="1:10">
      <c r="A69" s="595"/>
      <c r="B69" s="64" t="str">
        <f>Assm!H85</f>
        <v>Enron</v>
      </c>
      <c r="C69" s="99">
        <f>Assm!K85</f>
        <v>0.65625</v>
      </c>
      <c r="D69" s="32"/>
      <c r="E69" s="32">
        <f>Assm!L85</f>
        <v>0.65625</v>
      </c>
      <c r="F69" s="32"/>
      <c r="G69" s="942" t="s">
        <v>1842</v>
      </c>
      <c r="H69" s="1495">
        <v>36004</v>
      </c>
      <c r="I69" s="942" t="s">
        <v>1807</v>
      </c>
      <c r="J69" s="943" t="s">
        <v>1864</v>
      </c>
    </row>
    <row r="70" spans="1:10">
      <c r="A70" s="595"/>
      <c r="B70" s="64" t="str">
        <f>Assm!H86</f>
        <v>Shell</v>
      </c>
      <c r="C70" s="99">
        <f>Assm!K86</f>
        <v>0.21875</v>
      </c>
      <c r="D70" s="32"/>
      <c r="E70" s="32">
        <f>Assm!L86</f>
        <v>0.21875</v>
      </c>
      <c r="F70" s="32"/>
      <c r="G70" s="942" t="s">
        <v>1842</v>
      </c>
      <c r="H70" s="1495">
        <v>36004</v>
      </c>
      <c r="I70" s="942" t="s">
        <v>1807</v>
      </c>
      <c r="J70" s="943" t="s">
        <v>1865</v>
      </c>
    </row>
    <row r="71" spans="1:10">
      <c r="A71" s="595"/>
      <c r="B71" s="64" t="str">
        <f>Assm!H87</f>
        <v>Transredes</v>
      </c>
      <c r="C71" s="105">
        <f>Assm!K87</f>
        <v>0.125</v>
      </c>
      <c r="D71" s="32"/>
      <c r="E71" s="71">
        <f>Assm!L87</f>
        <v>0.125</v>
      </c>
      <c r="F71" s="32"/>
      <c r="G71" s="942" t="s">
        <v>1842</v>
      </c>
      <c r="H71" s="1495">
        <v>36070</v>
      </c>
      <c r="I71" s="942" t="s">
        <v>1807</v>
      </c>
      <c r="J71" s="943" t="s">
        <v>1866</v>
      </c>
    </row>
    <row r="72" spans="1:10" ht="13.5" thickBot="1">
      <c r="A72" s="596"/>
      <c r="B72" s="597" t="s">
        <v>401</v>
      </c>
      <c r="C72" s="611">
        <f>SUM(C69:C71)</f>
        <v>1</v>
      </c>
      <c r="D72" s="50"/>
      <c r="E72" s="50">
        <f>SUM(E69:E71)</f>
        <v>1</v>
      </c>
      <c r="F72" s="50"/>
      <c r="G72" s="944"/>
      <c r="H72" s="1496"/>
      <c r="I72" s="944"/>
      <c r="J72" s="945"/>
    </row>
    <row r="73" spans="1:10" ht="13.5" thickBot="1"/>
    <row r="74" spans="1:10">
      <c r="A74" s="591" t="str">
        <f>Assm!N68</f>
        <v>Project / Enron Economics</v>
      </c>
      <c r="B74" s="599" t="str">
        <f ca="1">CONCATENATE("Discount Rate = ",TEXT(Disc,"0.00%")," / Target Rate = ", TEXT(Target,"0.00%"))</f>
        <v>Discount Rate = 19.00% / Target Rate = 15.00%</v>
      </c>
      <c r="C74" s="393"/>
      <c r="D74" s="11"/>
      <c r="E74" s="11"/>
      <c r="F74" s="555"/>
      <c r="G74" s="940"/>
      <c r="H74" s="1494" t="s">
        <v>1830</v>
      </c>
      <c r="I74" s="940"/>
      <c r="J74" s="941" t="s">
        <v>1831</v>
      </c>
    </row>
    <row r="75" spans="1:10">
      <c r="A75" s="595"/>
      <c r="B75" s="64"/>
      <c r="C75" s="741" t="s">
        <v>413</v>
      </c>
      <c r="D75" s="93" t="s">
        <v>414</v>
      </c>
      <c r="E75" s="15"/>
      <c r="F75" s="17"/>
      <c r="G75" s="942"/>
      <c r="H75" s="1495"/>
      <c r="I75" s="942"/>
      <c r="J75" s="943"/>
    </row>
    <row r="76" spans="1:10">
      <c r="A76" s="595"/>
      <c r="B76" s="809" t="s">
        <v>27</v>
      </c>
      <c r="C76" s="99">
        <f ca="1">Assm!U70</f>
        <v>5.7133246458342335E-2</v>
      </c>
      <c r="D76" s="37">
        <f ca="1">Assm!V70</f>
        <v>-60978.652194421746</v>
      </c>
      <c r="E76" s="15"/>
      <c r="F76" s="17"/>
      <c r="G76" s="942" t="s">
        <v>692</v>
      </c>
      <c r="H76" s="1495"/>
      <c r="I76" s="942"/>
      <c r="J76" s="943"/>
    </row>
    <row r="77" spans="1:10" ht="13.5" thickBot="1">
      <c r="A77" s="596"/>
      <c r="B77" s="810" t="s">
        <v>745</v>
      </c>
      <c r="C77" s="611">
        <f ca="1">Assm!U73</f>
        <v>5.0402789410165377E-2</v>
      </c>
      <c r="D77" s="51">
        <f ca="1">Assm!V73</f>
        <v>-53668.225821927648</v>
      </c>
      <c r="E77" s="49"/>
      <c r="F77" s="598"/>
      <c r="G77" s="944" t="s">
        <v>692</v>
      </c>
      <c r="H77" s="1496"/>
      <c r="I77" s="944"/>
      <c r="J77" s="945"/>
    </row>
  </sheetData>
  <printOptions horizontalCentered="1"/>
  <pageMargins left="0.25" right="0.25" top="0.5" bottom="0.5" header="0.25" footer="0.25"/>
  <pageSetup scale="49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L69"/>
  <sheetViews>
    <sheetView showGridLines="0" topLeftCell="A54" zoomScale="90" workbookViewId="0"/>
  </sheetViews>
  <sheetFormatPr defaultRowHeight="12.75"/>
  <cols>
    <col min="1" max="1" width="30.7109375" style="7" customWidth="1"/>
    <col min="2" max="2" width="47.7109375" style="7" customWidth="1"/>
    <col min="3" max="6" width="10.7109375" style="15" customWidth="1"/>
    <col min="7" max="7" width="23.7109375" style="7" customWidth="1"/>
    <col min="8" max="8" width="13.7109375" style="1489" customWidth="1"/>
    <col min="9" max="9" width="23.7109375" style="7" customWidth="1"/>
    <col min="10" max="10" width="35.7109375" style="7" customWidth="1"/>
    <col min="11" max="16384" width="9.140625" style="7"/>
  </cols>
  <sheetData>
    <row r="1" spans="1:12" s="1" customFormat="1" ht="15.75">
      <c r="A1" s="1137" t="str">
        <f>CONCATENATE(TOC!B2," ",TOC!B6)</f>
        <v>EMPRESSA PRODUTORA DE ENERGÍA LTDA (EPE) *** DRAFT COPY ***</v>
      </c>
      <c r="B1" s="15"/>
      <c r="H1" s="1488"/>
    </row>
    <row r="2" spans="1:12" s="1" customFormat="1" ht="15.75">
      <c r="A2" s="1137" t="str">
        <f>TOC!B3</f>
        <v>480 MW POWER PLANT (CUIABA, BRAZIL)</v>
      </c>
      <c r="B2" s="15"/>
      <c r="H2" s="1488"/>
    </row>
    <row r="3" spans="1:12" s="1" customFormat="1" ht="15">
      <c r="A3" s="118" t="str">
        <f>TOC!B4</f>
        <v>ENRON INTERNATIONAL</v>
      </c>
      <c r="B3" s="15"/>
      <c r="H3" s="1488"/>
    </row>
    <row r="4" spans="1:12" s="1" customFormat="1" ht="15">
      <c r="A4" s="932" t="s">
        <v>709</v>
      </c>
      <c r="B4" s="15"/>
      <c r="H4" s="1488"/>
    </row>
    <row r="5" spans="1:12" customFormat="1" ht="13.5" thickBot="1">
      <c r="A5" s="1"/>
      <c r="B5" s="15"/>
      <c r="C5" s="1"/>
      <c r="D5" s="15"/>
      <c r="E5" s="15"/>
      <c r="F5" s="15"/>
      <c r="G5" s="15"/>
      <c r="H5" s="1493"/>
      <c r="I5" s="7"/>
      <c r="J5" s="7"/>
      <c r="K5" s="7"/>
      <c r="L5" s="7"/>
    </row>
    <row r="6" spans="1:12">
      <c r="A6" s="578"/>
      <c r="B6" s="579"/>
      <c r="C6" s="609"/>
      <c r="D6" s="580"/>
      <c r="E6" s="580"/>
      <c r="F6" s="581"/>
      <c r="G6" s="579"/>
      <c r="H6" s="1490"/>
      <c r="I6" s="579" t="s">
        <v>671</v>
      </c>
      <c r="J6" s="582"/>
    </row>
    <row r="7" spans="1:12">
      <c r="A7" s="583"/>
      <c r="B7" s="96"/>
      <c r="C7" s="103" t="s">
        <v>689</v>
      </c>
      <c r="D7" s="97"/>
      <c r="E7" s="97"/>
      <c r="F7" s="98"/>
      <c r="G7" s="96"/>
      <c r="H7" s="1491" t="s">
        <v>1257</v>
      </c>
      <c r="I7" s="96" t="s">
        <v>672</v>
      </c>
      <c r="J7" s="584"/>
    </row>
    <row r="8" spans="1:12" ht="13.5" thickBot="1">
      <c r="A8" s="585" t="s">
        <v>673</v>
      </c>
      <c r="B8" s="586" t="s">
        <v>674</v>
      </c>
      <c r="C8" s="587" t="s">
        <v>691</v>
      </c>
      <c r="D8" s="588"/>
      <c r="E8" s="588"/>
      <c r="F8" s="589"/>
      <c r="G8" s="586" t="s">
        <v>675</v>
      </c>
      <c r="H8" s="1492" t="s">
        <v>676</v>
      </c>
      <c r="I8" s="586" t="s">
        <v>1258</v>
      </c>
      <c r="J8" s="590" t="s">
        <v>677</v>
      </c>
    </row>
    <row r="9" spans="1:12" s="15" customFormat="1" ht="13.5" thickBot="1">
      <c r="H9" s="1493"/>
    </row>
    <row r="10" spans="1:12">
      <c r="A10" s="591" t="str">
        <f>Assm!X6</f>
        <v>Financing ($000)</v>
      </c>
      <c r="B10" s="599"/>
      <c r="C10" s="927"/>
      <c r="D10" s="190"/>
      <c r="E10" s="190"/>
      <c r="F10" s="190"/>
      <c r="G10" s="940"/>
      <c r="H10" s="1499"/>
      <c r="I10" s="940"/>
      <c r="J10" s="941"/>
    </row>
    <row r="11" spans="1:12">
      <c r="A11" s="594"/>
      <c r="B11" s="1178" t="str">
        <f>Assm!X8</f>
        <v>Tranche 1: KFW / Hermes - A Loan</v>
      </c>
      <c r="C11" s="285"/>
      <c r="D11" s="143"/>
      <c r="E11" s="143"/>
      <c r="F11" s="143"/>
      <c r="G11" s="942"/>
      <c r="H11" s="1500"/>
      <c r="I11" s="942"/>
      <c r="J11" s="943"/>
    </row>
    <row r="12" spans="1:12">
      <c r="A12" s="595"/>
      <c r="B12" s="15" t="str">
        <f>Assm!X9</f>
        <v>Amount</v>
      </c>
      <c r="C12" s="90">
        <f>Assm!AB9</f>
        <v>70125</v>
      </c>
      <c r="D12" s="37"/>
      <c r="E12" s="37"/>
      <c r="G12" s="942" t="s">
        <v>728</v>
      </c>
      <c r="H12" s="1500">
        <v>36305</v>
      </c>
      <c r="I12" s="942" t="s">
        <v>693</v>
      </c>
      <c r="J12" s="943" t="s">
        <v>729</v>
      </c>
    </row>
    <row r="13" spans="1:12">
      <c r="A13" s="595"/>
      <c r="B13" s="15" t="str">
        <f>Assm!X10</f>
        <v>Loan Amortization Style (1=SL, 2=MTG, 3=Custom)</v>
      </c>
      <c r="C13" s="1297" t="str">
        <f>CHOOSE(Assm!AB10,"STRAIGHT-LINE","MORTGAGE","CUSTOM")</f>
        <v>STRAIGHT-LINE</v>
      </c>
      <c r="D13" s="286"/>
      <c r="E13" s="286"/>
      <c r="G13" s="942"/>
      <c r="H13" s="1500"/>
      <c r="I13" s="942"/>
      <c r="J13" s="943"/>
    </row>
    <row r="14" spans="1:12">
      <c r="A14" s="595"/>
      <c r="B14" s="15" t="str">
        <f>Assm!X11</f>
        <v>Term - Years (Post Closing)</v>
      </c>
      <c r="C14" s="14">
        <f>Assm!Y11</f>
        <v>15</v>
      </c>
      <c r="D14" s="65"/>
      <c r="E14" s="65"/>
      <c r="G14" s="942"/>
      <c r="H14" s="1500"/>
      <c r="I14" s="942"/>
      <c r="J14" s="943"/>
    </row>
    <row r="15" spans="1:12">
      <c r="A15" s="595"/>
      <c r="B15" s="15" t="str">
        <f>Assm!AA12</f>
        <v>Grace - Post Phase III</v>
      </c>
      <c r="C15" s="14">
        <f>Assm!AB12</f>
        <v>1</v>
      </c>
      <c r="D15" s="65"/>
      <c r="E15" s="65"/>
      <c r="G15" s="942"/>
      <c r="H15" s="1500"/>
      <c r="I15" s="942"/>
      <c r="J15" s="943"/>
    </row>
    <row r="16" spans="1:12">
      <c r="A16" s="595"/>
      <c r="B16" s="15" t="str">
        <f>Assm!X13</f>
        <v>Average Life Of Loan (Including Construction)</v>
      </c>
      <c r="C16" s="14">
        <f>Assm!AB13</f>
        <v>11.2</v>
      </c>
      <c r="D16" s="65"/>
      <c r="E16" s="65"/>
      <c r="G16" s="942"/>
      <c r="H16" s="1500"/>
      <c r="I16" s="942"/>
      <c r="J16" s="943"/>
    </row>
    <row r="17" spans="1:10">
      <c r="A17" s="595"/>
      <c r="B17" s="15" t="str">
        <f>Assm!X14</f>
        <v>Interest Rate / Spread</v>
      </c>
      <c r="C17" s="107">
        <f>Assm!AB14</f>
        <v>7.0400000000000004E-2</v>
      </c>
      <c r="D17" s="67"/>
      <c r="E17" s="67"/>
      <c r="G17" s="942"/>
      <c r="H17" s="1500"/>
      <c r="I17" s="942"/>
      <c r="J17" s="943"/>
    </row>
    <row r="18" spans="1:10">
      <c r="A18" s="595"/>
      <c r="B18" s="15" t="str">
        <f>Assm!X15</f>
        <v>Upfront Fee</v>
      </c>
      <c r="C18" s="99">
        <f>Assm!AB15</f>
        <v>0.20399999999999999</v>
      </c>
      <c r="D18" s="32"/>
      <c r="E18" s="32"/>
      <c r="G18" s="942"/>
      <c r="H18" s="1500"/>
      <c r="I18" s="942"/>
      <c r="J18" s="943"/>
    </row>
    <row r="19" spans="1:10">
      <c r="A19" s="595"/>
      <c r="B19" s="15" t="str">
        <f>Assm!X16</f>
        <v>Commitment Fee</v>
      </c>
      <c r="C19" s="99">
        <f>Assm!AB16</f>
        <v>3.7499999999999999E-3</v>
      </c>
      <c r="D19" s="32"/>
      <c r="E19" s="32"/>
      <c r="G19" s="942"/>
      <c r="H19" s="1500"/>
      <c r="I19" s="942"/>
      <c r="J19" s="943"/>
    </row>
    <row r="20" spans="1:10">
      <c r="A20" s="595"/>
      <c r="B20" s="3" t="str">
        <f>Assm!X17</f>
        <v>Tranche 2: KFW / Hermes - B Loan</v>
      </c>
      <c r="C20" s="285"/>
      <c r="D20" s="143"/>
      <c r="E20" s="143"/>
      <c r="G20" s="942"/>
      <c r="H20" s="1500"/>
      <c r="I20" s="942"/>
      <c r="J20" s="943"/>
    </row>
    <row r="21" spans="1:10">
      <c r="A21" s="595"/>
      <c r="B21" s="15" t="str">
        <f>Assm!X18</f>
        <v>Amount</v>
      </c>
      <c r="C21" s="90">
        <f>Assm!AB18</f>
        <v>70125</v>
      </c>
      <c r="D21" s="37"/>
      <c r="E21" s="37"/>
      <c r="G21" s="942" t="s">
        <v>728</v>
      </c>
      <c r="H21" s="1500">
        <v>36391</v>
      </c>
      <c r="I21" s="942" t="s">
        <v>693</v>
      </c>
      <c r="J21" s="943" t="s">
        <v>729</v>
      </c>
    </row>
    <row r="22" spans="1:10">
      <c r="A22" s="595"/>
      <c r="B22" s="15" t="str">
        <f>Assm!X19</f>
        <v>Loan Amortization Style (1=SL, 2=MTG, 3=Custom)</v>
      </c>
      <c r="C22" s="1297" t="str">
        <f>CHOOSE(Assm!AB19,"STRAIGHT-LINE","MORTGAGE","CUSTOM")</f>
        <v>STRAIGHT-LINE</v>
      </c>
      <c r="D22" s="65"/>
      <c r="E22" s="65"/>
      <c r="G22" s="942"/>
      <c r="H22" s="1500"/>
      <c r="I22" s="942"/>
      <c r="J22" s="943"/>
    </row>
    <row r="23" spans="1:10">
      <c r="A23" s="595"/>
      <c r="B23" s="15" t="str">
        <f>Assm!X20</f>
        <v>Term - Years (Post Closing)</v>
      </c>
      <c r="C23" s="14">
        <f>Assm!Y20</f>
        <v>15</v>
      </c>
      <c r="D23" s="286"/>
      <c r="E23" s="286"/>
      <c r="G23" s="942"/>
      <c r="H23" s="1500"/>
      <c r="I23" s="942"/>
      <c r="J23" s="943"/>
    </row>
    <row r="24" spans="1:10">
      <c r="A24" s="595"/>
      <c r="B24" s="15" t="str">
        <f>Assm!AA21</f>
        <v>Grace - Post Phase III</v>
      </c>
      <c r="C24" s="14">
        <f>Assm!AB21</f>
        <v>1</v>
      </c>
      <c r="D24" s="65"/>
      <c r="E24" s="65"/>
      <c r="G24" s="942"/>
      <c r="H24" s="1500"/>
      <c r="I24" s="942"/>
      <c r="J24" s="943"/>
    </row>
    <row r="25" spans="1:10">
      <c r="A25" s="595"/>
      <c r="B25" s="15" t="str">
        <f>Assm!X22</f>
        <v>Average Life Of Loan (Including Construction)</v>
      </c>
      <c r="C25" s="14">
        <f>Assm!AB22</f>
        <v>11.2</v>
      </c>
      <c r="D25" s="65"/>
      <c r="E25" s="65"/>
      <c r="G25" s="942"/>
      <c r="H25" s="1500"/>
      <c r="I25" s="942"/>
      <c r="J25" s="943"/>
    </row>
    <row r="26" spans="1:10">
      <c r="A26" s="595"/>
      <c r="B26" s="15" t="str">
        <f>Assm!X23</f>
        <v>Interest Rate / Spread</v>
      </c>
      <c r="C26" s="107">
        <f>Assm!AB23</f>
        <v>7.4800000000000005E-2</v>
      </c>
      <c r="D26" s="67"/>
      <c r="E26" s="67"/>
      <c r="G26" s="942"/>
      <c r="H26" s="1500"/>
      <c r="I26" s="942"/>
      <c r="J26" s="943"/>
    </row>
    <row r="27" spans="1:10">
      <c r="A27" s="595"/>
      <c r="B27" s="15" t="str">
        <f>Assm!X24</f>
        <v>Upfront Fee</v>
      </c>
      <c r="C27" s="99">
        <f>Assm!AB24</f>
        <v>0.20399999999999999</v>
      </c>
      <c r="D27" s="32"/>
      <c r="E27" s="32"/>
      <c r="G27" s="942"/>
      <c r="H27" s="1500"/>
      <c r="I27" s="942"/>
      <c r="J27" s="943"/>
    </row>
    <row r="28" spans="1:10">
      <c r="A28" s="595"/>
      <c r="B28" s="15" t="str">
        <f>Assm!X25</f>
        <v>Commitment Fee</v>
      </c>
      <c r="C28" s="99">
        <f>Assm!AB25</f>
        <v>2.5000000000000001E-3</v>
      </c>
      <c r="D28" s="32"/>
      <c r="E28" s="32"/>
      <c r="G28" s="942"/>
      <c r="H28" s="1500"/>
      <c r="I28" s="942"/>
      <c r="J28" s="943"/>
    </row>
    <row r="29" spans="1:10">
      <c r="A29" s="595"/>
      <c r="B29" s="3" t="str">
        <f>Assm!X26</f>
        <v>Tranche 3: KFW (Uncovered Loan)</v>
      </c>
      <c r="C29" s="285"/>
      <c r="D29" s="143"/>
      <c r="E29" s="143"/>
      <c r="G29" s="942"/>
      <c r="H29" s="1500"/>
      <c r="I29" s="942"/>
      <c r="J29" s="943"/>
    </row>
    <row r="30" spans="1:10">
      <c r="A30" s="595"/>
      <c r="B30" s="15" t="str">
        <f>Assm!X27</f>
        <v>Amount</v>
      </c>
      <c r="C30" s="90">
        <f>Assm!AB27</f>
        <v>24750</v>
      </c>
      <c r="D30" s="37"/>
      <c r="E30" s="37"/>
      <c r="G30" s="942" t="s">
        <v>728</v>
      </c>
      <c r="H30" s="1500">
        <v>36391</v>
      </c>
      <c r="I30" s="942" t="s">
        <v>693</v>
      </c>
      <c r="J30" s="943" t="s">
        <v>729</v>
      </c>
    </row>
    <row r="31" spans="1:10">
      <c r="A31" s="595"/>
      <c r="B31" s="15" t="str">
        <f>Assm!X28</f>
        <v>Loan Amortization Style (1=SL, 2=MTG, 3=Custom)</v>
      </c>
      <c r="C31" s="1297" t="str">
        <f>CHOOSE(Assm!AB28,"STRAIGHT-LINE","MORTGAGE","CUSTOM")</f>
        <v>MORTGAGE</v>
      </c>
      <c r="D31" s="65"/>
      <c r="E31" s="65"/>
      <c r="G31" s="942"/>
      <c r="H31" s="1500"/>
      <c r="I31" s="942"/>
      <c r="J31" s="943"/>
    </row>
    <row r="32" spans="1:10">
      <c r="A32" s="595"/>
      <c r="B32" s="15" t="str">
        <f>Assm!X29</f>
        <v>Term - Years (Post Closing)</v>
      </c>
      <c r="C32" s="14">
        <f>Assm!Y29</f>
        <v>11</v>
      </c>
      <c r="D32" s="286"/>
      <c r="E32" s="286"/>
      <c r="G32" s="942"/>
      <c r="H32" s="1500"/>
      <c r="I32" s="942"/>
      <c r="J32" s="943"/>
    </row>
    <row r="33" spans="1:10">
      <c r="A33" s="595"/>
      <c r="B33" s="15" t="str">
        <f>Assm!AA30</f>
        <v>Grace - Post Phase III</v>
      </c>
      <c r="C33" s="14">
        <f>Assm!AB30</f>
        <v>1</v>
      </c>
      <c r="D33" s="65"/>
      <c r="E33" s="65"/>
      <c r="G33" s="942"/>
      <c r="H33" s="1500"/>
      <c r="I33" s="942"/>
      <c r="J33" s="943"/>
    </row>
    <row r="34" spans="1:10">
      <c r="A34" s="595"/>
      <c r="B34" s="15" t="str">
        <f>Assm!X31</f>
        <v>Average Life Of Loan (Including Construction)</v>
      </c>
      <c r="C34" s="14">
        <f>Assm!AB31</f>
        <v>9.1999999999999993</v>
      </c>
      <c r="D34" s="65"/>
      <c r="E34" s="65"/>
      <c r="G34" s="942"/>
      <c r="H34" s="1500"/>
      <c r="I34" s="942"/>
      <c r="J34" s="943"/>
    </row>
    <row r="35" spans="1:10">
      <c r="A35" s="595"/>
      <c r="B35" s="15" t="str">
        <f>Assm!X32</f>
        <v>Interest Rate / Spread</v>
      </c>
      <c r="C35" s="107">
        <f>Assm!AB32</f>
        <v>9.2700000000000005E-2</v>
      </c>
      <c r="D35" s="67"/>
      <c r="E35" s="67"/>
      <c r="G35" s="942"/>
      <c r="H35" s="1500"/>
      <c r="I35" s="942"/>
      <c r="J35" s="943"/>
    </row>
    <row r="36" spans="1:10">
      <c r="A36" s="595"/>
      <c r="B36" s="15" t="str">
        <f>Assm!X33</f>
        <v>Upfront Fee</v>
      </c>
      <c r="C36" s="99">
        <f>Assm!AB33</f>
        <v>1.4999999999999999E-2</v>
      </c>
      <c r="D36" s="32"/>
      <c r="E36" s="32"/>
      <c r="G36" s="942"/>
      <c r="H36" s="1500"/>
      <c r="I36" s="942"/>
      <c r="J36" s="943"/>
    </row>
    <row r="37" spans="1:10">
      <c r="A37" s="595"/>
      <c r="B37" s="15" t="str">
        <f>Assm!X34</f>
        <v>Commitment Fee</v>
      </c>
      <c r="C37" s="99">
        <f>Assm!AB34</f>
        <v>2.5000000000000001E-3</v>
      </c>
      <c r="D37" s="32"/>
      <c r="E37" s="32"/>
      <c r="G37" s="942"/>
      <c r="H37" s="1500"/>
      <c r="I37" s="942"/>
      <c r="J37" s="943"/>
    </row>
    <row r="38" spans="1:10">
      <c r="A38" s="595"/>
      <c r="B38" s="3" t="str">
        <f>Assm!X35</f>
        <v>Tranche 4: BNDES</v>
      </c>
      <c r="C38" s="285"/>
      <c r="D38" s="143"/>
      <c r="E38" s="143"/>
      <c r="G38" s="942"/>
      <c r="H38" s="1500"/>
      <c r="I38" s="942"/>
      <c r="J38" s="943"/>
    </row>
    <row r="39" spans="1:10">
      <c r="A39" s="595"/>
      <c r="B39" s="15" t="str">
        <f>Assm!X36</f>
        <v>Amount</v>
      </c>
      <c r="C39" s="90">
        <f ca="1">Assm!AB36</f>
        <v>0</v>
      </c>
      <c r="D39" s="37"/>
      <c r="E39" s="37"/>
      <c r="G39" s="942" t="s">
        <v>728</v>
      </c>
      <c r="H39" s="1500">
        <v>36391</v>
      </c>
      <c r="I39" s="942" t="s">
        <v>693</v>
      </c>
      <c r="J39" s="943" t="s">
        <v>729</v>
      </c>
    </row>
    <row r="40" spans="1:10">
      <c r="A40" s="595"/>
      <c r="B40" s="15" t="str">
        <f>Assm!X37</f>
        <v>Loan Amortization Style (1=SL, 2=MTG, 3=Custom)</v>
      </c>
      <c r="C40" s="1297" t="str">
        <f>CHOOSE(Assm!AB37,"STRAIGHT-LINE","MORTGAGE","CUSTOM")</f>
        <v>MORTGAGE</v>
      </c>
      <c r="D40" s="65"/>
      <c r="E40" s="65"/>
      <c r="G40" s="942"/>
      <c r="H40" s="1500"/>
      <c r="I40" s="942"/>
      <c r="J40" s="943"/>
    </row>
    <row r="41" spans="1:10">
      <c r="A41" s="595"/>
      <c r="B41" s="15" t="str">
        <f>Assm!X38</f>
        <v>Term - Years (Post Closing)</v>
      </c>
      <c r="C41" s="14">
        <f>Assm!Y38</f>
        <v>16</v>
      </c>
      <c r="D41" s="286"/>
      <c r="E41" s="286"/>
      <c r="G41" s="942"/>
      <c r="H41" s="1500"/>
      <c r="I41" s="942"/>
      <c r="J41" s="943"/>
    </row>
    <row r="42" spans="1:10">
      <c r="A42" s="595"/>
      <c r="B42" s="15" t="str">
        <f>Assm!AA39</f>
        <v>Grace - Post Phase III</v>
      </c>
      <c r="C42" s="14">
        <f>Assm!AB39</f>
        <v>1</v>
      </c>
      <c r="D42" s="65"/>
      <c r="E42" s="65"/>
      <c r="G42" s="942"/>
      <c r="H42" s="1500"/>
      <c r="I42" s="942"/>
      <c r="J42" s="943"/>
    </row>
    <row r="43" spans="1:10">
      <c r="A43" s="595"/>
      <c r="B43" s="15" t="str">
        <f>Assm!X40</f>
        <v>Average Life Of Loan (Including Construction)</v>
      </c>
      <c r="C43" s="14">
        <f ca="1">Assm!AB40</f>
        <v>0</v>
      </c>
      <c r="D43" s="65"/>
      <c r="E43" s="65"/>
      <c r="G43" s="942"/>
      <c r="H43" s="1500"/>
      <c r="I43" s="942"/>
      <c r="J43" s="943"/>
    </row>
    <row r="44" spans="1:10">
      <c r="A44" s="595"/>
      <c r="B44" s="15" t="str">
        <f>Assm!X41</f>
        <v>Interest Rate / Spread</v>
      </c>
      <c r="C44" s="107">
        <f>Assm!AB41</f>
        <v>0.15179999999999999</v>
      </c>
      <c r="D44" s="67"/>
      <c r="E44" s="67"/>
      <c r="G44" s="942"/>
      <c r="H44" s="1500"/>
      <c r="I44" s="942"/>
      <c r="J44" s="943"/>
    </row>
    <row r="45" spans="1:10">
      <c r="A45" s="595"/>
      <c r="B45" s="15" t="str">
        <f>Assm!X42</f>
        <v>Upfront Fee</v>
      </c>
      <c r="C45" s="99">
        <f>Assm!AB42</f>
        <v>0.01</v>
      </c>
      <c r="D45" s="32"/>
      <c r="E45" s="32"/>
      <c r="G45" s="942"/>
      <c r="H45" s="1500"/>
      <c r="I45" s="942"/>
      <c r="J45" s="943"/>
    </row>
    <row r="46" spans="1:10">
      <c r="A46" s="595"/>
      <c r="B46" s="15" t="str">
        <f>Assm!X43</f>
        <v>Commitment Fee</v>
      </c>
      <c r="C46" s="99">
        <f>Assm!AB43</f>
        <v>0</v>
      </c>
      <c r="D46" s="32"/>
      <c r="E46" s="32"/>
      <c r="G46" s="942"/>
      <c r="H46" s="1500"/>
      <c r="I46" s="942"/>
      <c r="J46" s="943"/>
    </row>
    <row r="47" spans="1:10">
      <c r="A47" s="595"/>
      <c r="B47" s="3" t="str">
        <f>Assm!X44</f>
        <v>Tranche 5: MLA - OPIC</v>
      </c>
      <c r="C47" s="285"/>
      <c r="D47" s="143"/>
      <c r="E47" s="143"/>
      <c r="G47" s="942"/>
      <c r="H47" s="1500"/>
      <c r="I47" s="942"/>
      <c r="J47" s="943"/>
    </row>
    <row r="48" spans="1:10">
      <c r="A48" s="595"/>
      <c r="B48" s="15" t="str">
        <f>Assm!X45</f>
        <v>Amount</v>
      </c>
      <c r="C48" s="90">
        <f>Assm!AB45</f>
        <v>36351.11991105834</v>
      </c>
      <c r="D48" s="37"/>
      <c r="E48" s="37"/>
      <c r="G48" s="942" t="s">
        <v>728</v>
      </c>
      <c r="H48" s="1500">
        <v>36391</v>
      </c>
      <c r="I48" s="942" t="s">
        <v>693</v>
      </c>
      <c r="J48" s="943" t="s">
        <v>729</v>
      </c>
    </row>
    <row r="49" spans="1:10">
      <c r="A49" s="595"/>
      <c r="B49" s="15" t="str">
        <f>Assm!X46</f>
        <v>Loan Amortization Style (1=SL, 2=MTG, 3=Custom)</v>
      </c>
      <c r="C49" s="1297" t="str">
        <f>CHOOSE(Assm!AB46,"STRAIGHT-LINE","MORTGAGE","CUSTOM")</f>
        <v>CUSTOM</v>
      </c>
      <c r="D49" s="65"/>
      <c r="E49" s="65"/>
      <c r="G49" s="942"/>
      <c r="H49" s="1500"/>
      <c r="I49" s="942"/>
      <c r="J49" s="943"/>
    </row>
    <row r="50" spans="1:10">
      <c r="A50" s="595"/>
      <c r="B50" s="15" t="str">
        <f>Assm!X47</f>
        <v>Term - Years (Post Closing)</v>
      </c>
      <c r="C50" s="14">
        <f>Assm!Y47</f>
        <v>15</v>
      </c>
      <c r="D50" s="286"/>
      <c r="E50" s="286"/>
      <c r="G50" s="942"/>
      <c r="H50" s="1500"/>
      <c r="I50" s="942"/>
      <c r="J50" s="943"/>
    </row>
    <row r="51" spans="1:10">
      <c r="A51" s="595"/>
      <c r="B51" s="15" t="str">
        <f>Assm!AA48</f>
        <v>Grace - Post Phase III</v>
      </c>
      <c r="C51" s="14">
        <f>Assm!AB48</f>
        <v>1</v>
      </c>
      <c r="D51" s="65"/>
      <c r="E51" s="65"/>
      <c r="G51" s="942"/>
      <c r="H51" s="1500"/>
      <c r="I51" s="942"/>
      <c r="J51" s="943"/>
    </row>
    <row r="52" spans="1:10">
      <c r="A52" s="595"/>
      <c r="B52" s="15" t="str">
        <f>Assm!X49</f>
        <v>Average Life Of Loan (Including Construction)</v>
      </c>
      <c r="C52" s="14">
        <f>Assm!AB49</f>
        <v>11.2</v>
      </c>
      <c r="D52" s="65"/>
      <c r="E52" s="65"/>
      <c r="G52" s="942"/>
      <c r="H52" s="1500"/>
      <c r="I52" s="942"/>
      <c r="J52" s="943"/>
    </row>
    <row r="53" spans="1:10">
      <c r="A53" s="595"/>
      <c r="B53" s="15" t="str">
        <f>Assm!X50</f>
        <v>Interest Rate / Spread</v>
      </c>
      <c r="C53" s="107">
        <f>Assm!AB50</f>
        <v>0.1101</v>
      </c>
      <c r="D53" s="67"/>
      <c r="E53" s="67"/>
      <c r="G53" s="942"/>
      <c r="H53" s="1500"/>
      <c r="I53" s="942"/>
      <c r="J53" s="943"/>
    </row>
    <row r="54" spans="1:10">
      <c r="A54" s="595"/>
      <c r="B54" s="15" t="str">
        <f>Assm!X51</f>
        <v>Upfront Fee</v>
      </c>
      <c r="C54" s="99">
        <f>Assm!AB51</f>
        <v>1.4999999999999999E-2</v>
      </c>
      <c r="D54" s="32"/>
      <c r="E54" s="32"/>
      <c r="G54" s="942"/>
      <c r="H54" s="1500"/>
      <c r="I54" s="942"/>
      <c r="J54" s="943"/>
    </row>
    <row r="55" spans="1:10">
      <c r="A55" s="595"/>
      <c r="B55" s="15" t="str">
        <f>Assm!X52</f>
        <v>Commitment Fee</v>
      </c>
      <c r="C55" s="99">
        <f>Assm!AB52</f>
        <v>5.0000000000000001E-3</v>
      </c>
      <c r="D55" s="32"/>
      <c r="E55" s="32"/>
      <c r="G55" s="942"/>
      <c r="H55" s="1500"/>
      <c r="I55" s="942"/>
      <c r="J55" s="943"/>
    </row>
    <row r="56" spans="1:10">
      <c r="A56" s="595"/>
      <c r="B56" s="3" t="str">
        <f>Assm!X53</f>
        <v>Tranche 6: Subordinated Debt</v>
      </c>
      <c r="C56" s="285"/>
      <c r="D56" s="143"/>
      <c r="E56" s="143"/>
      <c r="G56" s="942"/>
      <c r="H56" s="1500"/>
      <c r="I56" s="942"/>
      <c r="J56" s="943"/>
    </row>
    <row r="57" spans="1:10">
      <c r="A57" s="595"/>
      <c r="B57" s="15" t="str">
        <f>Assm!X54</f>
        <v>Amount</v>
      </c>
      <c r="C57" s="90">
        <f ca="1">Assm!AB54</f>
        <v>49749.813072758669</v>
      </c>
      <c r="D57" s="37"/>
      <c r="E57" s="37"/>
      <c r="G57" s="942" t="s">
        <v>728</v>
      </c>
      <c r="H57" s="1500">
        <v>36391</v>
      </c>
      <c r="I57" s="942" t="s">
        <v>693</v>
      </c>
      <c r="J57" s="943" t="s">
        <v>729</v>
      </c>
    </row>
    <row r="58" spans="1:10">
      <c r="A58" s="595"/>
      <c r="B58" s="15" t="str">
        <f>Assm!X55</f>
        <v>Loan Amortization Style (1=SL, 2=MTG, 3=Custom)</v>
      </c>
      <c r="C58" s="1297" t="str">
        <f>CHOOSE(Assm!AB55,"STRAIGHT-LINE","MORTGAGE","CUSTOM")</f>
        <v>MORTGAGE</v>
      </c>
      <c r="D58" s="65"/>
      <c r="E58" s="65"/>
      <c r="G58" s="942"/>
      <c r="H58" s="1500"/>
      <c r="I58" s="942"/>
      <c r="J58" s="943"/>
    </row>
    <row r="59" spans="1:10">
      <c r="A59" s="595"/>
      <c r="B59" s="15" t="str">
        <f>Assm!X56</f>
        <v>Term - Years (Post Closing)</v>
      </c>
      <c r="C59" s="14">
        <f>Assm!Y56</f>
        <v>12</v>
      </c>
      <c r="D59" s="286"/>
      <c r="E59" s="286"/>
      <c r="G59" s="942"/>
      <c r="H59" s="1500"/>
      <c r="I59" s="942"/>
      <c r="J59" s="943"/>
    </row>
    <row r="60" spans="1:10">
      <c r="A60" s="595"/>
      <c r="B60" s="15" t="str">
        <f>Assm!AA57</f>
        <v>Grace - Post Phase III</v>
      </c>
      <c r="C60" s="14">
        <f>Assm!AB57</f>
        <v>1</v>
      </c>
      <c r="D60" s="65"/>
      <c r="E60" s="65"/>
      <c r="G60" s="942"/>
      <c r="H60" s="1500"/>
      <c r="I60" s="942"/>
      <c r="J60" s="943"/>
    </row>
    <row r="61" spans="1:10">
      <c r="A61" s="595"/>
      <c r="B61" s="15" t="str">
        <f>Assm!X58</f>
        <v>Average Life Of Loan (Including Construction)</v>
      </c>
      <c r="C61" s="14">
        <f ca="1">Assm!AB58</f>
        <v>15.2</v>
      </c>
      <c r="D61" s="65"/>
      <c r="E61" s="65"/>
      <c r="G61" s="942"/>
      <c r="H61" s="1500"/>
      <c r="I61" s="942"/>
      <c r="J61" s="943"/>
    </row>
    <row r="62" spans="1:10">
      <c r="A62" s="595"/>
      <c r="B62" s="15" t="str">
        <f>Assm!X59</f>
        <v>Interest Rate</v>
      </c>
      <c r="C62" s="107">
        <f>Assm!AB59</f>
        <v>0.13</v>
      </c>
      <c r="D62" s="67"/>
      <c r="E62" s="67"/>
      <c r="G62" s="942"/>
      <c r="H62" s="1500"/>
      <c r="I62" s="942"/>
      <c r="J62" s="943"/>
    </row>
    <row r="63" spans="1:10">
      <c r="A63" s="595"/>
      <c r="B63" s="15" t="str">
        <f>Assm!X60</f>
        <v>Upfront Fee</v>
      </c>
      <c r="C63" s="99">
        <f>Assm!AB60</f>
        <v>0</v>
      </c>
      <c r="D63" s="32"/>
      <c r="E63" s="32"/>
      <c r="G63" s="942"/>
      <c r="H63" s="1500"/>
      <c r="I63" s="942"/>
      <c r="J63" s="943"/>
    </row>
    <row r="64" spans="1:10" ht="13.5" thickBot="1">
      <c r="A64" s="596"/>
      <c r="B64" s="49" t="str">
        <f>Assm!X61</f>
        <v>Commitment Fee</v>
      </c>
      <c r="C64" s="611">
        <f>Assm!AB61</f>
        <v>0</v>
      </c>
      <c r="D64" s="50"/>
      <c r="E64" s="50"/>
      <c r="F64" s="49"/>
      <c r="G64" s="944"/>
      <c r="H64" s="1501"/>
      <c r="I64" s="944"/>
      <c r="J64" s="945"/>
    </row>
    <row r="65" spans="1:10" ht="13.5" thickBot="1"/>
    <row r="66" spans="1:10">
      <c r="A66" s="591" t="str">
        <f>Assm!X67</f>
        <v>Capital Structure</v>
      </c>
      <c r="B66" s="393" t="str">
        <f ca="1">CONCATENATE(Assm!X68," - ",TEXT(Debtperc,"0.00%"))</f>
        <v>Senior Debt - 58.55%</v>
      </c>
      <c r="C66" s="1193">
        <f ca="1">Tot_Debt</f>
        <v>201351.11991105834</v>
      </c>
      <c r="D66" s="1194"/>
      <c r="E66" s="1194"/>
      <c r="F66" s="1195"/>
      <c r="G66" s="940" t="s">
        <v>728</v>
      </c>
      <c r="H66" s="1499">
        <v>36391</v>
      </c>
      <c r="I66" s="940" t="s">
        <v>693</v>
      </c>
      <c r="J66" s="941" t="s">
        <v>729</v>
      </c>
    </row>
    <row r="67" spans="1:10">
      <c r="A67" s="595"/>
      <c r="B67" s="14" t="str">
        <f ca="1">CONCATENATE(Assm!X69," - ",TEXT(Subdebtperc,"0.00%"))</f>
        <v>Subordinated Debt / Sudam Financing - 14.47%</v>
      </c>
      <c r="C67" s="106">
        <f ca="1">Tot_Subdebt</f>
        <v>49749.813072758669</v>
      </c>
      <c r="D67" s="39"/>
      <c r="E67" s="39"/>
      <c r="F67" s="26"/>
      <c r="G67" s="942" t="s">
        <v>728</v>
      </c>
      <c r="H67" s="1500">
        <v>36391</v>
      </c>
      <c r="I67" s="942" t="s">
        <v>693</v>
      </c>
      <c r="J67" s="943" t="s">
        <v>729</v>
      </c>
    </row>
    <row r="68" spans="1:10">
      <c r="A68" s="595"/>
      <c r="B68" s="14" t="str">
        <f ca="1">CONCATENATE(Assm!X71," - ",TEXT(Equityperc,"0.00%"))</f>
        <v>Equity - 26.98%</v>
      </c>
      <c r="C68" s="287">
        <f ca="1">Tot_Equity</f>
        <v>92793.570204919088</v>
      </c>
      <c r="D68" s="279"/>
      <c r="E68" s="279"/>
      <c r="F68" s="38"/>
      <c r="G68" s="942" t="s">
        <v>728</v>
      </c>
      <c r="H68" s="1500">
        <v>36391</v>
      </c>
      <c r="I68" s="942" t="s">
        <v>693</v>
      </c>
      <c r="J68" s="943" t="s">
        <v>729</v>
      </c>
    </row>
    <row r="69" spans="1:10" ht="13.5" thickBot="1">
      <c r="A69" s="596"/>
      <c r="B69" s="597" t="str">
        <f ca="1">CONCATENATE(Assm!X72," - ",TEXT(Assm!AA72,"0.00%"))</f>
        <v xml:space="preserve">   Total Investment - 100.00%</v>
      </c>
      <c r="C69" s="648">
        <f ca="1">Assm!Z72</f>
        <v>343894.5031887361</v>
      </c>
      <c r="D69" s="649"/>
      <c r="E69" s="649"/>
      <c r="F69" s="650"/>
      <c r="G69" s="944"/>
      <c r="H69" s="1496"/>
      <c r="I69" s="944"/>
      <c r="J69" s="945"/>
    </row>
  </sheetData>
  <printOptions horizontalCentered="1"/>
  <pageMargins left="0.25" right="0.25" top="0.5" bottom="0.5" header="0.25" footer="0.25"/>
  <pageSetup scale="54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1">
    <pageSetUpPr fitToPage="1"/>
  </sheetPr>
  <dimension ref="A1:L42"/>
  <sheetViews>
    <sheetView showGridLines="0" zoomScale="90" workbookViewId="0">
      <selection activeCell="G30" sqref="G30"/>
    </sheetView>
  </sheetViews>
  <sheetFormatPr defaultRowHeight="12.75"/>
  <cols>
    <col min="1" max="1" width="30.7109375" style="7" customWidth="1"/>
    <col min="2" max="2" width="47.7109375" style="7" customWidth="1"/>
    <col min="3" max="6" width="10.7109375" style="15" customWidth="1"/>
    <col min="7" max="7" width="23.7109375" style="7" customWidth="1"/>
    <col min="8" max="8" width="13.7109375" style="1489" customWidth="1"/>
    <col min="9" max="9" width="23.7109375" style="7" customWidth="1"/>
    <col min="10" max="10" width="35.7109375" style="7" customWidth="1"/>
    <col min="11" max="16384" width="9.140625" style="7"/>
  </cols>
  <sheetData>
    <row r="1" spans="1:12" s="1" customFormat="1" ht="15.75">
      <c r="A1" s="1137" t="str">
        <f>CONCATENATE(TOC!B2," ",TOC!B6)</f>
        <v>EMPRESSA PRODUTORA DE ENERGÍA LTDA (EPE) *** DRAFT COPY ***</v>
      </c>
      <c r="B1" s="15"/>
      <c r="H1" s="1488"/>
    </row>
    <row r="2" spans="1:12" s="1" customFormat="1" ht="15.75">
      <c r="A2" s="1137" t="str">
        <f>TOC!B3</f>
        <v>480 MW POWER PLANT (CUIABA, BRAZIL)</v>
      </c>
      <c r="B2" s="15"/>
      <c r="H2" s="1488"/>
    </row>
    <row r="3" spans="1:12" s="1" customFormat="1" ht="15">
      <c r="A3" s="118" t="str">
        <f>TOC!B4</f>
        <v>ENRON INTERNATIONAL</v>
      </c>
      <c r="B3" s="15"/>
      <c r="H3" s="1488"/>
    </row>
    <row r="4" spans="1:12" s="1" customFormat="1" ht="15">
      <c r="A4" s="932" t="s">
        <v>722</v>
      </c>
      <c r="B4" s="15"/>
      <c r="H4" s="1488"/>
    </row>
    <row r="5" spans="1:12" customFormat="1" ht="13.5" thickBot="1">
      <c r="A5" s="1"/>
      <c r="B5" s="15"/>
      <c r="C5" s="1"/>
      <c r="D5" s="15"/>
      <c r="E5" s="15"/>
      <c r="F5" s="15"/>
      <c r="G5" s="15"/>
      <c r="H5" s="1493"/>
      <c r="I5" s="7"/>
      <c r="J5" s="7"/>
      <c r="K5" s="7"/>
      <c r="L5" s="7"/>
    </row>
    <row r="6" spans="1:12">
      <c r="A6" s="578"/>
      <c r="B6" s="579"/>
      <c r="C6" s="609"/>
      <c r="D6" s="580"/>
      <c r="E6" s="580"/>
      <c r="F6" s="581"/>
      <c r="G6" s="579"/>
      <c r="H6" s="1490"/>
      <c r="I6" s="579" t="s">
        <v>671</v>
      </c>
      <c r="J6" s="582"/>
    </row>
    <row r="7" spans="1:12">
      <c r="A7" s="583"/>
      <c r="B7" s="96"/>
      <c r="C7" s="103" t="s">
        <v>689</v>
      </c>
      <c r="D7" s="97"/>
      <c r="E7" s="97"/>
      <c r="F7" s="98"/>
      <c r="G7" s="96"/>
      <c r="H7" s="1491" t="s">
        <v>1257</v>
      </c>
      <c r="I7" s="96" t="s">
        <v>672</v>
      </c>
      <c r="J7" s="584"/>
    </row>
    <row r="8" spans="1:12" ht="13.5" thickBot="1">
      <c r="A8" s="585" t="s">
        <v>673</v>
      </c>
      <c r="B8" s="586" t="s">
        <v>674</v>
      </c>
      <c r="C8" s="587" t="s">
        <v>691</v>
      </c>
      <c r="D8" s="588"/>
      <c r="E8" s="588"/>
      <c r="F8" s="589"/>
      <c r="G8" s="586" t="s">
        <v>675</v>
      </c>
      <c r="H8" s="1492" t="s">
        <v>676</v>
      </c>
      <c r="I8" s="586" t="s">
        <v>1258</v>
      </c>
      <c r="J8" s="590" t="s">
        <v>677</v>
      </c>
    </row>
    <row r="9" spans="1:12" s="15" customFormat="1" ht="13.5" thickBot="1">
      <c r="H9" s="1493"/>
    </row>
    <row r="10" spans="1:12">
      <c r="A10" s="591" t="str">
        <f>Assm!X63</f>
        <v>Other Senior Debt Fees</v>
      </c>
      <c r="B10" s="599" t="str">
        <f>Assm!Y63</f>
        <v>OPIC Agency Fee ($000)</v>
      </c>
      <c r="C10" s="1353"/>
      <c r="D10" s="1379">
        <f>Assm!AB63</f>
        <v>25</v>
      </c>
      <c r="E10" s="632"/>
      <c r="F10" s="633"/>
      <c r="G10" s="940" t="s">
        <v>728</v>
      </c>
      <c r="H10" s="1499">
        <v>36391</v>
      </c>
      <c r="I10" s="940" t="s">
        <v>693</v>
      </c>
      <c r="J10" s="941" t="s">
        <v>729</v>
      </c>
    </row>
    <row r="11" spans="1:12">
      <c r="A11" s="595"/>
      <c r="B11" s="64" t="str">
        <f>Assm!Y64</f>
        <v>EPE Percent / Amount</v>
      </c>
      <c r="C11" s="1380">
        <f>Assm!AA64</f>
        <v>0.5</v>
      </c>
      <c r="D11" s="164">
        <f>Assm!AB64</f>
        <v>12.5</v>
      </c>
      <c r="E11" s="606"/>
      <c r="F11" s="353"/>
      <c r="G11" s="942" t="s">
        <v>728</v>
      </c>
      <c r="H11" s="1500">
        <v>36391</v>
      </c>
      <c r="I11" s="942" t="s">
        <v>693</v>
      </c>
      <c r="J11" s="943" t="s">
        <v>729</v>
      </c>
    </row>
    <row r="12" spans="1:12" ht="13.5" thickBot="1">
      <c r="A12" s="596"/>
      <c r="B12" s="597" t="str">
        <f>Assm!Y65</f>
        <v>Final Year Of Payment</v>
      </c>
      <c r="C12" s="1378">
        <f ca="1">Assm!AA65</f>
        <v>2015</v>
      </c>
      <c r="D12" s="607"/>
      <c r="E12" s="607"/>
      <c r="F12" s="1366"/>
      <c r="G12" s="944" t="s">
        <v>728</v>
      </c>
      <c r="H12" s="1496">
        <v>36391</v>
      </c>
      <c r="I12" s="944" t="s">
        <v>693</v>
      </c>
      <c r="J12" s="945" t="s">
        <v>729</v>
      </c>
    </row>
    <row r="13" spans="1:12" ht="13.5" thickBot="1"/>
    <row r="14" spans="1:12">
      <c r="A14" s="591" t="str">
        <f>Assm!X78</f>
        <v>DS Coverage Ratios</v>
      </c>
      <c r="B14" s="599"/>
      <c r="C14" s="728" t="s">
        <v>1503</v>
      </c>
      <c r="D14" s="728" t="s">
        <v>744</v>
      </c>
      <c r="E14" s="11"/>
      <c r="F14" s="555"/>
      <c r="G14" s="939"/>
      <c r="H14" s="1502"/>
      <c r="I14" s="939"/>
      <c r="J14" s="941"/>
    </row>
    <row r="15" spans="1:12">
      <c r="A15" s="595"/>
      <c r="B15" s="64" t="s">
        <v>741</v>
      </c>
      <c r="C15" s="729">
        <f>Assm!AB79</f>
        <v>1.4</v>
      </c>
      <c r="D15" s="731">
        <f>Assm!AB80</f>
        <v>1.8</v>
      </c>
      <c r="F15" s="17"/>
      <c r="G15" s="942" t="s">
        <v>1924</v>
      </c>
      <c r="H15" s="1495">
        <v>36166</v>
      </c>
      <c r="I15" s="942" t="s">
        <v>693</v>
      </c>
      <c r="J15" s="943" t="s">
        <v>1259</v>
      </c>
    </row>
    <row r="16" spans="1:12">
      <c r="A16" s="594"/>
      <c r="B16" s="64" t="s">
        <v>743</v>
      </c>
      <c r="C16" s="729">
        <f ca="1">Assm!Z79</f>
        <v>0.84691205944333681</v>
      </c>
      <c r="D16" s="731">
        <f ca="1">Assm!AA79</f>
        <v>0.84691205944333681</v>
      </c>
      <c r="F16" s="17"/>
      <c r="G16" s="942" t="s">
        <v>692</v>
      </c>
      <c r="H16" s="1495"/>
      <c r="I16" s="942"/>
      <c r="J16" s="943"/>
    </row>
    <row r="17" spans="1:10" ht="13.5" thickBot="1">
      <c r="A17" s="596"/>
      <c r="B17" s="597" t="s">
        <v>742</v>
      </c>
      <c r="C17" s="730">
        <f ca="1">Assm!Z80</f>
        <v>1.939213971709524</v>
      </c>
      <c r="D17" s="732">
        <f ca="1">Assm!AA80</f>
        <v>1.8386273076192559</v>
      </c>
      <c r="E17" s="49"/>
      <c r="F17" s="598"/>
      <c r="G17" s="944" t="s">
        <v>692</v>
      </c>
      <c r="H17" s="1496"/>
      <c r="I17" s="944"/>
      <c r="J17" s="945"/>
    </row>
    <row r="18" spans="1:10" ht="13.5" thickBot="1"/>
    <row r="19" spans="1:10">
      <c r="A19" s="591" t="str">
        <f>Assm!X82</f>
        <v>Debt Reserve</v>
      </c>
      <c r="B19" s="555" t="str">
        <f>Assm!Z82</f>
        <v>Service To Be Provided By</v>
      </c>
      <c r="C19" s="651" t="str">
        <f>Assm!AA82</f>
        <v>Dresdner Bank</v>
      </c>
      <c r="D19" s="11"/>
      <c r="E19" s="574"/>
      <c r="F19" s="634"/>
      <c r="G19" s="940" t="s">
        <v>1924</v>
      </c>
      <c r="H19" s="1499">
        <v>36389</v>
      </c>
      <c r="I19" s="940" t="s">
        <v>693</v>
      </c>
      <c r="J19" s="941" t="s">
        <v>1831</v>
      </c>
    </row>
    <row r="20" spans="1:10">
      <c r="A20" s="595"/>
      <c r="B20" s="17" t="str">
        <f>Assm!Z83</f>
        <v>Months Of Debt Service Required</v>
      </c>
      <c r="C20" s="94">
        <f>Assm!Y83</f>
        <v>6</v>
      </c>
      <c r="E20" s="55"/>
      <c r="F20" s="733"/>
      <c r="G20" s="942" t="s">
        <v>1924</v>
      </c>
      <c r="H20" s="1500">
        <v>36290</v>
      </c>
      <c r="I20" s="942" t="s">
        <v>693</v>
      </c>
      <c r="J20" s="943" t="s">
        <v>1831</v>
      </c>
    </row>
    <row r="21" spans="1:10" ht="13.5" thickBot="1">
      <c r="A21" s="596"/>
      <c r="B21" s="597" t="str">
        <f>Assm!Z84</f>
        <v>L/C Fee p.a.</v>
      </c>
      <c r="C21" s="652">
        <f>Assm!Y84</f>
        <v>2.5000000000000001E-2</v>
      </c>
      <c r="D21" s="49"/>
      <c r="E21" s="275"/>
      <c r="F21" s="635"/>
      <c r="G21" s="944" t="s">
        <v>1924</v>
      </c>
      <c r="H21" s="1496">
        <v>36290</v>
      </c>
      <c r="I21" s="944" t="s">
        <v>693</v>
      </c>
      <c r="J21" s="945" t="s">
        <v>1831</v>
      </c>
    </row>
    <row r="22" spans="1:10" ht="13.5" thickBot="1"/>
    <row r="23" spans="1:10">
      <c r="A23" s="591" t="str">
        <f>Assm!X86</f>
        <v>Shareholder Constr Loan</v>
      </c>
      <c r="B23" s="599" t="str">
        <f>Assm!X87</f>
        <v>Amount Of Construction Loan</v>
      </c>
      <c r="C23" s="1368">
        <f ca="1">Total_BL</f>
        <v>130448.46906099447</v>
      </c>
      <c r="D23" s="11"/>
      <c r="E23" s="574"/>
      <c r="F23" s="634"/>
      <c r="G23" s="940" t="s">
        <v>692</v>
      </c>
      <c r="H23" s="1499"/>
      <c r="I23" s="940"/>
      <c r="J23" s="941" t="s">
        <v>1863</v>
      </c>
    </row>
    <row r="24" spans="1:10">
      <c r="A24" s="595"/>
      <c r="B24" s="64" t="str">
        <f>Assm!AA87</f>
        <v>Interest Rate</v>
      </c>
      <c r="C24" s="107">
        <f>Int_BL</f>
        <v>0.06</v>
      </c>
      <c r="E24" s="55"/>
      <c r="F24" s="733"/>
      <c r="G24" s="942" t="s">
        <v>1812</v>
      </c>
      <c r="H24" s="1500">
        <v>36004</v>
      </c>
      <c r="I24" s="942" t="s">
        <v>1807</v>
      </c>
      <c r="J24" s="943" t="s">
        <v>1813</v>
      </c>
    </row>
    <row r="25" spans="1:10" ht="13.5" thickBot="1">
      <c r="A25" s="596"/>
      <c r="B25" s="598" t="str">
        <f>Assm!AA88</f>
        <v>Cost Of Funds</v>
      </c>
      <c r="C25" s="630">
        <f>Ecf</f>
        <v>6.5000000000000002E-2</v>
      </c>
      <c r="D25" s="49"/>
      <c r="E25" s="275"/>
      <c r="F25" s="635"/>
      <c r="G25" s="944" t="s">
        <v>1814</v>
      </c>
      <c r="H25" s="1501">
        <v>36217</v>
      </c>
      <c r="I25" s="944" t="s">
        <v>1815</v>
      </c>
      <c r="J25" s="945" t="s">
        <v>1816</v>
      </c>
    </row>
    <row r="26" spans="1:10" ht="13.5" thickBot="1"/>
    <row r="27" spans="1:10">
      <c r="A27" s="554" t="str">
        <f>Assm!A90</f>
        <v>Bonds</v>
      </c>
      <c r="B27" s="613" t="str">
        <f>Assm!A91</f>
        <v>Performance Bond</v>
      </c>
      <c r="C27" s="653" t="str">
        <f>Assm!C90</f>
        <v>Term (Yrs)</v>
      </c>
      <c r="D27" s="654" t="str">
        <f>Assm!D90</f>
        <v>Amount</v>
      </c>
      <c r="E27" s="654" t="str">
        <f>Assm!E90</f>
        <v>Rate</v>
      </c>
      <c r="F27" s="655" t="str">
        <f>Assm!F90</f>
        <v>Expense</v>
      </c>
      <c r="G27" s="946"/>
      <c r="H27" s="1494"/>
      <c r="I27" s="946"/>
      <c r="J27" s="947"/>
    </row>
    <row r="28" spans="1:10" ht="13.5" thickBot="1">
      <c r="A28" s="48"/>
      <c r="B28" s="656"/>
      <c r="C28" s="657">
        <f>Assm!C91</f>
        <v>20</v>
      </c>
      <c r="D28" s="658">
        <f>Assm!D91</f>
        <v>22000</v>
      </c>
      <c r="E28" s="659">
        <f>Assm!E91</f>
        <v>5.0000000000000001E-3</v>
      </c>
      <c r="F28" s="660">
        <f>Assm!F91</f>
        <v>110</v>
      </c>
      <c r="G28" s="950" t="s">
        <v>1371</v>
      </c>
      <c r="H28" s="1496">
        <v>35759</v>
      </c>
      <c r="I28" s="950" t="s">
        <v>695</v>
      </c>
      <c r="J28" s="951" t="s">
        <v>1377</v>
      </c>
    </row>
    <row r="29" spans="1:10" ht="13.5" thickBot="1"/>
    <row r="30" spans="1:10">
      <c r="A30" s="554" t="str">
        <f>Assm!A93</f>
        <v>YPF Guarantee</v>
      </c>
      <c r="B30" s="613" t="str">
        <f>Assm!E93</f>
        <v>Guarantee</v>
      </c>
      <c r="C30" s="661">
        <f>Assm!D93</f>
        <v>12500</v>
      </c>
      <c r="D30" s="662"/>
      <c r="E30" s="662"/>
      <c r="F30" s="625"/>
      <c r="G30" s="946"/>
      <c r="H30" s="1494" t="s">
        <v>1830</v>
      </c>
      <c r="I30" s="946"/>
      <c r="J30" s="947" t="s">
        <v>1831</v>
      </c>
    </row>
    <row r="31" spans="1:10" ht="13.5" thickBot="1">
      <c r="A31" s="48"/>
      <c r="B31" s="629" t="str">
        <f>Assm!E94</f>
        <v>L/C Fee p.a.</v>
      </c>
      <c r="C31" s="663">
        <f>Assm!D94</f>
        <v>2.5000000000000001E-2</v>
      </c>
      <c r="D31" s="664"/>
      <c r="E31" s="664"/>
      <c r="F31" s="665"/>
      <c r="G31" s="950"/>
      <c r="H31" s="1496" t="s">
        <v>1830</v>
      </c>
      <c r="I31" s="950"/>
      <c r="J31" s="951" t="s">
        <v>1831</v>
      </c>
    </row>
    <row r="32" spans="1:10" ht="13.5" thickBot="1"/>
    <row r="33" spans="1:10">
      <c r="A33" s="554" t="str">
        <f>Assm!A96</f>
        <v>Interest On Cash Balances</v>
      </c>
      <c r="B33" s="613"/>
      <c r="C33" s="1369"/>
      <c r="D33" s="662"/>
      <c r="E33" s="662"/>
      <c r="F33" s="625"/>
      <c r="G33" s="946"/>
      <c r="H33" s="1494"/>
      <c r="I33" s="946"/>
      <c r="J33" s="947"/>
    </row>
    <row r="34" spans="1:10" ht="13.5" thickBot="1">
      <c r="A34" s="48"/>
      <c r="B34" s="629" t="str">
        <f>Assm!E97</f>
        <v>Assumed Rate For Cash Held</v>
      </c>
      <c r="C34" s="663">
        <f>Assm!F97</f>
        <v>0.05</v>
      </c>
      <c r="D34" s="664"/>
      <c r="E34" s="664"/>
      <c r="F34" s="665"/>
      <c r="G34" s="950" t="s">
        <v>351</v>
      </c>
      <c r="H34" s="1496"/>
      <c r="I34" s="950"/>
      <c r="J34" s="951"/>
    </row>
    <row r="35" spans="1:10" ht="13.5" thickBot="1"/>
    <row r="36" spans="1:10">
      <c r="A36" s="591" t="str">
        <f>Assm!A79</f>
        <v>Working Capital</v>
      </c>
      <c r="B36" s="1186" t="str">
        <f>Assm!A81</f>
        <v>Components</v>
      </c>
      <c r="C36" s="1187" t="s">
        <v>571</v>
      </c>
      <c r="D36" s="1188" t="s">
        <v>567</v>
      </c>
      <c r="E36" s="1189" t="s">
        <v>272</v>
      </c>
      <c r="F36" s="1190" t="s">
        <v>273</v>
      </c>
      <c r="G36" s="940"/>
      <c r="H36" s="1494"/>
      <c r="I36" s="940"/>
      <c r="J36" s="941"/>
    </row>
    <row r="37" spans="1:10">
      <c r="A37" s="595"/>
      <c r="B37" s="64" t="str">
        <f>Assm!A82</f>
        <v>Days Of Commodity Fuel</v>
      </c>
      <c r="C37" s="94">
        <f>Assm!B82</f>
        <v>0</v>
      </c>
      <c r="D37" s="37">
        <f>Assm!C82</f>
        <v>0</v>
      </c>
      <c r="E37" s="62">
        <f>Assm!$F$85</f>
        <v>3.6250000000000004E-2</v>
      </c>
      <c r="F37" s="57">
        <f>D37*E37*Assm!$F$79</f>
        <v>0</v>
      </c>
      <c r="G37" s="942" t="s">
        <v>1817</v>
      </c>
      <c r="H37" s="1495"/>
      <c r="I37" s="942"/>
      <c r="J37" s="943" t="str">
        <f>IF(Assm!$F$79=0,"No Fee - Funded In Project Costs"," ")</f>
        <v>No Fee - Funded In Project Costs</v>
      </c>
    </row>
    <row r="38" spans="1:10">
      <c r="A38" s="595"/>
      <c r="B38" s="64" t="str">
        <f>Assm!A83</f>
        <v>Days Of Fuel Transportation</v>
      </c>
      <c r="C38" s="94">
        <f>Assm!B83</f>
        <v>0</v>
      </c>
      <c r="D38" s="37">
        <f ca="1">Assm!C83</f>
        <v>0</v>
      </c>
      <c r="E38" s="62">
        <f>Assm!$F$85</f>
        <v>3.6250000000000004E-2</v>
      </c>
      <c r="F38" s="57">
        <f ca="1">D38*E38*Assm!$F$79</f>
        <v>0</v>
      </c>
      <c r="G38" s="942" t="s">
        <v>1817</v>
      </c>
      <c r="H38" s="1495"/>
      <c r="I38" s="942"/>
      <c r="J38" s="943"/>
    </row>
    <row r="39" spans="1:10">
      <c r="A39" s="595"/>
      <c r="B39" s="64" t="str">
        <f>Assm!A84</f>
        <v>Days Of O&amp;M Excl Insurance</v>
      </c>
      <c r="C39" s="94">
        <f>Assm!B84</f>
        <v>0</v>
      </c>
      <c r="D39" s="37">
        <f>Assm!C84</f>
        <v>0</v>
      </c>
      <c r="E39" s="62">
        <f>Assm!$F$85</f>
        <v>3.6250000000000004E-2</v>
      </c>
      <c r="F39" s="57">
        <f>D39*E39*Assm!$F$79</f>
        <v>0</v>
      </c>
      <c r="G39" s="942" t="s">
        <v>1817</v>
      </c>
      <c r="H39" s="1495"/>
      <c r="I39" s="942"/>
      <c r="J39" s="943"/>
    </row>
    <row r="40" spans="1:10">
      <c r="A40" s="595"/>
      <c r="B40" s="64" t="str">
        <f>Assm!A85</f>
        <v>Years Of Operating Insurance</v>
      </c>
      <c r="C40" s="94">
        <f>Assm!B85</f>
        <v>0</v>
      </c>
      <c r="D40" s="142">
        <f>Assm!C85</f>
        <v>0</v>
      </c>
      <c r="E40" s="62">
        <f>Assm!$F$85</f>
        <v>3.6250000000000004E-2</v>
      </c>
      <c r="F40" s="57">
        <f>D40*E40*Assm!$F$79</f>
        <v>0</v>
      </c>
      <c r="G40" s="942" t="s">
        <v>1817</v>
      </c>
      <c r="H40" s="1495"/>
      <c r="I40" s="942"/>
      <c r="J40" s="943"/>
    </row>
    <row r="41" spans="1:10" ht="13.5" thickBot="1">
      <c r="A41" s="596"/>
      <c r="B41" s="597" t="str">
        <f>Assm!A86</f>
        <v>Total W/C Required (A)</v>
      </c>
      <c r="C41" s="643"/>
      <c r="D41" s="51">
        <f ca="1">SUM(D37:D40)</f>
        <v>0</v>
      </c>
      <c r="E41" s="644"/>
      <c r="F41" s="645">
        <f ca="1">SUM(F37:F40)</f>
        <v>0</v>
      </c>
      <c r="G41" s="944"/>
      <c r="H41" s="1496"/>
      <c r="I41" s="944"/>
      <c r="J41" s="945"/>
    </row>
    <row r="42" spans="1:10">
      <c r="C42" s="7"/>
      <c r="D42" s="7"/>
      <c r="E42" s="7"/>
      <c r="F42" s="7"/>
    </row>
  </sheetData>
  <printOptions horizontalCentered="1"/>
  <pageMargins left="0.25" right="0.25" top="0.5" bottom="0.5" header="0.25" footer="0.25"/>
  <pageSetup scale="61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B2:O298"/>
  <sheetViews>
    <sheetView zoomScale="80" workbookViewId="0">
      <selection activeCell="J40" sqref="J40"/>
    </sheetView>
  </sheetViews>
  <sheetFormatPr defaultRowHeight="12.75"/>
  <cols>
    <col min="1" max="1" width="10.28515625" style="1567" customWidth="1"/>
    <col min="2" max="2" width="27.140625" style="1567" bestFit="1" customWidth="1"/>
    <col min="3" max="3" width="11.28515625" style="1567" customWidth="1"/>
    <col min="4" max="5" width="10" style="1567" customWidth="1"/>
    <col min="6" max="6" width="10.7109375" style="1567" customWidth="1"/>
    <col min="7" max="7" width="12.7109375" style="1567" customWidth="1"/>
    <col min="8" max="8" width="10.42578125" style="1567" customWidth="1"/>
    <col min="9" max="9" width="13" style="1567" customWidth="1"/>
    <col min="10" max="16384" width="9.140625" style="1567"/>
  </cols>
  <sheetData>
    <row r="2" spans="2:9">
      <c r="B2" s="1654" t="s">
        <v>954</v>
      </c>
      <c r="C2" s="1655">
        <v>0</v>
      </c>
    </row>
    <row r="3" spans="2:9">
      <c r="B3" s="1654"/>
      <c r="C3" s="1657"/>
    </row>
    <row r="4" spans="2:9">
      <c r="B4" s="1654"/>
      <c r="C4" s="1657"/>
    </row>
    <row r="5" spans="2:9" s="1656" customFormat="1" ht="25.5">
      <c r="B5" s="1680"/>
      <c r="C5" s="1666" t="s">
        <v>955</v>
      </c>
      <c r="D5" s="1667" t="s">
        <v>956</v>
      </c>
      <c r="E5" s="1668" t="s">
        <v>968</v>
      </c>
      <c r="F5" s="1666" t="s">
        <v>1143</v>
      </c>
      <c r="G5" s="1667" t="s">
        <v>966</v>
      </c>
      <c r="H5" s="1676" t="s">
        <v>969</v>
      </c>
    </row>
    <row r="6" spans="2:9" s="1656" customFormat="1">
      <c r="B6" s="1681" t="s">
        <v>964</v>
      </c>
      <c r="C6" s="1669">
        <v>36284</v>
      </c>
      <c r="D6" s="743">
        <v>150</v>
      </c>
      <c r="E6" s="1670">
        <v>0.92</v>
      </c>
      <c r="F6" s="1669">
        <f ca="1">Startops1</f>
        <v>36251</v>
      </c>
      <c r="G6" s="743">
        <v>150</v>
      </c>
      <c r="H6" s="1677"/>
    </row>
    <row r="7" spans="2:9">
      <c r="B7" s="1682" t="s">
        <v>965</v>
      </c>
      <c r="C7" s="1669">
        <v>36647</v>
      </c>
      <c r="D7" s="1671">
        <v>300</v>
      </c>
      <c r="E7" s="1672">
        <v>0.92</v>
      </c>
      <c r="F7" s="1669">
        <f>Startops2</f>
        <v>36951</v>
      </c>
      <c r="G7" s="1671">
        <v>150</v>
      </c>
      <c r="H7" s="1677"/>
    </row>
    <row r="8" spans="2:9">
      <c r="B8" s="1682" t="s">
        <v>957</v>
      </c>
      <c r="C8" s="1669" t="s">
        <v>1561</v>
      </c>
      <c r="D8" s="1671" t="s">
        <v>1561</v>
      </c>
      <c r="E8" s="1672">
        <v>1</v>
      </c>
      <c r="F8" s="1669">
        <f>EDATE(F7,1)</f>
        <v>36982</v>
      </c>
      <c r="G8" s="1678">
        <f>Tariff!R14</f>
        <v>237.77937158469945</v>
      </c>
      <c r="H8" s="1677">
        <v>1</v>
      </c>
      <c r="I8" s="1567" t="s">
        <v>958</v>
      </c>
    </row>
    <row r="9" spans="2:9">
      <c r="B9" s="1683" t="s">
        <v>967</v>
      </c>
      <c r="C9" s="1673">
        <v>37012</v>
      </c>
      <c r="D9" s="1674">
        <v>480</v>
      </c>
      <c r="E9" s="1675">
        <v>0.92</v>
      </c>
      <c r="F9" s="1673">
        <f>Startops3</f>
        <v>37104</v>
      </c>
      <c r="G9" s="1674">
        <v>480</v>
      </c>
      <c r="H9" s="1679"/>
    </row>
    <row r="10" spans="2:9">
      <c r="C10" s="1663"/>
      <c r="I10" s="1658"/>
    </row>
    <row r="14" spans="2:9" s="1660" customFormat="1" ht="25.5">
      <c r="B14" s="1684" t="s">
        <v>959</v>
      </c>
      <c r="C14" s="1660" t="s">
        <v>962</v>
      </c>
      <c r="D14" s="1660" t="s">
        <v>963</v>
      </c>
      <c r="E14" s="1660" t="s">
        <v>961</v>
      </c>
      <c r="F14" s="1660" t="s">
        <v>960</v>
      </c>
      <c r="G14" s="1684" t="s">
        <v>134</v>
      </c>
      <c r="I14" s="1684"/>
    </row>
    <row r="15" spans="2:9">
      <c r="B15" s="1659">
        <v>36251</v>
      </c>
      <c r="C15" s="1567">
        <f t="shared" ref="C15:C78" si="0">IF(B15&lt;PPA_COD_PhII,$D$6,IF(B15&lt;$C$9,$D$7,$D$9))</f>
        <v>150</v>
      </c>
      <c r="D15" s="1567">
        <f t="shared" ref="D15:D78" si="1">IF(B15&lt;$F$8,$G$6,IF(B15&lt;$F$9,$G$8,$G$9))</f>
        <v>150</v>
      </c>
      <c r="E15" s="1661">
        <v>0.92</v>
      </c>
      <c r="F15" s="1664">
        <f t="shared" ref="F15:F78" si="2">IF(OR(B15&lt;$F$8,$F$9&lt;=B15),MIN($E$6,D15/C15),$H$8)</f>
        <v>0.92</v>
      </c>
      <c r="G15" s="1661">
        <v>0.92</v>
      </c>
      <c r="H15" s="1567" t="str">
        <f>IF(G15&gt;=$E$6," ","LDs")</f>
        <v xml:space="preserve"> </v>
      </c>
    </row>
    <row r="16" spans="2:9">
      <c r="B16" s="1659">
        <v>36281</v>
      </c>
      <c r="C16" s="1567">
        <f t="shared" si="0"/>
        <v>150</v>
      </c>
      <c r="D16" s="1567">
        <f t="shared" si="1"/>
        <v>150</v>
      </c>
      <c r="E16" s="1661">
        <v>0.92</v>
      </c>
      <c r="F16" s="1664">
        <f t="shared" si="2"/>
        <v>0.92</v>
      </c>
      <c r="G16" s="1661">
        <v>0.92</v>
      </c>
      <c r="H16" s="1567" t="str">
        <f t="shared" ref="H16:H79" si="3">IF(G16&gt;=$E$6," ","LDs")</f>
        <v xml:space="preserve"> </v>
      </c>
    </row>
    <row r="17" spans="2:15">
      <c r="B17" s="1659">
        <v>36312</v>
      </c>
      <c r="C17" s="1567">
        <f t="shared" si="0"/>
        <v>150</v>
      </c>
      <c r="D17" s="1567">
        <f t="shared" si="1"/>
        <v>150</v>
      </c>
      <c r="E17" s="1661">
        <v>0.92</v>
      </c>
      <c r="F17" s="1664">
        <f t="shared" si="2"/>
        <v>0.92</v>
      </c>
      <c r="G17" s="1661">
        <v>0.92</v>
      </c>
      <c r="H17" s="1567" t="str">
        <f t="shared" si="3"/>
        <v xml:space="preserve"> </v>
      </c>
    </row>
    <row r="18" spans="2:15">
      <c r="B18" s="1659">
        <v>36342</v>
      </c>
      <c r="C18" s="1567">
        <f t="shared" si="0"/>
        <v>150</v>
      </c>
      <c r="D18" s="1567">
        <f t="shared" si="1"/>
        <v>150</v>
      </c>
      <c r="E18" s="1661">
        <v>0.92</v>
      </c>
      <c r="F18" s="1664">
        <f t="shared" si="2"/>
        <v>0.92</v>
      </c>
      <c r="G18" s="1661">
        <v>0.92</v>
      </c>
      <c r="H18" s="1567" t="str">
        <f t="shared" si="3"/>
        <v xml:space="preserve"> </v>
      </c>
    </row>
    <row r="19" spans="2:15">
      <c r="B19" s="1659">
        <v>36373</v>
      </c>
      <c r="C19" s="1567">
        <f t="shared" si="0"/>
        <v>150</v>
      </c>
      <c r="D19" s="1567">
        <f t="shared" si="1"/>
        <v>150</v>
      </c>
      <c r="E19" s="1661">
        <v>0.92</v>
      </c>
      <c r="F19" s="1664">
        <f t="shared" si="2"/>
        <v>0.92</v>
      </c>
      <c r="G19" s="1661">
        <v>0.92</v>
      </c>
      <c r="H19" s="1567" t="str">
        <f t="shared" si="3"/>
        <v xml:space="preserve"> </v>
      </c>
    </row>
    <row r="20" spans="2:15">
      <c r="B20" s="1659">
        <v>36404</v>
      </c>
      <c r="C20" s="1567">
        <f t="shared" si="0"/>
        <v>150</v>
      </c>
      <c r="D20" s="1567">
        <f t="shared" si="1"/>
        <v>150</v>
      </c>
      <c r="E20" s="1661">
        <v>0.92</v>
      </c>
      <c r="F20" s="1664">
        <f t="shared" si="2"/>
        <v>0.92</v>
      </c>
      <c r="G20" s="1661">
        <v>0.92</v>
      </c>
      <c r="H20" s="1567" t="str">
        <f t="shared" si="3"/>
        <v xml:space="preserve"> </v>
      </c>
    </row>
    <row r="21" spans="2:15">
      <c r="B21" s="1659">
        <v>36434</v>
      </c>
      <c r="C21" s="1567">
        <f t="shared" si="0"/>
        <v>150</v>
      </c>
      <c r="D21" s="1567">
        <f t="shared" si="1"/>
        <v>150</v>
      </c>
      <c r="E21" s="1661">
        <v>0.92</v>
      </c>
      <c r="F21" s="1664">
        <f t="shared" si="2"/>
        <v>0.92</v>
      </c>
      <c r="G21" s="1661">
        <v>0.92</v>
      </c>
      <c r="H21" s="1567" t="str">
        <f t="shared" si="3"/>
        <v xml:space="preserve"> </v>
      </c>
    </row>
    <row r="22" spans="2:15">
      <c r="B22" s="1659">
        <v>36465</v>
      </c>
      <c r="C22" s="1567">
        <f t="shared" si="0"/>
        <v>150</v>
      </c>
      <c r="D22" s="1567">
        <f t="shared" si="1"/>
        <v>150</v>
      </c>
      <c r="E22" s="1661">
        <v>0.92</v>
      </c>
      <c r="F22" s="1664">
        <f t="shared" si="2"/>
        <v>0.92</v>
      </c>
      <c r="G22" s="1661">
        <v>0.92</v>
      </c>
      <c r="H22" s="1567" t="str">
        <f t="shared" si="3"/>
        <v xml:space="preserve"> </v>
      </c>
    </row>
    <row r="23" spans="2:15">
      <c r="B23" s="1659">
        <v>36495</v>
      </c>
      <c r="C23" s="1567">
        <f t="shared" si="0"/>
        <v>150</v>
      </c>
      <c r="D23" s="1567">
        <f t="shared" si="1"/>
        <v>150</v>
      </c>
      <c r="E23" s="1661">
        <v>0.92</v>
      </c>
      <c r="F23" s="1664">
        <f t="shared" si="2"/>
        <v>0.92</v>
      </c>
      <c r="G23" s="1661">
        <v>0.92</v>
      </c>
      <c r="H23" s="1567" t="str">
        <f t="shared" si="3"/>
        <v xml:space="preserve"> </v>
      </c>
    </row>
    <row r="24" spans="2:15">
      <c r="B24" s="1659">
        <v>36526</v>
      </c>
      <c r="C24" s="1567">
        <f t="shared" si="0"/>
        <v>150</v>
      </c>
      <c r="D24" s="1567">
        <f t="shared" si="1"/>
        <v>150</v>
      </c>
      <c r="E24" s="1661">
        <v>0.92</v>
      </c>
      <c r="F24" s="1664">
        <f t="shared" si="2"/>
        <v>0.92</v>
      </c>
      <c r="G24" s="1661">
        <v>0.92</v>
      </c>
      <c r="H24" s="1567" t="str">
        <f t="shared" si="3"/>
        <v xml:space="preserve"> </v>
      </c>
    </row>
    <row r="25" spans="2:15">
      <c r="B25" s="1659">
        <v>36557</v>
      </c>
      <c r="C25" s="1567">
        <f t="shared" si="0"/>
        <v>150</v>
      </c>
      <c r="D25" s="1567">
        <f t="shared" si="1"/>
        <v>150</v>
      </c>
      <c r="E25" s="1661">
        <v>0.92</v>
      </c>
      <c r="F25" s="1664">
        <f t="shared" si="2"/>
        <v>0.92</v>
      </c>
      <c r="G25" s="1661">
        <v>0.92</v>
      </c>
      <c r="H25" s="1567" t="str">
        <f t="shared" si="3"/>
        <v xml:space="preserve"> </v>
      </c>
    </row>
    <row r="26" spans="2:15">
      <c r="B26" s="1659">
        <v>36586</v>
      </c>
      <c r="C26" s="1567">
        <f t="shared" si="0"/>
        <v>150</v>
      </c>
      <c r="D26" s="1567">
        <f t="shared" si="1"/>
        <v>150</v>
      </c>
      <c r="E26" s="1661">
        <v>0.92</v>
      </c>
      <c r="F26" s="1664">
        <f t="shared" si="2"/>
        <v>0.92</v>
      </c>
      <c r="G26" s="1661">
        <v>0.92</v>
      </c>
      <c r="H26" s="1567" t="str">
        <f t="shared" si="3"/>
        <v xml:space="preserve"> </v>
      </c>
    </row>
    <row r="27" spans="2:15">
      <c r="B27" s="1659">
        <v>36617</v>
      </c>
      <c r="C27" s="1567">
        <f t="shared" si="0"/>
        <v>150</v>
      </c>
      <c r="D27" s="1567">
        <f t="shared" si="1"/>
        <v>150</v>
      </c>
      <c r="E27" s="1661">
        <v>0.92</v>
      </c>
      <c r="F27" s="1664">
        <f t="shared" si="2"/>
        <v>0.92</v>
      </c>
      <c r="G27" s="1661">
        <f>SUM(F15:F26)/12</f>
        <v>0.92</v>
      </c>
      <c r="H27" s="1567" t="str">
        <f t="shared" si="3"/>
        <v xml:space="preserve"> </v>
      </c>
    </row>
    <row r="28" spans="2:15">
      <c r="B28" s="1659">
        <v>36647</v>
      </c>
      <c r="C28" s="1567">
        <f t="shared" si="0"/>
        <v>300</v>
      </c>
      <c r="D28" s="1567">
        <f t="shared" si="1"/>
        <v>150</v>
      </c>
      <c r="E28" s="1661">
        <v>0.92</v>
      </c>
      <c r="F28" s="1664">
        <f t="shared" si="2"/>
        <v>0.5</v>
      </c>
      <c r="G28" s="1661">
        <f t="shared" ref="G28:G91" si="4">SUM(F16:F27)/12</f>
        <v>0.92</v>
      </c>
      <c r="H28" s="1567" t="str">
        <f t="shared" si="3"/>
        <v xml:space="preserve"> </v>
      </c>
    </row>
    <row r="29" spans="2:15">
      <c r="B29" s="1659">
        <v>36678</v>
      </c>
      <c r="C29" s="1567">
        <f t="shared" si="0"/>
        <v>300</v>
      </c>
      <c r="D29" s="1567">
        <f t="shared" si="1"/>
        <v>150</v>
      </c>
      <c r="E29" s="1661">
        <v>0.92</v>
      </c>
      <c r="F29" s="1664">
        <f t="shared" si="2"/>
        <v>0.5</v>
      </c>
      <c r="G29" s="1661">
        <f t="shared" si="4"/>
        <v>0.88500000000000012</v>
      </c>
      <c r="H29" s="1567" t="str">
        <f t="shared" si="3"/>
        <v>LDs</v>
      </c>
      <c r="O29" s="1662"/>
    </row>
    <row r="30" spans="2:15">
      <c r="B30" s="1659">
        <v>36708</v>
      </c>
      <c r="C30" s="1567">
        <f t="shared" si="0"/>
        <v>300</v>
      </c>
      <c r="D30" s="1567">
        <f t="shared" si="1"/>
        <v>150</v>
      </c>
      <c r="E30" s="1661">
        <v>0.92</v>
      </c>
      <c r="F30" s="1664">
        <f t="shared" si="2"/>
        <v>0.5</v>
      </c>
      <c r="G30" s="1661">
        <f t="shared" si="4"/>
        <v>0.85000000000000009</v>
      </c>
      <c r="H30" s="1567" t="str">
        <f t="shared" si="3"/>
        <v>LDs</v>
      </c>
    </row>
    <row r="31" spans="2:15">
      <c r="B31" s="1659">
        <v>36739</v>
      </c>
      <c r="C31" s="1567">
        <f t="shared" si="0"/>
        <v>300</v>
      </c>
      <c r="D31" s="1567">
        <f t="shared" si="1"/>
        <v>150</v>
      </c>
      <c r="E31" s="1661">
        <v>0.92</v>
      </c>
      <c r="F31" s="1664">
        <f t="shared" si="2"/>
        <v>0.5</v>
      </c>
      <c r="G31" s="1661">
        <f t="shared" si="4"/>
        <v>0.81500000000000006</v>
      </c>
      <c r="H31" s="1567" t="str">
        <f t="shared" si="3"/>
        <v>LDs</v>
      </c>
    </row>
    <row r="32" spans="2:15">
      <c r="B32" s="1659">
        <v>36770</v>
      </c>
      <c r="C32" s="1567">
        <f t="shared" si="0"/>
        <v>300</v>
      </c>
      <c r="D32" s="1567">
        <f t="shared" si="1"/>
        <v>150</v>
      </c>
      <c r="E32" s="1661">
        <v>0.92</v>
      </c>
      <c r="F32" s="1664">
        <f t="shared" si="2"/>
        <v>0.5</v>
      </c>
      <c r="G32" s="1661">
        <f t="shared" si="4"/>
        <v>0.77999999999999992</v>
      </c>
      <c r="H32" s="1567" t="str">
        <f t="shared" si="3"/>
        <v>LDs</v>
      </c>
    </row>
    <row r="33" spans="2:8">
      <c r="B33" s="1659">
        <v>36800</v>
      </c>
      <c r="C33" s="1567">
        <f t="shared" si="0"/>
        <v>300</v>
      </c>
      <c r="D33" s="1567">
        <f t="shared" si="1"/>
        <v>150</v>
      </c>
      <c r="E33" s="1661">
        <v>0.92</v>
      </c>
      <c r="F33" s="1664">
        <f t="shared" si="2"/>
        <v>0.5</v>
      </c>
      <c r="G33" s="1661">
        <f t="shared" si="4"/>
        <v>0.74500000000000011</v>
      </c>
      <c r="H33" s="1567" t="str">
        <f t="shared" si="3"/>
        <v>LDs</v>
      </c>
    </row>
    <row r="34" spans="2:8">
      <c r="B34" s="1659">
        <v>36831</v>
      </c>
      <c r="C34" s="1567">
        <f t="shared" si="0"/>
        <v>300</v>
      </c>
      <c r="D34" s="1567">
        <f t="shared" si="1"/>
        <v>150</v>
      </c>
      <c r="E34" s="1661">
        <v>0.92</v>
      </c>
      <c r="F34" s="1664">
        <f t="shared" si="2"/>
        <v>0.5</v>
      </c>
      <c r="G34" s="1661">
        <f t="shared" si="4"/>
        <v>0.71</v>
      </c>
      <c r="H34" s="1567" t="str">
        <f t="shared" si="3"/>
        <v>LDs</v>
      </c>
    </row>
    <row r="35" spans="2:8">
      <c r="B35" s="1659">
        <v>36861</v>
      </c>
      <c r="C35" s="1567">
        <f t="shared" si="0"/>
        <v>300</v>
      </c>
      <c r="D35" s="1567">
        <f t="shared" si="1"/>
        <v>150</v>
      </c>
      <c r="E35" s="1661">
        <v>0.92</v>
      </c>
      <c r="F35" s="1664">
        <f t="shared" si="2"/>
        <v>0.5</v>
      </c>
      <c r="G35" s="1661">
        <f t="shared" si="4"/>
        <v>0.67500000000000016</v>
      </c>
      <c r="H35" s="1567" t="str">
        <f t="shared" si="3"/>
        <v>LDs</v>
      </c>
    </row>
    <row r="36" spans="2:8">
      <c r="B36" s="1659">
        <v>36892</v>
      </c>
      <c r="C36" s="1567">
        <f t="shared" si="0"/>
        <v>300</v>
      </c>
      <c r="D36" s="1567">
        <f t="shared" si="1"/>
        <v>150</v>
      </c>
      <c r="E36" s="1661">
        <v>0.92</v>
      </c>
      <c r="F36" s="1664">
        <f t="shared" si="2"/>
        <v>0.5</v>
      </c>
      <c r="G36" s="1661">
        <f t="shared" si="4"/>
        <v>0.64</v>
      </c>
      <c r="H36" s="1567" t="str">
        <f t="shared" si="3"/>
        <v>LDs</v>
      </c>
    </row>
    <row r="37" spans="2:8">
      <c r="B37" s="1659">
        <v>36923</v>
      </c>
      <c r="C37" s="1567">
        <f t="shared" si="0"/>
        <v>300</v>
      </c>
      <c r="D37" s="1567">
        <f t="shared" si="1"/>
        <v>150</v>
      </c>
      <c r="E37" s="1661">
        <v>0.92</v>
      </c>
      <c r="F37" s="1664">
        <f t="shared" si="2"/>
        <v>0.5</v>
      </c>
      <c r="G37" s="1661">
        <f t="shared" si="4"/>
        <v>0.60499999999999998</v>
      </c>
      <c r="H37" s="1567" t="str">
        <f t="shared" si="3"/>
        <v>LDs</v>
      </c>
    </row>
    <row r="38" spans="2:8">
      <c r="B38" s="1659">
        <v>36951</v>
      </c>
      <c r="C38" s="1567">
        <f t="shared" si="0"/>
        <v>300</v>
      </c>
      <c r="D38" s="1567">
        <f t="shared" si="1"/>
        <v>150</v>
      </c>
      <c r="E38" s="1661">
        <v>0.92</v>
      </c>
      <c r="F38" s="1664">
        <f t="shared" si="2"/>
        <v>0.5</v>
      </c>
      <c r="G38" s="1661">
        <f t="shared" si="4"/>
        <v>0.56999999999999995</v>
      </c>
      <c r="H38" s="1567" t="str">
        <f t="shared" si="3"/>
        <v>LDs</v>
      </c>
    </row>
    <row r="39" spans="2:8">
      <c r="B39" s="1659">
        <v>36982</v>
      </c>
      <c r="C39" s="1567">
        <f t="shared" si="0"/>
        <v>300</v>
      </c>
      <c r="D39" s="1665">
        <f t="shared" si="1"/>
        <v>237.77937158469945</v>
      </c>
      <c r="E39" s="1661">
        <v>0.92</v>
      </c>
      <c r="F39" s="1664">
        <f t="shared" si="2"/>
        <v>1</v>
      </c>
      <c r="G39" s="1661">
        <f t="shared" si="4"/>
        <v>0.53500000000000003</v>
      </c>
      <c r="H39" s="1567" t="str">
        <f t="shared" si="3"/>
        <v>LDs</v>
      </c>
    </row>
    <row r="40" spans="2:8">
      <c r="B40" s="1659">
        <v>37012</v>
      </c>
      <c r="C40" s="1567">
        <f t="shared" si="0"/>
        <v>480</v>
      </c>
      <c r="D40" s="1665">
        <f t="shared" si="1"/>
        <v>237.77937158469945</v>
      </c>
      <c r="E40" s="1661">
        <v>0.92</v>
      </c>
      <c r="F40" s="1664">
        <f t="shared" si="2"/>
        <v>1</v>
      </c>
      <c r="G40" s="1661">
        <f t="shared" si="4"/>
        <v>0.54166666666666663</v>
      </c>
      <c r="H40" s="1567" t="str">
        <f t="shared" si="3"/>
        <v>LDs</v>
      </c>
    </row>
    <row r="41" spans="2:8">
      <c r="B41" s="1659">
        <v>37043</v>
      </c>
      <c r="C41" s="1567">
        <f t="shared" si="0"/>
        <v>480</v>
      </c>
      <c r="D41" s="1665">
        <f t="shared" si="1"/>
        <v>237.77937158469945</v>
      </c>
      <c r="E41" s="1661">
        <v>0.92</v>
      </c>
      <c r="F41" s="1664">
        <f t="shared" si="2"/>
        <v>1</v>
      </c>
      <c r="G41" s="1661">
        <f t="shared" si="4"/>
        <v>0.58333333333333337</v>
      </c>
      <c r="H41" s="1567" t="str">
        <f t="shared" si="3"/>
        <v>LDs</v>
      </c>
    </row>
    <row r="42" spans="2:8">
      <c r="B42" s="1659">
        <v>37073</v>
      </c>
      <c r="C42" s="1567">
        <f t="shared" si="0"/>
        <v>480</v>
      </c>
      <c r="D42" s="1665">
        <f t="shared" si="1"/>
        <v>237.77937158469945</v>
      </c>
      <c r="E42" s="1661">
        <v>0.92</v>
      </c>
      <c r="F42" s="1664">
        <f t="shared" si="2"/>
        <v>1</v>
      </c>
      <c r="G42" s="1661">
        <f t="shared" si="4"/>
        <v>0.625</v>
      </c>
      <c r="H42" s="1567" t="str">
        <f t="shared" si="3"/>
        <v>LDs</v>
      </c>
    </row>
    <row r="43" spans="2:8">
      <c r="B43" s="1659">
        <v>37104</v>
      </c>
      <c r="C43" s="1567">
        <f t="shared" si="0"/>
        <v>480</v>
      </c>
      <c r="D43" s="1567">
        <f t="shared" si="1"/>
        <v>480</v>
      </c>
      <c r="E43" s="1661">
        <v>0.92</v>
      </c>
      <c r="F43" s="1664">
        <f t="shared" si="2"/>
        <v>0.92</v>
      </c>
      <c r="G43" s="1661">
        <f t="shared" si="4"/>
        <v>0.66666666666666663</v>
      </c>
      <c r="H43" s="1567" t="str">
        <f t="shared" si="3"/>
        <v>LDs</v>
      </c>
    </row>
    <row r="44" spans="2:8">
      <c r="B44" s="1659">
        <v>37135</v>
      </c>
      <c r="C44" s="1567">
        <f t="shared" si="0"/>
        <v>480</v>
      </c>
      <c r="D44" s="1567">
        <f t="shared" si="1"/>
        <v>480</v>
      </c>
      <c r="E44" s="1661">
        <v>0.92</v>
      </c>
      <c r="F44" s="1664">
        <f t="shared" si="2"/>
        <v>0.92</v>
      </c>
      <c r="G44" s="1661">
        <f t="shared" si="4"/>
        <v>0.70166666666666666</v>
      </c>
      <c r="H44" s="1567" t="str">
        <f t="shared" si="3"/>
        <v>LDs</v>
      </c>
    </row>
    <row r="45" spans="2:8">
      <c r="B45" s="1659">
        <v>37165</v>
      </c>
      <c r="C45" s="1567">
        <f t="shared" si="0"/>
        <v>480</v>
      </c>
      <c r="D45" s="1662">
        <f t="shared" si="1"/>
        <v>480</v>
      </c>
      <c r="E45" s="1661">
        <v>0.92</v>
      </c>
      <c r="F45" s="1664">
        <f t="shared" si="2"/>
        <v>0.92</v>
      </c>
      <c r="G45" s="1661">
        <f t="shared" si="4"/>
        <v>0.73666666666666669</v>
      </c>
      <c r="H45" s="1567" t="str">
        <f t="shared" si="3"/>
        <v>LDs</v>
      </c>
    </row>
    <row r="46" spans="2:8">
      <c r="B46" s="1659">
        <v>37196</v>
      </c>
      <c r="C46" s="1567">
        <f t="shared" si="0"/>
        <v>480</v>
      </c>
      <c r="D46" s="1662">
        <f t="shared" si="1"/>
        <v>480</v>
      </c>
      <c r="E46" s="1661">
        <v>0.92</v>
      </c>
      <c r="F46" s="1664">
        <f t="shared" si="2"/>
        <v>0.92</v>
      </c>
      <c r="G46" s="1661">
        <f t="shared" si="4"/>
        <v>0.77166666666666661</v>
      </c>
      <c r="H46" s="1567" t="str">
        <f t="shared" si="3"/>
        <v>LDs</v>
      </c>
    </row>
    <row r="47" spans="2:8">
      <c r="B47" s="1659">
        <v>37226</v>
      </c>
      <c r="C47" s="1567">
        <f t="shared" si="0"/>
        <v>480</v>
      </c>
      <c r="D47" s="1662">
        <f t="shared" si="1"/>
        <v>480</v>
      </c>
      <c r="E47" s="1661">
        <v>0.92</v>
      </c>
      <c r="F47" s="1664">
        <f t="shared" si="2"/>
        <v>0.92</v>
      </c>
      <c r="G47" s="1661">
        <f t="shared" si="4"/>
        <v>0.80666666666666664</v>
      </c>
      <c r="H47" s="1567" t="str">
        <f t="shared" si="3"/>
        <v>LDs</v>
      </c>
    </row>
    <row r="48" spans="2:8">
      <c r="B48" s="1659">
        <v>37257</v>
      </c>
      <c r="C48" s="1567">
        <f t="shared" si="0"/>
        <v>480</v>
      </c>
      <c r="D48" s="1662">
        <f t="shared" si="1"/>
        <v>480</v>
      </c>
      <c r="E48" s="1661">
        <v>0.92</v>
      </c>
      <c r="F48" s="1664">
        <f t="shared" si="2"/>
        <v>0.92</v>
      </c>
      <c r="G48" s="1661">
        <f t="shared" si="4"/>
        <v>0.84166666666666667</v>
      </c>
      <c r="H48" s="1567" t="str">
        <f t="shared" si="3"/>
        <v>LDs</v>
      </c>
    </row>
    <row r="49" spans="2:8">
      <c r="B49" s="1659">
        <v>37288</v>
      </c>
      <c r="C49" s="1567">
        <f t="shared" si="0"/>
        <v>480</v>
      </c>
      <c r="D49" s="1567">
        <f t="shared" si="1"/>
        <v>480</v>
      </c>
      <c r="E49" s="1661">
        <v>0.92</v>
      </c>
      <c r="F49" s="1664">
        <f t="shared" si="2"/>
        <v>0.92</v>
      </c>
      <c r="G49" s="1661">
        <f t="shared" si="4"/>
        <v>0.87666666666666659</v>
      </c>
      <c r="H49" s="1567" t="str">
        <f t="shared" si="3"/>
        <v>LDs</v>
      </c>
    </row>
    <row r="50" spans="2:8">
      <c r="B50" s="1659">
        <v>37316</v>
      </c>
      <c r="C50" s="1567">
        <f t="shared" si="0"/>
        <v>480</v>
      </c>
      <c r="D50" s="1567">
        <f t="shared" si="1"/>
        <v>480</v>
      </c>
      <c r="E50" s="1661">
        <v>0.92</v>
      </c>
      <c r="F50" s="1664">
        <f t="shared" si="2"/>
        <v>0.92</v>
      </c>
      <c r="G50" s="1661">
        <f t="shared" si="4"/>
        <v>0.91166666666666663</v>
      </c>
      <c r="H50" s="1567" t="str">
        <f t="shared" si="3"/>
        <v>LDs</v>
      </c>
    </row>
    <row r="51" spans="2:8">
      <c r="B51" s="1659">
        <v>37347</v>
      </c>
      <c r="C51" s="1567">
        <f t="shared" si="0"/>
        <v>480</v>
      </c>
      <c r="D51" s="1567">
        <f t="shared" si="1"/>
        <v>480</v>
      </c>
      <c r="E51" s="1661">
        <v>0.92</v>
      </c>
      <c r="F51" s="1664">
        <f t="shared" si="2"/>
        <v>0.92</v>
      </c>
      <c r="G51" s="1661">
        <f t="shared" si="4"/>
        <v>0.94666666666666666</v>
      </c>
      <c r="H51" s="1567" t="str">
        <f t="shared" si="3"/>
        <v xml:space="preserve"> </v>
      </c>
    </row>
    <row r="52" spans="2:8">
      <c r="B52" s="1659">
        <v>37377</v>
      </c>
      <c r="C52" s="1567">
        <f t="shared" si="0"/>
        <v>480</v>
      </c>
      <c r="D52" s="1567">
        <f t="shared" si="1"/>
        <v>480</v>
      </c>
      <c r="E52" s="1661">
        <v>0.92</v>
      </c>
      <c r="F52" s="1664">
        <f t="shared" si="2"/>
        <v>0.92</v>
      </c>
      <c r="G52" s="1661">
        <f t="shared" si="4"/>
        <v>0.94</v>
      </c>
      <c r="H52" s="1567" t="str">
        <f t="shared" si="3"/>
        <v xml:space="preserve"> </v>
      </c>
    </row>
    <row r="53" spans="2:8">
      <c r="B53" s="1659">
        <v>37408</v>
      </c>
      <c r="C53" s="1567">
        <f t="shared" si="0"/>
        <v>480</v>
      </c>
      <c r="D53" s="1567">
        <f t="shared" si="1"/>
        <v>480</v>
      </c>
      <c r="E53" s="1661">
        <v>0.92</v>
      </c>
      <c r="F53" s="1664">
        <f t="shared" si="2"/>
        <v>0.92</v>
      </c>
      <c r="G53" s="1661">
        <f t="shared" si="4"/>
        <v>0.93333333333333324</v>
      </c>
      <c r="H53" s="1567" t="str">
        <f t="shared" si="3"/>
        <v xml:space="preserve"> </v>
      </c>
    </row>
    <row r="54" spans="2:8">
      <c r="B54" s="1659">
        <v>37438</v>
      </c>
      <c r="C54" s="1567">
        <f t="shared" si="0"/>
        <v>480</v>
      </c>
      <c r="D54" s="1567">
        <f t="shared" si="1"/>
        <v>480</v>
      </c>
      <c r="E54" s="1661">
        <v>0.92</v>
      </c>
      <c r="F54" s="1664">
        <f t="shared" si="2"/>
        <v>0.92</v>
      </c>
      <c r="G54" s="1661">
        <f t="shared" si="4"/>
        <v>0.92666666666666664</v>
      </c>
      <c r="H54" s="1567" t="str">
        <f t="shared" si="3"/>
        <v xml:space="preserve"> </v>
      </c>
    </row>
    <row r="55" spans="2:8">
      <c r="B55" s="1659">
        <v>37469</v>
      </c>
      <c r="C55" s="1567">
        <f t="shared" si="0"/>
        <v>480</v>
      </c>
      <c r="D55" s="1567">
        <f t="shared" si="1"/>
        <v>480</v>
      </c>
      <c r="E55" s="1661">
        <v>0.92</v>
      </c>
      <c r="F55" s="1664">
        <f t="shared" si="2"/>
        <v>0.92</v>
      </c>
      <c r="G55" s="1661">
        <f t="shared" si="4"/>
        <v>0.92</v>
      </c>
      <c r="H55" s="1567" t="str">
        <f t="shared" si="3"/>
        <v xml:space="preserve"> </v>
      </c>
    </row>
    <row r="56" spans="2:8">
      <c r="B56" s="1659">
        <v>37500</v>
      </c>
      <c r="C56" s="1567">
        <f t="shared" si="0"/>
        <v>480</v>
      </c>
      <c r="D56" s="1567">
        <f t="shared" si="1"/>
        <v>480</v>
      </c>
      <c r="E56" s="1661">
        <v>0.92</v>
      </c>
      <c r="F56" s="1664">
        <f t="shared" si="2"/>
        <v>0.92</v>
      </c>
      <c r="G56" s="1661">
        <f t="shared" si="4"/>
        <v>0.92</v>
      </c>
      <c r="H56" s="1567" t="str">
        <f t="shared" si="3"/>
        <v xml:space="preserve"> </v>
      </c>
    </row>
    <row r="57" spans="2:8">
      <c r="B57" s="1659">
        <v>37530</v>
      </c>
      <c r="C57" s="1567">
        <f t="shared" si="0"/>
        <v>480</v>
      </c>
      <c r="D57" s="1567">
        <f t="shared" si="1"/>
        <v>480</v>
      </c>
      <c r="E57" s="1661">
        <v>0.92</v>
      </c>
      <c r="F57" s="1664">
        <f t="shared" si="2"/>
        <v>0.92</v>
      </c>
      <c r="G57" s="1661">
        <f t="shared" si="4"/>
        <v>0.92</v>
      </c>
      <c r="H57" s="1567" t="str">
        <f t="shared" si="3"/>
        <v xml:space="preserve"> </v>
      </c>
    </row>
    <row r="58" spans="2:8">
      <c r="B58" s="1659">
        <v>37561</v>
      </c>
      <c r="C58" s="1567">
        <f t="shared" si="0"/>
        <v>480</v>
      </c>
      <c r="D58" s="1567">
        <f t="shared" si="1"/>
        <v>480</v>
      </c>
      <c r="E58" s="1661">
        <v>0.92</v>
      </c>
      <c r="F58" s="1664">
        <f t="shared" si="2"/>
        <v>0.92</v>
      </c>
      <c r="G58" s="1661">
        <f t="shared" si="4"/>
        <v>0.92</v>
      </c>
      <c r="H58" s="1567" t="str">
        <f t="shared" si="3"/>
        <v xml:space="preserve"> </v>
      </c>
    </row>
    <row r="59" spans="2:8">
      <c r="B59" s="1659">
        <v>37591</v>
      </c>
      <c r="C59" s="1567">
        <f t="shared" si="0"/>
        <v>480</v>
      </c>
      <c r="D59" s="1567">
        <f t="shared" si="1"/>
        <v>480</v>
      </c>
      <c r="E59" s="1661">
        <v>0.92</v>
      </c>
      <c r="F59" s="1664">
        <f t="shared" si="2"/>
        <v>0.92</v>
      </c>
      <c r="G59" s="1661">
        <f t="shared" si="4"/>
        <v>0.92</v>
      </c>
      <c r="H59" s="1567" t="str">
        <f t="shared" si="3"/>
        <v xml:space="preserve"> </v>
      </c>
    </row>
    <row r="60" spans="2:8">
      <c r="B60" s="1659">
        <v>37622</v>
      </c>
      <c r="C60" s="1567">
        <f t="shared" si="0"/>
        <v>480</v>
      </c>
      <c r="D60" s="1567">
        <f t="shared" si="1"/>
        <v>480</v>
      </c>
      <c r="E60" s="1661">
        <v>0.92</v>
      </c>
      <c r="F60" s="1664">
        <f t="shared" si="2"/>
        <v>0.92</v>
      </c>
      <c r="G60" s="1661">
        <f t="shared" si="4"/>
        <v>0.92</v>
      </c>
      <c r="H60" s="1567" t="str">
        <f t="shared" si="3"/>
        <v xml:space="preserve"> </v>
      </c>
    </row>
    <row r="61" spans="2:8">
      <c r="B61" s="1659">
        <v>37653</v>
      </c>
      <c r="C61" s="1567">
        <f t="shared" si="0"/>
        <v>480</v>
      </c>
      <c r="D61" s="1567">
        <f t="shared" si="1"/>
        <v>480</v>
      </c>
      <c r="E61" s="1661">
        <v>0.92</v>
      </c>
      <c r="F61" s="1664">
        <f t="shared" si="2"/>
        <v>0.92</v>
      </c>
      <c r="G61" s="1661">
        <f t="shared" si="4"/>
        <v>0.92</v>
      </c>
      <c r="H61" s="1567" t="str">
        <f t="shared" si="3"/>
        <v xml:space="preserve"> </v>
      </c>
    </row>
    <row r="62" spans="2:8">
      <c r="B62" s="1659">
        <v>37681</v>
      </c>
      <c r="C62" s="1567">
        <f t="shared" si="0"/>
        <v>480</v>
      </c>
      <c r="D62" s="1567">
        <f t="shared" si="1"/>
        <v>480</v>
      </c>
      <c r="E62" s="1661">
        <v>0.92</v>
      </c>
      <c r="F62" s="1664">
        <f t="shared" si="2"/>
        <v>0.92</v>
      </c>
      <c r="G62" s="1661">
        <f t="shared" si="4"/>
        <v>0.92</v>
      </c>
      <c r="H62" s="1567" t="str">
        <f t="shared" si="3"/>
        <v xml:space="preserve"> </v>
      </c>
    </row>
    <row r="63" spans="2:8">
      <c r="B63" s="1659">
        <v>37712</v>
      </c>
      <c r="C63" s="1567">
        <f t="shared" si="0"/>
        <v>480</v>
      </c>
      <c r="D63" s="1567">
        <f t="shared" si="1"/>
        <v>480</v>
      </c>
      <c r="E63" s="1661">
        <v>0.92</v>
      </c>
      <c r="F63" s="1664">
        <f t="shared" si="2"/>
        <v>0.92</v>
      </c>
      <c r="G63" s="1661">
        <f t="shared" si="4"/>
        <v>0.92</v>
      </c>
      <c r="H63" s="1567" t="str">
        <f t="shared" si="3"/>
        <v xml:space="preserve"> </v>
      </c>
    </row>
    <row r="64" spans="2:8">
      <c r="B64" s="1659">
        <v>37742</v>
      </c>
      <c r="C64" s="1567">
        <f t="shared" si="0"/>
        <v>480</v>
      </c>
      <c r="D64" s="1567">
        <f t="shared" si="1"/>
        <v>480</v>
      </c>
      <c r="E64" s="1661">
        <v>0.92</v>
      </c>
      <c r="F64" s="1664">
        <f t="shared" si="2"/>
        <v>0.92</v>
      </c>
      <c r="G64" s="1661">
        <f t="shared" si="4"/>
        <v>0.92</v>
      </c>
      <c r="H64" s="1567" t="str">
        <f t="shared" si="3"/>
        <v xml:space="preserve"> </v>
      </c>
    </row>
    <row r="65" spans="2:8">
      <c r="B65" s="1659">
        <v>37773</v>
      </c>
      <c r="C65" s="1567">
        <f t="shared" si="0"/>
        <v>480</v>
      </c>
      <c r="D65" s="1567">
        <f t="shared" si="1"/>
        <v>480</v>
      </c>
      <c r="E65" s="1661">
        <v>0.92</v>
      </c>
      <c r="F65" s="1664">
        <f t="shared" si="2"/>
        <v>0.92</v>
      </c>
      <c r="G65" s="1661">
        <f t="shared" si="4"/>
        <v>0.92</v>
      </c>
      <c r="H65" s="1567" t="str">
        <f t="shared" si="3"/>
        <v xml:space="preserve"> </v>
      </c>
    </row>
    <row r="66" spans="2:8">
      <c r="B66" s="1659">
        <v>37803</v>
      </c>
      <c r="C66" s="1567">
        <f t="shared" si="0"/>
        <v>480</v>
      </c>
      <c r="D66" s="1567">
        <f t="shared" si="1"/>
        <v>480</v>
      </c>
      <c r="E66" s="1661">
        <v>0.92</v>
      </c>
      <c r="F66" s="1664">
        <f t="shared" si="2"/>
        <v>0.92</v>
      </c>
      <c r="G66" s="1661">
        <f t="shared" si="4"/>
        <v>0.92</v>
      </c>
      <c r="H66" s="1567" t="str">
        <f t="shared" si="3"/>
        <v xml:space="preserve"> </v>
      </c>
    </row>
    <row r="67" spans="2:8">
      <c r="B67" s="1659">
        <v>37834</v>
      </c>
      <c r="C67" s="1567">
        <f t="shared" si="0"/>
        <v>480</v>
      </c>
      <c r="D67" s="1567">
        <f t="shared" si="1"/>
        <v>480</v>
      </c>
      <c r="E67" s="1661">
        <v>0.92</v>
      </c>
      <c r="F67" s="1664">
        <f t="shared" si="2"/>
        <v>0.92</v>
      </c>
      <c r="G67" s="1661">
        <f t="shared" si="4"/>
        <v>0.92</v>
      </c>
      <c r="H67" s="1567" t="str">
        <f t="shared" si="3"/>
        <v xml:space="preserve"> </v>
      </c>
    </row>
    <row r="68" spans="2:8">
      <c r="B68" s="1659">
        <v>37865</v>
      </c>
      <c r="C68" s="1567">
        <f t="shared" si="0"/>
        <v>480</v>
      </c>
      <c r="D68" s="1567">
        <f t="shared" si="1"/>
        <v>480</v>
      </c>
      <c r="E68" s="1661">
        <v>0.92</v>
      </c>
      <c r="F68" s="1664">
        <f t="shared" si="2"/>
        <v>0.92</v>
      </c>
      <c r="G68" s="1661">
        <f t="shared" si="4"/>
        <v>0.92</v>
      </c>
      <c r="H68" s="1567" t="str">
        <f t="shared" si="3"/>
        <v xml:space="preserve"> </v>
      </c>
    </row>
    <row r="69" spans="2:8">
      <c r="B69" s="1659">
        <v>37895</v>
      </c>
      <c r="C69" s="1567">
        <f t="shared" si="0"/>
        <v>480</v>
      </c>
      <c r="D69" s="1567">
        <f t="shared" si="1"/>
        <v>480</v>
      </c>
      <c r="E69" s="1661">
        <v>0.92</v>
      </c>
      <c r="F69" s="1664">
        <f t="shared" si="2"/>
        <v>0.92</v>
      </c>
      <c r="G69" s="1661">
        <f t="shared" si="4"/>
        <v>0.92</v>
      </c>
      <c r="H69" s="1567" t="str">
        <f t="shared" si="3"/>
        <v xml:space="preserve"> </v>
      </c>
    </row>
    <row r="70" spans="2:8">
      <c r="B70" s="1659">
        <v>37926</v>
      </c>
      <c r="C70" s="1567">
        <f t="shared" si="0"/>
        <v>480</v>
      </c>
      <c r="D70" s="1567">
        <f t="shared" si="1"/>
        <v>480</v>
      </c>
      <c r="E70" s="1661">
        <v>0.92</v>
      </c>
      <c r="F70" s="1664">
        <f t="shared" si="2"/>
        <v>0.92</v>
      </c>
      <c r="G70" s="1661">
        <f t="shared" si="4"/>
        <v>0.92</v>
      </c>
      <c r="H70" s="1567" t="str">
        <f t="shared" si="3"/>
        <v xml:space="preserve"> </v>
      </c>
    </row>
    <row r="71" spans="2:8">
      <c r="B71" s="1659">
        <v>37956</v>
      </c>
      <c r="C71" s="1567">
        <f t="shared" si="0"/>
        <v>480</v>
      </c>
      <c r="D71" s="1567">
        <f t="shared" si="1"/>
        <v>480</v>
      </c>
      <c r="E71" s="1661">
        <v>0.92</v>
      </c>
      <c r="F71" s="1664">
        <f t="shared" si="2"/>
        <v>0.92</v>
      </c>
      <c r="G71" s="1661">
        <f t="shared" si="4"/>
        <v>0.92</v>
      </c>
      <c r="H71" s="1567" t="str">
        <f t="shared" si="3"/>
        <v xml:space="preserve"> </v>
      </c>
    </row>
    <row r="72" spans="2:8">
      <c r="B72" s="1659">
        <v>37987</v>
      </c>
      <c r="C72" s="1567">
        <f t="shared" si="0"/>
        <v>480</v>
      </c>
      <c r="D72" s="1567">
        <f t="shared" si="1"/>
        <v>480</v>
      </c>
      <c r="E72" s="1661">
        <v>0.92</v>
      </c>
      <c r="F72" s="1664">
        <f t="shared" si="2"/>
        <v>0.92</v>
      </c>
      <c r="G72" s="1661">
        <f t="shared" si="4"/>
        <v>0.92</v>
      </c>
      <c r="H72" s="1567" t="str">
        <f t="shared" si="3"/>
        <v xml:space="preserve"> </v>
      </c>
    </row>
    <row r="73" spans="2:8">
      <c r="B73" s="1659">
        <v>38018</v>
      </c>
      <c r="C73" s="1567">
        <f t="shared" si="0"/>
        <v>480</v>
      </c>
      <c r="D73" s="1567">
        <f t="shared" si="1"/>
        <v>480</v>
      </c>
      <c r="E73" s="1661">
        <v>0.92</v>
      </c>
      <c r="F73" s="1664">
        <f t="shared" si="2"/>
        <v>0.92</v>
      </c>
      <c r="G73" s="1661">
        <f t="shared" si="4"/>
        <v>0.92</v>
      </c>
      <c r="H73" s="1567" t="str">
        <f t="shared" si="3"/>
        <v xml:space="preserve"> </v>
      </c>
    </row>
    <row r="74" spans="2:8">
      <c r="B74" s="1659">
        <v>38047</v>
      </c>
      <c r="C74" s="1567">
        <f t="shared" si="0"/>
        <v>480</v>
      </c>
      <c r="D74" s="1567">
        <f t="shared" si="1"/>
        <v>480</v>
      </c>
      <c r="E74" s="1661">
        <v>0.92</v>
      </c>
      <c r="F74" s="1664">
        <f t="shared" si="2"/>
        <v>0.92</v>
      </c>
      <c r="G74" s="1661">
        <f t="shared" si="4"/>
        <v>0.92</v>
      </c>
      <c r="H74" s="1567" t="str">
        <f t="shared" si="3"/>
        <v xml:space="preserve"> </v>
      </c>
    </row>
    <row r="75" spans="2:8">
      <c r="B75" s="1659">
        <v>38078</v>
      </c>
      <c r="C75" s="1567">
        <f t="shared" si="0"/>
        <v>480</v>
      </c>
      <c r="D75" s="1567">
        <f t="shared" si="1"/>
        <v>480</v>
      </c>
      <c r="E75" s="1661">
        <v>0.92</v>
      </c>
      <c r="F75" s="1664">
        <f t="shared" si="2"/>
        <v>0.92</v>
      </c>
      <c r="G75" s="1661">
        <f t="shared" si="4"/>
        <v>0.92</v>
      </c>
      <c r="H75" s="1567" t="str">
        <f t="shared" si="3"/>
        <v xml:space="preserve"> </v>
      </c>
    </row>
    <row r="76" spans="2:8">
      <c r="B76" s="1659">
        <v>38108</v>
      </c>
      <c r="C76" s="1567">
        <f t="shared" si="0"/>
        <v>480</v>
      </c>
      <c r="D76" s="1567">
        <f t="shared" si="1"/>
        <v>480</v>
      </c>
      <c r="E76" s="1661">
        <v>0.92</v>
      </c>
      <c r="F76" s="1664">
        <f t="shared" si="2"/>
        <v>0.92</v>
      </c>
      <c r="G76" s="1661">
        <f t="shared" si="4"/>
        <v>0.92</v>
      </c>
      <c r="H76" s="1567" t="str">
        <f t="shared" si="3"/>
        <v xml:space="preserve"> </v>
      </c>
    </row>
    <row r="77" spans="2:8">
      <c r="B77" s="1659">
        <v>38139</v>
      </c>
      <c r="C77" s="1567">
        <f t="shared" si="0"/>
        <v>480</v>
      </c>
      <c r="D77" s="1567">
        <f t="shared" si="1"/>
        <v>480</v>
      </c>
      <c r="E77" s="1661">
        <v>0.92</v>
      </c>
      <c r="F77" s="1664">
        <f t="shared" si="2"/>
        <v>0.92</v>
      </c>
      <c r="G77" s="1661">
        <f t="shared" si="4"/>
        <v>0.92</v>
      </c>
      <c r="H77" s="1567" t="str">
        <f t="shared" si="3"/>
        <v xml:space="preserve"> </v>
      </c>
    </row>
    <row r="78" spans="2:8">
      <c r="B78" s="1659">
        <v>38169</v>
      </c>
      <c r="C78" s="1567">
        <f t="shared" si="0"/>
        <v>480</v>
      </c>
      <c r="D78" s="1567">
        <f t="shared" si="1"/>
        <v>480</v>
      </c>
      <c r="E78" s="1661">
        <v>0.92</v>
      </c>
      <c r="F78" s="1664">
        <f t="shared" si="2"/>
        <v>0.92</v>
      </c>
      <c r="G78" s="1661">
        <f t="shared" si="4"/>
        <v>0.92</v>
      </c>
      <c r="H78" s="1567" t="str">
        <f t="shared" si="3"/>
        <v xml:space="preserve"> </v>
      </c>
    </row>
    <row r="79" spans="2:8">
      <c r="B79" s="1659">
        <v>38200</v>
      </c>
      <c r="C79" s="1567">
        <f t="shared" ref="C79:C142" si="5">IF(B79&lt;PPA_COD_PhII,$D$6,IF(B79&lt;$C$9,$D$7,$D$9))</f>
        <v>480</v>
      </c>
      <c r="D79" s="1567">
        <f t="shared" ref="D79:D142" si="6">IF(B79&lt;$F$8,$G$6,IF(B79&lt;$F$9,$G$8,$G$9))</f>
        <v>480</v>
      </c>
      <c r="E79" s="1661">
        <v>0.92</v>
      </c>
      <c r="F79" s="1664">
        <f t="shared" ref="F79:F142" si="7">IF(OR(B79&lt;$F$8,$F$9&lt;=B79),MIN($E$6,D79/C79),$H$8)</f>
        <v>0.92</v>
      </c>
      <c r="G79" s="1661">
        <f t="shared" si="4"/>
        <v>0.92</v>
      </c>
      <c r="H79" s="1567" t="str">
        <f t="shared" si="3"/>
        <v xml:space="preserve"> </v>
      </c>
    </row>
    <row r="80" spans="2:8">
      <c r="B80" s="1659">
        <v>38231</v>
      </c>
      <c r="C80" s="1567">
        <f t="shared" si="5"/>
        <v>480</v>
      </c>
      <c r="D80" s="1567">
        <f t="shared" si="6"/>
        <v>480</v>
      </c>
      <c r="E80" s="1661">
        <v>0.92</v>
      </c>
      <c r="F80" s="1664">
        <f t="shared" si="7"/>
        <v>0.92</v>
      </c>
      <c r="G80" s="1661">
        <f t="shared" si="4"/>
        <v>0.92</v>
      </c>
      <c r="H80" s="1567" t="str">
        <f t="shared" ref="H80:H143" si="8">IF(G80&gt;=$E$6," ","LDs")</f>
        <v xml:space="preserve"> </v>
      </c>
    </row>
    <row r="81" spans="2:8">
      <c r="B81" s="1659">
        <v>38261</v>
      </c>
      <c r="C81" s="1567">
        <f t="shared" si="5"/>
        <v>480</v>
      </c>
      <c r="D81" s="1567">
        <f t="shared" si="6"/>
        <v>480</v>
      </c>
      <c r="E81" s="1661">
        <v>0.92</v>
      </c>
      <c r="F81" s="1664">
        <f t="shared" si="7"/>
        <v>0.92</v>
      </c>
      <c r="G81" s="1661">
        <f t="shared" si="4"/>
        <v>0.92</v>
      </c>
      <c r="H81" s="1567" t="str">
        <f t="shared" si="8"/>
        <v xml:space="preserve"> </v>
      </c>
    </row>
    <row r="82" spans="2:8">
      <c r="B82" s="1659">
        <v>38292</v>
      </c>
      <c r="C82" s="1567">
        <f t="shared" si="5"/>
        <v>480</v>
      </c>
      <c r="D82" s="1567">
        <f t="shared" si="6"/>
        <v>480</v>
      </c>
      <c r="E82" s="1661">
        <v>0.92</v>
      </c>
      <c r="F82" s="1664">
        <f t="shared" si="7"/>
        <v>0.92</v>
      </c>
      <c r="G82" s="1661">
        <f t="shared" si="4"/>
        <v>0.92</v>
      </c>
      <c r="H82" s="1567" t="str">
        <f t="shared" si="8"/>
        <v xml:space="preserve"> </v>
      </c>
    </row>
    <row r="83" spans="2:8">
      <c r="B83" s="1659">
        <v>38322</v>
      </c>
      <c r="C83" s="1567">
        <f t="shared" si="5"/>
        <v>480</v>
      </c>
      <c r="D83" s="1567">
        <f t="shared" si="6"/>
        <v>480</v>
      </c>
      <c r="E83" s="1661">
        <v>0.92</v>
      </c>
      <c r="F83" s="1664">
        <f t="shared" si="7"/>
        <v>0.92</v>
      </c>
      <c r="G83" s="1661">
        <f t="shared" si="4"/>
        <v>0.92</v>
      </c>
      <c r="H83" s="1567" t="str">
        <f t="shared" si="8"/>
        <v xml:space="preserve"> </v>
      </c>
    </row>
    <row r="84" spans="2:8">
      <c r="B84" s="1659">
        <v>38353</v>
      </c>
      <c r="C84" s="1567">
        <f t="shared" si="5"/>
        <v>480</v>
      </c>
      <c r="D84" s="1567">
        <f t="shared" si="6"/>
        <v>480</v>
      </c>
      <c r="E84" s="1661">
        <v>0.92</v>
      </c>
      <c r="F84" s="1664">
        <f t="shared" si="7"/>
        <v>0.92</v>
      </c>
      <c r="G84" s="1661">
        <f t="shared" si="4"/>
        <v>0.92</v>
      </c>
      <c r="H84" s="1567" t="str">
        <f t="shared" si="8"/>
        <v xml:space="preserve"> </v>
      </c>
    </row>
    <row r="85" spans="2:8">
      <c r="B85" s="1659">
        <v>38384</v>
      </c>
      <c r="C85" s="1567">
        <f t="shared" si="5"/>
        <v>480</v>
      </c>
      <c r="D85" s="1567">
        <f t="shared" si="6"/>
        <v>480</v>
      </c>
      <c r="E85" s="1661">
        <v>0.92</v>
      </c>
      <c r="F85" s="1664">
        <f t="shared" si="7"/>
        <v>0.92</v>
      </c>
      <c r="G85" s="1661">
        <f t="shared" si="4"/>
        <v>0.92</v>
      </c>
      <c r="H85" s="1567" t="str">
        <f t="shared" si="8"/>
        <v xml:space="preserve"> </v>
      </c>
    </row>
    <row r="86" spans="2:8">
      <c r="B86" s="1659">
        <v>38412</v>
      </c>
      <c r="C86" s="1567">
        <f t="shared" si="5"/>
        <v>480</v>
      </c>
      <c r="D86" s="1567">
        <f t="shared" si="6"/>
        <v>480</v>
      </c>
      <c r="E86" s="1661">
        <v>0.92</v>
      </c>
      <c r="F86" s="1664">
        <f t="shared" si="7"/>
        <v>0.92</v>
      </c>
      <c r="G86" s="1661">
        <f t="shared" si="4"/>
        <v>0.92</v>
      </c>
      <c r="H86" s="1567" t="str">
        <f t="shared" si="8"/>
        <v xml:space="preserve"> </v>
      </c>
    </row>
    <row r="87" spans="2:8">
      <c r="B87" s="1659">
        <v>38443</v>
      </c>
      <c r="C87" s="1567">
        <f t="shared" si="5"/>
        <v>480</v>
      </c>
      <c r="D87" s="1567">
        <f t="shared" si="6"/>
        <v>480</v>
      </c>
      <c r="E87" s="1661">
        <v>0.92</v>
      </c>
      <c r="F87" s="1664">
        <f t="shared" si="7"/>
        <v>0.92</v>
      </c>
      <c r="G87" s="1661">
        <f t="shared" si="4"/>
        <v>0.92</v>
      </c>
      <c r="H87" s="1567" t="str">
        <f t="shared" si="8"/>
        <v xml:space="preserve"> </v>
      </c>
    </row>
    <row r="88" spans="2:8">
      <c r="B88" s="1659">
        <v>38473</v>
      </c>
      <c r="C88" s="1567">
        <f t="shared" si="5"/>
        <v>480</v>
      </c>
      <c r="D88" s="1567">
        <f t="shared" si="6"/>
        <v>480</v>
      </c>
      <c r="E88" s="1661">
        <v>0.92</v>
      </c>
      <c r="F88" s="1664">
        <f t="shared" si="7"/>
        <v>0.92</v>
      </c>
      <c r="G88" s="1661">
        <f t="shared" si="4"/>
        <v>0.92</v>
      </c>
      <c r="H88" s="1567" t="str">
        <f t="shared" si="8"/>
        <v xml:space="preserve"> </v>
      </c>
    </row>
    <row r="89" spans="2:8">
      <c r="B89" s="1659">
        <v>38504</v>
      </c>
      <c r="C89" s="1567">
        <f t="shared" si="5"/>
        <v>480</v>
      </c>
      <c r="D89" s="1567">
        <f t="shared" si="6"/>
        <v>480</v>
      </c>
      <c r="E89" s="1661">
        <v>0.92</v>
      </c>
      <c r="F89" s="1664">
        <f t="shared" si="7"/>
        <v>0.92</v>
      </c>
      <c r="G89" s="1661">
        <f t="shared" si="4"/>
        <v>0.92</v>
      </c>
      <c r="H89" s="1567" t="str">
        <f t="shared" si="8"/>
        <v xml:space="preserve"> </v>
      </c>
    </row>
    <row r="90" spans="2:8">
      <c r="B90" s="1659">
        <v>38534</v>
      </c>
      <c r="C90" s="1567">
        <f t="shared" si="5"/>
        <v>480</v>
      </c>
      <c r="D90" s="1567">
        <f t="shared" si="6"/>
        <v>480</v>
      </c>
      <c r="E90" s="1661">
        <v>0.92</v>
      </c>
      <c r="F90" s="1664">
        <f t="shared" si="7"/>
        <v>0.92</v>
      </c>
      <c r="G90" s="1661">
        <f t="shared" si="4"/>
        <v>0.92</v>
      </c>
      <c r="H90" s="1567" t="str">
        <f t="shared" si="8"/>
        <v xml:space="preserve"> </v>
      </c>
    </row>
    <row r="91" spans="2:8">
      <c r="B91" s="1659">
        <v>38565</v>
      </c>
      <c r="C91" s="1567">
        <f t="shared" si="5"/>
        <v>480</v>
      </c>
      <c r="D91" s="1567">
        <f t="shared" si="6"/>
        <v>480</v>
      </c>
      <c r="E91" s="1661">
        <v>0.92</v>
      </c>
      <c r="F91" s="1664">
        <f t="shared" si="7"/>
        <v>0.92</v>
      </c>
      <c r="G91" s="1661">
        <f t="shared" si="4"/>
        <v>0.92</v>
      </c>
      <c r="H91" s="1567" t="str">
        <f t="shared" si="8"/>
        <v xml:space="preserve"> </v>
      </c>
    </row>
    <row r="92" spans="2:8">
      <c r="B92" s="1659">
        <v>38596</v>
      </c>
      <c r="C92" s="1567">
        <f t="shared" si="5"/>
        <v>480</v>
      </c>
      <c r="D92" s="1567">
        <f t="shared" si="6"/>
        <v>480</v>
      </c>
      <c r="E92" s="1661">
        <v>0.92</v>
      </c>
      <c r="F92" s="1664">
        <f t="shared" si="7"/>
        <v>0.92</v>
      </c>
      <c r="G92" s="1661">
        <f t="shared" ref="G92:G155" si="9">SUM(F80:F91)/12</f>
        <v>0.92</v>
      </c>
      <c r="H92" s="1567" t="str">
        <f t="shared" si="8"/>
        <v xml:space="preserve"> </v>
      </c>
    </row>
    <row r="93" spans="2:8">
      <c r="B93" s="1659">
        <v>38626</v>
      </c>
      <c r="C93" s="1567">
        <f t="shared" si="5"/>
        <v>480</v>
      </c>
      <c r="D93" s="1567">
        <f t="shared" si="6"/>
        <v>480</v>
      </c>
      <c r="E93" s="1661">
        <v>0.92</v>
      </c>
      <c r="F93" s="1664">
        <f t="shared" si="7"/>
        <v>0.92</v>
      </c>
      <c r="G93" s="1661">
        <f t="shared" si="9"/>
        <v>0.92</v>
      </c>
      <c r="H93" s="1567" t="str">
        <f t="shared" si="8"/>
        <v xml:space="preserve"> </v>
      </c>
    </row>
    <row r="94" spans="2:8">
      <c r="B94" s="1659">
        <v>38657</v>
      </c>
      <c r="C94" s="1567">
        <f t="shared" si="5"/>
        <v>480</v>
      </c>
      <c r="D94" s="1567">
        <f t="shared" si="6"/>
        <v>480</v>
      </c>
      <c r="E94" s="1661">
        <v>0.92</v>
      </c>
      <c r="F94" s="1664">
        <f t="shared" si="7"/>
        <v>0.92</v>
      </c>
      <c r="G94" s="1661">
        <f t="shared" si="9"/>
        <v>0.92</v>
      </c>
      <c r="H94" s="1567" t="str">
        <f t="shared" si="8"/>
        <v xml:space="preserve"> </v>
      </c>
    </row>
    <row r="95" spans="2:8">
      <c r="B95" s="1659">
        <v>38687</v>
      </c>
      <c r="C95" s="1567">
        <f t="shared" si="5"/>
        <v>480</v>
      </c>
      <c r="D95" s="1567">
        <f t="shared" si="6"/>
        <v>480</v>
      </c>
      <c r="E95" s="1661">
        <v>0.92</v>
      </c>
      <c r="F95" s="1664">
        <f t="shared" si="7"/>
        <v>0.92</v>
      </c>
      <c r="G95" s="1661">
        <f t="shared" si="9"/>
        <v>0.92</v>
      </c>
      <c r="H95" s="1567" t="str">
        <f t="shared" si="8"/>
        <v xml:space="preserve"> </v>
      </c>
    </row>
    <row r="96" spans="2:8">
      <c r="B96" s="1659">
        <v>38718</v>
      </c>
      <c r="C96" s="1567">
        <f t="shared" si="5"/>
        <v>480</v>
      </c>
      <c r="D96" s="1567">
        <f t="shared" si="6"/>
        <v>480</v>
      </c>
      <c r="E96" s="1661">
        <v>0.92</v>
      </c>
      <c r="F96" s="1664">
        <f t="shared" si="7"/>
        <v>0.92</v>
      </c>
      <c r="G96" s="1661">
        <f t="shared" si="9"/>
        <v>0.92</v>
      </c>
      <c r="H96" s="1567" t="str">
        <f t="shared" si="8"/>
        <v xml:space="preserve"> </v>
      </c>
    </row>
    <row r="97" spans="2:8">
      <c r="B97" s="1659">
        <v>38749</v>
      </c>
      <c r="C97" s="1567">
        <f t="shared" si="5"/>
        <v>480</v>
      </c>
      <c r="D97" s="1567">
        <f t="shared" si="6"/>
        <v>480</v>
      </c>
      <c r="E97" s="1661">
        <v>0.92</v>
      </c>
      <c r="F97" s="1664">
        <f t="shared" si="7"/>
        <v>0.92</v>
      </c>
      <c r="G97" s="1661">
        <f t="shared" si="9"/>
        <v>0.92</v>
      </c>
      <c r="H97" s="1567" t="str">
        <f t="shared" si="8"/>
        <v xml:space="preserve"> </v>
      </c>
    </row>
    <row r="98" spans="2:8">
      <c r="B98" s="1659">
        <v>38777</v>
      </c>
      <c r="C98" s="1567">
        <f t="shared" si="5"/>
        <v>480</v>
      </c>
      <c r="D98" s="1567">
        <f t="shared" si="6"/>
        <v>480</v>
      </c>
      <c r="E98" s="1661">
        <v>0.92</v>
      </c>
      <c r="F98" s="1664">
        <f t="shared" si="7"/>
        <v>0.92</v>
      </c>
      <c r="G98" s="1661">
        <f t="shared" si="9"/>
        <v>0.92</v>
      </c>
      <c r="H98" s="1567" t="str">
        <f t="shared" si="8"/>
        <v xml:space="preserve"> </v>
      </c>
    </row>
    <row r="99" spans="2:8">
      <c r="B99" s="1659">
        <v>38808</v>
      </c>
      <c r="C99" s="1567">
        <f t="shared" si="5"/>
        <v>480</v>
      </c>
      <c r="D99" s="1567">
        <f t="shared" si="6"/>
        <v>480</v>
      </c>
      <c r="E99" s="1661">
        <v>0.92</v>
      </c>
      <c r="F99" s="1664">
        <f t="shared" si="7"/>
        <v>0.92</v>
      </c>
      <c r="G99" s="1661">
        <f t="shared" si="9"/>
        <v>0.92</v>
      </c>
      <c r="H99" s="1567" t="str">
        <f t="shared" si="8"/>
        <v xml:space="preserve"> </v>
      </c>
    </row>
    <row r="100" spans="2:8">
      <c r="B100" s="1659">
        <v>38838</v>
      </c>
      <c r="C100" s="1567">
        <f t="shared" si="5"/>
        <v>480</v>
      </c>
      <c r="D100" s="1567">
        <f t="shared" si="6"/>
        <v>480</v>
      </c>
      <c r="E100" s="1661">
        <v>0.92</v>
      </c>
      <c r="F100" s="1664">
        <f t="shared" si="7"/>
        <v>0.92</v>
      </c>
      <c r="G100" s="1661">
        <f t="shared" si="9"/>
        <v>0.92</v>
      </c>
      <c r="H100" s="1567" t="str">
        <f t="shared" si="8"/>
        <v xml:space="preserve"> </v>
      </c>
    </row>
    <row r="101" spans="2:8">
      <c r="B101" s="1659">
        <v>38869</v>
      </c>
      <c r="C101" s="1567">
        <f t="shared" si="5"/>
        <v>480</v>
      </c>
      <c r="D101" s="1567">
        <f t="shared" si="6"/>
        <v>480</v>
      </c>
      <c r="E101" s="1661">
        <v>0.92</v>
      </c>
      <c r="F101" s="1664">
        <f t="shared" si="7"/>
        <v>0.92</v>
      </c>
      <c r="G101" s="1661">
        <f t="shared" si="9"/>
        <v>0.92</v>
      </c>
      <c r="H101" s="1567" t="str">
        <f t="shared" si="8"/>
        <v xml:space="preserve"> </v>
      </c>
    </row>
    <row r="102" spans="2:8">
      <c r="B102" s="1659">
        <v>38899</v>
      </c>
      <c r="C102" s="1567">
        <f t="shared" si="5"/>
        <v>480</v>
      </c>
      <c r="D102" s="1567">
        <f t="shared" si="6"/>
        <v>480</v>
      </c>
      <c r="E102" s="1661">
        <v>0.92</v>
      </c>
      <c r="F102" s="1664">
        <f t="shared" si="7"/>
        <v>0.92</v>
      </c>
      <c r="G102" s="1661">
        <f t="shared" si="9"/>
        <v>0.92</v>
      </c>
      <c r="H102" s="1567" t="str">
        <f t="shared" si="8"/>
        <v xml:space="preserve"> </v>
      </c>
    </row>
    <row r="103" spans="2:8">
      <c r="B103" s="1659">
        <v>38930</v>
      </c>
      <c r="C103" s="1567">
        <f t="shared" si="5"/>
        <v>480</v>
      </c>
      <c r="D103" s="1567">
        <f t="shared" si="6"/>
        <v>480</v>
      </c>
      <c r="E103" s="1661">
        <v>0.92</v>
      </c>
      <c r="F103" s="1664">
        <f t="shared" si="7"/>
        <v>0.92</v>
      </c>
      <c r="G103" s="1661">
        <f t="shared" si="9"/>
        <v>0.92</v>
      </c>
      <c r="H103" s="1567" t="str">
        <f t="shared" si="8"/>
        <v xml:space="preserve"> </v>
      </c>
    </row>
    <row r="104" spans="2:8">
      <c r="B104" s="1659">
        <v>38961</v>
      </c>
      <c r="C104" s="1567">
        <f t="shared" si="5"/>
        <v>480</v>
      </c>
      <c r="D104" s="1567">
        <f t="shared" si="6"/>
        <v>480</v>
      </c>
      <c r="E104" s="1661">
        <v>0.92</v>
      </c>
      <c r="F104" s="1664">
        <f t="shared" si="7"/>
        <v>0.92</v>
      </c>
      <c r="G104" s="1661">
        <f t="shared" si="9"/>
        <v>0.92</v>
      </c>
      <c r="H104" s="1567" t="str">
        <f t="shared" si="8"/>
        <v xml:space="preserve"> </v>
      </c>
    </row>
    <row r="105" spans="2:8">
      <c r="B105" s="1659">
        <v>38991</v>
      </c>
      <c r="C105" s="1567">
        <f t="shared" si="5"/>
        <v>480</v>
      </c>
      <c r="D105" s="1567">
        <f t="shared" si="6"/>
        <v>480</v>
      </c>
      <c r="E105" s="1661">
        <v>0.92</v>
      </c>
      <c r="F105" s="1664">
        <f t="shared" si="7"/>
        <v>0.92</v>
      </c>
      <c r="G105" s="1661">
        <f t="shared" si="9"/>
        <v>0.92</v>
      </c>
      <c r="H105" s="1567" t="str">
        <f t="shared" si="8"/>
        <v xml:space="preserve"> </v>
      </c>
    </row>
    <row r="106" spans="2:8">
      <c r="B106" s="1659">
        <v>39022</v>
      </c>
      <c r="C106" s="1567">
        <f t="shared" si="5"/>
        <v>480</v>
      </c>
      <c r="D106" s="1567">
        <f t="shared" si="6"/>
        <v>480</v>
      </c>
      <c r="E106" s="1661">
        <v>0.92</v>
      </c>
      <c r="F106" s="1664">
        <f t="shared" si="7"/>
        <v>0.92</v>
      </c>
      <c r="G106" s="1661">
        <f t="shared" si="9"/>
        <v>0.92</v>
      </c>
      <c r="H106" s="1567" t="str">
        <f t="shared" si="8"/>
        <v xml:space="preserve"> </v>
      </c>
    </row>
    <row r="107" spans="2:8">
      <c r="B107" s="1659">
        <v>39052</v>
      </c>
      <c r="C107" s="1567">
        <f t="shared" si="5"/>
        <v>480</v>
      </c>
      <c r="D107" s="1567">
        <f t="shared" si="6"/>
        <v>480</v>
      </c>
      <c r="E107" s="1661">
        <v>0.92</v>
      </c>
      <c r="F107" s="1664">
        <f t="shared" si="7"/>
        <v>0.92</v>
      </c>
      <c r="G107" s="1661">
        <f t="shared" si="9"/>
        <v>0.92</v>
      </c>
      <c r="H107" s="1567" t="str">
        <f t="shared" si="8"/>
        <v xml:space="preserve"> </v>
      </c>
    </row>
    <row r="108" spans="2:8">
      <c r="B108" s="1659">
        <v>39083</v>
      </c>
      <c r="C108" s="1567">
        <f t="shared" si="5"/>
        <v>480</v>
      </c>
      <c r="D108" s="1567">
        <f t="shared" si="6"/>
        <v>480</v>
      </c>
      <c r="E108" s="1661">
        <v>0.92</v>
      </c>
      <c r="F108" s="1664">
        <f t="shared" si="7"/>
        <v>0.92</v>
      </c>
      <c r="G108" s="1661">
        <f t="shared" si="9"/>
        <v>0.92</v>
      </c>
      <c r="H108" s="1567" t="str">
        <f t="shared" si="8"/>
        <v xml:space="preserve"> </v>
      </c>
    </row>
    <row r="109" spans="2:8">
      <c r="B109" s="1659">
        <v>39114</v>
      </c>
      <c r="C109" s="1567">
        <f t="shared" si="5"/>
        <v>480</v>
      </c>
      <c r="D109" s="1567">
        <f t="shared" si="6"/>
        <v>480</v>
      </c>
      <c r="E109" s="1661">
        <v>0.92</v>
      </c>
      <c r="F109" s="1664">
        <f t="shared" si="7"/>
        <v>0.92</v>
      </c>
      <c r="G109" s="1661">
        <f t="shared" si="9"/>
        <v>0.92</v>
      </c>
      <c r="H109" s="1567" t="str">
        <f t="shared" si="8"/>
        <v xml:space="preserve"> </v>
      </c>
    </row>
    <row r="110" spans="2:8">
      <c r="B110" s="1659">
        <v>39142</v>
      </c>
      <c r="C110" s="1567">
        <f t="shared" si="5"/>
        <v>480</v>
      </c>
      <c r="D110" s="1567">
        <f t="shared" si="6"/>
        <v>480</v>
      </c>
      <c r="E110" s="1661">
        <v>0.92</v>
      </c>
      <c r="F110" s="1664">
        <f t="shared" si="7"/>
        <v>0.92</v>
      </c>
      <c r="G110" s="1661">
        <f t="shared" si="9"/>
        <v>0.92</v>
      </c>
      <c r="H110" s="1567" t="str">
        <f t="shared" si="8"/>
        <v xml:space="preserve"> </v>
      </c>
    </row>
    <row r="111" spans="2:8">
      <c r="B111" s="1659">
        <v>39173</v>
      </c>
      <c r="C111" s="1567">
        <f t="shared" si="5"/>
        <v>480</v>
      </c>
      <c r="D111" s="1567">
        <f t="shared" si="6"/>
        <v>480</v>
      </c>
      <c r="E111" s="1661">
        <v>0.92</v>
      </c>
      <c r="F111" s="1664">
        <f t="shared" si="7"/>
        <v>0.92</v>
      </c>
      <c r="G111" s="1661">
        <f t="shared" si="9"/>
        <v>0.92</v>
      </c>
      <c r="H111" s="1567" t="str">
        <f t="shared" si="8"/>
        <v xml:space="preserve"> </v>
      </c>
    </row>
    <row r="112" spans="2:8">
      <c r="B112" s="1659">
        <v>39203</v>
      </c>
      <c r="C112" s="1567">
        <f t="shared" si="5"/>
        <v>480</v>
      </c>
      <c r="D112" s="1567">
        <f t="shared" si="6"/>
        <v>480</v>
      </c>
      <c r="E112" s="1661">
        <v>0.92</v>
      </c>
      <c r="F112" s="1664">
        <f t="shared" si="7"/>
        <v>0.92</v>
      </c>
      <c r="G112" s="1661">
        <f t="shared" si="9"/>
        <v>0.92</v>
      </c>
      <c r="H112" s="1567" t="str">
        <f t="shared" si="8"/>
        <v xml:space="preserve"> </v>
      </c>
    </row>
    <row r="113" spans="2:8">
      <c r="B113" s="1659">
        <v>39234</v>
      </c>
      <c r="C113" s="1567">
        <f t="shared" si="5"/>
        <v>480</v>
      </c>
      <c r="D113" s="1567">
        <f t="shared" si="6"/>
        <v>480</v>
      </c>
      <c r="E113" s="1661">
        <v>0.92</v>
      </c>
      <c r="F113" s="1664">
        <f t="shared" si="7"/>
        <v>0.92</v>
      </c>
      <c r="G113" s="1661">
        <f t="shared" si="9"/>
        <v>0.92</v>
      </c>
      <c r="H113" s="1567" t="str">
        <f t="shared" si="8"/>
        <v xml:space="preserve"> </v>
      </c>
    </row>
    <row r="114" spans="2:8">
      <c r="B114" s="1659">
        <v>39264</v>
      </c>
      <c r="C114" s="1567">
        <f t="shared" si="5"/>
        <v>480</v>
      </c>
      <c r="D114" s="1567">
        <f t="shared" si="6"/>
        <v>480</v>
      </c>
      <c r="E114" s="1661">
        <v>0.92</v>
      </c>
      <c r="F114" s="1664">
        <f t="shared" si="7"/>
        <v>0.92</v>
      </c>
      <c r="G114" s="1661">
        <f t="shared" si="9"/>
        <v>0.92</v>
      </c>
      <c r="H114" s="1567" t="str">
        <f t="shared" si="8"/>
        <v xml:space="preserve"> </v>
      </c>
    </row>
    <row r="115" spans="2:8">
      <c r="B115" s="1659">
        <v>39295</v>
      </c>
      <c r="C115" s="1567">
        <f t="shared" si="5"/>
        <v>480</v>
      </c>
      <c r="D115" s="1567">
        <f t="shared" si="6"/>
        <v>480</v>
      </c>
      <c r="E115" s="1661">
        <v>0.92</v>
      </c>
      <c r="F115" s="1664">
        <f t="shared" si="7"/>
        <v>0.92</v>
      </c>
      <c r="G115" s="1661">
        <f t="shared" si="9"/>
        <v>0.92</v>
      </c>
      <c r="H115" s="1567" t="str">
        <f t="shared" si="8"/>
        <v xml:space="preserve"> </v>
      </c>
    </row>
    <row r="116" spans="2:8">
      <c r="B116" s="1659">
        <v>39326</v>
      </c>
      <c r="C116" s="1567">
        <f t="shared" si="5"/>
        <v>480</v>
      </c>
      <c r="D116" s="1567">
        <f t="shared" si="6"/>
        <v>480</v>
      </c>
      <c r="E116" s="1661">
        <v>0.92</v>
      </c>
      <c r="F116" s="1664">
        <f t="shared" si="7"/>
        <v>0.92</v>
      </c>
      <c r="G116" s="1661">
        <f t="shared" si="9"/>
        <v>0.92</v>
      </c>
      <c r="H116" s="1567" t="str">
        <f t="shared" si="8"/>
        <v xml:space="preserve"> </v>
      </c>
    </row>
    <row r="117" spans="2:8">
      <c r="B117" s="1659">
        <v>39356</v>
      </c>
      <c r="C117" s="1567">
        <f t="shared" si="5"/>
        <v>480</v>
      </c>
      <c r="D117" s="1567">
        <f t="shared" si="6"/>
        <v>480</v>
      </c>
      <c r="E117" s="1661">
        <v>0.92</v>
      </c>
      <c r="F117" s="1664">
        <f t="shared" si="7"/>
        <v>0.92</v>
      </c>
      <c r="G117" s="1661">
        <f t="shared" si="9"/>
        <v>0.92</v>
      </c>
      <c r="H117" s="1567" t="str">
        <f t="shared" si="8"/>
        <v xml:space="preserve"> </v>
      </c>
    </row>
    <row r="118" spans="2:8">
      <c r="B118" s="1659">
        <v>39387</v>
      </c>
      <c r="C118" s="1567">
        <f t="shared" si="5"/>
        <v>480</v>
      </c>
      <c r="D118" s="1567">
        <f t="shared" si="6"/>
        <v>480</v>
      </c>
      <c r="E118" s="1661">
        <v>0.92</v>
      </c>
      <c r="F118" s="1664">
        <f t="shared" si="7"/>
        <v>0.92</v>
      </c>
      <c r="G118" s="1661">
        <f t="shared" si="9"/>
        <v>0.92</v>
      </c>
      <c r="H118" s="1567" t="str">
        <f t="shared" si="8"/>
        <v xml:space="preserve"> </v>
      </c>
    </row>
    <row r="119" spans="2:8">
      <c r="B119" s="1659">
        <v>39417</v>
      </c>
      <c r="C119" s="1567">
        <f t="shared" si="5"/>
        <v>480</v>
      </c>
      <c r="D119" s="1567">
        <f t="shared" si="6"/>
        <v>480</v>
      </c>
      <c r="E119" s="1661">
        <v>0.92</v>
      </c>
      <c r="F119" s="1664">
        <f t="shared" si="7"/>
        <v>0.92</v>
      </c>
      <c r="G119" s="1661">
        <f t="shared" si="9"/>
        <v>0.92</v>
      </c>
      <c r="H119" s="1567" t="str">
        <f t="shared" si="8"/>
        <v xml:space="preserve"> </v>
      </c>
    </row>
    <row r="120" spans="2:8">
      <c r="B120" s="1659">
        <v>39448</v>
      </c>
      <c r="C120" s="1567">
        <f t="shared" si="5"/>
        <v>480</v>
      </c>
      <c r="D120" s="1567">
        <f t="shared" si="6"/>
        <v>480</v>
      </c>
      <c r="E120" s="1661">
        <v>0.92</v>
      </c>
      <c r="F120" s="1664">
        <f t="shared" si="7"/>
        <v>0.92</v>
      </c>
      <c r="G120" s="1661">
        <f t="shared" si="9"/>
        <v>0.92</v>
      </c>
      <c r="H120" s="1567" t="str">
        <f t="shared" si="8"/>
        <v xml:space="preserve"> </v>
      </c>
    </row>
    <row r="121" spans="2:8">
      <c r="B121" s="1659">
        <v>39479</v>
      </c>
      <c r="C121" s="1567">
        <f t="shared" si="5"/>
        <v>480</v>
      </c>
      <c r="D121" s="1567">
        <f t="shared" si="6"/>
        <v>480</v>
      </c>
      <c r="E121" s="1661">
        <v>0.92</v>
      </c>
      <c r="F121" s="1664">
        <f t="shared" si="7"/>
        <v>0.92</v>
      </c>
      <c r="G121" s="1661">
        <f t="shared" si="9"/>
        <v>0.92</v>
      </c>
      <c r="H121" s="1567" t="str">
        <f t="shared" si="8"/>
        <v xml:space="preserve"> </v>
      </c>
    </row>
    <row r="122" spans="2:8">
      <c r="B122" s="1659">
        <v>39508</v>
      </c>
      <c r="C122" s="1567">
        <f t="shared" si="5"/>
        <v>480</v>
      </c>
      <c r="D122" s="1567">
        <f t="shared" si="6"/>
        <v>480</v>
      </c>
      <c r="E122" s="1661">
        <v>0.92</v>
      </c>
      <c r="F122" s="1664">
        <f t="shared" si="7"/>
        <v>0.92</v>
      </c>
      <c r="G122" s="1661">
        <f t="shared" si="9"/>
        <v>0.92</v>
      </c>
      <c r="H122" s="1567" t="str">
        <f t="shared" si="8"/>
        <v xml:space="preserve"> </v>
      </c>
    </row>
    <row r="123" spans="2:8">
      <c r="B123" s="1659">
        <v>39539</v>
      </c>
      <c r="C123" s="1567">
        <f t="shared" si="5"/>
        <v>480</v>
      </c>
      <c r="D123" s="1567">
        <f t="shared" si="6"/>
        <v>480</v>
      </c>
      <c r="E123" s="1661">
        <v>0.92</v>
      </c>
      <c r="F123" s="1664">
        <f t="shared" si="7"/>
        <v>0.92</v>
      </c>
      <c r="G123" s="1661">
        <f t="shared" si="9"/>
        <v>0.92</v>
      </c>
      <c r="H123" s="1567" t="str">
        <f t="shared" si="8"/>
        <v xml:space="preserve"> </v>
      </c>
    </row>
    <row r="124" spans="2:8">
      <c r="B124" s="1659">
        <v>39569</v>
      </c>
      <c r="C124" s="1567">
        <f t="shared" si="5"/>
        <v>480</v>
      </c>
      <c r="D124" s="1567">
        <f t="shared" si="6"/>
        <v>480</v>
      </c>
      <c r="E124" s="1661">
        <v>0.92</v>
      </c>
      <c r="F124" s="1664">
        <f t="shared" si="7"/>
        <v>0.92</v>
      </c>
      <c r="G124" s="1661">
        <f t="shared" si="9"/>
        <v>0.92</v>
      </c>
      <c r="H124" s="1567" t="str">
        <f t="shared" si="8"/>
        <v xml:space="preserve"> </v>
      </c>
    </row>
    <row r="125" spans="2:8">
      <c r="B125" s="1659">
        <v>39600</v>
      </c>
      <c r="C125" s="1567">
        <f t="shared" si="5"/>
        <v>480</v>
      </c>
      <c r="D125" s="1567">
        <f t="shared" si="6"/>
        <v>480</v>
      </c>
      <c r="E125" s="1661">
        <v>0.92</v>
      </c>
      <c r="F125" s="1664">
        <f t="shared" si="7"/>
        <v>0.92</v>
      </c>
      <c r="G125" s="1661">
        <f t="shared" si="9"/>
        <v>0.92</v>
      </c>
      <c r="H125" s="1567" t="str">
        <f t="shared" si="8"/>
        <v xml:space="preserve"> </v>
      </c>
    </row>
    <row r="126" spans="2:8">
      <c r="B126" s="1659">
        <v>39630</v>
      </c>
      <c r="C126" s="1567">
        <f t="shared" si="5"/>
        <v>480</v>
      </c>
      <c r="D126" s="1567">
        <f t="shared" si="6"/>
        <v>480</v>
      </c>
      <c r="E126" s="1661">
        <v>0.92</v>
      </c>
      <c r="F126" s="1664">
        <f t="shared" si="7"/>
        <v>0.92</v>
      </c>
      <c r="G126" s="1661">
        <f t="shared" si="9"/>
        <v>0.92</v>
      </c>
      <c r="H126" s="1567" t="str">
        <f t="shared" si="8"/>
        <v xml:space="preserve"> </v>
      </c>
    </row>
    <row r="127" spans="2:8">
      <c r="B127" s="1659">
        <v>39661</v>
      </c>
      <c r="C127" s="1567">
        <f t="shared" si="5"/>
        <v>480</v>
      </c>
      <c r="D127" s="1567">
        <f t="shared" si="6"/>
        <v>480</v>
      </c>
      <c r="E127" s="1661">
        <v>0.92</v>
      </c>
      <c r="F127" s="1664">
        <f t="shared" si="7"/>
        <v>0.92</v>
      </c>
      <c r="G127" s="1661">
        <f t="shared" si="9"/>
        <v>0.92</v>
      </c>
      <c r="H127" s="1567" t="str">
        <f t="shared" si="8"/>
        <v xml:space="preserve"> </v>
      </c>
    </row>
    <row r="128" spans="2:8">
      <c r="B128" s="1659">
        <v>39692</v>
      </c>
      <c r="C128" s="1567">
        <f t="shared" si="5"/>
        <v>480</v>
      </c>
      <c r="D128" s="1567">
        <f t="shared" si="6"/>
        <v>480</v>
      </c>
      <c r="E128" s="1661">
        <v>0.92</v>
      </c>
      <c r="F128" s="1664">
        <f t="shared" si="7"/>
        <v>0.92</v>
      </c>
      <c r="G128" s="1661">
        <f t="shared" si="9"/>
        <v>0.92</v>
      </c>
      <c r="H128" s="1567" t="str">
        <f t="shared" si="8"/>
        <v xml:space="preserve"> </v>
      </c>
    </row>
    <row r="129" spans="2:8">
      <c r="B129" s="1659">
        <v>39722</v>
      </c>
      <c r="C129" s="1567">
        <f t="shared" si="5"/>
        <v>480</v>
      </c>
      <c r="D129" s="1567">
        <f t="shared" si="6"/>
        <v>480</v>
      </c>
      <c r="E129" s="1661">
        <v>0.92</v>
      </c>
      <c r="F129" s="1664">
        <f t="shared" si="7"/>
        <v>0.92</v>
      </c>
      <c r="G129" s="1661">
        <f t="shared" si="9"/>
        <v>0.92</v>
      </c>
      <c r="H129" s="1567" t="str">
        <f t="shared" si="8"/>
        <v xml:space="preserve"> </v>
      </c>
    </row>
    <row r="130" spans="2:8">
      <c r="B130" s="1659">
        <v>39753</v>
      </c>
      <c r="C130" s="1567">
        <f t="shared" si="5"/>
        <v>480</v>
      </c>
      <c r="D130" s="1567">
        <f t="shared" si="6"/>
        <v>480</v>
      </c>
      <c r="E130" s="1661">
        <v>0.92</v>
      </c>
      <c r="F130" s="1664">
        <f t="shared" si="7"/>
        <v>0.92</v>
      </c>
      <c r="G130" s="1661">
        <f t="shared" si="9"/>
        <v>0.92</v>
      </c>
      <c r="H130" s="1567" t="str">
        <f t="shared" si="8"/>
        <v xml:space="preserve"> </v>
      </c>
    </row>
    <row r="131" spans="2:8">
      <c r="B131" s="1659">
        <v>39783</v>
      </c>
      <c r="C131" s="1567">
        <f t="shared" si="5"/>
        <v>480</v>
      </c>
      <c r="D131" s="1567">
        <f t="shared" si="6"/>
        <v>480</v>
      </c>
      <c r="E131" s="1661">
        <v>0.92</v>
      </c>
      <c r="F131" s="1664">
        <f t="shared" si="7"/>
        <v>0.92</v>
      </c>
      <c r="G131" s="1661">
        <f t="shared" si="9"/>
        <v>0.92</v>
      </c>
      <c r="H131" s="1567" t="str">
        <f t="shared" si="8"/>
        <v xml:space="preserve"> </v>
      </c>
    </row>
    <row r="132" spans="2:8">
      <c r="B132" s="1659">
        <v>39814</v>
      </c>
      <c r="C132" s="1567">
        <f t="shared" si="5"/>
        <v>480</v>
      </c>
      <c r="D132" s="1567">
        <f t="shared" si="6"/>
        <v>480</v>
      </c>
      <c r="E132" s="1661">
        <v>0.92</v>
      </c>
      <c r="F132" s="1664">
        <f t="shared" si="7"/>
        <v>0.92</v>
      </c>
      <c r="G132" s="1661">
        <f t="shared" si="9"/>
        <v>0.92</v>
      </c>
      <c r="H132" s="1567" t="str">
        <f t="shared" si="8"/>
        <v xml:space="preserve"> </v>
      </c>
    </row>
    <row r="133" spans="2:8">
      <c r="B133" s="1659">
        <v>39845</v>
      </c>
      <c r="C133" s="1567">
        <f t="shared" si="5"/>
        <v>480</v>
      </c>
      <c r="D133" s="1567">
        <f t="shared" si="6"/>
        <v>480</v>
      </c>
      <c r="E133" s="1661">
        <v>0.92</v>
      </c>
      <c r="F133" s="1664">
        <f t="shared" si="7"/>
        <v>0.92</v>
      </c>
      <c r="G133" s="1661">
        <f t="shared" si="9"/>
        <v>0.92</v>
      </c>
      <c r="H133" s="1567" t="str">
        <f t="shared" si="8"/>
        <v xml:space="preserve"> </v>
      </c>
    </row>
    <row r="134" spans="2:8">
      <c r="B134" s="1659">
        <v>39873</v>
      </c>
      <c r="C134" s="1567">
        <f t="shared" si="5"/>
        <v>480</v>
      </c>
      <c r="D134" s="1567">
        <f t="shared" si="6"/>
        <v>480</v>
      </c>
      <c r="E134" s="1661">
        <v>0.92</v>
      </c>
      <c r="F134" s="1664">
        <f t="shared" si="7"/>
        <v>0.92</v>
      </c>
      <c r="G134" s="1661">
        <f t="shared" si="9"/>
        <v>0.92</v>
      </c>
      <c r="H134" s="1567" t="str">
        <f t="shared" si="8"/>
        <v xml:space="preserve"> </v>
      </c>
    </row>
    <row r="135" spans="2:8">
      <c r="B135" s="1659">
        <v>39904</v>
      </c>
      <c r="C135" s="1567">
        <f t="shared" si="5"/>
        <v>480</v>
      </c>
      <c r="D135" s="1567">
        <f t="shared" si="6"/>
        <v>480</v>
      </c>
      <c r="E135" s="1661">
        <v>0.92</v>
      </c>
      <c r="F135" s="1664">
        <f t="shared" si="7"/>
        <v>0.92</v>
      </c>
      <c r="G135" s="1661">
        <f t="shared" si="9"/>
        <v>0.92</v>
      </c>
      <c r="H135" s="1567" t="str">
        <f t="shared" si="8"/>
        <v xml:space="preserve"> </v>
      </c>
    </row>
    <row r="136" spans="2:8">
      <c r="B136" s="1659">
        <v>39934</v>
      </c>
      <c r="C136" s="1567">
        <f t="shared" si="5"/>
        <v>480</v>
      </c>
      <c r="D136" s="1567">
        <f t="shared" si="6"/>
        <v>480</v>
      </c>
      <c r="E136" s="1661">
        <v>0.92</v>
      </c>
      <c r="F136" s="1664">
        <f t="shared" si="7"/>
        <v>0.92</v>
      </c>
      <c r="G136" s="1661">
        <f t="shared" si="9"/>
        <v>0.92</v>
      </c>
      <c r="H136" s="1567" t="str">
        <f t="shared" si="8"/>
        <v xml:space="preserve"> </v>
      </c>
    </row>
    <row r="137" spans="2:8">
      <c r="B137" s="1659">
        <v>39965</v>
      </c>
      <c r="C137" s="1567">
        <f t="shared" si="5"/>
        <v>480</v>
      </c>
      <c r="D137" s="1567">
        <f t="shared" si="6"/>
        <v>480</v>
      </c>
      <c r="E137" s="1661">
        <v>0.92</v>
      </c>
      <c r="F137" s="1664">
        <f t="shared" si="7"/>
        <v>0.92</v>
      </c>
      <c r="G137" s="1661">
        <f t="shared" si="9"/>
        <v>0.92</v>
      </c>
      <c r="H137" s="1567" t="str">
        <f t="shared" si="8"/>
        <v xml:space="preserve"> </v>
      </c>
    </row>
    <row r="138" spans="2:8">
      <c r="B138" s="1659">
        <v>39995</v>
      </c>
      <c r="C138" s="1567">
        <f t="shared" si="5"/>
        <v>480</v>
      </c>
      <c r="D138" s="1567">
        <f t="shared" si="6"/>
        <v>480</v>
      </c>
      <c r="E138" s="1661">
        <v>0.92</v>
      </c>
      <c r="F138" s="1664">
        <f t="shared" si="7"/>
        <v>0.92</v>
      </c>
      <c r="G138" s="1661">
        <f t="shared" si="9"/>
        <v>0.92</v>
      </c>
      <c r="H138" s="1567" t="str">
        <f t="shared" si="8"/>
        <v xml:space="preserve"> </v>
      </c>
    </row>
    <row r="139" spans="2:8">
      <c r="B139" s="1659">
        <v>40026</v>
      </c>
      <c r="C139" s="1567">
        <f t="shared" si="5"/>
        <v>480</v>
      </c>
      <c r="D139" s="1567">
        <f t="shared" si="6"/>
        <v>480</v>
      </c>
      <c r="E139" s="1661">
        <v>0.92</v>
      </c>
      <c r="F139" s="1664">
        <f t="shared" si="7"/>
        <v>0.92</v>
      </c>
      <c r="G139" s="1661">
        <f t="shared" si="9"/>
        <v>0.92</v>
      </c>
      <c r="H139" s="1567" t="str">
        <f t="shared" si="8"/>
        <v xml:space="preserve"> </v>
      </c>
    </row>
    <row r="140" spans="2:8">
      <c r="B140" s="1659">
        <v>40057</v>
      </c>
      <c r="C140" s="1567">
        <f t="shared" si="5"/>
        <v>480</v>
      </c>
      <c r="D140" s="1567">
        <f t="shared" si="6"/>
        <v>480</v>
      </c>
      <c r="E140" s="1661">
        <v>0.92</v>
      </c>
      <c r="F140" s="1664">
        <f t="shared" si="7"/>
        <v>0.92</v>
      </c>
      <c r="G140" s="1661">
        <f t="shared" si="9"/>
        <v>0.92</v>
      </c>
      <c r="H140" s="1567" t="str">
        <f t="shared" si="8"/>
        <v xml:space="preserve"> </v>
      </c>
    </row>
    <row r="141" spans="2:8">
      <c r="B141" s="1659">
        <v>40087</v>
      </c>
      <c r="C141" s="1567">
        <f t="shared" si="5"/>
        <v>480</v>
      </c>
      <c r="D141" s="1567">
        <f t="shared" si="6"/>
        <v>480</v>
      </c>
      <c r="E141" s="1661">
        <v>0.92</v>
      </c>
      <c r="F141" s="1664">
        <f t="shared" si="7"/>
        <v>0.92</v>
      </c>
      <c r="G141" s="1661">
        <f t="shared" si="9"/>
        <v>0.92</v>
      </c>
      <c r="H141" s="1567" t="str">
        <f t="shared" si="8"/>
        <v xml:space="preserve"> </v>
      </c>
    </row>
    <row r="142" spans="2:8">
      <c r="B142" s="1659">
        <v>40118</v>
      </c>
      <c r="C142" s="1567">
        <f t="shared" si="5"/>
        <v>480</v>
      </c>
      <c r="D142" s="1567">
        <f t="shared" si="6"/>
        <v>480</v>
      </c>
      <c r="E142" s="1661">
        <v>0.92</v>
      </c>
      <c r="F142" s="1664">
        <f t="shared" si="7"/>
        <v>0.92</v>
      </c>
      <c r="G142" s="1661">
        <f t="shared" si="9"/>
        <v>0.92</v>
      </c>
      <c r="H142" s="1567" t="str">
        <f t="shared" si="8"/>
        <v xml:space="preserve"> </v>
      </c>
    </row>
    <row r="143" spans="2:8">
      <c r="B143" s="1659">
        <v>40148</v>
      </c>
      <c r="C143" s="1567">
        <f t="shared" ref="C143:C206" si="10">IF(B143&lt;PPA_COD_PhII,$D$6,IF(B143&lt;$C$9,$D$7,$D$9))</f>
        <v>480</v>
      </c>
      <c r="D143" s="1567">
        <f t="shared" ref="D143:D206" si="11">IF(B143&lt;$F$8,$G$6,IF(B143&lt;$F$9,$G$8,$G$9))</f>
        <v>480</v>
      </c>
      <c r="E143" s="1661">
        <v>0.92</v>
      </c>
      <c r="F143" s="1664">
        <f t="shared" ref="F143:F206" si="12">IF(OR(B143&lt;$F$8,$F$9&lt;=B143),MIN($E$6,D143/C143),$H$8)</f>
        <v>0.92</v>
      </c>
      <c r="G143" s="1661">
        <f t="shared" si="9"/>
        <v>0.92</v>
      </c>
      <c r="H143" s="1567" t="str">
        <f t="shared" si="8"/>
        <v xml:space="preserve"> </v>
      </c>
    </row>
    <row r="144" spans="2:8">
      <c r="B144" s="1659">
        <v>40179</v>
      </c>
      <c r="C144" s="1567">
        <f t="shared" si="10"/>
        <v>480</v>
      </c>
      <c r="D144" s="1567">
        <f t="shared" si="11"/>
        <v>480</v>
      </c>
      <c r="E144" s="1661">
        <v>0.92</v>
      </c>
      <c r="F144" s="1664">
        <f t="shared" si="12"/>
        <v>0.92</v>
      </c>
      <c r="G144" s="1661">
        <f t="shared" si="9"/>
        <v>0.92</v>
      </c>
      <c r="H144" s="1567" t="str">
        <f t="shared" ref="H144:H207" si="13">IF(G144&gt;=$E$6," ","LDs")</f>
        <v xml:space="preserve"> </v>
      </c>
    </row>
    <row r="145" spans="2:8">
      <c r="B145" s="1659">
        <v>40210</v>
      </c>
      <c r="C145" s="1567">
        <f t="shared" si="10"/>
        <v>480</v>
      </c>
      <c r="D145" s="1567">
        <f t="shared" si="11"/>
        <v>480</v>
      </c>
      <c r="E145" s="1661">
        <v>0.92</v>
      </c>
      <c r="F145" s="1664">
        <f t="shared" si="12"/>
        <v>0.92</v>
      </c>
      <c r="G145" s="1661">
        <f t="shared" si="9"/>
        <v>0.92</v>
      </c>
      <c r="H145" s="1567" t="str">
        <f t="shared" si="13"/>
        <v xml:space="preserve"> </v>
      </c>
    </row>
    <row r="146" spans="2:8">
      <c r="B146" s="1659">
        <v>40238</v>
      </c>
      <c r="C146" s="1567">
        <f t="shared" si="10"/>
        <v>480</v>
      </c>
      <c r="D146" s="1567">
        <f t="shared" si="11"/>
        <v>480</v>
      </c>
      <c r="E146" s="1661">
        <v>0.92</v>
      </c>
      <c r="F146" s="1664">
        <f t="shared" si="12"/>
        <v>0.92</v>
      </c>
      <c r="G146" s="1661">
        <f t="shared" si="9"/>
        <v>0.92</v>
      </c>
      <c r="H146" s="1567" t="str">
        <f t="shared" si="13"/>
        <v xml:space="preserve"> </v>
      </c>
    </row>
    <row r="147" spans="2:8">
      <c r="B147" s="1659">
        <v>40269</v>
      </c>
      <c r="C147" s="1567">
        <f t="shared" si="10"/>
        <v>480</v>
      </c>
      <c r="D147" s="1567">
        <f t="shared" si="11"/>
        <v>480</v>
      </c>
      <c r="E147" s="1661">
        <v>0.92</v>
      </c>
      <c r="F147" s="1664">
        <f t="shared" si="12"/>
        <v>0.92</v>
      </c>
      <c r="G147" s="1661">
        <f t="shared" si="9"/>
        <v>0.92</v>
      </c>
      <c r="H147" s="1567" t="str">
        <f t="shared" si="13"/>
        <v xml:space="preserve"> </v>
      </c>
    </row>
    <row r="148" spans="2:8">
      <c r="B148" s="1659">
        <v>40299</v>
      </c>
      <c r="C148" s="1567">
        <f t="shared" si="10"/>
        <v>480</v>
      </c>
      <c r="D148" s="1567">
        <f t="shared" si="11"/>
        <v>480</v>
      </c>
      <c r="E148" s="1661">
        <v>0.92</v>
      </c>
      <c r="F148" s="1664">
        <f t="shared" si="12"/>
        <v>0.92</v>
      </c>
      <c r="G148" s="1661">
        <f t="shared" si="9"/>
        <v>0.92</v>
      </c>
      <c r="H148" s="1567" t="str">
        <f t="shared" si="13"/>
        <v xml:space="preserve"> </v>
      </c>
    </row>
    <row r="149" spans="2:8">
      <c r="B149" s="1659">
        <v>40330</v>
      </c>
      <c r="C149" s="1567">
        <f t="shared" si="10"/>
        <v>480</v>
      </c>
      <c r="D149" s="1567">
        <f t="shared" si="11"/>
        <v>480</v>
      </c>
      <c r="E149" s="1661">
        <v>0.92</v>
      </c>
      <c r="F149" s="1664">
        <f t="shared" si="12"/>
        <v>0.92</v>
      </c>
      <c r="G149" s="1661">
        <f t="shared" si="9"/>
        <v>0.92</v>
      </c>
      <c r="H149" s="1567" t="str">
        <f t="shared" si="13"/>
        <v xml:space="preserve"> </v>
      </c>
    </row>
    <row r="150" spans="2:8">
      <c r="B150" s="1659">
        <v>40360</v>
      </c>
      <c r="C150" s="1567">
        <f t="shared" si="10"/>
        <v>480</v>
      </c>
      <c r="D150" s="1567">
        <f t="shared" si="11"/>
        <v>480</v>
      </c>
      <c r="E150" s="1661">
        <v>0.92</v>
      </c>
      <c r="F150" s="1664">
        <f t="shared" si="12"/>
        <v>0.92</v>
      </c>
      <c r="G150" s="1661">
        <f t="shared" si="9"/>
        <v>0.92</v>
      </c>
      <c r="H150" s="1567" t="str">
        <f t="shared" si="13"/>
        <v xml:space="preserve"> </v>
      </c>
    </row>
    <row r="151" spans="2:8">
      <c r="B151" s="1659">
        <v>40391</v>
      </c>
      <c r="C151" s="1567">
        <f t="shared" si="10"/>
        <v>480</v>
      </c>
      <c r="D151" s="1567">
        <f t="shared" si="11"/>
        <v>480</v>
      </c>
      <c r="E151" s="1661">
        <v>0.92</v>
      </c>
      <c r="F151" s="1664">
        <f t="shared" si="12"/>
        <v>0.92</v>
      </c>
      <c r="G151" s="1661">
        <f t="shared" si="9"/>
        <v>0.92</v>
      </c>
      <c r="H151" s="1567" t="str">
        <f t="shared" si="13"/>
        <v xml:space="preserve"> </v>
      </c>
    </row>
    <row r="152" spans="2:8">
      <c r="B152" s="1659">
        <v>40422</v>
      </c>
      <c r="C152" s="1567">
        <f t="shared" si="10"/>
        <v>480</v>
      </c>
      <c r="D152" s="1567">
        <f t="shared" si="11"/>
        <v>480</v>
      </c>
      <c r="E152" s="1661">
        <v>0.92</v>
      </c>
      <c r="F152" s="1664">
        <f t="shared" si="12"/>
        <v>0.92</v>
      </c>
      <c r="G152" s="1661">
        <f t="shared" si="9"/>
        <v>0.92</v>
      </c>
      <c r="H152" s="1567" t="str">
        <f t="shared" si="13"/>
        <v xml:space="preserve"> </v>
      </c>
    </row>
    <row r="153" spans="2:8">
      <c r="B153" s="1659">
        <v>40452</v>
      </c>
      <c r="C153" s="1567">
        <f t="shared" si="10"/>
        <v>480</v>
      </c>
      <c r="D153" s="1567">
        <f t="shared" si="11"/>
        <v>480</v>
      </c>
      <c r="E153" s="1661">
        <v>0.92</v>
      </c>
      <c r="F153" s="1664">
        <f t="shared" si="12"/>
        <v>0.92</v>
      </c>
      <c r="G153" s="1661">
        <f t="shared" si="9"/>
        <v>0.92</v>
      </c>
      <c r="H153" s="1567" t="str">
        <f t="shared" si="13"/>
        <v xml:space="preserve"> </v>
      </c>
    </row>
    <row r="154" spans="2:8">
      <c r="B154" s="1659">
        <v>40483</v>
      </c>
      <c r="C154" s="1567">
        <f t="shared" si="10"/>
        <v>480</v>
      </c>
      <c r="D154" s="1567">
        <f t="shared" si="11"/>
        <v>480</v>
      </c>
      <c r="E154" s="1661">
        <v>0.92</v>
      </c>
      <c r="F154" s="1664">
        <f t="shared" si="12"/>
        <v>0.92</v>
      </c>
      <c r="G154" s="1661">
        <f t="shared" si="9"/>
        <v>0.92</v>
      </c>
      <c r="H154" s="1567" t="str">
        <f t="shared" si="13"/>
        <v xml:space="preserve"> </v>
      </c>
    </row>
    <row r="155" spans="2:8">
      <c r="B155" s="1659">
        <v>40513</v>
      </c>
      <c r="C155" s="1567">
        <f t="shared" si="10"/>
        <v>480</v>
      </c>
      <c r="D155" s="1567">
        <f t="shared" si="11"/>
        <v>480</v>
      </c>
      <c r="E155" s="1661">
        <v>0.92</v>
      </c>
      <c r="F155" s="1664">
        <f t="shared" si="12"/>
        <v>0.92</v>
      </c>
      <c r="G155" s="1661">
        <f t="shared" si="9"/>
        <v>0.92</v>
      </c>
      <c r="H155" s="1567" t="str">
        <f t="shared" si="13"/>
        <v xml:space="preserve"> </v>
      </c>
    </row>
    <row r="156" spans="2:8">
      <c r="B156" s="1659">
        <v>40544</v>
      </c>
      <c r="C156" s="1567">
        <f t="shared" si="10"/>
        <v>480</v>
      </c>
      <c r="D156" s="1567">
        <f t="shared" si="11"/>
        <v>480</v>
      </c>
      <c r="E156" s="1661">
        <v>0.92</v>
      </c>
      <c r="F156" s="1664">
        <f t="shared" si="12"/>
        <v>0.92</v>
      </c>
      <c r="G156" s="1661">
        <f t="shared" ref="G156:G219" si="14">SUM(F144:F155)/12</f>
        <v>0.92</v>
      </c>
      <c r="H156" s="1567" t="str">
        <f t="shared" si="13"/>
        <v xml:space="preserve"> </v>
      </c>
    </row>
    <row r="157" spans="2:8">
      <c r="B157" s="1659">
        <v>40575</v>
      </c>
      <c r="C157" s="1567">
        <f t="shared" si="10"/>
        <v>480</v>
      </c>
      <c r="D157" s="1567">
        <f t="shared" si="11"/>
        <v>480</v>
      </c>
      <c r="E157" s="1661">
        <v>0.92</v>
      </c>
      <c r="F157" s="1664">
        <f t="shared" si="12"/>
        <v>0.92</v>
      </c>
      <c r="G157" s="1661">
        <f t="shared" si="14"/>
        <v>0.92</v>
      </c>
      <c r="H157" s="1567" t="str">
        <f t="shared" si="13"/>
        <v xml:space="preserve"> </v>
      </c>
    </row>
    <row r="158" spans="2:8">
      <c r="B158" s="1659">
        <v>40603</v>
      </c>
      <c r="C158" s="1567">
        <f t="shared" si="10"/>
        <v>480</v>
      </c>
      <c r="D158" s="1567">
        <f t="shared" si="11"/>
        <v>480</v>
      </c>
      <c r="E158" s="1661">
        <v>0.92</v>
      </c>
      <c r="F158" s="1664">
        <f t="shared" si="12"/>
        <v>0.92</v>
      </c>
      <c r="G158" s="1661">
        <f t="shared" si="14"/>
        <v>0.92</v>
      </c>
      <c r="H158" s="1567" t="str">
        <f t="shared" si="13"/>
        <v xml:space="preserve"> </v>
      </c>
    </row>
    <row r="159" spans="2:8">
      <c r="B159" s="1659">
        <v>40634</v>
      </c>
      <c r="C159" s="1567">
        <f t="shared" si="10"/>
        <v>480</v>
      </c>
      <c r="D159" s="1567">
        <f t="shared" si="11"/>
        <v>480</v>
      </c>
      <c r="E159" s="1661">
        <v>0.92</v>
      </c>
      <c r="F159" s="1664">
        <f t="shared" si="12"/>
        <v>0.92</v>
      </c>
      <c r="G159" s="1661">
        <f t="shared" si="14"/>
        <v>0.92</v>
      </c>
      <c r="H159" s="1567" t="str">
        <f t="shared" si="13"/>
        <v xml:space="preserve"> </v>
      </c>
    </row>
    <row r="160" spans="2:8">
      <c r="B160" s="1659">
        <v>40664</v>
      </c>
      <c r="C160" s="1567">
        <f t="shared" si="10"/>
        <v>480</v>
      </c>
      <c r="D160" s="1567">
        <f t="shared" si="11"/>
        <v>480</v>
      </c>
      <c r="E160" s="1661">
        <v>0.92</v>
      </c>
      <c r="F160" s="1664">
        <f t="shared" si="12"/>
        <v>0.92</v>
      </c>
      <c r="G160" s="1661">
        <f t="shared" si="14"/>
        <v>0.92</v>
      </c>
      <c r="H160" s="1567" t="str">
        <f t="shared" si="13"/>
        <v xml:space="preserve"> </v>
      </c>
    </row>
    <row r="161" spans="2:8">
      <c r="B161" s="1659">
        <v>40695</v>
      </c>
      <c r="C161" s="1567">
        <f t="shared" si="10"/>
        <v>480</v>
      </c>
      <c r="D161" s="1567">
        <f t="shared" si="11"/>
        <v>480</v>
      </c>
      <c r="E161" s="1661">
        <v>0.92</v>
      </c>
      <c r="F161" s="1664">
        <f t="shared" si="12"/>
        <v>0.92</v>
      </c>
      <c r="G161" s="1661">
        <f t="shared" si="14"/>
        <v>0.92</v>
      </c>
      <c r="H161" s="1567" t="str">
        <f t="shared" si="13"/>
        <v xml:space="preserve"> </v>
      </c>
    </row>
    <row r="162" spans="2:8">
      <c r="B162" s="1659">
        <v>40725</v>
      </c>
      <c r="C162" s="1567">
        <f t="shared" si="10"/>
        <v>480</v>
      </c>
      <c r="D162" s="1567">
        <f t="shared" si="11"/>
        <v>480</v>
      </c>
      <c r="E162" s="1661">
        <v>0.92</v>
      </c>
      <c r="F162" s="1664">
        <f t="shared" si="12"/>
        <v>0.92</v>
      </c>
      <c r="G162" s="1661">
        <f t="shared" si="14"/>
        <v>0.92</v>
      </c>
      <c r="H162" s="1567" t="str">
        <f t="shared" si="13"/>
        <v xml:space="preserve"> </v>
      </c>
    </row>
    <row r="163" spans="2:8">
      <c r="B163" s="1659">
        <v>40756</v>
      </c>
      <c r="C163" s="1567">
        <f t="shared" si="10"/>
        <v>480</v>
      </c>
      <c r="D163" s="1567">
        <f t="shared" si="11"/>
        <v>480</v>
      </c>
      <c r="E163" s="1661">
        <v>0.92</v>
      </c>
      <c r="F163" s="1664">
        <f t="shared" si="12"/>
        <v>0.92</v>
      </c>
      <c r="G163" s="1661">
        <f t="shared" si="14"/>
        <v>0.92</v>
      </c>
      <c r="H163" s="1567" t="str">
        <f t="shared" si="13"/>
        <v xml:space="preserve"> </v>
      </c>
    </row>
    <row r="164" spans="2:8">
      <c r="B164" s="1659">
        <v>40787</v>
      </c>
      <c r="C164" s="1567">
        <f t="shared" si="10"/>
        <v>480</v>
      </c>
      <c r="D164" s="1567">
        <f t="shared" si="11"/>
        <v>480</v>
      </c>
      <c r="E164" s="1661">
        <v>0.92</v>
      </c>
      <c r="F164" s="1664">
        <f t="shared" si="12"/>
        <v>0.92</v>
      </c>
      <c r="G164" s="1661">
        <f t="shared" si="14"/>
        <v>0.92</v>
      </c>
      <c r="H164" s="1567" t="str">
        <f t="shared" si="13"/>
        <v xml:space="preserve"> </v>
      </c>
    </row>
    <row r="165" spans="2:8">
      <c r="B165" s="1659">
        <v>40817</v>
      </c>
      <c r="C165" s="1567">
        <f t="shared" si="10"/>
        <v>480</v>
      </c>
      <c r="D165" s="1567">
        <f t="shared" si="11"/>
        <v>480</v>
      </c>
      <c r="E165" s="1661">
        <v>0.92</v>
      </c>
      <c r="F165" s="1664">
        <f t="shared" si="12"/>
        <v>0.92</v>
      </c>
      <c r="G165" s="1661">
        <f t="shared" si="14"/>
        <v>0.92</v>
      </c>
      <c r="H165" s="1567" t="str">
        <f t="shared" si="13"/>
        <v xml:space="preserve"> </v>
      </c>
    </row>
    <row r="166" spans="2:8">
      <c r="B166" s="1659">
        <v>40848</v>
      </c>
      <c r="C166" s="1567">
        <f t="shared" si="10"/>
        <v>480</v>
      </c>
      <c r="D166" s="1567">
        <f t="shared" si="11"/>
        <v>480</v>
      </c>
      <c r="E166" s="1661">
        <v>0.92</v>
      </c>
      <c r="F166" s="1664">
        <f t="shared" si="12"/>
        <v>0.92</v>
      </c>
      <c r="G166" s="1661">
        <f t="shared" si="14"/>
        <v>0.92</v>
      </c>
      <c r="H166" s="1567" t="str">
        <f t="shared" si="13"/>
        <v xml:space="preserve"> </v>
      </c>
    </row>
    <row r="167" spans="2:8">
      <c r="B167" s="1659">
        <v>40878</v>
      </c>
      <c r="C167" s="1567">
        <f t="shared" si="10"/>
        <v>480</v>
      </c>
      <c r="D167" s="1567">
        <f t="shared" si="11"/>
        <v>480</v>
      </c>
      <c r="E167" s="1661">
        <v>0.92</v>
      </c>
      <c r="F167" s="1664">
        <f t="shared" si="12"/>
        <v>0.92</v>
      </c>
      <c r="G167" s="1661">
        <f t="shared" si="14"/>
        <v>0.92</v>
      </c>
      <c r="H167" s="1567" t="str">
        <f t="shared" si="13"/>
        <v xml:space="preserve"> </v>
      </c>
    </row>
    <row r="168" spans="2:8">
      <c r="B168" s="1659">
        <v>40909</v>
      </c>
      <c r="C168" s="1567">
        <f t="shared" si="10"/>
        <v>480</v>
      </c>
      <c r="D168" s="1567">
        <f t="shared" si="11"/>
        <v>480</v>
      </c>
      <c r="E168" s="1661">
        <v>0.92</v>
      </c>
      <c r="F168" s="1664">
        <f t="shared" si="12"/>
        <v>0.92</v>
      </c>
      <c r="G168" s="1661">
        <f t="shared" si="14"/>
        <v>0.92</v>
      </c>
      <c r="H168" s="1567" t="str">
        <f t="shared" si="13"/>
        <v xml:space="preserve"> </v>
      </c>
    </row>
    <row r="169" spans="2:8">
      <c r="B169" s="1659">
        <v>40940</v>
      </c>
      <c r="C169" s="1567">
        <f t="shared" si="10"/>
        <v>480</v>
      </c>
      <c r="D169" s="1567">
        <f t="shared" si="11"/>
        <v>480</v>
      </c>
      <c r="E169" s="1661">
        <v>0.92</v>
      </c>
      <c r="F169" s="1664">
        <f t="shared" si="12"/>
        <v>0.92</v>
      </c>
      <c r="G169" s="1661">
        <f t="shared" si="14"/>
        <v>0.92</v>
      </c>
      <c r="H169" s="1567" t="str">
        <f t="shared" si="13"/>
        <v xml:space="preserve"> </v>
      </c>
    </row>
    <row r="170" spans="2:8">
      <c r="B170" s="1659">
        <v>40969</v>
      </c>
      <c r="C170" s="1567">
        <f t="shared" si="10"/>
        <v>480</v>
      </c>
      <c r="D170" s="1567">
        <f t="shared" si="11"/>
        <v>480</v>
      </c>
      <c r="E170" s="1661">
        <v>0.92</v>
      </c>
      <c r="F170" s="1664">
        <f t="shared" si="12"/>
        <v>0.92</v>
      </c>
      <c r="G170" s="1661">
        <f t="shared" si="14"/>
        <v>0.92</v>
      </c>
      <c r="H170" s="1567" t="str">
        <f t="shared" si="13"/>
        <v xml:space="preserve"> </v>
      </c>
    </row>
    <row r="171" spans="2:8">
      <c r="B171" s="1659">
        <v>41000</v>
      </c>
      <c r="C171" s="1567">
        <f t="shared" si="10"/>
        <v>480</v>
      </c>
      <c r="D171" s="1567">
        <f t="shared" si="11"/>
        <v>480</v>
      </c>
      <c r="E171" s="1661">
        <v>0.92</v>
      </c>
      <c r="F171" s="1664">
        <f t="shared" si="12"/>
        <v>0.92</v>
      </c>
      <c r="G171" s="1661">
        <f t="shared" si="14"/>
        <v>0.92</v>
      </c>
      <c r="H171" s="1567" t="str">
        <f t="shared" si="13"/>
        <v xml:space="preserve"> </v>
      </c>
    </row>
    <row r="172" spans="2:8">
      <c r="B172" s="1659">
        <v>41030</v>
      </c>
      <c r="C172" s="1567">
        <f t="shared" si="10"/>
        <v>480</v>
      </c>
      <c r="D172" s="1567">
        <f t="shared" si="11"/>
        <v>480</v>
      </c>
      <c r="E172" s="1661">
        <v>0.92</v>
      </c>
      <c r="F172" s="1664">
        <f t="shared" si="12"/>
        <v>0.92</v>
      </c>
      <c r="G172" s="1661">
        <f t="shared" si="14"/>
        <v>0.92</v>
      </c>
      <c r="H172" s="1567" t="str">
        <f t="shared" si="13"/>
        <v xml:space="preserve"> </v>
      </c>
    </row>
    <row r="173" spans="2:8">
      <c r="B173" s="1659">
        <v>41061</v>
      </c>
      <c r="C173" s="1567">
        <f t="shared" si="10"/>
        <v>480</v>
      </c>
      <c r="D173" s="1567">
        <f t="shared" si="11"/>
        <v>480</v>
      </c>
      <c r="E173" s="1661">
        <v>0.92</v>
      </c>
      <c r="F173" s="1664">
        <f t="shared" si="12"/>
        <v>0.92</v>
      </c>
      <c r="G173" s="1661">
        <f t="shared" si="14"/>
        <v>0.92</v>
      </c>
      <c r="H173" s="1567" t="str">
        <f t="shared" si="13"/>
        <v xml:space="preserve"> </v>
      </c>
    </row>
    <row r="174" spans="2:8">
      <c r="B174" s="1659">
        <v>41091</v>
      </c>
      <c r="C174" s="1567">
        <f t="shared" si="10"/>
        <v>480</v>
      </c>
      <c r="D174" s="1567">
        <f t="shared" si="11"/>
        <v>480</v>
      </c>
      <c r="E174" s="1661">
        <v>0.92</v>
      </c>
      <c r="F174" s="1664">
        <f t="shared" si="12"/>
        <v>0.92</v>
      </c>
      <c r="G174" s="1661">
        <f t="shared" si="14"/>
        <v>0.92</v>
      </c>
      <c r="H174" s="1567" t="str">
        <f t="shared" si="13"/>
        <v xml:space="preserve"> </v>
      </c>
    </row>
    <row r="175" spans="2:8">
      <c r="B175" s="1659">
        <v>41122</v>
      </c>
      <c r="C175" s="1567">
        <f t="shared" si="10"/>
        <v>480</v>
      </c>
      <c r="D175" s="1567">
        <f t="shared" si="11"/>
        <v>480</v>
      </c>
      <c r="E175" s="1661">
        <v>0.92</v>
      </c>
      <c r="F175" s="1664">
        <f t="shared" si="12"/>
        <v>0.92</v>
      </c>
      <c r="G175" s="1661">
        <f t="shared" si="14"/>
        <v>0.92</v>
      </c>
      <c r="H175" s="1567" t="str">
        <f t="shared" si="13"/>
        <v xml:space="preserve"> </v>
      </c>
    </row>
    <row r="176" spans="2:8">
      <c r="B176" s="1659">
        <v>41153</v>
      </c>
      <c r="C176" s="1567">
        <f t="shared" si="10"/>
        <v>480</v>
      </c>
      <c r="D176" s="1567">
        <f t="shared" si="11"/>
        <v>480</v>
      </c>
      <c r="E176" s="1661">
        <v>0.92</v>
      </c>
      <c r="F176" s="1664">
        <f t="shared" si="12"/>
        <v>0.92</v>
      </c>
      <c r="G176" s="1661">
        <f t="shared" si="14"/>
        <v>0.92</v>
      </c>
      <c r="H176" s="1567" t="str">
        <f t="shared" si="13"/>
        <v xml:space="preserve"> </v>
      </c>
    </row>
    <row r="177" spans="2:8">
      <c r="B177" s="1659">
        <v>41183</v>
      </c>
      <c r="C177" s="1567">
        <f t="shared" si="10"/>
        <v>480</v>
      </c>
      <c r="D177" s="1567">
        <f t="shared" si="11"/>
        <v>480</v>
      </c>
      <c r="E177" s="1661">
        <v>0.92</v>
      </c>
      <c r="F177" s="1664">
        <f t="shared" si="12"/>
        <v>0.92</v>
      </c>
      <c r="G177" s="1661">
        <f t="shared" si="14"/>
        <v>0.92</v>
      </c>
      <c r="H177" s="1567" t="str">
        <f t="shared" si="13"/>
        <v xml:space="preserve"> </v>
      </c>
    </row>
    <row r="178" spans="2:8">
      <c r="B178" s="1659">
        <v>41214</v>
      </c>
      <c r="C178" s="1567">
        <f t="shared" si="10"/>
        <v>480</v>
      </c>
      <c r="D178" s="1567">
        <f t="shared" si="11"/>
        <v>480</v>
      </c>
      <c r="E178" s="1661">
        <v>0.92</v>
      </c>
      <c r="F178" s="1664">
        <f t="shared" si="12"/>
        <v>0.92</v>
      </c>
      <c r="G178" s="1661">
        <f t="shared" si="14"/>
        <v>0.92</v>
      </c>
      <c r="H178" s="1567" t="str">
        <f t="shared" si="13"/>
        <v xml:space="preserve"> </v>
      </c>
    </row>
    <row r="179" spans="2:8">
      <c r="B179" s="1659">
        <v>41244</v>
      </c>
      <c r="C179" s="1567">
        <f t="shared" si="10"/>
        <v>480</v>
      </c>
      <c r="D179" s="1567">
        <f t="shared" si="11"/>
        <v>480</v>
      </c>
      <c r="E179" s="1661">
        <v>0.92</v>
      </c>
      <c r="F179" s="1664">
        <f t="shared" si="12"/>
        <v>0.92</v>
      </c>
      <c r="G179" s="1661">
        <f t="shared" si="14"/>
        <v>0.92</v>
      </c>
      <c r="H179" s="1567" t="str">
        <f t="shared" si="13"/>
        <v xml:space="preserve"> </v>
      </c>
    </row>
    <row r="180" spans="2:8">
      <c r="B180" s="1659">
        <v>41275</v>
      </c>
      <c r="C180" s="1567">
        <f t="shared" si="10"/>
        <v>480</v>
      </c>
      <c r="D180" s="1567">
        <f t="shared" si="11"/>
        <v>480</v>
      </c>
      <c r="E180" s="1661">
        <v>0.92</v>
      </c>
      <c r="F180" s="1664">
        <f t="shared" si="12"/>
        <v>0.92</v>
      </c>
      <c r="G180" s="1661">
        <f t="shared" si="14"/>
        <v>0.92</v>
      </c>
      <c r="H180" s="1567" t="str">
        <f t="shared" si="13"/>
        <v xml:space="preserve"> </v>
      </c>
    </row>
    <row r="181" spans="2:8">
      <c r="B181" s="1659">
        <v>41306</v>
      </c>
      <c r="C181" s="1567">
        <f t="shared" si="10"/>
        <v>480</v>
      </c>
      <c r="D181" s="1567">
        <f t="shared" si="11"/>
        <v>480</v>
      </c>
      <c r="E181" s="1661">
        <v>0.92</v>
      </c>
      <c r="F181" s="1664">
        <f t="shared" si="12"/>
        <v>0.92</v>
      </c>
      <c r="G181" s="1661">
        <f t="shared" si="14"/>
        <v>0.92</v>
      </c>
      <c r="H181" s="1567" t="str">
        <f t="shared" si="13"/>
        <v xml:space="preserve"> </v>
      </c>
    </row>
    <row r="182" spans="2:8">
      <c r="B182" s="1659">
        <v>41334</v>
      </c>
      <c r="C182" s="1567">
        <f t="shared" si="10"/>
        <v>480</v>
      </c>
      <c r="D182" s="1567">
        <f t="shared" si="11"/>
        <v>480</v>
      </c>
      <c r="E182" s="1661">
        <v>0.92</v>
      </c>
      <c r="F182" s="1664">
        <f t="shared" si="12"/>
        <v>0.92</v>
      </c>
      <c r="G182" s="1661">
        <f t="shared" si="14"/>
        <v>0.92</v>
      </c>
      <c r="H182" s="1567" t="str">
        <f t="shared" si="13"/>
        <v xml:space="preserve"> </v>
      </c>
    </row>
    <row r="183" spans="2:8">
      <c r="B183" s="1659">
        <v>41365</v>
      </c>
      <c r="C183" s="1567">
        <f t="shared" si="10"/>
        <v>480</v>
      </c>
      <c r="D183" s="1567">
        <f t="shared" si="11"/>
        <v>480</v>
      </c>
      <c r="E183" s="1661">
        <v>0.92</v>
      </c>
      <c r="F183" s="1664">
        <f t="shared" si="12"/>
        <v>0.92</v>
      </c>
      <c r="G183" s="1661">
        <f t="shared" si="14"/>
        <v>0.92</v>
      </c>
      <c r="H183" s="1567" t="str">
        <f t="shared" si="13"/>
        <v xml:space="preserve"> </v>
      </c>
    </row>
    <row r="184" spans="2:8">
      <c r="B184" s="1659">
        <v>41395</v>
      </c>
      <c r="C184" s="1567">
        <f t="shared" si="10"/>
        <v>480</v>
      </c>
      <c r="D184" s="1567">
        <f t="shared" si="11"/>
        <v>480</v>
      </c>
      <c r="E184" s="1661">
        <v>0.92</v>
      </c>
      <c r="F184" s="1664">
        <f t="shared" si="12"/>
        <v>0.92</v>
      </c>
      <c r="G184" s="1661">
        <f t="shared" si="14"/>
        <v>0.92</v>
      </c>
      <c r="H184" s="1567" t="str">
        <f t="shared" si="13"/>
        <v xml:space="preserve"> </v>
      </c>
    </row>
    <row r="185" spans="2:8">
      <c r="B185" s="1659">
        <v>41426</v>
      </c>
      <c r="C185" s="1567">
        <f t="shared" si="10"/>
        <v>480</v>
      </c>
      <c r="D185" s="1567">
        <f t="shared" si="11"/>
        <v>480</v>
      </c>
      <c r="E185" s="1661">
        <v>0.92</v>
      </c>
      <c r="F185" s="1664">
        <f t="shared" si="12"/>
        <v>0.92</v>
      </c>
      <c r="G185" s="1661">
        <f t="shared" si="14"/>
        <v>0.92</v>
      </c>
      <c r="H185" s="1567" t="str">
        <f t="shared" si="13"/>
        <v xml:space="preserve"> </v>
      </c>
    </row>
    <row r="186" spans="2:8">
      <c r="B186" s="1659">
        <v>41456</v>
      </c>
      <c r="C186" s="1567">
        <f t="shared" si="10"/>
        <v>480</v>
      </c>
      <c r="D186" s="1567">
        <f t="shared" si="11"/>
        <v>480</v>
      </c>
      <c r="E186" s="1661">
        <v>0.92</v>
      </c>
      <c r="F186" s="1664">
        <f t="shared" si="12"/>
        <v>0.92</v>
      </c>
      <c r="G186" s="1661">
        <f t="shared" si="14"/>
        <v>0.92</v>
      </c>
      <c r="H186" s="1567" t="str">
        <f t="shared" si="13"/>
        <v xml:space="preserve"> </v>
      </c>
    </row>
    <row r="187" spans="2:8">
      <c r="B187" s="1659">
        <v>41487</v>
      </c>
      <c r="C187" s="1567">
        <f t="shared" si="10"/>
        <v>480</v>
      </c>
      <c r="D187" s="1567">
        <f t="shared" si="11"/>
        <v>480</v>
      </c>
      <c r="E187" s="1661">
        <v>0.92</v>
      </c>
      <c r="F187" s="1664">
        <f t="shared" si="12"/>
        <v>0.92</v>
      </c>
      <c r="G187" s="1661">
        <f t="shared" si="14"/>
        <v>0.92</v>
      </c>
      <c r="H187" s="1567" t="str">
        <f t="shared" si="13"/>
        <v xml:space="preserve"> </v>
      </c>
    </row>
    <row r="188" spans="2:8">
      <c r="B188" s="1659">
        <v>41518</v>
      </c>
      <c r="C188" s="1567">
        <f t="shared" si="10"/>
        <v>480</v>
      </c>
      <c r="D188" s="1567">
        <f t="shared" si="11"/>
        <v>480</v>
      </c>
      <c r="E188" s="1661">
        <v>0.92</v>
      </c>
      <c r="F188" s="1664">
        <f t="shared" si="12"/>
        <v>0.92</v>
      </c>
      <c r="G188" s="1661">
        <f t="shared" si="14"/>
        <v>0.92</v>
      </c>
      <c r="H188" s="1567" t="str">
        <f t="shared" si="13"/>
        <v xml:space="preserve"> </v>
      </c>
    </row>
    <row r="189" spans="2:8">
      <c r="B189" s="1659">
        <v>41548</v>
      </c>
      <c r="C189" s="1567">
        <f t="shared" si="10"/>
        <v>480</v>
      </c>
      <c r="D189" s="1567">
        <f t="shared" si="11"/>
        <v>480</v>
      </c>
      <c r="E189" s="1661">
        <v>0.92</v>
      </c>
      <c r="F189" s="1664">
        <f t="shared" si="12"/>
        <v>0.92</v>
      </c>
      <c r="G189" s="1661">
        <f t="shared" si="14"/>
        <v>0.92</v>
      </c>
      <c r="H189" s="1567" t="str">
        <f t="shared" si="13"/>
        <v xml:space="preserve"> </v>
      </c>
    </row>
    <row r="190" spans="2:8">
      <c r="B190" s="1659">
        <v>41579</v>
      </c>
      <c r="C190" s="1567">
        <f t="shared" si="10"/>
        <v>480</v>
      </c>
      <c r="D190" s="1567">
        <f t="shared" si="11"/>
        <v>480</v>
      </c>
      <c r="E190" s="1661">
        <v>0.92</v>
      </c>
      <c r="F190" s="1664">
        <f t="shared" si="12"/>
        <v>0.92</v>
      </c>
      <c r="G190" s="1661">
        <f t="shared" si="14"/>
        <v>0.92</v>
      </c>
      <c r="H190" s="1567" t="str">
        <f t="shared" si="13"/>
        <v xml:space="preserve"> </v>
      </c>
    </row>
    <row r="191" spans="2:8">
      <c r="B191" s="1659">
        <v>41609</v>
      </c>
      <c r="C191" s="1567">
        <f t="shared" si="10"/>
        <v>480</v>
      </c>
      <c r="D191" s="1567">
        <f t="shared" si="11"/>
        <v>480</v>
      </c>
      <c r="E191" s="1661">
        <v>0.92</v>
      </c>
      <c r="F191" s="1664">
        <f t="shared" si="12"/>
        <v>0.92</v>
      </c>
      <c r="G191" s="1661">
        <f t="shared" si="14"/>
        <v>0.92</v>
      </c>
      <c r="H191" s="1567" t="str">
        <f t="shared" si="13"/>
        <v xml:space="preserve"> </v>
      </c>
    </row>
    <row r="192" spans="2:8">
      <c r="B192" s="1659">
        <v>41640</v>
      </c>
      <c r="C192" s="1567">
        <f t="shared" si="10"/>
        <v>480</v>
      </c>
      <c r="D192" s="1567">
        <f t="shared" si="11"/>
        <v>480</v>
      </c>
      <c r="E192" s="1661">
        <v>0.92</v>
      </c>
      <c r="F192" s="1664">
        <f t="shared" si="12"/>
        <v>0.92</v>
      </c>
      <c r="G192" s="1661">
        <f t="shared" si="14"/>
        <v>0.92</v>
      </c>
      <c r="H192" s="1567" t="str">
        <f t="shared" si="13"/>
        <v xml:space="preserve"> </v>
      </c>
    </row>
    <row r="193" spans="2:8">
      <c r="B193" s="1659">
        <v>41671</v>
      </c>
      <c r="C193" s="1567">
        <f t="shared" si="10"/>
        <v>480</v>
      </c>
      <c r="D193" s="1567">
        <f t="shared" si="11"/>
        <v>480</v>
      </c>
      <c r="E193" s="1661">
        <v>0.92</v>
      </c>
      <c r="F193" s="1664">
        <f t="shared" si="12"/>
        <v>0.92</v>
      </c>
      <c r="G193" s="1661">
        <f t="shared" si="14"/>
        <v>0.92</v>
      </c>
      <c r="H193" s="1567" t="str">
        <f t="shared" si="13"/>
        <v xml:space="preserve"> </v>
      </c>
    </row>
    <row r="194" spans="2:8">
      <c r="B194" s="1659">
        <v>41699</v>
      </c>
      <c r="C194" s="1567">
        <f t="shared" si="10"/>
        <v>480</v>
      </c>
      <c r="D194" s="1567">
        <f t="shared" si="11"/>
        <v>480</v>
      </c>
      <c r="E194" s="1661">
        <v>0.92</v>
      </c>
      <c r="F194" s="1664">
        <f t="shared" si="12"/>
        <v>0.92</v>
      </c>
      <c r="G194" s="1661">
        <f t="shared" si="14"/>
        <v>0.92</v>
      </c>
      <c r="H194" s="1567" t="str">
        <f t="shared" si="13"/>
        <v xml:space="preserve"> </v>
      </c>
    </row>
    <row r="195" spans="2:8">
      <c r="B195" s="1659">
        <v>41730</v>
      </c>
      <c r="C195" s="1567">
        <f t="shared" si="10"/>
        <v>480</v>
      </c>
      <c r="D195" s="1567">
        <f t="shared" si="11"/>
        <v>480</v>
      </c>
      <c r="E195" s="1661">
        <v>0.92</v>
      </c>
      <c r="F195" s="1664">
        <f t="shared" si="12"/>
        <v>0.92</v>
      </c>
      <c r="G195" s="1661">
        <f t="shared" si="14"/>
        <v>0.92</v>
      </c>
      <c r="H195" s="1567" t="str">
        <f t="shared" si="13"/>
        <v xml:space="preserve"> </v>
      </c>
    </row>
    <row r="196" spans="2:8">
      <c r="B196" s="1659">
        <v>41760</v>
      </c>
      <c r="C196" s="1567">
        <f t="shared" si="10"/>
        <v>480</v>
      </c>
      <c r="D196" s="1567">
        <f t="shared" si="11"/>
        <v>480</v>
      </c>
      <c r="E196" s="1661">
        <v>0.92</v>
      </c>
      <c r="F196" s="1664">
        <f t="shared" si="12"/>
        <v>0.92</v>
      </c>
      <c r="G196" s="1661">
        <f t="shared" si="14"/>
        <v>0.92</v>
      </c>
      <c r="H196" s="1567" t="str">
        <f t="shared" si="13"/>
        <v xml:space="preserve"> </v>
      </c>
    </row>
    <row r="197" spans="2:8">
      <c r="B197" s="1659">
        <v>41791</v>
      </c>
      <c r="C197" s="1567">
        <f t="shared" si="10"/>
        <v>480</v>
      </c>
      <c r="D197" s="1567">
        <f t="shared" si="11"/>
        <v>480</v>
      </c>
      <c r="E197" s="1661">
        <v>0.92</v>
      </c>
      <c r="F197" s="1664">
        <f t="shared" si="12"/>
        <v>0.92</v>
      </c>
      <c r="G197" s="1661">
        <f t="shared" si="14"/>
        <v>0.92</v>
      </c>
      <c r="H197" s="1567" t="str">
        <f t="shared" si="13"/>
        <v xml:space="preserve"> </v>
      </c>
    </row>
    <row r="198" spans="2:8">
      <c r="B198" s="1659">
        <v>41821</v>
      </c>
      <c r="C198" s="1567">
        <f t="shared" si="10"/>
        <v>480</v>
      </c>
      <c r="D198" s="1567">
        <f t="shared" si="11"/>
        <v>480</v>
      </c>
      <c r="E198" s="1661">
        <v>0.92</v>
      </c>
      <c r="F198" s="1664">
        <f t="shared" si="12"/>
        <v>0.92</v>
      </c>
      <c r="G198" s="1661">
        <f t="shared" si="14"/>
        <v>0.92</v>
      </c>
      <c r="H198" s="1567" t="str">
        <f t="shared" si="13"/>
        <v xml:space="preserve"> </v>
      </c>
    </row>
    <row r="199" spans="2:8">
      <c r="B199" s="1659">
        <v>41852</v>
      </c>
      <c r="C199" s="1567">
        <f t="shared" si="10"/>
        <v>480</v>
      </c>
      <c r="D199" s="1567">
        <f t="shared" si="11"/>
        <v>480</v>
      </c>
      <c r="E199" s="1661">
        <v>0.92</v>
      </c>
      <c r="F199" s="1664">
        <f t="shared" si="12"/>
        <v>0.92</v>
      </c>
      <c r="G199" s="1661">
        <f t="shared" si="14"/>
        <v>0.92</v>
      </c>
      <c r="H199" s="1567" t="str">
        <f t="shared" si="13"/>
        <v xml:space="preserve"> </v>
      </c>
    </row>
    <row r="200" spans="2:8">
      <c r="B200" s="1659">
        <v>41883</v>
      </c>
      <c r="C200" s="1567">
        <f t="shared" si="10"/>
        <v>480</v>
      </c>
      <c r="D200" s="1567">
        <f t="shared" si="11"/>
        <v>480</v>
      </c>
      <c r="E200" s="1661">
        <v>0.92</v>
      </c>
      <c r="F200" s="1664">
        <f t="shared" si="12"/>
        <v>0.92</v>
      </c>
      <c r="G200" s="1661">
        <f t="shared" si="14"/>
        <v>0.92</v>
      </c>
      <c r="H200" s="1567" t="str">
        <f t="shared" si="13"/>
        <v xml:space="preserve"> </v>
      </c>
    </row>
    <row r="201" spans="2:8">
      <c r="B201" s="1659">
        <v>41913</v>
      </c>
      <c r="C201" s="1567">
        <f t="shared" si="10"/>
        <v>480</v>
      </c>
      <c r="D201" s="1567">
        <f t="shared" si="11"/>
        <v>480</v>
      </c>
      <c r="E201" s="1661">
        <v>0.92</v>
      </c>
      <c r="F201" s="1664">
        <f t="shared" si="12"/>
        <v>0.92</v>
      </c>
      <c r="G201" s="1661">
        <f t="shared" si="14"/>
        <v>0.92</v>
      </c>
      <c r="H201" s="1567" t="str">
        <f t="shared" si="13"/>
        <v xml:space="preserve"> </v>
      </c>
    </row>
    <row r="202" spans="2:8">
      <c r="B202" s="1659">
        <v>41944</v>
      </c>
      <c r="C202" s="1567">
        <f t="shared" si="10"/>
        <v>480</v>
      </c>
      <c r="D202" s="1567">
        <f t="shared" si="11"/>
        <v>480</v>
      </c>
      <c r="E202" s="1661">
        <v>0.92</v>
      </c>
      <c r="F202" s="1664">
        <f t="shared" si="12"/>
        <v>0.92</v>
      </c>
      <c r="G202" s="1661">
        <f t="shared" si="14"/>
        <v>0.92</v>
      </c>
      <c r="H202" s="1567" t="str">
        <f t="shared" si="13"/>
        <v xml:space="preserve"> </v>
      </c>
    </row>
    <row r="203" spans="2:8">
      <c r="B203" s="1659">
        <v>41974</v>
      </c>
      <c r="C203" s="1567">
        <f t="shared" si="10"/>
        <v>480</v>
      </c>
      <c r="D203" s="1567">
        <f t="shared" si="11"/>
        <v>480</v>
      </c>
      <c r="E203" s="1661">
        <v>0.92</v>
      </c>
      <c r="F203" s="1664">
        <f t="shared" si="12"/>
        <v>0.92</v>
      </c>
      <c r="G203" s="1661">
        <f t="shared" si="14"/>
        <v>0.92</v>
      </c>
      <c r="H203" s="1567" t="str">
        <f t="shared" si="13"/>
        <v xml:space="preserve"> </v>
      </c>
    </row>
    <row r="204" spans="2:8">
      <c r="B204" s="1659">
        <v>42005</v>
      </c>
      <c r="C204" s="1567">
        <f t="shared" si="10"/>
        <v>480</v>
      </c>
      <c r="D204" s="1567">
        <f t="shared" si="11"/>
        <v>480</v>
      </c>
      <c r="E204" s="1661">
        <v>0.92</v>
      </c>
      <c r="F204" s="1664">
        <f t="shared" si="12"/>
        <v>0.92</v>
      </c>
      <c r="G204" s="1661">
        <f t="shared" si="14"/>
        <v>0.92</v>
      </c>
      <c r="H204" s="1567" t="str">
        <f t="shared" si="13"/>
        <v xml:space="preserve"> </v>
      </c>
    </row>
    <row r="205" spans="2:8">
      <c r="B205" s="1659">
        <v>42036</v>
      </c>
      <c r="C205" s="1567">
        <f t="shared" si="10"/>
        <v>480</v>
      </c>
      <c r="D205" s="1567">
        <f t="shared" si="11"/>
        <v>480</v>
      </c>
      <c r="E205" s="1661">
        <v>0.92</v>
      </c>
      <c r="F205" s="1664">
        <f t="shared" si="12"/>
        <v>0.92</v>
      </c>
      <c r="G205" s="1661">
        <f t="shared" si="14"/>
        <v>0.92</v>
      </c>
      <c r="H205" s="1567" t="str">
        <f t="shared" si="13"/>
        <v xml:space="preserve"> </v>
      </c>
    </row>
    <row r="206" spans="2:8">
      <c r="B206" s="1659">
        <v>42064</v>
      </c>
      <c r="C206" s="1567">
        <f t="shared" si="10"/>
        <v>480</v>
      </c>
      <c r="D206" s="1567">
        <f t="shared" si="11"/>
        <v>480</v>
      </c>
      <c r="E206" s="1661">
        <v>0.92</v>
      </c>
      <c r="F206" s="1664">
        <f t="shared" si="12"/>
        <v>0.92</v>
      </c>
      <c r="G206" s="1661">
        <f t="shared" si="14"/>
        <v>0.92</v>
      </c>
      <c r="H206" s="1567" t="str">
        <f t="shared" si="13"/>
        <v xml:space="preserve"> </v>
      </c>
    </row>
    <row r="207" spans="2:8">
      <c r="B207" s="1659">
        <v>42095</v>
      </c>
      <c r="C207" s="1567">
        <f t="shared" ref="C207:C255" si="15">IF(B207&lt;PPA_COD_PhII,$D$6,IF(B207&lt;$C$9,$D$7,$D$9))</f>
        <v>480</v>
      </c>
      <c r="D207" s="1567">
        <f t="shared" ref="D207:D255" si="16">IF(B207&lt;$F$8,$G$6,IF(B207&lt;$F$9,$G$8,$G$9))</f>
        <v>480</v>
      </c>
      <c r="E207" s="1661">
        <v>0.92</v>
      </c>
      <c r="F207" s="1664">
        <f t="shared" ref="F207:F255" si="17">IF(OR(B207&lt;$F$8,$F$9&lt;=B207),MIN($E$6,D207/C207),$H$8)</f>
        <v>0.92</v>
      </c>
      <c r="G207" s="1661">
        <f t="shared" si="14"/>
        <v>0.92</v>
      </c>
      <c r="H207" s="1567" t="str">
        <f t="shared" si="13"/>
        <v xml:space="preserve"> </v>
      </c>
    </row>
    <row r="208" spans="2:8">
      <c r="B208" s="1659">
        <v>42125</v>
      </c>
      <c r="C208" s="1567">
        <f t="shared" si="15"/>
        <v>480</v>
      </c>
      <c r="D208" s="1567">
        <f t="shared" si="16"/>
        <v>480</v>
      </c>
      <c r="E208" s="1661">
        <v>0.92</v>
      </c>
      <c r="F208" s="1664">
        <f t="shared" si="17"/>
        <v>0.92</v>
      </c>
      <c r="G208" s="1661">
        <f t="shared" si="14"/>
        <v>0.92</v>
      </c>
      <c r="H208" s="1567" t="str">
        <f t="shared" ref="H208:H255" si="18">IF(G208&gt;=$E$6," ","LDs")</f>
        <v xml:space="preserve"> </v>
      </c>
    </row>
    <row r="209" spans="2:8">
      <c r="B209" s="1659">
        <v>42156</v>
      </c>
      <c r="C209" s="1567">
        <f t="shared" si="15"/>
        <v>480</v>
      </c>
      <c r="D209" s="1567">
        <f t="shared" si="16"/>
        <v>480</v>
      </c>
      <c r="E209" s="1661">
        <v>0.92</v>
      </c>
      <c r="F209" s="1664">
        <f t="shared" si="17"/>
        <v>0.92</v>
      </c>
      <c r="G209" s="1661">
        <f t="shared" si="14"/>
        <v>0.92</v>
      </c>
      <c r="H209" s="1567" t="str">
        <f t="shared" si="18"/>
        <v xml:space="preserve"> </v>
      </c>
    </row>
    <row r="210" spans="2:8">
      <c r="B210" s="1659">
        <v>42186</v>
      </c>
      <c r="C210" s="1567">
        <f t="shared" si="15"/>
        <v>480</v>
      </c>
      <c r="D210" s="1567">
        <f t="shared" si="16"/>
        <v>480</v>
      </c>
      <c r="E210" s="1661">
        <v>0.92</v>
      </c>
      <c r="F210" s="1664">
        <f t="shared" si="17"/>
        <v>0.92</v>
      </c>
      <c r="G210" s="1661">
        <f t="shared" si="14"/>
        <v>0.92</v>
      </c>
      <c r="H210" s="1567" t="str">
        <f t="shared" si="18"/>
        <v xml:space="preserve"> </v>
      </c>
    </row>
    <row r="211" spans="2:8">
      <c r="B211" s="1659">
        <v>42217</v>
      </c>
      <c r="C211" s="1567">
        <f t="shared" si="15"/>
        <v>480</v>
      </c>
      <c r="D211" s="1567">
        <f t="shared" si="16"/>
        <v>480</v>
      </c>
      <c r="E211" s="1661">
        <v>0.92</v>
      </c>
      <c r="F211" s="1664">
        <f t="shared" si="17"/>
        <v>0.92</v>
      </c>
      <c r="G211" s="1661">
        <f t="shared" si="14"/>
        <v>0.92</v>
      </c>
      <c r="H211" s="1567" t="str">
        <f t="shared" si="18"/>
        <v xml:space="preserve"> </v>
      </c>
    </row>
    <row r="212" spans="2:8">
      <c r="B212" s="1659">
        <v>42248</v>
      </c>
      <c r="C212" s="1567">
        <f t="shared" si="15"/>
        <v>480</v>
      </c>
      <c r="D212" s="1567">
        <f t="shared" si="16"/>
        <v>480</v>
      </c>
      <c r="E212" s="1661">
        <v>0.92</v>
      </c>
      <c r="F212" s="1664">
        <f t="shared" si="17"/>
        <v>0.92</v>
      </c>
      <c r="G212" s="1661">
        <f t="shared" si="14"/>
        <v>0.92</v>
      </c>
      <c r="H212" s="1567" t="str">
        <f t="shared" si="18"/>
        <v xml:space="preserve"> </v>
      </c>
    </row>
    <row r="213" spans="2:8">
      <c r="B213" s="1659">
        <v>42278</v>
      </c>
      <c r="C213" s="1567">
        <f t="shared" si="15"/>
        <v>480</v>
      </c>
      <c r="D213" s="1567">
        <f t="shared" si="16"/>
        <v>480</v>
      </c>
      <c r="E213" s="1661">
        <v>0.92</v>
      </c>
      <c r="F213" s="1664">
        <f t="shared" si="17"/>
        <v>0.92</v>
      </c>
      <c r="G213" s="1661">
        <f t="shared" si="14"/>
        <v>0.92</v>
      </c>
      <c r="H213" s="1567" t="str">
        <f t="shared" si="18"/>
        <v xml:space="preserve"> </v>
      </c>
    </row>
    <row r="214" spans="2:8">
      <c r="B214" s="1659">
        <v>42309</v>
      </c>
      <c r="C214" s="1567">
        <f t="shared" si="15"/>
        <v>480</v>
      </c>
      <c r="D214" s="1567">
        <f t="shared" si="16"/>
        <v>480</v>
      </c>
      <c r="E214" s="1661">
        <v>0.92</v>
      </c>
      <c r="F214" s="1664">
        <f t="shared" si="17"/>
        <v>0.92</v>
      </c>
      <c r="G214" s="1661">
        <f t="shared" si="14"/>
        <v>0.92</v>
      </c>
      <c r="H214" s="1567" t="str">
        <f t="shared" si="18"/>
        <v xml:space="preserve"> </v>
      </c>
    </row>
    <row r="215" spans="2:8">
      <c r="B215" s="1659">
        <v>42339</v>
      </c>
      <c r="C215" s="1567">
        <f t="shared" si="15"/>
        <v>480</v>
      </c>
      <c r="D215" s="1567">
        <f t="shared" si="16"/>
        <v>480</v>
      </c>
      <c r="E215" s="1661">
        <v>0.92</v>
      </c>
      <c r="F215" s="1664">
        <f t="shared" si="17"/>
        <v>0.92</v>
      </c>
      <c r="G215" s="1661">
        <f t="shared" si="14"/>
        <v>0.92</v>
      </c>
      <c r="H215" s="1567" t="str">
        <f t="shared" si="18"/>
        <v xml:space="preserve"> </v>
      </c>
    </row>
    <row r="216" spans="2:8">
      <c r="B216" s="1659">
        <v>42370</v>
      </c>
      <c r="C216" s="1567">
        <f t="shared" si="15"/>
        <v>480</v>
      </c>
      <c r="D216" s="1567">
        <f t="shared" si="16"/>
        <v>480</v>
      </c>
      <c r="E216" s="1661">
        <v>0.92</v>
      </c>
      <c r="F216" s="1664">
        <f t="shared" si="17"/>
        <v>0.92</v>
      </c>
      <c r="G216" s="1661">
        <f t="shared" si="14"/>
        <v>0.92</v>
      </c>
      <c r="H216" s="1567" t="str">
        <f t="shared" si="18"/>
        <v xml:space="preserve"> </v>
      </c>
    </row>
    <row r="217" spans="2:8">
      <c r="B217" s="1659">
        <v>42401</v>
      </c>
      <c r="C217" s="1567">
        <f t="shared" si="15"/>
        <v>480</v>
      </c>
      <c r="D217" s="1567">
        <f t="shared" si="16"/>
        <v>480</v>
      </c>
      <c r="E217" s="1661">
        <v>0.92</v>
      </c>
      <c r="F217" s="1664">
        <f t="shared" si="17"/>
        <v>0.92</v>
      </c>
      <c r="G217" s="1661">
        <f t="shared" si="14"/>
        <v>0.92</v>
      </c>
      <c r="H217" s="1567" t="str">
        <f t="shared" si="18"/>
        <v xml:space="preserve"> </v>
      </c>
    </row>
    <row r="218" spans="2:8">
      <c r="B218" s="1659">
        <v>42430</v>
      </c>
      <c r="C218" s="1567">
        <f t="shared" si="15"/>
        <v>480</v>
      </c>
      <c r="D218" s="1567">
        <f t="shared" si="16"/>
        <v>480</v>
      </c>
      <c r="E218" s="1661">
        <v>0.92</v>
      </c>
      <c r="F218" s="1664">
        <f t="shared" si="17"/>
        <v>0.92</v>
      </c>
      <c r="G218" s="1661">
        <f t="shared" si="14"/>
        <v>0.92</v>
      </c>
      <c r="H218" s="1567" t="str">
        <f t="shared" si="18"/>
        <v xml:space="preserve"> </v>
      </c>
    </row>
    <row r="219" spans="2:8">
      <c r="B219" s="1659">
        <v>42461</v>
      </c>
      <c r="C219" s="1567">
        <f t="shared" si="15"/>
        <v>480</v>
      </c>
      <c r="D219" s="1567">
        <f t="shared" si="16"/>
        <v>480</v>
      </c>
      <c r="E219" s="1661">
        <v>0.92</v>
      </c>
      <c r="F219" s="1664">
        <f t="shared" si="17"/>
        <v>0.92</v>
      </c>
      <c r="G219" s="1661">
        <f t="shared" si="14"/>
        <v>0.92</v>
      </c>
      <c r="H219" s="1567" t="str">
        <f t="shared" si="18"/>
        <v xml:space="preserve"> </v>
      </c>
    </row>
    <row r="220" spans="2:8">
      <c r="B220" s="1659">
        <v>42491</v>
      </c>
      <c r="C220" s="1567">
        <f t="shared" si="15"/>
        <v>480</v>
      </c>
      <c r="D220" s="1567">
        <f t="shared" si="16"/>
        <v>480</v>
      </c>
      <c r="E220" s="1661">
        <v>0.92</v>
      </c>
      <c r="F220" s="1664">
        <f t="shared" si="17"/>
        <v>0.92</v>
      </c>
      <c r="G220" s="1661">
        <f t="shared" ref="G220:G255" si="19">SUM(F208:F219)/12</f>
        <v>0.92</v>
      </c>
      <c r="H220" s="1567" t="str">
        <f t="shared" si="18"/>
        <v xml:space="preserve"> </v>
      </c>
    </row>
    <row r="221" spans="2:8">
      <c r="B221" s="1659">
        <v>42522</v>
      </c>
      <c r="C221" s="1567">
        <f t="shared" si="15"/>
        <v>480</v>
      </c>
      <c r="D221" s="1567">
        <f t="shared" si="16"/>
        <v>480</v>
      </c>
      <c r="E221" s="1661">
        <v>0.92</v>
      </c>
      <c r="F221" s="1664">
        <f t="shared" si="17"/>
        <v>0.92</v>
      </c>
      <c r="G221" s="1661">
        <f t="shared" si="19"/>
        <v>0.92</v>
      </c>
      <c r="H221" s="1567" t="str">
        <f t="shared" si="18"/>
        <v xml:space="preserve"> </v>
      </c>
    </row>
    <row r="222" spans="2:8">
      <c r="B222" s="1659">
        <v>42552</v>
      </c>
      <c r="C222" s="1567">
        <f t="shared" si="15"/>
        <v>480</v>
      </c>
      <c r="D222" s="1567">
        <f t="shared" si="16"/>
        <v>480</v>
      </c>
      <c r="E222" s="1661">
        <v>0.92</v>
      </c>
      <c r="F222" s="1664">
        <f t="shared" si="17"/>
        <v>0.92</v>
      </c>
      <c r="G222" s="1661">
        <f t="shared" si="19"/>
        <v>0.92</v>
      </c>
      <c r="H222" s="1567" t="str">
        <f t="shared" si="18"/>
        <v xml:space="preserve"> </v>
      </c>
    </row>
    <row r="223" spans="2:8">
      <c r="B223" s="1659">
        <v>42583</v>
      </c>
      <c r="C223" s="1567">
        <f t="shared" si="15"/>
        <v>480</v>
      </c>
      <c r="D223" s="1567">
        <f t="shared" si="16"/>
        <v>480</v>
      </c>
      <c r="E223" s="1661">
        <v>0.92</v>
      </c>
      <c r="F223" s="1664">
        <f t="shared" si="17"/>
        <v>0.92</v>
      </c>
      <c r="G223" s="1661">
        <f t="shared" si="19"/>
        <v>0.92</v>
      </c>
      <c r="H223" s="1567" t="str">
        <f t="shared" si="18"/>
        <v xml:space="preserve"> </v>
      </c>
    </row>
    <row r="224" spans="2:8">
      <c r="B224" s="1659">
        <v>42614</v>
      </c>
      <c r="C224" s="1567">
        <f t="shared" si="15"/>
        <v>480</v>
      </c>
      <c r="D224" s="1567">
        <f t="shared" si="16"/>
        <v>480</v>
      </c>
      <c r="E224" s="1661">
        <v>0.92</v>
      </c>
      <c r="F224" s="1664">
        <f t="shared" si="17"/>
        <v>0.92</v>
      </c>
      <c r="G224" s="1661">
        <f t="shared" si="19"/>
        <v>0.92</v>
      </c>
      <c r="H224" s="1567" t="str">
        <f t="shared" si="18"/>
        <v xml:space="preserve"> </v>
      </c>
    </row>
    <row r="225" spans="2:8">
      <c r="B225" s="1659">
        <v>42644</v>
      </c>
      <c r="C225" s="1567">
        <f t="shared" si="15"/>
        <v>480</v>
      </c>
      <c r="D225" s="1567">
        <f t="shared" si="16"/>
        <v>480</v>
      </c>
      <c r="E225" s="1661">
        <v>0.92</v>
      </c>
      <c r="F225" s="1664">
        <f t="shared" si="17"/>
        <v>0.92</v>
      </c>
      <c r="G225" s="1661">
        <f t="shared" si="19"/>
        <v>0.92</v>
      </c>
      <c r="H225" s="1567" t="str">
        <f t="shared" si="18"/>
        <v xml:space="preserve"> </v>
      </c>
    </row>
    <row r="226" spans="2:8">
      <c r="B226" s="1659">
        <v>42675</v>
      </c>
      <c r="C226" s="1567">
        <f t="shared" si="15"/>
        <v>480</v>
      </c>
      <c r="D226" s="1567">
        <f t="shared" si="16"/>
        <v>480</v>
      </c>
      <c r="E226" s="1661">
        <v>0.92</v>
      </c>
      <c r="F226" s="1664">
        <f t="shared" si="17"/>
        <v>0.92</v>
      </c>
      <c r="G226" s="1661">
        <f t="shared" si="19"/>
        <v>0.92</v>
      </c>
      <c r="H226" s="1567" t="str">
        <f t="shared" si="18"/>
        <v xml:space="preserve"> </v>
      </c>
    </row>
    <row r="227" spans="2:8">
      <c r="B227" s="1659">
        <v>42705</v>
      </c>
      <c r="C227" s="1567">
        <f t="shared" si="15"/>
        <v>480</v>
      </c>
      <c r="D227" s="1567">
        <f t="shared" si="16"/>
        <v>480</v>
      </c>
      <c r="E227" s="1661">
        <v>0.92</v>
      </c>
      <c r="F227" s="1664">
        <f t="shared" si="17"/>
        <v>0.92</v>
      </c>
      <c r="G227" s="1661">
        <f t="shared" si="19"/>
        <v>0.92</v>
      </c>
      <c r="H227" s="1567" t="str">
        <f t="shared" si="18"/>
        <v xml:space="preserve"> </v>
      </c>
    </row>
    <row r="228" spans="2:8">
      <c r="B228" s="1659">
        <v>42736</v>
      </c>
      <c r="C228" s="1567">
        <f t="shared" si="15"/>
        <v>480</v>
      </c>
      <c r="D228" s="1567">
        <f t="shared" si="16"/>
        <v>480</v>
      </c>
      <c r="E228" s="1661">
        <v>0.92</v>
      </c>
      <c r="F228" s="1664">
        <f t="shared" si="17"/>
        <v>0.92</v>
      </c>
      <c r="G228" s="1661">
        <f t="shared" si="19"/>
        <v>0.92</v>
      </c>
      <c r="H228" s="1567" t="str">
        <f t="shared" si="18"/>
        <v xml:space="preserve"> </v>
      </c>
    </row>
    <row r="229" spans="2:8">
      <c r="B229" s="1659">
        <v>42767</v>
      </c>
      <c r="C229" s="1567">
        <f t="shared" si="15"/>
        <v>480</v>
      </c>
      <c r="D229" s="1567">
        <f t="shared" si="16"/>
        <v>480</v>
      </c>
      <c r="E229" s="1661">
        <v>0.92</v>
      </c>
      <c r="F229" s="1664">
        <f t="shared" si="17"/>
        <v>0.92</v>
      </c>
      <c r="G229" s="1661">
        <f t="shared" si="19"/>
        <v>0.92</v>
      </c>
      <c r="H229" s="1567" t="str">
        <f t="shared" si="18"/>
        <v xml:space="preserve"> </v>
      </c>
    </row>
    <row r="230" spans="2:8">
      <c r="B230" s="1659">
        <v>42795</v>
      </c>
      <c r="C230" s="1567">
        <f t="shared" si="15"/>
        <v>480</v>
      </c>
      <c r="D230" s="1567">
        <f t="shared" si="16"/>
        <v>480</v>
      </c>
      <c r="E230" s="1661">
        <v>0.92</v>
      </c>
      <c r="F230" s="1664">
        <f t="shared" si="17"/>
        <v>0.92</v>
      </c>
      <c r="G230" s="1661">
        <f t="shared" si="19"/>
        <v>0.92</v>
      </c>
      <c r="H230" s="1567" t="str">
        <f t="shared" si="18"/>
        <v xml:space="preserve"> </v>
      </c>
    </row>
    <row r="231" spans="2:8">
      <c r="B231" s="1659">
        <v>42826</v>
      </c>
      <c r="C231" s="1567">
        <f t="shared" si="15"/>
        <v>480</v>
      </c>
      <c r="D231" s="1567">
        <f t="shared" si="16"/>
        <v>480</v>
      </c>
      <c r="E231" s="1661">
        <v>0.92</v>
      </c>
      <c r="F231" s="1664">
        <f t="shared" si="17"/>
        <v>0.92</v>
      </c>
      <c r="G231" s="1661">
        <f t="shared" si="19"/>
        <v>0.92</v>
      </c>
      <c r="H231" s="1567" t="str">
        <f t="shared" si="18"/>
        <v xml:space="preserve"> </v>
      </c>
    </row>
    <row r="232" spans="2:8">
      <c r="B232" s="1659">
        <v>42856</v>
      </c>
      <c r="C232" s="1567">
        <f t="shared" si="15"/>
        <v>480</v>
      </c>
      <c r="D232" s="1567">
        <f t="shared" si="16"/>
        <v>480</v>
      </c>
      <c r="E232" s="1661">
        <v>0.92</v>
      </c>
      <c r="F232" s="1664">
        <f t="shared" si="17"/>
        <v>0.92</v>
      </c>
      <c r="G232" s="1661">
        <f t="shared" si="19"/>
        <v>0.92</v>
      </c>
      <c r="H232" s="1567" t="str">
        <f t="shared" si="18"/>
        <v xml:space="preserve"> </v>
      </c>
    </row>
    <row r="233" spans="2:8">
      <c r="B233" s="1659">
        <v>42887</v>
      </c>
      <c r="C233" s="1567">
        <f t="shared" si="15"/>
        <v>480</v>
      </c>
      <c r="D233" s="1567">
        <f t="shared" si="16"/>
        <v>480</v>
      </c>
      <c r="E233" s="1661">
        <v>0.92</v>
      </c>
      <c r="F233" s="1664">
        <f t="shared" si="17"/>
        <v>0.92</v>
      </c>
      <c r="G233" s="1661">
        <f t="shared" si="19"/>
        <v>0.92</v>
      </c>
      <c r="H233" s="1567" t="str">
        <f t="shared" si="18"/>
        <v xml:space="preserve"> </v>
      </c>
    </row>
    <row r="234" spans="2:8">
      <c r="B234" s="1659">
        <v>42917</v>
      </c>
      <c r="C234" s="1567">
        <f t="shared" si="15"/>
        <v>480</v>
      </c>
      <c r="D234" s="1567">
        <f t="shared" si="16"/>
        <v>480</v>
      </c>
      <c r="E234" s="1661">
        <v>0.92</v>
      </c>
      <c r="F234" s="1664">
        <f t="shared" si="17"/>
        <v>0.92</v>
      </c>
      <c r="G234" s="1661">
        <f t="shared" si="19"/>
        <v>0.92</v>
      </c>
      <c r="H234" s="1567" t="str">
        <f t="shared" si="18"/>
        <v xml:space="preserve"> </v>
      </c>
    </row>
    <row r="235" spans="2:8">
      <c r="B235" s="1659">
        <v>42948</v>
      </c>
      <c r="C235" s="1567">
        <f t="shared" si="15"/>
        <v>480</v>
      </c>
      <c r="D235" s="1567">
        <f t="shared" si="16"/>
        <v>480</v>
      </c>
      <c r="E235" s="1661">
        <v>0.92</v>
      </c>
      <c r="F235" s="1664">
        <f t="shared" si="17"/>
        <v>0.92</v>
      </c>
      <c r="G235" s="1661">
        <f t="shared" si="19"/>
        <v>0.92</v>
      </c>
      <c r="H235" s="1567" t="str">
        <f t="shared" si="18"/>
        <v xml:space="preserve"> </v>
      </c>
    </row>
    <row r="236" spans="2:8">
      <c r="B236" s="1659">
        <v>42979</v>
      </c>
      <c r="C236" s="1567">
        <f t="shared" si="15"/>
        <v>480</v>
      </c>
      <c r="D236" s="1567">
        <f t="shared" si="16"/>
        <v>480</v>
      </c>
      <c r="E236" s="1661">
        <v>0.92</v>
      </c>
      <c r="F236" s="1664">
        <f t="shared" si="17"/>
        <v>0.92</v>
      </c>
      <c r="G236" s="1661">
        <f t="shared" si="19"/>
        <v>0.92</v>
      </c>
      <c r="H236" s="1567" t="str">
        <f t="shared" si="18"/>
        <v xml:space="preserve"> </v>
      </c>
    </row>
    <row r="237" spans="2:8">
      <c r="B237" s="1659">
        <v>43009</v>
      </c>
      <c r="C237" s="1567">
        <f t="shared" si="15"/>
        <v>480</v>
      </c>
      <c r="D237" s="1567">
        <f t="shared" si="16"/>
        <v>480</v>
      </c>
      <c r="E237" s="1661">
        <v>0.92</v>
      </c>
      <c r="F237" s="1664">
        <f t="shared" si="17"/>
        <v>0.92</v>
      </c>
      <c r="G237" s="1661">
        <f t="shared" si="19"/>
        <v>0.92</v>
      </c>
      <c r="H237" s="1567" t="str">
        <f t="shared" si="18"/>
        <v xml:space="preserve"> </v>
      </c>
    </row>
    <row r="238" spans="2:8">
      <c r="B238" s="1659">
        <v>43040</v>
      </c>
      <c r="C238" s="1567">
        <f t="shared" si="15"/>
        <v>480</v>
      </c>
      <c r="D238" s="1567">
        <f t="shared" si="16"/>
        <v>480</v>
      </c>
      <c r="E238" s="1661">
        <v>0.92</v>
      </c>
      <c r="F238" s="1664">
        <f t="shared" si="17"/>
        <v>0.92</v>
      </c>
      <c r="G238" s="1661">
        <f t="shared" si="19"/>
        <v>0.92</v>
      </c>
      <c r="H238" s="1567" t="str">
        <f t="shared" si="18"/>
        <v xml:space="preserve"> </v>
      </c>
    </row>
    <row r="239" spans="2:8">
      <c r="B239" s="1659">
        <v>43070</v>
      </c>
      <c r="C239" s="1567">
        <f t="shared" si="15"/>
        <v>480</v>
      </c>
      <c r="D239" s="1567">
        <f t="shared" si="16"/>
        <v>480</v>
      </c>
      <c r="E239" s="1661">
        <v>0.92</v>
      </c>
      <c r="F239" s="1664">
        <f t="shared" si="17"/>
        <v>0.92</v>
      </c>
      <c r="G239" s="1661">
        <f t="shared" si="19"/>
        <v>0.92</v>
      </c>
      <c r="H239" s="1567" t="str">
        <f t="shared" si="18"/>
        <v xml:space="preserve"> </v>
      </c>
    </row>
    <row r="240" spans="2:8">
      <c r="B240" s="1659">
        <v>43101</v>
      </c>
      <c r="C240" s="1567">
        <f t="shared" si="15"/>
        <v>480</v>
      </c>
      <c r="D240" s="1567">
        <f t="shared" si="16"/>
        <v>480</v>
      </c>
      <c r="E240" s="1661">
        <v>0.92</v>
      </c>
      <c r="F240" s="1664">
        <f t="shared" si="17"/>
        <v>0.92</v>
      </c>
      <c r="G240" s="1661">
        <f t="shared" si="19"/>
        <v>0.92</v>
      </c>
      <c r="H240" s="1567" t="str">
        <f t="shared" si="18"/>
        <v xml:space="preserve"> </v>
      </c>
    </row>
    <row r="241" spans="2:8">
      <c r="B241" s="1659">
        <v>43132</v>
      </c>
      <c r="C241" s="1567">
        <f t="shared" si="15"/>
        <v>480</v>
      </c>
      <c r="D241" s="1567">
        <f t="shared" si="16"/>
        <v>480</v>
      </c>
      <c r="E241" s="1661">
        <v>0.92</v>
      </c>
      <c r="F241" s="1664">
        <f t="shared" si="17"/>
        <v>0.92</v>
      </c>
      <c r="G241" s="1661">
        <f t="shared" si="19"/>
        <v>0.92</v>
      </c>
      <c r="H241" s="1567" t="str">
        <f t="shared" si="18"/>
        <v xml:space="preserve"> </v>
      </c>
    </row>
    <row r="242" spans="2:8">
      <c r="B242" s="1659">
        <v>43160</v>
      </c>
      <c r="C242" s="1567">
        <f t="shared" si="15"/>
        <v>480</v>
      </c>
      <c r="D242" s="1567">
        <f t="shared" si="16"/>
        <v>480</v>
      </c>
      <c r="E242" s="1661">
        <v>0.92</v>
      </c>
      <c r="F242" s="1664">
        <f t="shared" si="17"/>
        <v>0.92</v>
      </c>
      <c r="G242" s="1661">
        <f t="shared" si="19"/>
        <v>0.92</v>
      </c>
      <c r="H242" s="1567" t="str">
        <f t="shared" si="18"/>
        <v xml:space="preserve"> </v>
      </c>
    </row>
    <row r="243" spans="2:8">
      <c r="B243" s="1659">
        <v>43191</v>
      </c>
      <c r="C243" s="1567">
        <f t="shared" si="15"/>
        <v>480</v>
      </c>
      <c r="D243" s="1567">
        <f t="shared" si="16"/>
        <v>480</v>
      </c>
      <c r="E243" s="1661">
        <v>0.92</v>
      </c>
      <c r="F243" s="1664">
        <f t="shared" si="17"/>
        <v>0.92</v>
      </c>
      <c r="G243" s="1661">
        <f t="shared" si="19"/>
        <v>0.92</v>
      </c>
      <c r="H243" s="1567" t="str">
        <f t="shared" si="18"/>
        <v xml:space="preserve"> </v>
      </c>
    </row>
    <row r="244" spans="2:8">
      <c r="B244" s="1659">
        <v>43221</v>
      </c>
      <c r="C244" s="1567">
        <f t="shared" si="15"/>
        <v>480</v>
      </c>
      <c r="D244" s="1567">
        <f t="shared" si="16"/>
        <v>480</v>
      </c>
      <c r="E244" s="1661">
        <v>0.92</v>
      </c>
      <c r="F244" s="1664">
        <f t="shared" si="17"/>
        <v>0.92</v>
      </c>
      <c r="G244" s="1661">
        <f t="shared" si="19"/>
        <v>0.92</v>
      </c>
      <c r="H244" s="1567" t="str">
        <f t="shared" si="18"/>
        <v xml:space="preserve"> </v>
      </c>
    </row>
    <row r="245" spans="2:8">
      <c r="B245" s="1659">
        <v>43252</v>
      </c>
      <c r="C245" s="1567">
        <f t="shared" si="15"/>
        <v>480</v>
      </c>
      <c r="D245" s="1567">
        <f t="shared" si="16"/>
        <v>480</v>
      </c>
      <c r="E245" s="1661">
        <v>0.92</v>
      </c>
      <c r="F245" s="1664">
        <f t="shared" si="17"/>
        <v>0.92</v>
      </c>
      <c r="G245" s="1661">
        <f t="shared" si="19"/>
        <v>0.92</v>
      </c>
      <c r="H245" s="1567" t="str">
        <f t="shared" si="18"/>
        <v xml:space="preserve"> </v>
      </c>
    </row>
    <row r="246" spans="2:8">
      <c r="B246" s="1659">
        <v>43282</v>
      </c>
      <c r="C246" s="1567">
        <f t="shared" si="15"/>
        <v>480</v>
      </c>
      <c r="D246" s="1567">
        <f t="shared" si="16"/>
        <v>480</v>
      </c>
      <c r="E246" s="1661">
        <v>0.92</v>
      </c>
      <c r="F246" s="1664">
        <f t="shared" si="17"/>
        <v>0.92</v>
      </c>
      <c r="G246" s="1661">
        <f t="shared" si="19"/>
        <v>0.92</v>
      </c>
      <c r="H246" s="1567" t="str">
        <f t="shared" si="18"/>
        <v xml:space="preserve"> </v>
      </c>
    </row>
    <row r="247" spans="2:8">
      <c r="B247" s="1659">
        <v>43313</v>
      </c>
      <c r="C247" s="1567">
        <f t="shared" si="15"/>
        <v>480</v>
      </c>
      <c r="D247" s="1567">
        <f t="shared" si="16"/>
        <v>480</v>
      </c>
      <c r="E247" s="1661">
        <v>0.92</v>
      </c>
      <c r="F247" s="1664">
        <f t="shared" si="17"/>
        <v>0.92</v>
      </c>
      <c r="G247" s="1661">
        <f t="shared" si="19"/>
        <v>0.92</v>
      </c>
      <c r="H247" s="1567" t="str">
        <f t="shared" si="18"/>
        <v xml:space="preserve"> </v>
      </c>
    </row>
    <row r="248" spans="2:8">
      <c r="B248" s="1659">
        <v>43344</v>
      </c>
      <c r="C248" s="1567">
        <f t="shared" si="15"/>
        <v>480</v>
      </c>
      <c r="D248" s="1567">
        <f t="shared" si="16"/>
        <v>480</v>
      </c>
      <c r="E248" s="1661">
        <v>0.92</v>
      </c>
      <c r="F248" s="1664">
        <f t="shared" si="17"/>
        <v>0.92</v>
      </c>
      <c r="G248" s="1661">
        <f t="shared" si="19"/>
        <v>0.92</v>
      </c>
      <c r="H248" s="1567" t="str">
        <f t="shared" si="18"/>
        <v xml:space="preserve"> </v>
      </c>
    </row>
    <row r="249" spans="2:8">
      <c r="B249" s="1659">
        <v>43374</v>
      </c>
      <c r="C249" s="1567">
        <f t="shared" si="15"/>
        <v>480</v>
      </c>
      <c r="D249" s="1567">
        <f t="shared" si="16"/>
        <v>480</v>
      </c>
      <c r="E249" s="1661">
        <v>0.92</v>
      </c>
      <c r="F249" s="1664">
        <f t="shared" si="17"/>
        <v>0.92</v>
      </c>
      <c r="G249" s="1661">
        <f t="shared" si="19"/>
        <v>0.92</v>
      </c>
      <c r="H249" s="1567" t="str">
        <f t="shared" si="18"/>
        <v xml:space="preserve"> </v>
      </c>
    </row>
    <row r="250" spans="2:8">
      <c r="B250" s="1659">
        <v>43405</v>
      </c>
      <c r="C250" s="1567">
        <f t="shared" si="15"/>
        <v>480</v>
      </c>
      <c r="D250" s="1567">
        <f t="shared" si="16"/>
        <v>480</v>
      </c>
      <c r="E250" s="1661">
        <v>0.92</v>
      </c>
      <c r="F250" s="1664">
        <f t="shared" si="17"/>
        <v>0.92</v>
      </c>
      <c r="G250" s="1661">
        <f t="shared" si="19"/>
        <v>0.92</v>
      </c>
      <c r="H250" s="1567" t="str">
        <f t="shared" si="18"/>
        <v xml:space="preserve"> </v>
      </c>
    </row>
    <row r="251" spans="2:8">
      <c r="B251" s="1659">
        <v>43435</v>
      </c>
      <c r="C251" s="1567">
        <f t="shared" si="15"/>
        <v>480</v>
      </c>
      <c r="D251" s="1567">
        <f t="shared" si="16"/>
        <v>480</v>
      </c>
      <c r="E251" s="1661">
        <v>0.92</v>
      </c>
      <c r="F251" s="1664">
        <f t="shared" si="17"/>
        <v>0.92</v>
      </c>
      <c r="G251" s="1661">
        <f t="shared" si="19"/>
        <v>0.92</v>
      </c>
      <c r="H251" s="1567" t="str">
        <f t="shared" si="18"/>
        <v xml:space="preserve"> </v>
      </c>
    </row>
    <row r="252" spans="2:8">
      <c r="B252" s="1659">
        <v>43466</v>
      </c>
      <c r="C252" s="1567">
        <f t="shared" si="15"/>
        <v>480</v>
      </c>
      <c r="D252" s="1567">
        <f t="shared" si="16"/>
        <v>480</v>
      </c>
      <c r="E252" s="1661">
        <v>0.92</v>
      </c>
      <c r="F252" s="1664">
        <f t="shared" si="17"/>
        <v>0.92</v>
      </c>
      <c r="G252" s="1661">
        <f t="shared" si="19"/>
        <v>0.92</v>
      </c>
      <c r="H252" s="1567" t="str">
        <f t="shared" si="18"/>
        <v xml:space="preserve"> </v>
      </c>
    </row>
    <row r="253" spans="2:8">
      <c r="B253" s="1659">
        <v>43497</v>
      </c>
      <c r="C253" s="1567">
        <f t="shared" si="15"/>
        <v>480</v>
      </c>
      <c r="D253" s="1567">
        <f t="shared" si="16"/>
        <v>480</v>
      </c>
      <c r="E253" s="1661">
        <v>0.92</v>
      </c>
      <c r="F253" s="1664">
        <f t="shared" si="17"/>
        <v>0.92</v>
      </c>
      <c r="G253" s="1661">
        <f t="shared" si="19"/>
        <v>0.92</v>
      </c>
      <c r="H253" s="1567" t="str">
        <f t="shared" si="18"/>
        <v xml:space="preserve"> </v>
      </c>
    </row>
    <row r="254" spans="2:8">
      <c r="B254" s="1659">
        <v>43525</v>
      </c>
      <c r="C254" s="1567">
        <f t="shared" si="15"/>
        <v>480</v>
      </c>
      <c r="D254" s="1567">
        <f t="shared" si="16"/>
        <v>480</v>
      </c>
      <c r="E254" s="1661">
        <v>0.92</v>
      </c>
      <c r="F254" s="1664">
        <f t="shared" si="17"/>
        <v>0.92</v>
      </c>
      <c r="G254" s="1661">
        <f t="shared" si="19"/>
        <v>0.92</v>
      </c>
      <c r="H254" s="1567" t="str">
        <f t="shared" si="18"/>
        <v xml:space="preserve"> </v>
      </c>
    </row>
    <row r="255" spans="2:8">
      <c r="B255" s="1659">
        <v>43556</v>
      </c>
      <c r="C255" s="1567">
        <f t="shared" si="15"/>
        <v>480</v>
      </c>
      <c r="D255" s="1567">
        <f t="shared" si="16"/>
        <v>480</v>
      </c>
      <c r="E255" s="1661">
        <v>0.92</v>
      </c>
      <c r="F255" s="1664">
        <f t="shared" si="17"/>
        <v>0.92</v>
      </c>
      <c r="G255" s="1661">
        <f t="shared" si="19"/>
        <v>0.92</v>
      </c>
      <c r="H255" s="1567" t="str">
        <f t="shared" si="18"/>
        <v xml:space="preserve"> </v>
      </c>
    </row>
    <row r="256" spans="2:8">
      <c r="C256" s="1662"/>
      <c r="D256" s="1662"/>
      <c r="E256" s="1662"/>
    </row>
    <row r="257" spans="2:7">
      <c r="C257" s="1662"/>
      <c r="D257" s="1662"/>
      <c r="E257" s="1662"/>
    </row>
    <row r="258" spans="2:7" s="1591" customFormat="1">
      <c r="B258" s="1591">
        <v>1</v>
      </c>
      <c r="C258" s="1685">
        <v>2</v>
      </c>
      <c r="D258" s="1685">
        <v>3</v>
      </c>
      <c r="E258" s="1685">
        <v>4</v>
      </c>
      <c r="F258" s="1591">
        <v>5</v>
      </c>
      <c r="G258" s="1591">
        <v>6</v>
      </c>
    </row>
    <row r="259" spans="2:7">
      <c r="C259" s="1662"/>
      <c r="D259" s="1662"/>
      <c r="E259" s="1662"/>
    </row>
    <row r="260" spans="2:7">
      <c r="C260" s="1662"/>
      <c r="D260" s="1662"/>
      <c r="E260" s="1662"/>
    </row>
    <row r="261" spans="2:7">
      <c r="C261" s="1662"/>
      <c r="D261" s="1662"/>
      <c r="E261" s="1662"/>
    </row>
    <row r="262" spans="2:7">
      <c r="C262" s="1662"/>
      <c r="D262" s="1662"/>
      <c r="E262" s="1662"/>
    </row>
    <row r="263" spans="2:7">
      <c r="C263" s="1662"/>
      <c r="D263" s="1662"/>
      <c r="E263" s="1662"/>
    </row>
    <row r="264" spans="2:7">
      <c r="C264" s="1662"/>
      <c r="D264" s="1662"/>
      <c r="E264" s="1662"/>
    </row>
    <row r="265" spans="2:7">
      <c r="C265" s="1662"/>
      <c r="D265" s="1662"/>
      <c r="E265" s="1662"/>
    </row>
    <row r="266" spans="2:7">
      <c r="C266" s="1662"/>
      <c r="D266" s="1662"/>
      <c r="E266" s="1662"/>
    </row>
    <row r="267" spans="2:7">
      <c r="C267" s="1662"/>
      <c r="D267" s="1662"/>
      <c r="E267" s="1662"/>
    </row>
    <row r="268" spans="2:7">
      <c r="C268" s="1662"/>
      <c r="D268" s="1662"/>
      <c r="E268" s="1662"/>
    </row>
    <row r="269" spans="2:7">
      <c r="C269" s="1662"/>
      <c r="D269" s="1662"/>
      <c r="E269" s="1662"/>
    </row>
    <row r="270" spans="2:7">
      <c r="C270" s="1662"/>
      <c r="D270" s="1662"/>
      <c r="E270" s="1662"/>
    </row>
    <row r="271" spans="2:7">
      <c r="C271" s="1662"/>
      <c r="D271" s="1662"/>
      <c r="E271" s="1662"/>
    </row>
    <row r="272" spans="2:7">
      <c r="C272" s="1662"/>
      <c r="D272" s="1662"/>
      <c r="E272" s="1662"/>
    </row>
    <row r="273" spans="3:5">
      <c r="C273" s="1662"/>
      <c r="D273" s="1662"/>
      <c r="E273" s="1662"/>
    </row>
    <row r="274" spans="3:5">
      <c r="C274" s="1662"/>
      <c r="D274" s="1662"/>
      <c r="E274" s="1662"/>
    </row>
    <row r="275" spans="3:5">
      <c r="C275" s="1662"/>
      <c r="D275" s="1662"/>
      <c r="E275" s="1662"/>
    </row>
    <row r="276" spans="3:5">
      <c r="C276" s="1662"/>
      <c r="D276" s="1662"/>
      <c r="E276" s="1662"/>
    </row>
    <row r="277" spans="3:5">
      <c r="C277" s="1662"/>
      <c r="D277" s="1662"/>
      <c r="E277" s="1662"/>
    </row>
    <row r="278" spans="3:5">
      <c r="C278" s="1662"/>
      <c r="D278" s="1662"/>
      <c r="E278" s="1662"/>
    </row>
    <row r="279" spans="3:5">
      <c r="C279" s="1662"/>
      <c r="D279" s="1662"/>
      <c r="E279" s="1662"/>
    </row>
    <row r="280" spans="3:5">
      <c r="C280" s="1662"/>
      <c r="D280" s="1662"/>
      <c r="E280" s="1662"/>
    </row>
    <row r="281" spans="3:5">
      <c r="C281" s="1662"/>
      <c r="D281" s="1662"/>
      <c r="E281" s="1662"/>
    </row>
    <row r="282" spans="3:5">
      <c r="C282" s="1662"/>
      <c r="D282" s="1662"/>
      <c r="E282" s="1662"/>
    </row>
    <row r="283" spans="3:5">
      <c r="C283" s="1662"/>
      <c r="D283" s="1662"/>
      <c r="E283" s="1662"/>
    </row>
    <row r="284" spans="3:5">
      <c r="C284" s="1662"/>
      <c r="D284" s="1662"/>
      <c r="E284" s="1662"/>
    </row>
    <row r="285" spans="3:5">
      <c r="C285" s="1662"/>
      <c r="D285" s="1662"/>
      <c r="E285" s="1662"/>
    </row>
    <row r="286" spans="3:5">
      <c r="C286" s="1662"/>
      <c r="D286" s="1662"/>
      <c r="E286" s="1662"/>
    </row>
    <row r="287" spans="3:5">
      <c r="C287" s="1662"/>
      <c r="D287" s="1662"/>
      <c r="E287" s="1662"/>
    </row>
    <row r="288" spans="3:5">
      <c r="C288" s="1662"/>
      <c r="D288" s="1662"/>
      <c r="E288" s="1662"/>
    </row>
    <row r="289" spans="3:5">
      <c r="C289" s="1662"/>
      <c r="D289" s="1662"/>
      <c r="E289" s="1662"/>
    </row>
    <row r="290" spans="3:5">
      <c r="C290" s="1662"/>
      <c r="D290" s="1662"/>
      <c r="E290" s="1662"/>
    </row>
    <row r="291" spans="3:5">
      <c r="C291" s="1662"/>
      <c r="D291" s="1662"/>
      <c r="E291" s="1662"/>
    </row>
    <row r="292" spans="3:5">
      <c r="C292" s="1662"/>
      <c r="D292" s="1662"/>
      <c r="E292" s="1662"/>
    </row>
    <row r="293" spans="3:5">
      <c r="C293" s="1662"/>
      <c r="D293" s="1662"/>
      <c r="E293" s="1662"/>
    </row>
    <row r="294" spans="3:5">
      <c r="C294" s="1662"/>
      <c r="D294" s="1662"/>
      <c r="E294" s="1662"/>
    </row>
    <row r="295" spans="3:5">
      <c r="C295" s="1662"/>
      <c r="D295" s="1662"/>
      <c r="E295" s="1662"/>
    </row>
    <row r="296" spans="3:5">
      <c r="C296" s="1662"/>
      <c r="D296" s="1662"/>
      <c r="E296" s="1662"/>
    </row>
    <row r="297" spans="3:5">
      <c r="C297" s="1662"/>
      <c r="D297" s="1662"/>
      <c r="E297" s="1662"/>
    </row>
    <row r="298" spans="3:5">
      <c r="C298" s="1662"/>
      <c r="D298" s="1662"/>
      <c r="E298" s="1662"/>
    </row>
  </sheetData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2">
    <pageSetUpPr autoPageBreaks="0" fitToPage="1"/>
  </sheetPr>
  <dimension ref="A1:U310"/>
  <sheetViews>
    <sheetView showGridLines="0" topLeftCell="A6" zoomScale="80" workbookViewId="0">
      <pane xSplit="1" ySplit="5" topLeftCell="B11" activePane="bottomRight" state="frozen"/>
      <selection activeCell="A6" sqref="A6"/>
      <selection pane="topRight" activeCell="B6" sqref="B6"/>
      <selection pane="bottomLeft" activeCell="A11" sqref="A11"/>
      <selection pane="bottomRight" activeCell="J32" sqref="J32"/>
    </sheetView>
  </sheetViews>
  <sheetFormatPr defaultRowHeight="12.75"/>
  <cols>
    <col min="2" max="2" width="2.7109375" customWidth="1"/>
    <col min="3" max="8" width="8.7109375" customWidth="1"/>
    <col min="9" max="9" width="10.7109375" customWidth="1"/>
    <col min="10" max="10" width="11.7109375" customWidth="1"/>
    <col min="11" max="12" width="8.7109375" style="1" customWidth="1"/>
    <col min="13" max="13" width="10.7109375" customWidth="1"/>
    <col min="14" max="14" width="11.7109375" customWidth="1"/>
    <col min="15" max="15" width="10.7109375" customWidth="1"/>
    <col min="16" max="16" width="11.7109375" customWidth="1"/>
    <col min="17" max="17" width="12.7109375" customWidth="1"/>
    <col min="18" max="18" width="11.7109375" customWidth="1"/>
    <col min="19" max="19" width="12.7109375" customWidth="1"/>
    <col min="20" max="20" width="11.7109375" customWidth="1"/>
    <col min="21" max="21" width="12.7109375" customWidth="1"/>
  </cols>
  <sheetData>
    <row r="1" spans="1:21" s="1" customFormat="1" ht="15.75">
      <c r="A1" s="1137" t="str">
        <f>CONCATENATE(TOC!B2," ",TOC!B6)</f>
        <v>EMPRESSA PRODUTORA DE ENERGÍA LTDA (EPE) *** DRAFT COPY ***</v>
      </c>
      <c r="B1" s="117"/>
    </row>
    <row r="2" spans="1:21" s="1" customFormat="1" ht="15.75">
      <c r="A2" s="1137" t="str">
        <f>TOC!B3</f>
        <v>480 MW POWER PLANT (CUIABA, BRAZIL)</v>
      </c>
      <c r="B2" s="117"/>
    </row>
    <row r="3" spans="1:21" s="1" customFormat="1" ht="15">
      <c r="A3" s="118" t="str">
        <f>TOC!B4</f>
        <v>ENRON INTERNATIONAL</v>
      </c>
      <c r="B3" s="118"/>
    </row>
    <row r="4" spans="1:21" s="1" customFormat="1" ht="15">
      <c r="A4" s="932" t="s">
        <v>1292</v>
      </c>
      <c r="B4" s="932"/>
      <c r="C4" s="933"/>
      <c r="D4" s="933"/>
      <c r="E4" s="933"/>
    </row>
    <row r="5" spans="1:21" s="288" customFormat="1">
      <c r="C5" s="1"/>
      <c r="D5" s="1"/>
      <c r="E5" s="1"/>
      <c r="F5" s="1"/>
      <c r="I5" s="1"/>
      <c r="J5" s="1"/>
      <c r="M5" s="1"/>
      <c r="N5" s="1"/>
      <c r="O5" s="1"/>
      <c r="P5" s="1"/>
      <c r="Q5" s="1"/>
    </row>
    <row r="6" spans="1:21">
      <c r="C6" s="666" t="s">
        <v>1294</v>
      </c>
      <c r="D6" s="667"/>
      <c r="E6" s="667"/>
      <c r="F6" s="667"/>
      <c r="G6" s="667"/>
      <c r="H6" s="667"/>
      <c r="I6" s="667"/>
      <c r="J6" s="667"/>
      <c r="K6" s="667"/>
      <c r="L6" s="667"/>
      <c r="M6" s="667"/>
      <c r="N6" s="667"/>
      <c r="O6" s="667"/>
      <c r="P6" s="667"/>
      <c r="Q6" s="668"/>
      <c r="R6" s="667"/>
      <c r="S6" s="668"/>
      <c r="T6" s="667"/>
      <c r="U6" s="669"/>
    </row>
    <row r="7" spans="1:21" ht="13.5" thickBot="1">
      <c r="G7" s="1"/>
      <c r="H7" s="1"/>
    </row>
    <row r="8" spans="1:21">
      <c r="A8" s="670"/>
      <c r="C8" s="674" t="s">
        <v>1488</v>
      </c>
      <c r="D8" s="675" t="s">
        <v>1492</v>
      </c>
      <c r="E8" s="675" t="s">
        <v>1492</v>
      </c>
      <c r="F8" s="676" t="s">
        <v>1491</v>
      </c>
      <c r="G8" s="1106" t="s">
        <v>1488</v>
      </c>
      <c r="H8" s="675" t="s">
        <v>914</v>
      </c>
      <c r="I8" s="675" t="s">
        <v>1489</v>
      </c>
      <c r="J8" s="676" t="s">
        <v>1484</v>
      </c>
      <c r="K8" s="1106" t="s">
        <v>1488</v>
      </c>
      <c r="L8" s="675" t="s">
        <v>914</v>
      </c>
      <c r="M8" s="675" t="s">
        <v>1489</v>
      </c>
      <c r="N8" s="676" t="s">
        <v>1484</v>
      </c>
      <c r="O8" s="675" t="s">
        <v>1489</v>
      </c>
      <c r="P8" s="675" t="s">
        <v>1489</v>
      </c>
      <c r="Q8" s="676" t="s">
        <v>1484</v>
      </c>
      <c r="R8" s="675" t="s">
        <v>1489</v>
      </c>
      <c r="S8" s="676" t="s">
        <v>1484</v>
      </c>
      <c r="T8" s="675" t="s">
        <v>1489</v>
      </c>
      <c r="U8" s="677" t="s">
        <v>1484</v>
      </c>
    </row>
    <row r="9" spans="1:21">
      <c r="A9" s="426"/>
      <c r="C9" s="678" t="s">
        <v>333</v>
      </c>
      <c r="D9" s="113" t="s">
        <v>1493</v>
      </c>
      <c r="E9" s="113" t="s">
        <v>1493</v>
      </c>
      <c r="F9" s="326" t="s">
        <v>1493</v>
      </c>
      <c r="G9" s="265" t="s">
        <v>1631</v>
      </c>
      <c r="H9" s="55" t="s">
        <v>915</v>
      </c>
      <c r="I9" s="113" t="s">
        <v>1423</v>
      </c>
      <c r="J9" s="326" t="s">
        <v>1423</v>
      </c>
      <c r="K9" s="265" t="s">
        <v>1631</v>
      </c>
      <c r="L9" s="55" t="s">
        <v>915</v>
      </c>
      <c r="M9" s="113" t="s">
        <v>1780</v>
      </c>
      <c r="N9" s="326" t="s">
        <v>1780</v>
      </c>
      <c r="O9" s="113" t="s">
        <v>358</v>
      </c>
      <c r="P9" s="113" t="s">
        <v>1501</v>
      </c>
      <c r="Q9" s="326" t="s">
        <v>1501</v>
      </c>
      <c r="R9" s="113" t="s">
        <v>1501</v>
      </c>
      <c r="S9" s="326" t="s">
        <v>1501</v>
      </c>
      <c r="T9" s="113" t="s">
        <v>1501</v>
      </c>
      <c r="U9" s="399" t="s">
        <v>1501</v>
      </c>
    </row>
    <row r="10" spans="1:21">
      <c r="A10" s="671" t="s">
        <v>1436</v>
      </c>
      <c r="C10" s="679" t="s">
        <v>332</v>
      </c>
      <c r="D10" s="93" t="s">
        <v>1494</v>
      </c>
      <c r="E10" s="93" t="s">
        <v>570</v>
      </c>
      <c r="F10" s="327" t="s">
        <v>1495</v>
      </c>
      <c r="G10" s="741" t="s">
        <v>1423</v>
      </c>
      <c r="H10" s="93" t="s">
        <v>1423</v>
      </c>
      <c r="I10" s="93" t="s">
        <v>913</v>
      </c>
      <c r="J10" s="327" t="s">
        <v>913</v>
      </c>
      <c r="K10" s="741" t="s">
        <v>1780</v>
      </c>
      <c r="L10" s="93" t="s">
        <v>1780</v>
      </c>
      <c r="M10" s="93" t="s">
        <v>913</v>
      </c>
      <c r="N10" s="327" t="s">
        <v>913</v>
      </c>
      <c r="O10" s="93" t="s">
        <v>917</v>
      </c>
      <c r="P10" s="93" t="s">
        <v>1502</v>
      </c>
      <c r="Q10" s="327" t="s">
        <v>1502</v>
      </c>
      <c r="R10" s="93" t="s">
        <v>501</v>
      </c>
      <c r="S10" s="327" t="s">
        <v>501</v>
      </c>
      <c r="T10" s="93" t="s">
        <v>1329</v>
      </c>
      <c r="U10" s="680" t="s">
        <v>1329</v>
      </c>
    </row>
    <row r="11" spans="1:21">
      <c r="A11" s="426"/>
      <c r="C11" s="398"/>
      <c r="D11" s="1"/>
      <c r="E11" s="1"/>
      <c r="F11" s="108"/>
      <c r="G11" s="1107"/>
      <c r="H11" s="1"/>
      <c r="I11" s="1"/>
      <c r="J11" s="108"/>
      <c r="K11" s="1107"/>
      <c r="M11" s="1"/>
      <c r="N11" s="108"/>
      <c r="O11" s="1"/>
      <c r="P11" s="1"/>
      <c r="Q11" s="108"/>
      <c r="R11" s="1"/>
      <c r="S11" s="108"/>
      <c r="T11" s="1"/>
      <c r="U11" s="401"/>
    </row>
    <row r="12" spans="1:21">
      <c r="A12" s="672">
        <f ca="1">Startops1</f>
        <v>36251</v>
      </c>
      <c r="C12" s="681">
        <f ca="1">IF($A12&gt;Endyr,0,VLOOKUP($A12,Capacity_Table,Tariff!$R$18))</f>
        <v>150</v>
      </c>
      <c r="D12" s="330">
        <f ca="1">A13-A12</f>
        <v>30</v>
      </c>
      <c r="E12" s="330" t="str">
        <f ca="1">IF(MONTH($A12)=12,SUM(D1:D12)," ")</f>
        <v xml:space="preserve"> </v>
      </c>
      <c r="F12" s="1108">
        <v>24</v>
      </c>
      <c r="G12" s="1109">
        <f ca="1">IF(I12=0,0,I12/($C12*$D12*$F12*H12))</f>
        <v>9.420289855072464E-2</v>
      </c>
      <c r="H12" s="1686">
        <f ca="1">IF(Avail_LDs_Switch=1,VLOOKUP('Plant Operations'!A12,RAC_AvailFactor_Table,RAC_LDs!$G$258),IF($A12&lt;Startops2,Tariff!$T$11,0))</f>
        <v>0.92</v>
      </c>
      <c r="I12" s="1559">
        <f ca="1">IF(OR($A12&lt;Startops1,$A12&gt;=Startops2),0,IF(AND($A12&gt;=DieselOps_2,$A12&lt;Startops2),VLOOKUP($A12,Diesel_Table,Tariff!$Y$41),VLOOKUP($A12,OA_Table,Tariff!$Y$26)))</f>
        <v>9360</v>
      </c>
      <c r="J12" s="391" t="str">
        <f t="shared" ref="J12:J19" ca="1" si="0">IF(MONTH($A12)=12,SUM(I1:I12)," ")</f>
        <v xml:space="preserve"> </v>
      </c>
      <c r="K12" s="1109">
        <f ca="1">IF(OR($A12&lt;Startops2,$A12&gt;=Endyr),0,VLOOKUP($A12,Capacity_Table,Tariff!$S$18))</f>
        <v>0</v>
      </c>
      <c r="L12" s="212">
        <f ca="1">IF(OR($A12&lt;Startops2,$A12&gt;=Endyr),0,VLOOKUP($A12,Capacity_Table,Tariff!$T$18))</f>
        <v>0</v>
      </c>
      <c r="M12" s="334">
        <f ca="1">IF($A12&lt;Startops2,0,IF($A12&lt;Startops3,VLOOKUP($A12,Convert_Table,Tariff!$Y$54),C12*D12*F12*K12*L12))</f>
        <v>0</v>
      </c>
      <c r="N12" s="391" t="str">
        <f t="shared" ref="N12:N19" ca="1" si="1">IF(MONTH($A12)=12,SUM(M1:M12)," ")</f>
        <v xml:space="preserve"> </v>
      </c>
      <c r="O12" s="334">
        <f t="shared" ref="O12:O20" ca="1" si="2">IF($A12&lt;Startops2,0,IF($A12&lt;Startops3,Hr_II,Hr_III))</f>
        <v>0</v>
      </c>
      <c r="P12" s="334">
        <f ca="1">M12*O12/1000</f>
        <v>0</v>
      </c>
      <c r="Q12" s="332" t="str">
        <f ca="1">IF(MONTH($A12)=12,SUM(P1:P12)," ")</f>
        <v xml:space="preserve"> </v>
      </c>
      <c r="R12" s="334">
        <f ca="1">IF($A12&gt;Endyr,0,IF($A12&lt;Assm!$A$55,P12,Assm!$F$55*$D12))</f>
        <v>0</v>
      </c>
      <c r="S12" s="391" t="str">
        <f ca="1">IF(MONTH($A12)=12,SUM(R1:R12)," ")</f>
        <v xml:space="preserve"> </v>
      </c>
      <c r="T12" s="334">
        <f ca="1">MAX(P12,R12)</f>
        <v>0</v>
      </c>
      <c r="U12" s="682" t="str">
        <f ca="1">IF(MONTH($A12)=12,SUM(T1:T12)," ")</f>
        <v xml:space="preserve"> </v>
      </c>
    </row>
    <row r="13" spans="1:21">
      <c r="A13" s="672">
        <f t="shared" ref="A13:A76" ca="1" si="3">EDATE(A12,1)</f>
        <v>36281</v>
      </c>
      <c r="C13" s="681">
        <f ca="1">IF($A13&gt;Endyr,0,VLOOKUP($A13,Capacity_Table,Tariff!$R$18))</f>
        <v>150</v>
      </c>
      <c r="D13" s="330">
        <f t="shared" ref="D13:D76" ca="1" si="4">A14-A13</f>
        <v>31</v>
      </c>
      <c r="E13" s="330" t="str">
        <f t="shared" ref="E13:E76" ca="1" si="5">IF(MONTH($A13)=12,SUM(D2:D13)," ")</f>
        <v xml:space="preserve"> </v>
      </c>
      <c r="F13" s="332">
        <f>F12</f>
        <v>24</v>
      </c>
      <c r="G13" s="1109">
        <f t="shared" ref="G13:G76" ca="1" si="6">IF(I13=0,0,I13/($C13*$D13*$F13*H13))</f>
        <v>9.1164095371669002E-2</v>
      </c>
      <c r="H13" s="1686">
        <f ca="1">IF(Avail_LDs_Switch=1,VLOOKUP('Plant Operations'!A13,RAC_AvailFactor_Table,RAC_LDs!$G$258),IF($A13&lt;Startops2,Tariff!$T$11,0))</f>
        <v>0.92</v>
      </c>
      <c r="I13" s="1559">
        <f ca="1">IF(OR($A13&lt;Startops1,$A13&gt;=Startops2),0,IF(AND($A13&gt;=DieselOps_2,$A13&lt;Startops2),VLOOKUP($A13,Diesel_Table,Tariff!$Y$41),VLOOKUP($A13,OA_Table,Tariff!$Y$26)))</f>
        <v>9360</v>
      </c>
      <c r="J13" s="391" t="str">
        <f t="shared" ca="1" si="0"/>
        <v xml:space="preserve"> </v>
      </c>
      <c r="K13" s="1109">
        <f ca="1">IF(OR($A13&lt;Startops2,$A13&gt;=Endyr),0,VLOOKUP($A13,Capacity_Table,Tariff!$S$18))</f>
        <v>0</v>
      </c>
      <c r="L13" s="212">
        <f ca="1">IF(OR($A13&lt;Startops2,$A13&gt;=Endyr),0,VLOOKUP($A13,Capacity_Table,Tariff!$T$18))</f>
        <v>0</v>
      </c>
      <c r="M13" s="334">
        <f ca="1">IF($A13&lt;Startops2,0,IF($A13&lt;Startops3,VLOOKUP($A13,Convert_Table,Tariff!$Y$54),C13*D13*F13*K13*L13))</f>
        <v>0</v>
      </c>
      <c r="N13" s="391" t="str">
        <f t="shared" ca="1" si="1"/>
        <v xml:space="preserve"> </v>
      </c>
      <c r="O13" s="334">
        <f t="shared" ca="1" si="2"/>
        <v>0</v>
      </c>
      <c r="P13" s="334">
        <f t="shared" ref="P13:P76" ca="1" si="7">M13*O13/1000</f>
        <v>0</v>
      </c>
      <c r="Q13" s="332" t="str">
        <f t="shared" ref="Q13:Q76" ca="1" si="8">IF(MONTH($A13)=12,SUM(P2:P13)," ")</f>
        <v xml:space="preserve"> </v>
      </c>
      <c r="R13" s="334">
        <f ca="1">IF($A13&gt;Endyr,0,IF($A13&lt;Assm!$A$55,P13,Assm!$F$55*$D13))</f>
        <v>0</v>
      </c>
      <c r="S13" s="391" t="str">
        <f t="shared" ref="S13:S76" ca="1" si="9">IF(MONTH($A13)=12,SUM(R2:R13)," ")</f>
        <v xml:space="preserve"> </v>
      </c>
      <c r="T13" s="334">
        <f t="shared" ref="T13:T76" ca="1" si="10">MAX(P13,R13)</f>
        <v>0</v>
      </c>
      <c r="U13" s="682" t="str">
        <f t="shared" ref="U13:U76" ca="1" si="11">IF(MONTH($A13)=12,SUM(T2:T13)," ")</f>
        <v xml:space="preserve"> </v>
      </c>
    </row>
    <row r="14" spans="1:21">
      <c r="A14" s="672">
        <f t="shared" ca="1" si="3"/>
        <v>36312</v>
      </c>
      <c r="C14" s="681">
        <f ca="1">IF($A14&gt;Endyr,0,VLOOKUP($A14,Capacity_Table,Tariff!$R$18))</f>
        <v>150</v>
      </c>
      <c r="D14" s="330">
        <f t="shared" ca="1" si="4"/>
        <v>30</v>
      </c>
      <c r="E14" s="330" t="str">
        <f t="shared" ca="1" si="5"/>
        <v xml:space="preserve"> </v>
      </c>
      <c r="F14" s="332">
        <f t="shared" ref="F14:F77" si="12">F13</f>
        <v>24</v>
      </c>
      <c r="G14" s="1109">
        <f t="shared" ca="1" si="6"/>
        <v>0.11775362318840579</v>
      </c>
      <c r="H14" s="1686">
        <f ca="1">IF(Avail_LDs_Switch=1,VLOOKUP('Plant Operations'!A14,RAC_AvailFactor_Table,RAC_LDs!$G$258),IF($A14&lt;Startops2,Tariff!$T$11,0))</f>
        <v>0.92</v>
      </c>
      <c r="I14" s="1559">
        <f ca="1">IF(OR($A14&lt;Startops1,$A14&gt;=Startops2),0,IF(AND($A14&gt;=DieselOps_2,$A14&lt;Startops2),VLOOKUP($A14,Diesel_Table,Tariff!$Y$41),VLOOKUP($A14,OA_Table,Tariff!$Y$26)))</f>
        <v>11700</v>
      </c>
      <c r="J14" s="391" t="str">
        <f t="shared" ca="1" si="0"/>
        <v xml:space="preserve"> </v>
      </c>
      <c r="K14" s="1109">
        <f ca="1">IF(OR($A14&lt;Startops2,$A14&gt;=Endyr),0,VLOOKUP($A14,Capacity_Table,Tariff!$S$18))</f>
        <v>0</v>
      </c>
      <c r="L14" s="212">
        <f ca="1">IF(OR($A14&lt;Startops2,$A14&gt;=Endyr),0,VLOOKUP($A14,Capacity_Table,Tariff!$T$18))</f>
        <v>0</v>
      </c>
      <c r="M14" s="334">
        <f ca="1">IF($A14&lt;Startops2,0,IF($A14&lt;Startops3,VLOOKUP($A14,Convert_Table,Tariff!$Y$54),C14*D14*F14*K14*L14))</f>
        <v>0</v>
      </c>
      <c r="N14" s="391" t="str">
        <f t="shared" ca="1" si="1"/>
        <v xml:space="preserve"> </v>
      </c>
      <c r="O14" s="334">
        <f t="shared" ca="1" si="2"/>
        <v>0</v>
      </c>
      <c r="P14" s="334">
        <f t="shared" ca="1" si="7"/>
        <v>0</v>
      </c>
      <c r="Q14" s="332" t="str">
        <f t="shared" ca="1" si="8"/>
        <v xml:space="preserve"> </v>
      </c>
      <c r="R14" s="334">
        <f ca="1">IF($A14&gt;Endyr,0,IF($A14&lt;Assm!$A$55,P14,Assm!$F$55*$D14))</f>
        <v>0</v>
      </c>
      <c r="S14" s="391" t="str">
        <f t="shared" ca="1" si="9"/>
        <v xml:space="preserve"> </v>
      </c>
      <c r="T14" s="334">
        <f t="shared" ca="1" si="10"/>
        <v>0</v>
      </c>
      <c r="U14" s="682" t="str">
        <f t="shared" ca="1" si="11"/>
        <v xml:space="preserve"> </v>
      </c>
    </row>
    <row r="15" spans="1:21">
      <c r="A15" s="672">
        <f t="shared" ca="1" si="3"/>
        <v>36342</v>
      </c>
      <c r="C15" s="681">
        <f ca="1">IF($A15&gt;Endyr,0,VLOOKUP($A15,Capacity_Table,Tariff!$R$18))</f>
        <v>150</v>
      </c>
      <c r="D15" s="330">
        <f t="shared" ca="1" si="4"/>
        <v>31</v>
      </c>
      <c r="E15" s="330" t="str">
        <f t="shared" ca="1" si="5"/>
        <v xml:space="preserve"> </v>
      </c>
      <c r="F15" s="332">
        <f t="shared" si="12"/>
        <v>24</v>
      </c>
      <c r="G15" s="1109">
        <f t="shared" ca="1" si="6"/>
        <v>0.11395511921458626</v>
      </c>
      <c r="H15" s="1686">
        <f ca="1">IF(Avail_LDs_Switch=1,VLOOKUP('Plant Operations'!A15,RAC_AvailFactor_Table,RAC_LDs!$G$258),IF($A15&lt;Startops2,Tariff!$T$11,0))</f>
        <v>0.92</v>
      </c>
      <c r="I15" s="1559">
        <f ca="1">IF(OR($A15&lt;Startops1,$A15&gt;=Startops2),0,IF(AND($A15&gt;=DieselOps_2,$A15&lt;Startops2),VLOOKUP($A15,Diesel_Table,Tariff!$Y$41),VLOOKUP($A15,OA_Table,Tariff!$Y$26)))</f>
        <v>11700</v>
      </c>
      <c r="J15" s="391" t="str">
        <f t="shared" ca="1" si="0"/>
        <v xml:space="preserve"> </v>
      </c>
      <c r="K15" s="1109">
        <f ca="1">IF(OR($A15&lt;Startops2,$A15&gt;=Endyr),0,VLOOKUP($A15,Capacity_Table,Tariff!$S$18))</f>
        <v>0</v>
      </c>
      <c r="L15" s="212">
        <f ca="1">IF(OR($A15&lt;Startops2,$A15&gt;=Endyr),0,VLOOKUP($A15,Capacity_Table,Tariff!$T$18))</f>
        <v>0</v>
      </c>
      <c r="M15" s="334">
        <f ca="1">IF($A15&lt;Startops2,0,IF($A15&lt;Startops3,VLOOKUP($A15,Convert_Table,Tariff!$Y$54),C15*D15*F15*K15*L15))</f>
        <v>0</v>
      </c>
      <c r="N15" s="391" t="str">
        <f t="shared" ca="1" si="1"/>
        <v xml:space="preserve"> </v>
      </c>
      <c r="O15" s="334">
        <f t="shared" ca="1" si="2"/>
        <v>0</v>
      </c>
      <c r="P15" s="334">
        <f t="shared" ca="1" si="7"/>
        <v>0</v>
      </c>
      <c r="Q15" s="332" t="str">
        <f t="shared" ca="1" si="8"/>
        <v xml:space="preserve"> </v>
      </c>
      <c r="R15" s="334">
        <f ca="1">IF($A15&gt;Endyr,0,IF($A15&lt;Assm!$A$55,P15,Assm!$F$55*$D15))</f>
        <v>0</v>
      </c>
      <c r="S15" s="391" t="str">
        <f t="shared" ca="1" si="9"/>
        <v xml:space="preserve"> </v>
      </c>
      <c r="T15" s="334">
        <f t="shared" ca="1" si="10"/>
        <v>0</v>
      </c>
      <c r="U15" s="682" t="str">
        <f t="shared" ca="1" si="11"/>
        <v xml:space="preserve"> </v>
      </c>
    </row>
    <row r="16" spans="1:21">
      <c r="A16" s="672">
        <f t="shared" ca="1" si="3"/>
        <v>36373</v>
      </c>
      <c r="C16" s="681">
        <f ca="1">IF($A16&gt;Endyr,0,VLOOKUP($A16,Capacity_Table,Tariff!$R$18))</f>
        <v>150</v>
      </c>
      <c r="D16" s="330">
        <f t="shared" ca="1" si="4"/>
        <v>31</v>
      </c>
      <c r="E16" s="330" t="str">
        <f t="shared" ca="1" si="5"/>
        <v xml:space="preserve"> </v>
      </c>
      <c r="F16" s="332">
        <f t="shared" si="12"/>
        <v>24</v>
      </c>
      <c r="G16" s="1109">
        <f t="shared" ca="1" si="6"/>
        <v>0.13674614305750352</v>
      </c>
      <c r="H16" s="1686">
        <f ca="1">IF(Avail_LDs_Switch=1,VLOOKUP('Plant Operations'!A16,RAC_AvailFactor_Table,RAC_LDs!$G$258),IF($A16&lt;Startops2,Tariff!$T$11,0))</f>
        <v>0.92</v>
      </c>
      <c r="I16" s="1559">
        <f ca="1">IF(OR($A16&lt;Startops1,$A16&gt;=Startops2),0,IF(AND($A16&gt;=DieselOps_2,$A16&lt;Startops2),VLOOKUP($A16,Diesel_Table,Tariff!$Y$41),VLOOKUP($A16,OA_Table,Tariff!$Y$26)))</f>
        <v>14040</v>
      </c>
      <c r="J16" s="391" t="str">
        <f t="shared" ca="1" si="0"/>
        <v xml:space="preserve"> </v>
      </c>
      <c r="K16" s="1109">
        <f ca="1">IF(OR($A16&lt;Startops2,$A16&gt;=Endyr),0,VLOOKUP($A16,Capacity_Table,Tariff!$S$18))</f>
        <v>0</v>
      </c>
      <c r="L16" s="212">
        <f ca="1">IF(OR($A16&lt;Startops2,$A16&gt;=Endyr),0,VLOOKUP($A16,Capacity_Table,Tariff!$T$18))</f>
        <v>0</v>
      </c>
      <c r="M16" s="334">
        <f ca="1">IF($A16&lt;Startops2,0,IF($A16&lt;Startops3,VLOOKUP($A16,Convert_Table,Tariff!$Y$54),C16*D16*F16*K16*L16))</f>
        <v>0</v>
      </c>
      <c r="N16" s="391" t="str">
        <f t="shared" ca="1" si="1"/>
        <v xml:space="preserve"> </v>
      </c>
      <c r="O16" s="334">
        <f t="shared" ca="1" si="2"/>
        <v>0</v>
      </c>
      <c r="P16" s="334">
        <f t="shared" ca="1" si="7"/>
        <v>0</v>
      </c>
      <c r="Q16" s="332" t="str">
        <f t="shared" ca="1" si="8"/>
        <v xml:space="preserve"> </v>
      </c>
      <c r="R16" s="334">
        <f ca="1">IF($A16&gt;Endyr,0,IF($A16&lt;Assm!$A$55,P16,Assm!$F$55*$D16))</f>
        <v>0</v>
      </c>
      <c r="S16" s="391" t="str">
        <f t="shared" ca="1" si="9"/>
        <v xml:space="preserve"> </v>
      </c>
      <c r="T16" s="334">
        <f t="shared" ca="1" si="10"/>
        <v>0</v>
      </c>
      <c r="U16" s="682" t="str">
        <f t="shared" ca="1" si="11"/>
        <v xml:space="preserve"> </v>
      </c>
    </row>
    <row r="17" spans="1:21">
      <c r="A17" s="672">
        <f t="shared" ca="1" si="3"/>
        <v>36404</v>
      </c>
      <c r="C17" s="681">
        <f ca="1">IF($A17&gt;Endyr,0,VLOOKUP($A17,Capacity_Table,Tariff!$R$18))</f>
        <v>150</v>
      </c>
      <c r="D17" s="330">
        <f t="shared" ca="1" si="4"/>
        <v>30</v>
      </c>
      <c r="E17" s="330" t="str">
        <f t="shared" ca="1" si="5"/>
        <v xml:space="preserve"> </v>
      </c>
      <c r="F17" s="332">
        <f t="shared" si="12"/>
        <v>24</v>
      </c>
      <c r="G17" s="1109">
        <f t="shared" ca="1" si="6"/>
        <v>0.16747181964573268</v>
      </c>
      <c r="H17" s="1686">
        <f ca="1">IF(Avail_LDs_Switch=1,VLOOKUP('Plant Operations'!A17,RAC_AvailFactor_Table,RAC_LDs!$G$258),IF($A17&lt;Startops2,Tariff!$T$11,0))</f>
        <v>0.92</v>
      </c>
      <c r="I17" s="1559">
        <f ca="1">IF(OR($A17&lt;Startops1,$A17&gt;=Startops2),0,IF(AND($A17&gt;=DieselOps_2,$A17&lt;Startops2),VLOOKUP($A17,Diesel_Table,Tariff!$Y$41),VLOOKUP($A17,OA_Table,Tariff!$Y$26)))</f>
        <v>16640</v>
      </c>
      <c r="J17" s="391" t="str">
        <f t="shared" ca="1" si="0"/>
        <v xml:space="preserve"> </v>
      </c>
      <c r="K17" s="1109">
        <f ca="1">IF(OR($A17&lt;Startops2,$A17&gt;=Endyr),0,VLOOKUP($A17,Capacity_Table,Tariff!$S$18))</f>
        <v>0</v>
      </c>
      <c r="L17" s="212">
        <f ca="1">IF(OR($A17&lt;Startops2,$A17&gt;=Endyr),0,VLOOKUP($A17,Capacity_Table,Tariff!$T$18))</f>
        <v>0</v>
      </c>
      <c r="M17" s="334">
        <f ca="1">IF($A17&lt;Startops2,0,IF($A17&lt;Startops3,VLOOKUP($A17,Convert_Table,Tariff!$Y$54),C17*D17*F17*K17*L17))</f>
        <v>0</v>
      </c>
      <c r="N17" s="391" t="str">
        <f t="shared" ca="1" si="1"/>
        <v xml:space="preserve"> </v>
      </c>
      <c r="O17" s="334">
        <f t="shared" ca="1" si="2"/>
        <v>0</v>
      </c>
      <c r="P17" s="334">
        <f t="shared" ca="1" si="7"/>
        <v>0</v>
      </c>
      <c r="Q17" s="332" t="str">
        <f t="shared" ca="1" si="8"/>
        <v xml:space="preserve"> </v>
      </c>
      <c r="R17" s="334">
        <f ca="1">IF($A17&gt;Endyr,0,IF($A17&lt;Assm!$A$55,P17,Assm!$F$55*$D17))</f>
        <v>0</v>
      </c>
      <c r="S17" s="391" t="str">
        <f t="shared" ca="1" si="9"/>
        <v xml:space="preserve"> </v>
      </c>
      <c r="T17" s="334">
        <f t="shared" ca="1" si="10"/>
        <v>0</v>
      </c>
      <c r="U17" s="682" t="str">
        <f t="shared" ca="1" si="11"/>
        <v xml:space="preserve"> </v>
      </c>
    </row>
    <row r="18" spans="1:21">
      <c r="A18" s="672">
        <f t="shared" ca="1" si="3"/>
        <v>36434</v>
      </c>
      <c r="C18" s="681">
        <f ca="1">IF($A18&gt;Endyr,0,VLOOKUP($A18,Capacity_Table,Tariff!$R$18))</f>
        <v>150</v>
      </c>
      <c r="D18" s="330">
        <f t="shared" ca="1" si="4"/>
        <v>31</v>
      </c>
      <c r="E18" s="330" t="str">
        <f t="shared" ca="1" si="5"/>
        <v xml:space="preserve"> </v>
      </c>
      <c r="F18" s="332">
        <f t="shared" si="12"/>
        <v>24</v>
      </c>
      <c r="G18" s="1109">
        <f t="shared" ca="1" si="6"/>
        <v>0.13674614305750352</v>
      </c>
      <c r="H18" s="1686">
        <f ca="1">IF(Avail_LDs_Switch=1,VLOOKUP('Plant Operations'!A18,RAC_AvailFactor_Table,RAC_LDs!$G$258),IF($A18&lt;Startops2,Tariff!$T$11,0))</f>
        <v>0.92</v>
      </c>
      <c r="I18" s="1559">
        <f ca="1">IF(OR($A18&lt;Startops1,$A18&gt;=Startops2),0,IF(AND($A18&gt;=DieselOps_2,$A18&lt;Startops2),VLOOKUP($A18,Diesel_Table,Tariff!$Y$41),VLOOKUP($A18,OA_Table,Tariff!$Y$26)))</f>
        <v>14040</v>
      </c>
      <c r="J18" s="391" t="str">
        <f t="shared" ca="1" si="0"/>
        <v xml:space="preserve"> </v>
      </c>
      <c r="K18" s="1109">
        <f ca="1">IF(OR($A18&lt;Startops2,$A18&gt;=Endyr),0,VLOOKUP($A18,Capacity_Table,Tariff!$S$18))</f>
        <v>0</v>
      </c>
      <c r="L18" s="212">
        <f ca="1">IF(OR($A18&lt;Startops2,$A18&gt;=Endyr),0,VLOOKUP($A18,Capacity_Table,Tariff!$T$18))</f>
        <v>0</v>
      </c>
      <c r="M18" s="334">
        <f ca="1">IF($A18&lt;Startops2,0,IF($A18&lt;Startops3,VLOOKUP($A18,Convert_Table,Tariff!$Y$54),C18*D18*F18*K18*L18))</f>
        <v>0</v>
      </c>
      <c r="N18" s="391" t="str">
        <f t="shared" ca="1" si="1"/>
        <v xml:space="preserve"> </v>
      </c>
      <c r="O18" s="334">
        <f t="shared" ca="1" si="2"/>
        <v>0</v>
      </c>
      <c r="P18" s="334">
        <f t="shared" ca="1" si="7"/>
        <v>0</v>
      </c>
      <c r="Q18" s="332" t="str">
        <f t="shared" ca="1" si="8"/>
        <v xml:space="preserve"> </v>
      </c>
      <c r="R18" s="334">
        <f ca="1">IF($A18&gt;Endyr,0,IF($A18&lt;Assm!$A$55,P18,Assm!$F$55*$D18))</f>
        <v>0</v>
      </c>
      <c r="S18" s="391" t="str">
        <f t="shared" ca="1" si="9"/>
        <v xml:space="preserve"> </v>
      </c>
      <c r="T18" s="334">
        <f t="shared" ca="1" si="10"/>
        <v>0</v>
      </c>
      <c r="U18" s="682" t="str">
        <f t="shared" ca="1" si="11"/>
        <v xml:space="preserve"> </v>
      </c>
    </row>
    <row r="19" spans="1:21">
      <c r="A19" s="672">
        <f t="shared" ca="1" si="3"/>
        <v>36465</v>
      </c>
      <c r="C19" s="681">
        <f ca="1">IF($A19&gt;Endyr,0,VLOOKUP($A19,Capacity_Table,Tariff!$R$18))</f>
        <v>150</v>
      </c>
      <c r="D19" s="330">
        <f t="shared" ca="1" si="4"/>
        <v>30</v>
      </c>
      <c r="E19" s="330" t="str">
        <f t="shared" ca="1" si="5"/>
        <v xml:space="preserve"> </v>
      </c>
      <c r="F19" s="332">
        <f t="shared" si="12"/>
        <v>24</v>
      </c>
      <c r="G19" s="1109">
        <f t="shared" ca="1" si="6"/>
        <v>0.11775362318840579</v>
      </c>
      <c r="H19" s="1686">
        <f ca="1">IF(Avail_LDs_Switch=1,VLOOKUP('Plant Operations'!A19,RAC_AvailFactor_Table,RAC_LDs!$G$258),IF($A19&lt;Startops2,Tariff!$T$11,0))</f>
        <v>0.92</v>
      </c>
      <c r="I19" s="1559">
        <f ca="1">IF(OR($A19&lt;Startops1,$A19&gt;=Startops2),0,IF(AND($A19&gt;=DieselOps_2,$A19&lt;Startops2),VLOOKUP($A19,Diesel_Table,Tariff!$Y$41),VLOOKUP($A19,OA_Table,Tariff!$Y$26)))</f>
        <v>11700</v>
      </c>
      <c r="J19" s="391" t="str">
        <f t="shared" ca="1" si="0"/>
        <v xml:space="preserve"> </v>
      </c>
      <c r="K19" s="1109">
        <f ca="1">IF(OR($A19&lt;Startops2,$A19&gt;=Endyr),0,VLOOKUP($A19,Capacity_Table,Tariff!$S$18))</f>
        <v>0</v>
      </c>
      <c r="L19" s="212">
        <f ca="1">IF(OR($A19&lt;Startops2,$A19&gt;=Endyr),0,VLOOKUP($A19,Capacity_Table,Tariff!$T$18))</f>
        <v>0</v>
      </c>
      <c r="M19" s="334">
        <f ca="1">IF($A19&lt;Startops2,0,IF($A19&lt;Startops3,VLOOKUP($A19,Convert_Table,Tariff!$Y$54),C19*D19*F19*K19*L19))</f>
        <v>0</v>
      </c>
      <c r="N19" s="391" t="str">
        <f t="shared" ca="1" si="1"/>
        <v xml:space="preserve"> </v>
      </c>
      <c r="O19" s="334">
        <f t="shared" ca="1" si="2"/>
        <v>0</v>
      </c>
      <c r="P19" s="334">
        <f t="shared" ca="1" si="7"/>
        <v>0</v>
      </c>
      <c r="Q19" s="332" t="str">
        <f t="shared" ca="1" si="8"/>
        <v xml:space="preserve"> </v>
      </c>
      <c r="R19" s="334">
        <f ca="1">IF($A19&gt;Endyr,0,IF($A19&lt;Assm!$A$55,P19,Assm!$F$55*$D19))</f>
        <v>0</v>
      </c>
      <c r="S19" s="391" t="str">
        <f t="shared" ca="1" si="9"/>
        <v xml:space="preserve"> </v>
      </c>
      <c r="T19" s="334">
        <f t="shared" ca="1" si="10"/>
        <v>0</v>
      </c>
      <c r="U19" s="682" t="str">
        <f t="shared" ca="1" si="11"/>
        <v xml:space="preserve"> </v>
      </c>
    </row>
    <row r="20" spans="1:21">
      <c r="A20" s="672">
        <f t="shared" ca="1" si="3"/>
        <v>36495</v>
      </c>
      <c r="C20" s="681">
        <f ca="1">IF($A20&gt;Endyr,0,VLOOKUP($A20,Capacity_Table,Tariff!$R$18))</f>
        <v>150</v>
      </c>
      <c r="D20" s="330">
        <f t="shared" ca="1" si="4"/>
        <v>31</v>
      </c>
      <c r="E20" s="330">
        <f t="shared" ca="1" si="5"/>
        <v>275</v>
      </c>
      <c r="F20" s="332">
        <f t="shared" si="12"/>
        <v>24</v>
      </c>
      <c r="G20" s="1109">
        <f t="shared" ca="1" si="6"/>
        <v>9.1164095371669002E-2</v>
      </c>
      <c r="H20" s="1686">
        <f ca="1">IF(Avail_LDs_Switch=1,VLOOKUP('Plant Operations'!A20,RAC_AvailFactor_Table,RAC_LDs!$G$258),IF($A20&lt;Startops2,Tariff!$T$11,0))</f>
        <v>0.92</v>
      </c>
      <c r="I20" s="1559">
        <f ca="1">IF(OR($A20&lt;Startops1,$A20&gt;=Startops2),0,IF(AND($A20&gt;=DieselOps_2,$A20&lt;Startops2),VLOOKUP($A20,Diesel_Table,Tariff!$Y$41),VLOOKUP($A20,OA_Table,Tariff!$Y$26)))</f>
        <v>9360</v>
      </c>
      <c r="J20" s="391">
        <f ca="1">IF(MONTH($A20)=12,SUM(I9:I20)," ")</f>
        <v>107900</v>
      </c>
      <c r="K20" s="1109">
        <f ca="1">IF(OR($A20&lt;Startops2,$A20&gt;=Endyr),0,VLOOKUP($A20,Capacity_Table,Tariff!$S$18))</f>
        <v>0</v>
      </c>
      <c r="L20" s="212">
        <f ca="1">IF(OR($A20&lt;Startops2,$A20&gt;=Endyr),0,VLOOKUP($A20,Capacity_Table,Tariff!$T$18))</f>
        <v>0</v>
      </c>
      <c r="M20" s="334">
        <f ca="1">IF($A20&lt;Startops2,0,IF($A20&lt;Startops3,VLOOKUP($A20,Convert_Table,Tariff!$Y$54),C20*D20*F20*K20*L20))</f>
        <v>0</v>
      </c>
      <c r="N20" s="391">
        <f ca="1">IF(MONTH($A20)=12,SUM(M9:M20)," ")</f>
        <v>0</v>
      </c>
      <c r="O20" s="334">
        <f t="shared" ca="1" si="2"/>
        <v>0</v>
      </c>
      <c r="P20" s="334">
        <f t="shared" ca="1" si="7"/>
        <v>0</v>
      </c>
      <c r="Q20" s="332">
        <f t="shared" ca="1" si="8"/>
        <v>0</v>
      </c>
      <c r="R20" s="334">
        <f ca="1">IF($A20&gt;Endyr,0,IF($A20&lt;Assm!$A$55,P20,Assm!$F$55*$D20))</f>
        <v>0</v>
      </c>
      <c r="S20" s="391">
        <f t="shared" ca="1" si="9"/>
        <v>0</v>
      </c>
      <c r="T20" s="334">
        <f t="shared" ca="1" si="10"/>
        <v>0</v>
      </c>
      <c r="U20" s="682">
        <f t="shared" ca="1" si="11"/>
        <v>0</v>
      </c>
    </row>
    <row r="21" spans="1:21">
      <c r="A21" s="672">
        <f t="shared" ca="1" si="3"/>
        <v>36526</v>
      </c>
      <c r="C21" s="681">
        <f ca="1">IF($A21&gt;Endyr,0,VLOOKUP($A21,Capacity_Table,Tariff!$R$18))</f>
        <v>150</v>
      </c>
      <c r="D21" s="330">
        <f t="shared" ca="1" si="4"/>
        <v>31</v>
      </c>
      <c r="E21" s="330" t="str">
        <f t="shared" ca="1" si="5"/>
        <v xml:space="preserve"> </v>
      </c>
      <c r="F21" s="332">
        <f t="shared" si="12"/>
        <v>24</v>
      </c>
      <c r="G21" s="1109">
        <f t="shared" ca="1" si="6"/>
        <v>9.1164095371669002E-2</v>
      </c>
      <c r="H21" s="1686">
        <f ca="1">IF(Avail_LDs_Switch=1,VLOOKUP('Plant Operations'!A21,RAC_AvailFactor_Table,RAC_LDs!$G$258),IF($A21&lt;Startops2,Tariff!$T$11,0))</f>
        <v>0.92</v>
      </c>
      <c r="I21" s="1559">
        <f ca="1">IF(OR($A21&lt;Startops1,$A21&gt;=Startops2),0,IF(AND($A21&gt;=DieselOps_2,$A21&lt;Startops2),VLOOKUP($A21,Diesel_Table,Tariff!$Y$41),VLOOKUP($A21,OA_Table,Tariff!$Y$26)))</f>
        <v>9360</v>
      </c>
      <c r="J21" s="391" t="str">
        <f t="shared" ref="J21:J84" ca="1" si="13">IF(MONTH($A21)=12,SUM(I10:I21)," ")</f>
        <v xml:space="preserve"> </v>
      </c>
      <c r="K21" s="1109">
        <f ca="1">IF(OR($A21&lt;Startops2,$A21&gt;=Endyr),0,VLOOKUP($A21,Capacity_Table,Tariff!$S$18))</f>
        <v>0</v>
      </c>
      <c r="L21" s="212">
        <f ca="1">IF(OR($A21&lt;Startops2,$A21&gt;=Endyr),0,VLOOKUP($A21,Capacity_Table,Tariff!$T$18))</f>
        <v>0</v>
      </c>
      <c r="M21" s="334">
        <f ca="1">IF($A21&lt;Startops2,0,IF($A21&lt;Startops3,VLOOKUP($A21,Convert_Table,Tariff!$Y$54),C21*D21*F21*K21*L21))</f>
        <v>0</v>
      </c>
      <c r="N21" s="391" t="str">
        <f t="shared" ref="N21:N84" ca="1" si="14">IF(MONTH($A21)=12,SUM(M10:M21)," ")</f>
        <v xml:space="preserve"> </v>
      </c>
      <c r="O21" s="334">
        <f ca="1">IF($A21&lt;Startops2,0,IF($A21&lt;Startops3,Hr_II,Hr_III))</f>
        <v>0</v>
      </c>
      <c r="P21" s="334">
        <f t="shared" ca="1" si="7"/>
        <v>0</v>
      </c>
      <c r="Q21" s="332" t="str">
        <f t="shared" ca="1" si="8"/>
        <v xml:space="preserve"> </v>
      </c>
      <c r="R21" s="334">
        <f ca="1">IF($A21&gt;Endyr,0,IF($A21&lt;Assm!$A$55,P21,Assm!$F$55*$D21))</f>
        <v>0</v>
      </c>
      <c r="S21" s="391" t="str">
        <f t="shared" ca="1" si="9"/>
        <v xml:space="preserve"> </v>
      </c>
      <c r="T21" s="334">
        <f t="shared" ca="1" si="10"/>
        <v>0</v>
      </c>
      <c r="U21" s="682" t="str">
        <f t="shared" ca="1" si="11"/>
        <v xml:space="preserve"> </v>
      </c>
    </row>
    <row r="22" spans="1:21">
      <c r="A22" s="672">
        <f t="shared" ca="1" si="3"/>
        <v>36557</v>
      </c>
      <c r="C22" s="681">
        <f ca="1">IF($A22&gt;Endyr,0,VLOOKUP($A22,Capacity_Table,Tariff!$R$18))</f>
        <v>150</v>
      </c>
      <c r="D22" s="330">
        <f t="shared" ca="1" si="4"/>
        <v>29</v>
      </c>
      <c r="E22" s="330" t="str">
        <f t="shared" ca="1" si="5"/>
        <v xml:space="preserve"> </v>
      </c>
      <c r="F22" s="332">
        <f t="shared" si="12"/>
        <v>24</v>
      </c>
      <c r="G22" s="1109">
        <f t="shared" ca="1" si="6"/>
        <v>9.7451274362818585E-2</v>
      </c>
      <c r="H22" s="1686">
        <f ca="1">IF(Avail_LDs_Switch=1,VLOOKUP('Plant Operations'!A22,RAC_AvailFactor_Table,RAC_LDs!$G$258),IF($A22&lt;Startops2,Tariff!$T$11,0))</f>
        <v>0.92</v>
      </c>
      <c r="I22" s="1559">
        <f ca="1">IF(OR($A22&lt;Startops1,$A22&gt;=Startops2),0,IF(AND($A22&gt;=DieselOps_2,$A22&lt;Startops2),VLOOKUP($A22,Diesel_Table,Tariff!$Y$41),VLOOKUP($A22,OA_Table,Tariff!$Y$26)))</f>
        <v>9360</v>
      </c>
      <c r="J22" s="391" t="str">
        <f t="shared" ca="1" si="13"/>
        <v xml:space="preserve"> </v>
      </c>
      <c r="K22" s="1109">
        <f ca="1">IF(OR($A22&lt;Startops2,$A22&gt;=Endyr),0,VLOOKUP($A22,Capacity_Table,Tariff!$S$18))</f>
        <v>0</v>
      </c>
      <c r="L22" s="212">
        <f ca="1">IF(OR($A22&lt;Startops2,$A22&gt;=Endyr),0,VLOOKUP($A22,Capacity_Table,Tariff!$T$18))</f>
        <v>0</v>
      </c>
      <c r="M22" s="334">
        <f ca="1">IF($A22&lt;Startops2,0,IF($A22&lt;Startops3,VLOOKUP($A22,Convert_Table,Tariff!$Y$54),C22*D22*F22*K22*L22))</f>
        <v>0</v>
      </c>
      <c r="N22" s="391" t="str">
        <f t="shared" ca="1" si="14"/>
        <v xml:space="preserve"> </v>
      </c>
      <c r="O22" s="334">
        <f t="shared" ref="O22:O85" ca="1" si="15">IF($A22&lt;Startops2,0,IF($A22&lt;Startops3,Hr_II,Hr_III))</f>
        <v>0</v>
      </c>
      <c r="P22" s="334">
        <f t="shared" ca="1" si="7"/>
        <v>0</v>
      </c>
      <c r="Q22" s="332" t="str">
        <f t="shared" ca="1" si="8"/>
        <v xml:space="preserve"> </v>
      </c>
      <c r="R22" s="334">
        <f ca="1">IF($A22&gt;Endyr,0,IF($A22&lt;Assm!$A$55,P22,Assm!$F$55*$D22))</f>
        <v>0</v>
      </c>
      <c r="S22" s="391" t="str">
        <f t="shared" ca="1" si="9"/>
        <v xml:space="preserve"> </v>
      </c>
      <c r="T22" s="334">
        <f t="shared" ca="1" si="10"/>
        <v>0</v>
      </c>
      <c r="U22" s="682" t="str">
        <f t="shared" ca="1" si="11"/>
        <v xml:space="preserve"> </v>
      </c>
    </row>
    <row r="23" spans="1:21">
      <c r="A23" s="672">
        <f t="shared" ca="1" si="3"/>
        <v>36586</v>
      </c>
      <c r="C23" s="681">
        <f ca="1">IF($A23&gt;Endyr,0,VLOOKUP($A23,Capacity_Table,Tariff!$R$18))</f>
        <v>150</v>
      </c>
      <c r="D23" s="330">
        <f t="shared" ca="1" si="4"/>
        <v>31</v>
      </c>
      <c r="E23" s="330" t="str">
        <f t="shared" ca="1" si="5"/>
        <v xml:space="preserve"> </v>
      </c>
      <c r="F23" s="332">
        <f t="shared" si="12"/>
        <v>24</v>
      </c>
      <c r="G23" s="1109">
        <f t="shared" ca="1" si="6"/>
        <v>9.1164095371669002E-2</v>
      </c>
      <c r="H23" s="1686">
        <f ca="1">IF(Avail_LDs_Switch=1,VLOOKUP('Plant Operations'!A23,RAC_AvailFactor_Table,RAC_LDs!$G$258),IF($A23&lt;Startops2,Tariff!$T$11,0))</f>
        <v>0.92</v>
      </c>
      <c r="I23" s="1559">
        <f ca="1">IF(OR($A23&lt;Startops1,$A23&gt;=Startops2),0,IF(AND($A23&gt;=DieselOps_2,$A23&lt;Startops2),VLOOKUP($A23,Diesel_Table,Tariff!$Y$41),VLOOKUP($A23,OA_Table,Tariff!$Y$26)))</f>
        <v>9360</v>
      </c>
      <c r="J23" s="391" t="str">
        <f t="shared" ca="1" si="13"/>
        <v xml:space="preserve"> </v>
      </c>
      <c r="K23" s="1109">
        <f ca="1">IF(OR($A23&lt;Startops2,$A23&gt;=Endyr),0,VLOOKUP($A23,Capacity_Table,Tariff!$S$18))</f>
        <v>0</v>
      </c>
      <c r="L23" s="212">
        <f ca="1">IF(OR($A23&lt;Startops2,$A23&gt;=Endyr),0,VLOOKUP($A23,Capacity_Table,Tariff!$T$18))</f>
        <v>0</v>
      </c>
      <c r="M23" s="334">
        <f ca="1">IF($A23&lt;Startops2,0,IF($A23&lt;Startops3,VLOOKUP($A23,Convert_Table,Tariff!$Y$54),C23*D23*F23*K23*L23))</f>
        <v>0</v>
      </c>
      <c r="N23" s="391" t="str">
        <f t="shared" ca="1" si="14"/>
        <v xml:space="preserve"> </v>
      </c>
      <c r="O23" s="334">
        <f t="shared" ca="1" si="15"/>
        <v>0</v>
      </c>
      <c r="P23" s="334">
        <f t="shared" ca="1" si="7"/>
        <v>0</v>
      </c>
      <c r="Q23" s="332" t="str">
        <f t="shared" ca="1" si="8"/>
        <v xml:space="preserve"> </v>
      </c>
      <c r="R23" s="334">
        <f ca="1">IF($A23&gt;Endyr,0,IF($A23&lt;Assm!$A$55,P23,Assm!$F$55*$D23))</f>
        <v>0</v>
      </c>
      <c r="S23" s="391" t="str">
        <f t="shared" ca="1" si="9"/>
        <v xml:space="preserve"> </v>
      </c>
      <c r="T23" s="334">
        <f t="shared" ca="1" si="10"/>
        <v>0</v>
      </c>
      <c r="U23" s="682" t="str">
        <f t="shared" ca="1" si="11"/>
        <v xml:space="preserve"> </v>
      </c>
    </row>
    <row r="24" spans="1:21">
      <c r="A24" s="672">
        <f t="shared" ca="1" si="3"/>
        <v>36617</v>
      </c>
      <c r="C24" s="681">
        <f ca="1">IF($A24&gt;Endyr,0,VLOOKUP($A24,Capacity_Table,Tariff!$R$18))</f>
        <v>150</v>
      </c>
      <c r="D24" s="330">
        <f t="shared" ca="1" si="4"/>
        <v>30</v>
      </c>
      <c r="E24" s="330" t="str">
        <f t="shared" ca="1" si="5"/>
        <v xml:space="preserve"> </v>
      </c>
      <c r="F24" s="332">
        <f t="shared" si="12"/>
        <v>24</v>
      </c>
      <c r="G24" s="1109">
        <f t="shared" ca="1" si="6"/>
        <v>9.420289855072464E-2</v>
      </c>
      <c r="H24" s="1686">
        <f ca="1">IF(Avail_LDs_Switch=1,VLOOKUP('Plant Operations'!A24,RAC_AvailFactor_Table,RAC_LDs!$G$258),IF($A24&lt;Startops2,Tariff!$T$11,0))</f>
        <v>0.92</v>
      </c>
      <c r="I24" s="1559">
        <f ca="1">IF(OR($A24&lt;Startops1,$A24&gt;=Startops2),0,IF(AND($A24&gt;=DieselOps_2,$A24&lt;Startops2),VLOOKUP($A24,Diesel_Table,Tariff!$Y$41),VLOOKUP($A24,OA_Table,Tariff!$Y$26)))</f>
        <v>9360</v>
      </c>
      <c r="J24" s="391" t="str">
        <f t="shared" ca="1" si="13"/>
        <v xml:space="preserve"> </v>
      </c>
      <c r="K24" s="1109">
        <f ca="1">IF(OR($A24&lt;Startops2,$A24&gt;=Endyr),0,VLOOKUP($A24,Capacity_Table,Tariff!$S$18))</f>
        <v>0</v>
      </c>
      <c r="L24" s="212">
        <f ca="1">IF(OR($A24&lt;Startops2,$A24&gt;=Endyr),0,VLOOKUP($A24,Capacity_Table,Tariff!$T$18))</f>
        <v>0</v>
      </c>
      <c r="M24" s="334">
        <f ca="1">IF($A24&lt;Startops2,0,IF($A24&lt;Startops3,VLOOKUP($A24,Convert_Table,Tariff!$Y$54),C24*D24*F24*K24*L24))</f>
        <v>0</v>
      </c>
      <c r="N24" s="391" t="str">
        <f t="shared" ca="1" si="14"/>
        <v xml:space="preserve"> </v>
      </c>
      <c r="O24" s="334">
        <f t="shared" ca="1" si="15"/>
        <v>0</v>
      </c>
      <c r="P24" s="334">
        <f t="shared" ca="1" si="7"/>
        <v>0</v>
      </c>
      <c r="Q24" s="332" t="str">
        <f t="shared" ca="1" si="8"/>
        <v xml:space="preserve"> </v>
      </c>
      <c r="R24" s="334">
        <f ca="1">IF($A24&gt;Endyr,0,IF($A24&lt;Assm!$A$55,P24,Assm!$F$55*$D24))</f>
        <v>0</v>
      </c>
      <c r="S24" s="391" t="str">
        <f t="shared" ca="1" si="9"/>
        <v xml:space="preserve"> </v>
      </c>
      <c r="T24" s="334">
        <f t="shared" ca="1" si="10"/>
        <v>0</v>
      </c>
      <c r="U24" s="682" t="str">
        <f t="shared" ca="1" si="11"/>
        <v xml:space="preserve"> </v>
      </c>
    </row>
    <row r="25" spans="1:21">
      <c r="A25" s="672">
        <f t="shared" ca="1" si="3"/>
        <v>36647</v>
      </c>
      <c r="C25" s="681">
        <f ca="1">IF($A25&gt;Endyr,0,VLOOKUP($A25,Capacity_Table,Tariff!$R$18))</f>
        <v>150</v>
      </c>
      <c r="D25" s="330">
        <f t="shared" ca="1" si="4"/>
        <v>31</v>
      </c>
      <c r="E25" s="330" t="str">
        <f t="shared" ca="1" si="5"/>
        <v xml:space="preserve"> </v>
      </c>
      <c r="F25" s="332">
        <f t="shared" si="12"/>
        <v>24</v>
      </c>
      <c r="G25" s="1109">
        <f t="shared" ca="1" si="6"/>
        <v>9.1164095371669002E-2</v>
      </c>
      <c r="H25" s="1686">
        <f ca="1">IF(Avail_LDs_Switch=1,VLOOKUP('Plant Operations'!A25,RAC_AvailFactor_Table,RAC_LDs!$G$258),IF($A25&lt;Startops2,Tariff!$T$11,0))</f>
        <v>0.92</v>
      </c>
      <c r="I25" s="1559">
        <f ca="1">IF(OR($A25&lt;Startops1,$A25&gt;=Startops2),0,IF(AND($A25&gt;=DieselOps_2,$A25&lt;Startops2),VLOOKUP($A25,Diesel_Table,Tariff!$Y$41),VLOOKUP($A25,OA_Table,Tariff!$Y$26)))</f>
        <v>9360</v>
      </c>
      <c r="J25" s="391" t="str">
        <f t="shared" ca="1" si="13"/>
        <v xml:space="preserve"> </v>
      </c>
      <c r="K25" s="1109">
        <f ca="1">IF(OR($A25&lt;Startops2,$A25&gt;=Endyr),0,VLOOKUP($A25,Capacity_Table,Tariff!$S$18))</f>
        <v>0</v>
      </c>
      <c r="L25" s="212">
        <f ca="1">IF(OR($A25&lt;Startops2,$A25&gt;=Endyr),0,VLOOKUP($A25,Capacity_Table,Tariff!$T$18))</f>
        <v>0</v>
      </c>
      <c r="M25" s="334">
        <f ca="1">IF($A25&lt;Startops2,0,IF($A25&lt;Startops3,VLOOKUP($A25,Convert_Table,Tariff!$Y$54),C25*D25*F25*K25*L25))</f>
        <v>0</v>
      </c>
      <c r="N25" s="391" t="str">
        <f t="shared" ca="1" si="14"/>
        <v xml:space="preserve"> </v>
      </c>
      <c r="O25" s="334">
        <f t="shared" ca="1" si="15"/>
        <v>0</v>
      </c>
      <c r="P25" s="334">
        <f t="shared" ca="1" si="7"/>
        <v>0</v>
      </c>
      <c r="Q25" s="332" t="str">
        <f t="shared" ca="1" si="8"/>
        <v xml:space="preserve"> </v>
      </c>
      <c r="R25" s="334">
        <f ca="1">IF($A25&gt;Endyr,0,IF($A25&lt;Assm!$A$55,P25,Assm!$F$55*$D25))</f>
        <v>0</v>
      </c>
      <c r="S25" s="391" t="str">
        <f t="shared" ca="1" si="9"/>
        <v xml:space="preserve"> </v>
      </c>
      <c r="T25" s="334">
        <f t="shared" ca="1" si="10"/>
        <v>0</v>
      </c>
      <c r="U25" s="682" t="str">
        <f t="shared" ca="1" si="11"/>
        <v xml:space="preserve"> </v>
      </c>
    </row>
    <row r="26" spans="1:21">
      <c r="A26" s="672">
        <f t="shared" ca="1" si="3"/>
        <v>36678</v>
      </c>
      <c r="C26" s="681">
        <f ca="1">IF($A26&gt;Endyr,0,VLOOKUP($A26,Capacity_Table,Tariff!$R$18))</f>
        <v>150</v>
      </c>
      <c r="D26" s="330">
        <f t="shared" ca="1" si="4"/>
        <v>30</v>
      </c>
      <c r="E26" s="330" t="str">
        <f t="shared" ca="1" si="5"/>
        <v xml:space="preserve"> </v>
      </c>
      <c r="F26" s="332">
        <f t="shared" si="12"/>
        <v>24</v>
      </c>
      <c r="G26" s="1109">
        <f t="shared" ca="1" si="6"/>
        <v>0.91</v>
      </c>
      <c r="H26" s="1686">
        <f ca="1">IF(Avail_LDs_Switch=1,VLOOKUP('Plant Operations'!A26,RAC_AvailFactor_Table,RAC_LDs!$G$258),IF($A26&lt;Startops2,Tariff!$T$11,0))</f>
        <v>0.92</v>
      </c>
      <c r="I26" s="1559">
        <f ca="1">IF(OR($A26&lt;Startops1,$A26&gt;=Startops2),0,IF(AND($A26&gt;=DieselOps_2,$A26&lt;Startops2),VLOOKUP($A26,Diesel_Table,Tariff!$Y$41),VLOOKUP($A26,OA_Table,Tariff!$Y$26)))</f>
        <v>90417.600000000006</v>
      </c>
      <c r="J26" s="391" t="str">
        <f t="shared" ca="1" si="13"/>
        <v xml:space="preserve"> </v>
      </c>
      <c r="K26" s="1109">
        <f ca="1">IF(OR($A26&lt;Startops2,$A26&gt;=Endyr),0,VLOOKUP($A26,Capacity_Table,Tariff!$S$18))</f>
        <v>0</v>
      </c>
      <c r="L26" s="212">
        <f ca="1">IF(OR($A26&lt;Startops2,$A26&gt;=Endyr),0,VLOOKUP($A26,Capacity_Table,Tariff!$T$18))</f>
        <v>0</v>
      </c>
      <c r="M26" s="334">
        <f ca="1">IF($A26&lt;Startops2,0,IF($A26&lt;Startops3,VLOOKUP($A26,Convert_Table,Tariff!$Y$54),C26*D26*F26*K26*L26))</f>
        <v>0</v>
      </c>
      <c r="N26" s="391" t="str">
        <f t="shared" ca="1" si="14"/>
        <v xml:space="preserve"> </v>
      </c>
      <c r="O26" s="334">
        <f t="shared" ca="1" si="15"/>
        <v>0</v>
      </c>
      <c r="P26" s="334">
        <f t="shared" ca="1" si="7"/>
        <v>0</v>
      </c>
      <c r="Q26" s="332" t="str">
        <f t="shared" ca="1" si="8"/>
        <v xml:space="preserve"> </v>
      </c>
      <c r="R26" s="334">
        <f ca="1">IF($A26&gt;Endyr,0,IF($A26&lt;Assm!$A$55,P26,Assm!$F$55*$D26))</f>
        <v>0</v>
      </c>
      <c r="S26" s="391" t="str">
        <f t="shared" ca="1" si="9"/>
        <v xml:space="preserve"> </v>
      </c>
      <c r="T26" s="334">
        <f t="shared" ca="1" si="10"/>
        <v>0</v>
      </c>
      <c r="U26" s="682" t="str">
        <f t="shared" ca="1" si="11"/>
        <v xml:space="preserve"> </v>
      </c>
    </row>
    <row r="27" spans="1:21">
      <c r="A27" s="672">
        <f t="shared" ca="1" si="3"/>
        <v>36708</v>
      </c>
      <c r="C27" s="681">
        <f ca="1">IF($A27&gt;Endyr,0,VLOOKUP($A27,Capacity_Table,Tariff!$R$18))</f>
        <v>150</v>
      </c>
      <c r="D27" s="330">
        <f t="shared" ca="1" si="4"/>
        <v>31</v>
      </c>
      <c r="E27" s="330" t="str">
        <f t="shared" ca="1" si="5"/>
        <v xml:space="preserve"> </v>
      </c>
      <c r="F27" s="332">
        <f t="shared" si="12"/>
        <v>24</v>
      </c>
      <c r="G27" s="1109">
        <f t="shared" ca="1" si="6"/>
        <v>0.91</v>
      </c>
      <c r="H27" s="1686">
        <f ca="1">IF(Avail_LDs_Switch=1,VLOOKUP('Plant Operations'!A27,RAC_AvailFactor_Table,RAC_LDs!$G$258),IF($A27&lt;Startops2,Tariff!$T$11,0))</f>
        <v>0.92</v>
      </c>
      <c r="I27" s="1559">
        <f ca="1">IF(OR($A27&lt;Startops1,$A27&gt;=Startops2),0,IF(AND($A27&gt;=DieselOps_2,$A27&lt;Startops2),VLOOKUP($A27,Diesel_Table,Tariff!$Y$41),VLOOKUP($A27,OA_Table,Tariff!$Y$26)))</f>
        <v>93431.52</v>
      </c>
      <c r="J27" s="391" t="str">
        <f t="shared" ca="1" si="13"/>
        <v xml:space="preserve"> </v>
      </c>
      <c r="K27" s="1109">
        <f ca="1">IF(OR($A27&lt;Startops2,$A27&gt;=Endyr),0,VLOOKUP($A27,Capacity_Table,Tariff!$S$18))</f>
        <v>0</v>
      </c>
      <c r="L27" s="212">
        <f ca="1">IF(OR($A27&lt;Startops2,$A27&gt;=Endyr),0,VLOOKUP($A27,Capacity_Table,Tariff!$T$18))</f>
        <v>0</v>
      </c>
      <c r="M27" s="334">
        <f ca="1">IF($A27&lt;Startops2,0,IF($A27&lt;Startops3,VLOOKUP($A27,Convert_Table,Tariff!$Y$54),C27*D27*F27*K27*L27))</f>
        <v>0</v>
      </c>
      <c r="N27" s="391" t="str">
        <f t="shared" ca="1" si="14"/>
        <v xml:space="preserve"> </v>
      </c>
      <c r="O27" s="334">
        <f t="shared" ca="1" si="15"/>
        <v>0</v>
      </c>
      <c r="P27" s="334">
        <f t="shared" ca="1" si="7"/>
        <v>0</v>
      </c>
      <c r="Q27" s="332" t="str">
        <f t="shared" ca="1" si="8"/>
        <v xml:space="preserve"> </v>
      </c>
      <c r="R27" s="334">
        <f ca="1">IF($A27&gt;Endyr,0,IF($A27&lt;Assm!$A$55,P27,Assm!$F$55*$D27))</f>
        <v>0</v>
      </c>
      <c r="S27" s="391" t="str">
        <f t="shared" ca="1" si="9"/>
        <v xml:space="preserve"> </v>
      </c>
      <c r="T27" s="334">
        <f t="shared" ca="1" si="10"/>
        <v>0</v>
      </c>
      <c r="U27" s="682" t="str">
        <f t="shared" ca="1" si="11"/>
        <v xml:space="preserve"> </v>
      </c>
    </row>
    <row r="28" spans="1:21">
      <c r="A28" s="672">
        <f t="shared" ca="1" si="3"/>
        <v>36739</v>
      </c>
      <c r="C28" s="681">
        <f ca="1">IF($A28&gt;Endyr,0,VLOOKUP($A28,Capacity_Table,Tariff!$R$18))</f>
        <v>150</v>
      </c>
      <c r="D28" s="330">
        <f t="shared" ca="1" si="4"/>
        <v>31</v>
      </c>
      <c r="E28" s="330" t="str">
        <f t="shared" ca="1" si="5"/>
        <v xml:space="preserve"> </v>
      </c>
      <c r="F28" s="332">
        <f t="shared" si="12"/>
        <v>24</v>
      </c>
      <c r="G28" s="1109">
        <f t="shared" ca="1" si="6"/>
        <v>0.91</v>
      </c>
      <c r="H28" s="1686">
        <f ca="1">IF(Avail_LDs_Switch=1,VLOOKUP('Plant Operations'!A28,RAC_AvailFactor_Table,RAC_LDs!$G$258),IF($A28&lt;Startops2,Tariff!$T$11,0))</f>
        <v>0.92</v>
      </c>
      <c r="I28" s="1559">
        <f ca="1">IF(OR($A28&lt;Startops1,$A28&gt;=Startops2),0,IF(AND($A28&gt;=DieselOps_2,$A28&lt;Startops2),VLOOKUP($A28,Diesel_Table,Tariff!$Y$41),VLOOKUP($A28,OA_Table,Tariff!$Y$26)))</f>
        <v>93431.52</v>
      </c>
      <c r="J28" s="391" t="str">
        <f t="shared" ca="1" si="13"/>
        <v xml:space="preserve"> </v>
      </c>
      <c r="K28" s="1109">
        <f ca="1">IF(OR($A28&lt;Startops2,$A28&gt;=Endyr),0,VLOOKUP($A28,Capacity_Table,Tariff!$S$18))</f>
        <v>0</v>
      </c>
      <c r="L28" s="212">
        <f ca="1">IF(OR($A28&lt;Startops2,$A28&gt;=Endyr),0,VLOOKUP($A28,Capacity_Table,Tariff!$T$18))</f>
        <v>0</v>
      </c>
      <c r="M28" s="334">
        <f ca="1">IF($A28&lt;Startops2,0,IF($A28&lt;Startops3,VLOOKUP($A28,Convert_Table,Tariff!$Y$54),C28*D28*F28*K28*L28))</f>
        <v>0</v>
      </c>
      <c r="N28" s="391" t="str">
        <f t="shared" ca="1" si="14"/>
        <v xml:space="preserve"> </v>
      </c>
      <c r="O28" s="334">
        <f t="shared" ca="1" si="15"/>
        <v>0</v>
      </c>
      <c r="P28" s="334">
        <f t="shared" ca="1" si="7"/>
        <v>0</v>
      </c>
      <c r="Q28" s="332" t="str">
        <f t="shared" ca="1" si="8"/>
        <v xml:space="preserve"> </v>
      </c>
      <c r="R28" s="334">
        <f ca="1">IF($A28&gt;Endyr,0,IF($A28&lt;Assm!$A$55,P28,Assm!$F$55*$D28))</f>
        <v>0</v>
      </c>
      <c r="S28" s="391" t="str">
        <f t="shared" ca="1" si="9"/>
        <v xml:space="preserve"> </v>
      </c>
      <c r="T28" s="334">
        <f t="shared" ca="1" si="10"/>
        <v>0</v>
      </c>
      <c r="U28" s="682" t="str">
        <f t="shared" ca="1" si="11"/>
        <v xml:space="preserve"> </v>
      </c>
    </row>
    <row r="29" spans="1:21">
      <c r="A29" s="672">
        <f t="shared" ca="1" si="3"/>
        <v>36770</v>
      </c>
      <c r="C29" s="681">
        <f ca="1">IF($A29&gt;Endyr,0,VLOOKUP($A29,Capacity_Table,Tariff!$R$18))</f>
        <v>150</v>
      </c>
      <c r="D29" s="330">
        <f t="shared" ca="1" si="4"/>
        <v>30</v>
      </c>
      <c r="E29" s="330" t="str">
        <f t="shared" ca="1" si="5"/>
        <v xml:space="preserve"> </v>
      </c>
      <c r="F29" s="332">
        <f t="shared" si="12"/>
        <v>24</v>
      </c>
      <c r="G29" s="1109">
        <f t="shared" ca="1" si="6"/>
        <v>0.91</v>
      </c>
      <c r="H29" s="1686">
        <f ca="1">IF(Avail_LDs_Switch=1,VLOOKUP('Plant Operations'!A29,RAC_AvailFactor_Table,RAC_LDs!$G$258),IF($A29&lt;Startops2,Tariff!$T$11,0))</f>
        <v>0.92</v>
      </c>
      <c r="I29" s="1559">
        <f ca="1">IF(OR($A29&lt;Startops1,$A29&gt;=Startops2),0,IF(AND($A29&gt;=DieselOps_2,$A29&lt;Startops2),VLOOKUP($A29,Diesel_Table,Tariff!$Y$41),VLOOKUP($A29,OA_Table,Tariff!$Y$26)))</f>
        <v>90417.600000000006</v>
      </c>
      <c r="J29" s="391" t="str">
        <f t="shared" ca="1" si="13"/>
        <v xml:space="preserve"> </v>
      </c>
      <c r="K29" s="1109">
        <f ca="1">IF(OR($A29&lt;Startops2,$A29&gt;=Endyr),0,VLOOKUP($A29,Capacity_Table,Tariff!$S$18))</f>
        <v>0</v>
      </c>
      <c r="L29" s="212">
        <f ca="1">IF(OR($A29&lt;Startops2,$A29&gt;=Endyr),0,VLOOKUP($A29,Capacity_Table,Tariff!$T$18))</f>
        <v>0</v>
      </c>
      <c r="M29" s="334">
        <f ca="1">IF($A29&lt;Startops2,0,IF($A29&lt;Startops3,VLOOKUP($A29,Convert_Table,Tariff!$Y$54),C29*D29*F29*K29*L29))</f>
        <v>0</v>
      </c>
      <c r="N29" s="391" t="str">
        <f t="shared" ca="1" si="14"/>
        <v xml:space="preserve"> </v>
      </c>
      <c r="O29" s="334">
        <f t="shared" ca="1" si="15"/>
        <v>0</v>
      </c>
      <c r="P29" s="334">
        <f t="shared" ca="1" si="7"/>
        <v>0</v>
      </c>
      <c r="Q29" s="332" t="str">
        <f t="shared" ca="1" si="8"/>
        <v xml:space="preserve"> </v>
      </c>
      <c r="R29" s="334">
        <f ca="1">IF($A29&gt;Endyr,0,IF($A29&lt;Assm!$A$55,P29,Assm!$F$55*$D29))</f>
        <v>0</v>
      </c>
      <c r="S29" s="391" t="str">
        <f t="shared" ca="1" si="9"/>
        <v xml:space="preserve"> </v>
      </c>
      <c r="T29" s="334">
        <f t="shared" ca="1" si="10"/>
        <v>0</v>
      </c>
      <c r="U29" s="682" t="str">
        <f t="shared" ca="1" si="11"/>
        <v xml:space="preserve"> </v>
      </c>
    </row>
    <row r="30" spans="1:21">
      <c r="A30" s="672">
        <f t="shared" ca="1" si="3"/>
        <v>36800</v>
      </c>
      <c r="C30" s="681">
        <f ca="1">IF($A30&gt;Endyr,0,VLOOKUP($A30,Capacity_Table,Tariff!$R$18))</f>
        <v>150</v>
      </c>
      <c r="D30" s="330">
        <f t="shared" ca="1" si="4"/>
        <v>31</v>
      </c>
      <c r="E30" s="330" t="str">
        <f t="shared" ca="1" si="5"/>
        <v xml:space="preserve"> </v>
      </c>
      <c r="F30" s="332">
        <f t="shared" si="12"/>
        <v>24</v>
      </c>
      <c r="G30" s="1109">
        <f t="shared" ca="1" si="6"/>
        <v>0.91</v>
      </c>
      <c r="H30" s="1686">
        <f ca="1">IF(Avail_LDs_Switch=1,VLOOKUP('Plant Operations'!A30,RAC_AvailFactor_Table,RAC_LDs!$G$258),IF($A30&lt;Startops2,Tariff!$T$11,0))</f>
        <v>0.92</v>
      </c>
      <c r="I30" s="1559">
        <f ca="1">IF(OR($A30&lt;Startops1,$A30&gt;=Startops2),0,IF(AND($A30&gt;=DieselOps_2,$A30&lt;Startops2),VLOOKUP($A30,Diesel_Table,Tariff!$Y$41),VLOOKUP($A30,OA_Table,Tariff!$Y$26)))</f>
        <v>93431.52</v>
      </c>
      <c r="J30" s="391" t="str">
        <f t="shared" ca="1" si="13"/>
        <v xml:space="preserve"> </v>
      </c>
      <c r="K30" s="1109">
        <f ca="1">IF(OR($A30&lt;Startops2,$A30&gt;=Endyr),0,VLOOKUP($A30,Capacity_Table,Tariff!$S$18))</f>
        <v>0</v>
      </c>
      <c r="L30" s="212">
        <f ca="1">IF(OR($A30&lt;Startops2,$A30&gt;=Endyr),0,VLOOKUP($A30,Capacity_Table,Tariff!$T$18))</f>
        <v>0</v>
      </c>
      <c r="M30" s="334">
        <f ca="1">IF($A30&lt;Startops2,0,IF($A30&lt;Startops3,VLOOKUP($A30,Convert_Table,Tariff!$Y$54),C30*D30*F30*K30*L30))</f>
        <v>0</v>
      </c>
      <c r="N30" s="391" t="str">
        <f t="shared" ca="1" si="14"/>
        <v xml:space="preserve"> </v>
      </c>
      <c r="O30" s="334">
        <f t="shared" ca="1" si="15"/>
        <v>0</v>
      </c>
      <c r="P30" s="334">
        <f t="shared" ca="1" si="7"/>
        <v>0</v>
      </c>
      <c r="Q30" s="332" t="str">
        <f t="shared" ca="1" si="8"/>
        <v xml:space="preserve"> </v>
      </c>
      <c r="R30" s="334">
        <f ca="1">IF($A30&gt;Endyr,0,IF($A30&lt;Assm!$A$55,P30,Assm!$F$55*$D30))</f>
        <v>0</v>
      </c>
      <c r="S30" s="391" t="str">
        <f t="shared" ca="1" si="9"/>
        <v xml:space="preserve"> </v>
      </c>
      <c r="T30" s="334">
        <f t="shared" ca="1" si="10"/>
        <v>0</v>
      </c>
      <c r="U30" s="682" t="str">
        <f t="shared" ca="1" si="11"/>
        <v xml:space="preserve"> </v>
      </c>
    </row>
    <row r="31" spans="1:21">
      <c r="A31" s="672">
        <f t="shared" ca="1" si="3"/>
        <v>36831</v>
      </c>
      <c r="C31" s="681">
        <f ca="1">IF($A31&gt;Endyr,0,VLOOKUP($A31,Capacity_Table,Tariff!$R$18))</f>
        <v>150</v>
      </c>
      <c r="D31" s="330">
        <f t="shared" ca="1" si="4"/>
        <v>30</v>
      </c>
      <c r="E31" s="330" t="str">
        <f t="shared" ca="1" si="5"/>
        <v xml:space="preserve"> </v>
      </c>
      <c r="F31" s="332">
        <f t="shared" si="12"/>
        <v>24</v>
      </c>
      <c r="G31" s="1109">
        <f t="shared" ca="1" si="6"/>
        <v>0.91</v>
      </c>
      <c r="H31" s="1686">
        <f ca="1">IF(Avail_LDs_Switch=1,VLOOKUP('Plant Operations'!A31,RAC_AvailFactor_Table,RAC_LDs!$G$258),IF($A31&lt;Startops2,Tariff!$T$11,0))</f>
        <v>0.92</v>
      </c>
      <c r="I31" s="1559">
        <f ca="1">IF(OR($A31&lt;Startops1,$A31&gt;=Startops2),0,IF(AND($A31&gt;=DieselOps_2,$A31&lt;Startops2),VLOOKUP($A31,Diesel_Table,Tariff!$Y$41),VLOOKUP($A31,OA_Table,Tariff!$Y$26)))</f>
        <v>90417.600000000006</v>
      </c>
      <c r="J31" s="391" t="str">
        <f t="shared" ca="1" si="13"/>
        <v xml:space="preserve"> </v>
      </c>
      <c r="K31" s="1109">
        <f ca="1">IF(OR($A31&lt;Startops2,$A31&gt;=Endyr),0,VLOOKUP($A31,Capacity_Table,Tariff!$S$18))</f>
        <v>0</v>
      </c>
      <c r="L31" s="212">
        <f ca="1">IF(OR($A31&lt;Startops2,$A31&gt;=Endyr),0,VLOOKUP($A31,Capacity_Table,Tariff!$T$18))</f>
        <v>0</v>
      </c>
      <c r="M31" s="334">
        <f ca="1">IF($A31&lt;Startops2,0,IF($A31&lt;Startops3,VLOOKUP($A31,Convert_Table,Tariff!$Y$54),C31*D31*F31*K31*L31))</f>
        <v>0</v>
      </c>
      <c r="N31" s="391" t="str">
        <f t="shared" ca="1" si="14"/>
        <v xml:space="preserve"> </v>
      </c>
      <c r="O31" s="334">
        <f t="shared" ca="1" si="15"/>
        <v>0</v>
      </c>
      <c r="P31" s="334">
        <f t="shared" ca="1" si="7"/>
        <v>0</v>
      </c>
      <c r="Q31" s="332" t="str">
        <f t="shared" ca="1" si="8"/>
        <v xml:space="preserve"> </v>
      </c>
      <c r="R31" s="334">
        <f ca="1">IF($A31&gt;Endyr,0,IF($A31&lt;Assm!$A$55,P31,Assm!$F$55*$D31))</f>
        <v>0</v>
      </c>
      <c r="S31" s="391" t="str">
        <f t="shared" ca="1" si="9"/>
        <v xml:space="preserve"> </v>
      </c>
      <c r="T31" s="334">
        <f t="shared" ca="1" si="10"/>
        <v>0</v>
      </c>
      <c r="U31" s="682" t="str">
        <f t="shared" ca="1" si="11"/>
        <v xml:space="preserve"> </v>
      </c>
    </row>
    <row r="32" spans="1:21">
      <c r="A32" s="672">
        <f t="shared" ca="1" si="3"/>
        <v>36861</v>
      </c>
      <c r="C32" s="681">
        <f ca="1">IF($A32&gt;Endyr,0,VLOOKUP($A32,Capacity_Table,Tariff!$R$18))</f>
        <v>150</v>
      </c>
      <c r="D32" s="330">
        <f t="shared" ca="1" si="4"/>
        <v>31</v>
      </c>
      <c r="E32" s="330">
        <f t="shared" ca="1" si="5"/>
        <v>366</v>
      </c>
      <c r="F32" s="332">
        <f t="shared" si="12"/>
        <v>24</v>
      </c>
      <c r="G32" s="1109">
        <f t="shared" ca="1" si="6"/>
        <v>0.91</v>
      </c>
      <c r="H32" s="1686">
        <f ca="1">IF(Avail_LDs_Switch=1,VLOOKUP('Plant Operations'!A32,RAC_AvailFactor_Table,RAC_LDs!$G$258),IF($A32&lt;Startops2,Tariff!$T$11,0))</f>
        <v>0.92</v>
      </c>
      <c r="I32" s="1559">
        <f ca="1">IF(OR($A32&lt;Startops1,$A32&gt;=Startops2),0,IF(AND($A32&gt;=DieselOps_2,$A32&lt;Startops2),VLOOKUP($A32,Diesel_Table,Tariff!$Y$41),VLOOKUP($A32,OA_Table,Tariff!$Y$26)))</f>
        <v>93431.52</v>
      </c>
      <c r="J32" s="391">
        <f t="shared" ca="1" si="13"/>
        <v>691778.88</v>
      </c>
      <c r="K32" s="1109">
        <f ca="1">IF(OR($A32&lt;Startops2,$A32&gt;=Endyr),0,VLOOKUP($A32,Capacity_Table,Tariff!$S$18))</f>
        <v>0</v>
      </c>
      <c r="L32" s="212">
        <f ca="1">IF(OR($A32&lt;Startops2,$A32&gt;=Endyr),0,VLOOKUP($A32,Capacity_Table,Tariff!$T$18))</f>
        <v>0</v>
      </c>
      <c r="M32" s="334">
        <f ca="1">IF($A32&lt;Startops2,0,IF($A32&lt;Startops3,VLOOKUP($A32,Convert_Table,Tariff!$Y$54),C32*D32*F32*K32*L32))</f>
        <v>0</v>
      </c>
      <c r="N32" s="391">
        <f t="shared" ca="1" si="14"/>
        <v>0</v>
      </c>
      <c r="O32" s="334">
        <f t="shared" ca="1" si="15"/>
        <v>0</v>
      </c>
      <c r="P32" s="334">
        <f t="shared" ca="1" si="7"/>
        <v>0</v>
      </c>
      <c r="Q32" s="332">
        <f t="shared" ca="1" si="8"/>
        <v>0</v>
      </c>
      <c r="R32" s="334">
        <f ca="1">IF($A32&gt;Endyr,0,IF($A32&lt;Assm!$A$55,P32,Assm!$F$55*$D32))</f>
        <v>0</v>
      </c>
      <c r="S32" s="391">
        <f t="shared" ca="1" si="9"/>
        <v>0</v>
      </c>
      <c r="T32" s="334">
        <f t="shared" ca="1" si="10"/>
        <v>0</v>
      </c>
      <c r="U32" s="682">
        <f t="shared" ca="1" si="11"/>
        <v>0</v>
      </c>
    </row>
    <row r="33" spans="1:21">
      <c r="A33" s="672">
        <f t="shared" ca="1" si="3"/>
        <v>36892</v>
      </c>
      <c r="C33" s="681">
        <f ca="1">IF($A33&gt;Endyr,0,VLOOKUP($A33,Capacity_Table,Tariff!$R$18))</f>
        <v>150</v>
      </c>
      <c r="D33" s="330">
        <f t="shared" ca="1" si="4"/>
        <v>31</v>
      </c>
      <c r="E33" s="330" t="str">
        <f t="shared" ca="1" si="5"/>
        <v xml:space="preserve"> </v>
      </c>
      <c r="F33" s="332">
        <f t="shared" si="12"/>
        <v>24</v>
      </c>
      <c r="G33" s="1109">
        <f t="shared" ca="1" si="6"/>
        <v>0.91</v>
      </c>
      <c r="H33" s="1686">
        <f ca="1">IF(Avail_LDs_Switch=1,VLOOKUP('Plant Operations'!A33,RAC_AvailFactor_Table,RAC_LDs!$G$258),IF($A33&lt;Startops2,Tariff!$T$11,0))</f>
        <v>0.92</v>
      </c>
      <c r="I33" s="1559">
        <f ca="1">IF(OR($A33&lt;Startops1,$A33&gt;=Startops2),0,IF(AND($A33&gt;=DieselOps_2,$A33&lt;Startops2),VLOOKUP($A33,Diesel_Table,Tariff!$Y$41),VLOOKUP($A33,OA_Table,Tariff!$Y$26)))</f>
        <v>93431.52</v>
      </c>
      <c r="J33" s="391" t="str">
        <f t="shared" ca="1" si="13"/>
        <v xml:space="preserve"> </v>
      </c>
      <c r="K33" s="1109">
        <f ca="1">IF(OR($A33&lt;Startops2,$A33&gt;=Endyr),0,VLOOKUP($A33,Capacity_Table,Tariff!$S$18))</f>
        <v>0</v>
      </c>
      <c r="L33" s="212">
        <f ca="1">IF(OR($A33&lt;Startops2,$A33&gt;=Endyr),0,VLOOKUP($A33,Capacity_Table,Tariff!$T$18))</f>
        <v>0</v>
      </c>
      <c r="M33" s="334">
        <f ca="1">IF($A33&lt;Startops2,0,IF($A33&lt;Startops3,VLOOKUP($A33,Convert_Table,Tariff!$Y$54),C33*D33*F33*K33*L33))</f>
        <v>0</v>
      </c>
      <c r="N33" s="391" t="str">
        <f t="shared" ca="1" si="14"/>
        <v xml:space="preserve"> </v>
      </c>
      <c r="O33" s="334">
        <f t="shared" ca="1" si="15"/>
        <v>0</v>
      </c>
      <c r="P33" s="334">
        <f t="shared" ca="1" si="7"/>
        <v>0</v>
      </c>
      <c r="Q33" s="332" t="str">
        <f t="shared" ca="1" si="8"/>
        <v xml:space="preserve"> </v>
      </c>
      <c r="R33" s="334">
        <f ca="1">IF($A33&gt;Endyr,0,IF($A33&lt;Assm!$A$55,P33,Assm!$F$55*$D33))</f>
        <v>0</v>
      </c>
      <c r="S33" s="391" t="str">
        <f t="shared" ca="1" si="9"/>
        <v xml:space="preserve"> </v>
      </c>
      <c r="T33" s="334">
        <f t="shared" ca="1" si="10"/>
        <v>0</v>
      </c>
      <c r="U33" s="682" t="str">
        <f t="shared" ca="1" si="11"/>
        <v xml:space="preserve"> </v>
      </c>
    </row>
    <row r="34" spans="1:21">
      <c r="A34" s="672">
        <f t="shared" ca="1" si="3"/>
        <v>36923</v>
      </c>
      <c r="C34" s="681">
        <f ca="1">IF($A34&gt;Endyr,0,VLOOKUP($A34,Capacity_Table,Tariff!$R$18))</f>
        <v>150</v>
      </c>
      <c r="D34" s="330">
        <f t="shared" ca="1" si="4"/>
        <v>28</v>
      </c>
      <c r="E34" s="330" t="str">
        <f t="shared" ca="1" si="5"/>
        <v xml:space="preserve"> </v>
      </c>
      <c r="F34" s="332">
        <f t="shared" si="12"/>
        <v>24</v>
      </c>
      <c r="G34" s="1109">
        <f t="shared" ca="1" si="6"/>
        <v>0.90999999999999992</v>
      </c>
      <c r="H34" s="1686">
        <f ca="1">IF(Avail_LDs_Switch=1,VLOOKUP('Plant Operations'!A34,RAC_AvailFactor_Table,RAC_LDs!$G$258),IF($A34&lt;Startops2,Tariff!$T$11,0))</f>
        <v>0.92</v>
      </c>
      <c r="I34" s="1559">
        <f ca="1">IF(OR($A34&lt;Startops1,$A34&gt;=Startops2),0,IF(AND($A34&gt;=DieselOps_2,$A34&lt;Startops2),VLOOKUP($A34,Diesel_Table,Tariff!$Y$41),VLOOKUP($A34,OA_Table,Tariff!$Y$26)))</f>
        <v>84389.759999999995</v>
      </c>
      <c r="J34" s="391" t="str">
        <f t="shared" ca="1" si="13"/>
        <v xml:space="preserve"> </v>
      </c>
      <c r="K34" s="1109">
        <f ca="1">IF(OR($A34&lt;Startops2,$A34&gt;=Endyr),0,VLOOKUP($A34,Capacity_Table,Tariff!$S$18))</f>
        <v>0</v>
      </c>
      <c r="L34" s="212">
        <f ca="1">IF(OR($A34&lt;Startops2,$A34&gt;=Endyr),0,VLOOKUP($A34,Capacity_Table,Tariff!$T$18))</f>
        <v>0</v>
      </c>
      <c r="M34" s="334">
        <f ca="1">IF($A34&lt;Startops2,0,IF($A34&lt;Startops3,VLOOKUP($A34,Convert_Table,Tariff!$Y$54),C34*D34*F34*K34*L34))</f>
        <v>0</v>
      </c>
      <c r="N34" s="391" t="str">
        <f t="shared" ca="1" si="14"/>
        <v xml:space="preserve"> </v>
      </c>
      <c r="O34" s="334">
        <f t="shared" ca="1" si="15"/>
        <v>0</v>
      </c>
      <c r="P34" s="334">
        <f t="shared" ca="1" si="7"/>
        <v>0</v>
      </c>
      <c r="Q34" s="332" t="str">
        <f t="shared" ca="1" si="8"/>
        <v xml:space="preserve"> </v>
      </c>
      <c r="R34" s="334">
        <f ca="1">IF($A34&gt;Endyr,0,IF($A34&lt;Assm!$A$55,P34,Assm!$F$55*$D34))</f>
        <v>0</v>
      </c>
      <c r="S34" s="391" t="str">
        <f t="shared" ca="1" si="9"/>
        <v xml:space="preserve"> </v>
      </c>
      <c r="T34" s="334">
        <f t="shared" ca="1" si="10"/>
        <v>0</v>
      </c>
      <c r="U34" s="682" t="str">
        <f t="shared" ca="1" si="11"/>
        <v xml:space="preserve"> </v>
      </c>
    </row>
    <row r="35" spans="1:21">
      <c r="A35" s="672">
        <f t="shared" ca="1" si="3"/>
        <v>36951</v>
      </c>
      <c r="C35" s="681">
        <f ca="1">IF($A35&gt;Endyr,0,VLOOKUP($A35,Capacity_Table,Tariff!$R$18))</f>
        <v>150</v>
      </c>
      <c r="D35" s="330">
        <f t="shared" ca="1" si="4"/>
        <v>31</v>
      </c>
      <c r="E35" s="330" t="str">
        <f t="shared" ca="1" si="5"/>
        <v xml:space="preserve"> </v>
      </c>
      <c r="F35" s="332">
        <f t="shared" si="12"/>
        <v>24</v>
      </c>
      <c r="G35" s="1109">
        <f t="shared" ca="1" si="6"/>
        <v>0</v>
      </c>
      <c r="H35" s="1686">
        <f ca="1">IF(Avail_LDs_Switch=1,VLOOKUP('Plant Operations'!A35,RAC_AvailFactor_Table,RAC_LDs!$G$258),IF($A35&lt;Startops2,Tariff!$T$11,0))</f>
        <v>0</v>
      </c>
      <c r="I35" s="1559">
        <f ca="1">IF(OR($A35&lt;Startops1,$A35&gt;=Startops2),0,IF(AND($A35&gt;=DieselOps_2,$A35&lt;Startops2),VLOOKUP($A35,Diesel_Table,Tariff!$Y$41),VLOOKUP($A35,OA_Table,Tariff!$Y$26)))</f>
        <v>0</v>
      </c>
      <c r="J35" s="391" t="str">
        <f t="shared" ca="1" si="13"/>
        <v xml:space="preserve"> </v>
      </c>
      <c r="K35" s="1109">
        <f ca="1">IF(OR($A35&lt;Startops2,$A35&gt;=Endyr),0,VLOOKUP($A35,Capacity_Table,Tariff!$S$18))</f>
        <v>0.45097132284921371</v>
      </c>
      <c r="L35" s="212">
        <f ca="1">IF(OR($A35&lt;Startops2,$A35&gt;=Endyr),0,VLOOKUP($A35,Capacity_Table,Tariff!$T$18))</f>
        <v>0.92</v>
      </c>
      <c r="M35" s="334">
        <f ca="1">IF($A35&lt;Startops2,0,IF($A35&lt;Startops3,VLOOKUP($A35,Convert_Table,Tariff!$Y$54),C35*D35*F35*K35*L35))</f>
        <v>12600</v>
      </c>
      <c r="N35" s="391" t="str">
        <f t="shared" ca="1" si="14"/>
        <v xml:space="preserve"> </v>
      </c>
      <c r="O35" s="334">
        <f t="shared" ca="1" si="15"/>
        <v>10100</v>
      </c>
      <c r="P35" s="334">
        <f t="shared" ca="1" si="7"/>
        <v>127260</v>
      </c>
      <c r="Q35" s="332" t="str">
        <f t="shared" ca="1" si="8"/>
        <v xml:space="preserve"> </v>
      </c>
      <c r="R35" s="334">
        <f ca="1">IF($A35&gt;Endyr,0,IF($A35&lt;Assm!$A$55,P35,Assm!$F$55*$D35))</f>
        <v>127260</v>
      </c>
      <c r="S35" s="391" t="str">
        <f t="shared" ca="1" si="9"/>
        <v xml:space="preserve"> </v>
      </c>
      <c r="T35" s="334">
        <f t="shared" ca="1" si="10"/>
        <v>127260</v>
      </c>
      <c r="U35" s="682" t="str">
        <f t="shared" ca="1" si="11"/>
        <v xml:space="preserve"> </v>
      </c>
    </row>
    <row r="36" spans="1:21">
      <c r="A36" s="672">
        <f t="shared" ca="1" si="3"/>
        <v>36982</v>
      </c>
      <c r="C36" s="681">
        <f ca="1">IF($A36&gt;Endyr,0,VLOOKUP($A36,Capacity_Table,Tariff!$R$18))</f>
        <v>237.77937158469945</v>
      </c>
      <c r="D36" s="330">
        <f t="shared" ca="1" si="4"/>
        <v>30</v>
      </c>
      <c r="E36" s="330" t="str">
        <f t="shared" ca="1" si="5"/>
        <v xml:space="preserve"> </v>
      </c>
      <c r="F36" s="332">
        <f t="shared" si="12"/>
        <v>24</v>
      </c>
      <c r="G36" s="1109">
        <f t="shared" ca="1" si="6"/>
        <v>0</v>
      </c>
      <c r="H36" s="1686">
        <f ca="1">IF(Avail_LDs_Switch=1,VLOOKUP('Plant Operations'!A36,RAC_AvailFactor_Table,RAC_LDs!$G$258),IF($A36&lt;Startops2,Tariff!$T$11,0))</f>
        <v>0</v>
      </c>
      <c r="I36" s="1559">
        <f ca="1">IF(OR($A36&lt;Startops1,$A36&gt;=Startops2),0,IF(AND($A36&gt;=DieselOps_2,$A36&lt;Startops2),VLOOKUP($A36,Diesel_Table,Tariff!$Y$41),VLOOKUP($A36,OA_Table,Tariff!$Y$26)))</f>
        <v>0</v>
      </c>
      <c r="J36" s="391" t="str">
        <f t="shared" ca="1" si="13"/>
        <v xml:space="preserve"> </v>
      </c>
      <c r="K36" s="1109">
        <f ca="1">IF(OR($A36&lt;Startops2,$A36&gt;=Endyr),0,VLOOKUP($A36,Capacity_Table,Tariff!$S$18))</f>
        <v>1</v>
      </c>
      <c r="L36" s="212">
        <f ca="1">IF(OR($A36&lt;Startops2,$A36&gt;=Endyr),0,VLOOKUP($A36,Capacity_Table,Tariff!$T$18))</f>
        <v>1</v>
      </c>
      <c r="M36" s="334">
        <f ca="1">IF($A36&lt;Startops2,0,IF($A36&lt;Startops3,VLOOKUP($A36,Convert_Table,Tariff!$Y$54),C36*D36*F36*K36*L36))</f>
        <v>70200</v>
      </c>
      <c r="N36" s="391" t="str">
        <f t="shared" ca="1" si="14"/>
        <v xml:space="preserve"> </v>
      </c>
      <c r="O36" s="334">
        <f t="shared" ca="1" si="15"/>
        <v>10100</v>
      </c>
      <c r="P36" s="334">
        <f t="shared" ca="1" si="7"/>
        <v>709020</v>
      </c>
      <c r="Q36" s="332" t="str">
        <f t="shared" ca="1" si="8"/>
        <v xml:space="preserve"> </v>
      </c>
      <c r="R36" s="334">
        <f ca="1">IF($A36&gt;Endyr,0,IF($A36&lt;Assm!$A$55,P36,Assm!$F$55*$D36))</f>
        <v>709020</v>
      </c>
      <c r="S36" s="391" t="str">
        <f t="shared" ca="1" si="9"/>
        <v xml:space="preserve"> </v>
      </c>
      <c r="T36" s="334">
        <f t="shared" ca="1" si="10"/>
        <v>709020</v>
      </c>
      <c r="U36" s="682" t="str">
        <f t="shared" ca="1" si="11"/>
        <v xml:space="preserve"> </v>
      </c>
    </row>
    <row r="37" spans="1:21">
      <c r="A37" s="672">
        <f t="shared" ca="1" si="3"/>
        <v>37012</v>
      </c>
      <c r="C37" s="681">
        <f ca="1">IF($A37&gt;Endyr,0,VLOOKUP($A37,Capacity_Table,Tariff!$R$18))</f>
        <v>237.77937158469945</v>
      </c>
      <c r="D37" s="330">
        <f t="shared" ca="1" si="4"/>
        <v>31</v>
      </c>
      <c r="E37" s="330" t="str">
        <f t="shared" ca="1" si="5"/>
        <v xml:space="preserve"> </v>
      </c>
      <c r="F37" s="332">
        <f t="shared" si="12"/>
        <v>24</v>
      </c>
      <c r="G37" s="1109">
        <f t="shared" ca="1" si="6"/>
        <v>0</v>
      </c>
      <c r="H37" s="1686">
        <f ca="1">IF(Avail_LDs_Switch=1,VLOOKUP('Plant Operations'!A37,RAC_AvailFactor_Table,RAC_LDs!$G$258),IF($A37&lt;Startops2,Tariff!$T$11,0))</f>
        <v>0</v>
      </c>
      <c r="I37" s="1559">
        <f ca="1">IF(OR($A37&lt;Startops1,$A37&gt;=Startops2),0,IF(AND($A37&gt;=DieselOps_2,$A37&lt;Startops2),VLOOKUP($A37,Diesel_Table,Tariff!$Y$41),VLOOKUP($A37,OA_Table,Tariff!$Y$26)))</f>
        <v>0</v>
      </c>
      <c r="J37" s="391" t="str">
        <f t="shared" ca="1" si="13"/>
        <v xml:space="preserve"> </v>
      </c>
      <c r="K37" s="1109">
        <f ca="1">IF(OR($A37&lt;Startops2,$A37&gt;=Endyr),0,VLOOKUP($A37,Capacity_Table,Tariff!$S$18))</f>
        <v>1</v>
      </c>
      <c r="L37" s="212">
        <f ca="1">IF(OR($A37&lt;Startops2,$A37&gt;=Endyr),0,VLOOKUP($A37,Capacity_Table,Tariff!$T$18))</f>
        <v>1</v>
      </c>
      <c r="M37" s="334">
        <f ca="1">IF($A37&lt;Startops2,0,IF($A37&lt;Startops3,VLOOKUP($A37,Convert_Table,Tariff!$Y$54),C37*D37*F37*K37*L37))</f>
        <v>146880</v>
      </c>
      <c r="N37" s="391" t="str">
        <f t="shared" ca="1" si="14"/>
        <v xml:space="preserve"> </v>
      </c>
      <c r="O37" s="334">
        <f t="shared" ca="1" si="15"/>
        <v>10100</v>
      </c>
      <c r="P37" s="334">
        <f t="shared" ca="1" si="7"/>
        <v>1483488</v>
      </c>
      <c r="Q37" s="332" t="str">
        <f t="shared" ca="1" si="8"/>
        <v xml:space="preserve"> </v>
      </c>
      <c r="R37" s="334">
        <f ca="1">IF($A37&gt;Endyr,0,IF($A37&lt;Assm!$A$55,P37,Assm!$F$55*$D37))</f>
        <v>1483488</v>
      </c>
      <c r="S37" s="391" t="str">
        <f t="shared" ca="1" si="9"/>
        <v xml:space="preserve"> </v>
      </c>
      <c r="T37" s="334">
        <f t="shared" ca="1" si="10"/>
        <v>1483488</v>
      </c>
      <c r="U37" s="682" t="str">
        <f t="shared" ca="1" si="11"/>
        <v xml:space="preserve"> </v>
      </c>
    </row>
    <row r="38" spans="1:21">
      <c r="A38" s="672">
        <f t="shared" ca="1" si="3"/>
        <v>37043</v>
      </c>
      <c r="C38" s="681">
        <f ca="1">IF($A38&gt;Endyr,0,VLOOKUP($A38,Capacity_Table,Tariff!$R$18))</f>
        <v>237.77937158469945</v>
      </c>
      <c r="D38" s="330">
        <f t="shared" ca="1" si="4"/>
        <v>30</v>
      </c>
      <c r="E38" s="330" t="str">
        <f t="shared" ca="1" si="5"/>
        <v xml:space="preserve"> </v>
      </c>
      <c r="F38" s="332">
        <f t="shared" si="12"/>
        <v>24</v>
      </c>
      <c r="G38" s="1109">
        <f t="shared" ca="1" si="6"/>
        <v>0</v>
      </c>
      <c r="H38" s="1686">
        <f ca="1">IF(Avail_LDs_Switch=1,VLOOKUP('Plant Operations'!A38,RAC_AvailFactor_Table,RAC_LDs!$G$258),IF($A38&lt;Startops2,Tariff!$T$11,0))</f>
        <v>0</v>
      </c>
      <c r="I38" s="1559">
        <f ca="1">IF(OR($A38&lt;Startops1,$A38&gt;=Startops2),0,IF(AND($A38&gt;=DieselOps_2,$A38&lt;Startops2),VLOOKUP($A38,Diesel_Table,Tariff!$Y$41),VLOOKUP($A38,OA_Table,Tariff!$Y$26)))</f>
        <v>0</v>
      </c>
      <c r="J38" s="391" t="str">
        <f t="shared" ca="1" si="13"/>
        <v xml:space="preserve"> </v>
      </c>
      <c r="K38" s="1109">
        <f ca="1">IF(OR($A38&lt;Startops2,$A38&gt;=Endyr),0,VLOOKUP($A38,Capacity_Table,Tariff!$S$18))</f>
        <v>1</v>
      </c>
      <c r="L38" s="212">
        <f ca="1">IF(OR($A38&lt;Startops2,$A38&gt;=Endyr),0,VLOOKUP($A38,Capacity_Table,Tariff!$T$18))</f>
        <v>1</v>
      </c>
      <c r="M38" s="334">
        <f ca="1">IF($A38&lt;Startops2,0,IF($A38&lt;Startops3,VLOOKUP($A38,Convert_Table,Tariff!$Y$54),C38*D38*F38*K38*L38))</f>
        <v>232128</v>
      </c>
      <c r="N38" s="391" t="str">
        <f t="shared" ca="1" si="14"/>
        <v xml:space="preserve"> </v>
      </c>
      <c r="O38" s="334">
        <f t="shared" ca="1" si="15"/>
        <v>10100</v>
      </c>
      <c r="P38" s="334">
        <f t="shared" ca="1" si="7"/>
        <v>2344492.7999999998</v>
      </c>
      <c r="Q38" s="332" t="str">
        <f t="shared" ca="1" si="8"/>
        <v xml:space="preserve"> </v>
      </c>
      <c r="R38" s="334">
        <f ca="1">IF($A38&gt;Endyr,0,IF($A38&lt;Assm!$A$55,P38,Assm!$F$55*$D38))</f>
        <v>2344492.7999999998</v>
      </c>
      <c r="S38" s="391" t="str">
        <f t="shared" ca="1" si="9"/>
        <v xml:space="preserve"> </v>
      </c>
      <c r="T38" s="334">
        <f t="shared" ca="1" si="10"/>
        <v>2344492.7999999998</v>
      </c>
      <c r="U38" s="682" t="str">
        <f t="shared" ca="1" si="11"/>
        <v xml:space="preserve"> </v>
      </c>
    </row>
    <row r="39" spans="1:21">
      <c r="A39" s="672">
        <f t="shared" ca="1" si="3"/>
        <v>37073</v>
      </c>
      <c r="C39" s="681">
        <f ca="1">IF($A39&gt;Endyr,0,VLOOKUP($A39,Capacity_Table,Tariff!$R$18))</f>
        <v>237.77937158469945</v>
      </c>
      <c r="D39" s="330">
        <f t="shared" ca="1" si="4"/>
        <v>31</v>
      </c>
      <c r="E39" s="330" t="str">
        <f t="shared" ca="1" si="5"/>
        <v xml:space="preserve"> </v>
      </c>
      <c r="F39" s="332">
        <f t="shared" si="12"/>
        <v>24</v>
      </c>
      <c r="G39" s="1109">
        <f t="shared" ca="1" si="6"/>
        <v>0</v>
      </c>
      <c r="H39" s="1686">
        <f ca="1">IF(Avail_LDs_Switch=1,VLOOKUP('Plant Operations'!A39,RAC_AvailFactor_Table,RAC_LDs!$G$258),IF($A39&lt;Startops2,Tariff!$T$11,0))</f>
        <v>0</v>
      </c>
      <c r="I39" s="1559">
        <f ca="1">IF(OR($A39&lt;Startops1,$A39&gt;=Startops2),0,IF(AND($A39&gt;=DieselOps_2,$A39&lt;Startops2),VLOOKUP($A39,Diesel_Table,Tariff!$Y$41),VLOOKUP($A39,OA_Table,Tariff!$Y$26)))</f>
        <v>0</v>
      </c>
      <c r="J39" s="391" t="str">
        <f t="shared" ca="1" si="13"/>
        <v xml:space="preserve"> </v>
      </c>
      <c r="K39" s="1109">
        <f ca="1">IF(OR($A39&lt;Startops2,$A39&gt;=Endyr),0,VLOOKUP($A39,Capacity_Table,Tariff!$S$18))</f>
        <v>1</v>
      </c>
      <c r="L39" s="212">
        <f ca="1">IF(OR($A39&lt;Startops2,$A39&gt;=Endyr),0,VLOOKUP($A39,Capacity_Table,Tariff!$T$18))</f>
        <v>1</v>
      </c>
      <c r="M39" s="334">
        <f ca="1">IF($A39&lt;Startops2,0,IF($A39&lt;Startops3,VLOOKUP($A39,Convert_Table,Tariff!$Y$54),C39*D39*F39*K39*L39))</f>
        <v>234410</v>
      </c>
      <c r="N39" s="391" t="str">
        <f t="shared" ca="1" si="14"/>
        <v xml:space="preserve"> </v>
      </c>
      <c r="O39" s="334">
        <f t="shared" ca="1" si="15"/>
        <v>10100</v>
      </c>
      <c r="P39" s="334">
        <f t="shared" ca="1" si="7"/>
        <v>2367541</v>
      </c>
      <c r="Q39" s="332" t="str">
        <f t="shared" ca="1" si="8"/>
        <v xml:space="preserve"> </v>
      </c>
      <c r="R39" s="334">
        <f ca="1">IF($A39&gt;Endyr,0,IF($A39&lt;Assm!$A$55,P39,Assm!$F$55*$D39))</f>
        <v>2367541</v>
      </c>
      <c r="S39" s="391" t="str">
        <f t="shared" ca="1" si="9"/>
        <v xml:space="preserve"> </v>
      </c>
      <c r="T39" s="334">
        <f t="shared" ca="1" si="10"/>
        <v>2367541</v>
      </c>
      <c r="U39" s="682" t="str">
        <f t="shared" ca="1" si="11"/>
        <v xml:space="preserve"> </v>
      </c>
    </row>
    <row r="40" spans="1:21">
      <c r="A40" s="672">
        <f t="shared" ca="1" si="3"/>
        <v>37104</v>
      </c>
      <c r="C40" s="681">
        <f ca="1">IF($A40&gt;Endyr,0,VLOOKUP($A40,Capacity_Table,Tariff!$R$18))</f>
        <v>480</v>
      </c>
      <c r="D40" s="330">
        <f t="shared" ca="1" si="4"/>
        <v>31</v>
      </c>
      <c r="E40" s="330" t="str">
        <f t="shared" ca="1" si="5"/>
        <v xml:space="preserve"> </v>
      </c>
      <c r="F40" s="332">
        <f t="shared" si="12"/>
        <v>24</v>
      </c>
      <c r="G40" s="1109">
        <f t="shared" ca="1" si="6"/>
        <v>0</v>
      </c>
      <c r="H40" s="1686">
        <f ca="1">IF(Avail_LDs_Switch=1,VLOOKUP('Plant Operations'!A40,RAC_AvailFactor_Table,RAC_LDs!$G$258),IF($A40&lt;Startops2,Tariff!$T$11,0))</f>
        <v>0</v>
      </c>
      <c r="I40" s="1559">
        <f ca="1">IF(OR($A40&lt;Startops1,$A40&gt;=Startops2),0,IF(AND($A40&gt;=DieselOps_2,$A40&lt;Startops2),VLOOKUP($A40,Diesel_Table,Tariff!$Y$41),VLOOKUP($A40,OA_Table,Tariff!$Y$26)))</f>
        <v>0</v>
      </c>
      <c r="J40" s="391" t="str">
        <f t="shared" ca="1" si="13"/>
        <v xml:space="preserve"> </v>
      </c>
      <c r="K40" s="1109">
        <f ca="1">IF(OR($A40&lt;Startops2,$A40&gt;=Endyr),0,VLOOKUP($A40,Capacity_Table,Tariff!$S$18))</f>
        <v>0.91</v>
      </c>
      <c r="L40" s="212">
        <f ca="1">IF(OR($A40&lt;Startops2,$A40&gt;=Endyr),0,VLOOKUP($A40,Capacity_Table,Tariff!$T$18))</f>
        <v>0.92</v>
      </c>
      <c r="M40" s="334">
        <f ca="1">IF($A40&lt;Startops2,0,IF($A40&lt;Startops3,VLOOKUP($A40,Convert_Table,Tariff!$Y$54),C40*D40*F40*K40*L40))</f>
        <v>298980.864</v>
      </c>
      <c r="N40" s="391" t="str">
        <f t="shared" ca="1" si="14"/>
        <v xml:space="preserve"> </v>
      </c>
      <c r="O40" s="334">
        <f t="shared" ca="1" si="15"/>
        <v>7000</v>
      </c>
      <c r="P40" s="334">
        <f t="shared" ca="1" si="7"/>
        <v>2092866.048</v>
      </c>
      <c r="Q40" s="332" t="str">
        <f t="shared" ca="1" si="8"/>
        <v xml:space="preserve"> </v>
      </c>
      <c r="R40" s="334">
        <f ca="1">IF($A40&gt;Endyr,0,IF($A40&lt;Assm!$A$55,P40,Assm!$F$55*$D40))</f>
        <v>1828160.8767123288</v>
      </c>
      <c r="S40" s="391" t="str">
        <f t="shared" ca="1" si="9"/>
        <v xml:space="preserve"> </v>
      </c>
      <c r="T40" s="334">
        <f t="shared" ca="1" si="10"/>
        <v>2092866.048</v>
      </c>
      <c r="U40" s="682" t="str">
        <f t="shared" ca="1" si="11"/>
        <v xml:space="preserve"> </v>
      </c>
    </row>
    <row r="41" spans="1:21">
      <c r="A41" s="672">
        <f t="shared" ca="1" si="3"/>
        <v>37135</v>
      </c>
      <c r="C41" s="681">
        <f ca="1">IF($A41&gt;Endyr,0,VLOOKUP($A41,Capacity_Table,Tariff!$R$18))</f>
        <v>480</v>
      </c>
      <c r="D41" s="330">
        <f t="shared" ca="1" si="4"/>
        <v>30</v>
      </c>
      <c r="E41" s="330" t="str">
        <f t="shared" ca="1" si="5"/>
        <v xml:space="preserve"> </v>
      </c>
      <c r="F41" s="332">
        <f t="shared" si="12"/>
        <v>24</v>
      </c>
      <c r="G41" s="1109">
        <f t="shared" ca="1" si="6"/>
        <v>0</v>
      </c>
      <c r="H41" s="1686">
        <f ca="1">IF(Avail_LDs_Switch=1,VLOOKUP('Plant Operations'!A41,RAC_AvailFactor_Table,RAC_LDs!$G$258),IF($A41&lt;Startops2,Tariff!$T$11,0))</f>
        <v>0</v>
      </c>
      <c r="I41" s="1559">
        <f ca="1">IF(OR($A41&lt;Startops1,$A41&gt;=Startops2),0,IF(AND($A41&gt;=DieselOps_2,$A41&lt;Startops2),VLOOKUP($A41,Diesel_Table,Tariff!$Y$41),VLOOKUP($A41,OA_Table,Tariff!$Y$26)))</f>
        <v>0</v>
      </c>
      <c r="J41" s="391" t="str">
        <f t="shared" ca="1" si="13"/>
        <v xml:space="preserve"> </v>
      </c>
      <c r="K41" s="1109">
        <f ca="1">IF(OR($A41&lt;Startops2,$A41&gt;=Endyr),0,VLOOKUP($A41,Capacity_Table,Tariff!$S$18))</f>
        <v>0.91</v>
      </c>
      <c r="L41" s="212">
        <f ca="1">IF(OR($A41&lt;Startops2,$A41&gt;=Endyr),0,VLOOKUP($A41,Capacity_Table,Tariff!$T$18))</f>
        <v>0.92</v>
      </c>
      <c r="M41" s="334">
        <f ca="1">IF($A41&lt;Startops2,0,IF($A41&lt;Startops3,VLOOKUP($A41,Convert_Table,Tariff!$Y$54),C41*D41*F41*K41*L41))</f>
        <v>289336.32000000001</v>
      </c>
      <c r="N41" s="391" t="str">
        <f t="shared" ca="1" si="14"/>
        <v xml:space="preserve"> </v>
      </c>
      <c r="O41" s="334">
        <f t="shared" ca="1" si="15"/>
        <v>7000</v>
      </c>
      <c r="P41" s="334">
        <f t="shared" ca="1" si="7"/>
        <v>2025354.24</v>
      </c>
      <c r="Q41" s="332" t="str">
        <f t="shared" ca="1" si="8"/>
        <v xml:space="preserve"> </v>
      </c>
      <c r="R41" s="334">
        <f ca="1">IF($A41&gt;Endyr,0,IF($A41&lt;Assm!$A$55,P41,Assm!$F$55*$D41))</f>
        <v>1769187.9452054794</v>
      </c>
      <c r="S41" s="391" t="str">
        <f t="shared" ca="1" si="9"/>
        <v xml:space="preserve"> </v>
      </c>
      <c r="T41" s="334">
        <f t="shared" ca="1" si="10"/>
        <v>2025354.24</v>
      </c>
      <c r="U41" s="682" t="str">
        <f t="shared" ca="1" si="11"/>
        <v xml:space="preserve"> </v>
      </c>
    </row>
    <row r="42" spans="1:21">
      <c r="A42" s="672">
        <f t="shared" ca="1" si="3"/>
        <v>37165</v>
      </c>
      <c r="C42" s="681">
        <f ca="1">IF($A42&gt;Endyr,0,VLOOKUP($A42,Capacity_Table,Tariff!$R$18))</f>
        <v>480</v>
      </c>
      <c r="D42" s="330">
        <f t="shared" ca="1" si="4"/>
        <v>31</v>
      </c>
      <c r="E42" s="330" t="str">
        <f t="shared" ca="1" si="5"/>
        <v xml:space="preserve"> </v>
      </c>
      <c r="F42" s="332">
        <f t="shared" si="12"/>
        <v>24</v>
      </c>
      <c r="G42" s="1109">
        <f t="shared" ca="1" si="6"/>
        <v>0</v>
      </c>
      <c r="H42" s="1686">
        <f ca="1">IF(Avail_LDs_Switch=1,VLOOKUP('Plant Operations'!A42,RAC_AvailFactor_Table,RAC_LDs!$G$258),IF($A42&lt;Startops2,Tariff!$T$11,0))</f>
        <v>0</v>
      </c>
      <c r="I42" s="1559">
        <f ca="1">IF(OR($A42&lt;Startops1,$A42&gt;=Startops2),0,IF(AND($A42&gt;=DieselOps_2,$A42&lt;Startops2),VLOOKUP($A42,Diesel_Table,Tariff!$Y$41),VLOOKUP($A42,OA_Table,Tariff!$Y$26)))</f>
        <v>0</v>
      </c>
      <c r="J42" s="391" t="str">
        <f t="shared" ca="1" si="13"/>
        <v xml:space="preserve"> </v>
      </c>
      <c r="K42" s="1109">
        <f ca="1">IF(OR($A42&lt;Startops2,$A42&gt;=Endyr),0,VLOOKUP($A42,Capacity_Table,Tariff!$S$18))</f>
        <v>0.91</v>
      </c>
      <c r="L42" s="212">
        <f ca="1">IF(OR($A42&lt;Startops2,$A42&gt;=Endyr),0,VLOOKUP($A42,Capacity_Table,Tariff!$T$18))</f>
        <v>0.92</v>
      </c>
      <c r="M42" s="334">
        <f ca="1">IF($A42&lt;Startops2,0,IF($A42&lt;Startops3,VLOOKUP($A42,Convert_Table,Tariff!$Y$54),C42*D42*F42*K42*L42))</f>
        <v>298980.864</v>
      </c>
      <c r="N42" s="391" t="str">
        <f t="shared" ca="1" si="14"/>
        <v xml:space="preserve"> </v>
      </c>
      <c r="O42" s="334">
        <f t="shared" ca="1" si="15"/>
        <v>7000</v>
      </c>
      <c r="P42" s="334">
        <f t="shared" ca="1" si="7"/>
        <v>2092866.048</v>
      </c>
      <c r="Q42" s="332" t="str">
        <f t="shared" ca="1" si="8"/>
        <v xml:space="preserve"> </v>
      </c>
      <c r="R42" s="334">
        <f ca="1">IF($A42&gt;Endyr,0,IF($A42&lt;Assm!$A$55,P42,Assm!$F$55*$D42))</f>
        <v>1828160.8767123288</v>
      </c>
      <c r="S42" s="391" t="str">
        <f t="shared" ca="1" si="9"/>
        <v xml:space="preserve"> </v>
      </c>
      <c r="T42" s="334">
        <f t="shared" ca="1" si="10"/>
        <v>2092866.048</v>
      </c>
      <c r="U42" s="682" t="str">
        <f t="shared" ca="1" si="11"/>
        <v xml:space="preserve"> </v>
      </c>
    </row>
    <row r="43" spans="1:21">
      <c r="A43" s="672">
        <f t="shared" ca="1" si="3"/>
        <v>37196</v>
      </c>
      <c r="C43" s="681">
        <f ca="1">IF($A43&gt;Endyr,0,VLOOKUP($A43,Capacity_Table,Tariff!$R$18))</f>
        <v>480</v>
      </c>
      <c r="D43" s="330">
        <f t="shared" ca="1" si="4"/>
        <v>30</v>
      </c>
      <c r="E43" s="330" t="str">
        <f t="shared" ca="1" si="5"/>
        <v xml:space="preserve"> </v>
      </c>
      <c r="F43" s="332">
        <f t="shared" si="12"/>
        <v>24</v>
      </c>
      <c r="G43" s="1109">
        <f t="shared" ca="1" si="6"/>
        <v>0</v>
      </c>
      <c r="H43" s="1686">
        <f ca="1">IF(Avail_LDs_Switch=1,VLOOKUP('Plant Operations'!A43,RAC_AvailFactor_Table,RAC_LDs!$G$258),IF($A43&lt;Startops2,Tariff!$T$11,0))</f>
        <v>0</v>
      </c>
      <c r="I43" s="1559">
        <f ca="1">IF(OR($A43&lt;Startops1,$A43&gt;=Startops2),0,IF(AND($A43&gt;=DieselOps_2,$A43&lt;Startops2),VLOOKUP($A43,Diesel_Table,Tariff!$Y$41),VLOOKUP($A43,OA_Table,Tariff!$Y$26)))</f>
        <v>0</v>
      </c>
      <c r="J43" s="391" t="str">
        <f t="shared" ca="1" si="13"/>
        <v xml:space="preserve"> </v>
      </c>
      <c r="K43" s="1109">
        <f ca="1">IF(OR($A43&lt;Startops2,$A43&gt;=Endyr),0,VLOOKUP($A43,Capacity_Table,Tariff!$S$18))</f>
        <v>0.91</v>
      </c>
      <c r="L43" s="212">
        <f ca="1">IF(OR($A43&lt;Startops2,$A43&gt;=Endyr),0,VLOOKUP($A43,Capacity_Table,Tariff!$T$18))</f>
        <v>0.92</v>
      </c>
      <c r="M43" s="334">
        <f ca="1">IF($A43&lt;Startops2,0,IF($A43&lt;Startops3,VLOOKUP($A43,Convert_Table,Tariff!$Y$54),C43*D43*F43*K43*L43))</f>
        <v>289336.32000000001</v>
      </c>
      <c r="N43" s="391" t="str">
        <f t="shared" ca="1" si="14"/>
        <v xml:space="preserve"> </v>
      </c>
      <c r="O43" s="334">
        <f t="shared" ca="1" si="15"/>
        <v>7000</v>
      </c>
      <c r="P43" s="334">
        <f t="shared" ca="1" si="7"/>
        <v>2025354.24</v>
      </c>
      <c r="Q43" s="332" t="str">
        <f t="shared" ca="1" si="8"/>
        <v xml:space="preserve"> </v>
      </c>
      <c r="R43" s="334">
        <f ca="1">IF($A43&gt;Endyr,0,IF($A43&lt;Assm!$A$55,P43,Assm!$F$55*$D43))</f>
        <v>1769187.9452054794</v>
      </c>
      <c r="S43" s="391" t="str">
        <f t="shared" ca="1" si="9"/>
        <v xml:space="preserve"> </v>
      </c>
      <c r="T43" s="334">
        <f t="shared" ca="1" si="10"/>
        <v>2025354.24</v>
      </c>
      <c r="U43" s="682" t="str">
        <f t="shared" ca="1" si="11"/>
        <v xml:space="preserve"> </v>
      </c>
    </row>
    <row r="44" spans="1:21">
      <c r="A44" s="672">
        <f t="shared" ca="1" si="3"/>
        <v>37226</v>
      </c>
      <c r="C44" s="681">
        <f ca="1">IF($A44&gt;Endyr,0,VLOOKUP($A44,Capacity_Table,Tariff!$R$18))</f>
        <v>480</v>
      </c>
      <c r="D44" s="330">
        <f t="shared" ca="1" si="4"/>
        <v>31</v>
      </c>
      <c r="E44" s="330">
        <f t="shared" ca="1" si="5"/>
        <v>365</v>
      </c>
      <c r="F44" s="332">
        <f t="shared" si="12"/>
        <v>24</v>
      </c>
      <c r="G44" s="1109">
        <f t="shared" ca="1" si="6"/>
        <v>0</v>
      </c>
      <c r="H44" s="1686">
        <f ca="1">IF(Avail_LDs_Switch=1,VLOOKUP('Plant Operations'!A44,RAC_AvailFactor_Table,RAC_LDs!$G$258),IF($A44&lt;Startops2,Tariff!$T$11,0))</f>
        <v>0</v>
      </c>
      <c r="I44" s="1559">
        <f ca="1">IF(OR($A44&lt;Startops1,$A44&gt;=Startops2),0,IF(AND($A44&gt;=DieselOps_2,$A44&lt;Startops2),VLOOKUP($A44,Diesel_Table,Tariff!$Y$41),VLOOKUP($A44,OA_Table,Tariff!$Y$26)))</f>
        <v>0</v>
      </c>
      <c r="J44" s="391">
        <f t="shared" ca="1" si="13"/>
        <v>177821.28</v>
      </c>
      <c r="K44" s="1109">
        <f ca="1">IF(OR($A44&lt;Startops2,$A44&gt;=Endyr),0,VLOOKUP($A44,Capacity_Table,Tariff!$S$18))</f>
        <v>0.91</v>
      </c>
      <c r="L44" s="212">
        <f ca="1">IF(OR($A44&lt;Startops2,$A44&gt;=Endyr),0,VLOOKUP($A44,Capacity_Table,Tariff!$T$18))</f>
        <v>0.92</v>
      </c>
      <c r="M44" s="334">
        <f ca="1">IF($A44&lt;Startops2,0,IF($A44&lt;Startops3,VLOOKUP($A44,Convert_Table,Tariff!$Y$54),C44*D44*F44*K44*L44))</f>
        <v>298980.864</v>
      </c>
      <c r="N44" s="391">
        <f ca="1">IF(MONTH($A44)=12,SUM(M33:M44)," ")</f>
        <v>2171833.2320000003</v>
      </c>
      <c r="O44" s="334">
        <f t="shared" ca="1" si="15"/>
        <v>7000</v>
      </c>
      <c r="P44" s="334">
        <f t="shared" ca="1" si="7"/>
        <v>2092866.048</v>
      </c>
      <c r="Q44" s="332">
        <f t="shared" ca="1" si="8"/>
        <v>17361108.423999999</v>
      </c>
      <c r="R44" s="334">
        <f ca="1">IF($A44&gt;Endyr,0,IF($A44&lt;Assm!$A$55,P44,Assm!$F$55*$D44))</f>
        <v>1828160.8767123288</v>
      </c>
      <c r="S44" s="391">
        <f t="shared" ca="1" si="9"/>
        <v>16054660.320547946</v>
      </c>
      <c r="T44" s="334">
        <f t="shared" ca="1" si="10"/>
        <v>2092866.048</v>
      </c>
      <c r="U44" s="682">
        <f t="shared" ca="1" si="11"/>
        <v>17361108.423999999</v>
      </c>
    </row>
    <row r="45" spans="1:21">
      <c r="A45" s="672">
        <f t="shared" ca="1" si="3"/>
        <v>37257</v>
      </c>
      <c r="C45" s="681">
        <f ca="1">IF($A45&gt;Endyr,0,VLOOKUP($A45,Capacity_Table,Tariff!$R$18))</f>
        <v>480</v>
      </c>
      <c r="D45" s="330">
        <f t="shared" ca="1" si="4"/>
        <v>31</v>
      </c>
      <c r="E45" s="330" t="str">
        <f t="shared" ca="1" si="5"/>
        <v xml:space="preserve"> </v>
      </c>
      <c r="F45" s="332">
        <f t="shared" si="12"/>
        <v>24</v>
      </c>
      <c r="G45" s="1109">
        <f t="shared" ca="1" si="6"/>
        <v>0</v>
      </c>
      <c r="H45" s="1686">
        <f ca="1">IF(Avail_LDs_Switch=1,VLOOKUP('Plant Operations'!A45,RAC_AvailFactor_Table,RAC_LDs!$G$258),IF($A45&lt;Startops2,Tariff!$T$11,0))</f>
        <v>0</v>
      </c>
      <c r="I45" s="1559">
        <f ca="1">IF(OR($A45&lt;Startops1,$A45&gt;=Startops2),0,IF(AND($A45&gt;=DieselOps_2,$A45&lt;Startops2),VLOOKUP($A45,Diesel_Table,Tariff!$Y$41),VLOOKUP($A45,OA_Table,Tariff!$Y$26)))</f>
        <v>0</v>
      </c>
      <c r="J45" s="391" t="str">
        <f t="shared" ca="1" si="13"/>
        <v xml:space="preserve"> </v>
      </c>
      <c r="K45" s="1109">
        <f ca="1">IF(OR($A45&lt;Startops2,$A45&gt;=Endyr),0,VLOOKUP($A45,Capacity_Table,Tariff!$S$18))</f>
        <v>0.91</v>
      </c>
      <c r="L45" s="212">
        <f ca="1">IF(OR($A45&lt;Startops2,$A45&gt;=Endyr),0,VLOOKUP($A45,Capacity_Table,Tariff!$T$18))</f>
        <v>0.92</v>
      </c>
      <c r="M45" s="334">
        <f ca="1">IF($A45&lt;Startops2,0,IF($A45&lt;Startops3,VLOOKUP($A45,Convert_Table,Tariff!$Y$54),C45*D45*F45*K45*L45))</f>
        <v>298980.864</v>
      </c>
      <c r="N45" s="391" t="str">
        <f t="shared" ca="1" si="14"/>
        <v xml:space="preserve"> </v>
      </c>
      <c r="O45" s="334">
        <f t="shared" ca="1" si="15"/>
        <v>7000</v>
      </c>
      <c r="P45" s="334">
        <f t="shared" ca="1" si="7"/>
        <v>2092866.048</v>
      </c>
      <c r="Q45" s="332" t="str">
        <f t="shared" ca="1" si="8"/>
        <v xml:space="preserve"> </v>
      </c>
      <c r="R45" s="334">
        <f ca="1">IF($A45&gt;Endyr,0,IF($A45&lt;Assm!$A$55,P45,Assm!$F$55*$D45))</f>
        <v>1828160.8767123288</v>
      </c>
      <c r="S45" s="391" t="str">
        <f t="shared" ca="1" si="9"/>
        <v xml:space="preserve"> </v>
      </c>
      <c r="T45" s="334">
        <f t="shared" ca="1" si="10"/>
        <v>2092866.048</v>
      </c>
      <c r="U45" s="682" t="str">
        <f t="shared" ca="1" si="11"/>
        <v xml:space="preserve"> </v>
      </c>
    </row>
    <row r="46" spans="1:21">
      <c r="A46" s="672">
        <f t="shared" ca="1" si="3"/>
        <v>37288</v>
      </c>
      <c r="C46" s="681">
        <f ca="1">IF($A46&gt;Endyr,0,VLOOKUP($A46,Capacity_Table,Tariff!$R$18))</f>
        <v>480</v>
      </c>
      <c r="D46" s="330">
        <f t="shared" ca="1" si="4"/>
        <v>28</v>
      </c>
      <c r="E46" s="330" t="str">
        <f t="shared" ca="1" si="5"/>
        <v xml:space="preserve"> </v>
      </c>
      <c r="F46" s="332">
        <f t="shared" si="12"/>
        <v>24</v>
      </c>
      <c r="G46" s="1109">
        <f t="shared" ca="1" si="6"/>
        <v>0</v>
      </c>
      <c r="H46" s="1686">
        <f ca="1">IF(Avail_LDs_Switch=1,VLOOKUP('Plant Operations'!A46,RAC_AvailFactor_Table,RAC_LDs!$G$258),IF($A46&lt;Startops2,Tariff!$T$11,0))</f>
        <v>0</v>
      </c>
      <c r="I46" s="1559">
        <f ca="1">IF(OR($A46&lt;Startops1,$A46&gt;=Startops2),0,IF(AND($A46&gt;=DieselOps_2,$A46&lt;Startops2),VLOOKUP($A46,Diesel_Table,Tariff!$Y$41),VLOOKUP($A46,OA_Table,Tariff!$Y$26)))</f>
        <v>0</v>
      </c>
      <c r="J46" s="391" t="str">
        <f t="shared" ca="1" si="13"/>
        <v xml:space="preserve"> </v>
      </c>
      <c r="K46" s="1109">
        <f ca="1">IF(OR($A46&lt;Startops2,$A46&gt;=Endyr),0,VLOOKUP($A46,Capacity_Table,Tariff!$S$18))</f>
        <v>0.91</v>
      </c>
      <c r="L46" s="212">
        <f ca="1">IF(OR($A46&lt;Startops2,$A46&gt;=Endyr),0,VLOOKUP($A46,Capacity_Table,Tariff!$T$18))</f>
        <v>0.92</v>
      </c>
      <c r="M46" s="334">
        <f ca="1">IF($A46&lt;Startops2,0,IF($A46&lt;Startops3,VLOOKUP($A46,Convert_Table,Tariff!$Y$54),C46*D46*F46*K46*L46))</f>
        <v>270047.23200000002</v>
      </c>
      <c r="N46" s="391" t="str">
        <f t="shared" ca="1" si="14"/>
        <v xml:space="preserve"> </v>
      </c>
      <c r="O46" s="334">
        <f t="shared" ca="1" si="15"/>
        <v>7000</v>
      </c>
      <c r="P46" s="334">
        <f t="shared" ca="1" si="7"/>
        <v>1890330.6240000003</v>
      </c>
      <c r="Q46" s="332" t="str">
        <f t="shared" ca="1" si="8"/>
        <v xml:space="preserve"> </v>
      </c>
      <c r="R46" s="334">
        <f ca="1">IF($A46&gt;Endyr,0,IF($A46&lt;Assm!$A$55,P46,Assm!$F$55*$D46))</f>
        <v>1651242.0821917809</v>
      </c>
      <c r="S46" s="391" t="str">
        <f t="shared" ca="1" si="9"/>
        <v xml:space="preserve"> </v>
      </c>
      <c r="T46" s="334">
        <f t="shared" ca="1" si="10"/>
        <v>1890330.6240000003</v>
      </c>
      <c r="U46" s="682" t="str">
        <f t="shared" ca="1" si="11"/>
        <v xml:space="preserve"> </v>
      </c>
    </row>
    <row r="47" spans="1:21">
      <c r="A47" s="672">
        <f t="shared" ca="1" si="3"/>
        <v>37316</v>
      </c>
      <c r="C47" s="681">
        <f ca="1">IF($A47&gt;Endyr,0,VLOOKUP($A47,Capacity_Table,Tariff!$R$18))</f>
        <v>480</v>
      </c>
      <c r="D47" s="330">
        <f t="shared" ca="1" si="4"/>
        <v>31</v>
      </c>
      <c r="E47" s="330" t="str">
        <f t="shared" ca="1" si="5"/>
        <v xml:space="preserve"> </v>
      </c>
      <c r="F47" s="332">
        <f t="shared" si="12"/>
        <v>24</v>
      </c>
      <c r="G47" s="1109">
        <f t="shared" ca="1" si="6"/>
        <v>0</v>
      </c>
      <c r="H47" s="1686">
        <f ca="1">IF(Avail_LDs_Switch=1,VLOOKUP('Plant Operations'!A47,RAC_AvailFactor_Table,RAC_LDs!$G$258),IF($A47&lt;Startops2,Tariff!$T$11,0))</f>
        <v>0</v>
      </c>
      <c r="I47" s="1559">
        <f ca="1">IF(OR($A47&lt;Startops1,$A47&gt;=Startops2),0,IF(AND($A47&gt;=DieselOps_2,$A47&lt;Startops2),VLOOKUP($A47,Diesel_Table,Tariff!$Y$41),VLOOKUP($A47,OA_Table,Tariff!$Y$26)))</f>
        <v>0</v>
      </c>
      <c r="J47" s="391" t="str">
        <f t="shared" ca="1" si="13"/>
        <v xml:space="preserve"> </v>
      </c>
      <c r="K47" s="1109">
        <f ca="1">IF(OR($A47&lt;Startops2,$A47&gt;=Endyr),0,VLOOKUP($A47,Capacity_Table,Tariff!$S$18))</f>
        <v>0.91</v>
      </c>
      <c r="L47" s="212">
        <f ca="1">IF(OR($A47&lt;Startops2,$A47&gt;=Endyr),0,VLOOKUP($A47,Capacity_Table,Tariff!$T$18))</f>
        <v>0.92</v>
      </c>
      <c r="M47" s="334">
        <f ca="1">IF($A47&lt;Startops2,0,IF($A47&lt;Startops3,VLOOKUP($A47,Convert_Table,Tariff!$Y$54),C47*D47*F47*K47*L47))</f>
        <v>298980.864</v>
      </c>
      <c r="N47" s="391" t="str">
        <f t="shared" ca="1" si="14"/>
        <v xml:space="preserve"> </v>
      </c>
      <c r="O47" s="334">
        <f t="shared" ca="1" si="15"/>
        <v>7000</v>
      </c>
      <c r="P47" s="334">
        <f t="shared" ca="1" si="7"/>
        <v>2092866.048</v>
      </c>
      <c r="Q47" s="332" t="str">
        <f t="shared" ca="1" si="8"/>
        <v xml:space="preserve"> </v>
      </c>
      <c r="R47" s="334">
        <f ca="1">IF($A47&gt;Endyr,0,IF($A47&lt;Assm!$A$55,P47,Assm!$F$55*$D47))</f>
        <v>1828160.8767123288</v>
      </c>
      <c r="S47" s="391" t="str">
        <f t="shared" ca="1" si="9"/>
        <v xml:space="preserve"> </v>
      </c>
      <c r="T47" s="334">
        <f t="shared" ca="1" si="10"/>
        <v>2092866.048</v>
      </c>
      <c r="U47" s="682" t="str">
        <f t="shared" ca="1" si="11"/>
        <v xml:space="preserve"> </v>
      </c>
    </row>
    <row r="48" spans="1:21">
      <c r="A48" s="672">
        <f t="shared" ca="1" si="3"/>
        <v>37347</v>
      </c>
      <c r="C48" s="681">
        <f ca="1">IF($A48&gt;Endyr,0,VLOOKUP($A48,Capacity_Table,Tariff!$R$18))</f>
        <v>480</v>
      </c>
      <c r="D48" s="330">
        <f t="shared" ca="1" si="4"/>
        <v>30</v>
      </c>
      <c r="E48" s="330" t="str">
        <f t="shared" ca="1" si="5"/>
        <v xml:space="preserve"> </v>
      </c>
      <c r="F48" s="332">
        <f t="shared" si="12"/>
        <v>24</v>
      </c>
      <c r="G48" s="1109">
        <f t="shared" ca="1" si="6"/>
        <v>0</v>
      </c>
      <c r="H48" s="1686">
        <f ca="1">IF(Avail_LDs_Switch=1,VLOOKUP('Plant Operations'!A48,RAC_AvailFactor_Table,RAC_LDs!$G$258),IF($A48&lt;Startops2,Tariff!$T$11,0))</f>
        <v>0</v>
      </c>
      <c r="I48" s="1559">
        <f ca="1">IF(OR($A48&lt;Startops1,$A48&gt;=Startops2),0,IF(AND($A48&gt;=DieselOps_2,$A48&lt;Startops2),VLOOKUP($A48,Diesel_Table,Tariff!$Y$41),VLOOKUP($A48,OA_Table,Tariff!$Y$26)))</f>
        <v>0</v>
      </c>
      <c r="J48" s="391" t="str">
        <f t="shared" ca="1" si="13"/>
        <v xml:space="preserve"> </v>
      </c>
      <c r="K48" s="1109">
        <f ca="1">IF(OR($A48&lt;Startops2,$A48&gt;=Endyr),0,VLOOKUP($A48,Capacity_Table,Tariff!$S$18))</f>
        <v>0.91</v>
      </c>
      <c r="L48" s="212">
        <f ca="1">IF(OR($A48&lt;Startops2,$A48&gt;=Endyr),0,VLOOKUP($A48,Capacity_Table,Tariff!$T$18))</f>
        <v>0.92</v>
      </c>
      <c r="M48" s="334">
        <f ca="1">IF($A48&lt;Startops2,0,IF($A48&lt;Startops3,VLOOKUP($A48,Convert_Table,Tariff!$Y$54),C48*D48*F48*K48*L48))</f>
        <v>289336.32000000001</v>
      </c>
      <c r="N48" s="391" t="str">
        <f t="shared" ca="1" si="14"/>
        <v xml:space="preserve"> </v>
      </c>
      <c r="O48" s="334">
        <f t="shared" ca="1" si="15"/>
        <v>7000</v>
      </c>
      <c r="P48" s="334">
        <f t="shared" ca="1" si="7"/>
        <v>2025354.24</v>
      </c>
      <c r="Q48" s="332" t="str">
        <f t="shared" ca="1" si="8"/>
        <v xml:space="preserve"> </v>
      </c>
      <c r="R48" s="334">
        <f ca="1">IF($A48&gt;Endyr,0,IF($A48&lt;Assm!$A$55,P48,Assm!$F$55*$D48))</f>
        <v>1769187.9452054794</v>
      </c>
      <c r="S48" s="391" t="str">
        <f t="shared" ca="1" si="9"/>
        <v xml:space="preserve"> </v>
      </c>
      <c r="T48" s="334">
        <f t="shared" ca="1" si="10"/>
        <v>2025354.24</v>
      </c>
      <c r="U48" s="682" t="str">
        <f t="shared" ca="1" si="11"/>
        <v xml:space="preserve"> </v>
      </c>
    </row>
    <row r="49" spans="1:21">
      <c r="A49" s="672">
        <f t="shared" ca="1" si="3"/>
        <v>37377</v>
      </c>
      <c r="C49" s="681">
        <f ca="1">IF($A49&gt;Endyr,0,VLOOKUP($A49,Capacity_Table,Tariff!$R$18))</f>
        <v>480</v>
      </c>
      <c r="D49" s="330">
        <f t="shared" ca="1" si="4"/>
        <v>31</v>
      </c>
      <c r="E49" s="330" t="str">
        <f t="shared" ca="1" si="5"/>
        <v xml:space="preserve"> </v>
      </c>
      <c r="F49" s="332">
        <f t="shared" si="12"/>
        <v>24</v>
      </c>
      <c r="G49" s="1109">
        <f t="shared" ca="1" si="6"/>
        <v>0</v>
      </c>
      <c r="H49" s="1686">
        <f ca="1">IF(Avail_LDs_Switch=1,VLOOKUP('Plant Operations'!A49,RAC_AvailFactor_Table,RAC_LDs!$G$258),IF($A49&lt;Startops2,Tariff!$T$11,0))</f>
        <v>0</v>
      </c>
      <c r="I49" s="1559">
        <f ca="1">IF(OR($A49&lt;Startops1,$A49&gt;=Startops2),0,IF(AND($A49&gt;=DieselOps_2,$A49&lt;Startops2),VLOOKUP($A49,Diesel_Table,Tariff!$Y$41),VLOOKUP($A49,OA_Table,Tariff!$Y$26)))</f>
        <v>0</v>
      </c>
      <c r="J49" s="391" t="str">
        <f t="shared" ca="1" si="13"/>
        <v xml:space="preserve"> </v>
      </c>
      <c r="K49" s="1109">
        <f ca="1">IF(OR($A49&lt;Startops2,$A49&gt;=Endyr),0,VLOOKUP($A49,Capacity_Table,Tariff!$S$18))</f>
        <v>0.91</v>
      </c>
      <c r="L49" s="212">
        <f ca="1">IF(OR($A49&lt;Startops2,$A49&gt;=Endyr),0,VLOOKUP($A49,Capacity_Table,Tariff!$T$18))</f>
        <v>0.92</v>
      </c>
      <c r="M49" s="334">
        <f ca="1">IF($A49&lt;Startops2,0,IF($A49&lt;Startops3,VLOOKUP($A49,Convert_Table,Tariff!$Y$54),C49*D49*F49*K49*L49))</f>
        <v>298980.864</v>
      </c>
      <c r="N49" s="391" t="str">
        <f t="shared" ca="1" si="14"/>
        <v xml:space="preserve"> </v>
      </c>
      <c r="O49" s="334">
        <f t="shared" ca="1" si="15"/>
        <v>7000</v>
      </c>
      <c r="P49" s="334">
        <f t="shared" ca="1" si="7"/>
        <v>2092866.048</v>
      </c>
      <c r="Q49" s="332" t="str">
        <f t="shared" ca="1" si="8"/>
        <v xml:space="preserve"> </v>
      </c>
      <c r="R49" s="334">
        <f ca="1">IF($A49&gt;Endyr,0,IF($A49&lt;Assm!$A$55,P49,Assm!$F$55*$D49))</f>
        <v>1828160.8767123288</v>
      </c>
      <c r="S49" s="391" t="str">
        <f t="shared" ca="1" si="9"/>
        <v xml:space="preserve"> </v>
      </c>
      <c r="T49" s="334">
        <f t="shared" ca="1" si="10"/>
        <v>2092866.048</v>
      </c>
      <c r="U49" s="682" t="str">
        <f t="shared" ca="1" si="11"/>
        <v xml:space="preserve"> </v>
      </c>
    </row>
    <row r="50" spans="1:21">
      <c r="A50" s="672">
        <f t="shared" ca="1" si="3"/>
        <v>37408</v>
      </c>
      <c r="C50" s="681">
        <f ca="1">IF($A50&gt;Endyr,0,VLOOKUP($A50,Capacity_Table,Tariff!$R$18))</f>
        <v>480</v>
      </c>
      <c r="D50" s="330">
        <f t="shared" ca="1" si="4"/>
        <v>30</v>
      </c>
      <c r="E50" s="330" t="str">
        <f t="shared" ca="1" si="5"/>
        <v xml:space="preserve"> </v>
      </c>
      <c r="F50" s="332">
        <f t="shared" si="12"/>
        <v>24</v>
      </c>
      <c r="G50" s="1109">
        <f t="shared" ca="1" si="6"/>
        <v>0</v>
      </c>
      <c r="H50" s="1686">
        <f ca="1">IF(Avail_LDs_Switch=1,VLOOKUP('Plant Operations'!A50,RAC_AvailFactor_Table,RAC_LDs!$G$258),IF($A50&lt;Startops2,Tariff!$T$11,0))</f>
        <v>0</v>
      </c>
      <c r="I50" s="1559">
        <f ca="1">IF(OR($A50&lt;Startops1,$A50&gt;=Startops2),0,IF(AND($A50&gt;=DieselOps_2,$A50&lt;Startops2),VLOOKUP($A50,Diesel_Table,Tariff!$Y$41),VLOOKUP($A50,OA_Table,Tariff!$Y$26)))</f>
        <v>0</v>
      </c>
      <c r="J50" s="391" t="str">
        <f t="shared" ca="1" si="13"/>
        <v xml:space="preserve"> </v>
      </c>
      <c r="K50" s="1109">
        <f ca="1">IF(OR($A50&lt;Startops2,$A50&gt;=Endyr),0,VLOOKUP($A50,Capacity_Table,Tariff!$S$18))</f>
        <v>0.91</v>
      </c>
      <c r="L50" s="212">
        <f ca="1">IF(OR($A50&lt;Startops2,$A50&gt;=Endyr),0,VLOOKUP($A50,Capacity_Table,Tariff!$T$18))</f>
        <v>0.92</v>
      </c>
      <c r="M50" s="334">
        <f ca="1">IF($A50&lt;Startops2,0,IF($A50&lt;Startops3,VLOOKUP($A50,Convert_Table,Tariff!$Y$54),C50*D50*F50*K50*L50))</f>
        <v>289336.32000000001</v>
      </c>
      <c r="N50" s="391" t="str">
        <f t="shared" ca="1" si="14"/>
        <v xml:space="preserve"> </v>
      </c>
      <c r="O50" s="334">
        <f t="shared" ca="1" si="15"/>
        <v>7000</v>
      </c>
      <c r="P50" s="334">
        <f t="shared" ca="1" si="7"/>
        <v>2025354.24</v>
      </c>
      <c r="Q50" s="332" t="str">
        <f t="shared" ca="1" si="8"/>
        <v xml:space="preserve"> </v>
      </c>
      <c r="R50" s="334">
        <f ca="1">IF($A50&gt;Endyr,0,IF($A50&lt;Assm!$A$55,P50,Assm!$F$55*$D50))</f>
        <v>1769187.9452054794</v>
      </c>
      <c r="S50" s="391" t="str">
        <f t="shared" ca="1" si="9"/>
        <v xml:space="preserve"> </v>
      </c>
      <c r="T50" s="334">
        <f t="shared" ca="1" si="10"/>
        <v>2025354.24</v>
      </c>
      <c r="U50" s="682" t="str">
        <f t="shared" ca="1" si="11"/>
        <v xml:space="preserve"> </v>
      </c>
    </row>
    <row r="51" spans="1:21">
      <c r="A51" s="672">
        <f t="shared" ca="1" si="3"/>
        <v>37438</v>
      </c>
      <c r="C51" s="681">
        <f ca="1">IF($A51&gt;Endyr,0,VLOOKUP($A51,Capacity_Table,Tariff!$R$18))</f>
        <v>480</v>
      </c>
      <c r="D51" s="330">
        <f t="shared" ca="1" si="4"/>
        <v>31</v>
      </c>
      <c r="E51" s="330" t="str">
        <f t="shared" ca="1" si="5"/>
        <v xml:space="preserve"> </v>
      </c>
      <c r="F51" s="332">
        <f t="shared" si="12"/>
        <v>24</v>
      </c>
      <c r="G51" s="1109">
        <f t="shared" ca="1" si="6"/>
        <v>0</v>
      </c>
      <c r="H51" s="1686">
        <f ca="1">IF(Avail_LDs_Switch=1,VLOOKUP('Plant Operations'!A51,RAC_AvailFactor_Table,RAC_LDs!$G$258),IF($A51&lt;Startops2,Tariff!$T$11,0))</f>
        <v>0</v>
      </c>
      <c r="I51" s="1559">
        <f ca="1">IF(OR($A51&lt;Startops1,$A51&gt;=Startops2),0,IF(AND($A51&gt;=DieselOps_2,$A51&lt;Startops2),VLOOKUP($A51,Diesel_Table,Tariff!$Y$41),VLOOKUP($A51,OA_Table,Tariff!$Y$26)))</f>
        <v>0</v>
      </c>
      <c r="J51" s="391" t="str">
        <f t="shared" ca="1" si="13"/>
        <v xml:space="preserve"> </v>
      </c>
      <c r="K51" s="1109">
        <f ca="1">IF(OR($A51&lt;Startops2,$A51&gt;=Endyr),0,VLOOKUP($A51,Capacity_Table,Tariff!$S$18))</f>
        <v>0.91</v>
      </c>
      <c r="L51" s="212">
        <f ca="1">IF(OR($A51&lt;Startops2,$A51&gt;=Endyr),0,VLOOKUP($A51,Capacity_Table,Tariff!$T$18))</f>
        <v>0.92</v>
      </c>
      <c r="M51" s="334">
        <f ca="1">IF($A51&lt;Startops2,0,IF($A51&lt;Startops3,VLOOKUP($A51,Convert_Table,Tariff!$Y$54),C51*D51*F51*K51*L51))</f>
        <v>298980.864</v>
      </c>
      <c r="N51" s="391" t="str">
        <f t="shared" ca="1" si="14"/>
        <v xml:space="preserve"> </v>
      </c>
      <c r="O51" s="334">
        <f t="shared" ca="1" si="15"/>
        <v>7000</v>
      </c>
      <c r="P51" s="334">
        <f t="shared" ca="1" si="7"/>
        <v>2092866.048</v>
      </c>
      <c r="Q51" s="332" t="str">
        <f t="shared" ca="1" si="8"/>
        <v xml:space="preserve"> </v>
      </c>
      <c r="R51" s="334">
        <f ca="1">IF($A51&gt;Endyr,0,IF($A51&lt;Assm!$A$55,P51,Assm!$F$55*$D51))</f>
        <v>1828160.8767123288</v>
      </c>
      <c r="S51" s="391" t="str">
        <f t="shared" ca="1" si="9"/>
        <v xml:space="preserve"> </v>
      </c>
      <c r="T51" s="334">
        <f t="shared" ca="1" si="10"/>
        <v>2092866.048</v>
      </c>
      <c r="U51" s="682" t="str">
        <f t="shared" ca="1" si="11"/>
        <v xml:space="preserve"> </v>
      </c>
    </row>
    <row r="52" spans="1:21">
      <c r="A52" s="672">
        <f t="shared" ca="1" si="3"/>
        <v>37469</v>
      </c>
      <c r="C52" s="681">
        <f ca="1">IF($A52&gt;Endyr,0,VLOOKUP($A52,Capacity_Table,Tariff!$R$18))</f>
        <v>480</v>
      </c>
      <c r="D52" s="330">
        <f t="shared" ca="1" si="4"/>
        <v>31</v>
      </c>
      <c r="E52" s="330" t="str">
        <f t="shared" ca="1" si="5"/>
        <v xml:space="preserve"> </v>
      </c>
      <c r="F52" s="332">
        <f t="shared" si="12"/>
        <v>24</v>
      </c>
      <c r="G52" s="1109">
        <f t="shared" ca="1" si="6"/>
        <v>0</v>
      </c>
      <c r="H52" s="1686">
        <f ca="1">IF(Avail_LDs_Switch=1,VLOOKUP('Plant Operations'!A52,RAC_AvailFactor_Table,RAC_LDs!$G$258),IF($A52&lt;Startops2,Tariff!$T$11,0))</f>
        <v>0</v>
      </c>
      <c r="I52" s="1559">
        <f ca="1">IF(OR($A52&lt;Startops1,$A52&gt;=Startops2),0,IF(AND($A52&gt;=DieselOps_2,$A52&lt;Startops2),VLOOKUP($A52,Diesel_Table,Tariff!$Y$41),VLOOKUP($A52,OA_Table,Tariff!$Y$26)))</f>
        <v>0</v>
      </c>
      <c r="J52" s="391" t="str">
        <f t="shared" ca="1" si="13"/>
        <v xml:space="preserve"> </v>
      </c>
      <c r="K52" s="1109">
        <f ca="1">IF(OR($A52&lt;Startops2,$A52&gt;=Endyr),0,VLOOKUP($A52,Capacity_Table,Tariff!$S$18))</f>
        <v>0.91</v>
      </c>
      <c r="L52" s="212">
        <f ca="1">IF(OR($A52&lt;Startops2,$A52&gt;=Endyr),0,VLOOKUP($A52,Capacity_Table,Tariff!$T$18))</f>
        <v>0.92</v>
      </c>
      <c r="M52" s="334">
        <f ca="1">IF($A52&lt;Startops2,0,IF($A52&lt;Startops3,VLOOKUP($A52,Convert_Table,Tariff!$Y$54),C52*D52*F52*K52*L52))</f>
        <v>298980.864</v>
      </c>
      <c r="N52" s="391" t="str">
        <f t="shared" ca="1" si="14"/>
        <v xml:space="preserve"> </v>
      </c>
      <c r="O52" s="334">
        <f t="shared" ca="1" si="15"/>
        <v>7000</v>
      </c>
      <c r="P52" s="334">
        <f t="shared" ca="1" si="7"/>
        <v>2092866.048</v>
      </c>
      <c r="Q52" s="332" t="str">
        <f t="shared" ca="1" si="8"/>
        <v xml:space="preserve"> </v>
      </c>
      <c r="R52" s="334">
        <f ca="1">IF($A52&gt;Endyr,0,IF($A52&lt;Assm!$A$55,P52,Assm!$F$55*$D52))</f>
        <v>1828160.8767123288</v>
      </c>
      <c r="S52" s="391" t="str">
        <f t="shared" ca="1" si="9"/>
        <v xml:space="preserve"> </v>
      </c>
      <c r="T52" s="334">
        <f t="shared" ca="1" si="10"/>
        <v>2092866.048</v>
      </c>
      <c r="U52" s="682" t="str">
        <f t="shared" ca="1" si="11"/>
        <v xml:space="preserve"> </v>
      </c>
    </row>
    <row r="53" spans="1:21">
      <c r="A53" s="672">
        <f t="shared" ca="1" si="3"/>
        <v>37500</v>
      </c>
      <c r="C53" s="681">
        <f ca="1">IF($A53&gt;Endyr,0,VLOOKUP($A53,Capacity_Table,Tariff!$R$18))</f>
        <v>480</v>
      </c>
      <c r="D53" s="330">
        <f t="shared" ca="1" si="4"/>
        <v>30</v>
      </c>
      <c r="E53" s="330" t="str">
        <f t="shared" ca="1" si="5"/>
        <v xml:space="preserve"> </v>
      </c>
      <c r="F53" s="332">
        <f t="shared" si="12"/>
        <v>24</v>
      </c>
      <c r="G53" s="1109">
        <f t="shared" ca="1" si="6"/>
        <v>0</v>
      </c>
      <c r="H53" s="1686">
        <f ca="1">IF(Avail_LDs_Switch=1,VLOOKUP('Plant Operations'!A53,RAC_AvailFactor_Table,RAC_LDs!$G$258),IF($A53&lt;Startops2,Tariff!$T$11,0))</f>
        <v>0</v>
      </c>
      <c r="I53" s="1559">
        <f ca="1">IF(OR($A53&lt;Startops1,$A53&gt;=Startops2),0,IF(AND($A53&gt;=DieselOps_2,$A53&lt;Startops2),VLOOKUP($A53,Diesel_Table,Tariff!$Y$41),VLOOKUP($A53,OA_Table,Tariff!$Y$26)))</f>
        <v>0</v>
      </c>
      <c r="J53" s="391" t="str">
        <f t="shared" ca="1" si="13"/>
        <v xml:space="preserve"> </v>
      </c>
      <c r="K53" s="1109">
        <f ca="1">IF(OR($A53&lt;Startops2,$A53&gt;=Endyr),0,VLOOKUP($A53,Capacity_Table,Tariff!$S$18))</f>
        <v>0.91</v>
      </c>
      <c r="L53" s="212">
        <f ca="1">IF(OR($A53&lt;Startops2,$A53&gt;=Endyr),0,VLOOKUP($A53,Capacity_Table,Tariff!$T$18))</f>
        <v>0.92</v>
      </c>
      <c r="M53" s="334">
        <f ca="1">IF($A53&lt;Startops2,0,IF($A53&lt;Startops3,VLOOKUP($A53,Convert_Table,Tariff!$Y$54),C53*D53*F53*K53*L53))</f>
        <v>289336.32000000001</v>
      </c>
      <c r="N53" s="391" t="str">
        <f t="shared" ca="1" si="14"/>
        <v xml:space="preserve"> </v>
      </c>
      <c r="O53" s="334">
        <f t="shared" ca="1" si="15"/>
        <v>7000</v>
      </c>
      <c r="P53" s="334">
        <f t="shared" ca="1" si="7"/>
        <v>2025354.24</v>
      </c>
      <c r="Q53" s="332" t="str">
        <f t="shared" ca="1" si="8"/>
        <v xml:space="preserve"> </v>
      </c>
      <c r="R53" s="334">
        <f ca="1">IF($A53&gt;Endyr,0,IF($A53&lt;Assm!$A$55,P53,Assm!$F$55*$D53))</f>
        <v>1769187.9452054794</v>
      </c>
      <c r="S53" s="391" t="str">
        <f t="shared" ca="1" si="9"/>
        <v xml:space="preserve"> </v>
      </c>
      <c r="T53" s="334">
        <f t="shared" ca="1" si="10"/>
        <v>2025354.24</v>
      </c>
      <c r="U53" s="682" t="str">
        <f t="shared" ca="1" si="11"/>
        <v xml:space="preserve"> </v>
      </c>
    </row>
    <row r="54" spans="1:21">
      <c r="A54" s="672">
        <f t="shared" ca="1" si="3"/>
        <v>37530</v>
      </c>
      <c r="C54" s="681">
        <f ca="1">IF($A54&gt;Endyr,0,VLOOKUP($A54,Capacity_Table,Tariff!$R$18))</f>
        <v>480</v>
      </c>
      <c r="D54" s="330">
        <f t="shared" ca="1" si="4"/>
        <v>31</v>
      </c>
      <c r="E54" s="330" t="str">
        <f t="shared" ca="1" si="5"/>
        <v xml:space="preserve"> </v>
      </c>
      <c r="F54" s="332">
        <f t="shared" si="12"/>
        <v>24</v>
      </c>
      <c r="G54" s="1109">
        <f t="shared" ca="1" si="6"/>
        <v>0</v>
      </c>
      <c r="H54" s="1686">
        <f ca="1">IF(Avail_LDs_Switch=1,VLOOKUP('Plant Operations'!A54,RAC_AvailFactor_Table,RAC_LDs!$G$258),IF($A54&lt;Startops2,Tariff!$T$11,0))</f>
        <v>0</v>
      </c>
      <c r="I54" s="1559">
        <f ca="1">IF(OR($A54&lt;Startops1,$A54&gt;=Startops2),0,IF(AND($A54&gt;=DieselOps_2,$A54&lt;Startops2),VLOOKUP($A54,Diesel_Table,Tariff!$Y$41),VLOOKUP($A54,OA_Table,Tariff!$Y$26)))</f>
        <v>0</v>
      </c>
      <c r="J54" s="391" t="str">
        <f t="shared" ca="1" si="13"/>
        <v xml:space="preserve"> </v>
      </c>
      <c r="K54" s="1109">
        <f ca="1">IF(OR($A54&lt;Startops2,$A54&gt;=Endyr),0,VLOOKUP($A54,Capacity_Table,Tariff!$S$18))</f>
        <v>0.91</v>
      </c>
      <c r="L54" s="212">
        <f ca="1">IF(OR($A54&lt;Startops2,$A54&gt;=Endyr),0,VLOOKUP($A54,Capacity_Table,Tariff!$T$18))</f>
        <v>0.92</v>
      </c>
      <c r="M54" s="334">
        <f ca="1">IF($A54&lt;Startops2,0,IF($A54&lt;Startops3,VLOOKUP($A54,Convert_Table,Tariff!$Y$54),C54*D54*F54*K54*L54))</f>
        <v>298980.864</v>
      </c>
      <c r="N54" s="391" t="str">
        <f t="shared" ca="1" si="14"/>
        <v xml:space="preserve"> </v>
      </c>
      <c r="O54" s="334">
        <f t="shared" ca="1" si="15"/>
        <v>7000</v>
      </c>
      <c r="P54" s="334">
        <f t="shared" ca="1" si="7"/>
        <v>2092866.048</v>
      </c>
      <c r="Q54" s="332" t="str">
        <f t="shared" ca="1" si="8"/>
        <v xml:space="preserve"> </v>
      </c>
      <c r="R54" s="334">
        <f ca="1">IF($A54&gt;Endyr,0,IF($A54&lt;Assm!$A$55,P54,Assm!$F$55*$D54))</f>
        <v>1828160.8767123288</v>
      </c>
      <c r="S54" s="391" t="str">
        <f t="shared" ca="1" si="9"/>
        <v xml:space="preserve"> </v>
      </c>
      <c r="T54" s="334">
        <f t="shared" ca="1" si="10"/>
        <v>2092866.048</v>
      </c>
      <c r="U54" s="682" t="str">
        <f t="shared" ca="1" si="11"/>
        <v xml:space="preserve"> </v>
      </c>
    </row>
    <row r="55" spans="1:21">
      <c r="A55" s="672">
        <f t="shared" ca="1" si="3"/>
        <v>37561</v>
      </c>
      <c r="C55" s="681">
        <f ca="1">IF($A55&gt;Endyr,0,VLOOKUP($A55,Capacity_Table,Tariff!$R$18))</f>
        <v>480</v>
      </c>
      <c r="D55" s="330">
        <f t="shared" ca="1" si="4"/>
        <v>30</v>
      </c>
      <c r="E55" s="330" t="str">
        <f t="shared" ca="1" si="5"/>
        <v xml:space="preserve"> </v>
      </c>
      <c r="F55" s="332">
        <f t="shared" si="12"/>
        <v>24</v>
      </c>
      <c r="G55" s="1109">
        <f t="shared" ca="1" si="6"/>
        <v>0</v>
      </c>
      <c r="H55" s="1686">
        <f ca="1">IF(Avail_LDs_Switch=1,VLOOKUP('Plant Operations'!A55,RAC_AvailFactor_Table,RAC_LDs!$G$258),IF($A55&lt;Startops2,Tariff!$T$11,0))</f>
        <v>0</v>
      </c>
      <c r="I55" s="1559">
        <f ca="1">IF(OR($A55&lt;Startops1,$A55&gt;=Startops2),0,IF(AND($A55&gt;=DieselOps_2,$A55&lt;Startops2),VLOOKUP($A55,Diesel_Table,Tariff!$Y$41),VLOOKUP($A55,OA_Table,Tariff!$Y$26)))</f>
        <v>0</v>
      </c>
      <c r="J55" s="391" t="str">
        <f t="shared" ca="1" si="13"/>
        <v xml:space="preserve"> </v>
      </c>
      <c r="K55" s="1109">
        <f ca="1">IF(OR($A55&lt;Startops2,$A55&gt;=Endyr),0,VLOOKUP($A55,Capacity_Table,Tariff!$S$18))</f>
        <v>0.91</v>
      </c>
      <c r="L55" s="212">
        <f ca="1">IF(OR($A55&lt;Startops2,$A55&gt;=Endyr),0,VLOOKUP($A55,Capacity_Table,Tariff!$T$18))</f>
        <v>0.92</v>
      </c>
      <c r="M55" s="334">
        <f ca="1">IF($A55&lt;Startops2,0,IF($A55&lt;Startops3,VLOOKUP($A55,Convert_Table,Tariff!$Y$54),C55*D55*F55*K55*L55))</f>
        <v>289336.32000000001</v>
      </c>
      <c r="N55" s="391" t="str">
        <f t="shared" ca="1" si="14"/>
        <v xml:space="preserve"> </v>
      </c>
      <c r="O55" s="334">
        <f t="shared" ca="1" si="15"/>
        <v>7000</v>
      </c>
      <c r="P55" s="334">
        <f t="shared" ca="1" si="7"/>
        <v>2025354.24</v>
      </c>
      <c r="Q55" s="332" t="str">
        <f t="shared" ca="1" si="8"/>
        <v xml:space="preserve"> </v>
      </c>
      <c r="R55" s="334">
        <f ca="1">IF($A55&gt;Endyr,0,IF($A55&lt;Assm!$A$55,P55,Assm!$F$55*$D55))</f>
        <v>1769187.9452054794</v>
      </c>
      <c r="S55" s="391" t="str">
        <f t="shared" ca="1" si="9"/>
        <v xml:space="preserve"> </v>
      </c>
      <c r="T55" s="334">
        <f t="shared" ca="1" si="10"/>
        <v>2025354.24</v>
      </c>
      <c r="U55" s="682" t="str">
        <f t="shared" ca="1" si="11"/>
        <v xml:space="preserve"> </v>
      </c>
    </row>
    <row r="56" spans="1:21">
      <c r="A56" s="672">
        <f t="shared" ca="1" si="3"/>
        <v>37591</v>
      </c>
      <c r="C56" s="681">
        <f ca="1">IF($A56&gt;Endyr,0,VLOOKUP($A56,Capacity_Table,Tariff!$R$18))</f>
        <v>480</v>
      </c>
      <c r="D56" s="330">
        <f t="shared" ca="1" si="4"/>
        <v>31</v>
      </c>
      <c r="E56" s="330">
        <f t="shared" ca="1" si="5"/>
        <v>365</v>
      </c>
      <c r="F56" s="332">
        <f t="shared" si="12"/>
        <v>24</v>
      </c>
      <c r="G56" s="1109">
        <f t="shared" ca="1" si="6"/>
        <v>0</v>
      </c>
      <c r="H56" s="1686">
        <f ca="1">IF(Avail_LDs_Switch=1,VLOOKUP('Plant Operations'!A56,RAC_AvailFactor_Table,RAC_LDs!$G$258),IF($A56&lt;Startops2,Tariff!$T$11,0))</f>
        <v>0</v>
      </c>
      <c r="I56" s="1559">
        <f ca="1">IF(OR($A56&lt;Startops1,$A56&gt;=Startops2),0,IF(AND($A56&gt;=DieselOps_2,$A56&lt;Startops2),VLOOKUP($A56,Diesel_Table,Tariff!$Y$41),VLOOKUP($A56,OA_Table,Tariff!$Y$26)))</f>
        <v>0</v>
      </c>
      <c r="J56" s="391">
        <f t="shared" ca="1" si="13"/>
        <v>0</v>
      </c>
      <c r="K56" s="1109">
        <f ca="1">IF(OR($A56&lt;Startops2,$A56&gt;=Endyr),0,VLOOKUP($A56,Capacity_Table,Tariff!$S$18))</f>
        <v>0.91</v>
      </c>
      <c r="L56" s="212">
        <f ca="1">IF(OR($A56&lt;Startops2,$A56&gt;=Endyr),0,VLOOKUP($A56,Capacity_Table,Tariff!$T$18))</f>
        <v>0.92</v>
      </c>
      <c r="M56" s="334">
        <f ca="1">IF($A56&lt;Startops2,0,IF($A56&lt;Startops3,VLOOKUP($A56,Convert_Table,Tariff!$Y$54),C56*D56*F56*K56*L56))</f>
        <v>298980.864</v>
      </c>
      <c r="N56" s="391">
        <f t="shared" ca="1" si="14"/>
        <v>3520258.56</v>
      </c>
      <c r="O56" s="334">
        <f t="shared" ca="1" si="15"/>
        <v>7000</v>
      </c>
      <c r="P56" s="334">
        <f t="shared" ca="1" si="7"/>
        <v>2092866.048</v>
      </c>
      <c r="Q56" s="332">
        <f t="shared" ca="1" si="8"/>
        <v>24641809.920000002</v>
      </c>
      <c r="R56" s="334">
        <f ca="1">IF($A56&gt;Endyr,0,IF($A56&lt;Assm!$A$55,P56,Assm!$F$55*$D56))</f>
        <v>1828160.8767123288</v>
      </c>
      <c r="S56" s="391">
        <f t="shared" ca="1" si="9"/>
        <v>21525120.000000004</v>
      </c>
      <c r="T56" s="334">
        <f t="shared" ca="1" si="10"/>
        <v>2092866.048</v>
      </c>
      <c r="U56" s="682">
        <f t="shared" ca="1" si="11"/>
        <v>24641809.920000002</v>
      </c>
    </row>
    <row r="57" spans="1:21">
      <c r="A57" s="672">
        <f t="shared" ca="1" si="3"/>
        <v>37622</v>
      </c>
      <c r="C57" s="681">
        <f ca="1">IF($A57&gt;Endyr,0,VLOOKUP($A57,Capacity_Table,Tariff!$R$18))</f>
        <v>480</v>
      </c>
      <c r="D57" s="330">
        <f t="shared" ca="1" si="4"/>
        <v>31</v>
      </c>
      <c r="E57" s="330" t="str">
        <f t="shared" ca="1" si="5"/>
        <v xml:space="preserve"> </v>
      </c>
      <c r="F57" s="332">
        <f t="shared" si="12"/>
        <v>24</v>
      </c>
      <c r="G57" s="1109">
        <f t="shared" ca="1" si="6"/>
        <v>0</v>
      </c>
      <c r="H57" s="1686">
        <f ca="1">IF(Avail_LDs_Switch=1,VLOOKUP('Plant Operations'!A57,RAC_AvailFactor_Table,RAC_LDs!$G$258),IF($A57&lt;Startops2,Tariff!$T$11,0))</f>
        <v>0</v>
      </c>
      <c r="I57" s="1559">
        <f ca="1">IF(OR($A57&lt;Startops1,$A57&gt;=Startops2),0,IF(AND($A57&gt;=DieselOps_2,$A57&lt;Startops2),VLOOKUP($A57,Diesel_Table,Tariff!$Y$41),VLOOKUP($A57,OA_Table,Tariff!$Y$26)))</f>
        <v>0</v>
      </c>
      <c r="J57" s="391" t="str">
        <f t="shared" ca="1" si="13"/>
        <v xml:space="preserve"> </v>
      </c>
      <c r="K57" s="1109">
        <f ca="1">IF(OR($A57&lt;Startops2,$A57&gt;=Endyr),0,VLOOKUP($A57,Capacity_Table,Tariff!$S$18))</f>
        <v>0.91</v>
      </c>
      <c r="L57" s="212">
        <f ca="1">IF(OR($A57&lt;Startops2,$A57&gt;=Endyr),0,VLOOKUP($A57,Capacity_Table,Tariff!$T$18))</f>
        <v>0.92</v>
      </c>
      <c r="M57" s="334">
        <f ca="1">IF($A57&lt;Startops2,0,IF($A57&lt;Startops3,VLOOKUP($A57,Convert_Table,Tariff!$Y$54),C57*D57*F57*K57*L57))</f>
        <v>298980.864</v>
      </c>
      <c r="N57" s="391" t="str">
        <f t="shared" ca="1" si="14"/>
        <v xml:space="preserve"> </v>
      </c>
      <c r="O57" s="334">
        <f t="shared" ca="1" si="15"/>
        <v>7000</v>
      </c>
      <c r="P57" s="334">
        <f t="shared" ca="1" si="7"/>
        <v>2092866.048</v>
      </c>
      <c r="Q57" s="332" t="str">
        <f t="shared" ca="1" si="8"/>
        <v xml:space="preserve"> </v>
      </c>
      <c r="R57" s="334">
        <f ca="1">IF($A57&gt;Endyr,0,IF($A57&lt;Assm!$A$55,P57,Assm!$F$55*$D57))</f>
        <v>1828160.8767123288</v>
      </c>
      <c r="S57" s="391" t="str">
        <f t="shared" ca="1" si="9"/>
        <v xml:space="preserve"> </v>
      </c>
      <c r="T57" s="334">
        <f t="shared" ca="1" si="10"/>
        <v>2092866.048</v>
      </c>
      <c r="U57" s="682" t="str">
        <f t="shared" ca="1" si="11"/>
        <v xml:space="preserve"> </v>
      </c>
    </row>
    <row r="58" spans="1:21">
      <c r="A58" s="672">
        <f t="shared" ca="1" si="3"/>
        <v>37653</v>
      </c>
      <c r="C58" s="681">
        <f ca="1">IF($A58&gt;Endyr,0,VLOOKUP($A58,Capacity_Table,Tariff!$R$18))</f>
        <v>480</v>
      </c>
      <c r="D58" s="330">
        <f t="shared" ca="1" si="4"/>
        <v>28</v>
      </c>
      <c r="E58" s="330" t="str">
        <f t="shared" ca="1" si="5"/>
        <v xml:space="preserve"> </v>
      </c>
      <c r="F58" s="332">
        <f t="shared" si="12"/>
        <v>24</v>
      </c>
      <c r="G58" s="1109">
        <f t="shared" ca="1" si="6"/>
        <v>0</v>
      </c>
      <c r="H58" s="1686">
        <f ca="1">IF(Avail_LDs_Switch=1,VLOOKUP('Plant Operations'!A58,RAC_AvailFactor_Table,RAC_LDs!$G$258),IF($A58&lt;Startops2,Tariff!$T$11,0))</f>
        <v>0</v>
      </c>
      <c r="I58" s="1559">
        <f ca="1">IF(OR($A58&lt;Startops1,$A58&gt;=Startops2),0,IF(AND($A58&gt;=DieselOps_2,$A58&lt;Startops2),VLOOKUP($A58,Diesel_Table,Tariff!$Y$41),VLOOKUP($A58,OA_Table,Tariff!$Y$26)))</f>
        <v>0</v>
      </c>
      <c r="J58" s="391" t="str">
        <f t="shared" ca="1" si="13"/>
        <v xml:space="preserve"> </v>
      </c>
      <c r="K58" s="1109">
        <f ca="1">IF(OR($A58&lt;Startops2,$A58&gt;=Endyr),0,VLOOKUP($A58,Capacity_Table,Tariff!$S$18))</f>
        <v>0.91</v>
      </c>
      <c r="L58" s="212">
        <f ca="1">IF(OR($A58&lt;Startops2,$A58&gt;=Endyr),0,VLOOKUP($A58,Capacity_Table,Tariff!$T$18))</f>
        <v>0.92</v>
      </c>
      <c r="M58" s="334">
        <f ca="1">IF($A58&lt;Startops2,0,IF($A58&lt;Startops3,VLOOKUP($A58,Convert_Table,Tariff!$Y$54),C58*D58*F58*K58*L58))</f>
        <v>270047.23200000002</v>
      </c>
      <c r="N58" s="391" t="str">
        <f t="shared" ca="1" si="14"/>
        <v xml:space="preserve"> </v>
      </c>
      <c r="O58" s="334">
        <f t="shared" ca="1" si="15"/>
        <v>7000</v>
      </c>
      <c r="P58" s="334">
        <f t="shared" ca="1" si="7"/>
        <v>1890330.6240000003</v>
      </c>
      <c r="Q58" s="332" t="str">
        <f t="shared" ca="1" si="8"/>
        <v xml:space="preserve"> </v>
      </c>
      <c r="R58" s="334">
        <f ca="1">IF($A58&gt;Endyr,0,IF($A58&lt;Assm!$A$55,P58,Assm!$F$55*$D58))</f>
        <v>1651242.0821917809</v>
      </c>
      <c r="S58" s="391" t="str">
        <f t="shared" ca="1" si="9"/>
        <v xml:space="preserve"> </v>
      </c>
      <c r="T58" s="334">
        <f t="shared" ca="1" si="10"/>
        <v>1890330.6240000003</v>
      </c>
      <c r="U58" s="682" t="str">
        <f t="shared" ca="1" si="11"/>
        <v xml:space="preserve"> </v>
      </c>
    </row>
    <row r="59" spans="1:21">
      <c r="A59" s="672">
        <f t="shared" ca="1" si="3"/>
        <v>37681</v>
      </c>
      <c r="C59" s="681">
        <f ca="1">IF($A59&gt;Endyr,0,VLOOKUP($A59,Capacity_Table,Tariff!$R$18))</f>
        <v>480</v>
      </c>
      <c r="D59" s="330">
        <f t="shared" ca="1" si="4"/>
        <v>31</v>
      </c>
      <c r="E59" s="330" t="str">
        <f t="shared" ca="1" si="5"/>
        <v xml:space="preserve"> </v>
      </c>
      <c r="F59" s="332">
        <f t="shared" si="12"/>
        <v>24</v>
      </c>
      <c r="G59" s="1109">
        <f t="shared" ca="1" si="6"/>
        <v>0</v>
      </c>
      <c r="H59" s="1686">
        <f ca="1">IF(Avail_LDs_Switch=1,VLOOKUP('Plant Operations'!A59,RAC_AvailFactor_Table,RAC_LDs!$G$258),IF($A59&lt;Startops2,Tariff!$T$11,0))</f>
        <v>0</v>
      </c>
      <c r="I59" s="1559">
        <f ca="1">IF(OR($A59&lt;Startops1,$A59&gt;=Startops2),0,IF(AND($A59&gt;=DieselOps_2,$A59&lt;Startops2),VLOOKUP($A59,Diesel_Table,Tariff!$Y$41),VLOOKUP($A59,OA_Table,Tariff!$Y$26)))</f>
        <v>0</v>
      </c>
      <c r="J59" s="391" t="str">
        <f t="shared" ca="1" si="13"/>
        <v xml:space="preserve"> </v>
      </c>
      <c r="K59" s="1109">
        <f ca="1">IF(OR($A59&lt;Startops2,$A59&gt;=Endyr),0,VLOOKUP($A59,Capacity_Table,Tariff!$S$18))</f>
        <v>0.91</v>
      </c>
      <c r="L59" s="212">
        <f ca="1">IF(OR($A59&lt;Startops2,$A59&gt;=Endyr),0,VLOOKUP($A59,Capacity_Table,Tariff!$T$18))</f>
        <v>0.92</v>
      </c>
      <c r="M59" s="334">
        <f ca="1">IF($A59&lt;Startops2,0,IF($A59&lt;Startops3,VLOOKUP($A59,Convert_Table,Tariff!$Y$54),C59*D59*F59*K59*L59))</f>
        <v>298980.864</v>
      </c>
      <c r="N59" s="391" t="str">
        <f t="shared" ca="1" si="14"/>
        <v xml:space="preserve"> </v>
      </c>
      <c r="O59" s="334">
        <f t="shared" ca="1" si="15"/>
        <v>7000</v>
      </c>
      <c r="P59" s="334">
        <f t="shared" ca="1" si="7"/>
        <v>2092866.048</v>
      </c>
      <c r="Q59" s="332" t="str">
        <f t="shared" ca="1" si="8"/>
        <v xml:space="preserve"> </v>
      </c>
      <c r="R59" s="334">
        <f ca="1">IF($A59&gt;Endyr,0,IF($A59&lt;Assm!$A$55,P59,Assm!$F$55*$D59))</f>
        <v>1828160.8767123288</v>
      </c>
      <c r="S59" s="391" t="str">
        <f t="shared" ca="1" si="9"/>
        <v xml:space="preserve"> </v>
      </c>
      <c r="T59" s="334">
        <f t="shared" ca="1" si="10"/>
        <v>2092866.048</v>
      </c>
      <c r="U59" s="682" t="str">
        <f t="shared" ca="1" si="11"/>
        <v xml:space="preserve"> </v>
      </c>
    </row>
    <row r="60" spans="1:21">
      <c r="A60" s="672">
        <f t="shared" ca="1" si="3"/>
        <v>37712</v>
      </c>
      <c r="C60" s="681">
        <f ca="1">IF($A60&gt;Endyr,0,VLOOKUP($A60,Capacity_Table,Tariff!$R$18))</f>
        <v>480</v>
      </c>
      <c r="D60" s="330">
        <f t="shared" ca="1" si="4"/>
        <v>30</v>
      </c>
      <c r="E60" s="330" t="str">
        <f t="shared" ca="1" si="5"/>
        <v xml:space="preserve"> </v>
      </c>
      <c r="F60" s="332">
        <f t="shared" si="12"/>
        <v>24</v>
      </c>
      <c r="G60" s="1109">
        <f t="shared" ca="1" si="6"/>
        <v>0</v>
      </c>
      <c r="H60" s="1686">
        <f ca="1">IF(Avail_LDs_Switch=1,VLOOKUP('Plant Operations'!A60,RAC_AvailFactor_Table,RAC_LDs!$G$258),IF($A60&lt;Startops2,Tariff!$T$11,0))</f>
        <v>0</v>
      </c>
      <c r="I60" s="1559">
        <f ca="1">IF(OR($A60&lt;Startops1,$A60&gt;=Startops2),0,IF(AND($A60&gt;=DieselOps_2,$A60&lt;Startops2),VLOOKUP($A60,Diesel_Table,Tariff!$Y$41),VLOOKUP($A60,OA_Table,Tariff!$Y$26)))</f>
        <v>0</v>
      </c>
      <c r="J60" s="391" t="str">
        <f t="shared" ca="1" si="13"/>
        <v xml:space="preserve"> </v>
      </c>
      <c r="K60" s="1109">
        <f ca="1">IF(OR($A60&lt;Startops2,$A60&gt;=Endyr),0,VLOOKUP($A60,Capacity_Table,Tariff!$S$18))</f>
        <v>0.91</v>
      </c>
      <c r="L60" s="212">
        <f ca="1">IF(OR($A60&lt;Startops2,$A60&gt;=Endyr),0,VLOOKUP($A60,Capacity_Table,Tariff!$T$18))</f>
        <v>0.92</v>
      </c>
      <c r="M60" s="334">
        <f ca="1">IF($A60&lt;Startops2,0,IF($A60&lt;Startops3,VLOOKUP($A60,Convert_Table,Tariff!$Y$54),C60*D60*F60*K60*L60))</f>
        <v>289336.32000000001</v>
      </c>
      <c r="N60" s="391" t="str">
        <f t="shared" ca="1" si="14"/>
        <v xml:space="preserve"> </v>
      </c>
      <c r="O60" s="334">
        <f t="shared" ca="1" si="15"/>
        <v>7000</v>
      </c>
      <c r="P60" s="334">
        <f t="shared" ca="1" si="7"/>
        <v>2025354.24</v>
      </c>
      <c r="Q60" s="332" t="str">
        <f t="shared" ca="1" si="8"/>
        <v xml:space="preserve"> </v>
      </c>
      <c r="R60" s="334">
        <f ca="1">IF($A60&gt;Endyr,0,IF($A60&lt;Assm!$A$55,P60,Assm!$F$55*$D60))</f>
        <v>1769187.9452054794</v>
      </c>
      <c r="S60" s="391" t="str">
        <f t="shared" ca="1" si="9"/>
        <v xml:space="preserve"> </v>
      </c>
      <c r="T60" s="334">
        <f t="shared" ca="1" si="10"/>
        <v>2025354.24</v>
      </c>
      <c r="U60" s="682" t="str">
        <f t="shared" ca="1" si="11"/>
        <v xml:space="preserve"> </v>
      </c>
    </row>
    <row r="61" spans="1:21">
      <c r="A61" s="672">
        <f t="shared" ca="1" si="3"/>
        <v>37742</v>
      </c>
      <c r="C61" s="681">
        <f ca="1">IF($A61&gt;Endyr,0,VLOOKUP($A61,Capacity_Table,Tariff!$R$18))</f>
        <v>480</v>
      </c>
      <c r="D61" s="330">
        <f t="shared" ca="1" si="4"/>
        <v>31</v>
      </c>
      <c r="E61" s="330" t="str">
        <f t="shared" ca="1" si="5"/>
        <v xml:space="preserve"> </v>
      </c>
      <c r="F61" s="332">
        <f t="shared" si="12"/>
        <v>24</v>
      </c>
      <c r="G61" s="1109">
        <f t="shared" ca="1" si="6"/>
        <v>0</v>
      </c>
      <c r="H61" s="1686">
        <f ca="1">IF(Avail_LDs_Switch=1,VLOOKUP('Plant Operations'!A61,RAC_AvailFactor_Table,RAC_LDs!$G$258),IF($A61&lt;Startops2,Tariff!$T$11,0))</f>
        <v>0</v>
      </c>
      <c r="I61" s="1559">
        <f ca="1">IF(OR($A61&lt;Startops1,$A61&gt;=Startops2),0,IF(AND($A61&gt;=DieselOps_2,$A61&lt;Startops2),VLOOKUP($A61,Diesel_Table,Tariff!$Y$41),VLOOKUP($A61,OA_Table,Tariff!$Y$26)))</f>
        <v>0</v>
      </c>
      <c r="J61" s="391" t="str">
        <f t="shared" ca="1" si="13"/>
        <v xml:space="preserve"> </v>
      </c>
      <c r="K61" s="1109">
        <f ca="1">IF(OR($A61&lt;Startops2,$A61&gt;=Endyr),0,VLOOKUP($A61,Capacity_Table,Tariff!$S$18))</f>
        <v>0.91</v>
      </c>
      <c r="L61" s="212">
        <f ca="1">IF(OR($A61&lt;Startops2,$A61&gt;=Endyr),0,VLOOKUP($A61,Capacity_Table,Tariff!$T$18))</f>
        <v>0.92</v>
      </c>
      <c r="M61" s="334">
        <f ca="1">IF($A61&lt;Startops2,0,IF($A61&lt;Startops3,VLOOKUP($A61,Convert_Table,Tariff!$Y$54),C61*D61*F61*K61*L61))</f>
        <v>298980.864</v>
      </c>
      <c r="N61" s="391" t="str">
        <f t="shared" ca="1" si="14"/>
        <v xml:space="preserve"> </v>
      </c>
      <c r="O61" s="334">
        <f t="shared" ca="1" si="15"/>
        <v>7000</v>
      </c>
      <c r="P61" s="334">
        <f t="shared" ca="1" si="7"/>
        <v>2092866.048</v>
      </c>
      <c r="Q61" s="332" t="str">
        <f t="shared" ca="1" si="8"/>
        <v xml:space="preserve"> </v>
      </c>
      <c r="R61" s="334">
        <f ca="1">IF($A61&gt;Endyr,0,IF($A61&lt;Assm!$A$55,P61,Assm!$F$55*$D61))</f>
        <v>1828160.8767123288</v>
      </c>
      <c r="S61" s="391" t="str">
        <f t="shared" ca="1" si="9"/>
        <v xml:space="preserve"> </v>
      </c>
      <c r="T61" s="334">
        <f t="shared" ca="1" si="10"/>
        <v>2092866.048</v>
      </c>
      <c r="U61" s="682" t="str">
        <f t="shared" ca="1" si="11"/>
        <v xml:space="preserve"> </v>
      </c>
    </row>
    <row r="62" spans="1:21">
      <c r="A62" s="672">
        <f t="shared" ca="1" si="3"/>
        <v>37773</v>
      </c>
      <c r="C62" s="681">
        <f ca="1">IF($A62&gt;Endyr,0,VLOOKUP($A62,Capacity_Table,Tariff!$R$18))</f>
        <v>480</v>
      </c>
      <c r="D62" s="330">
        <f t="shared" ca="1" si="4"/>
        <v>30</v>
      </c>
      <c r="E62" s="330" t="str">
        <f t="shared" ca="1" si="5"/>
        <v xml:space="preserve"> </v>
      </c>
      <c r="F62" s="332">
        <f t="shared" si="12"/>
        <v>24</v>
      </c>
      <c r="G62" s="1109">
        <f t="shared" ca="1" si="6"/>
        <v>0</v>
      </c>
      <c r="H62" s="1686">
        <f ca="1">IF(Avail_LDs_Switch=1,VLOOKUP('Plant Operations'!A62,RAC_AvailFactor_Table,RAC_LDs!$G$258),IF($A62&lt;Startops2,Tariff!$T$11,0))</f>
        <v>0</v>
      </c>
      <c r="I62" s="1559">
        <f ca="1">IF(OR($A62&lt;Startops1,$A62&gt;=Startops2),0,IF(AND($A62&gt;=DieselOps_2,$A62&lt;Startops2),VLOOKUP($A62,Diesel_Table,Tariff!$Y$41),VLOOKUP($A62,OA_Table,Tariff!$Y$26)))</f>
        <v>0</v>
      </c>
      <c r="J62" s="391" t="str">
        <f t="shared" ca="1" si="13"/>
        <v xml:space="preserve"> </v>
      </c>
      <c r="K62" s="1109">
        <f ca="1">IF(OR($A62&lt;Startops2,$A62&gt;=Endyr),0,VLOOKUP($A62,Capacity_Table,Tariff!$S$18))</f>
        <v>0.91</v>
      </c>
      <c r="L62" s="212">
        <f ca="1">IF(OR($A62&lt;Startops2,$A62&gt;=Endyr),0,VLOOKUP($A62,Capacity_Table,Tariff!$T$18))</f>
        <v>0.92</v>
      </c>
      <c r="M62" s="334">
        <f ca="1">IF($A62&lt;Startops2,0,IF($A62&lt;Startops3,VLOOKUP($A62,Convert_Table,Tariff!$Y$54),C62*D62*F62*K62*L62))</f>
        <v>289336.32000000001</v>
      </c>
      <c r="N62" s="391" t="str">
        <f t="shared" ca="1" si="14"/>
        <v xml:space="preserve"> </v>
      </c>
      <c r="O62" s="334">
        <f t="shared" ca="1" si="15"/>
        <v>7000</v>
      </c>
      <c r="P62" s="334">
        <f t="shared" ca="1" si="7"/>
        <v>2025354.24</v>
      </c>
      <c r="Q62" s="332" t="str">
        <f t="shared" ca="1" si="8"/>
        <v xml:space="preserve"> </v>
      </c>
      <c r="R62" s="334">
        <f ca="1">IF($A62&gt;Endyr,0,IF($A62&lt;Assm!$A$55,P62,Assm!$F$55*$D62))</f>
        <v>1769187.9452054794</v>
      </c>
      <c r="S62" s="391" t="str">
        <f t="shared" ca="1" si="9"/>
        <v xml:space="preserve"> </v>
      </c>
      <c r="T62" s="334">
        <f t="shared" ca="1" si="10"/>
        <v>2025354.24</v>
      </c>
      <c r="U62" s="682" t="str">
        <f t="shared" ca="1" si="11"/>
        <v xml:space="preserve"> </v>
      </c>
    </row>
    <row r="63" spans="1:21">
      <c r="A63" s="672">
        <f t="shared" ca="1" si="3"/>
        <v>37803</v>
      </c>
      <c r="C63" s="681">
        <f ca="1">IF($A63&gt;Endyr,0,VLOOKUP($A63,Capacity_Table,Tariff!$R$18))</f>
        <v>480</v>
      </c>
      <c r="D63" s="330">
        <f t="shared" ca="1" si="4"/>
        <v>31</v>
      </c>
      <c r="E63" s="330" t="str">
        <f t="shared" ca="1" si="5"/>
        <v xml:space="preserve"> </v>
      </c>
      <c r="F63" s="332">
        <f t="shared" si="12"/>
        <v>24</v>
      </c>
      <c r="G63" s="1109">
        <f t="shared" ca="1" si="6"/>
        <v>0</v>
      </c>
      <c r="H63" s="1686">
        <f ca="1">IF(Avail_LDs_Switch=1,VLOOKUP('Plant Operations'!A63,RAC_AvailFactor_Table,RAC_LDs!$G$258),IF($A63&lt;Startops2,Tariff!$T$11,0))</f>
        <v>0</v>
      </c>
      <c r="I63" s="1559">
        <f ca="1">IF(OR($A63&lt;Startops1,$A63&gt;=Startops2),0,IF(AND($A63&gt;=DieselOps_2,$A63&lt;Startops2),VLOOKUP($A63,Diesel_Table,Tariff!$Y$41),VLOOKUP($A63,OA_Table,Tariff!$Y$26)))</f>
        <v>0</v>
      </c>
      <c r="J63" s="391" t="str">
        <f t="shared" ca="1" si="13"/>
        <v xml:space="preserve"> </v>
      </c>
      <c r="K63" s="1109">
        <f ca="1">IF(OR($A63&lt;Startops2,$A63&gt;=Endyr),0,VLOOKUP($A63,Capacity_Table,Tariff!$S$18))</f>
        <v>0.91</v>
      </c>
      <c r="L63" s="212">
        <f ca="1">IF(OR($A63&lt;Startops2,$A63&gt;=Endyr),0,VLOOKUP($A63,Capacity_Table,Tariff!$T$18))</f>
        <v>0.92</v>
      </c>
      <c r="M63" s="334">
        <f ca="1">IF($A63&lt;Startops2,0,IF($A63&lt;Startops3,VLOOKUP($A63,Convert_Table,Tariff!$Y$54),C63*D63*F63*K63*L63))</f>
        <v>298980.864</v>
      </c>
      <c r="N63" s="391" t="str">
        <f t="shared" ca="1" si="14"/>
        <v xml:space="preserve"> </v>
      </c>
      <c r="O63" s="334">
        <f t="shared" ca="1" si="15"/>
        <v>7000</v>
      </c>
      <c r="P63" s="334">
        <f t="shared" ca="1" si="7"/>
        <v>2092866.048</v>
      </c>
      <c r="Q63" s="332" t="str">
        <f t="shared" ca="1" si="8"/>
        <v xml:space="preserve"> </v>
      </c>
      <c r="R63" s="334">
        <f ca="1">IF($A63&gt;Endyr,0,IF($A63&lt;Assm!$A$55,P63,Assm!$F$55*$D63))</f>
        <v>1828160.8767123288</v>
      </c>
      <c r="S63" s="391" t="str">
        <f t="shared" ca="1" si="9"/>
        <v xml:space="preserve"> </v>
      </c>
      <c r="T63" s="334">
        <f t="shared" ca="1" si="10"/>
        <v>2092866.048</v>
      </c>
      <c r="U63" s="682" t="str">
        <f t="shared" ca="1" si="11"/>
        <v xml:space="preserve"> </v>
      </c>
    </row>
    <row r="64" spans="1:21">
      <c r="A64" s="672">
        <f t="shared" ca="1" si="3"/>
        <v>37834</v>
      </c>
      <c r="C64" s="681">
        <f ca="1">IF($A64&gt;Endyr,0,VLOOKUP($A64,Capacity_Table,Tariff!$R$18))</f>
        <v>480</v>
      </c>
      <c r="D64" s="330">
        <f t="shared" ca="1" si="4"/>
        <v>31</v>
      </c>
      <c r="E64" s="330" t="str">
        <f t="shared" ca="1" si="5"/>
        <v xml:space="preserve"> </v>
      </c>
      <c r="F64" s="332">
        <f t="shared" si="12"/>
        <v>24</v>
      </c>
      <c r="G64" s="1109">
        <f t="shared" ca="1" si="6"/>
        <v>0</v>
      </c>
      <c r="H64" s="1686">
        <f ca="1">IF(Avail_LDs_Switch=1,VLOOKUP('Plant Operations'!A64,RAC_AvailFactor_Table,RAC_LDs!$G$258),IF($A64&lt;Startops2,Tariff!$T$11,0))</f>
        <v>0</v>
      </c>
      <c r="I64" s="1559">
        <f ca="1">IF(OR($A64&lt;Startops1,$A64&gt;=Startops2),0,IF(AND($A64&gt;=DieselOps_2,$A64&lt;Startops2),VLOOKUP($A64,Diesel_Table,Tariff!$Y$41),VLOOKUP($A64,OA_Table,Tariff!$Y$26)))</f>
        <v>0</v>
      </c>
      <c r="J64" s="391" t="str">
        <f t="shared" ca="1" si="13"/>
        <v xml:space="preserve"> </v>
      </c>
      <c r="K64" s="1109">
        <f ca="1">IF(OR($A64&lt;Startops2,$A64&gt;=Endyr),0,VLOOKUP($A64,Capacity_Table,Tariff!$S$18))</f>
        <v>0.91</v>
      </c>
      <c r="L64" s="212">
        <f ca="1">IF(OR($A64&lt;Startops2,$A64&gt;=Endyr),0,VLOOKUP($A64,Capacity_Table,Tariff!$T$18))</f>
        <v>0.92</v>
      </c>
      <c r="M64" s="334">
        <f ca="1">IF($A64&lt;Startops2,0,IF($A64&lt;Startops3,VLOOKUP($A64,Convert_Table,Tariff!$Y$54),C64*D64*F64*K64*L64))</f>
        <v>298980.864</v>
      </c>
      <c r="N64" s="391" t="str">
        <f t="shared" ca="1" si="14"/>
        <v xml:space="preserve"> </v>
      </c>
      <c r="O64" s="334">
        <f t="shared" ca="1" si="15"/>
        <v>7000</v>
      </c>
      <c r="P64" s="334">
        <f t="shared" ca="1" si="7"/>
        <v>2092866.048</v>
      </c>
      <c r="Q64" s="332" t="str">
        <f t="shared" ca="1" si="8"/>
        <v xml:space="preserve"> </v>
      </c>
      <c r="R64" s="334">
        <f ca="1">IF($A64&gt;Endyr,0,IF($A64&lt;Assm!$A$55,P64,Assm!$F$55*$D64))</f>
        <v>1828160.8767123288</v>
      </c>
      <c r="S64" s="391" t="str">
        <f t="shared" ca="1" si="9"/>
        <v xml:space="preserve"> </v>
      </c>
      <c r="T64" s="334">
        <f t="shared" ca="1" si="10"/>
        <v>2092866.048</v>
      </c>
      <c r="U64" s="682" t="str">
        <f t="shared" ca="1" si="11"/>
        <v xml:space="preserve"> </v>
      </c>
    </row>
    <row r="65" spans="1:21">
      <c r="A65" s="672">
        <f t="shared" ca="1" si="3"/>
        <v>37865</v>
      </c>
      <c r="C65" s="681">
        <f ca="1">IF($A65&gt;Endyr,0,VLOOKUP($A65,Capacity_Table,Tariff!$R$18))</f>
        <v>480</v>
      </c>
      <c r="D65" s="330">
        <f t="shared" ca="1" si="4"/>
        <v>30</v>
      </c>
      <c r="E65" s="330" t="str">
        <f t="shared" ca="1" si="5"/>
        <v xml:space="preserve"> </v>
      </c>
      <c r="F65" s="332">
        <f t="shared" si="12"/>
        <v>24</v>
      </c>
      <c r="G65" s="1109">
        <f t="shared" ca="1" si="6"/>
        <v>0</v>
      </c>
      <c r="H65" s="1686">
        <f ca="1">IF(Avail_LDs_Switch=1,VLOOKUP('Plant Operations'!A65,RAC_AvailFactor_Table,RAC_LDs!$G$258),IF($A65&lt;Startops2,Tariff!$T$11,0))</f>
        <v>0</v>
      </c>
      <c r="I65" s="1559">
        <f ca="1">IF(OR($A65&lt;Startops1,$A65&gt;=Startops2),0,IF(AND($A65&gt;=DieselOps_2,$A65&lt;Startops2),VLOOKUP($A65,Diesel_Table,Tariff!$Y$41),VLOOKUP($A65,OA_Table,Tariff!$Y$26)))</f>
        <v>0</v>
      </c>
      <c r="J65" s="391" t="str">
        <f t="shared" ca="1" si="13"/>
        <v xml:space="preserve"> </v>
      </c>
      <c r="K65" s="1109">
        <f ca="1">IF(OR($A65&lt;Startops2,$A65&gt;=Endyr),0,VLOOKUP($A65,Capacity_Table,Tariff!$S$18))</f>
        <v>0.91</v>
      </c>
      <c r="L65" s="212">
        <f ca="1">IF(OR($A65&lt;Startops2,$A65&gt;=Endyr),0,VLOOKUP($A65,Capacity_Table,Tariff!$T$18))</f>
        <v>0.92</v>
      </c>
      <c r="M65" s="334">
        <f ca="1">IF($A65&lt;Startops2,0,IF($A65&lt;Startops3,VLOOKUP($A65,Convert_Table,Tariff!$Y$54),C65*D65*F65*K65*L65))</f>
        <v>289336.32000000001</v>
      </c>
      <c r="N65" s="391" t="str">
        <f t="shared" ca="1" si="14"/>
        <v xml:space="preserve"> </v>
      </c>
      <c r="O65" s="334">
        <f t="shared" ca="1" si="15"/>
        <v>7000</v>
      </c>
      <c r="P65" s="334">
        <f t="shared" ca="1" si="7"/>
        <v>2025354.24</v>
      </c>
      <c r="Q65" s="332" t="str">
        <f t="shared" ca="1" si="8"/>
        <v xml:space="preserve"> </v>
      </c>
      <c r="R65" s="334">
        <f ca="1">IF($A65&gt;Endyr,0,IF($A65&lt;Assm!$A$55,P65,Assm!$F$55*$D65))</f>
        <v>1769187.9452054794</v>
      </c>
      <c r="S65" s="391" t="str">
        <f t="shared" ca="1" si="9"/>
        <v xml:space="preserve"> </v>
      </c>
      <c r="T65" s="334">
        <f t="shared" ca="1" si="10"/>
        <v>2025354.24</v>
      </c>
      <c r="U65" s="682" t="str">
        <f t="shared" ca="1" si="11"/>
        <v xml:space="preserve"> </v>
      </c>
    </row>
    <row r="66" spans="1:21">
      <c r="A66" s="672">
        <f t="shared" ca="1" si="3"/>
        <v>37895</v>
      </c>
      <c r="C66" s="681">
        <f ca="1">IF($A66&gt;Endyr,0,VLOOKUP($A66,Capacity_Table,Tariff!$R$18))</f>
        <v>480</v>
      </c>
      <c r="D66" s="330">
        <f t="shared" ca="1" si="4"/>
        <v>31</v>
      </c>
      <c r="E66" s="330" t="str">
        <f t="shared" ca="1" si="5"/>
        <v xml:space="preserve"> </v>
      </c>
      <c r="F66" s="332">
        <f t="shared" si="12"/>
        <v>24</v>
      </c>
      <c r="G66" s="1109">
        <f t="shared" ca="1" si="6"/>
        <v>0</v>
      </c>
      <c r="H66" s="1686">
        <f ca="1">IF(Avail_LDs_Switch=1,VLOOKUP('Plant Operations'!A66,RAC_AvailFactor_Table,RAC_LDs!$G$258),IF($A66&lt;Startops2,Tariff!$T$11,0))</f>
        <v>0</v>
      </c>
      <c r="I66" s="1559">
        <f ca="1">IF(OR($A66&lt;Startops1,$A66&gt;=Startops2),0,IF(AND($A66&gt;=DieselOps_2,$A66&lt;Startops2),VLOOKUP($A66,Diesel_Table,Tariff!$Y$41),VLOOKUP($A66,OA_Table,Tariff!$Y$26)))</f>
        <v>0</v>
      </c>
      <c r="J66" s="391" t="str">
        <f t="shared" ca="1" si="13"/>
        <v xml:space="preserve"> </v>
      </c>
      <c r="K66" s="1109">
        <f ca="1">IF(OR($A66&lt;Startops2,$A66&gt;=Endyr),0,VLOOKUP($A66,Capacity_Table,Tariff!$S$18))</f>
        <v>0.91</v>
      </c>
      <c r="L66" s="212">
        <f ca="1">IF(OR($A66&lt;Startops2,$A66&gt;=Endyr),0,VLOOKUP($A66,Capacity_Table,Tariff!$T$18))</f>
        <v>0.92</v>
      </c>
      <c r="M66" s="334">
        <f ca="1">IF($A66&lt;Startops2,0,IF($A66&lt;Startops3,VLOOKUP($A66,Convert_Table,Tariff!$Y$54),C66*D66*F66*K66*L66))</f>
        <v>298980.864</v>
      </c>
      <c r="N66" s="391" t="str">
        <f t="shared" ca="1" si="14"/>
        <v xml:space="preserve"> </v>
      </c>
      <c r="O66" s="334">
        <f t="shared" ca="1" si="15"/>
        <v>7000</v>
      </c>
      <c r="P66" s="334">
        <f t="shared" ca="1" si="7"/>
        <v>2092866.048</v>
      </c>
      <c r="Q66" s="332" t="str">
        <f t="shared" ca="1" si="8"/>
        <v xml:space="preserve"> </v>
      </c>
      <c r="R66" s="334">
        <f ca="1">IF($A66&gt;Endyr,0,IF($A66&lt;Assm!$A$55,P66,Assm!$F$55*$D66))</f>
        <v>1828160.8767123288</v>
      </c>
      <c r="S66" s="391" t="str">
        <f t="shared" ca="1" si="9"/>
        <v xml:space="preserve"> </v>
      </c>
      <c r="T66" s="334">
        <f t="shared" ca="1" si="10"/>
        <v>2092866.048</v>
      </c>
      <c r="U66" s="682" t="str">
        <f t="shared" ca="1" si="11"/>
        <v xml:space="preserve"> </v>
      </c>
    </row>
    <row r="67" spans="1:21">
      <c r="A67" s="672">
        <f t="shared" ca="1" si="3"/>
        <v>37926</v>
      </c>
      <c r="C67" s="681">
        <f ca="1">IF($A67&gt;Endyr,0,VLOOKUP($A67,Capacity_Table,Tariff!$R$18))</f>
        <v>480</v>
      </c>
      <c r="D67" s="330">
        <f t="shared" ca="1" si="4"/>
        <v>30</v>
      </c>
      <c r="E67" s="330" t="str">
        <f t="shared" ca="1" si="5"/>
        <v xml:space="preserve"> </v>
      </c>
      <c r="F67" s="332">
        <f t="shared" si="12"/>
        <v>24</v>
      </c>
      <c r="G67" s="1109">
        <f t="shared" ca="1" si="6"/>
        <v>0</v>
      </c>
      <c r="H67" s="1686">
        <f ca="1">IF(Avail_LDs_Switch=1,VLOOKUP('Plant Operations'!A67,RAC_AvailFactor_Table,RAC_LDs!$G$258),IF($A67&lt;Startops2,Tariff!$T$11,0))</f>
        <v>0</v>
      </c>
      <c r="I67" s="1559">
        <f ca="1">IF(OR($A67&lt;Startops1,$A67&gt;=Startops2),0,IF(AND($A67&gt;=DieselOps_2,$A67&lt;Startops2),VLOOKUP($A67,Diesel_Table,Tariff!$Y$41),VLOOKUP($A67,OA_Table,Tariff!$Y$26)))</f>
        <v>0</v>
      </c>
      <c r="J67" s="391" t="str">
        <f t="shared" ca="1" si="13"/>
        <v xml:space="preserve"> </v>
      </c>
      <c r="K67" s="1109">
        <f ca="1">IF(OR($A67&lt;Startops2,$A67&gt;=Endyr),0,VLOOKUP($A67,Capacity_Table,Tariff!$S$18))</f>
        <v>0.91</v>
      </c>
      <c r="L67" s="212">
        <f ca="1">IF(OR($A67&lt;Startops2,$A67&gt;=Endyr),0,VLOOKUP($A67,Capacity_Table,Tariff!$T$18))</f>
        <v>0.92</v>
      </c>
      <c r="M67" s="334">
        <f ca="1">IF($A67&lt;Startops2,0,IF($A67&lt;Startops3,VLOOKUP($A67,Convert_Table,Tariff!$Y$54),C67*D67*F67*K67*L67))</f>
        <v>289336.32000000001</v>
      </c>
      <c r="N67" s="391" t="str">
        <f t="shared" ca="1" si="14"/>
        <v xml:space="preserve"> </v>
      </c>
      <c r="O67" s="334">
        <f t="shared" ca="1" si="15"/>
        <v>7000</v>
      </c>
      <c r="P67" s="334">
        <f t="shared" ca="1" si="7"/>
        <v>2025354.24</v>
      </c>
      <c r="Q67" s="332" t="str">
        <f t="shared" ca="1" si="8"/>
        <v xml:space="preserve"> </v>
      </c>
      <c r="R67" s="334">
        <f ca="1">IF($A67&gt;Endyr,0,IF($A67&lt;Assm!$A$55,P67,Assm!$F$55*$D67))</f>
        <v>1769187.9452054794</v>
      </c>
      <c r="S67" s="391" t="str">
        <f t="shared" ca="1" si="9"/>
        <v xml:space="preserve"> </v>
      </c>
      <c r="T67" s="334">
        <f t="shared" ca="1" si="10"/>
        <v>2025354.24</v>
      </c>
      <c r="U67" s="682" t="str">
        <f t="shared" ca="1" si="11"/>
        <v xml:space="preserve"> </v>
      </c>
    </row>
    <row r="68" spans="1:21">
      <c r="A68" s="672">
        <f t="shared" ca="1" si="3"/>
        <v>37956</v>
      </c>
      <c r="C68" s="681">
        <f ca="1">IF($A68&gt;Endyr,0,VLOOKUP($A68,Capacity_Table,Tariff!$R$18))</f>
        <v>480</v>
      </c>
      <c r="D68" s="330">
        <f t="shared" ca="1" si="4"/>
        <v>31</v>
      </c>
      <c r="E68" s="330">
        <f t="shared" ca="1" si="5"/>
        <v>365</v>
      </c>
      <c r="F68" s="332">
        <f t="shared" si="12"/>
        <v>24</v>
      </c>
      <c r="G68" s="1109">
        <f t="shared" ca="1" si="6"/>
        <v>0</v>
      </c>
      <c r="H68" s="1686">
        <f ca="1">IF(Avail_LDs_Switch=1,VLOOKUP('Plant Operations'!A68,RAC_AvailFactor_Table,RAC_LDs!$G$258),IF($A68&lt;Startops2,Tariff!$T$11,0))</f>
        <v>0</v>
      </c>
      <c r="I68" s="1559">
        <f ca="1">IF(OR($A68&lt;Startops1,$A68&gt;=Startops2),0,IF(AND($A68&gt;=DieselOps_2,$A68&lt;Startops2),VLOOKUP($A68,Diesel_Table,Tariff!$Y$41),VLOOKUP($A68,OA_Table,Tariff!$Y$26)))</f>
        <v>0</v>
      </c>
      <c r="J68" s="391">
        <f t="shared" ca="1" si="13"/>
        <v>0</v>
      </c>
      <c r="K68" s="1109">
        <f ca="1">IF(OR($A68&lt;Startops2,$A68&gt;=Endyr),0,VLOOKUP($A68,Capacity_Table,Tariff!$S$18))</f>
        <v>0.91</v>
      </c>
      <c r="L68" s="212">
        <f ca="1">IF(OR($A68&lt;Startops2,$A68&gt;=Endyr),0,VLOOKUP($A68,Capacity_Table,Tariff!$T$18))</f>
        <v>0.92</v>
      </c>
      <c r="M68" s="334">
        <f ca="1">IF($A68&lt;Startops2,0,IF($A68&lt;Startops3,VLOOKUP($A68,Convert_Table,Tariff!$Y$54),C68*D68*F68*K68*L68))</f>
        <v>298980.864</v>
      </c>
      <c r="N68" s="391">
        <f t="shared" ca="1" si="14"/>
        <v>3520258.56</v>
      </c>
      <c r="O68" s="334">
        <f t="shared" ca="1" si="15"/>
        <v>7000</v>
      </c>
      <c r="P68" s="334">
        <f t="shared" ca="1" si="7"/>
        <v>2092866.048</v>
      </c>
      <c r="Q68" s="332">
        <f t="shared" ca="1" si="8"/>
        <v>24641809.920000002</v>
      </c>
      <c r="R68" s="334">
        <f ca="1">IF($A68&gt;Endyr,0,IF($A68&lt;Assm!$A$55,P68,Assm!$F$55*$D68))</f>
        <v>1828160.8767123288</v>
      </c>
      <c r="S68" s="391">
        <f t="shared" ca="1" si="9"/>
        <v>21525120.000000004</v>
      </c>
      <c r="T68" s="334">
        <f t="shared" ca="1" si="10"/>
        <v>2092866.048</v>
      </c>
      <c r="U68" s="682">
        <f t="shared" ca="1" si="11"/>
        <v>24641809.920000002</v>
      </c>
    </row>
    <row r="69" spans="1:21">
      <c r="A69" s="672">
        <f t="shared" ca="1" si="3"/>
        <v>37987</v>
      </c>
      <c r="C69" s="681">
        <f ca="1">IF($A69&gt;Endyr,0,VLOOKUP($A69,Capacity_Table,Tariff!$R$18))</f>
        <v>480</v>
      </c>
      <c r="D69" s="330">
        <f t="shared" ca="1" si="4"/>
        <v>31</v>
      </c>
      <c r="E69" s="330" t="str">
        <f t="shared" ca="1" si="5"/>
        <v xml:space="preserve"> </v>
      </c>
      <c r="F69" s="332">
        <f t="shared" si="12"/>
        <v>24</v>
      </c>
      <c r="G69" s="1109">
        <f t="shared" ca="1" si="6"/>
        <v>0</v>
      </c>
      <c r="H69" s="1686">
        <f ca="1">IF(Avail_LDs_Switch=1,VLOOKUP('Plant Operations'!A69,RAC_AvailFactor_Table,RAC_LDs!$G$258),IF($A69&lt;Startops2,Tariff!$T$11,0))</f>
        <v>0</v>
      </c>
      <c r="I69" s="1559">
        <f ca="1">IF(OR($A69&lt;Startops1,$A69&gt;=Startops2),0,IF(AND($A69&gt;=DieselOps_2,$A69&lt;Startops2),VLOOKUP($A69,Diesel_Table,Tariff!$Y$41),VLOOKUP($A69,OA_Table,Tariff!$Y$26)))</f>
        <v>0</v>
      </c>
      <c r="J69" s="391" t="str">
        <f t="shared" ca="1" si="13"/>
        <v xml:space="preserve"> </v>
      </c>
      <c r="K69" s="1109">
        <f ca="1">IF(OR($A69&lt;Startops2,$A69&gt;=Endyr),0,VLOOKUP($A69,Capacity_Table,Tariff!$S$18))</f>
        <v>0.91</v>
      </c>
      <c r="L69" s="212">
        <f ca="1">IF(OR($A69&lt;Startops2,$A69&gt;=Endyr),0,VLOOKUP($A69,Capacity_Table,Tariff!$T$18))</f>
        <v>0.92</v>
      </c>
      <c r="M69" s="334">
        <f ca="1">IF($A69&lt;Startops2,0,IF($A69&lt;Startops3,VLOOKUP($A69,Convert_Table,Tariff!$Y$54),C69*D69*F69*K69*L69))</f>
        <v>298980.864</v>
      </c>
      <c r="N69" s="391" t="str">
        <f t="shared" ca="1" si="14"/>
        <v xml:space="preserve"> </v>
      </c>
      <c r="O69" s="334">
        <f t="shared" ca="1" si="15"/>
        <v>7000</v>
      </c>
      <c r="P69" s="334">
        <f t="shared" ca="1" si="7"/>
        <v>2092866.048</v>
      </c>
      <c r="Q69" s="332" t="str">
        <f t="shared" ca="1" si="8"/>
        <v xml:space="preserve"> </v>
      </c>
      <c r="R69" s="334">
        <f ca="1">IF($A69&gt;Endyr,0,IF($A69&lt;Assm!$A$55,P69,Assm!$F$55*$D69))</f>
        <v>1828160.8767123288</v>
      </c>
      <c r="S69" s="391" t="str">
        <f t="shared" ca="1" si="9"/>
        <v xml:space="preserve"> </v>
      </c>
      <c r="T69" s="334">
        <f t="shared" ca="1" si="10"/>
        <v>2092866.048</v>
      </c>
      <c r="U69" s="682" t="str">
        <f t="shared" ca="1" si="11"/>
        <v xml:space="preserve"> </v>
      </c>
    </row>
    <row r="70" spans="1:21">
      <c r="A70" s="672">
        <f t="shared" ca="1" si="3"/>
        <v>38018</v>
      </c>
      <c r="C70" s="681">
        <f ca="1">IF($A70&gt;Endyr,0,VLOOKUP($A70,Capacity_Table,Tariff!$R$18))</f>
        <v>480</v>
      </c>
      <c r="D70" s="330">
        <f t="shared" ca="1" si="4"/>
        <v>29</v>
      </c>
      <c r="E70" s="330" t="str">
        <f t="shared" ca="1" si="5"/>
        <v xml:space="preserve"> </v>
      </c>
      <c r="F70" s="332">
        <f t="shared" si="12"/>
        <v>24</v>
      </c>
      <c r="G70" s="1109">
        <f t="shared" ca="1" si="6"/>
        <v>0</v>
      </c>
      <c r="H70" s="1686">
        <f ca="1">IF(Avail_LDs_Switch=1,VLOOKUP('Plant Operations'!A70,RAC_AvailFactor_Table,RAC_LDs!$G$258),IF($A70&lt;Startops2,Tariff!$T$11,0))</f>
        <v>0</v>
      </c>
      <c r="I70" s="1559">
        <f ca="1">IF(OR($A70&lt;Startops1,$A70&gt;=Startops2),0,IF(AND($A70&gt;=DieselOps_2,$A70&lt;Startops2),VLOOKUP($A70,Diesel_Table,Tariff!$Y$41),VLOOKUP($A70,OA_Table,Tariff!$Y$26)))</f>
        <v>0</v>
      </c>
      <c r="J70" s="391" t="str">
        <f t="shared" ca="1" si="13"/>
        <v xml:space="preserve"> </v>
      </c>
      <c r="K70" s="1109">
        <f ca="1">IF(OR($A70&lt;Startops2,$A70&gt;=Endyr),0,VLOOKUP($A70,Capacity_Table,Tariff!$S$18))</f>
        <v>0.91</v>
      </c>
      <c r="L70" s="212">
        <f ca="1">IF(OR($A70&lt;Startops2,$A70&gt;=Endyr),0,VLOOKUP($A70,Capacity_Table,Tariff!$T$18))</f>
        <v>0.92</v>
      </c>
      <c r="M70" s="334">
        <f ca="1">IF($A70&lt;Startops2,0,IF($A70&lt;Startops3,VLOOKUP($A70,Convert_Table,Tariff!$Y$54),C70*D70*F70*K70*L70))</f>
        <v>279691.77600000001</v>
      </c>
      <c r="N70" s="391" t="str">
        <f t="shared" ca="1" si="14"/>
        <v xml:space="preserve"> </v>
      </c>
      <c r="O70" s="334">
        <f t="shared" ca="1" si="15"/>
        <v>7000</v>
      </c>
      <c r="P70" s="334">
        <f t="shared" ca="1" si="7"/>
        <v>1957842.432</v>
      </c>
      <c r="Q70" s="332" t="str">
        <f t="shared" ca="1" si="8"/>
        <v xml:space="preserve"> </v>
      </c>
      <c r="R70" s="334">
        <f ca="1">IF($A70&gt;Endyr,0,IF($A70&lt;Assm!$A$55,P70,Assm!$F$55*$D70))</f>
        <v>1710215.0136986303</v>
      </c>
      <c r="S70" s="391" t="str">
        <f t="shared" ca="1" si="9"/>
        <v xml:space="preserve"> </v>
      </c>
      <c r="T70" s="334">
        <f t="shared" ca="1" si="10"/>
        <v>1957842.432</v>
      </c>
      <c r="U70" s="682" t="str">
        <f t="shared" ca="1" si="11"/>
        <v xml:space="preserve"> </v>
      </c>
    </row>
    <row r="71" spans="1:21">
      <c r="A71" s="672">
        <f t="shared" ca="1" si="3"/>
        <v>38047</v>
      </c>
      <c r="C71" s="681">
        <f ca="1">IF($A71&gt;Endyr,0,VLOOKUP($A71,Capacity_Table,Tariff!$R$18))</f>
        <v>480</v>
      </c>
      <c r="D71" s="330">
        <f t="shared" ca="1" si="4"/>
        <v>31</v>
      </c>
      <c r="E71" s="330" t="str">
        <f t="shared" ca="1" si="5"/>
        <v xml:space="preserve"> </v>
      </c>
      <c r="F71" s="332">
        <f t="shared" si="12"/>
        <v>24</v>
      </c>
      <c r="G71" s="1109">
        <f t="shared" ca="1" si="6"/>
        <v>0</v>
      </c>
      <c r="H71" s="1686">
        <f ca="1">IF(Avail_LDs_Switch=1,VLOOKUP('Plant Operations'!A71,RAC_AvailFactor_Table,RAC_LDs!$G$258),IF($A71&lt;Startops2,Tariff!$T$11,0))</f>
        <v>0</v>
      </c>
      <c r="I71" s="1559">
        <f ca="1">IF(OR($A71&lt;Startops1,$A71&gt;=Startops2),0,IF(AND($A71&gt;=DieselOps_2,$A71&lt;Startops2),VLOOKUP($A71,Diesel_Table,Tariff!$Y$41),VLOOKUP($A71,OA_Table,Tariff!$Y$26)))</f>
        <v>0</v>
      </c>
      <c r="J71" s="391" t="str">
        <f t="shared" ca="1" si="13"/>
        <v xml:space="preserve"> </v>
      </c>
      <c r="K71" s="1109">
        <f ca="1">IF(OR($A71&lt;Startops2,$A71&gt;=Endyr),0,VLOOKUP($A71,Capacity_Table,Tariff!$S$18))</f>
        <v>0.91</v>
      </c>
      <c r="L71" s="212">
        <f ca="1">IF(OR($A71&lt;Startops2,$A71&gt;=Endyr),0,VLOOKUP($A71,Capacity_Table,Tariff!$T$18))</f>
        <v>0.92</v>
      </c>
      <c r="M71" s="334">
        <f ca="1">IF($A71&lt;Startops2,0,IF($A71&lt;Startops3,VLOOKUP($A71,Convert_Table,Tariff!$Y$54),C71*D71*F71*K71*L71))</f>
        <v>298980.864</v>
      </c>
      <c r="N71" s="391" t="str">
        <f t="shared" ca="1" si="14"/>
        <v xml:space="preserve"> </v>
      </c>
      <c r="O71" s="334">
        <f t="shared" ca="1" si="15"/>
        <v>7000</v>
      </c>
      <c r="P71" s="334">
        <f t="shared" ca="1" si="7"/>
        <v>2092866.048</v>
      </c>
      <c r="Q71" s="332" t="str">
        <f t="shared" ca="1" si="8"/>
        <v xml:space="preserve"> </v>
      </c>
      <c r="R71" s="334">
        <f ca="1">IF($A71&gt;Endyr,0,IF($A71&lt;Assm!$A$55,P71,Assm!$F$55*$D71))</f>
        <v>1828160.8767123288</v>
      </c>
      <c r="S71" s="391" t="str">
        <f t="shared" ca="1" si="9"/>
        <v xml:space="preserve"> </v>
      </c>
      <c r="T71" s="334">
        <f t="shared" ca="1" si="10"/>
        <v>2092866.048</v>
      </c>
      <c r="U71" s="682" t="str">
        <f t="shared" ca="1" si="11"/>
        <v xml:space="preserve"> </v>
      </c>
    </row>
    <row r="72" spans="1:21">
      <c r="A72" s="672">
        <f t="shared" ca="1" si="3"/>
        <v>38078</v>
      </c>
      <c r="C72" s="681">
        <f ca="1">IF($A72&gt;Endyr,0,VLOOKUP($A72,Capacity_Table,Tariff!$R$18))</f>
        <v>480</v>
      </c>
      <c r="D72" s="330">
        <f t="shared" ca="1" si="4"/>
        <v>30</v>
      </c>
      <c r="E72" s="330" t="str">
        <f t="shared" ca="1" si="5"/>
        <v xml:space="preserve"> </v>
      </c>
      <c r="F72" s="332">
        <f t="shared" si="12"/>
        <v>24</v>
      </c>
      <c r="G72" s="1109">
        <f t="shared" ca="1" si="6"/>
        <v>0</v>
      </c>
      <c r="H72" s="1686">
        <f ca="1">IF(Avail_LDs_Switch=1,VLOOKUP('Plant Operations'!A72,RAC_AvailFactor_Table,RAC_LDs!$G$258),IF($A72&lt;Startops2,Tariff!$T$11,0))</f>
        <v>0</v>
      </c>
      <c r="I72" s="1559">
        <f ca="1">IF(OR($A72&lt;Startops1,$A72&gt;=Startops2),0,IF(AND($A72&gt;=DieselOps_2,$A72&lt;Startops2),VLOOKUP($A72,Diesel_Table,Tariff!$Y$41),VLOOKUP($A72,OA_Table,Tariff!$Y$26)))</f>
        <v>0</v>
      </c>
      <c r="J72" s="391" t="str">
        <f t="shared" ca="1" si="13"/>
        <v xml:space="preserve"> </v>
      </c>
      <c r="K72" s="1109">
        <f ca="1">IF(OR($A72&lt;Startops2,$A72&gt;=Endyr),0,VLOOKUP($A72,Capacity_Table,Tariff!$S$18))</f>
        <v>0.91</v>
      </c>
      <c r="L72" s="212">
        <f ca="1">IF(OR($A72&lt;Startops2,$A72&gt;=Endyr),0,VLOOKUP($A72,Capacity_Table,Tariff!$T$18))</f>
        <v>0.92</v>
      </c>
      <c r="M72" s="334">
        <f ca="1">IF($A72&lt;Startops2,0,IF($A72&lt;Startops3,VLOOKUP($A72,Convert_Table,Tariff!$Y$54),C72*D72*F72*K72*L72))</f>
        <v>289336.32000000001</v>
      </c>
      <c r="N72" s="391" t="str">
        <f t="shared" ca="1" si="14"/>
        <v xml:space="preserve"> </v>
      </c>
      <c r="O72" s="334">
        <f t="shared" ca="1" si="15"/>
        <v>7000</v>
      </c>
      <c r="P72" s="334">
        <f t="shared" ca="1" si="7"/>
        <v>2025354.24</v>
      </c>
      <c r="Q72" s="332" t="str">
        <f t="shared" ca="1" si="8"/>
        <v xml:space="preserve"> </v>
      </c>
      <c r="R72" s="334">
        <f ca="1">IF($A72&gt;Endyr,0,IF($A72&lt;Assm!$A$55,P72,Assm!$F$55*$D72))</f>
        <v>1769187.9452054794</v>
      </c>
      <c r="S72" s="391" t="str">
        <f t="shared" ca="1" si="9"/>
        <v xml:space="preserve"> </v>
      </c>
      <c r="T72" s="334">
        <f t="shared" ca="1" si="10"/>
        <v>2025354.24</v>
      </c>
      <c r="U72" s="682" t="str">
        <f t="shared" ca="1" si="11"/>
        <v xml:space="preserve"> </v>
      </c>
    </row>
    <row r="73" spans="1:21">
      <c r="A73" s="672">
        <f t="shared" ca="1" si="3"/>
        <v>38108</v>
      </c>
      <c r="C73" s="681">
        <f ca="1">IF($A73&gt;Endyr,0,VLOOKUP($A73,Capacity_Table,Tariff!$R$18))</f>
        <v>480</v>
      </c>
      <c r="D73" s="330">
        <f t="shared" ca="1" si="4"/>
        <v>31</v>
      </c>
      <c r="E73" s="330" t="str">
        <f t="shared" ca="1" si="5"/>
        <v xml:space="preserve"> </v>
      </c>
      <c r="F73" s="332">
        <f t="shared" si="12"/>
        <v>24</v>
      </c>
      <c r="G73" s="1109">
        <f t="shared" ca="1" si="6"/>
        <v>0</v>
      </c>
      <c r="H73" s="1686">
        <f ca="1">IF(Avail_LDs_Switch=1,VLOOKUP('Plant Operations'!A73,RAC_AvailFactor_Table,RAC_LDs!$G$258),IF($A73&lt;Startops2,Tariff!$T$11,0))</f>
        <v>0</v>
      </c>
      <c r="I73" s="1559">
        <f ca="1">IF(OR($A73&lt;Startops1,$A73&gt;=Startops2),0,IF(AND($A73&gt;=DieselOps_2,$A73&lt;Startops2),VLOOKUP($A73,Diesel_Table,Tariff!$Y$41),VLOOKUP($A73,OA_Table,Tariff!$Y$26)))</f>
        <v>0</v>
      </c>
      <c r="J73" s="391" t="str">
        <f t="shared" ca="1" si="13"/>
        <v xml:space="preserve"> </v>
      </c>
      <c r="K73" s="1109">
        <f ca="1">IF(OR($A73&lt;Startops2,$A73&gt;=Endyr),0,VLOOKUP($A73,Capacity_Table,Tariff!$S$18))</f>
        <v>0.91</v>
      </c>
      <c r="L73" s="212">
        <f ca="1">IF(OR($A73&lt;Startops2,$A73&gt;=Endyr),0,VLOOKUP($A73,Capacity_Table,Tariff!$T$18))</f>
        <v>0.92</v>
      </c>
      <c r="M73" s="334">
        <f ca="1">IF($A73&lt;Startops2,0,IF($A73&lt;Startops3,VLOOKUP($A73,Convert_Table,Tariff!$Y$54),C73*D73*F73*K73*L73))</f>
        <v>298980.864</v>
      </c>
      <c r="N73" s="391" t="str">
        <f t="shared" ca="1" si="14"/>
        <v xml:space="preserve"> </v>
      </c>
      <c r="O73" s="334">
        <f t="shared" ca="1" si="15"/>
        <v>7000</v>
      </c>
      <c r="P73" s="334">
        <f t="shared" ca="1" si="7"/>
        <v>2092866.048</v>
      </c>
      <c r="Q73" s="332" t="str">
        <f t="shared" ca="1" si="8"/>
        <v xml:space="preserve"> </v>
      </c>
      <c r="R73" s="334">
        <f ca="1">IF($A73&gt;Endyr,0,IF($A73&lt;Assm!$A$55,P73,Assm!$F$55*$D73))</f>
        <v>1828160.8767123288</v>
      </c>
      <c r="S73" s="391" t="str">
        <f t="shared" ca="1" si="9"/>
        <v xml:space="preserve"> </v>
      </c>
      <c r="T73" s="334">
        <f t="shared" ca="1" si="10"/>
        <v>2092866.048</v>
      </c>
      <c r="U73" s="682" t="str">
        <f t="shared" ca="1" si="11"/>
        <v xml:space="preserve"> </v>
      </c>
    </row>
    <row r="74" spans="1:21">
      <c r="A74" s="672">
        <f t="shared" ca="1" si="3"/>
        <v>38139</v>
      </c>
      <c r="C74" s="681">
        <f ca="1">IF($A74&gt;Endyr,0,VLOOKUP($A74,Capacity_Table,Tariff!$R$18))</f>
        <v>480</v>
      </c>
      <c r="D74" s="330">
        <f t="shared" ca="1" si="4"/>
        <v>30</v>
      </c>
      <c r="E74" s="330" t="str">
        <f t="shared" ca="1" si="5"/>
        <v xml:space="preserve"> </v>
      </c>
      <c r="F74" s="332">
        <f t="shared" si="12"/>
        <v>24</v>
      </c>
      <c r="G74" s="1109">
        <f t="shared" ca="1" si="6"/>
        <v>0</v>
      </c>
      <c r="H74" s="1686">
        <f ca="1">IF(Avail_LDs_Switch=1,VLOOKUP('Plant Operations'!A74,RAC_AvailFactor_Table,RAC_LDs!$G$258),IF($A74&lt;Startops2,Tariff!$T$11,0))</f>
        <v>0</v>
      </c>
      <c r="I74" s="1559">
        <f ca="1">IF(OR($A74&lt;Startops1,$A74&gt;=Startops2),0,IF(AND($A74&gt;=DieselOps_2,$A74&lt;Startops2),VLOOKUP($A74,Diesel_Table,Tariff!$Y$41),VLOOKUP($A74,OA_Table,Tariff!$Y$26)))</f>
        <v>0</v>
      </c>
      <c r="J74" s="391" t="str">
        <f t="shared" ca="1" si="13"/>
        <v xml:space="preserve"> </v>
      </c>
      <c r="K74" s="1109">
        <f ca="1">IF(OR($A74&lt;Startops2,$A74&gt;=Endyr),0,VLOOKUP($A74,Capacity_Table,Tariff!$S$18))</f>
        <v>0.91</v>
      </c>
      <c r="L74" s="212">
        <f ca="1">IF(OR($A74&lt;Startops2,$A74&gt;=Endyr),0,VLOOKUP($A74,Capacity_Table,Tariff!$T$18))</f>
        <v>0.92</v>
      </c>
      <c r="M74" s="334">
        <f ca="1">IF($A74&lt;Startops2,0,IF($A74&lt;Startops3,VLOOKUP($A74,Convert_Table,Tariff!$Y$54),C74*D74*F74*K74*L74))</f>
        <v>289336.32000000001</v>
      </c>
      <c r="N74" s="391" t="str">
        <f t="shared" ca="1" si="14"/>
        <v xml:space="preserve"> </v>
      </c>
      <c r="O74" s="334">
        <f t="shared" ca="1" si="15"/>
        <v>7000</v>
      </c>
      <c r="P74" s="334">
        <f t="shared" ca="1" si="7"/>
        <v>2025354.24</v>
      </c>
      <c r="Q74" s="332" t="str">
        <f t="shared" ca="1" si="8"/>
        <v xml:space="preserve"> </v>
      </c>
      <c r="R74" s="334">
        <f ca="1">IF($A74&gt;Endyr,0,IF($A74&lt;Assm!$A$55,P74,Assm!$F$55*$D74))</f>
        <v>1769187.9452054794</v>
      </c>
      <c r="S74" s="391" t="str">
        <f t="shared" ca="1" si="9"/>
        <v xml:space="preserve"> </v>
      </c>
      <c r="T74" s="334">
        <f t="shared" ca="1" si="10"/>
        <v>2025354.24</v>
      </c>
      <c r="U74" s="682" t="str">
        <f t="shared" ca="1" si="11"/>
        <v xml:space="preserve"> </v>
      </c>
    </row>
    <row r="75" spans="1:21">
      <c r="A75" s="672">
        <f t="shared" ca="1" si="3"/>
        <v>38169</v>
      </c>
      <c r="C75" s="681">
        <f ca="1">IF($A75&gt;Endyr,0,VLOOKUP($A75,Capacity_Table,Tariff!$R$18))</f>
        <v>480</v>
      </c>
      <c r="D75" s="330">
        <f t="shared" ca="1" si="4"/>
        <v>31</v>
      </c>
      <c r="E75" s="330" t="str">
        <f t="shared" ca="1" si="5"/>
        <v xml:space="preserve"> </v>
      </c>
      <c r="F75" s="332">
        <f t="shared" si="12"/>
        <v>24</v>
      </c>
      <c r="G75" s="1109">
        <f t="shared" ca="1" si="6"/>
        <v>0</v>
      </c>
      <c r="H75" s="1686">
        <f ca="1">IF(Avail_LDs_Switch=1,VLOOKUP('Plant Operations'!A75,RAC_AvailFactor_Table,RAC_LDs!$G$258),IF($A75&lt;Startops2,Tariff!$T$11,0))</f>
        <v>0</v>
      </c>
      <c r="I75" s="1559">
        <f ca="1">IF(OR($A75&lt;Startops1,$A75&gt;=Startops2),0,IF(AND($A75&gt;=DieselOps_2,$A75&lt;Startops2),VLOOKUP($A75,Diesel_Table,Tariff!$Y$41),VLOOKUP($A75,OA_Table,Tariff!$Y$26)))</f>
        <v>0</v>
      </c>
      <c r="J75" s="391" t="str">
        <f t="shared" ca="1" si="13"/>
        <v xml:space="preserve"> </v>
      </c>
      <c r="K75" s="1109">
        <f ca="1">IF(OR($A75&lt;Startops2,$A75&gt;=Endyr),0,VLOOKUP($A75,Capacity_Table,Tariff!$S$18))</f>
        <v>0.91</v>
      </c>
      <c r="L75" s="212">
        <f ca="1">IF(OR($A75&lt;Startops2,$A75&gt;=Endyr),0,VLOOKUP($A75,Capacity_Table,Tariff!$T$18))</f>
        <v>0.92</v>
      </c>
      <c r="M75" s="334">
        <f ca="1">IF($A75&lt;Startops2,0,IF($A75&lt;Startops3,VLOOKUP($A75,Convert_Table,Tariff!$Y$54),C75*D75*F75*K75*L75))</f>
        <v>298980.864</v>
      </c>
      <c r="N75" s="391" t="str">
        <f t="shared" ca="1" si="14"/>
        <v xml:space="preserve"> </v>
      </c>
      <c r="O75" s="334">
        <f t="shared" ca="1" si="15"/>
        <v>7000</v>
      </c>
      <c r="P75" s="334">
        <f t="shared" ca="1" si="7"/>
        <v>2092866.048</v>
      </c>
      <c r="Q75" s="332" t="str">
        <f t="shared" ca="1" si="8"/>
        <v xml:space="preserve"> </v>
      </c>
      <c r="R75" s="334">
        <f ca="1">IF($A75&gt;Endyr,0,IF($A75&lt;Assm!$A$55,P75,Assm!$F$55*$D75))</f>
        <v>1828160.8767123288</v>
      </c>
      <c r="S75" s="391" t="str">
        <f t="shared" ca="1" si="9"/>
        <v xml:space="preserve"> </v>
      </c>
      <c r="T75" s="334">
        <f t="shared" ca="1" si="10"/>
        <v>2092866.048</v>
      </c>
      <c r="U75" s="682" t="str">
        <f t="shared" ca="1" si="11"/>
        <v xml:space="preserve"> </v>
      </c>
    </row>
    <row r="76" spans="1:21">
      <c r="A76" s="672">
        <f t="shared" ca="1" si="3"/>
        <v>38200</v>
      </c>
      <c r="C76" s="681">
        <f ca="1">IF($A76&gt;Endyr,0,VLOOKUP($A76,Capacity_Table,Tariff!$R$18))</f>
        <v>480</v>
      </c>
      <c r="D76" s="330">
        <f t="shared" ca="1" si="4"/>
        <v>31</v>
      </c>
      <c r="E76" s="330" t="str">
        <f t="shared" ca="1" si="5"/>
        <v xml:space="preserve"> </v>
      </c>
      <c r="F76" s="332">
        <f t="shared" si="12"/>
        <v>24</v>
      </c>
      <c r="G76" s="1109">
        <f t="shared" ca="1" si="6"/>
        <v>0</v>
      </c>
      <c r="H76" s="1686">
        <f ca="1">IF(Avail_LDs_Switch=1,VLOOKUP('Plant Operations'!A76,RAC_AvailFactor_Table,RAC_LDs!$G$258),IF($A76&lt;Startops2,Tariff!$T$11,0))</f>
        <v>0</v>
      </c>
      <c r="I76" s="1559">
        <f ca="1">IF(OR($A76&lt;Startops1,$A76&gt;=Startops2),0,IF(AND($A76&gt;=DieselOps_2,$A76&lt;Startops2),VLOOKUP($A76,Diesel_Table,Tariff!$Y$41),VLOOKUP($A76,OA_Table,Tariff!$Y$26)))</f>
        <v>0</v>
      </c>
      <c r="J76" s="391" t="str">
        <f t="shared" ca="1" si="13"/>
        <v xml:space="preserve"> </v>
      </c>
      <c r="K76" s="1109">
        <f ca="1">IF(OR($A76&lt;Startops2,$A76&gt;=Endyr),0,VLOOKUP($A76,Capacity_Table,Tariff!$S$18))</f>
        <v>0.91</v>
      </c>
      <c r="L76" s="212">
        <f ca="1">IF(OR($A76&lt;Startops2,$A76&gt;=Endyr),0,VLOOKUP($A76,Capacity_Table,Tariff!$T$18))</f>
        <v>0.92</v>
      </c>
      <c r="M76" s="334">
        <f ca="1">IF($A76&lt;Startops2,0,IF($A76&lt;Startops3,VLOOKUP($A76,Convert_Table,Tariff!$Y$54),C76*D76*F76*K76*L76))</f>
        <v>298980.864</v>
      </c>
      <c r="N76" s="391" t="str">
        <f t="shared" ca="1" si="14"/>
        <v xml:space="preserve"> </v>
      </c>
      <c r="O76" s="334">
        <f t="shared" ca="1" si="15"/>
        <v>7000</v>
      </c>
      <c r="P76" s="334">
        <f t="shared" ca="1" si="7"/>
        <v>2092866.048</v>
      </c>
      <c r="Q76" s="332" t="str">
        <f t="shared" ca="1" si="8"/>
        <v xml:space="preserve"> </v>
      </c>
      <c r="R76" s="334">
        <f ca="1">IF($A76&gt;Endyr,0,IF($A76&lt;Assm!$A$55,P76,Assm!$F$55*$D76))</f>
        <v>1828160.8767123288</v>
      </c>
      <c r="S76" s="391" t="str">
        <f t="shared" ca="1" si="9"/>
        <v xml:space="preserve"> </v>
      </c>
      <c r="T76" s="334">
        <f t="shared" ca="1" si="10"/>
        <v>2092866.048</v>
      </c>
      <c r="U76" s="682" t="str">
        <f t="shared" ca="1" si="11"/>
        <v xml:space="preserve"> </v>
      </c>
    </row>
    <row r="77" spans="1:21">
      <c r="A77" s="672">
        <f t="shared" ref="A77:A140" ca="1" si="16">EDATE(A76,1)</f>
        <v>38231</v>
      </c>
      <c r="C77" s="681">
        <f ca="1">IF($A77&gt;Endyr,0,VLOOKUP($A77,Capacity_Table,Tariff!$R$18))</f>
        <v>480</v>
      </c>
      <c r="D77" s="330">
        <f t="shared" ref="D77:D140" ca="1" si="17">A78-A77</f>
        <v>30</v>
      </c>
      <c r="E77" s="330" t="str">
        <f t="shared" ref="E77:E140" ca="1" si="18">IF(MONTH($A77)=12,SUM(D66:D77)," ")</f>
        <v xml:space="preserve"> </v>
      </c>
      <c r="F77" s="332">
        <f t="shared" si="12"/>
        <v>24</v>
      </c>
      <c r="G77" s="1109">
        <f t="shared" ref="G77:G140" ca="1" si="19">IF(I77=0,0,I77/($C77*$D77*$F77*H77))</f>
        <v>0</v>
      </c>
      <c r="H77" s="1686">
        <f ca="1">IF(Avail_LDs_Switch=1,VLOOKUP('Plant Operations'!A77,RAC_AvailFactor_Table,RAC_LDs!$G$258),IF($A77&lt;Startops2,Tariff!$T$11,0))</f>
        <v>0</v>
      </c>
      <c r="I77" s="1559">
        <f ca="1">IF(OR($A77&lt;Startops1,$A77&gt;=Startops2),0,IF(AND($A77&gt;=DieselOps_2,$A77&lt;Startops2),VLOOKUP($A77,Diesel_Table,Tariff!$Y$41),VLOOKUP($A77,OA_Table,Tariff!$Y$26)))</f>
        <v>0</v>
      </c>
      <c r="J77" s="391" t="str">
        <f t="shared" ca="1" si="13"/>
        <v xml:space="preserve"> </v>
      </c>
      <c r="K77" s="1109">
        <f ca="1">IF(OR($A77&lt;Startops2,$A77&gt;=Endyr),0,VLOOKUP($A77,Capacity_Table,Tariff!$S$18))</f>
        <v>0.91</v>
      </c>
      <c r="L77" s="212">
        <f ca="1">IF(OR($A77&lt;Startops2,$A77&gt;=Endyr),0,VLOOKUP($A77,Capacity_Table,Tariff!$T$18))</f>
        <v>0.92</v>
      </c>
      <c r="M77" s="334">
        <f ca="1">IF($A77&lt;Startops2,0,IF($A77&lt;Startops3,VLOOKUP($A77,Convert_Table,Tariff!$Y$54),C77*D77*F77*K77*L77))</f>
        <v>289336.32000000001</v>
      </c>
      <c r="N77" s="391" t="str">
        <f t="shared" ca="1" si="14"/>
        <v xml:space="preserve"> </v>
      </c>
      <c r="O77" s="334">
        <f t="shared" ca="1" si="15"/>
        <v>7000</v>
      </c>
      <c r="P77" s="334">
        <f t="shared" ref="P77:P140" ca="1" si="20">M77*O77/1000</f>
        <v>2025354.24</v>
      </c>
      <c r="Q77" s="332" t="str">
        <f t="shared" ref="Q77:Q140" ca="1" si="21">IF(MONTH($A77)=12,SUM(P66:P77)," ")</f>
        <v xml:space="preserve"> </v>
      </c>
      <c r="R77" s="334">
        <f ca="1">IF($A77&gt;Endyr,0,IF($A77&lt;Assm!$A$55,P77,Assm!$F$55*$D77))</f>
        <v>1769187.9452054794</v>
      </c>
      <c r="S77" s="391" t="str">
        <f t="shared" ref="S77:S140" ca="1" si="22">IF(MONTH($A77)=12,SUM(R66:R77)," ")</f>
        <v xml:space="preserve"> </v>
      </c>
      <c r="T77" s="334">
        <f t="shared" ref="T77:T140" ca="1" si="23">MAX(P77,R77)</f>
        <v>2025354.24</v>
      </c>
      <c r="U77" s="682" t="str">
        <f t="shared" ref="U77:U139" ca="1" si="24">IF(MONTH($A77)=12,SUM(T66:T77)," ")</f>
        <v xml:space="preserve"> </v>
      </c>
    </row>
    <row r="78" spans="1:21">
      <c r="A78" s="672">
        <f t="shared" ca="1" si="16"/>
        <v>38261</v>
      </c>
      <c r="C78" s="681">
        <f ca="1">IF($A78&gt;Endyr,0,VLOOKUP($A78,Capacity_Table,Tariff!$R$18))</f>
        <v>480</v>
      </c>
      <c r="D78" s="330">
        <f t="shared" ca="1" si="17"/>
        <v>31</v>
      </c>
      <c r="E78" s="330" t="str">
        <f t="shared" ca="1" si="18"/>
        <v xml:space="preserve"> </v>
      </c>
      <c r="F78" s="332">
        <f t="shared" ref="F78:F141" si="25">F77</f>
        <v>24</v>
      </c>
      <c r="G78" s="1109">
        <f t="shared" ca="1" si="19"/>
        <v>0</v>
      </c>
      <c r="H78" s="1686">
        <f ca="1">IF(Avail_LDs_Switch=1,VLOOKUP('Plant Operations'!A78,RAC_AvailFactor_Table,RAC_LDs!$G$258),IF($A78&lt;Startops2,Tariff!$T$11,0))</f>
        <v>0</v>
      </c>
      <c r="I78" s="1559">
        <f ca="1">IF(OR($A78&lt;Startops1,$A78&gt;=Startops2),0,IF(AND($A78&gt;=DieselOps_2,$A78&lt;Startops2),VLOOKUP($A78,Diesel_Table,Tariff!$Y$41),VLOOKUP($A78,OA_Table,Tariff!$Y$26)))</f>
        <v>0</v>
      </c>
      <c r="J78" s="391" t="str">
        <f t="shared" ca="1" si="13"/>
        <v xml:space="preserve"> </v>
      </c>
      <c r="K78" s="1109">
        <f ca="1">IF(OR($A78&lt;Startops2,$A78&gt;=Endyr),0,VLOOKUP($A78,Capacity_Table,Tariff!$S$18))</f>
        <v>0.91</v>
      </c>
      <c r="L78" s="212">
        <f ca="1">IF(OR($A78&lt;Startops2,$A78&gt;=Endyr),0,VLOOKUP($A78,Capacity_Table,Tariff!$T$18))</f>
        <v>0.92</v>
      </c>
      <c r="M78" s="334">
        <f ca="1">IF($A78&lt;Startops2,0,IF($A78&lt;Startops3,VLOOKUP($A78,Convert_Table,Tariff!$Y$54),C78*D78*F78*K78*L78))</f>
        <v>298980.864</v>
      </c>
      <c r="N78" s="391" t="str">
        <f t="shared" ca="1" si="14"/>
        <v xml:space="preserve"> </v>
      </c>
      <c r="O78" s="334">
        <f t="shared" ca="1" si="15"/>
        <v>7000</v>
      </c>
      <c r="P78" s="334">
        <f t="shared" ca="1" si="20"/>
        <v>2092866.048</v>
      </c>
      <c r="Q78" s="332" t="str">
        <f t="shared" ca="1" si="21"/>
        <v xml:space="preserve"> </v>
      </c>
      <c r="R78" s="334">
        <f ca="1">IF($A78&gt;Endyr,0,IF($A78&lt;Assm!$A$55,P78,Assm!$F$55*$D78))</f>
        <v>1828160.8767123288</v>
      </c>
      <c r="S78" s="391" t="str">
        <f t="shared" ca="1" si="22"/>
        <v xml:space="preserve"> </v>
      </c>
      <c r="T78" s="334">
        <f t="shared" ca="1" si="23"/>
        <v>2092866.048</v>
      </c>
      <c r="U78" s="682" t="str">
        <f t="shared" ca="1" si="24"/>
        <v xml:space="preserve"> </v>
      </c>
    </row>
    <row r="79" spans="1:21">
      <c r="A79" s="672">
        <f t="shared" ca="1" si="16"/>
        <v>38292</v>
      </c>
      <c r="C79" s="681">
        <f ca="1">IF($A79&gt;Endyr,0,VLOOKUP($A79,Capacity_Table,Tariff!$R$18))</f>
        <v>480</v>
      </c>
      <c r="D79" s="330">
        <f t="shared" ca="1" si="17"/>
        <v>30</v>
      </c>
      <c r="E79" s="330" t="str">
        <f t="shared" ca="1" si="18"/>
        <v xml:space="preserve"> </v>
      </c>
      <c r="F79" s="332">
        <f t="shared" si="25"/>
        <v>24</v>
      </c>
      <c r="G79" s="1109">
        <f t="shared" ca="1" si="19"/>
        <v>0</v>
      </c>
      <c r="H79" s="1686">
        <f ca="1">IF(Avail_LDs_Switch=1,VLOOKUP('Plant Operations'!A79,RAC_AvailFactor_Table,RAC_LDs!$G$258),IF($A79&lt;Startops2,Tariff!$T$11,0))</f>
        <v>0</v>
      </c>
      <c r="I79" s="1559">
        <f ca="1">IF(OR($A79&lt;Startops1,$A79&gt;=Startops2),0,IF(AND($A79&gt;=DieselOps_2,$A79&lt;Startops2),VLOOKUP($A79,Diesel_Table,Tariff!$Y$41),VLOOKUP($A79,OA_Table,Tariff!$Y$26)))</f>
        <v>0</v>
      </c>
      <c r="J79" s="391" t="str">
        <f t="shared" ca="1" si="13"/>
        <v xml:space="preserve"> </v>
      </c>
      <c r="K79" s="1109">
        <f ca="1">IF(OR($A79&lt;Startops2,$A79&gt;=Endyr),0,VLOOKUP($A79,Capacity_Table,Tariff!$S$18))</f>
        <v>0.91</v>
      </c>
      <c r="L79" s="212">
        <f ca="1">IF(OR($A79&lt;Startops2,$A79&gt;=Endyr),0,VLOOKUP($A79,Capacity_Table,Tariff!$T$18))</f>
        <v>0.92</v>
      </c>
      <c r="M79" s="334">
        <f ca="1">IF($A79&lt;Startops2,0,IF($A79&lt;Startops3,VLOOKUP($A79,Convert_Table,Tariff!$Y$54),C79*D79*F79*K79*L79))</f>
        <v>289336.32000000001</v>
      </c>
      <c r="N79" s="391" t="str">
        <f t="shared" ca="1" si="14"/>
        <v xml:space="preserve"> </v>
      </c>
      <c r="O79" s="334">
        <f t="shared" ca="1" si="15"/>
        <v>7000</v>
      </c>
      <c r="P79" s="334">
        <f t="shared" ca="1" si="20"/>
        <v>2025354.24</v>
      </c>
      <c r="Q79" s="332" t="str">
        <f t="shared" ca="1" si="21"/>
        <v xml:space="preserve"> </v>
      </c>
      <c r="R79" s="334">
        <f ca="1">IF($A79&gt;Endyr,0,IF($A79&lt;Assm!$A$55,P79,Assm!$F$55*$D79))</f>
        <v>1769187.9452054794</v>
      </c>
      <c r="S79" s="391" t="str">
        <f t="shared" ca="1" si="22"/>
        <v xml:space="preserve"> </v>
      </c>
      <c r="T79" s="334">
        <f t="shared" ca="1" si="23"/>
        <v>2025354.24</v>
      </c>
      <c r="U79" s="682" t="str">
        <f t="shared" ca="1" si="24"/>
        <v xml:space="preserve"> </v>
      </c>
    </row>
    <row r="80" spans="1:21">
      <c r="A80" s="672">
        <f t="shared" ca="1" si="16"/>
        <v>38322</v>
      </c>
      <c r="C80" s="681">
        <f ca="1">IF($A80&gt;Endyr,0,VLOOKUP($A80,Capacity_Table,Tariff!$R$18))</f>
        <v>480</v>
      </c>
      <c r="D80" s="330">
        <f t="shared" ca="1" si="17"/>
        <v>31</v>
      </c>
      <c r="E80" s="330">
        <f t="shared" ca="1" si="18"/>
        <v>366</v>
      </c>
      <c r="F80" s="332">
        <f t="shared" si="25"/>
        <v>24</v>
      </c>
      <c r="G80" s="1109">
        <f t="shared" ca="1" si="19"/>
        <v>0</v>
      </c>
      <c r="H80" s="1686">
        <f ca="1">IF(Avail_LDs_Switch=1,VLOOKUP('Plant Operations'!A80,RAC_AvailFactor_Table,RAC_LDs!$G$258),IF($A80&lt;Startops2,Tariff!$T$11,0))</f>
        <v>0</v>
      </c>
      <c r="I80" s="1559">
        <f ca="1">IF(OR($A80&lt;Startops1,$A80&gt;=Startops2),0,IF(AND($A80&gt;=DieselOps_2,$A80&lt;Startops2),VLOOKUP($A80,Diesel_Table,Tariff!$Y$41),VLOOKUP($A80,OA_Table,Tariff!$Y$26)))</f>
        <v>0</v>
      </c>
      <c r="J80" s="391">
        <f t="shared" ca="1" si="13"/>
        <v>0</v>
      </c>
      <c r="K80" s="1109">
        <f ca="1">IF(OR($A80&lt;Startops2,$A80&gt;=Endyr),0,VLOOKUP($A80,Capacity_Table,Tariff!$S$18))</f>
        <v>0.91</v>
      </c>
      <c r="L80" s="212">
        <f ca="1">IF(OR($A80&lt;Startops2,$A80&gt;=Endyr),0,VLOOKUP($A80,Capacity_Table,Tariff!$T$18))</f>
        <v>0.92</v>
      </c>
      <c r="M80" s="334">
        <f ca="1">IF($A80&lt;Startops2,0,IF($A80&lt;Startops3,VLOOKUP($A80,Convert_Table,Tariff!$Y$54),C80*D80*F80*K80*L80))</f>
        <v>298980.864</v>
      </c>
      <c r="N80" s="391">
        <f t="shared" ca="1" si="14"/>
        <v>3529903.1039999998</v>
      </c>
      <c r="O80" s="334">
        <f t="shared" ca="1" si="15"/>
        <v>7000</v>
      </c>
      <c r="P80" s="334">
        <f t="shared" ca="1" si="20"/>
        <v>2092866.048</v>
      </c>
      <c r="Q80" s="332">
        <f t="shared" ca="1" si="21"/>
        <v>24709321.728</v>
      </c>
      <c r="R80" s="334">
        <f ca="1">IF($A80&gt;Endyr,0,IF($A80&lt;Assm!$A$55,P80,Assm!$F$55*$D80))</f>
        <v>1828160.8767123288</v>
      </c>
      <c r="S80" s="391">
        <f t="shared" ca="1" si="22"/>
        <v>21584092.931506854</v>
      </c>
      <c r="T80" s="334">
        <f t="shared" ca="1" si="23"/>
        <v>2092866.048</v>
      </c>
      <c r="U80" s="682">
        <f t="shared" ca="1" si="24"/>
        <v>24709321.728</v>
      </c>
    </row>
    <row r="81" spans="1:21">
      <c r="A81" s="672">
        <f t="shared" ca="1" si="16"/>
        <v>38353</v>
      </c>
      <c r="C81" s="681">
        <f ca="1">IF($A81&gt;Endyr,0,VLOOKUP($A81,Capacity_Table,Tariff!$R$18))</f>
        <v>480</v>
      </c>
      <c r="D81" s="330">
        <f t="shared" ca="1" si="17"/>
        <v>31</v>
      </c>
      <c r="E81" s="330" t="str">
        <f t="shared" ca="1" si="18"/>
        <v xml:space="preserve"> </v>
      </c>
      <c r="F81" s="332">
        <f t="shared" si="25"/>
        <v>24</v>
      </c>
      <c r="G81" s="1109">
        <f t="shared" ca="1" si="19"/>
        <v>0</v>
      </c>
      <c r="H81" s="1686">
        <f ca="1">IF(Avail_LDs_Switch=1,VLOOKUP('Plant Operations'!A81,RAC_AvailFactor_Table,RAC_LDs!$G$258),IF($A81&lt;Startops2,Tariff!$T$11,0))</f>
        <v>0</v>
      </c>
      <c r="I81" s="1559">
        <f ca="1">IF(OR($A81&lt;Startops1,$A81&gt;=Startops2),0,IF(AND($A81&gt;=DieselOps_2,$A81&lt;Startops2),VLOOKUP($A81,Diesel_Table,Tariff!$Y$41),VLOOKUP($A81,OA_Table,Tariff!$Y$26)))</f>
        <v>0</v>
      </c>
      <c r="J81" s="391" t="str">
        <f t="shared" ca="1" si="13"/>
        <v xml:space="preserve"> </v>
      </c>
      <c r="K81" s="1109">
        <f ca="1">IF(OR($A81&lt;Startops2,$A81&gt;=Endyr),0,VLOOKUP($A81,Capacity_Table,Tariff!$S$18))</f>
        <v>0.91</v>
      </c>
      <c r="L81" s="212">
        <f ca="1">IF(OR($A81&lt;Startops2,$A81&gt;=Endyr),0,VLOOKUP($A81,Capacity_Table,Tariff!$T$18))</f>
        <v>0.92</v>
      </c>
      <c r="M81" s="334">
        <f ca="1">IF($A81&lt;Startops2,0,IF($A81&lt;Startops3,VLOOKUP($A81,Convert_Table,Tariff!$Y$54),C81*D81*F81*K81*L81))</f>
        <v>298980.864</v>
      </c>
      <c r="N81" s="391" t="str">
        <f t="shared" ca="1" si="14"/>
        <v xml:space="preserve"> </v>
      </c>
      <c r="O81" s="334">
        <f t="shared" ca="1" si="15"/>
        <v>7000</v>
      </c>
      <c r="P81" s="334">
        <f t="shared" ca="1" si="20"/>
        <v>2092866.048</v>
      </c>
      <c r="Q81" s="332" t="str">
        <f t="shared" ca="1" si="21"/>
        <v xml:space="preserve"> </v>
      </c>
      <c r="R81" s="334">
        <f ca="1">IF($A81&gt;Endyr,0,IF($A81&lt;Assm!$A$55,P81,Assm!$F$55*$D81))</f>
        <v>1828160.8767123288</v>
      </c>
      <c r="S81" s="391" t="str">
        <f t="shared" ca="1" si="22"/>
        <v xml:space="preserve"> </v>
      </c>
      <c r="T81" s="334">
        <f t="shared" ca="1" si="23"/>
        <v>2092866.048</v>
      </c>
      <c r="U81" s="682" t="str">
        <f t="shared" ca="1" si="24"/>
        <v xml:space="preserve"> </v>
      </c>
    </row>
    <row r="82" spans="1:21">
      <c r="A82" s="672">
        <f t="shared" ca="1" si="16"/>
        <v>38384</v>
      </c>
      <c r="C82" s="681">
        <f ca="1">IF($A82&gt;Endyr,0,VLOOKUP($A82,Capacity_Table,Tariff!$R$18))</f>
        <v>480</v>
      </c>
      <c r="D82" s="330">
        <f t="shared" ca="1" si="17"/>
        <v>28</v>
      </c>
      <c r="E82" s="330" t="str">
        <f t="shared" ca="1" si="18"/>
        <v xml:space="preserve"> </v>
      </c>
      <c r="F82" s="332">
        <f t="shared" si="25"/>
        <v>24</v>
      </c>
      <c r="G82" s="1109">
        <f t="shared" ca="1" si="19"/>
        <v>0</v>
      </c>
      <c r="H82" s="1686">
        <f ca="1">IF(Avail_LDs_Switch=1,VLOOKUP('Plant Operations'!A82,RAC_AvailFactor_Table,RAC_LDs!$G$258),IF($A82&lt;Startops2,Tariff!$T$11,0))</f>
        <v>0</v>
      </c>
      <c r="I82" s="1559">
        <f ca="1">IF(OR($A82&lt;Startops1,$A82&gt;=Startops2),0,IF(AND($A82&gt;=DieselOps_2,$A82&lt;Startops2),VLOOKUP($A82,Diesel_Table,Tariff!$Y$41),VLOOKUP($A82,OA_Table,Tariff!$Y$26)))</f>
        <v>0</v>
      </c>
      <c r="J82" s="391" t="str">
        <f t="shared" ca="1" si="13"/>
        <v xml:space="preserve"> </v>
      </c>
      <c r="K82" s="1109">
        <f ca="1">IF(OR($A82&lt;Startops2,$A82&gt;=Endyr),0,VLOOKUP($A82,Capacity_Table,Tariff!$S$18))</f>
        <v>0.91</v>
      </c>
      <c r="L82" s="212">
        <f ca="1">IF(OR($A82&lt;Startops2,$A82&gt;=Endyr),0,VLOOKUP($A82,Capacity_Table,Tariff!$T$18))</f>
        <v>0.92</v>
      </c>
      <c r="M82" s="334">
        <f ca="1">IF($A82&lt;Startops2,0,IF($A82&lt;Startops3,VLOOKUP($A82,Convert_Table,Tariff!$Y$54),C82*D82*F82*K82*L82))</f>
        <v>270047.23200000002</v>
      </c>
      <c r="N82" s="391" t="str">
        <f t="shared" ca="1" si="14"/>
        <v xml:space="preserve"> </v>
      </c>
      <c r="O82" s="334">
        <f t="shared" ca="1" si="15"/>
        <v>7000</v>
      </c>
      <c r="P82" s="334">
        <f t="shared" ca="1" si="20"/>
        <v>1890330.6240000003</v>
      </c>
      <c r="Q82" s="332" t="str">
        <f t="shared" ca="1" si="21"/>
        <v xml:space="preserve"> </v>
      </c>
      <c r="R82" s="334">
        <f ca="1">IF($A82&gt;Endyr,0,IF($A82&lt;Assm!$A$55,P82,Assm!$F$55*$D82))</f>
        <v>1651242.0821917809</v>
      </c>
      <c r="S82" s="391" t="str">
        <f t="shared" ca="1" si="22"/>
        <v xml:space="preserve"> </v>
      </c>
      <c r="T82" s="334">
        <f t="shared" ca="1" si="23"/>
        <v>1890330.6240000003</v>
      </c>
      <c r="U82" s="682" t="str">
        <f t="shared" ca="1" si="24"/>
        <v xml:space="preserve"> </v>
      </c>
    </row>
    <row r="83" spans="1:21">
      <c r="A83" s="672">
        <f t="shared" ca="1" si="16"/>
        <v>38412</v>
      </c>
      <c r="C83" s="681">
        <f ca="1">IF($A83&gt;Endyr,0,VLOOKUP($A83,Capacity_Table,Tariff!$R$18))</f>
        <v>480</v>
      </c>
      <c r="D83" s="330">
        <f t="shared" ca="1" si="17"/>
        <v>31</v>
      </c>
      <c r="E83" s="330" t="str">
        <f t="shared" ca="1" si="18"/>
        <v xml:space="preserve"> </v>
      </c>
      <c r="F83" s="332">
        <f t="shared" si="25"/>
        <v>24</v>
      </c>
      <c r="G83" s="1109">
        <f t="shared" ca="1" si="19"/>
        <v>0</v>
      </c>
      <c r="H83" s="1686">
        <f ca="1">IF(Avail_LDs_Switch=1,VLOOKUP('Plant Operations'!A83,RAC_AvailFactor_Table,RAC_LDs!$G$258),IF($A83&lt;Startops2,Tariff!$T$11,0))</f>
        <v>0</v>
      </c>
      <c r="I83" s="1559">
        <f ca="1">IF(OR($A83&lt;Startops1,$A83&gt;=Startops2),0,IF(AND($A83&gt;=DieselOps_2,$A83&lt;Startops2),VLOOKUP($A83,Diesel_Table,Tariff!$Y$41),VLOOKUP($A83,OA_Table,Tariff!$Y$26)))</f>
        <v>0</v>
      </c>
      <c r="J83" s="391" t="str">
        <f t="shared" ca="1" si="13"/>
        <v xml:space="preserve"> </v>
      </c>
      <c r="K83" s="1109">
        <f ca="1">IF(OR($A83&lt;Startops2,$A83&gt;=Endyr),0,VLOOKUP($A83,Capacity_Table,Tariff!$S$18))</f>
        <v>0.91</v>
      </c>
      <c r="L83" s="212">
        <f ca="1">IF(OR($A83&lt;Startops2,$A83&gt;=Endyr),0,VLOOKUP($A83,Capacity_Table,Tariff!$T$18))</f>
        <v>0.92</v>
      </c>
      <c r="M83" s="334">
        <f ca="1">IF($A83&lt;Startops2,0,IF($A83&lt;Startops3,VLOOKUP($A83,Convert_Table,Tariff!$Y$54),C83*D83*F83*K83*L83))</f>
        <v>298980.864</v>
      </c>
      <c r="N83" s="391" t="str">
        <f t="shared" ca="1" si="14"/>
        <v xml:space="preserve"> </v>
      </c>
      <c r="O83" s="334">
        <f t="shared" ca="1" si="15"/>
        <v>7000</v>
      </c>
      <c r="P83" s="334">
        <f t="shared" ca="1" si="20"/>
        <v>2092866.048</v>
      </c>
      <c r="Q83" s="332" t="str">
        <f t="shared" ca="1" si="21"/>
        <v xml:space="preserve"> </v>
      </c>
      <c r="R83" s="334">
        <f ca="1">IF($A83&gt;Endyr,0,IF($A83&lt;Assm!$A$55,P83,Assm!$F$55*$D83))</f>
        <v>1828160.8767123288</v>
      </c>
      <c r="S83" s="391" t="str">
        <f t="shared" ca="1" si="22"/>
        <v xml:space="preserve"> </v>
      </c>
      <c r="T83" s="334">
        <f t="shared" ca="1" si="23"/>
        <v>2092866.048</v>
      </c>
      <c r="U83" s="682" t="str">
        <f t="shared" ca="1" si="24"/>
        <v xml:space="preserve"> </v>
      </c>
    </row>
    <row r="84" spans="1:21">
      <c r="A84" s="672">
        <f t="shared" ca="1" si="16"/>
        <v>38443</v>
      </c>
      <c r="C84" s="681">
        <f ca="1">IF($A84&gt;Endyr,0,VLOOKUP($A84,Capacity_Table,Tariff!$R$18))</f>
        <v>480</v>
      </c>
      <c r="D84" s="330">
        <f t="shared" ca="1" si="17"/>
        <v>30</v>
      </c>
      <c r="E84" s="330" t="str">
        <f t="shared" ca="1" si="18"/>
        <v xml:space="preserve"> </v>
      </c>
      <c r="F84" s="332">
        <f t="shared" si="25"/>
        <v>24</v>
      </c>
      <c r="G84" s="1109">
        <f t="shared" ca="1" si="19"/>
        <v>0</v>
      </c>
      <c r="H84" s="1686">
        <f ca="1">IF(Avail_LDs_Switch=1,VLOOKUP('Plant Operations'!A84,RAC_AvailFactor_Table,RAC_LDs!$G$258),IF($A84&lt;Startops2,Tariff!$T$11,0))</f>
        <v>0</v>
      </c>
      <c r="I84" s="1559">
        <f ca="1">IF(OR($A84&lt;Startops1,$A84&gt;=Startops2),0,IF(AND($A84&gt;=DieselOps_2,$A84&lt;Startops2),VLOOKUP($A84,Diesel_Table,Tariff!$Y$41),VLOOKUP($A84,OA_Table,Tariff!$Y$26)))</f>
        <v>0</v>
      </c>
      <c r="J84" s="391" t="str">
        <f t="shared" ca="1" si="13"/>
        <v xml:space="preserve"> </v>
      </c>
      <c r="K84" s="1109">
        <f ca="1">IF(OR($A84&lt;Startops2,$A84&gt;=Endyr),0,VLOOKUP($A84,Capacity_Table,Tariff!$S$18))</f>
        <v>0.91</v>
      </c>
      <c r="L84" s="212">
        <f ca="1">IF(OR($A84&lt;Startops2,$A84&gt;=Endyr),0,VLOOKUP($A84,Capacity_Table,Tariff!$T$18))</f>
        <v>0.92</v>
      </c>
      <c r="M84" s="334">
        <f ca="1">IF($A84&lt;Startops2,0,IF($A84&lt;Startops3,VLOOKUP($A84,Convert_Table,Tariff!$Y$54),C84*D84*F84*K84*L84))</f>
        <v>289336.32000000001</v>
      </c>
      <c r="N84" s="391" t="str">
        <f t="shared" ca="1" si="14"/>
        <v xml:space="preserve"> </v>
      </c>
      <c r="O84" s="334">
        <f t="shared" ca="1" si="15"/>
        <v>7000</v>
      </c>
      <c r="P84" s="334">
        <f t="shared" ca="1" si="20"/>
        <v>2025354.24</v>
      </c>
      <c r="Q84" s="332" t="str">
        <f t="shared" ca="1" si="21"/>
        <v xml:space="preserve"> </v>
      </c>
      <c r="R84" s="334">
        <f ca="1">IF($A84&gt;Endyr,0,IF($A84&lt;Assm!$A$55,P84,Assm!$F$55*$D84))</f>
        <v>1769187.9452054794</v>
      </c>
      <c r="S84" s="391" t="str">
        <f t="shared" ca="1" si="22"/>
        <v xml:space="preserve"> </v>
      </c>
      <c r="T84" s="334">
        <f t="shared" ca="1" si="23"/>
        <v>2025354.24</v>
      </c>
      <c r="U84" s="682" t="str">
        <f t="shared" ca="1" si="24"/>
        <v xml:space="preserve"> </v>
      </c>
    </row>
    <row r="85" spans="1:21">
      <c r="A85" s="672">
        <f t="shared" ca="1" si="16"/>
        <v>38473</v>
      </c>
      <c r="C85" s="681">
        <f ca="1">IF($A85&gt;Endyr,0,VLOOKUP($A85,Capacity_Table,Tariff!$R$18))</f>
        <v>480</v>
      </c>
      <c r="D85" s="330">
        <f t="shared" ca="1" si="17"/>
        <v>31</v>
      </c>
      <c r="E85" s="330" t="str">
        <f t="shared" ca="1" si="18"/>
        <v xml:space="preserve"> </v>
      </c>
      <c r="F85" s="332">
        <f t="shared" si="25"/>
        <v>24</v>
      </c>
      <c r="G85" s="1109">
        <f t="shared" ca="1" si="19"/>
        <v>0</v>
      </c>
      <c r="H85" s="1686">
        <f ca="1">IF(Avail_LDs_Switch=1,VLOOKUP('Plant Operations'!A85,RAC_AvailFactor_Table,RAC_LDs!$G$258),IF($A85&lt;Startops2,Tariff!$T$11,0))</f>
        <v>0</v>
      </c>
      <c r="I85" s="1559">
        <f ca="1">IF(OR($A85&lt;Startops1,$A85&gt;=Startops2),0,IF(AND($A85&gt;=DieselOps_2,$A85&lt;Startops2),VLOOKUP($A85,Diesel_Table,Tariff!$Y$41),VLOOKUP($A85,OA_Table,Tariff!$Y$26)))</f>
        <v>0</v>
      </c>
      <c r="J85" s="391" t="str">
        <f t="shared" ref="J85:J148" ca="1" si="26">IF(MONTH($A85)=12,SUM(I74:I85)," ")</f>
        <v xml:space="preserve"> </v>
      </c>
      <c r="K85" s="1109">
        <f ca="1">IF(OR($A85&lt;Startops2,$A85&gt;=Endyr),0,VLOOKUP($A85,Capacity_Table,Tariff!$S$18))</f>
        <v>0.91</v>
      </c>
      <c r="L85" s="212">
        <f ca="1">IF(OR($A85&lt;Startops2,$A85&gt;=Endyr),0,VLOOKUP($A85,Capacity_Table,Tariff!$T$18))</f>
        <v>0.92</v>
      </c>
      <c r="M85" s="334">
        <f ca="1">IF($A85&lt;Startops2,0,IF($A85&lt;Startops3,VLOOKUP($A85,Convert_Table,Tariff!$Y$54),C85*D85*F85*K85*L85))</f>
        <v>298980.864</v>
      </c>
      <c r="N85" s="391" t="str">
        <f t="shared" ref="N85:N148" ca="1" si="27">IF(MONTH($A85)=12,SUM(M74:M85)," ")</f>
        <v xml:space="preserve"> </v>
      </c>
      <c r="O85" s="334">
        <f t="shared" ca="1" si="15"/>
        <v>7000</v>
      </c>
      <c r="P85" s="334">
        <f t="shared" ca="1" si="20"/>
        <v>2092866.048</v>
      </c>
      <c r="Q85" s="332" t="str">
        <f t="shared" ca="1" si="21"/>
        <v xml:space="preserve"> </v>
      </c>
      <c r="R85" s="334">
        <f ca="1">IF($A85&gt;Endyr,0,IF($A85&lt;Assm!$A$55,P85,Assm!$F$55*$D85))</f>
        <v>1828160.8767123288</v>
      </c>
      <c r="S85" s="391" t="str">
        <f t="shared" ca="1" si="22"/>
        <v xml:space="preserve"> </v>
      </c>
      <c r="T85" s="334">
        <f t="shared" ca="1" si="23"/>
        <v>2092866.048</v>
      </c>
      <c r="U85" s="682" t="str">
        <f t="shared" ca="1" si="24"/>
        <v xml:space="preserve"> </v>
      </c>
    </row>
    <row r="86" spans="1:21">
      <c r="A86" s="672">
        <f t="shared" ca="1" si="16"/>
        <v>38504</v>
      </c>
      <c r="C86" s="681">
        <f ca="1">IF($A86&gt;Endyr,0,VLOOKUP($A86,Capacity_Table,Tariff!$R$18))</f>
        <v>480</v>
      </c>
      <c r="D86" s="330">
        <f t="shared" ca="1" si="17"/>
        <v>30</v>
      </c>
      <c r="E86" s="330" t="str">
        <f t="shared" ca="1" si="18"/>
        <v xml:space="preserve"> </v>
      </c>
      <c r="F86" s="332">
        <f t="shared" si="25"/>
        <v>24</v>
      </c>
      <c r="G86" s="1109">
        <f t="shared" ca="1" si="19"/>
        <v>0</v>
      </c>
      <c r="H86" s="1686">
        <f ca="1">IF(Avail_LDs_Switch=1,VLOOKUP('Plant Operations'!A86,RAC_AvailFactor_Table,RAC_LDs!$G$258),IF($A86&lt;Startops2,Tariff!$T$11,0))</f>
        <v>0</v>
      </c>
      <c r="I86" s="1559">
        <f ca="1">IF(OR($A86&lt;Startops1,$A86&gt;=Startops2),0,IF(AND($A86&gt;=DieselOps_2,$A86&lt;Startops2),VLOOKUP($A86,Diesel_Table,Tariff!$Y$41),VLOOKUP($A86,OA_Table,Tariff!$Y$26)))</f>
        <v>0</v>
      </c>
      <c r="J86" s="391" t="str">
        <f t="shared" ca="1" si="26"/>
        <v xml:space="preserve"> </v>
      </c>
      <c r="K86" s="1109">
        <f ca="1">IF(OR($A86&lt;Startops2,$A86&gt;=Endyr),0,VLOOKUP($A86,Capacity_Table,Tariff!$S$18))</f>
        <v>0.91</v>
      </c>
      <c r="L86" s="212">
        <f ca="1">IF(OR($A86&lt;Startops2,$A86&gt;=Endyr),0,VLOOKUP($A86,Capacity_Table,Tariff!$T$18))</f>
        <v>0.92</v>
      </c>
      <c r="M86" s="334">
        <f ca="1">IF($A86&lt;Startops2,0,IF($A86&lt;Startops3,VLOOKUP($A86,Convert_Table,Tariff!$Y$54),C86*D86*F86*K86*L86))</f>
        <v>289336.32000000001</v>
      </c>
      <c r="N86" s="391" t="str">
        <f t="shared" ca="1" si="27"/>
        <v xml:space="preserve"> </v>
      </c>
      <c r="O86" s="334">
        <f t="shared" ref="O86:O149" ca="1" si="28">IF($A86&lt;Startops2,0,IF($A86&lt;Startops3,Hr_II,Hr_III))</f>
        <v>7000</v>
      </c>
      <c r="P86" s="334">
        <f t="shared" ca="1" si="20"/>
        <v>2025354.24</v>
      </c>
      <c r="Q86" s="332" t="str">
        <f t="shared" ca="1" si="21"/>
        <v xml:space="preserve"> </v>
      </c>
      <c r="R86" s="334">
        <f ca="1">IF($A86&gt;Endyr,0,IF($A86&lt;Assm!$A$55,P86,Assm!$F$55*$D86))</f>
        <v>1769187.9452054794</v>
      </c>
      <c r="S86" s="391" t="str">
        <f t="shared" ca="1" si="22"/>
        <v xml:space="preserve"> </v>
      </c>
      <c r="T86" s="334">
        <f t="shared" ca="1" si="23"/>
        <v>2025354.24</v>
      </c>
      <c r="U86" s="682" t="str">
        <f t="shared" ca="1" si="24"/>
        <v xml:space="preserve"> </v>
      </c>
    </row>
    <row r="87" spans="1:21">
      <c r="A87" s="672">
        <f t="shared" ca="1" si="16"/>
        <v>38534</v>
      </c>
      <c r="C87" s="681">
        <f ca="1">IF($A87&gt;Endyr,0,VLOOKUP($A87,Capacity_Table,Tariff!$R$18))</f>
        <v>480</v>
      </c>
      <c r="D87" s="330">
        <f t="shared" ca="1" si="17"/>
        <v>31</v>
      </c>
      <c r="E87" s="330" t="str">
        <f t="shared" ca="1" si="18"/>
        <v xml:space="preserve"> </v>
      </c>
      <c r="F87" s="332">
        <f t="shared" si="25"/>
        <v>24</v>
      </c>
      <c r="G87" s="1109">
        <f t="shared" ca="1" si="19"/>
        <v>0</v>
      </c>
      <c r="H87" s="1686">
        <f ca="1">IF(Avail_LDs_Switch=1,VLOOKUP('Plant Operations'!A87,RAC_AvailFactor_Table,RAC_LDs!$G$258),IF($A87&lt;Startops2,Tariff!$T$11,0))</f>
        <v>0</v>
      </c>
      <c r="I87" s="1559">
        <f ca="1">IF(OR($A87&lt;Startops1,$A87&gt;=Startops2),0,IF(AND($A87&gt;=DieselOps_2,$A87&lt;Startops2),VLOOKUP($A87,Diesel_Table,Tariff!$Y$41),VLOOKUP($A87,OA_Table,Tariff!$Y$26)))</f>
        <v>0</v>
      </c>
      <c r="J87" s="391" t="str">
        <f t="shared" ca="1" si="26"/>
        <v xml:space="preserve"> </v>
      </c>
      <c r="K87" s="1109">
        <f ca="1">IF(OR($A87&lt;Startops2,$A87&gt;=Endyr),0,VLOOKUP($A87,Capacity_Table,Tariff!$S$18))</f>
        <v>0.91</v>
      </c>
      <c r="L87" s="212">
        <f ca="1">IF(OR($A87&lt;Startops2,$A87&gt;=Endyr),0,VLOOKUP($A87,Capacity_Table,Tariff!$T$18))</f>
        <v>0.92</v>
      </c>
      <c r="M87" s="334">
        <f ca="1">IF($A87&lt;Startops2,0,IF($A87&lt;Startops3,VLOOKUP($A87,Convert_Table,Tariff!$Y$54),C87*D87*F87*K87*L87))</f>
        <v>298980.864</v>
      </c>
      <c r="N87" s="391" t="str">
        <f t="shared" ca="1" si="27"/>
        <v xml:space="preserve"> </v>
      </c>
      <c r="O87" s="334">
        <f t="shared" ca="1" si="28"/>
        <v>7000</v>
      </c>
      <c r="P87" s="334">
        <f t="shared" ca="1" si="20"/>
        <v>2092866.048</v>
      </c>
      <c r="Q87" s="332" t="str">
        <f t="shared" ca="1" si="21"/>
        <v xml:space="preserve"> </v>
      </c>
      <c r="R87" s="334">
        <f ca="1">IF($A87&gt;Endyr,0,IF($A87&lt;Assm!$A$55,P87,Assm!$F$55*$D87))</f>
        <v>1828160.8767123288</v>
      </c>
      <c r="S87" s="391" t="str">
        <f t="shared" ca="1" si="22"/>
        <v xml:space="preserve"> </v>
      </c>
      <c r="T87" s="334">
        <f t="shared" ca="1" si="23"/>
        <v>2092866.048</v>
      </c>
      <c r="U87" s="682" t="str">
        <f t="shared" ca="1" si="24"/>
        <v xml:space="preserve"> </v>
      </c>
    </row>
    <row r="88" spans="1:21">
      <c r="A88" s="672">
        <f t="shared" ca="1" si="16"/>
        <v>38565</v>
      </c>
      <c r="C88" s="681">
        <f ca="1">IF($A88&gt;Endyr,0,VLOOKUP($A88,Capacity_Table,Tariff!$R$18))</f>
        <v>480</v>
      </c>
      <c r="D88" s="330">
        <f t="shared" ca="1" si="17"/>
        <v>31</v>
      </c>
      <c r="E88" s="330" t="str">
        <f t="shared" ca="1" si="18"/>
        <v xml:space="preserve"> </v>
      </c>
      <c r="F88" s="332">
        <f t="shared" si="25"/>
        <v>24</v>
      </c>
      <c r="G88" s="1109">
        <f t="shared" ca="1" si="19"/>
        <v>0</v>
      </c>
      <c r="H88" s="1686">
        <f ca="1">IF(Avail_LDs_Switch=1,VLOOKUP('Plant Operations'!A88,RAC_AvailFactor_Table,RAC_LDs!$G$258),IF($A88&lt;Startops2,Tariff!$T$11,0))</f>
        <v>0</v>
      </c>
      <c r="I88" s="1559">
        <f ca="1">IF(OR($A88&lt;Startops1,$A88&gt;=Startops2),0,IF(AND($A88&gt;=DieselOps_2,$A88&lt;Startops2),VLOOKUP($A88,Diesel_Table,Tariff!$Y$41),VLOOKUP($A88,OA_Table,Tariff!$Y$26)))</f>
        <v>0</v>
      </c>
      <c r="J88" s="391" t="str">
        <f t="shared" ca="1" si="26"/>
        <v xml:space="preserve"> </v>
      </c>
      <c r="K88" s="1109">
        <f ca="1">IF(OR($A88&lt;Startops2,$A88&gt;=Endyr),0,VLOOKUP($A88,Capacity_Table,Tariff!$S$18))</f>
        <v>0.91</v>
      </c>
      <c r="L88" s="212">
        <f ca="1">IF(OR($A88&lt;Startops2,$A88&gt;=Endyr),0,VLOOKUP($A88,Capacity_Table,Tariff!$T$18))</f>
        <v>0.92</v>
      </c>
      <c r="M88" s="334">
        <f ca="1">IF($A88&lt;Startops2,0,IF($A88&lt;Startops3,VLOOKUP($A88,Convert_Table,Tariff!$Y$54),C88*D88*F88*K88*L88))</f>
        <v>298980.864</v>
      </c>
      <c r="N88" s="391" t="str">
        <f t="shared" ca="1" si="27"/>
        <v xml:space="preserve"> </v>
      </c>
      <c r="O88" s="334">
        <f t="shared" ca="1" si="28"/>
        <v>7000</v>
      </c>
      <c r="P88" s="334">
        <f t="shared" ca="1" si="20"/>
        <v>2092866.048</v>
      </c>
      <c r="Q88" s="332" t="str">
        <f t="shared" ca="1" si="21"/>
        <v xml:space="preserve"> </v>
      </c>
      <c r="R88" s="334">
        <f ca="1">IF($A88&gt;Endyr,0,IF($A88&lt;Assm!$A$55,P88,Assm!$F$55*$D88))</f>
        <v>1828160.8767123288</v>
      </c>
      <c r="S88" s="391" t="str">
        <f t="shared" ca="1" si="22"/>
        <v xml:space="preserve"> </v>
      </c>
      <c r="T88" s="334">
        <f t="shared" ca="1" si="23"/>
        <v>2092866.048</v>
      </c>
      <c r="U88" s="682" t="str">
        <f t="shared" ca="1" si="24"/>
        <v xml:space="preserve"> </v>
      </c>
    </row>
    <row r="89" spans="1:21">
      <c r="A89" s="672">
        <f t="shared" ca="1" si="16"/>
        <v>38596</v>
      </c>
      <c r="C89" s="681">
        <f ca="1">IF($A89&gt;Endyr,0,VLOOKUP($A89,Capacity_Table,Tariff!$R$18))</f>
        <v>480</v>
      </c>
      <c r="D89" s="330">
        <f t="shared" ca="1" si="17"/>
        <v>30</v>
      </c>
      <c r="E89" s="330" t="str">
        <f t="shared" ca="1" si="18"/>
        <v xml:space="preserve"> </v>
      </c>
      <c r="F89" s="332">
        <f t="shared" si="25"/>
        <v>24</v>
      </c>
      <c r="G89" s="1109">
        <f t="shared" ca="1" si="19"/>
        <v>0</v>
      </c>
      <c r="H89" s="1686">
        <f ca="1">IF(Avail_LDs_Switch=1,VLOOKUP('Plant Operations'!A89,RAC_AvailFactor_Table,RAC_LDs!$G$258),IF($A89&lt;Startops2,Tariff!$T$11,0))</f>
        <v>0</v>
      </c>
      <c r="I89" s="1559">
        <f ca="1">IF(OR($A89&lt;Startops1,$A89&gt;=Startops2),0,IF(AND($A89&gt;=DieselOps_2,$A89&lt;Startops2),VLOOKUP($A89,Diesel_Table,Tariff!$Y$41),VLOOKUP($A89,OA_Table,Tariff!$Y$26)))</f>
        <v>0</v>
      </c>
      <c r="J89" s="391" t="str">
        <f t="shared" ca="1" si="26"/>
        <v xml:space="preserve"> </v>
      </c>
      <c r="K89" s="1109">
        <f ca="1">IF(OR($A89&lt;Startops2,$A89&gt;=Endyr),0,VLOOKUP($A89,Capacity_Table,Tariff!$S$18))</f>
        <v>0.91</v>
      </c>
      <c r="L89" s="212">
        <f ca="1">IF(OR($A89&lt;Startops2,$A89&gt;=Endyr),0,VLOOKUP($A89,Capacity_Table,Tariff!$T$18))</f>
        <v>0.92</v>
      </c>
      <c r="M89" s="334">
        <f ca="1">IF($A89&lt;Startops2,0,IF($A89&lt;Startops3,VLOOKUP($A89,Convert_Table,Tariff!$Y$54),C89*D89*F89*K89*L89))</f>
        <v>289336.32000000001</v>
      </c>
      <c r="N89" s="391" t="str">
        <f t="shared" ca="1" si="27"/>
        <v xml:space="preserve"> </v>
      </c>
      <c r="O89" s="334">
        <f t="shared" ca="1" si="28"/>
        <v>7000</v>
      </c>
      <c r="P89" s="334">
        <f t="shared" ca="1" si="20"/>
        <v>2025354.24</v>
      </c>
      <c r="Q89" s="332" t="str">
        <f t="shared" ca="1" si="21"/>
        <v xml:space="preserve"> </v>
      </c>
      <c r="R89" s="334">
        <f ca="1">IF($A89&gt;Endyr,0,IF($A89&lt;Assm!$A$55,P89,Assm!$F$55*$D89))</f>
        <v>1769187.9452054794</v>
      </c>
      <c r="S89" s="391" t="str">
        <f t="shared" ca="1" si="22"/>
        <v xml:space="preserve"> </v>
      </c>
      <c r="T89" s="334">
        <f t="shared" ca="1" si="23"/>
        <v>2025354.24</v>
      </c>
      <c r="U89" s="682" t="str">
        <f t="shared" ca="1" si="24"/>
        <v xml:space="preserve"> </v>
      </c>
    </row>
    <row r="90" spans="1:21">
      <c r="A90" s="672">
        <f t="shared" ca="1" si="16"/>
        <v>38626</v>
      </c>
      <c r="C90" s="681">
        <f ca="1">IF($A90&gt;Endyr,0,VLOOKUP($A90,Capacity_Table,Tariff!$R$18))</f>
        <v>480</v>
      </c>
      <c r="D90" s="330">
        <f t="shared" ca="1" si="17"/>
        <v>31</v>
      </c>
      <c r="E90" s="330" t="str">
        <f t="shared" ca="1" si="18"/>
        <v xml:space="preserve"> </v>
      </c>
      <c r="F90" s="332">
        <f t="shared" si="25"/>
        <v>24</v>
      </c>
      <c r="G90" s="1109">
        <f t="shared" ca="1" si="19"/>
        <v>0</v>
      </c>
      <c r="H90" s="1686">
        <f ca="1">IF(Avail_LDs_Switch=1,VLOOKUP('Plant Operations'!A90,RAC_AvailFactor_Table,RAC_LDs!$G$258),IF($A90&lt;Startops2,Tariff!$T$11,0))</f>
        <v>0</v>
      </c>
      <c r="I90" s="1559">
        <f ca="1">IF(OR($A90&lt;Startops1,$A90&gt;=Startops2),0,IF(AND($A90&gt;=DieselOps_2,$A90&lt;Startops2),VLOOKUP($A90,Diesel_Table,Tariff!$Y$41),VLOOKUP($A90,OA_Table,Tariff!$Y$26)))</f>
        <v>0</v>
      </c>
      <c r="J90" s="391" t="str">
        <f t="shared" ca="1" si="26"/>
        <v xml:space="preserve"> </v>
      </c>
      <c r="K90" s="1109">
        <f ca="1">IF(OR($A90&lt;Startops2,$A90&gt;=Endyr),0,VLOOKUP($A90,Capacity_Table,Tariff!$S$18))</f>
        <v>0.91</v>
      </c>
      <c r="L90" s="212">
        <f ca="1">IF(OR($A90&lt;Startops2,$A90&gt;=Endyr),0,VLOOKUP($A90,Capacity_Table,Tariff!$T$18))</f>
        <v>0.92</v>
      </c>
      <c r="M90" s="334">
        <f ca="1">IF($A90&lt;Startops2,0,IF($A90&lt;Startops3,VLOOKUP($A90,Convert_Table,Tariff!$Y$54),C90*D90*F90*K90*L90))</f>
        <v>298980.864</v>
      </c>
      <c r="N90" s="391" t="str">
        <f t="shared" ca="1" si="27"/>
        <v xml:space="preserve"> </v>
      </c>
      <c r="O90" s="334">
        <f t="shared" ca="1" si="28"/>
        <v>7000</v>
      </c>
      <c r="P90" s="334">
        <f t="shared" ca="1" si="20"/>
        <v>2092866.048</v>
      </c>
      <c r="Q90" s="332" t="str">
        <f t="shared" ca="1" si="21"/>
        <v xml:space="preserve"> </v>
      </c>
      <c r="R90" s="334">
        <f ca="1">IF($A90&gt;Endyr,0,IF($A90&lt;Assm!$A$55,P90,Assm!$F$55*$D90))</f>
        <v>1828160.8767123288</v>
      </c>
      <c r="S90" s="391" t="str">
        <f t="shared" ca="1" si="22"/>
        <v xml:space="preserve"> </v>
      </c>
      <c r="T90" s="334">
        <f t="shared" ca="1" si="23"/>
        <v>2092866.048</v>
      </c>
      <c r="U90" s="682" t="str">
        <f t="shared" ca="1" si="24"/>
        <v xml:space="preserve"> </v>
      </c>
    </row>
    <row r="91" spans="1:21">
      <c r="A91" s="672">
        <f t="shared" ca="1" si="16"/>
        <v>38657</v>
      </c>
      <c r="C91" s="681">
        <f ca="1">IF($A91&gt;Endyr,0,VLOOKUP($A91,Capacity_Table,Tariff!$R$18))</f>
        <v>480</v>
      </c>
      <c r="D91" s="330">
        <f t="shared" ca="1" si="17"/>
        <v>30</v>
      </c>
      <c r="E91" s="330" t="str">
        <f t="shared" ca="1" si="18"/>
        <v xml:space="preserve"> </v>
      </c>
      <c r="F91" s="332">
        <f t="shared" si="25"/>
        <v>24</v>
      </c>
      <c r="G91" s="1109">
        <f t="shared" ca="1" si="19"/>
        <v>0</v>
      </c>
      <c r="H91" s="1686">
        <f ca="1">IF(Avail_LDs_Switch=1,VLOOKUP('Plant Operations'!A91,RAC_AvailFactor_Table,RAC_LDs!$G$258),IF($A91&lt;Startops2,Tariff!$T$11,0))</f>
        <v>0</v>
      </c>
      <c r="I91" s="1559">
        <f ca="1">IF(OR($A91&lt;Startops1,$A91&gt;=Startops2),0,IF(AND($A91&gt;=DieselOps_2,$A91&lt;Startops2),VLOOKUP($A91,Diesel_Table,Tariff!$Y$41),VLOOKUP($A91,OA_Table,Tariff!$Y$26)))</f>
        <v>0</v>
      </c>
      <c r="J91" s="391" t="str">
        <f t="shared" ca="1" si="26"/>
        <v xml:space="preserve"> </v>
      </c>
      <c r="K91" s="1109">
        <f ca="1">IF(OR($A91&lt;Startops2,$A91&gt;=Endyr),0,VLOOKUP($A91,Capacity_Table,Tariff!$S$18))</f>
        <v>0.91</v>
      </c>
      <c r="L91" s="212">
        <f ca="1">IF(OR($A91&lt;Startops2,$A91&gt;=Endyr),0,VLOOKUP($A91,Capacity_Table,Tariff!$T$18))</f>
        <v>0.92</v>
      </c>
      <c r="M91" s="334">
        <f ca="1">IF($A91&lt;Startops2,0,IF($A91&lt;Startops3,VLOOKUP($A91,Convert_Table,Tariff!$Y$54),C91*D91*F91*K91*L91))</f>
        <v>289336.32000000001</v>
      </c>
      <c r="N91" s="391" t="str">
        <f t="shared" ca="1" si="27"/>
        <v xml:space="preserve"> </v>
      </c>
      <c r="O91" s="334">
        <f t="shared" ca="1" si="28"/>
        <v>7000</v>
      </c>
      <c r="P91" s="334">
        <f t="shared" ca="1" si="20"/>
        <v>2025354.24</v>
      </c>
      <c r="Q91" s="332" t="str">
        <f t="shared" ca="1" si="21"/>
        <v xml:space="preserve"> </v>
      </c>
      <c r="R91" s="334">
        <f ca="1">IF($A91&gt;Endyr,0,IF($A91&lt;Assm!$A$55,P91,Assm!$F$55*$D91))</f>
        <v>1769187.9452054794</v>
      </c>
      <c r="S91" s="391" t="str">
        <f t="shared" ca="1" si="22"/>
        <v xml:space="preserve"> </v>
      </c>
      <c r="T91" s="334">
        <f t="shared" ca="1" si="23"/>
        <v>2025354.24</v>
      </c>
      <c r="U91" s="682" t="str">
        <f t="shared" ca="1" si="24"/>
        <v xml:space="preserve"> </v>
      </c>
    </row>
    <row r="92" spans="1:21">
      <c r="A92" s="672">
        <f t="shared" ca="1" si="16"/>
        <v>38687</v>
      </c>
      <c r="C92" s="681">
        <f ca="1">IF($A92&gt;Endyr,0,VLOOKUP($A92,Capacity_Table,Tariff!$R$18))</f>
        <v>480</v>
      </c>
      <c r="D92" s="330">
        <f t="shared" ca="1" si="17"/>
        <v>31</v>
      </c>
      <c r="E92" s="330">
        <f t="shared" ca="1" si="18"/>
        <v>365</v>
      </c>
      <c r="F92" s="332">
        <f t="shared" si="25"/>
        <v>24</v>
      </c>
      <c r="G92" s="1109">
        <f t="shared" ca="1" si="19"/>
        <v>0</v>
      </c>
      <c r="H92" s="1686">
        <f ca="1">IF(Avail_LDs_Switch=1,VLOOKUP('Plant Operations'!A92,RAC_AvailFactor_Table,RAC_LDs!$G$258),IF($A92&lt;Startops2,Tariff!$T$11,0))</f>
        <v>0</v>
      </c>
      <c r="I92" s="1559">
        <f ca="1">IF(OR($A92&lt;Startops1,$A92&gt;=Startops2),0,IF(AND($A92&gt;=DieselOps_2,$A92&lt;Startops2),VLOOKUP($A92,Diesel_Table,Tariff!$Y$41),VLOOKUP($A92,OA_Table,Tariff!$Y$26)))</f>
        <v>0</v>
      </c>
      <c r="J92" s="391">
        <f t="shared" ca="1" si="26"/>
        <v>0</v>
      </c>
      <c r="K92" s="1109">
        <f ca="1">IF(OR($A92&lt;Startops2,$A92&gt;=Endyr),0,VLOOKUP($A92,Capacity_Table,Tariff!$S$18))</f>
        <v>0.91</v>
      </c>
      <c r="L92" s="212">
        <f ca="1">IF(OR($A92&lt;Startops2,$A92&gt;=Endyr),0,VLOOKUP($A92,Capacity_Table,Tariff!$T$18))</f>
        <v>0.92</v>
      </c>
      <c r="M92" s="334">
        <f ca="1">IF($A92&lt;Startops2,0,IF($A92&lt;Startops3,VLOOKUP($A92,Convert_Table,Tariff!$Y$54),C92*D92*F92*K92*L92))</f>
        <v>298980.864</v>
      </c>
      <c r="N92" s="391">
        <f t="shared" ca="1" si="27"/>
        <v>3520258.56</v>
      </c>
      <c r="O92" s="334">
        <f t="shared" ca="1" si="28"/>
        <v>7000</v>
      </c>
      <c r="P92" s="334">
        <f t="shared" ca="1" si="20"/>
        <v>2092866.048</v>
      </c>
      <c r="Q92" s="332">
        <f t="shared" ca="1" si="21"/>
        <v>24641809.920000002</v>
      </c>
      <c r="R92" s="334">
        <f ca="1">IF($A92&gt;Endyr,0,IF($A92&lt;Assm!$A$55,P92,Assm!$F$55*$D92))</f>
        <v>1828160.8767123288</v>
      </c>
      <c r="S92" s="391">
        <f t="shared" ca="1" si="22"/>
        <v>21525120.000000004</v>
      </c>
      <c r="T92" s="334">
        <f t="shared" ca="1" si="23"/>
        <v>2092866.048</v>
      </c>
      <c r="U92" s="682">
        <f t="shared" ca="1" si="24"/>
        <v>24641809.920000002</v>
      </c>
    </row>
    <row r="93" spans="1:21">
      <c r="A93" s="672">
        <f t="shared" ca="1" si="16"/>
        <v>38718</v>
      </c>
      <c r="C93" s="681">
        <f ca="1">IF($A93&gt;Endyr,0,VLOOKUP($A93,Capacity_Table,Tariff!$R$18))</f>
        <v>480</v>
      </c>
      <c r="D93" s="330">
        <f t="shared" ca="1" si="17"/>
        <v>31</v>
      </c>
      <c r="E93" s="330" t="str">
        <f t="shared" ca="1" si="18"/>
        <v xml:space="preserve"> </v>
      </c>
      <c r="F93" s="332">
        <f t="shared" si="25"/>
        <v>24</v>
      </c>
      <c r="G93" s="1109">
        <f t="shared" ca="1" si="19"/>
        <v>0</v>
      </c>
      <c r="H93" s="1686">
        <f ca="1">IF(Avail_LDs_Switch=1,VLOOKUP('Plant Operations'!A93,RAC_AvailFactor_Table,RAC_LDs!$G$258),IF($A93&lt;Startops2,Tariff!$T$11,0))</f>
        <v>0</v>
      </c>
      <c r="I93" s="1559">
        <f ca="1">IF(OR($A93&lt;Startops1,$A93&gt;=Startops2),0,IF(AND($A93&gt;=DieselOps_2,$A93&lt;Startops2),VLOOKUP($A93,Diesel_Table,Tariff!$Y$41),VLOOKUP($A93,OA_Table,Tariff!$Y$26)))</f>
        <v>0</v>
      </c>
      <c r="J93" s="391" t="str">
        <f t="shared" ca="1" si="26"/>
        <v xml:space="preserve"> </v>
      </c>
      <c r="K93" s="1109">
        <f ca="1">IF(OR($A93&lt;Startops2,$A93&gt;=Endyr),0,VLOOKUP($A93,Capacity_Table,Tariff!$S$18))</f>
        <v>0.91</v>
      </c>
      <c r="L93" s="212">
        <f ca="1">IF(OR($A93&lt;Startops2,$A93&gt;=Endyr),0,VLOOKUP($A93,Capacity_Table,Tariff!$T$18))</f>
        <v>0.92</v>
      </c>
      <c r="M93" s="334">
        <f ca="1">IF($A93&lt;Startops2,0,IF($A93&lt;Startops3,VLOOKUP($A93,Convert_Table,Tariff!$Y$54),C93*D93*F93*K93*L93))</f>
        <v>298980.864</v>
      </c>
      <c r="N93" s="391" t="str">
        <f t="shared" ca="1" si="27"/>
        <v xml:space="preserve"> </v>
      </c>
      <c r="O93" s="334">
        <f t="shared" ca="1" si="28"/>
        <v>7000</v>
      </c>
      <c r="P93" s="334">
        <f t="shared" ca="1" si="20"/>
        <v>2092866.048</v>
      </c>
      <c r="Q93" s="332" t="str">
        <f t="shared" ca="1" si="21"/>
        <v xml:space="preserve"> </v>
      </c>
      <c r="R93" s="334">
        <f ca="1">IF($A93&gt;Endyr,0,IF($A93&lt;Assm!$A$55,P93,Assm!$F$55*$D93))</f>
        <v>1828160.8767123288</v>
      </c>
      <c r="S93" s="391" t="str">
        <f t="shared" ca="1" si="22"/>
        <v xml:space="preserve"> </v>
      </c>
      <c r="T93" s="334">
        <f t="shared" ca="1" si="23"/>
        <v>2092866.048</v>
      </c>
      <c r="U93" s="682" t="str">
        <f t="shared" ca="1" si="24"/>
        <v xml:space="preserve"> </v>
      </c>
    </row>
    <row r="94" spans="1:21">
      <c r="A94" s="672">
        <f t="shared" ca="1" si="16"/>
        <v>38749</v>
      </c>
      <c r="C94" s="681">
        <f ca="1">IF($A94&gt;Endyr,0,VLOOKUP($A94,Capacity_Table,Tariff!$R$18))</f>
        <v>480</v>
      </c>
      <c r="D94" s="330">
        <f t="shared" ca="1" si="17"/>
        <v>28</v>
      </c>
      <c r="E94" s="330" t="str">
        <f t="shared" ca="1" si="18"/>
        <v xml:space="preserve"> </v>
      </c>
      <c r="F94" s="332">
        <f t="shared" si="25"/>
        <v>24</v>
      </c>
      <c r="G94" s="1109">
        <f t="shared" ca="1" si="19"/>
        <v>0</v>
      </c>
      <c r="H94" s="1686">
        <f ca="1">IF(Avail_LDs_Switch=1,VLOOKUP('Plant Operations'!A94,RAC_AvailFactor_Table,RAC_LDs!$G$258),IF($A94&lt;Startops2,Tariff!$T$11,0))</f>
        <v>0</v>
      </c>
      <c r="I94" s="1559">
        <f ca="1">IF(OR($A94&lt;Startops1,$A94&gt;=Startops2),0,IF(AND($A94&gt;=DieselOps_2,$A94&lt;Startops2),VLOOKUP($A94,Diesel_Table,Tariff!$Y$41),VLOOKUP($A94,OA_Table,Tariff!$Y$26)))</f>
        <v>0</v>
      </c>
      <c r="J94" s="391" t="str">
        <f t="shared" ca="1" si="26"/>
        <v xml:space="preserve"> </v>
      </c>
      <c r="K94" s="1109">
        <f ca="1">IF(OR($A94&lt;Startops2,$A94&gt;=Endyr),0,VLOOKUP($A94,Capacity_Table,Tariff!$S$18))</f>
        <v>0.91</v>
      </c>
      <c r="L94" s="212">
        <f ca="1">IF(OR($A94&lt;Startops2,$A94&gt;=Endyr),0,VLOOKUP($A94,Capacity_Table,Tariff!$T$18))</f>
        <v>0.92</v>
      </c>
      <c r="M94" s="334">
        <f ca="1">IF($A94&lt;Startops2,0,IF($A94&lt;Startops3,VLOOKUP($A94,Convert_Table,Tariff!$Y$54),C94*D94*F94*K94*L94))</f>
        <v>270047.23200000002</v>
      </c>
      <c r="N94" s="391" t="str">
        <f t="shared" ca="1" si="27"/>
        <v xml:space="preserve"> </v>
      </c>
      <c r="O94" s="334">
        <f t="shared" ca="1" si="28"/>
        <v>7000</v>
      </c>
      <c r="P94" s="334">
        <f t="shared" ca="1" si="20"/>
        <v>1890330.6240000003</v>
      </c>
      <c r="Q94" s="332" t="str">
        <f t="shared" ca="1" si="21"/>
        <v xml:space="preserve"> </v>
      </c>
      <c r="R94" s="334">
        <f ca="1">IF($A94&gt;Endyr,0,IF($A94&lt;Assm!$A$55,P94,Assm!$F$55*$D94))</f>
        <v>1651242.0821917809</v>
      </c>
      <c r="S94" s="391" t="str">
        <f t="shared" ca="1" si="22"/>
        <v xml:space="preserve"> </v>
      </c>
      <c r="T94" s="334">
        <f t="shared" ca="1" si="23"/>
        <v>1890330.6240000003</v>
      </c>
      <c r="U94" s="682" t="str">
        <f t="shared" ca="1" si="24"/>
        <v xml:space="preserve"> </v>
      </c>
    </row>
    <row r="95" spans="1:21">
      <c r="A95" s="672">
        <f t="shared" ca="1" si="16"/>
        <v>38777</v>
      </c>
      <c r="C95" s="681">
        <f ca="1">IF($A95&gt;Endyr,0,VLOOKUP($A95,Capacity_Table,Tariff!$R$18))</f>
        <v>480</v>
      </c>
      <c r="D95" s="330">
        <f t="shared" ca="1" si="17"/>
        <v>31</v>
      </c>
      <c r="E95" s="330" t="str">
        <f t="shared" ca="1" si="18"/>
        <v xml:space="preserve"> </v>
      </c>
      <c r="F95" s="332">
        <f t="shared" si="25"/>
        <v>24</v>
      </c>
      <c r="G95" s="1109">
        <f t="shared" ca="1" si="19"/>
        <v>0</v>
      </c>
      <c r="H95" s="1686">
        <f ca="1">IF(Avail_LDs_Switch=1,VLOOKUP('Plant Operations'!A95,RAC_AvailFactor_Table,RAC_LDs!$G$258),IF($A95&lt;Startops2,Tariff!$T$11,0))</f>
        <v>0</v>
      </c>
      <c r="I95" s="1559">
        <f ca="1">IF(OR($A95&lt;Startops1,$A95&gt;=Startops2),0,IF(AND($A95&gt;=DieselOps_2,$A95&lt;Startops2),VLOOKUP($A95,Diesel_Table,Tariff!$Y$41),VLOOKUP($A95,OA_Table,Tariff!$Y$26)))</f>
        <v>0</v>
      </c>
      <c r="J95" s="391" t="str">
        <f t="shared" ca="1" si="26"/>
        <v xml:space="preserve"> </v>
      </c>
      <c r="K95" s="1109">
        <f ca="1">IF(OR($A95&lt;Startops2,$A95&gt;=Endyr),0,VLOOKUP($A95,Capacity_Table,Tariff!$S$18))</f>
        <v>0.91</v>
      </c>
      <c r="L95" s="212">
        <f ca="1">IF(OR($A95&lt;Startops2,$A95&gt;=Endyr),0,VLOOKUP($A95,Capacity_Table,Tariff!$T$18))</f>
        <v>0.92</v>
      </c>
      <c r="M95" s="334">
        <f ca="1">IF($A95&lt;Startops2,0,IF($A95&lt;Startops3,VLOOKUP($A95,Convert_Table,Tariff!$Y$54),C95*D95*F95*K95*L95))</f>
        <v>298980.864</v>
      </c>
      <c r="N95" s="391" t="str">
        <f t="shared" ca="1" si="27"/>
        <v xml:space="preserve"> </v>
      </c>
      <c r="O95" s="334">
        <f t="shared" ca="1" si="28"/>
        <v>7000</v>
      </c>
      <c r="P95" s="334">
        <f t="shared" ca="1" si="20"/>
        <v>2092866.048</v>
      </c>
      <c r="Q95" s="332" t="str">
        <f t="shared" ca="1" si="21"/>
        <v xml:space="preserve"> </v>
      </c>
      <c r="R95" s="334">
        <f ca="1">IF($A95&gt;Endyr,0,IF($A95&lt;Assm!$A$55,P95,Assm!$F$55*$D95))</f>
        <v>1828160.8767123288</v>
      </c>
      <c r="S95" s="391" t="str">
        <f t="shared" ca="1" si="22"/>
        <v xml:space="preserve"> </v>
      </c>
      <c r="T95" s="334">
        <f t="shared" ca="1" si="23"/>
        <v>2092866.048</v>
      </c>
      <c r="U95" s="682" t="str">
        <f t="shared" ca="1" si="24"/>
        <v xml:space="preserve"> </v>
      </c>
    </row>
    <row r="96" spans="1:21">
      <c r="A96" s="672">
        <f t="shared" ca="1" si="16"/>
        <v>38808</v>
      </c>
      <c r="C96" s="681">
        <f ca="1">IF($A96&gt;Endyr,0,VLOOKUP($A96,Capacity_Table,Tariff!$R$18))</f>
        <v>480</v>
      </c>
      <c r="D96" s="330">
        <f t="shared" ca="1" si="17"/>
        <v>30</v>
      </c>
      <c r="E96" s="330" t="str">
        <f t="shared" ca="1" si="18"/>
        <v xml:space="preserve"> </v>
      </c>
      <c r="F96" s="332">
        <f t="shared" si="25"/>
        <v>24</v>
      </c>
      <c r="G96" s="1109">
        <f t="shared" ca="1" si="19"/>
        <v>0</v>
      </c>
      <c r="H96" s="1686">
        <f ca="1">IF(Avail_LDs_Switch=1,VLOOKUP('Plant Operations'!A96,RAC_AvailFactor_Table,RAC_LDs!$G$258),IF($A96&lt;Startops2,Tariff!$T$11,0))</f>
        <v>0</v>
      </c>
      <c r="I96" s="1559">
        <f ca="1">IF(OR($A96&lt;Startops1,$A96&gt;=Startops2),0,IF(AND($A96&gt;=DieselOps_2,$A96&lt;Startops2),VLOOKUP($A96,Diesel_Table,Tariff!$Y$41),VLOOKUP($A96,OA_Table,Tariff!$Y$26)))</f>
        <v>0</v>
      </c>
      <c r="J96" s="391" t="str">
        <f t="shared" ca="1" si="26"/>
        <v xml:space="preserve"> </v>
      </c>
      <c r="K96" s="1109">
        <f ca="1">IF(OR($A96&lt;Startops2,$A96&gt;=Endyr),0,VLOOKUP($A96,Capacity_Table,Tariff!$S$18))</f>
        <v>0.91</v>
      </c>
      <c r="L96" s="212">
        <f ca="1">IF(OR($A96&lt;Startops2,$A96&gt;=Endyr),0,VLOOKUP($A96,Capacity_Table,Tariff!$T$18))</f>
        <v>0.92</v>
      </c>
      <c r="M96" s="334">
        <f ca="1">IF($A96&lt;Startops2,0,IF($A96&lt;Startops3,VLOOKUP($A96,Convert_Table,Tariff!$Y$54),C96*D96*F96*K96*L96))</f>
        <v>289336.32000000001</v>
      </c>
      <c r="N96" s="391" t="str">
        <f t="shared" ca="1" si="27"/>
        <v xml:space="preserve"> </v>
      </c>
      <c r="O96" s="334">
        <f t="shared" ca="1" si="28"/>
        <v>7000</v>
      </c>
      <c r="P96" s="334">
        <f t="shared" ca="1" si="20"/>
        <v>2025354.24</v>
      </c>
      <c r="Q96" s="332" t="str">
        <f t="shared" ca="1" si="21"/>
        <v xml:space="preserve"> </v>
      </c>
      <c r="R96" s="334">
        <f ca="1">IF($A96&gt;Endyr,0,IF($A96&lt;Assm!$A$55,P96,Assm!$F$55*$D96))</f>
        <v>1769187.9452054794</v>
      </c>
      <c r="S96" s="391" t="str">
        <f t="shared" ca="1" si="22"/>
        <v xml:space="preserve"> </v>
      </c>
      <c r="T96" s="334">
        <f t="shared" ca="1" si="23"/>
        <v>2025354.24</v>
      </c>
      <c r="U96" s="682" t="str">
        <f t="shared" ca="1" si="24"/>
        <v xml:space="preserve"> </v>
      </c>
    </row>
    <row r="97" spans="1:21">
      <c r="A97" s="672">
        <f t="shared" ca="1" si="16"/>
        <v>38838</v>
      </c>
      <c r="C97" s="681">
        <f ca="1">IF($A97&gt;Endyr,0,VLOOKUP($A97,Capacity_Table,Tariff!$R$18))</f>
        <v>480</v>
      </c>
      <c r="D97" s="330">
        <f t="shared" ca="1" si="17"/>
        <v>31</v>
      </c>
      <c r="E97" s="330" t="str">
        <f t="shared" ca="1" si="18"/>
        <v xml:space="preserve"> </v>
      </c>
      <c r="F97" s="332">
        <f t="shared" si="25"/>
        <v>24</v>
      </c>
      <c r="G97" s="1109">
        <f t="shared" ca="1" si="19"/>
        <v>0</v>
      </c>
      <c r="H97" s="1686">
        <f ca="1">IF(Avail_LDs_Switch=1,VLOOKUP('Plant Operations'!A97,RAC_AvailFactor_Table,RAC_LDs!$G$258),IF($A97&lt;Startops2,Tariff!$T$11,0))</f>
        <v>0</v>
      </c>
      <c r="I97" s="1559">
        <f ca="1">IF(OR($A97&lt;Startops1,$A97&gt;=Startops2),0,IF(AND($A97&gt;=DieselOps_2,$A97&lt;Startops2),VLOOKUP($A97,Diesel_Table,Tariff!$Y$41),VLOOKUP($A97,OA_Table,Tariff!$Y$26)))</f>
        <v>0</v>
      </c>
      <c r="J97" s="391" t="str">
        <f t="shared" ca="1" si="26"/>
        <v xml:space="preserve"> </v>
      </c>
      <c r="K97" s="1109">
        <f ca="1">IF(OR($A97&lt;Startops2,$A97&gt;=Endyr),0,VLOOKUP($A97,Capacity_Table,Tariff!$S$18))</f>
        <v>0.91</v>
      </c>
      <c r="L97" s="212">
        <f ca="1">IF(OR($A97&lt;Startops2,$A97&gt;=Endyr),0,VLOOKUP($A97,Capacity_Table,Tariff!$T$18))</f>
        <v>0.92</v>
      </c>
      <c r="M97" s="334">
        <f ca="1">IF($A97&lt;Startops2,0,IF($A97&lt;Startops3,VLOOKUP($A97,Convert_Table,Tariff!$Y$54),C97*D97*F97*K97*L97))</f>
        <v>298980.864</v>
      </c>
      <c r="N97" s="391" t="str">
        <f t="shared" ca="1" si="27"/>
        <v xml:space="preserve"> </v>
      </c>
      <c r="O97" s="334">
        <f t="shared" ca="1" si="28"/>
        <v>7000</v>
      </c>
      <c r="P97" s="334">
        <f t="shared" ca="1" si="20"/>
        <v>2092866.048</v>
      </c>
      <c r="Q97" s="332" t="str">
        <f t="shared" ca="1" si="21"/>
        <v xml:space="preserve"> </v>
      </c>
      <c r="R97" s="334">
        <f ca="1">IF($A97&gt;Endyr,0,IF($A97&lt;Assm!$A$55,P97,Assm!$F$55*$D97))</f>
        <v>1828160.8767123288</v>
      </c>
      <c r="S97" s="391" t="str">
        <f t="shared" ca="1" si="22"/>
        <v xml:space="preserve"> </v>
      </c>
      <c r="T97" s="334">
        <f t="shared" ca="1" si="23"/>
        <v>2092866.048</v>
      </c>
      <c r="U97" s="682" t="str">
        <f t="shared" ca="1" si="24"/>
        <v xml:space="preserve"> </v>
      </c>
    </row>
    <row r="98" spans="1:21">
      <c r="A98" s="672">
        <f t="shared" ca="1" si="16"/>
        <v>38869</v>
      </c>
      <c r="C98" s="681">
        <f ca="1">IF($A98&gt;Endyr,0,VLOOKUP($A98,Capacity_Table,Tariff!$R$18))</f>
        <v>480</v>
      </c>
      <c r="D98" s="330">
        <f t="shared" ca="1" si="17"/>
        <v>30</v>
      </c>
      <c r="E98" s="330" t="str">
        <f t="shared" ca="1" si="18"/>
        <v xml:space="preserve"> </v>
      </c>
      <c r="F98" s="332">
        <f t="shared" si="25"/>
        <v>24</v>
      </c>
      <c r="G98" s="1109">
        <f t="shared" ca="1" si="19"/>
        <v>0</v>
      </c>
      <c r="H98" s="1686">
        <f ca="1">IF(Avail_LDs_Switch=1,VLOOKUP('Plant Operations'!A98,RAC_AvailFactor_Table,RAC_LDs!$G$258),IF($A98&lt;Startops2,Tariff!$T$11,0))</f>
        <v>0</v>
      </c>
      <c r="I98" s="1559">
        <f ca="1">IF(OR($A98&lt;Startops1,$A98&gt;=Startops2),0,IF(AND($A98&gt;=DieselOps_2,$A98&lt;Startops2),VLOOKUP($A98,Diesel_Table,Tariff!$Y$41),VLOOKUP($A98,OA_Table,Tariff!$Y$26)))</f>
        <v>0</v>
      </c>
      <c r="J98" s="391" t="str">
        <f t="shared" ca="1" si="26"/>
        <v xml:space="preserve"> </v>
      </c>
      <c r="K98" s="1109">
        <f ca="1">IF(OR($A98&lt;Startops2,$A98&gt;=Endyr),0,VLOOKUP($A98,Capacity_Table,Tariff!$S$18))</f>
        <v>0.91</v>
      </c>
      <c r="L98" s="212">
        <f ca="1">IF(OR($A98&lt;Startops2,$A98&gt;=Endyr),0,VLOOKUP($A98,Capacity_Table,Tariff!$T$18))</f>
        <v>0.92</v>
      </c>
      <c r="M98" s="334">
        <f ca="1">IF($A98&lt;Startops2,0,IF($A98&lt;Startops3,VLOOKUP($A98,Convert_Table,Tariff!$Y$54),C98*D98*F98*K98*L98))</f>
        <v>289336.32000000001</v>
      </c>
      <c r="N98" s="391" t="str">
        <f t="shared" ca="1" si="27"/>
        <v xml:space="preserve"> </v>
      </c>
      <c r="O98" s="334">
        <f t="shared" ca="1" si="28"/>
        <v>7000</v>
      </c>
      <c r="P98" s="334">
        <f t="shared" ca="1" si="20"/>
        <v>2025354.24</v>
      </c>
      <c r="Q98" s="332" t="str">
        <f t="shared" ca="1" si="21"/>
        <v xml:space="preserve"> </v>
      </c>
      <c r="R98" s="334">
        <f ca="1">IF($A98&gt;Endyr,0,IF($A98&lt;Assm!$A$55,P98,Assm!$F$55*$D98))</f>
        <v>1769187.9452054794</v>
      </c>
      <c r="S98" s="391" t="str">
        <f t="shared" ca="1" si="22"/>
        <v xml:space="preserve"> </v>
      </c>
      <c r="T98" s="334">
        <f t="shared" ca="1" si="23"/>
        <v>2025354.24</v>
      </c>
      <c r="U98" s="682" t="str">
        <f t="shared" ca="1" si="24"/>
        <v xml:space="preserve"> </v>
      </c>
    </row>
    <row r="99" spans="1:21">
      <c r="A99" s="672">
        <f t="shared" ca="1" si="16"/>
        <v>38899</v>
      </c>
      <c r="C99" s="681">
        <f ca="1">IF($A99&gt;Endyr,0,VLOOKUP($A99,Capacity_Table,Tariff!$R$18))</f>
        <v>480</v>
      </c>
      <c r="D99" s="330">
        <f t="shared" ca="1" si="17"/>
        <v>31</v>
      </c>
      <c r="E99" s="330" t="str">
        <f t="shared" ca="1" si="18"/>
        <v xml:space="preserve"> </v>
      </c>
      <c r="F99" s="332">
        <f t="shared" si="25"/>
        <v>24</v>
      </c>
      <c r="G99" s="1109">
        <f t="shared" ca="1" si="19"/>
        <v>0</v>
      </c>
      <c r="H99" s="1686">
        <f ca="1">IF(Avail_LDs_Switch=1,VLOOKUP('Plant Operations'!A99,RAC_AvailFactor_Table,RAC_LDs!$G$258),IF($A99&lt;Startops2,Tariff!$T$11,0))</f>
        <v>0</v>
      </c>
      <c r="I99" s="1559">
        <f ca="1">IF(OR($A99&lt;Startops1,$A99&gt;=Startops2),0,IF(AND($A99&gt;=DieselOps_2,$A99&lt;Startops2),VLOOKUP($A99,Diesel_Table,Tariff!$Y$41),VLOOKUP($A99,OA_Table,Tariff!$Y$26)))</f>
        <v>0</v>
      </c>
      <c r="J99" s="391" t="str">
        <f t="shared" ca="1" si="26"/>
        <v xml:space="preserve"> </v>
      </c>
      <c r="K99" s="1109">
        <f ca="1">IF(OR($A99&lt;Startops2,$A99&gt;=Endyr),0,VLOOKUP($A99,Capacity_Table,Tariff!$S$18))</f>
        <v>0.91</v>
      </c>
      <c r="L99" s="212">
        <f ca="1">IF(OR($A99&lt;Startops2,$A99&gt;=Endyr),0,VLOOKUP($A99,Capacity_Table,Tariff!$T$18))</f>
        <v>0.92</v>
      </c>
      <c r="M99" s="334">
        <f ca="1">IF($A99&lt;Startops2,0,IF($A99&lt;Startops3,VLOOKUP($A99,Convert_Table,Tariff!$Y$54),C99*D99*F99*K99*L99))</f>
        <v>298980.864</v>
      </c>
      <c r="N99" s="391" t="str">
        <f t="shared" ca="1" si="27"/>
        <v xml:space="preserve"> </v>
      </c>
      <c r="O99" s="334">
        <f t="shared" ca="1" si="28"/>
        <v>7000</v>
      </c>
      <c r="P99" s="334">
        <f t="shared" ca="1" si="20"/>
        <v>2092866.048</v>
      </c>
      <c r="Q99" s="332" t="str">
        <f t="shared" ca="1" si="21"/>
        <v xml:space="preserve"> </v>
      </c>
      <c r="R99" s="334">
        <f ca="1">IF($A99&gt;Endyr,0,IF($A99&lt;Assm!$A$55,P99,Assm!$F$55*$D99))</f>
        <v>1828160.8767123288</v>
      </c>
      <c r="S99" s="391" t="str">
        <f t="shared" ca="1" si="22"/>
        <v xml:space="preserve"> </v>
      </c>
      <c r="T99" s="334">
        <f t="shared" ca="1" si="23"/>
        <v>2092866.048</v>
      </c>
      <c r="U99" s="682" t="str">
        <f t="shared" ca="1" si="24"/>
        <v xml:space="preserve"> </v>
      </c>
    </row>
    <row r="100" spans="1:21">
      <c r="A100" s="672">
        <f t="shared" ca="1" si="16"/>
        <v>38930</v>
      </c>
      <c r="C100" s="681">
        <f ca="1">IF($A100&gt;Endyr,0,VLOOKUP($A100,Capacity_Table,Tariff!$R$18))</f>
        <v>480</v>
      </c>
      <c r="D100" s="330">
        <f t="shared" ca="1" si="17"/>
        <v>31</v>
      </c>
      <c r="E100" s="330" t="str">
        <f t="shared" ca="1" si="18"/>
        <v xml:space="preserve"> </v>
      </c>
      <c r="F100" s="332">
        <f t="shared" si="25"/>
        <v>24</v>
      </c>
      <c r="G100" s="1109">
        <f t="shared" ca="1" si="19"/>
        <v>0</v>
      </c>
      <c r="H100" s="1686">
        <f ca="1">IF(Avail_LDs_Switch=1,VLOOKUP('Plant Operations'!A100,RAC_AvailFactor_Table,RAC_LDs!$G$258),IF($A100&lt;Startops2,Tariff!$T$11,0))</f>
        <v>0</v>
      </c>
      <c r="I100" s="1559">
        <f ca="1">IF(OR($A100&lt;Startops1,$A100&gt;=Startops2),0,IF(AND($A100&gt;=DieselOps_2,$A100&lt;Startops2),VLOOKUP($A100,Diesel_Table,Tariff!$Y$41),VLOOKUP($A100,OA_Table,Tariff!$Y$26)))</f>
        <v>0</v>
      </c>
      <c r="J100" s="391" t="str">
        <f t="shared" ca="1" si="26"/>
        <v xml:space="preserve"> </v>
      </c>
      <c r="K100" s="1109">
        <f ca="1">IF(OR($A100&lt;Startops2,$A100&gt;=Endyr),0,VLOOKUP($A100,Capacity_Table,Tariff!$S$18))</f>
        <v>0.91</v>
      </c>
      <c r="L100" s="212">
        <f ca="1">IF(OR($A100&lt;Startops2,$A100&gt;=Endyr),0,VLOOKUP($A100,Capacity_Table,Tariff!$T$18))</f>
        <v>0.92</v>
      </c>
      <c r="M100" s="334">
        <f ca="1">IF($A100&lt;Startops2,0,IF($A100&lt;Startops3,VLOOKUP($A100,Convert_Table,Tariff!$Y$54),C100*D100*F100*K100*L100))</f>
        <v>298980.864</v>
      </c>
      <c r="N100" s="391" t="str">
        <f t="shared" ca="1" si="27"/>
        <v xml:space="preserve"> </v>
      </c>
      <c r="O100" s="334">
        <f t="shared" ca="1" si="28"/>
        <v>7000</v>
      </c>
      <c r="P100" s="334">
        <f t="shared" ca="1" si="20"/>
        <v>2092866.048</v>
      </c>
      <c r="Q100" s="332" t="str">
        <f t="shared" ca="1" si="21"/>
        <v xml:space="preserve"> </v>
      </c>
      <c r="R100" s="334">
        <f ca="1">IF($A100&gt;Endyr,0,IF($A100&lt;Assm!$A$55,P100,Assm!$F$55*$D100))</f>
        <v>1828160.8767123288</v>
      </c>
      <c r="S100" s="391" t="str">
        <f t="shared" ca="1" si="22"/>
        <v xml:space="preserve"> </v>
      </c>
      <c r="T100" s="334">
        <f t="shared" ca="1" si="23"/>
        <v>2092866.048</v>
      </c>
      <c r="U100" s="682" t="str">
        <f t="shared" ca="1" si="24"/>
        <v xml:space="preserve"> </v>
      </c>
    </row>
    <row r="101" spans="1:21">
      <c r="A101" s="672">
        <f t="shared" ca="1" si="16"/>
        <v>38961</v>
      </c>
      <c r="C101" s="681">
        <f ca="1">IF($A101&gt;Endyr,0,VLOOKUP($A101,Capacity_Table,Tariff!$R$18))</f>
        <v>480</v>
      </c>
      <c r="D101" s="330">
        <f t="shared" ca="1" si="17"/>
        <v>30</v>
      </c>
      <c r="E101" s="330" t="str">
        <f t="shared" ca="1" si="18"/>
        <v xml:space="preserve"> </v>
      </c>
      <c r="F101" s="332">
        <f t="shared" si="25"/>
        <v>24</v>
      </c>
      <c r="G101" s="1109">
        <f t="shared" ca="1" si="19"/>
        <v>0</v>
      </c>
      <c r="H101" s="1686">
        <f ca="1">IF(Avail_LDs_Switch=1,VLOOKUP('Plant Operations'!A101,RAC_AvailFactor_Table,RAC_LDs!$G$258),IF($A101&lt;Startops2,Tariff!$T$11,0))</f>
        <v>0</v>
      </c>
      <c r="I101" s="1559">
        <f ca="1">IF(OR($A101&lt;Startops1,$A101&gt;=Startops2),0,IF(AND($A101&gt;=DieselOps_2,$A101&lt;Startops2),VLOOKUP($A101,Diesel_Table,Tariff!$Y$41),VLOOKUP($A101,OA_Table,Tariff!$Y$26)))</f>
        <v>0</v>
      </c>
      <c r="J101" s="391" t="str">
        <f t="shared" ca="1" si="26"/>
        <v xml:space="preserve"> </v>
      </c>
      <c r="K101" s="1109">
        <f ca="1">IF(OR($A101&lt;Startops2,$A101&gt;=Endyr),0,VLOOKUP($A101,Capacity_Table,Tariff!$S$18))</f>
        <v>0.91</v>
      </c>
      <c r="L101" s="212">
        <f ca="1">IF(OR($A101&lt;Startops2,$A101&gt;=Endyr),0,VLOOKUP($A101,Capacity_Table,Tariff!$T$18))</f>
        <v>0.92</v>
      </c>
      <c r="M101" s="334">
        <f ca="1">IF($A101&lt;Startops2,0,IF($A101&lt;Startops3,VLOOKUP($A101,Convert_Table,Tariff!$Y$54),C101*D101*F101*K101*L101))</f>
        <v>289336.32000000001</v>
      </c>
      <c r="N101" s="391" t="str">
        <f t="shared" ca="1" si="27"/>
        <v xml:space="preserve"> </v>
      </c>
      <c r="O101" s="334">
        <f t="shared" ca="1" si="28"/>
        <v>7000</v>
      </c>
      <c r="P101" s="334">
        <f t="shared" ca="1" si="20"/>
        <v>2025354.24</v>
      </c>
      <c r="Q101" s="332" t="str">
        <f t="shared" ca="1" si="21"/>
        <v xml:space="preserve"> </v>
      </c>
      <c r="R101" s="334">
        <f ca="1">IF($A101&gt;Endyr,0,IF($A101&lt;Assm!$A$55,P101,Assm!$F$55*$D101))</f>
        <v>1769187.9452054794</v>
      </c>
      <c r="S101" s="391" t="str">
        <f t="shared" ca="1" si="22"/>
        <v xml:space="preserve"> </v>
      </c>
      <c r="T101" s="334">
        <f t="shared" ca="1" si="23"/>
        <v>2025354.24</v>
      </c>
      <c r="U101" s="682" t="str">
        <f t="shared" ca="1" si="24"/>
        <v xml:space="preserve"> </v>
      </c>
    </row>
    <row r="102" spans="1:21">
      <c r="A102" s="672">
        <f t="shared" ca="1" si="16"/>
        <v>38991</v>
      </c>
      <c r="C102" s="681">
        <f ca="1">IF($A102&gt;Endyr,0,VLOOKUP($A102,Capacity_Table,Tariff!$R$18))</f>
        <v>480</v>
      </c>
      <c r="D102" s="330">
        <f t="shared" ca="1" si="17"/>
        <v>31</v>
      </c>
      <c r="E102" s="330" t="str">
        <f t="shared" ca="1" si="18"/>
        <v xml:space="preserve"> </v>
      </c>
      <c r="F102" s="332">
        <f t="shared" si="25"/>
        <v>24</v>
      </c>
      <c r="G102" s="1109">
        <f t="shared" ca="1" si="19"/>
        <v>0</v>
      </c>
      <c r="H102" s="1686">
        <f ca="1">IF(Avail_LDs_Switch=1,VLOOKUP('Plant Operations'!A102,RAC_AvailFactor_Table,RAC_LDs!$G$258),IF($A102&lt;Startops2,Tariff!$T$11,0))</f>
        <v>0</v>
      </c>
      <c r="I102" s="1559">
        <f ca="1">IF(OR($A102&lt;Startops1,$A102&gt;=Startops2),0,IF(AND($A102&gt;=DieselOps_2,$A102&lt;Startops2),VLOOKUP($A102,Diesel_Table,Tariff!$Y$41),VLOOKUP($A102,OA_Table,Tariff!$Y$26)))</f>
        <v>0</v>
      </c>
      <c r="J102" s="391" t="str">
        <f t="shared" ca="1" si="26"/>
        <v xml:space="preserve"> </v>
      </c>
      <c r="K102" s="1109">
        <f ca="1">IF(OR($A102&lt;Startops2,$A102&gt;=Endyr),0,VLOOKUP($A102,Capacity_Table,Tariff!$S$18))</f>
        <v>0.91</v>
      </c>
      <c r="L102" s="212">
        <f ca="1">IF(OR($A102&lt;Startops2,$A102&gt;=Endyr),0,VLOOKUP($A102,Capacity_Table,Tariff!$T$18))</f>
        <v>0.92</v>
      </c>
      <c r="M102" s="334">
        <f ca="1">IF($A102&lt;Startops2,0,IF($A102&lt;Startops3,VLOOKUP($A102,Convert_Table,Tariff!$Y$54),C102*D102*F102*K102*L102))</f>
        <v>298980.864</v>
      </c>
      <c r="N102" s="391" t="str">
        <f t="shared" ca="1" si="27"/>
        <v xml:space="preserve"> </v>
      </c>
      <c r="O102" s="334">
        <f t="shared" ca="1" si="28"/>
        <v>7000</v>
      </c>
      <c r="P102" s="334">
        <f t="shared" ca="1" si="20"/>
        <v>2092866.048</v>
      </c>
      <c r="Q102" s="332" t="str">
        <f t="shared" ca="1" si="21"/>
        <v xml:space="preserve"> </v>
      </c>
      <c r="R102" s="334">
        <f ca="1">IF($A102&gt;Endyr,0,IF($A102&lt;Assm!$A$55,P102,Assm!$F$55*$D102))</f>
        <v>1828160.8767123288</v>
      </c>
      <c r="S102" s="391" t="str">
        <f t="shared" ca="1" si="22"/>
        <v xml:space="preserve"> </v>
      </c>
      <c r="T102" s="334">
        <f t="shared" ca="1" si="23"/>
        <v>2092866.048</v>
      </c>
      <c r="U102" s="682" t="str">
        <f t="shared" ca="1" si="24"/>
        <v xml:space="preserve"> </v>
      </c>
    </row>
    <row r="103" spans="1:21">
      <c r="A103" s="672">
        <f t="shared" ca="1" si="16"/>
        <v>39022</v>
      </c>
      <c r="C103" s="681">
        <f ca="1">IF($A103&gt;Endyr,0,VLOOKUP($A103,Capacity_Table,Tariff!$R$18))</f>
        <v>480</v>
      </c>
      <c r="D103" s="330">
        <f t="shared" ca="1" si="17"/>
        <v>30</v>
      </c>
      <c r="E103" s="330" t="str">
        <f t="shared" ca="1" si="18"/>
        <v xml:space="preserve"> </v>
      </c>
      <c r="F103" s="332">
        <f t="shared" si="25"/>
        <v>24</v>
      </c>
      <c r="G103" s="1109">
        <f t="shared" ca="1" si="19"/>
        <v>0</v>
      </c>
      <c r="H103" s="1686">
        <f ca="1">IF(Avail_LDs_Switch=1,VLOOKUP('Plant Operations'!A103,RAC_AvailFactor_Table,RAC_LDs!$G$258),IF($A103&lt;Startops2,Tariff!$T$11,0))</f>
        <v>0</v>
      </c>
      <c r="I103" s="1559">
        <f ca="1">IF(OR($A103&lt;Startops1,$A103&gt;=Startops2),0,IF(AND($A103&gt;=DieselOps_2,$A103&lt;Startops2),VLOOKUP($A103,Diesel_Table,Tariff!$Y$41),VLOOKUP($A103,OA_Table,Tariff!$Y$26)))</f>
        <v>0</v>
      </c>
      <c r="J103" s="391" t="str">
        <f t="shared" ca="1" si="26"/>
        <v xml:space="preserve"> </v>
      </c>
      <c r="K103" s="1109">
        <f ca="1">IF(OR($A103&lt;Startops2,$A103&gt;=Endyr),0,VLOOKUP($A103,Capacity_Table,Tariff!$S$18))</f>
        <v>0.91</v>
      </c>
      <c r="L103" s="212">
        <f ca="1">IF(OR($A103&lt;Startops2,$A103&gt;=Endyr),0,VLOOKUP($A103,Capacity_Table,Tariff!$T$18))</f>
        <v>0.92</v>
      </c>
      <c r="M103" s="334">
        <f ca="1">IF($A103&lt;Startops2,0,IF($A103&lt;Startops3,VLOOKUP($A103,Convert_Table,Tariff!$Y$54),C103*D103*F103*K103*L103))</f>
        <v>289336.32000000001</v>
      </c>
      <c r="N103" s="391" t="str">
        <f t="shared" ca="1" si="27"/>
        <v xml:space="preserve"> </v>
      </c>
      <c r="O103" s="334">
        <f t="shared" ca="1" si="28"/>
        <v>7000</v>
      </c>
      <c r="P103" s="334">
        <f t="shared" ca="1" si="20"/>
        <v>2025354.24</v>
      </c>
      <c r="Q103" s="332" t="str">
        <f t="shared" ca="1" si="21"/>
        <v xml:space="preserve"> </v>
      </c>
      <c r="R103" s="334">
        <f ca="1">IF($A103&gt;Endyr,0,IF($A103&lt;Assm!$A$55,P103,Assm!$F$55*$D103))</f>
        <v>1769187.9452054794</v>
      </c>
      <c r="S103" s="391" t="str">
        <f t="shared" ca="1" si="22"/>
        <v xml:space="preserve"> </v>
      </c>
      <c r="T103" s="334">
        <f t="shared" ca="1" si="23"/>
        <v>2025354.24</v>
      </c>
      <c r="U103" s="682" t="str">
        <f t="shared" ca="1" si="24"/>
        <v xml:space="preserve"> </v>
      </c>
    </row>
    <row r="104" spans="1:21">
      <c r="A104" s="672">
        <f t="shared" ca="1" si="16"/>
        <v>39052</v>
      </c>
      <c r="C104" s="681">
        <f ca="1">IF($A104&gt;Endyr,0,VLOOKUP($A104,Capacity_Table,Tariff!$R$18))</f>
        <v>480</v>
      </c>
      <c r="D104" s="330">
        <f t="shared" ca="1" si="17"/>
        <v>31</v>
      </c>
      <c r="E104" s="330">
        <f t="shared" ca="1" si="18"/>
        <v>365</v>
      </c>
      <c r="F104" s="332">
        <f t="shared" si="25"/>
        <v>24</v>
      </c>
      <c r="G104" s="1109">
        <f t="shared" ca="1" si="19"/>
        <v>0</v>
      </c>
      <c r="H104" s="1686">
        <f ca="1">IF(Avail_LDs_Switch=1,VLOOKUP('Plant Operations'!A104,RAC_AvailFactor_Table,RAC_LDs!$G$258),IF($A104&lt;Startops2,Tariff!$T$11,0))</f>
        <v>0</v>
      </c>
      <c r="I104" s="1559">
        <f ca="1">IF(OR($A104&lt;Startops1,$A104&gt;=Startops2),0,IF(AND($A104&gt;=DieselOps_2,$A104&lt;Startops2),VLOOKUP($A104,Diesel_Table,Tariff!$Y$41),VLOOKUP($A104,OA_Table,Tariff!$Y$26)))</f>
        <v>0</v>
      </c>
      <c r="J104" s="391">
        <f t="shared" ca="1" si="26"/>
        <v>0</v>
      </c>
      <c r="K104" s="1109">
        <f ca="1">IF(OR($A104&lt;Startops2,$A104&gt;=Endyr),0,VLOOKUP($A104,Capacity_Table,Tariff!$S$18))</f>
        <v>0.91</v>
      </c>
      <c r="L104" s="212">
        <f ca="1">IF(OR($A104&lt;Startops2,$A104&gt;=Endyr),0,VLOOKUP($A104,Capacity_Table,Tariff!$T$18))</f>
        <v>0.92</v>
      </c>
      <c r="M104" s="334">
        <f ca="1">IF($A104&lt;Startops2,0,IF($A104&lt;Startops3,VLOOKUP($A104,Convert_Table,Tariff!$Y$54),C104*D104*F104*K104*L104))</f>
        <v>298980.864</v>
      </c>
      <c r="N104" s="391">
        <f t="shared" ca="1" si="27"/>
        <v>3520258.56</v>
      </c>
      <c r="O104" s="334">
        <f t="shared" ca="1" si="28"/>
        <v>7000</v>
      </c>
      <c r="P104" s="334">
        <f t="shared" ca="1" si="20"/>
        <v>2092866.048</v>
      </c>
      <c r="Q104" s="332">
        <f t="shared" ca="1" si="21"/>
        <v>24641809.920000002</v>
      </c>
      <c r="R104" s="334">
        <f ca="1">IF($A104&gt;Endyr,0,IF($A104&lt;Assm!$A$55,P104,Assm!$F$55*$D104))</f>
        <v>1828160.8767123288</v>
      </c>
      <c r="S104" s="391">
        <f t="shared" ca="1" si="22"/>
        <v>21525120.000000004</v>
      </c>
      <c r="T104" s="334">
        <f t="shared" ca="1" si="23"/>
        <v>2092866.048</v>
      </c>
      <c r="U104" s="682">
        <f t="shared" ca="1" si="24"/>
        <v>24641809.920000002</v>
      </c>
    </row>
    <row r="105" spans="1:21">
      <c r="A105" s="672">
        <f t="shared" ca="1" si="16"/>
        <v>39083</v>
      </c>
      <c r="C105" s="681">
        <f ca="1">IF($A105&gt;Endyr,0,VLOOKUP($A105,Capacity_Table,Tariff!$R$18))</f>
        <v>480</v>
      </c>
      <c r="D105" s="330">
        <f t="shared" ca="1" si="17"/>
        <v>31</v>
      </c>
      <c r="E105" s="330" t="str">
        <f t="shared" ca="1" si="18"/>
        <v xml:space="preserve"> </v>
      </c>
      <c r="F105" s="332">
        <f t="shared" si="25"/>
        <v>24</v>
      </c>
      <c r="G105" s="1109">
        <f t="shared" ca="1" si="19"/>
        <v>0</v>
      </c>
      <c r="H105" s="1686">
        <f ca="1">IF(Avail_LDs_Switch=1,VLOOKUP('Plant Operations'!A105,RAC_AvailFactor_Table,RAC_LDs!$G$258),IF($A105&lt;Startops2,Tariff!$T$11,0))</f>
        <v>0</v>
      </c>
      <c r="I105" s="1559">
        <f ca="1">IF(OR($A105&lt;Startops1,$A105&gt;=Startops2),0,IF(AND($A105&gt;=DieselOps_2,$A105&lt;Startops2),VLOOKUP($A105,Diesel_Table,Tariff!$Y$41),VLOOKUP($A105,OA_Table,Tariff!$Y$26)))</f>
        <v>0</v>
      </c>
      <c r="J105" s="391" t="str">
        <f t="shared" ca="1" si="26"/>
        <v xml:space="preserve"> </v>
      </c>
      <c r="K105" s="1109">
        <f ca="1">IF(OR($A105&lt;Startops2,$A105&gt;=Endyr),0,VLOOKUP($A105,Capacity_Table,Tariff!$S$18))</f>
        <v>0.91</v>
      </c>
      <c r="L105" s="212">
        <f ca="1">IF(OR($A105&lt;Startops2,$A105&gt;=Endyr),0,VLOOKUP($A105,Capacity_Table,Tariff!$T$18))</f>
        <v>0.92</v>
      </c>
      <c r="M105" s="334">
        <f ca="1">IF($A105&lt;Startops2,0,IF($A105&lt;Startops3,VLOOKUP($A105,Convert_Table,Tariff!$Y$54),C105*D105*F105*K105*L105))</f>
        <v>298980.864</v>
      </c>
      <c r="N105" s="391" t="str">
        <f t="shared" ca="1" si="27"/>
        <v xml:space="preserve"> </v>
      </c>
      <c r="O105" s="334">
        <f t="shared" ca="1" si="28"/>
        <v>7000</v>
      </c>
      <c r="P105" s="334">
        <f t="shared" ca="1" si="20"/>
        <v>2092866.048</v>
      </c>
      <c r="Q105" s="332" t="str">
        <f t="shared" ca="1" si="21"/>
        <v xml:space="preserve"> </v>
      </c>
      <c r="R105" s="334">
        <f ca="1">IF($A105&gt;Endyr,0,IF($A105&lt;Assm!$A$55,P105,Assm!$F$55*$D105))</f>
        <v>1828160.8767123288</v>
      </c>
      <c r="S105" s="391" t="str">
        <f t="shared" ca="1" si="22"/>
        <v xml:space="preserve"> </v>
      </c>
      <c r="T105" s="334">
        <f t="shared" ca="1" si="23"/>
        <v>2092866.048</v>
      </c>
      <c r="U105" s="682" t="str">
        <f t="shared" ca="1" si="24"/>
        <v xml:space="preserve"> </v>
      </c>
    </row>
    <row r="106" spans="1:21">
      <c r="A106" s="672">
        <f t="shared" ca="1" si="16"/>
        <v>39114</v>
      </c>
      <c r="C106" s="681">
        <f ca="1">IF($A106&gt;Endyr,0,VLOOKUP($A106,Capacity_Table,Tariff!$R$18))</f>
        <v>480</v>
      </c>
      <c r="D106" s="330">
        <f t="shared" ca="1" si="17"/>
        <v>28</v>
      </c>
      <c r="E106" s="330" t="str">
        <f t="shared" ca="1" si="18"/>
        <v xml:space="preserve"> </v>
      </c>
      <c r="F106" s="332">
        <f t="shared" si="25"/>
        <v>24</v>
      </c>
      <c r="G106" s="1109">
        <f t="shared" ca="1" si="19"/>
        <v>0</v>
      </c>
      <c r="H106" s="1686">
        <f ca="1">IF(Avail_LDs_Switch=1,VLOOKUP('Plant Operations'!A106,RAC_AvailFactor_Table,RAC_LDs!$G$258),IF($A106&lt;Startops2,Tariff!$T$11,0))</f>
        <v>0</v>
      </c>
      <c r="I106" s="1559">
        <f ca="1">IF(OR($A106&lt;Startops1,$A106&gt;=Startops2),0,IF(AND($A106&gt;=DieselOps_2,$A106&lt;Startops2),VLOOKUP($A106,Diesel_Table,Tariff!$Y$41),VLOOKUP($A106,OA_Table,Tariff!$Y$26)))</f>
        <v>0</v>
      </c>
      <c r="J106" s="391" t="str">
        <f t="shared" ca="1" si="26"/>
        <v xml:space="preserve"> </v>
      </c>
      <c r="K106" s="1109">
        <f ca="1">IF(OR($A106&lt;Startops2,$A106&gt;=Endyr),0,VLOOKUP($A106,Capacity_Table,Tariff!$S$18))</f>
        <v>0.91</v>
      </c>
      <c r="L106" s="212">
        <f ca="1">IF(OR($A106&lt;Startops2,$A106&gt;=Endyr),0,VLOOKUP($A106,Capacity_Table,Tariff!$T$18))</f>
        <v>0.92</v>
      </c>
      <c r="M106" s="334">
        <f ca="1">IF($A106&lt;Startops2,0,IF($A106&lt;Startops3,VLOOKUP($A106,Convert_Table,Tariff!$Y$54),C106*D106*F106*K106*L106))</f>
        <v>270047.23200000002</v>
      </c>
      <c r="N106" s="391" t="str">
        <f t="shared" ca="1" si="27"/>
        <v xml:space="preserve"> </v>
      </c>
      <c r="O106" s="334">
        <f t="shared" ca="1" si="28"/>
        <v>7000</v>
      </c>
      <c r="P106" s="334">
        <f t="shared" ca="1" si="20"/>
        <v>1890330.6240000003</v>
      </c>
      <c r="Q106" s="332" t="str">
        <f t="shared" ca="1" si="21"/>
        <v xml:space="preserve"> </v>
      </c>
      <c r="R106" s="334">
        <f ca="1">IF($A106&gt;Endyr,0,IF($A106&lt;Assm!$A$55,P106,Assm!$F$55*$D106))</f>
        <v>1651242.0821917809</v>
      </c>
      <c r="S106" s="391" t="str">
        <f t="shared" ca="1" si="22"/>
        <v xml:space="preserve"> </v>
      </c>
      <c r="T106" s="334">
        <f t="shared" ca="1" si="23"/>
        <v>1890330.6240000003</v>
      </c>
      <c r="U106" s="682" t="str">
        <f t="shared" ca="1" si="24"/>
        <v xml:space="preserve"> </v>
      </c>
    </row>
    <row r="107" spans="1:21">
      <c r="A107" s="672">
        <f t="shared" ca="1" si="16"/>
        <v>39142</v>
      </c>
      <c r="C107" s="681">
        <f ca="1">IF($A107&gt;Endyr,0,VLOOKUP($A107,Capacity_Table,Tariff!$R$18))</f>
        <v>480</v>
      </c>
      <c r="D107" s="330">
        <f t="shared" ca="1" si="17"/>
        <v>31</v>
      </c>
      <c r="E107" s="330" t="str">
        <f t="shared" ca="1" si="18"/>
        <v xml:space="preserve"> </v>
      </c>
      <c r="F107" s="332">
        <f t="shared" si="25"/>
        <v>24</v>
      </c>
      <c r="G107" s="1109">
        <f t="shared" ca="1" si="19"/>
        <v>0</v>
      </c>
      <c r="H107" s="1686">
        <f ca="1">IF(Avail_LDs_Switch=1,VLOOKUP('Plant Operations'!A107,RAC_AvailFactor_Table,RAC_LDs!$G$258),IF($A107&lt;Startops2,Tariff!$T$11,0))</f>
        <v>0</v>
      </c>
      <c r="I107" s="1559">
        <f ca="1">IF(OR($A107&lt;Startops1,$A107&gt;=Startops2),0,IF(AND($A107&gt;=DieselOps_2,$A107&lt;Startops2),VLOOKUP($A107,Diesel_Table,Tariff!$Y$41),VLOOKUP($A107,OA_Table,Tariff!$Y$26)))</f>
        <v>0</v>
      </c>
      <c r="J107" s="391" t="str">
        <f t="shared" ca="1" si="26"/>
        <v xml:space="preserve"> </v>
      </c>
      <c r="K107" s="1109">
        <f ca="1">IF(OR($A107&lt;Startops2,$A107&gt;=Endyr),0,VLOOKUP($A107,Capacity_Table,Tariff!$S$18))</f>
        <v>0.91</v>
      </c>
      <c r="L107" s="212">
        <f ca="1">IF(OR($A107&lt;Startops2,$A107&gt;=Endyr),0,VLOOKUP($A107,Capacity_Table,Tariff!$T$18))</f>
        <v>0.92</v>
      </c>
      <c r="M107" s="334">
        <f ca="1">IF($A107&lt;Startops2,0,IF($A107&lt;Startops3,VLOOKUP($A107,Convert_Table,Tariff!$Y$54),C107*D107*F107*K107*L107))</f>
        <v>298980.864</v>
      </c>
      <c r="N107" s="391" t="str">
        <f t="shared" ca="1" si="27"/>
        <v xml:space="preserve"> </v>
      </c>
      <c r="O107" s="334">
        <f t="shared" ca="1" si="28"/>
        <v>7000</v>
      </c>
      <c r="P107" s="334">
        <f t="shared" ca="1" si="20"/>
        <v>2092866.048</v>
      </c>
      <c r="Q107" s="332" t="str">
        <f t="shared" ca="1" si="21"/>
        <v xml:space="preserve"> </v>
      </c>
      <c r="R107" s="334">
        <f ca="1">IF($A107&gt;Endyr,0,IF($A107&lt;Assm!$A$55,P107,Assm!$F$55*$D107))</f>
        <v>1828160.8767123288</v>
      </c>
      <c r="S107" s="391" t="str">
        <f t="shared" ca="1" si="22"/>
        <v xml:space="preserve"> </v>
      </c>
      <c r="T107" s="334">
        <f t="shared" ca="1" si="23"/>
        <v>2092866.048</v>
      </c>
      <c r="U107" s="682" t="str">
        <f t="shared" ca="1" si="24"/>
        <v xml:space="preserve"> </v>
      </c>
    </row>
    <row r="108" spans="1:21">
      <c r="A108" s="672">
        <f t="shared" ca="1" si="16"/>
        <v>39173</v>
      </c>
      <c r="C108" s="681">
        <f ca="1">IF($A108&gt;Endyr,0,VLOOKUP($A108,Capacity_Table,Tariff!$R$18))</f>
        <v>480</v>
      </c>
      <c r="D108" s="330">
        <f t="shared" ca="1" si="17"/>
        <v>30</v>
      </c>
      <c r="E108" s="330" t="str">
        <f t="shared" ca="1" si="18"/>
        <v xml:space="preserve"> </v>
      </c>
      <c r="F108" s="332">
        <f t="shared" si="25"/>
        <v>24</v>
      </c>
      <c r="G108" s="1109">
        <f t="shared" ca="1" si="19"/>
        <v>0</v>
      </c>
      <c r="H108" s="1686">
        <f ca="1">IF(Avail_LDs_Switch=1,VLOOKUP('Plant Operations'!A108,RAC_AvailFactor_Table,RAC_LDs!$G$258),IF($A108&lt;Startops2,Tariff!$T$11,0))</f>
        <v>0</v>
      </c>
      <c r="I108" s="1559">
        <f ca="1">IF(OR($A108&lt;Startops1,$A108&gt;=Startops2),0,IF(AND($A108&gt;=DieselOps_2,$A108&lt;Startops2),VLOOKUP($A108,Diesel_Table,Tariff!$Y$41),VLOOKUP($A108,OA_Table,Tariff!$Y$26)))</f>
        <v>0</v>
      </c>
      <c r="J108" s="391" t="str">
        <f t="shared" ca="1" si="26"/>
        <v xml:space="preserve"> </v>
      </c>
      <c r="K108" s="1109">
        <f ca="1">IF(OR($A108&lt;Startops2,$A108&gt;=Endyr),0,VLOOKUP($A108,Capacity_Table,Tariff!$S$18))</f>
        <v>0.91</v>
      </c>
      <c r="L108" s="212">
        <f ca="1">IF(OR($A108&lt;Startops2,$A108&gt;=Endyr),0,VLOOKUP($A108,Capacity_Table,Tariff!$T$18))</f>
        <v>0.92</v>
      </c>
      <c r="M108" s="334">
        <f ca="1">IF($A108&lt;Startops2,0,IF($A108&lt;Startops3,VLOOKUP($A108,Convert_Table,Tariff!$Y$54),C108*D108*F108*K108*L108))</f>
        <v>289336.32000000001</v>
      </c>
      <c r="N108" s="391" t="str">
        <f t="shared" ca="1" si="27"/>
        <v xml:space="preserve"> </v>
      </c>
      <c r="O108" s="334">
        <f t="shared" ca="1" si="28"/>
        <v>7000</v>
      </c>
      <c r="P108" s="334">
        <f t="shared" ca="1" si="20"/>
        <v>2025354.24</v>
      </c>
      <c r="Q108" s="332" t="str">
        <f t="shared" ca="1" si="21"/>
        <v xml:space="preserve"> </v>
      </c>
      <c r="R108" s="334">
        <f ca="1">IF($A108&gt;Endyr,0,IF($A108&lt;Assm!$A$55,P108,Assm!$F$55*$D108))</f>
        <v>1769187.9452054794</v>
      </c>
      <c r="S108" s="391" t="str">
        <f t="shared" ca="1" si="22"/>
        <v xml:space="preserve"> </v>
      </c>
      <c r="T108" s="334">
        <f t="shared" ca="1" si="23"/>
        <v>2025354.24</v>
      </c>
      <c r="U108" s="682" t="str">
        <f t="shared" ca="1" si="24"/>
        <v xml:space="preserve"> </v>
      </c>
    </row>
    <row r="109" spans="1:21">
      <c r="A109" s="672">
        <f t="shared" ca="1" si="16"/>
        <v>39203</v>
      </c>
      <c r="C109" s="681">
        <f ca="1">IF($A109&gt;Endyr,0,VLOOKUP($A109,Capacity_Table,Tariff!$R$18))</f>
        <v>480</v>
      </c>
      <c r="D109" s="330">
        <f t="shared" ca="1" si="17"/>
        <v>31</v>
      </c>
      <c r="E109" s="330" t="str">
        <f t="shared" ca="1" si="18"/>
        <v xml:space="preserve"> </v>
      </c>
      <c r="F109" s="332">
        <f t="shared" si="25"/>
        <v>24</v>
      </c>
      <c r="G109" s="1109">
        <f t="shared" ca="1" si="19"/>
        <v>0</v>
      </c>
      <c r="H109" s="1686">
        <f ca="1">IF(Avail_LDs_Switch=1,VLOOKUP('Plant Operations'!A109,RAC_AvailFactor_Table,RAC_LDs!$G$258),IF($A109&lt;Startops2,Tariff!$T$11,0))</f>
        <v>0</v>
      </c>
      <c r="I109" s="1559">
        <f ca="1">IF(OR($A109&lt;Startops1,$A109&gt;=Startops2),0,IF(AND($A109&gt;=DieselOps_2,$A109&lt;Startops2),VLOOKUP($A109,Diesel_Table,Tariff!$Y$41),VLOOKUP($A109,OA_Table,Tariff!$Y$26)))</f>
        <v>0</v>
      </c>
      <c r="J109" s="391" t="str">
        <f t="shared" ca="1" si="26"/>
        <v xml:space="preserve"> </v>
      </c>
      <c r="K109" s="1109">
        <f ca="1">IF(OR($A109&lt;Startops2,$A109&gt;=Endyr),0,VLOOKUP($A109,Capacity_Table,Tariff!$S$18))</f>
        <v>0.91</v>
      </c>
      <c r="L109" s="212">
        <f ca="1">IF(OR($A109&lt;Startops2,$A109&gt;=Endyr),0,VLOOKUP($A109,Capacity_Table,Tariff!$T$18))</f>
        <v>0.92</v>
      </c>
      <c r="M109" s="334">
        <f ca="1">IF($A109&lt;Startops2,0,IF($A109&lt;Startops3,VLOOKUP($A109,Convert_Table,Tariff!$Y$54),C109*D109*F109*K109*L109))</f>
        <v>298980.864</v>
      </c>
      <c r="N109" s="391" t="str">
        <f t="shared" ca="1" si="27"/>
        <v xml:space="preserve"> </v>
      </c>
      <c r="O109" s="334">
        <f t="shared" ca="1" si="28"/>
        <v>7000</v>
      </c>
      <c r="P109" s="334">
        <f t="shared" ca="1" si="20"/>
        <v>2092866.048</v>
      </c>
      <c r="Q109" s="332" t="str">
        <f t="shared" ca="1" si="21"/>
        <v xml:space="preserve"> </v>
      </c>
      <c r="R109" s="334">
        <f ca="1">IF($A109&gt;Endyr,0,IF($A109&lt;Assm!$A$55,P109,Assm!$F$55*$D109))</f>
        <v>1828160.8767123288</v>
      </c>
      <c r="S109" s="391" t="str">
        <f t="shared" ca="1" si="22"/>
        <v xml:space="preserve"> </v>
      </c>
      <c r="T109" s="334">
        <f t="shared" ca="1" si="23"/>
        <v>2092866.048</v>
      </c>
      <c r="U109" s="682" t="str">
        <f t="shared" ca="1" si="24"/>
        <v xml:space="preserve"> </v>
      </c>
    </row>
    <row r="110" spans="1:21">
      <c r="A110" s="672">
        <f t="shared" ca="1" si="16"/>
        <v>39234</v>
      </c>
      <c r="C110" s="681">
        <f ca="1">IF($A110&gt;Endyr,0,VLOOKUP($A110,Capacity_Table,Tariff!$R$18))</f>
        <v>480</v>
      </c>
      <c r="D110" s="330">
        <f t="shared" ca="1" si="17"/>
        <v>30</v>
      </c>
      <c r="E110" s="330" t="str">
        <f t="shared" ca="1" si="18"/>
        <v xml:space="preserve"> </v>
      </c>
      <c r="F110" s="332">
        <f t="shared" si="25"/>
        <v>24</v>
      </c>
      <c r="G110" s="1109">
        <f t="shared" ca="1" si="19"/>
        <v>0</v>
      </c>
      <c r="H110" s="1686">
        <f ca="1">IF(Avail_LDs_Switch=1,VLOOKUP('Plant Operations'!A110,RAC_AvailFactor_Table,RAC_LDs!$G$258),IF($A110&lt;Startops2,Tariff!$T$11,0))</f>
        <v>0</v>
      </c>
      <c r="I110" s="1559">
        <f ca="1">IF(OR($A110&lt;Startops1,$A110&gt;=Startops2),0,IF(AND($A110&gt;=DieselOps_2,$A110&lt;Startops2),VLOOKUP($A110,Diesel_Table,Tariff!$Y$41),VLOOKUP($A110,OA_Table,Tariff!$Y$26)))</f>
        <v>0</v>
      </c>
      <c r="J110" s="391" t="str">
        <f t="shared" ca="1" si="26"/>
        <v xml:space="preserve"> </v>
      </c>
      <c r="K110" s="1109">
        <f ca="1">IF(OR($A110&lt;Startops2,$A110&gt;=Endyr),0,VLOOKUP($A110,Capacity_Table,Tariff!$S$18))</f>
        <v>0.91</v>
      </c>
      <c r="L110" s="212">
        <f ca="1">IF(OR($A110&lt;Startops2,$A110&gt;=Endyr),0,VLOOKUP($A110,Capacity_Table,Tariff!$T$18))</f>
        <v>0.92</v>
      </c>
      <c r="M110" s="334">
        <f ca="1">IF($A110&lt;Startops2,0,IF($A110&lt;Startops3,VLOOKUP($A110,Convert_Table,Tariff!$Y$54),C110*D110*F110*K110*L110))</f>
        <v>289336.32000000001</v>
      </c>
      <c r="N110" s="391" t="str">
        <f t="shared" ca="1" si="27"/>
        <v xml:space="preserve"> </v>
      </c>
      <c r="O110" s="334">
        <f t="shared" ca="1" si="28"/>
        <v>7000</v>
      </c>
      <c r="P110" s="334">
        <f t="shared" ca="1" si="20"/>
        <v>2025354.24</v>
      </c>
      <c r="Q110" s="332" t="str">
        <f t="shared" ca="1" si="21"/>
        <v xml:space="preserve"> </v>
      </c>
      <c r="R110" s="334">
        <f ca="1">IF($A110&gt;Endyr,0,IF($A110&lt;Assm!$A$55,P110,Assm!$F$55*$D110))</f>
        <v>1769187.9452054794</v>
      </c>
      <c r="S110" s="391" t="str">
        <f t="shared" ca="1" si="22"/>
        <v xml:space="preserve"> </v>
      </c>
      <c r="T110" s="334">
        <f t="shared" ca="1" si="23"/>
        <v>2025354.24</v>
      </c>
      <c r="U110" s="682" t="str">
        <f t="shared" ca="1" si="24"/>
        <v xml:space="preserve"> </v>
      </c>
    </row>
    <row r="111" spans="1:21">
      <c r="A111" s="672">
        <f t="shared" ca="1" si="16"/>
        <v>39264</v>
      </c>
      <c r="C111" s="681">
        <f ca="1">IF($A111&gt;Endyr,0,VLOOKUP($A111,Capacity_Table,Tariff!$R$18))</f>
        <v>480</v>
      </c>
      <c r="D111" s="330">
        <f t="shared" ca="1" si="17"/>
        <v>31</v>
      </c>
      <c r="E111" s="330" t="str">
        <f t="shared" ca="1" si="18"/>
        <v xml:space="preserve"> </v>
      </c>
      <c r="F111" s="332">
        <f t="shared" si="25"/>
        <v>24</v>
      </c>
      <c r="G111" s="1109">
        <f t="shared" ca="1" si="19"/>
        <v>0</v>
      </c>
      <c r="H111" s="1686">
        <f ca="1">IF(Avail_LDs_Switch=1,VLOOKUP('Plant Operations'!A111,RAC_AvailFactor_Table,RAC_LDs!$G$258),IF($A111&lt;Startops2,Tariff!$T$11,0))</f>
        <v>0</v>
      </c>
      <c r="I111" s="1559">
        <f ca="1">IF(OR($A111&lt;Startops1,$A111&gt;=Startops2),0,IF(AND($A111&gt;=DieselOps_2,$A111&lt;Startops2),VLOOKUP($A111,Diesel_Table,Tariff!$Y$41),VLOOKUP($A111,OA_Table,Tariff!$Y$26)))</f>
        <v>0</v>
      </c>
      <c r="J111" s="391" t="str">
        <f t="shared" ca="1" si="26"/>
        <v xml:space="preserve"> </v>
      </c>
      <c r="K111" s="1109">
        <f ca="1">IF(OR($A111&lt;Startops2,$A111&gt;=Endyr),0,VLOOKUP($A111,Capacity_Table,Tariff!$S$18))</f>
        <v>0.91</v>
      </c>
      <c r="L111" s="212">
        <f ca="1">IF(OR($A111&lt;Startops2,$A111&gt;=Endyr),0,VLOOKUP($A111,Capacity_Table,Tariff!$T$18))</f>
        <v>0.92</v>
      </c>
      <c r="M111" s="334">
        <f ca="1">IF($A111&lt;Startops2,0,IF($A111&lt;Startops3,VLOOKUP($A111,Convert_Table,Tariff!$Y$54),C111*D111*F111*K111*L111))</f>
        <v>298980.864</v>
      </c>
      <c r="N111" s="391" t="str">
        <f t="shared" ca="1" si="27"/>
        <v xml:space="preserve"> </v>
      </c>
      <c r="O111" s="334">
        <f t="shared" ca="1" si="28"/>
        <v>7000</v>
      </c>
      <c r="P111" s="334">
        <f t="shared" ca="1" si="20"/>
        <v>2092866.048</v>
      </c>
      <c r="Q111" s="332" t="str">
        <f t="shared" ca="1" si="21"/>
        <v xml:space="preserve"> </v>
      </c>
      <c r="R111" s="334">
        <f ca="1">IF($A111&gt;Endyr,0,IF($A111&lt;Assm!$A$55,P111,Assm!$F$55*$D111))</f>
        <v>1828160.8767123288</v>
      </c>
      <c r="S111" s="391" t="str">
        <f t="shared" ca="1" si="22"/>
        <v xml:space="preserve"> </v>
      </c>
      <c r="T111" s="334">
        <f t="shared" ca="1" si="23"/>
        <v>2092866.048</v>
      </c>
      <c r="U111" s="682" t="str">
        <f t="shared" ca="1" si="24"/>
        <v xml:space="preserve"> </v>
      </c>
    </row>
    <row r="112" spans="1:21">
      <c r="A112" s="672">
        <f t="shared" ca="1" si="16"/>
        <v>39295</v>
      </c>
      <c r="C112" s="681">
        <f ca="1">IF($A112&gt;Endyr,0,VLOOKUP($A112,Capacity_Table,Tariff!$R$18))</f>
        <v>480</v>
      </c>
      <c r="D112" s="330">
        <f t="shared" ca="1" si="17"/>
        <v>31</v>
      </c>
      <c r="E112" s="330" t="str">
        <f t="shared" ca="1" si="18"/>
        <v xml:space="preserve"> </v>
      </c>
      <c r="F112" s="332">
        <f t="shared" si="25"/>
        <v>24</v>
      </c>
      <c r="G112" s="1109">
        <f t="shared" ca="1" si="19"/>
        <v>0</v>
      </c>
      <c r="H112" s="1686">
        <f ca="1">IF(Avail_LDs_Switch=1,VLOOKUP('Plant Operations'!A112,RAC_AvailFactor_Table,RAC_LDs!$G$258),IF($A112&lt;Startops2,Tariff!$T$11,0))</f>
        <v>0</v>
      </c>
      <c r="I112" s="1559">
        <f ca="1">IF(OR($A112&lt;Startops1,$A112&gt;=Startops2),0,IF(AND($A112&gt;=DieselOps_2,$A112&lt;Startops2),VLOOKUP($A112,Diesel_Table,Tariff!$Y$41),VLOOKUP($A112,OA_Table,Tariff!$Y$26)))</f>
        <v>0</v>
      </c>
      <c r="J112" s="391" t="str">
        <f t="shared" ca="1" si="26"/>
        <v xml:space="preserve"> </v>
      </c>
      <c r="K112" s="1109">
        <f ca="1">IF(OR($A112&lt;Startops2,$A112&gt;=Endyr),0,VLOOKUP($A112,Capacity_Table,Tariff!$S$18))</f>
        <v>0.91</v>
      </c>
      <c r="L112" s="212">
        <f ca="1">IF(OR($A112&lt;Startops2,$A112&gt;=Endyr),0,VLOOKUP($A112,Capacity_Table,Tariff!$T$18))</f>
        <v>0.92</v>
      </c>
      <c r="M112" s="334">
        <f ca="1">IF($A112&lt;Startops2,0,IF($A112&lt;Startops3,VLOOKUP($A112,Convert_Table,Tariff!$Y$54),C112*D112*F112*K112*L112))</f>
        <v>298980.864</v>
      </c>
      <c r="N112" s="391" t="str">
        <f t="shared" ca="1" si="27"/>
        <v xml:space="preserve"> </v>
      </c>
      <c r="O112" s="334">
        <f t="shared" ca="1" si="28"/>
        <v>7000</v>
      </c>
      <c r="P112" s="334">
        <f t="shared" ca="1" si="20"/>
        <v>2092866.048</v>
      </c>
      <c r="Q112" s="332" t="str">
        <f t="shared" ca="1" si="21"/>
        <v xml:space="preserve"> </v>
      </c>
      <c r="R112" s="334">
        <f ca="1">IF($A112&gt;Endyr,0,IF($A112&lt;Assm!$A$55,P112,Assm!$F$55*$D112))</f>
        <v>1828160.8767123288</v>
      </c>
      <c r="S112" s="391" t="str">
        <f t="shared" ca="1" si="22"/>
        <v xml:space="preserve"> </v>
      </c>
      <c r="T112" s="334">
        <f t="shared" ca="1" si="23"/>
        <v>2092866.048</v>
      </c>
      <c r="U112" s="682" t="str">
        <f t="shared" ca="1" si="24"/>
        <v xml:space="preserve"> </v>
      </c>
    </row>
    <row r="113" spans="1:21">
      <c r="A113" s="672">
        <f t="shared" ca="1" si="16"/>
        <v>39326</v>
      </c>
      <c r="C113" s="681">
        <f ca="1">IF($A113&gt;Endyr,0,VLOOKUP($A113,Capacity_Table,Tariff!$R$18))</f>
        <v>480</v>
      </c>
      <c r="D113" s="330">
        <f t="shared" ca="1" si="17"/>
        <v>30</v>
      </c>
      <c r="E113" s="330" t="str">
        <f t="shared" ca="1" si="18"/>
        <v xml:space="preserve"> </v>
      </c>
      <c r="F113" s="332">
        <f t="shared" si="25"/>
        <v>24</v>
      </c>
      <c r="G113" s="1109">
        <f t="shared" ca="1" si="19"/>
        <v>0</v>
      </c>
      <c r="H113" s="1686">
        <f ca="1">IF(Avail_LDs_Switch=1,VLOOKUP('Plant Operations'!A113,RAC_AvailFactor_Table,RAC_LDs!$G$258),IF($A113&lt;Startops2,Tariff!$T$11,0))</f>
        <v>0</v>
      </c>
      <c r="I113" s="1559">
        <f ca="1">IF(OR($A113&lt;Startops1,$A113&gt;=Startops2),0,IF(AND($A113&gt;=DieselOps_2,$A113&lt;Startops2),VLOOKUP($A113,Diesel_Table,Tariff!$Y$41),VLOOKUP($A113,OA_Table,Tariff!$Y$26)))</f>
        <v>0</v>
      </c>
      <c r="J113" s="391" t="str">
        <f t="shared" ca="1" si="26"/>
        <v xml:space="preserve"> </v>
      </c>
      <c r="K113" s="1109">
        <f ca="1">IF(OR($A113&lt;Startops2,$A113&gt;=Endyr),0,VLOOKUP($A113,Capacity_Table,Tariff!$S$18))</f>
        <v>0.91</v>
      </c>
      <c r="L113" s="212">
        <f ca="1">IF(OR($A113&lt;Startops2,$A113&gt;=Endyr),0,VLOOKUP($A113,Capacity_Table,Tariff!$T$18))</f>
        <v>0.92</v>
      </c>
      <c r="M113" s="334">
        <f ca="1">IF($A113&lt;Startops2,0,IF($A113&lt;Startops3,VLOOKUP($A113,Convert_Table,Tariff!$Y$54),C113*D113*F113*K113*L113))</f>
        <v>289336.32000000001</v>
      </c>
      <c r="N113" s="391" t="str">
        <f t="shared" ca="1" si="27"/>
        <v xml:space="preserve"> </v>
      </c>
      <c r="O113" s="334">
        <f t="shared" ca="1" si="28"/>
        <v>7000</v>
      </c>
      <c r="P113" s="334">
        <f t="shared" ca="1" si="20"/>
        <v>2025354.24</v>
      </c>
      <c r="Q113" s="332" t="str">
        <f t="shared" ca="1" si="21"/>
        <v xml:space="preserve"> </v>
      </c>
      <c r="R113" s="334">
        <f ca="1">IF($A113&gt;Endyr,0,IF($A113&lt;Assm!$A$55,P113,Assm!$F$55*$D113))</f>
        <v>1769187.9452054794</v>
      </c>
      <c r="S113" s="391" t="str">
        <f t="shared" ca="1" si="22"/>
        <v xml:space="preserve"> </v>
      </c>
      <c r="T113" s="334">
        <f t="shared" ca="1" si="23"/>
        <v>2025354.24</v>
      </c>
      <c r="U113" s="682" t="str">
        <f t="shared" ca="1" si="24"/>
        <v xml:space="preserve"> </v>
      </c>
    </row>
    <row r="114" spans="1:21">
      <c r="A114" s="672">
        <f t="shared" ca="1" si="16"/>
        <v>39356</v>
      </c>
      <c r="C114" s="681">
        <f ca="1">IF($A114&gt;Endyr,0,VLOOKUP($A114,Capacity_Table,Tariff!$R$18))</f>
        <v>480</v>
      </c>
      <c r="D114" s="330">
        <f t="shared" ca="1" si="17"/>
        <v>31</v>
      </c>
      <c r="E114" s="330" t="str">
        <f t="shared" ca="1" si="18"/>
        <v xml:space="preserve"> </v>
      </c>
      <c r="F114" s="332">
        <f t="shared" si="25"/>
        <v>24</v>
      </c>
      <c r="G114" s="1109">
        <f t="shared" ca="1" si="19"/>
        <v>0</v>
      </c>
      <c r="H114" s="1686">
        <f ca="1">IF(Avail_LDs_Switch=1,VLOOKUP('Plant Operations'!A114,RAC_AvailFactor_Table,RAC_LDs!$G$258),IF($A114&lt;Startops2,Tariff!$T$11,0))</f>
        <v>0</v>
      </c>
      <c r="I114" s="1559">
        <f ca="1">IF(OR($A114&lt;Startops1,$A114&gt;=Startops2),0,IF(AND($A114&gt;=DieselOps_2,$A114&lt;Startops2),VLOOKUP($A114,Diesel_Table,Tariff!$Y$41),VLOOKUP($A114,OA_Table,Tariff!$Y$26)))</f>
        <v>0</v>
      </c>
      <c r="J114" s="391" t="str">
        <f t="shared" ca="1" si="26"/>
        <v xml:space="preserve"> </v>
      </c>
      <c r="K114" s="1109">
        <f ca="1">IF(OR($A114&lt;Startops2,$A114&gt;=Endyr),0,VLOOKUP($A114,Capacity_Table,Tariff!$S$18))</f>
        <v>0.91</v>
      </c>
      <c r="L114" s="212">
        <f ca="1">IF(OR($A114&lt;Startops2,$A114&gt;=Endyr),0,VLOOKUP($A114,Capacity_Table,Tariff!$T$18))</f>
        <v>0.92</v>
      </c>
      <c r="M114" s="334">
        <f ca="1">IF($A114&lt;Startops2,0,IF($A114&lt;Startops3,VLOOKUP($A114,Convert_Table,Tariff!$Y$54),C114*D114*F114*K114*L114))</f>
        <v>298980.864</v>
      </c>
      <c r="N114" s="391" t="str">
        <f t="shared" ca="1" si="27"/>
        <v xml:space="preserve"> </v>
      </c>
      <c r="O114" s="334">
        <f t="shared" ca="1" si="28"/>
        <v>7000</v>
      </c>
      <c r="P114" s="334">
        <f t="shared" ca="1" si="20"/>
        <v>2092866.048</v>
      </c>
      <c r="Q114" s="332" t="str">
        <f t="shared" ca="1" si="21"/>
        <v xml:space="preserve"> </v>
      </c>
      <c r="R114" s="334">
        <f ca="1">IF($A114&gt;Endyr,0,IF($A114&lt;Assm!$A$55,P114,Assm!$F$55*$D114))</f>
        <v>1828160.8767123288</v>
      </c>
      <c r="S114" s="391" t="str">
        <f t="shared" ca="1" si="22"/>
        <v xml:space="preserve"> </v>
      </c>
      <c r="T114" s="334">
        <f t="shared" ca="1" si="23"/>
        <v>2092866.048</v>
      </c>
      <c r="U114" s="682" t="str">
        <f t="shared" ca="1" si="24"/>
        <v xml:space="preserve"> </v>
      </c>
    </row>
    <row r="115" spans="1:21">
      <c r="A115" s="672">
        <f t="shared" ca="1" si="16"/>
        <v>39387</v>
      </c>
      <c r="C115" s="681">
        <f ca="1">IF($A115&gt;Endyr,0,VLOOKUP($A115,Capacity_Table,Tariff!$R$18))</f>
        <v>480</v>
      </c>
      <c r="D115" s="330">
        <f t="shared" ca="1" si="17"/>
        <v>30</v>
      </c>
      <c r="E115" s="330" t="str">
        <f t="shared" ca="1" si="18"/>
        <v xml:space="preserve"> </v>
      </c>
      <c r="F115" s="332">
        <f t="shared" si="25"/>
        <v>24</v>
      </c>
      <c r="G115" s="1109">
        <f t="shared" ca="1" si="19"/>
        <v>0</v>
      </c>
      <c r="H115" s="1686">
        <f ca="1">IF(Avail_LDs_Switch=1,VLOOKUP('Plant Operations'!A115,RAC_AvailFactor_Table,RAC_LDs!$G$258),IF($A115&lt;Startops2,Tariff!$T$11,0))</f>
        <v>0</v>
      </c>
      <c r="I115" s="1559">
        <f ca="1">IF(OR($A115&lt;Startops1,$A115&gt;=Startops2),0,IF(AND($A115&gt;=DieselOps_2,$A115&lt;Startops2),VLOOKUP($A115,Diesel_Table,Tariff!$Y$41),VLOOKUP($A115,OA_Table,Tariff!$Y$26)))</f>
        <v>0</v>
      </c>
      <c r="J115" s="391" t="str">
        <f t="shared" ca="1" si="26"/>
        <v xml:space="preserve"> </v>
      </c>
      <c r="K115" s="1109">
        <f ca="1">IF(OR($A115&lt;Startops2,$A115&gt;=Endyr),0,VLOOKUP($A115,Capacity_Table,Tariff!$S$18))</f>
        <v>0.91</v>
      </c>
      <c r="L115" s="212">
        <f ca="1">IF(OR($A115&lt;Startops2,$A115&gt;=Endyr),0,VLOOKUP($A115,Capacity_Table,Tariff!$T$18))</f>
        <v>0.92</v>
      </c>
      <c r="M115" s="334">
        <f ca="1">IF($A115&lt;Startops2,0,IF($A115&lt;Startops3,VLOOKUP($A115,Convert_Table,Tariff!$Y$54),C115*D115*F115*K115*L115))</f>
        <v>289336.32000000001</v>
      </c>
      <c r="N115" s="391" t="str">
        <f t="shared" ca="1" si="27"/>
        <v xml:space="preserve"> </v>
      </c>
      <c r="O115" s="334">
        <f t="shared" ca="1" si="28"/>
        <v>7000</v>
      </c>
      <c r="P115" s="334">
        <f t="shared" ca="1" si="20"/>
        <v>2025354.24</v>
      </c>
      <c r="Q115" s="332" t="str">
        <f t="shared" ca="1" si="21"/>
        <v xml:space="preserve"> </v>
      </c>
      <c r="R115" s="334">
        <f ca="1">IF($A115&gt;Endyr,0,IF($A115&lt;Assm!$A$55,P115,Assm!$F$55*$D115))</f>
        <v>1769187.9452054794</v>
      </c>
      <c r="S115" s="391" t="str">
        <f t="shared" ca="1" si="22"/>
        <v xml:space="preserve"> </v>
      </c>
      <c r="T115" s="334">
        <f t="shared" ca="1" si="23"/>
        <v>2025354.24</v>
      </c>
      <c r="U115" s="682" t="str">
        <f t="shared" ca="1" si="24"/>
        <v xml:space="preserve"> </v>
      </c>
    </row>
    <row r="116" spans="1:21">
      <c r="A116" s="672">
        <f t="shared" ca="1" si="16"/>
        <v>39417</v>
      </c>
      <c r="C116" s="681">
        <f ca="1">IF($A116&gt;Endyr,0,VLOOKUP($A116,Capacity_Table,Tariff!$R$18))</f>
        <v>480</v>
      </c>
      <c r="D116" s="330">
        <f t="shared" ca="1" si="17"/>
        <v>31</v>
      </c>
      <c r="E116" s="330">
        <f t="shared" ca="1" si="18"/>
        <v>365</v>
      </c>
      <c r="F116" s="332">
        <f t="shared" si="25"/>
        <v>24</v>
      </c>
      <c r="G116" s="1109">
        <f t="shared" ca="1" si="19"/>
        <v>0</v>
      </c>
      <c r="H116" s="1686">
        <f ca="1">IF(Avail_LDs_Switch=1,VLOOKUP('Plant Operations'!A116,RAC_AvailFactor_Table,RAC_LDs!$G$258),IF($A116&lt;Startops2,Tariff!$T$11,0))</f>
        <v>0</v>
      </c>
      <c r="I116" s="1559">
        <f ca="1">IF(OR($A116&lt;Startops1,$A116&gt;=Startops2),0,IF(AND($A116&gt;=DieselOps_2,$A116&lt;Startops2),VLOOKUP($A116,Diesel_Table,Tariff!$Y$41),VLOOKUP($A116,OA_Table,Tariff!$Y$26)))</f>
        <v>0</v>
      </c>
      <c r="J116" s="391">
        <f t="shared" ca="1" si="26"/>
        <v>0</v>
      </c>
      <c r="K116" s="1109">
        <f ca="1">IF(OR($A116&lt;Startops2,$A116&gt;=Endyr),0,VLOOKUP($A116,Capacity_Table,Tariff!$S$18))</f>
        <v>0.91</v>
      </c>
      <c r="L116" s="212">
        <f ca="1">IF(OR($A116&lt;Startops2,$A116&gt;=Endyr),0,VLOOKUP($A116,Capacity_Table,Tariff!$T$18))</f>
        <v>0.92</v>
      </c>
      <c r="M116" s="334">
        <f ca="1">IF($A116&lt;Startops2,0,IF($A116&lt;Startops3,VLOOKUP($A116,Convert_Table,Tariff!$Y$54),C116*D116*F116*K116*L116))</f>
        <v>298980.864</v>
      </c>
      <c r="N116" s="391">
        <f t="shared" ca="1" si="27"/>
        <v>3520258.56</v>
      </c>
      <c r="O116" s="334">
        <f t="shared" ca="1" si="28"/>
        <v>7000</v>
      </c>
      <c r="P116" s="334">
        <f t="shared" ca="1" si="20"/>
        <v>2092866.048</v>
      </c>
      <c r="Q116" s="332">
        <f t="shared" ca="1" si="21"/>
        <v>24641809.920000002</v>
      </c>
      <c r="R116" s="334">
        <f ca="1">IF($A116&gt;Endyr,0,IF($A116&lt;Assm!$A$55,P116,Assm!$F$55*$D116))</f>
        <v>1828160.8767123288</v>
      </c>
      <c r="S116" s="391">
        <f t="shared" ca="1" si="22"/>
        <v>21525120.000000004</v>
      </c>
      <c r="T116" s="334">
        <f t="shared" ca="1" si="23"/>
        <v>2092866.048</v>
      </c>
      <c r="U116" s="682">
        <f t="shared" ca="1" si="24"/>
        <v>24641809.920000002</v>
      </c>
    </row>
    <row r="117" spans="1:21">
      <c r="A117" s="672">
        <f t="shared" ca="1" si="16"/>
        <v>39448</v>
      </c>
      <c r="C117" s="681">
        <f ca="1">IF($A117&gt;Endyr,0,VLOOKUP($A117,Capacity_Table,Tariff!$R$18))</f>
        <v>480</v>
      </c>
      <c r="D117" s="330">
        <f t="shared" ca="1" si="17"/>
        <v>31</v>
      </c>
      <c r="E117" s="330" t="str">
        <f t="shared" ca="1" si="18"/>
        <v xml:space="preserve"> </v>
      </c>
      <c r="F117" s="332">
        <f t="shared" si="25"/>
        <v>24</v>
      </c>
      <c r="G117" s="1109">
        <f t="shared" ca="1" si="19"/>
        <v>0</v>
      </c>
      <c r="H117" s="1686">
        <f ca="1">IF(Avail_LDs_Switch=1,VLOOKUP('Plant Operations'!A117,RAC_AvailFactor_Table,RAC_LDs!$G$258),IF($A117&lt;Startops2,Tariff!$T$11,0))</f>
        <v>0</v>
      </c>
      <c r="I117" s="1559">
        <f ca="1">IF(OR($A117&lt;Startops1,$A117&gt;=Startops2),0,IF(AND($A117&gt;=DieselOps_2,$A117&lt;Startops2),VLOOKUP($A117,Diesel_Table,Tariff!$Y$41),VLOOKUP($A117,OA_Table,Tariff!$Y$26)))</f>
        <v>0</v>
      </c>
      <c r="J117" s="391" t="str">
        <f t="shared" ca="1" si="26"/>
        <v xml:space="preserve"> </v>
      </c>
      <c r="K117" s="1109">
        <f ca="1">IF(OR($A117&lt;Startops2,$A117&gt;=Endyr),0,VLOOKUP($A117,Capacity_Table,Tariff!$S$18))</f>
        <v>0.91</v>
      </c>
      <c r="L117" s="212">
        <f ca="1">IF(OR($A117&lt;Startops2,$A117&gt;=Endyr),0,VLOOKUP($A117,Capacity_Table,Tariff!$T$18))</f>
        <v>0.92</v>
      </c>
      <c r="M117" s="334">
        <f ca="1">IF($A117&lt;Startops2,0,IF($A117&lt;Startops3,VLOOKUP($A117,Convert_Table,Tariff!$Y$54),C117*D117*F117*K117*L117))</f>
        <v>298980.864</v>
      </c>
      <c r="N117" s="391" t="str">
        <f t="shared" ca="1" si="27"/>
        <v xml:space="preserve"> </v>
      </c>
      <c r="O117" s="334">
        <f t="shared" ca="1" si="28"/>
        <v>7000</v>
      </c>
      <c r="P117" s="334">
        <f t="shared" ca="1" si="20"/>
        <v>2092866.048</v>
      </c>
      <c r="Q117" s="332" t="str">
        <f t="shared" ca="1" si="21"/>
        <v xml:space="preserve"> </v>
      </c>
      <c r="R117" s="334">
        <f ca="1">IF($A117&gt;Endyr,0,IF($A117&lt;Assm!$A$55,P117,Assm!$F$55*$D117))</f>
        <v>1828160.8767123288</v>
      </c>
      <c r="S117" s="391" t="str">
        <f t="shared" ca="1" si="22"/>
        <v xml:space="preserve"> </v>
      </c>
      <c r="T117" s="334">
        <f t="shared" ca="1" si="23"/>
        <v>2092866.048</v>
      </c>
      <c r="U117" s="682" t="str">
        <f t="shared" ca="1" si="24"/>
        <v xml:space="preserve"> </v>
      </c>
    </row>
    <row r="118" spans="1:21">
      <c r="A118" s="672">
        <f t="shared" ca="1" si="16"/>
        <v>39479</v>
      </c>
      <c r="C118" s="681">
        <f ca="1">IF($A118&gt;Endyr,0,VLOOKUP($A118,Capacity_Table,Tariff!$R$18))</f>
        <v>480</v>
      </c>
      <c r="D118" s="330">
        <f t="shared" ca="1" si="17"/>
        <v>29</v>
      </c>
      <c r="E118" s="330" t="str">
        <f t="shared" ca="1" si="18"/>
        <v xml:space="preserve"> </v>
      </c>
      <c r="F118" s="332">
        <f t="shared" si="25"/>
        <v>24</v>
      </c>
      <c r="G118" s="1109">
        <f t="shared" ca="1" si="19"/>
        <v>0</v>
      </c>
      <c r="H118" s="1686">
        <f ca="1">IF(Avail_LDs_Switch=1,VLOOKUP('Plant Operations'!A118,RAC_AvailFactor_Table,RAC_LDs!$G$258),IF($A118&lt;Startops2,Tariff!$T$11,0))</f>
        <v>0</v>
      </c>
      <c r="I118" s="1559">
        <f ca="1">IF(OR($A118&lt;Startops1,$A118&gt;=Startops2),0,IF(AND($A118&gt;=DieselOps_2,$A118&lt;Startops2),VLOOKUP($A118,Diesel_Table,Tariff!$Y$41),VLOOKUP($A118,OA_Table,Tariff!$Y$26)))</f>
        <v>0</v>
      </c>
      <c r="J118" s="391" t="str">
        <f t="shared" ca="1" si="26"/>
        <v xml:space="preserve"> </v>
      </c>
      <c r="K118" s="1109">
        <f ca="1">IF(OR($A118&lt;Startops2,$A118&gt;=Endyr),0,VLOOKUP($A118,Capacity_Table,Tariff!$S$18))</f>
        <v>0.91</v>
      </c>
      <c r="L118" s="212">
        <f ca="1">IF(OR($A118&lt;Startops2,$A118&gt;=Endyr),0,VLOOKUP($A118,Capacity_Table,Tariff!$T$18))</f>
        <v>0.92</v>
      </c>
      <c r="M118" s="334">
        <f ca="1">IF($A118&lt;Startops2,0,IF($A118&lt;Startops3,VLOOKUP($A118,Convert_Table,Tariff!$Y$54),C118*D118*F118*K118*L118))</f>
        <v>279691.77600000001</v>
      </c>
      <c r="N118" s="391" t="str">
        <f t="shared" ca="1" si="27"/>
        <v xml:space="preserve"> </v>
      </c>
      <c r="O118" s="334">
        <f t="shared" ca="1" si="28"/>
        <v>7000</v>
      </c>
      <c r="P118" s="334">
        <f t="shared" ca="1" si="20"/>
        <v>1957842.432</v>
      </c>
      <c r="Q118" s="332" t="str">
        <f t="shared" ca="1" si="21"/>
        <v xml:space="preserve"> </v>
      </c>
      <c r="R118" s="334">
        <f ca="1">IF($A118&gt;Endyr,0,IF($A118&lt;Assm!$A$55,P118,Assm!$F$55*$D118))</f>
        <v>1710215.0136986303</v>
      </c>
      <c r="S118" s="391" t="str">
        <f t="shared" ca="1" si="22"/>
        <v xml:space="preserve"> </v>
      </c>
      <c r="T118" s="334">
        <f t="shared" ca="1" si="23"/>
        <v>1957842.432</v>
      </c>
      <c r="U118" s="682" t="str">
        <f t="shared" ca="1" si="24"/>
        <v xml:space="preserve"> </v>
      </c>
    </row>
    <row r="119" spans="1:21">
      <c r="A119" s="672">
        <f t="shared" ca="1" si="16"/>
        <v>39508</v>
      </c>
      <c r="C119" s="681">
        <f ca="1">IF($A119&gt;Endyr,0,VLOOKUP($A119,Capacity_Table,Tariff!$R$18))</f>
        <v>480</v>
      </c>
      <c r="D119" s="330">
        <f t="shared" ca="1" si="17"/>
        <v>31</v>
      </c>
      <c r="E119" s="330" t="str">
        <f t="shared" ca="1" si="18"/>
        <v xml:space="preserve"> </v>
      </c>
      <c r="F119" s="332">
        <f t="shared" si="25"/>
        <v>24</v>
      </c>
      <c r="G119" s="1109">
        <f t="shared" ca="1" si="19"/>
        <v>0</v>
      </c>
      <c r="H119" s="1686">
        <f ca="1">IF(Avail_LDs_Switch=1,VLOOKUP('Plant Operations'!A119,RAC_AvailFactor_Table,RAC_LDs!$G$258),IF($A119&lt;Startops2,Tariff!$T$11,0))</f>
        <v>0</v>
      </c>
      <c r="I119" s="1559">
        <f ca="1">IF(OR($A119&lt;Startops1,$A119&gt;=Startops2),0,IF(AND($A119&gt;=DieselOps_2,$A119&lt;Startops2),VLOOKUP($A119,Diesel_Table,Tariff!$Y$41),VLOOKUP($A119,OA_Table,Tariff!$Y$26)))</f>
        <v>0</v>
      </c>
      <c r="J119" s="391" t="str">
        <f t="shared" ca="1" si="26"/>
        <v xml:space="preserve"> </v>
      </c>
      <c r="K119" s="1109">
        <f ca="1">IF(OR($A119&lt;Startops2,$A119&gt;=Endyr),0,VLOOKUP($A119,Capacity_Table,Tariff!$S$18))</f>
        <v>0.91</v>
      </c>
      <c r="L119" s="212">
        <f ca="1">IF(OR($A119&lt;Startops2,$A119&gt;=Endyr),0,VLOOKUP($A119,Capacity_Table,Tariff!$T$18))</f>
        <v>0.92</v>
      </c>
      <c r="M119" s="334">
        <f ca="1">IF($A119&lt;Startops2,0,IF($A119&lt;Startops3,VLOOKUP($A119,Convert_Table,Tariff!$Y$54),C119*D119*F119*K119*L119))</f>
        <v>298980.864</v>
      </c>
      <c r="N119" s="391" t="str">
        <f t="shared" ca="1" si="27"/>
        <v xml:space="preserve"> </v>
      </c>
      <c r="O119" s="334">
        <f t="shared" ca="1" si="28"/>
        <v>7000</v>
      </c>
      <c r="P119" s="334">
        <f t="shared" ca="1" si="20"/>
        <v>2092866.048</v>
      </c>
      <c r="Q119" s="332" t="str">
        <f t="shared" ca="1" si="21"/>
        <v xml:space="preserve"> </v>
      </c>
      <c r="R119" s="334">
        <f ca="1">IF($A119&gt;Endyr,0,IF($A119&lt;Assm!$A$55,P119,Assm!$F$55*$D119))</f>
        <v>1828160.8767123288</v>
      </c>
      <c r="S119" s="391" t="str">
        <f t="shared" ca="1" si="22"/>
        <v xml:space="preserve"> </v>
      </c>
      <c r="T119" s="334">
        <f t="shared" ca="1" si="23"/>
        <v>2092866.048</v>
      </c>
      <c r="U119" s="682" t="str">
        <f t="shared" ca="1" si="24"/>
        <v xml:space="preserve"> </v>
      </c>
    </row>
    <row r="120" spans="1:21">
      <c r="A120" s="672">
        <f t="shared" ca="1" si="16"/>
        <v>39539</v>
      </c>
      <c r="C120" s="681">
        <f ca="1">IF($A120&gt;Endyr,0,VLOOKUP($A120,Capacity_Table,Tariff!$R$18))</f>
        <v>480</v>
      </c>
      <c r="D120" s="330">
        <f t="shared" ca="1" si="17"/>
        <v>30</v>
      </c>
      <c r="E120" s="330" t="str">
        <f t="shared" ca="1" si="18"/>
        <v xml:space="preserve"> </v>
      </c>
      <c r="F120" s="332">
        <f t="shared" si="25"/>
        <v>24</v>
      </c>
      <c r="G120" s="1109">
        <f t="shared" ca="1" si="19"/>
        <v>0</v>
      </c>
      <c r="H120" s="1686">
        <f ca="1">IF(Avail_LDs_Switch=1,VLOOKUP('Plant Operations'!A120,RAC_AvailFactor_Table,RAC_LDs!$G$258),IF($A120&lt;Startops2,Tariff!$T$11,0))</f>
        <v>0</v>
      </c>
      <c r="I120" s="1559">
        <f ca="1">IF(OR($A120&lt;Startops1,$A120&gt;=Startops2),0,IF(AND($A120&gt;=DieselOps_2,$A120&lt;Startops2),VLOOKUP($A120,Diesel_Table,Tariff!$Y$41),VLOOKUP($A120,OA_Table,Tariff!$Y$26)))</f>
        <v>0</v>
      </c>
      <c r="J120" s="391" t="str">
        <f t="shared" ca="1" si="26"/>
        <v xml:space="preserve"> </v>
      </c>
      <c r="K120" s="1109">
        <f ca="1">IF(OR($A120&lt;Startops2,$A120&gt;=Endyr),0,VLOOKUP($A120,Capacity_Table,Tariff!$S$18))</f>
        <v>0.91</v>
      </c>
      <c r="L120" s="212">
        <f ca="1">IF(OR($A120&lt;Startops2,$A120&gt;=Endyr),0,VLOOKUP($A120,Capacity_Table,Tariff!$T$18))</f>
        <v>0.92</v>
      </c>
      <c r="M120" s="334">
        <f ca="1">IF($A120&lt;Startops2,0,IF($A120&lt;Startops3,VLOOKUP($A120,Convert_Table,Tariff!$Y$54),C120*D120*F120*K120*L120))</f>
        <v>289336.32000000001</v>
      </c>
      <c r="N120" s="391" t="str">
        <f t="shared" ca="1" si="27"/>
        <v xml:space="preserve"> </v>
      </c>
      <c r="O120" s="334">
        <f t="shared" ca="1" si="28"/>
        <v>7000</v>
      </c>
      <c r="P120" s="334">
        <f t="shared" ca="1" si="20"/>
        <v>2025354.24</v>
      </c>
      <c r="Q120" s="332" t="str">
        <f t="shared" ca="1" si="21"/>
        <v xml:space="preserve"> </v>
      </c>
      <c r="R120" s="334">
        <f ca="1">IF($A120&gt;Endyr,0,IF($A120&lt;Assm!$A$55,P120,Assm!$F$55*$D120))</f>
        <v>1769187.9452054794</v>
      </c>
      <c r="S120" s="391" t="str">
        <f t="shared" ca="1" si="22"/>
        <v xml:space="preserve"> </v>
      </c>
      <c r="T120" s="334">
        <f t="shared" ca="1" si="23"/>
        <v>2025354.24</v>
      </c>
      <c r="U120" s="682" t="str">
        <f t="shared" ca="1" si="24"/>
        <v xml:space="preserve"> </v>
      </c>
    </row>
    <row r="121" spans="1:21">
      <c r="A121" s="672">
        <f t="shared" ca="1" si="16"/>
        <v>39569</v>
      </c>
      <c r="C121" s="681">
        <f ca="1">IF($A121&gt;Endyr,0,VLOOKUP($A121,Capacity_Table,Tariff!$R$18))</f>
        <v>480</v>
      </c>
      <c r="D121" s="330">
        <f t="shared" ca="1" si="17"/>
        <v>31</v>
      </c>
      <c r="E121" s="330" t="str">
        <f t="shared" ca="1" si="18"/>
        <v xml:space="preserve"> </v>
      </c>
      <c r="F121" s="332">
        <f t="shared" si="25"/>
        <v>24</v>
      </c>
      <c r="G121" s="1109">
        <f t="shared" ca="1" si="19"/>
        <v>0</v>
      </c>
      <c r="H121" s="1686">
        <f ca="1">IF(Avail_LDs_Switch=1,VLOOKUP('Plant Operations'!A121,RAC_AvailFactor_Table,RAC_LDs!$G$258),IF($A121&lt;Startops2,Tariff!$T$11,0))</f>
        <v>0</v>
      </c>
      <c r="I121" s="1559">
        <f ca="1">IF(OR($A121&lt;Startops1,$A121&gt;=Startops2),0,IF(AND($A121&gt;=DieselOps_2,$A121&lt;Startops2),VLOOKUP($A121,Diesel_Table,Tariff!$Y$41),VLOOKUP($A121,OA_Table,Tariff!$Y$26)))</f>
        <v>0</v>
      </c>
      <c r="J121" s="391" t="str">
        <f t="shared" ca="1" si="26"/>
        <v xml:space="preserve"> </v>
      </c>
      <c r="K121" s="1109">
        <f ca="1">IF(OR($A121&lt;Startops2,$A121&gt;=Endyr),0,VLOOKUP($A121,Capacity_Table,Tariff!$S$18))</f>
        <v>0.91</v>
      </c>
      <c r="L121" s="212">
        <f ca="1">IF(OR($A121&lt;Startops2,$A121&gt;=Endyr),0,VLOOKUP($A121,Capacity_Table,Tariff!$T$18))</f>
        <v>0.92</v>
      </c>
      <c r="M121" s="334">
        <f ca="1">IF($A121&lt;Startops2,0,IF($A121&lt;Startops3,VLOOKUP($A121,Convert_Table,Tariff!$Y$54),C121*D121*F121*K121*L121))</f>
        <v>298980.864</v>
      </c>
      <c r="N121" s="391" t="str">
        <f t="shared" ca="1" si="27"/>
        <v xml:space="preserve"> </v>
      </c>
      <c r="O121" s="334">
        <f t="shared" ca="1" si="28"/>
        <v>7000</v>
      </c>
      <c r="P121" s="334">
        <f t="shared" ca="1" si="20"/>
        <v>2092866.048</v>
      </c>
      <c r="Q121" s="332" t="str">
        <f t="shared" ca="1" si="21"/>
        <v xml:space="preserve"> </v>
      </c>
      <c r="R121" s="334">
        <f ca="1">IF($A121&gt;Endyr,0,IF($A121&lt;Assm!$A$55,P121,Assm!$F$55*$D121))</f>
        <v>1828160.8767123288</v>
      </c>
      <c r="S121" s="391" t="str">
        <f t="shared" ca="1" si="22"/>
        <v xml:space="preserve"> </v>
      </c>
      <c r="T121" s="334">
        <f t="shared" ca="1" si="23"/>
        <v>2092866.048</v>
      </c>
      <c r="U121" s="682" t="str">
        <f t="shared" ca="1" si="24"/>
        <v xml:space="preserve"> </v>
      </c>
    </row>
    <row r="122" spans="1:21">
      <c r="A122" s="672">
        <f t="shared" ca="1" si="16"/>
        <v>39600</v>
      </c>
      <c r="C122" s="681">
        <f ca="1">IF($A122&gt;Endyr,0,VLOOKUP($A122,Capacity_Table,Tariff!$R$18))</f>
        <v>480</v>
      </c>
      <c r="D122" s="330">
        <f t="shared" ca="1" si="17"/>
        <v>30</v>
      </c>
      <c r="E122" s="330" t="str">
        <f t="shared" ca="1" si="18"/>
        <v xml:space="preserve"> </v>
      </c>
      <c r="F122" s="332">
        <f t="shared" si="25"/>
        <v>24</v>
      </c>
      <c r="G122" s="1109">
        <f t="shared" ca="1" si="19"/>
        <v>0</v>
      </c>
      <c r="H122" s="1686">
        <f ca="1">IF(Avail_LDs_Switch=1,VLOOKUP('Plant Operations'!A122,RAC_AvailFactor_Table,RAC_LDs!$G$258),IF($A122&lt;Startops2,Tariff!$T$11,0))</f>
        <v>0</v>
      </c>
      <c r="I122" s="1559">
        <f ca="1">IF(OR($A122&lt;Startops1,$A122&gt;=Startops2),0,IF(AND($A122&gt;=DieselOps_2,$A122&lt;Startops2),VLOOKUP($A122,Diesel_Table,Tariff!$Y$41),VLOOKUP($A122,OA_Table,Tariff!$Y$26)))</f>
        <v>0</v>
      </c>
      <c r="J122" s="391" t="str">
        <f t="shared" ca="1" si="26"/>
        <v xml:space="preserve"> </v>
      </c>
      <c r="K122" s="1109">
        <f ca="1">IF(OR($A122&lt;Startops2,$A122&gt;=Endyr),0,VLOOKUP($A122,Capacity_Table,Tariff!$S$18))</f>
        <v>0.91</v>
      </c>
      <c r="L122" s="212">
        <f ca="1">IF(OR($A122&lt;Startops2,$A122&gt;=Endyr),0,VLOOKUP($A122,Capacity_Table,Tariff!$T$18))</f>
        <v>0.92</v>
      </c>
      <c r="M122" s="334">
        <f ca="1">IF($A122&lt;Startops2,0,IF($A122&lt;Startops3,VLOOKUP($A122,Convert_Table,Tariff!$Y$54),C122*D122*F122*K122*L122))</f>
        <v>289336.32000000001</v>
      </c>
      <c r="N122" s="391" t="str">
        <f t="shared" ca="1" si="27"/>
        <v xml:space="preserve"> </v>
      </c>
      <c r="O122" s="334">
        <f t="shared" ca="1" si="28"/>
        <v>7000</v>
      </c>
      <c r="P122" s="334">
        <f t="shared" ca="1" si="20"/>
        <v>2025354.24</v>
      </c>
      <c r="Q122" s="332" t="str">
        <f t="shared" ca="1" si="21"/>
        <v xml:space="preserve"> </v>
      </c>
      <c r="R122" s="334">
        <f ca="1">IF($A122&gt;Endyr,0,IF($A122&lt;Assm!$A$55,P122,Assm!$F$55*$D122))</f>
        <v>1769187.9452054794</v>
      </c>
      <c r="S122" s="391" t="str">
        <f t="shared" ca="1" si="22"/>
        <v xml:space="preserve"> </v>
      </c>
      <c r="T122" s="334">
        <f t="shared" ca="1" si="23"/>
        <v>2025354.24</v>
      </c>
      <c r="U122" s="682" t="str">
        <f t="shared" ca="1" si="24"/>
        <v xml:space="preserve"> </v>
      </c>
    </row>
    <row r="123" spans="1:21">
      <c r="A123" s="672">
        <f t="shared" ca="1" si="16"/>
        <v>39630</v>
      </c>
      <c r="C123" s="681">
        <f ca="1">IF($A123&gt;Endyr,0,VLOOKUP($A123,Capacity_Table,Tariff!$R$18))</f>
        <v>480</v>
      </c>
      <c r="D123" s="330">
        <f t="shared" ca="1" si="17"/>
        <v>31</v>
      </c>
      <c r="E123" s="330" t="str">
        <f t="shared" ca="1" si="18"/>
        <v xml:space="preserve"> </v>
      </c>
      <c r="F123" s="332">
        <f t="shared" si="25"/>
        <v>24</v>
      </c>
      <c r="G123" s="1109">
        <f t="shared" ca="1" si="19"/>
        <v>0</v>
      </c>
      <c r="H123" s="1686">
        <f ca="1">IF(Avail_LDs_Switch=1,VLOOKUP('Plant Operations'!A123,RAC_AvailFactor_Table,RAC_LDs!$G$258),IF($A123&lt;Startops2,Tariff!$T$11,0))</f>
        <v>0</v>
      </c>
      <c r="I123" s="1559">
        <f ca="1">IF(OR($A123&lt;Startops1,$A123&gt;=Startops2),0,IF(AND($A123&gt;=DieselOps_2,$A123&lt;Startops2),VLOOKUP($A123,Diesel_Table,Tariff!$Y$41),VLOOKUP($A123,OA_Table,Tariff!$Y$26)))</f>
        <v>0</v>
      </c>
      <c r="J123" s="391" t="str">
        <f t="shared" ca="1" si="26"/>
        <v xml:space="preserve"> </v>
      </c>
      <c r="K123" s="1109">
        <f ca="1">IF(OR($A123&lt;Startops2,$A123&gt;=Endyr),0,VLOOKUP($A123,Capacity_Table,Tariff!$S$18))</f>
        <v>0.91</v>
      </c>
      <c r="L123" s="212">
        <f ca="1">IF(OR($A123&lt;Startops2,$A123&gt;=Endyr),0,VLOOKUP($A123,Capacity_Table,Tariff!$T$18))</f>
        <v>0.92</v>
      </c>
      <c r="M123" s="334">
        <f ca="1">IF($A123&lt;Startops2,0,IF($A123&lt;Startops3,VLOOKUP($A123,Convert_Table,Tariff!$Y$54),C123*D123*F123*K123*L123))</f>
        <v>298980.864</v>
      </c>
      <c r="N123" s="391" t="str">
        <f t="shared" ca="1" si="27"/>
        <v xml:space="preserve"> </v>
      </c>
      <c r="O123" s="334">
        <f t="shared" ca="1" si="28"/>
        <v>7000</v>
      </c>
      <c r="P123" s="334">
        <f t="shared" ca="1" si="20"/>
        <v>2092866.048</v>
      </c>
      <c r="Q123" s="332" t="str">
        <f t="shared" ca="1" si="21"/>
        <v xml:space="preserve"> </v>
      </c>
      <c r="R123" s="334">
        <f ca="1">IF($A123&gt;Endyr,0,IF($A123&lt;Assm!$A$55,P123,Assm!$F$55*$D123))</f>
        <v>1828160.8767123288</v>
      </c>
      <c r="S123" s="391" t="str">
        <f t="shared" ca="1" si="22"/>
        <v xml:space="preserve"> </v>
      </c>
      <c r="T123" s="334">
        <f t="shared" ca="1" si="23"/>
        <v>2092866.048</v>
      </c>
      <c r="U123" s="682" t="str">
        <f t="shared" ca="1" si="24"/>
        <v xml:space="preserve"> </v>
      </c>
    </row>
    <row r="124" spans="1:21">
      <c r="A124" s="672">
        <f t="shared" ca="1" si="16"/>
        <v>39661</v>
      </c>
      <c r="C124" s="681">
        <f ca="1">IF($A124&gt;Endyr,0,VLOOKUP($A124,Capacity_Table,Tariff!$R$18))</f>
        <v>480</v>
      </c>
      <c r="D124" s="330">
        <f t="shared" ca="1" si="17"/>
        <v>31</v>
      </c>
      <c r="E124" s="330" t="str">
        <f t="shared" ca="1" si="18"/>
        <v xml:space="preserve"> </v>
      </c>
      <c r="F124" s="332">
        <f t="shared" si="25"/>
        <v>24</v>
      </c>
      <c r="G124" s="1109">
        <f t="shared" ca="1" si="19"/>
        <v>0</v>
      </c>
      <c r="H124" s="1686">
        <f ca="1">IF(Avail_LDs_Switch=1,VLOOKUP('Plant Operations'!A124,RAC_AvailFactor_Table,RAC_LDs!$G$258),IF($A124&lt;Startops2,Tariff!$T$11,0))</f>
        <v>0</v>
      </c>
      <c r="I124" s="1559">
        <f ca="1">IF(OR($A124&lt;Startops1,$A124&gt;=Startops2),0,IF(AND($A124&gt;=DieselOps_2,$A124&lt;Startops2),VLOOKUP($A124,Diesel_Table,Tariff!$Y$41),VLOOKUP($A124,OA_Table,Tariff!$Y$26)))</f>
        <v>0</v>
      </c>
      <c r="J124" s="391" t="str">
        <f t="shared" ca="1" si="26"/>
        <v xml:space="preserve"> </v>
      </c>
      <c r="K124" s="1109">
        <f ca="1">IF(OR($A124&lt;Startops2,$A124&gt;=Endyr),0,VLOOKUP($A124,Capacity_Table,Tariff!$S$18))</f>
        <v>0.91</v>
      </c>
      <c r="L124" s="212">
        <f ca="1">IF(OR($A124&lt;Startops2,$A124&gt;=Endyr),0,VLOOKUP($A124,Capacity_Table,Tariff!$T$18))</f>
        <v>0.92</v>
      </c>
      <c r="M124" s="334">
        <f ca="1">IF($A124&lt;Startops2,0,IF($A124&lt;Startops3,VLOOKUP($A124,Convert_Table,Tariff!$Y$54),C124*D124*F124*K124*L124))</f>
        <v>298980.864</v>
      </c>
      <c r="N124" s="391" t="str">
        <f t="shared" ca="1" si="27"/>
        <v xml:space="preserve"> </v>
      </c>
      <c r="O124" s="334">
        <f t="shared" ca="1" si="28"/>
        <v>7000</v>
      </c>
      <c r="P124" s="334">
        <f t="shared" ca="1" si="20"/>
        <v>2092866.048</v>
      </c>
      <c r="Q124" s="332" t="str">
        <f t="shared" ca="1" si="21"/>
        <v xml:space="preserve"> </v>
      </c>
      <c r="R124" s="334">
        <f ca="1">IF($A124&gt;Endyr,0,IF($A124&lt;Assm!$A$55,P124,Assm!$F$55*$D124))</f>
        <v>1828160.8767123288</v>
      </c>
      <c r="S124" s="391" t="str">
        <f t="shared" ca="1" si="22"/>
        <v xml:space="preserve"> </v>
      </c>
      <c r="T124" s="334">
        <f t="shared" ca="1" si="23"/>
        <v>2092866.048</v>
      </c>
      <c r="U124" s="682" t="str">
        <f t="shared" ca="1" si="24"/>
        <v xml:space="preserve"> </v>
      </c>
    </row>
    <row r="125" spans="1:21">
      <c r="A125" s="672">
        <f t="shared" ca="1" si="16"/>
        <v>39692</v>
      </c>
      <c r="C125" s="681">
        <f ca="1">IF($A125&gt;Endyr,0,VLOOKUP($A125,Capacity_Table,Tariff!$R$18))</f>
        <v>480</v>
      </c>
      <c r="D125" s="330">
        <f t="shared" ca="1" si="17"/>
        <v>30</v>
      </c>
      <c r="E125" s="330" t="str">
        <f t="shared" ca="1" si="18"/>
        <v xml:space="preserve"> </v>
      </c>
      <c r="F125" s="332">
        <f t="shared" si="25"/>
        <v>24</v>
      </c>
      <c r="G125" s="1109">
        <f t="shared" ca="1" si="19"/>
        <v>0</v>
      </c>
      <c r="H125" s="1686">
        <f ca="1">IF(Avail_LDs_Switch=1,VLOOKUP('Plant Operations'!A125,RAC_AvailFactor_Table,RAC_LDs!$G$258),IF($A125&lt;Startops2,Tariff!$T$11,0))</f>
        <v>0</v>
      </c>
      <c r="I125" s="1559">
        <f ca="1">IF(OR($A125&lt;Startops1,$A125&gt;=Startops2),0,IF(AND($A125&gt;=DieselOps_2,$A125&lt;Startops2),VLOOKUP($A125,Diesel_Table,Tariff!$Y$41),VLOOKUP($A125,OA_Table,Tariff!$Y$26)))</f>
        <v>0</v>
      </c>
      <c r="J125" s="391" t="str">
        <f t="shared" ca="1" si="26"/>
        <v xml:space="preserve"> </v>
      </c>
      <c r="K125" s="1109">
        <f ca="1">IF(OR($A125&lt;Startops2,$A125&gt;=Endyr),0,VLOOKUP($A125,Capacity_Table,Tariff!$S$18))</f>
        <v>0.91</v>
      </c>
      <c r="L125" s="212">
        <f ca="1">IF(OR($A125&lt;Startops2,$A125&gt;=Endyr),0,VLOOKUP($A125,Capacity_Table,Tariff!$T$18))</f>
        <v>0.92</v>
      </c>
      <c r="M125" s="334">
        <f ca="1">IF($A125&lt;Startops2,0,IF($A125&lt;Startops3,VLOOKUP($A125,Convert_Table,Tariff!$Y$54),C125*D125*F125*K125*L125))</f>
        <v>289336.32000000001</v>
      </c>
      <c r="N125" s="391" t="str">
        <f t="shared" ca="1" si="27"/>
        <v xml:space="preserve"> </v>
      </c>
      <c r="O125" s="334">
        <f t="shared" ca="1" si="28"/>
        <v>7000</v>
      </c>
      <c r="P125" s="334">
        <f t="shared" ca="1" si="20"/>
        <v>2025354.24</v>
      </c>
      <c r="Q125" s="332" t="str">
        <f t="shared" ca="1" si="21"/>
        <v xml:space="preserve"> </v>
      </c>
      <c r="R125" s="334">
        <f ca="1">IF($A125&gt;Endyr,0,IF($A125&lt;Assm!$A$55,P125,Assm!$F$55*$D125))</f>
        <v>1769187.9452054794</v>
      </c>
      <c r="S125" s="391" t="str">
        <f t="shared" ca="1" si="22"/>
        <v xml:space="preserve"> </v>
      </c>
      <c r="T125" s="334">
        <f t="shared" ca="1" si="23"/>
        <v>2025354.24</v>
      </c>
      <c r="U125" s="682" t="str">
        <f t="shared" ca="1" si="24"/>
        <v xml:space="preserve"> </v>
      </c>
    </row>
    <row r="126" spans="1:21">
      <c r="A126" s="672">
        <f t="shared" ca="1" si="16"/>
        <v>39722</v>
      </c>
      <c r="C126" s="681">
        <f ca="1">IF($A126&gt;Endyr,0,VLOOKUP($A126,Capacity_Table,Tariff!$R$18))</f>
        <v>480</v>
      </c>
      <c r="D126" s="330">
        <f t="shared" ca="1" si="17"/>
        <v>31</v>
      </c>
      <c r="E126" s="330" t="str">
        <f t="shared" ca="1" si="18"/>
        <v xml:space="preserve"> </v>
      </c>
      <c r="F126" s="332">
        <f t="shared" si="25"/>
        <v>24</v>
      </c>
      <c r="G126" s="1109">
        <f t="shared" ca="1" si="19"/>
        <v>0</v>
      </c>
      <c r="H126" s="1686">
        <f ca="1">IF(Avail_LDs_Switch=1,VLOOKUP('Plant Operations'!A126,RAC_AvailFactor_Table,RAC_LDs!$G$258),IF($A126&lt;Startops2,Tariff!$T$11,0))</f>
        <v>0</v>
      </c>
      <c r="I126" s="1559">
        <f ca="1">IF(OR($A126&lt;Startops1,$A126&gt;=Startops2),0,IF(AND($A126&gt;=DieselOps_2,$A126&lt;Startops2),VLOOKUP($A126,Diesel_Table,Tariff!$Y$41),VLOOKUP($A126,OA_Table,Tariff!$Y$26)))</f>
        <v>0</v>
      </c>
      <c r="J126" s="391" t="str">
        <f t="shared" ca="1" si="26"/>
        <v xml:space="preserve"> </v>
      </c>
      <c r="K126" s="1109">
        <f ca="1">IF(OR($A126&lt;Startops2,$A126&gt;=Endyr),0,VLOOKUP($A126,Capacity_Table,Tariff!$S$18))</f>
        <v>0.91</v>
      </c>
      <c r="L126" s="212">
        <f ca="1">IF(OR($A126&lt;Startops2,$A126&gt;=Endyr),0,VLOOKUP($A126,Capacity_Table,Tariff!$T$18))</f>
        <v>0.92</v>
      </c>
      <c r="M126" s="334">
        <f ca="1">IF($A126&lt;Startops2,0,IF($A126&lt;Startops3,VLOOKUP($A126,Convert_Table,Tariff!$Y$54),C126*D126*F126*K126*L126))</f>
        <v>298980.864</v>
      </c>
      <c r="N126" s="391" t="str">
        <f t="shared" ca="1" si="27"/>
        <v xml:space="preserve"> </v>
      </c>
      <c r="O126" s="334">
        <f t="shared" ca="1" si="28"/>
        <v>7000</v>
      </c>
      <c r="P126" s="334">
        <f t="shared" ca="1" si="20"/>
        <v>2092866.048</v>
      </c>
      <c r="Q126" s="332" t="str">
        <f t="shared" ca="1" si="21"/>
        <v xml:space="preserve"> </v>
      </c>
      <c r="R126" s="334">
        <f ca="1">IF($A126&gt;Endyr,0,IF($A126&lt;Assm!$A$55,P126,Assm!$F$55*$D126))</f>
        <v>1828160.8767123288</v>
      </c>
      <c r="S126" s="391" t="str">
        <f t="shared" ca="1" si="22"/>
        <v xml:space="preserve"> </v>
      </c>
      <c r="T126" s="334">
        <f t="shared" ca="1" si="23"/>
        <v>2092866.048</v>
      </c>
      <c r="U126" s="682" t="str">
        <f t="shared" ca="1" si="24"/>
        <v xml:space="preserve"> </v>
      </c>
    </row>
    <row r="127" spans="1:21">
      <c r="A127" s="672">
        <f t="shared" ca="1" si="16"/>
        <v>39753</v>
      </c>
      <c r="C127" s="681">
        <f ca="1">IF($A127&gt;Endyr,0,VLOOKUP($A127,Capacity_Table,Tariff!$R$18))</f>
        <v>480</v>
      </c>
      <c r="D127" s="330">
        <f t="shared" ca="1" si="17"/>
        <v>30</v>
      </c>
      <c r="E127" s="330" t="str">
        <f t="shared" ca="1" si="18"/>
        <v xml:space="preserve"> </v>
      </c>
      <c r="F127" s="332">
        <f t="shared" si="25"/>
        <v>24</v>
      </c>
      <c r="G127" s="1109">
        <f t="shared" ca="1" si="19"/>
        <v>0</v>
      </c>
      <c r="H127" s="1686">
        <f ca="1">IF(Avail_LDs_Switch=1,VLOOKUP('Plant Operations'!A127,RAC_AvailFactor_Table,RAC_LDs!$G$258),IF($A127&lt;Startops2,Tariff!$T$11,0))</f>
        <v>0</v>
      </c>
      <c r="I127" s="1559">
        <f ca="1">IF(OR($A127&lt;Startops1,$A127&gt;=Startops2),0,IF(AND($A127&gt;=DieselOps_2,$A127&lt;Startops2),VLOOKUP($A127,Diesel_Table,Tariff!$Y$41),VLOOKUP($A127,OA_Table,Tariff!$Y$26)))</f>
        <v>0</v>
      </c>
      <c r="J127" s="391" t="str">
        <f t="shared" ca="1" si="26"/>
        <v xml:space="preserve"> </v>
      </c>
      <c r="K127" s="1109">
        <f ca="1">IF(OR($A127&lt;Startops2,$A127&gt;=Endyr),0,VLOOKUP($A127,Capacity_Table,Tariff!$S$18))</f>
        <v>0.91</v>
      </c>
      <c r="L127" s="212">
        <f ca="1">IF(OR($A127&lt;Startops2,$A127&gt;=Endyr),0,VLOOKUP($A127,Capacity_Table,Tariff!$T$18))</f>
        <v>0.92</v>
      </c>
      <c r="M127" s="334">
        <f ca="1">IF($A127&lt;Startops2,0,IF($A127&lt;Startops3,VLOOKUP($A127,Convert_Table,Tariff!$Y$54),C127*D127*F127*K127*L127))</f>
        <v>289336.32000000001</v>
      </c>
      <c r="N127" s="391" t="str">
        <f t="shared" ca="1" si="27"/>
        <v xml:space="preserve"> </v>
      </c>
      <c r="O127" s="334">
        <f t="shared" ca="1" si="28"/>
        <v>7000</v>
      </c>
      <c r="P127" s="334">
        <f t="shared" ca="1" si="20"/>
        <v>2025354.24</v>
      </c>
      <c r="Q127" s="332" t="str">
        <f t="shared" ca="1" si="21"/>
        <v xml:space="preserve"> </v>
      </c>
      <c r="R127" s="334">
        <f ca="1">IF($A127&gt;Endyr,0,IF($A127&lt;Assm!$A$55,P127,Assm!$F$55*$D127))</f>
        <v>1769187.9452054794</v>
      </c>
      <c r="S127" s="391" t="str">
        <f t="shared" ca="1" si="22"/>
        <v xml:space="preserve"> </v>
      </c>
      <c r="T127" s="334">
        <f t="shared" ca="1" si="23"/>
        <v>2025354.24</v>
      </c>
      <c r="U127" s="682" t="str">
        <f t="shared" ca="1" si="24"/>
        <v xml:space="preserve"> </v>
      </c>
    </row>
    <row r="128" spans="1:21">
      <c r="A128" s="672">
        <f t="shared" ca="1" si="16"/>
        <v>39783</v>
      </c>
      <c r="C128" s="681">
        <f ca="1">IF($A128&gt;Endyr,0,VLOOKUP($A128,Capacity_Table,Tariff!$R$18))</f>
        <v>480</v>
      </c>
      <c r="D128" s="330">
        <f t="shared" ca="1" si="17"/>
        <v>31</v>
      </c>
      <c r="E128" s="330">
        <f t="shared" ca="1" si="18"/>
        <v>366</v>
      </c>
      <c r="F128" s="332">
        <f t="shared" si="25"/>
        <v>24</v>
      </c>
      <c r="G128" s="1109">
        <f t="shared" ca="1" si="19"/>
        <v>0</v>
      </c>
      <c r="H128" s="1686">
        <f ca="1">IF(Avail_LDs_Switch=1,VLOOKUP('Plant Operations'!A128,RAC_AvailFactor_Table,RAC_LDs!$G$258),IF($A128&lt;Startops2,Tariff!$T$11,0))</f>
        <v>0</v>
      </c>
      <c r="I128" s="1559">
        <f ca="1">IF(OR($A128&lt;Startops1,$A128&gt;=Startops2),0,IF(AND($A128&gt;=DieselOps_2,$A128&lt;Startops2),VLOOKUP($A128,Diesel_Table,Tariff!$Y$41),VLOOKUP($A128,OA_Table,Tariff!$Y$26)))</f>
        <v>0</v>
      </c>
      <c r="J128" s="391">
        <f t="shared" ca="1" si="26"/>
        <v>0</v>
      </c>
      <c r="K128" s="1109">
        <f ca="1">IF(OR($A128&lt;Startops2,$A128&gt;=Endyr),0,VLOOKUP($A128,Capacity_Table,Tariff!$S$18))</f>
        <v>0.91</v>
      </c>
      <c r="L128" s="212">
        <f ca="1">IF(OR($A128&lt;Startops2,$A128&gt;=Endyr),0,VLOOKUP($A128,Capacity_Table,Tariff!$T$18))</f>
        <v>0.92</v>
      </c>
      <c r="M128" s="334">
        <f ca="1">IF($A128&lt;Startops2,0,IF($A128&lt;Startops3,VLOOKUP($A128,Convert_Table,Tariff!$Y$54),C128*D128*F128*K128*L128))</f>
        <v>298980.864</v>
      </c>
      <c r="N128" s="391">
        <f t="shared" ca="1" si="27"/>
        <v>3529903.1039999998</v>
      </c>
      <c r="O128" s="334">
        <f t="shared" ca="1" si="28"/>
        <v>7000</v>
      </c>
      <c r="P128" s="334">
        <f t="shared" ca="1" si="20"/>
        <v>2092866.048</v>
      </c>
      <c r="Q128" s="332">
        <f t="shared" ca="1" si="21"/>
        <v>24709321.728</v>
      </c>
      <c r="R128" s="334">
        <f ca="1">IF($A128&gt;Endyr,0,IF($A128&lt;Assm!$A$55,P128,Assm!$F$55*$D128))</f>
        <v>1828160.8767123288</v>
      </c>
      <c r="S128" s="391">
        <f t="shared" ca="1" si="22"/>
        <v>21584092.931506854</v>
      </c>
      <c r="T128" s="334">
        <f t="shared" ca="1" si="23"/>
        <v>2092866.048</v>
      </c>
      <c r="U128" s="682">
        <f t="shared" ca="1" si="24"/>
        <v>24709321.728</v>
      </c>
    </row>
    <row r="129" spans="1:21">
      <c r="A129" s="672">
        <f t="shared" ca="1" si="16"/>
        <v>39814</v>
      </c>
      <c r="C129" s="681">
        <f ca="1">IF($A129&gt;Endyr,0,VLOOKUP($A129,Capacity_Table,Tariff!$R$18))</f>
        <v>480</v>
      </c>
      <c r="D129" s="330">
        <f t="shared" ca="1" si="17"/>
        <v>31</v>
      </c>
      <c r="E129" s="330" t="str">
        <f t="shared" ca="1" si="18"/>
        <v xml:space="preserve"> </v>
      </c>
      <c r="F129" s="332">
        <f t="shared" si="25"/>
        <v>24</v>
      </c>
      <c r="G129" s="1109">
        <f t="shared" ca="1" si="19"/>
        <v>0</v>
      </c>
      <c r="H129" s="1686">
        <f ca="1">IF(Avail_LDs_Switch=1,VLOOKUP('Plant Operations'!A129,RAC_AvailFactor_Table,RAC_LDs!$G$258),IF($A129&lt;Startops2,Tariff!$T$11,0))</f>
        <v>0</v>
      </c>
      <c r="I129" s="1559">
        <f ca="1">IF(OR($A129&lt;Startops1,$A129&gt;=Startops2),0,IF(AND($A129&gt;=DieselOps_2,$A129&lt;Startops2),VLOOKUP($A129,Diesel_Table,Tariff!$Y$41),VLOOKUP($A129,OA_Table,Tariff!$Y$26)))</f>
        <v>0</v>
      </c>
      <c r="J129" s="391" t="str">
        <f t="shared" ca="1" si="26"/>
        <v xml:space="preserve"> </v>
      </c>
      <c r="K129" s="1109">
        <f ca="1">IF(OR($A129&lt;Startops2,$A129&gt;=Endyr),0,VLOOKUP($A129,Capacity_Table,Tariff!$S$18))</f>
        <v>0.91</v>
      </c>
      <c r="L129" s="212">
        <f ca="1">IF(OR($A129&lt;Startops2,$A129&gt;=Endyr),0,VLOOKUP($A129,Capacity_Table,Tariff!$T$18))</f>
        <v>0.92</v>
      </c>
      <c r="M129" s="334">
        <f ca="1">IF($A129&lt;Startops2,0,IF($A129&lt;Startops3,VLOOKUP($A129,Convert_Table,Tariff!$Y$54),C129*D129*F129*K129*L129))</f>
        <v>298980.864</v>
      </c>
      <c r="N129" s="391" t="str">
        <f t="shared" ca="1" si="27"/>
        <v xml:space="preserve"> </v>
      </c>
      <c r="O129" s="334">
        <f t="shared" ca="1" si="28"/>
        <v>7000</v>
      </c>
      <c r="P129" s="334">
        <f t="shared" ca="1" si="20"/>
        <v>2092866.048</v>
      </c>
      <c r="Q129" s="332" t="str">
        <f t="shared" ca="1" si="21"/>
        <v xml:space="preserve"> </v>
      </c>
      <c r="R129" s="334">
        <f ca="1">IF($A129&gt;Endyr,0,IF($A129&lt;Assm!$A$55,P129,Assm!$F$55*$D129))</f>
        <v>1828160.8767123288</v>
      </c>
      <c r="S129" s="391" t="str">
        <f t="shared" ca="1" si="22"/>
        <v xml:space="preserve"> </v>
      </c>
      <c r="T129" s="334">
        <f t="shared" ca="1" si="23"/>
        <v>2092866.048</v>
      </c>
      <c r="U129" s="682" t="str">
        <f t="shared" ca="1" si="24"/>
        <v xml:space="preserve"> </v>
      </c>
    </row>
    <row r="130" spans="1:21">
      <c r="A130" s="672">
        <f t="shared" ca="1" si="16"/>
        <v>39845</v>
      </c>
      <c r="C130" s="681">
        <f ca="1">IF($A130&gt;Endyr,0,VLOOKUP($A130,Capacity_Table,Tariff!$R$18))</f>
        <v>480</v>
      </c>
      <c r="D130" s="330">
        <f t="shared" ca="1" si="17"/>
        <v>28</v>
      </c>
      <c r="E130" s="330" t="str">
        <f t="shared" ca="1" si="18"/>
        <v xml:space="preserve"> </v>
      </c>
      <c r="F130" s="332">
        <f t="shared" si="25"/>
        <v>24</v>
      </c>
      <c r="G130" s="1109">
        <f t="shared" ca="1" si="19"/>
        <v>0</v>
      </c>
      <c r="H130" s="1686">
        <f ca="1">IF(Avail_LDs_Switch=1,VLOOKUP('Plant Operations'!A130,RAC_AvailFactor_Table,RAC_LDs!$G$258),IF($A130&lt;Startops2,Tariff!$T$11,0))</f>
        <v>0</v>
      </c>
      <c r="I130" s="1559">
        <f ca="1">IF(OR($A130&lt;Startops1,$A130&gt;=Startops2),0,IF(AND($A130&gt;=DieselOps_2,$A130&lt;Startops2),VLOOKUP($A130,Diesel_Table,Tariff!$Y$41),VLOOKUP($A130,OA_Table,Tariff!$Y$26)))</f>
        <v>0</v>
      </c>
      <c r="J130" s="391" t="str">
        <f t="shared" ca="1" si="26"/>
        <v xml:space="preserve"> </v>
      </c>
      <c r="K130" s="1109">
        <f ca="1">IF(OR($A130&lt;Startops2,$A130&gt;=Endyr),0,VLOOKUP($A130,Capacity_Table,Tariff!$S$18))</f>
        <v>0.91</v>
      </c>
      <c r="L130" s="212">
        <f ca="1">IF(OR($A130&lt;Startops2,$A130&gt;=Endyr),0,VLOOKUP($A130,Capacity_Table,Tariff!$T$18))</f>
        <v>0.92</v>
      </c>
      <c r="M130" s="334">
        <f ca="1">IF($A130&lt;Startops2,0,IF($A130&lt;Startops3,VLOOKUP($A130,Convert_Table,Tariff!$Y$54),C130*D130*F130*K130*L130))</f>
        <v>270047.23200000002</v>
      </c>
      <c r="N130" s="391" t="str">
        <f t="shared" ca="1" si="27"/>
        <v xml:space="preserve"> </v>
      </c>
      <c r="O130" s="334">
        <f t="shared" ca="1" si="28"/>
        <v>7000</v>
      </c>
      <c r="P130" s="334">
        <f t="shared" ca="1" si="20"/>
        <v>1890330.6240000003</v>
      </c>
      <c r="Q130" s="332" t="str">
        <f t="shared" ca="1" si="21"/>
        <v xml:space="preserve"> </v>
      </c>
      <c r="R130" s="334">
        <f ca="1">IF($A130&gt;Endyr,0,IF($A130&lt;Assm!$A$55,P130,Assm!$F$55*$D130))</f>
        <v>1651242.0821917809</v>
      </c>
      <c r="S130" s="391" t="str">
        <f t="shared" ca="1" si="22"/>
        <v xml:space="preserve"> </v>
      </c>
      <c r="T130" s="334">
        <f t="shared" ca="1" si="23"/>
        <v>1890330.6240000003</v>
      </c>
      <c r="U130" s="682" t="str">
        <f t="shared" ca="1" si="24"/>
        <v xml:space="preserve"> </v>
      </c>
    </row>
    <row r="131" spans="1:21">
      <c r="A131" s="672">
        <f t="shared" ca="1" si="16"/>
        <v>39873</v>
      </c>
      <c r="C131" s="681">
        <f ca="1">IF($A131&gt;Endyr,0,VLOOKUP($A131,Capacity_Table,Tariff!$R$18))</f>
        <v>480</v>
      </c>
      <c r="D131" s="330">
        <f t="shared" ca="1" si="17"/>
        <v>31</v>
      </c>
      <c r="E131" s="330" t="str">
        <f t="shared" ca="1" si="18"/>
        <v xml:space="preserve"> </v>
      </c>
      <c r="F131" s="332">
        <f t="shared" si="25"/>
        <v>24</v>
      </c>
      <c r="G131" s="1109">
        <f t="shared" ca="1" si="19"/>
        <v>0</v>
      </c>
      <c r="H131" s="1686">
        <f ca="1">IF(Avail_LDs_Switch=1,VLOOKUP('Plant Operations'!A131,RAC_AvailFactor_Table,RAC_LDs!$G$258),IF($A131&lt;Startops2,Tariff!$T$11,0))</f>
        <v>0</v>
      </c>
      <c r="I131" s="1559">
        <f ca="1">IF(OR($A131&lt;Startops1,$A131&gt;=Startops2),0,IF(AND($A131&gt;=DieselOps_2,$A131&lt;Startops2),VLOOKUP($A131,Diesel_Table,Tariff!$Y$41),VLOOKUP($A131,OA_Table,Tariff!$Y$26)))</f>
        <v>0</v>
      </c>
      <c r="J131" s="391" t="str">
        <f t="shared" ca="1" si="26"/>
        <v xml:space="preserve"> </v>
      </c>
      <c r="K131" s="1109">
        <f ca="1">IF(OR($A131&lt;Startops2,$A131&gt;=Endyr),0,VLOOKUP($A131,Capacity_Table,Tariff!$S$18))</f>
        <v>0.91</v>
      </c>
      <c r="L131" s="212">
        <f ca="1">IF(OR($A131&lt;Startops2,$A131&gt;=Endyr),0,VLOOKUP($A131,Capacity_Table,Tariff!$T$18))</f>
        <v>0.92</v>
      </c>
      <c r="M131" s="334">
        <f ca="1">IF($A131&lt;Startops2,0,IF($A131&lt;Startops3,VLOOKUP($A131,Convert_Table,Tariff!$Y$54),C131*D131*F131*K131*L131))</f>
        <v>298980.864</v>
      </c>
      <c r="N131" s="391" t="str">
        <f t="shared" ca="1" si="27"/>
        <v xml:space="preserve"> </v>
      </c>
      <c r="O131" s="334">
        <f t="shared" ca="1" si="28"/>
        <v>7000</v>
      </c>
      <c r="P131" s="334">
        <f t="shared" ca="1" si="20"/>
        <v>2092866.048</v>
      </c>
      <c r="Q131" s="332" t="str">
        <f t="shared" ca="1" si="21"/>
        <v xml:space="preserve"> </v>
      </c>
      <c r="R131" s="334">
        <f ca="1">IF($A131&gt;Endyr,0,IF($A131&lt;Assm!$A$55,P131,Assm!$F$55*$D131))</f>
        <v>1828160.8767123288</v>
      </c>
      <c r="S131" s="391" t="str">
        <f t="shared" ca="1" si="22"/>
        <v xml:space="preserve"> </v>
      </c>
      <c r="T131" s="334">
        <f t="shared" ca="1" si="23"/>
        <v>2092866.048</v>
      </c>
      <c r="U131" s="682" t="str">
        <f t="shared" ca="1" si="24"/>
        <v xml:space="preserve"> </v>
      </c>
    </row>
    <row r="132" spans="1:21">
      <c r="A132" s="672">
        <f t="shared" ca="1" si="16"/>
        <v>39904</v>
      </c>
      <c r="C132" s="681">
        <f ca="1">IF($A132&gt;Endyr,0,VLOOKUP($A132,Capacity_Table,Tariff!$R$18))</f>
        <v>480</v>
      </c>
      <c r="D132" s="330">
        <f t="shared" ca="1" si="17"/>
        <v>30</v>
      </c>
      <c r="E132" s="330" t="str">
        <f t="shared" ca="1" si="18"/>
        <v xml:space="preserve"> </v>
      </c>
      <c r="F132" s="332">
        <f t="shared" si="25"/>
        <v>24</v>
      </c>
      <c r="G132" s="1109">
        <f t="shared" ca="1" si="19"/>
        <v>0</v>
      </c>
      <c r="H132" s="1686">
        <f ca="1">IF(Avail_LDs_Switch=1,VLOOKUP('Plant Operations'!A132,RAC_AvailFactor_Table,RAC_LDs!$G$258),IF($A132&lt;Startops2,Tariff!$T$11,0))</f>
        <v>0</v>
      </c>
      <c r="I132" s="1559">
        <f ca="1">IF(OR($A132&lt;Startops1,$A132&gt;=Startops2),0,IF(AND($A132&gt;=DieselOps_2,$A132&lt;Startops2),VLOOKUP($A132,Diesel_Table,Tariff!$Y$41),VLOOKUP($A132,OA_Table,Tariff!$Y$26)))</f>
        <v>0</v>
      </c>
      <c r="J132" s="391" t="str">
        <f t="shared" ca="1" si="26"/>
        <v xml:space="preserve"> </v>
      </c>
      <c r="K132" s="1109">
        <f ca="1">IF(OR($A132&lt;Startops2,$A132&gt;=Endyr),0,VLOOKUP($A132,Capacity_Table,Tariff!$S$18))</f>
        <v>0.91</v>
      </c>
      <c r="L132" s="212">
        <f ca="1">IF(OR($A132&lt;Startops2,$A132&gt;=Endyr),0,VLOOKUP($A132,Capacity_Table,Tariff!$T$18))</f>
        <v>0.92</v>
      </c>
      <c r="M132" s="334">
        <f ca="1">IF($A132&lt;Startops2,0,IF($A132&lt;Startops3,VLOOKUP($A132,Convert_Table,Tariff!$Y$54),C132*D132*F132*K132*L132))</f>
        <v>289336.32000000001</v>
      </c>
      <c r="N132" s="391" t="str">
        <f t="shared" ca="1" si="27"/>
        <v xml:space="preserve"> </v>
      </c>
      <c r="O132" s="334">
        <f t="shared" ca="1" si="28"/>
        <v>7000</v>
      </c>
      <c r="P132" s="334">
        <f t="shared" ca="1" si="20"/>
        <v>2025354.24</v>
      </c>
      <c r="Q132" s="332" t="str">
        <f t="shared" ca="1" si="21"/>
        <v xml:space="preserve"> </v>
      </c>
      <c r="R132" s="334">
        <f ca="1">IF($A132&gt;Endyr,0,IF($A132&lt;Assm!$A$55,P132,Assm!$F$55*$D132))</f>
        <v>1769187.9452054794</v>
      </c>
      <c r="S132" s="391" t="str">
        <f t="shared" ca="1" si="22"/>
        <v xml:space="preserve"> </v>
      </c>
      <c r="T132" s="334">
        <f t="shared" ca="1" si="23"/>
        <v>2025354.24</v>
      </c>
      <c r="U132" s="682" t="str">
        <f t="shared" ca="1" si="24"/>
        <v xml:space="preserve"> </v>
      </c>
    </row>
    <row r="133" spans="1:21">
      <c r="A133" s="672">
        <f t="shared" ca="1" si="16"/>
        <v>39934</v>
      </c>
      <c r="C133" s="681">
        <f ca="1">IF($A133&gt;Endyr,0,VLOOKUP($A133,Capacity_Table,Tariff!$R$18))</f>
        <v>480</v>
      </c>
      <c r="D133" s="330">
        <f t="shared" ca="1" si="17"/>
        <v>31</v>
      </c>
      <c r="E133" s="330" t="str">
        <f t="shared" ca="1" si="18"/>
        <v xml:space="preserve"> </v>
      </c>
      <c r="F133" s="332">
        <f t="shared" si="25"/>
        <v>24</v>
      </c>
      <c r="G133" s="1109">
        <f t="shared" ca="1" si="19"/>
        <v>0</v>
      </c>
      <c r="H133" s="1686">
        <f ca="1">IF(Avail_LDs_Switch=1,VLOOKUP('Plant Operations'!A133,RAC_AvailFactor_Table,RAC_LDs!$G$258),IF($A133&lt;Startops2,Tariff!$T$11,0))</f>
        <v>0</v>
      </c>
      <c r="I133" s="1559">
        <f ca="1">IF(OR($A133&lt;Startops1,$A133&gt;=Startops2),0,IF(AND($A133&gt;=DieselOps_2,$A133&lt;Startops2),VLOOKUP($A133,Diesel_Table,Tariff!$Y$41),VLOOKUP($A133,OA_Table,Tariff!$Y$26)))</f>
        <v>0</v>
      </c>
      <c r="J133" s="391" t="str">
        <f t="shared" ca="1" si="26"/>
        <v xml:space="preserve"> </v>
      </c>
      <c r="K133" s="1109">
        <f ca="1">IF(OR($A133&lt;Startops2,$A133&gt;=Endyr),0,VLOOKUP($A133,Capacity_Table,Tariff!$S$18))</f>
        <v>0.91</v>
      </c>
      <c r="L133" s="212">
        <f ca="1">IF(OR($A133&lt;Startops2,$A133&gt;=Endyr),0,VLOOKUP($A133,Capacity_Table,Tariff!$T$18))</f>
        <v>0.92</v>
      </c>
      <c r="M133" s="334">
        <f ca="1">IF($A133&lt;Startops2,0,IF($A133&lt;Startops3,VLOOKUP($A133,Convert_Table,Tariff!$Y$54),C133*D133*F133*K133*L133))</f>
        <v>298980.864</v>
      </c>
      <c r="N133" s="391" t="str">
        <f t="shared" ca="1" si="27"/>
        <v xml:space="preserve"> </v>
      </c>
      <c r="O133" s="334">
        <f t="shared" ca="1" si="28"/>
        <v>7000</v>
      </c>
      <c r="P133" s="334">
        <f t="shared" ca="1" si="20"/>
        <v>2092866.048</v>
      </c>
      <c r="Q133" s="332" t="str">
        <f t="shared" ca="1" si="21"/>
        <v xml:space="preserve"> </v>
      </c>
      <c r="R133" s="334">
        <f ca="1">IF($A133&gt;Endyr,0,IF($A133&lt;Assm!$A$55,P133,Assm!$F$55*$D133))</f>
        <v>1828160.8767123288</v>
      </c>
      <c r="S133" s="391" t="str">
        <f t="shared" ca="1" si="22"/>
        <v xml:space="preserve"> </v>
      </c>
      <c r="T133" s="334">
        <f t="shared" ca="1" si="23"/>
        <v>2092866.048</v>
      </c>
      <c r="U133" s="682" t="str">
        <f t="shared" ca="1" si="24"/>
        <v xml:space="preserve"> </v>
      </c>
    </row>
    <row r="134" spans="1:21">
      <c r="A134" s="672">
        <f t="shared" ca="1" si="16"/>
        <v>39965</v>
      </c>
      <c r="C134" s="681">
        <f ca="1">IF($A134&gt;Endyr,0,VLOOKUP($A134,Capacity_Table,Tariff!$R$18))</f>
        <v>480</v>
      </c>
      <c r="D134" s="330">
        <f t="shared" ca="1" si="17"/>
        <v>30</v>
      </c>
      <c r="E134" s="330" t="str">
        <f t="shared" ca="1" si="18"/>
        <v xml:space="preserve"> </v>
      </c>
      <c r="F134" s="332">
        <f t="shared" si="25"/>
        <v>24</v>
      </c>
      <c r="G134" s="1109">
        <f t="shared" ca="1" si="19"/>
        <v>0</v>
      </c>
      <c r="H134" s="1686">
        <f ca="1">IF(Avail_LDs_Switch=1,VLOOKUP('Plant Operations'!A134,RAC_AvailFactor_Table,RAC_LDs!$G$258),IF($A134&lt;Startops2,Tariff!$T$11,0))</f>
        <v>0</v>
      </c>
      <c r="I134" s="1559">
        <f ca="1">IF(OR($A134&lt;Startops1,$A134&gt;=Startops2),0,IF(AND($A134&gt;=DieselOps_2,$A134&lt;Startops2),VLOOKUP($A134,Diesel_Table,Tariff!$Y$41),VLOOKUP($A134,OA_Table,Tariff!$Y$26)))</f>
        <v>0</v>
      </c>
      <c r="J134" s="391" t="str">
        <f t="shared" ca="1" si="26"/>
        <v xml:space="preserve"> </v>
      </c>
      <c r="K134" s="1109">
        <f ca="1">IF(OR($A134&lt;Startops2,$A134&gt;=Endyr),0,VLOOKUP($A134,Capacity_Table,Tariff!$S$18))</f>
        <v>0.91</v>
      </c>
      <c r="L134" s="212">
        <f ca="1">IF(OR($A134&lt;Startops2,$A134&gt;=Endyr),0,VLOOKUP($A134,Capacity_Table,Tariff!$T$18))</f>
        <v>0.92</v>
      </c>
      <c r="M134" s="334">
        <f ca="1">IF($A134&lt;Startops2,0,IF($A134&lt;Startops3,VLOOKUP($A134,Convert_Table,Tariff!$Y$54),C134*D134*F134*K134*L134))</f>
        <v>289336.32000000001</v>
      </c>
      <c r="N134" s="391" t="str">
        <f t="shared" ca="1" si="27"/>
        <v xml:space="preserve"> </v>
      </c>
      <c r="O134" s="334">
        <f t="shared" ca="1" si="28"/>
        <v>7000</v>
      </c>
      <c r="P134" s="334">
        <f t="shared" ca="1" si="20"/>
        <v>2025354.24</v>
      </c>
      <c r="Q134" s="332" t="str">
        <f t="shared" ca="1" si="21"/>
        <v xml:space="preserve"> </v>
      </c>
      <c r="R134" s="334">
        <f ca="1">IF($A134&gt;Endyr,0,IF($A134&lt;Assm!$A$55,P134,Assm!$F$55*$D134))</f>
        <v>1769187.9452054794</v>
      </c>
      <c r="S134" s="391" t="str">
        <f t="shared" ca="1" si="22"/>
        <v xml:space="preserve"> </v>
      </c>
      <c r="T134" s="334">
        <f t="shared" ca="1" si="23"/>
        <v>2025354.24</v>
      </c>
      <c r="U134" s="682" t="str">
        <f t="shared" ca="1" si="24"/>
        <v xml:space="preserve"> </v>
      </c>
    </row>
    <row r="135" spans="1:21">
      <c r="A135" s="672">
        <f t="shared" ca="1" si="16"/>
        <v>39995</v>
      </c>
      <c r="C135" s="681">
        <f ca="1">IF($A135&gt;Endyr,0,VLOOKUP($A135,Capacity_Table,Tariff!$R$18))</f>
        <v>480</v>
      </c>
      <c r="D135" s="330">
        <f t="shared" ca="1" si="17"/>
        <v>31</v>
      </c>
      <c r="E135" s="330" t="str">
        <f t="shared" ca="1" si="18"/>
        <v xml:space="preserve"> </v>
      </c>
      <c r="F135" s="332">
        <f t="shared" si="25"/>
        <v>24</v>
      </c>
      <c r="G135" s="1109">
        <f t="shared" ca="1" si="19"/>
        <v>0</v>
      </c>
      <c r="H135" s="1686">
        <f ca="1">IF(Avail_LDs_Switch=1,VLOOKUP('Plant Operations'!A135,RAC_AvailFactor_Table,RAC_LDs!$G$258),IF($A135&lt;Startops2,Tariff!$T$11,0))</f>
        <v>0</v>
      </c>
      <c r="I135" s="1559">
        <f ca="1">IF(OR($A135&lt;Startops1,$A135&gt;=Startops2),0,IF(AND($A135&gt;=DieselOps_2,$A135&lt;Startops2),VLOOKUP($A135,Diesel_Table,Tariff!$Y$41),VLOOKUP($A135,OA_Table,Tariff!$Y$26)))</f>
        <v>0</v>
      </c>
      <c r="J135" s="391" t="str">
        <f t="shared" ca="1" si="26"/>
        <v xml:space="preserve"> </v>
      </c>
      <c r="K135" s="1109">
        <f ca="1">IF(OR($A135&lt;Startops2,$A135&gt;=Endyr),0,VLOOKUP($A135,Capacity_Table,Tariff!$S$18))</f>
        <v>0.91</v>
      </c>
      <c r="L135" s="212">
        <f ca="1">IF(OR($A135&lt;Startops2,$A135&gt;=Endyr),0,VLOOKUP($A135,Capacity_Table,Tariff!$T$18))</f>
        <v>0.92</v>
      </c>
      <c r="M135" s="334">
        <f ca="1">IF($A135&lt;Startops2,0,IF($A135&lt;Startops3,VLOOKUP($A135,Convert_Table,Tariff!$Y$54),C135*D135*F135*K135*L135))</f>
        <v>298980.864</v>
      </c>
      <c r="N135" s="391" t="str">
        <f t="shared" ca="1" si="27"/>
        <v xml:space="preserve"> </v>
      </c>
      <c r="O135" s="334">
        <f t="shared" ca="1" si="28"/>
        <v>7000</v>
      </c>
      <c r="P135" s="334">
        <f t="shared" ca="1" si="20"/>
        <v>2092866.048</v>
      </c>
      <c r="Q135" s="332" t="str">
        <f t="shared" ca="1" si="21"/>
        <v xml:space="preserve"> </v>
      </c>
      <c r="R135" s="334">
        <f ca="1">IF($A135&gt;Endyr,0,IF($A135&lt;Assm!$A$55,P135,Assm!$F$55*$D135))</f>
        <v>1828160.8767123288</v>
      </c>
      <c r="S135" s="391" t="str">
        <f t="shared" ca="1" si="22"/>
        <v xml:space="preserve"> </v>
      </c>
      <c r="T135" s="334">
        <f t="shared" ca="1" si="23"/>
        <v>2092866.048</v>
      </c>
      <c r="U135" s="682" t="str">
        <f t="shared" ca="1" si="24"/>
        <v xml:space="preserve"> </v>
      </c>
    </row>
    <row r="136" spans="1:21">
      <c r="A136" s="672">
        <f t="shared" ca="1" si="16"/>
        <v>40026</v>
      </c>
      <c r="C136" s="681">
        <f ca="1">IF($A136&gt;Endyr,0,VLOOKUP($A136,Capacity_Table,Tariff!$R$18))</f>
        <v>480</v>
      </c>
      <c r="D136" s="330">
        <f t="shared" ca="1" si="17"/>
        <v>31</v>
      </c>
      <c r="E136" s="330" t="str">
        <f t="shared" ca="1" si="18"/>
        <v xml:space="preserve"> </v>
      </c>
      <c r="F136" s="332">
        <f t="shared" si="25"/>
        <v>24</v>
      </c>
      <c r="G136" s="1109">
        <f t="shared" ca="1" si="19"/>
        <v>0</v>
      </c>
      <c r="H136" s="1686">
        <f ca="1">IF(Avail_LDs_Switch=1,VLOOKUP('Plant Operations'!A136,RAC_AvailFactor_Table,RAC_LDs!$G$258),IF($A136&lt;Startops2,Tariff!$T$11,0))</f>
        <v>0</v>
      </c>
      <c r="I136" s="1559">
        <f ca="1">IF(OR($A136&lt;Startops1,$A136&gt;=Startops2),0,IF(AND($A136&gt;=DieselOps_2,$A136&lt;Startops2),VLOOKUP($A136,Diesel_Table,Tariff!$Y$41),VLOOKUP($A136,OA_Table,Tariff!$Y$26)))</f>
        <v>0</v>
      </c>
      <c r="J136" s="391" t="str">
        <f t="shared" ca="1" si="26"/>
        <v xml:space="preserve"> </v>
      </c>
      <c r="K136" s="1109">
        <f ca="1">IF(OR($A136&lt;Startops2,$A136&gt;=Endyr),0,VLOOKUP($A136,Capacity_Table,Tariff!$S$18))</f>
        <v>0.91</v>
      </c>
      <c r="L136" s="212">
        <f ca="1">IF(OR($A136&lt;Startops2,$A136&gt;=Endyr),0,VLOOKUP($A136,Capacity_Table,Tariff!$T$18))</f>
        <v>0.92</v>
      </c>
      <c r="M136" s="334">
        <f ca="1">IF($A136&lt;Startops2,0,IF($A136&lt;Startops3,VLOOKUP($A136,Convert_Table,Tariff!$Y$54),C136*D136*F136*K136*L136))</f>
        <v>298980.864</v>
      </c>
      <c r="N136" s="391" t="str">
        <f t="shared" ca="1" si="27"/>
        <v xml:space="preserve"> </v>
      </c>
      <c r="O136" s="334">
        <f t="shared" ca="1" si="28"/>
        <v>7000</v>
      </c>
      <c r="P136" s="334">
        <f t="shared" ca="1" si="20"/>
        <v>2092866.048</v>
      </c>
      <c r="Q136" s="332" t="str">
        <f t="shared" ca="1" si="21"/>
        <v xml:space="preserve"> </v>
      </c>
      <c r="R136" s="334">
        <f ca="1">IF($A136&gt;Endyr,0,IF($A136&lt;Assm!$A$55,P136,Assm!$F$55*$D136))</f>
        <v>1828160.8767123288</v>
      </c>
      <c r="S136" s="391" t="str">
        <f t="shared" ca="1" si="22"/>
        <v xml:space="preserve"> </v>
      </c>
      <c r="T136" s="334">
        <f t="shared" ca="1" si="23"/>
        <v>2092866.048</v>
      </c>
      <c r="U136" s="682" t="str">
        <f t="shared" ca="1" si="24"/>
        <v xml:space="preserve"> </v>
      </c>
    </row>
    <row r="137" spans="1:21">
      <c r="A137" s="672">
        <f t="shared" ca="1" si="16"/>
        <v>40057</v>
      </c>
      <c r="C137" s="681">
        <f ca="1">IF($A137&gt;Endyr,0,VLOOKUP($A137,Capacity_Table,Tariff!$R$18))</f>
        <v>480</v>
      </c>
      <c r="D137" s="330">
        <f t="shared" ca="1" si="17"/>
        <v>30</v>
      </c>
      <c r="E137" s="330" t="str">
        <f t="shared" ca="1" si="18"/>
        <v xml:space="preserve"> </v>
      </c>
      <c r="F137" s="332">
        <f t="shared" si="25"/>
        <v>24</v>
      </c>
      <c r="G137" s="1109">
        <f t="shared" ca="1" si="19"/>
        <v>0</v>
      </c>
      <c r="H137" s="1686">
        <f ca="1">IF(Avail_LDs_Switch=1,VLOOKUP('Plant Operations'!A137,RAC_AvailFactor_Table,RAC_LDs!$G$258),IF($A137&lt;Startops2,Tariff!$T$11,0))</f>
        <v>0</v>
      </c>
      <c r="I137" s="1559">
        <f ca="1">IF(OR($A137&lt;Startops1,$A137&gt;=Startops2),0,IF(AND($A137&gt;=DieselOps_2,$A137&lt;Startops2),VLOOKUP($A137,Diesel_Table,Tariff!$Y$41),VLOOKUP($A137,OA_Table,Tariff!$Y$26)))</f>
        <v>0</v>
      </c>
      <c r="J137" s="391" t="str">
        <f t="shared" ca="1" si="26"/>
        <v xml:space="preserve"> </v>
      </c>
      <c r="K137" s="1109">
        <f ca="1">IF(OR($A137&lt;Startops2,$A137&gt;=Endyr),0,VLOOKUP($A137,Capacity_Table,Tariff!$S$18))</f>
        <v>0.91</v>
      </c>
      <c r="L137" s="212">
        <f ca="1">IF(OR($A137&lt;Startops2,$A137&gt;=Endyr),0,VLOOKUP($A137,Capacity_Table,Tariff!$T$18))</f>
        <v>0.92</v>
      </c>
      <c r="M137" s="334">
        <f ca="1">IF($A137&lt;Startops2,0,IF($A137&lt;Startops3,VLOOKUP($A137,Convert_Table,Tariff!$Y$54),C137*D137*F137*K137*L137))</f>
        <v>289336.32000000001</v>
      </c>
      <c r="N137" s="391" t="str">
        <f t="shared" ca="1" si="27"/>
        <v xml:space="preserve"> </v>
      </c>
      <c r="O137" s="334">
        <f t="shared" ca="1" si="28"/>
        <v>7000</v>
      </c>
      <c r="P137" s="334">
        <f t="shared" ca="1" si="20"/>
        <v>2025354.24</v>
      </c>
      <c r="Q137" s="332" t="str">
        <f t="shared" ca="1" si="21"/>
        <v xml:space="preserve"> </v>
      </c>
      <c r="R137" s="334">
        <f ca="1">IF($A137&gt;Endyr,0,IF($A137&lt;Assm!$A$55,P137,Assm!$F$55*$D137))</f>
        <v>1769187.9452054794</v>
      </c>
      <c r="S137" s="391" t="str">
        <f t="shared" ca="1" si="22"/>
        <v xml:space="preserve"> </v>
      </c>
      <c r="T137" s="334">
        <f t="shared" ca="1" si="23"/>
        <v>2025354.24</v>
      </c>
      <c r="U137" s="682" t="str">
        <f t="shared" ca="1" si="24"/>
        <v xml:space="preserve"> </v>
      </c>
    </row>
    <row r="138" spans="1:21">
      <c r="A138" s="672">
        <f t="shared" ca="1" si="16"/>
        <v>40087</v>
      </c>
      <c r="C138" s="681">
        <f ca="1">IF($A138&gt;Endyr,0,VLOOKUP($A138,Capacity_Table,Tariff!$R$18))</f>
        <v>480</v>
      </c>
      <c r="D138" s="330">
        <f t="shared" ca="1" si="17"/>
        <v>31</v>
      </c>
      <c r="E138" s="330" t="str">
        <f t="shared" ca="1" si="18"/>
        <v xml:space="preserve"> </v>
      </c>
      <c r="F138" s="332">
        <f t="shared" si="25"/>
        <v>24</v>
      </c>
      <c r="G138" s="1109">
        <f t="shared" ca="1" si="19"/>
        <v>0</v>
      </c>
      <c r="H138" s="1686">
        <f ca="1">IF(Avail_LDs_Switch=1,VLOOKUP('Plant Operations'!A138,RAC_AvailFactor_Table,RAC_LDs!$G$258),IF($A138&lt;Startops2,Tariff!$T$11,0))</f>
        <v>0</v>
      </c>
      <c r="I138" s="1559">
        <f ca="1">IF(OR($A138&lt;Startops1,$A138&gt;=Startops2),0,IF(AND($A138&gt;=DieselOps_2,$A138&lt;Startops2),VLOOKUP($A138,Diesel_Table,Tariff!$Y$41),VLOOKUP($A138,OA_Table,Tariff!$Y$26)))</f>
        <v>0</v>
      </c>
      <c r="J138" s="391" t="str">
        <f t="shared" ca="1" si="26"/>
        <v xml:space="preserve"> </v>
      </c>
      <c r="K138" s="1109">
        <f ca="1">IF(OR($A138&lt;Startops2,$A138&gt;=Endyr),0,VLOOKUP($A138,Capacity_Table,Tariff!$S$18))</f>
        <v>0.91</v>
      </c>
      <c r="L138" s="212">
        <f ca="1">IF(OR($A138&lt;Startops2,$A138&gt;=Endyr),0,VLOOKUP($A138,Capacity_Table,Tariff!$T$18))</f>
        <v>0.92</v>
      </c>
      <c r="M138" s="334">
        <f ca="1">IF($A138&lt;Startops2,0,IF($A138&lt;Startops3,VLOOKUP($A138,Convert_Table,Tariff!$Y$54),C138*D138*F138*K138*L138))</f>
        <v>298980.864</v>
      </c>
      <c r="N138" s="391" t="str">
        <f t="shared" ca="1" si="27"/>
        <v xml:space="preserve"> </v>
      </c>
      <c r="O138" s="334">
        <f t="shared" ca="1" si="28"/>
        <v>7000</v>
      </c>
      <c r="P138" s="334">
        <f t="shared" ca="1" si="20"/>
        <v>2092866.048</v>
      </c>
      <c r="Q138" s="332" t="str">
        <f t="shared" ca="1" si="21"/>
        <v xml:space="preserve"> </v>
      </c>
      <c r="R138" s="334">
        <f ca="1">IF($A138&gt;Endyr,0,IF($A138&lt;Assm!$A$55,P138,Assm!$F$55*$D138))</f>
        <v>1828160.8767123288</v>
      </c>
      <c r="S138" s="391" t="str">
        <f t="shared" ca="1" si="22"/>
        <v xml:space="preserve"> </v>
      </c>
      <c r="T138" s="334">
        <f t="shared" ca="1" si="23"/>
        <v>2092866.048</v>
      </c>
      <c r="U138" s="682" t="str">
        <f t="shared" ca="1" si="24"/>
        <v xml:space="preserve"> </v>
      </c>
    </row>
    <row r="139" spans="1:21">
      <c r="A139" s="672">
        <f t="shared" ca="1" si="16"/>
        <v>40118</v>
      </c>
      <c r="C139" s="681">
        <f ca="1">IF($A139&gt;Endyr,0,VLOOKUP($A139,Capacity_Table,Tariff!$R$18))</f>
        <v>480</v>
      </c>
      <c r="D139" s="330">
        <f t="shared" ca="1" si="17"/>
        <v>30</v>
      </c>
      <c r="E139" s="330" t="str">
        <f t="shared" ca="1" si="18"/>
        <v xml:space="preserve"> </v>
      </c>
      <c r="F139" s="332">
        <f t="shared" si="25"/>
        <v>24</v>
      </c>
      <c r="G139" s="1109">
        <f t="shared" ca="1" si="19"/>
        <v>0</v>
      </c>
      <c r="H139" s="1686">
        <f ca="1">IF(Avail_LDs_Switch=1,VLOOKUP('Plant Operations'!A139,RAC_AvailFactor_Table,RAC_LDs!$G$258),IF($A139&lt;Startops2,Tariff!$T$11,0))</f>
        <v>0</v>
      </c>
      <c r="I139" s="1559">
        <f ca="1">IF(OR($A139&lt;Startops1,$A139&gt;=Startops2),0,IF(AND($A139&gt;=DieselOps_2,$A139&lt;Startops2),VLOOKUP($A139,Diesel_Table,Tariff!$Y$41),VLOOKUP($A139,OA_Table,Tariff!$Y$26)))</f>
        <v>0</v>
      </c>
      <c r="J139" s="391" t="str">
        <f t="shared" ca="1" si="26"/>
        <v xml:space="preserve"> </v>
      </c>
      <c r="K139" s="1109">
        <f ca="1">IF(OR($A139&lt;Startops2,$A139&gt;=Endyr),0,VLOOKUP($A139,Capacity_Table,Tariff!$S$18))</f>
        <v>0.91</v>
      </c>
      <c r="L139" s="212">
        <f ca="1">IF(OR($A139&lt;Startops2,$A139&gt;=Endyr),0,VLOOKUP($A139,Capacity_Table,Tariff!$T$18))</f>
        <v>0.92</v>
      </c>
      <c r="M139" s="334">
        <f ca="1">IF($A139&lt;Startops2,0,IF($A139&lt;Startops3,VLOOKUP($A139,Convert_Table,Tariff!$Y$54),C139*D139*F139*K139*L139))</f>
        <v>289336.32000000001</v>
      </c>
      <c r="N139" s="391" t="str">
        <f t="shared" ca="1" si="27"/>
        <v xml:space="preserve"> </v>
      </c>
      <c r="O139" s="334">
        <f t="shared" ca="1" si="28"/>
        <v>7000</v>
      </c>
      <c r="P139" s="334">
        <f t="shared" ca="1" si="20"/>
        <v>2025354.24</v>
      </c>
      <c r="Q139" s="332" t="str">
        <f t="shared" ca="1" si="21"/>
        <v xml:space="preserve"> </v>
      </c>
      <c r="R139" s="334">
        <f ca="1">IF($A139&gt;Endyr,0,IF($A139&lt;Assm!$A$55,P139,Assm!$F$55*$D139))</f>
        <v>1769187.9452054794</v>
      </c>
      <c r="S139" s="391" t="str">
        <f t="shared" ca="1" si="22"/>
        <v xml:space="preserve"> </v>
      </c>
      <c r="T139" s="334">
        <f t="shared" ca="1" si="23"/>
        <v>2025354.24</v>
      </c>
      <c r="U139" s="682" t="str">
        <f t="shared" ca="1" si="24"/>
        <v xml:space="preserve"> </v>
      </c>
    </row>
    <row r="140" spans="1:21">
      <c r="A140" s="672">
        <f t="shared" ca="1" si="16"/>
        <v>40148</v>
      </c>
      <c r="C140" s="681">
        <f ca="1">IF($A140&gt;Endyr,0,VLOOKUP($A140,Capacity_Table,Tariff!$R$18))</f>
        <v>480</v>
      </c>
      <c r="D140" s="330">
        <f t="shared" ca="1" si="17"/>
        <v>31</v>
      </c>
      <c r="E140" s="330">
        <f t="shared" ca="1" si="18"/>
        <v>365</v>
      </c>
      <c r="F140" s="332">
        <f t="shared" si="25"/>
        <v>24</v>
      </c>
      <c r="G140" s="1109">
        <f t="shared" ca="1" si="19"/>
        <v>0</v>
      </c>
      <c r="H140" s="1686">
        <f ca="1">IF(Avail_LDs_Switch=1,VLOOKUP('Plant Operations'!A140,RAC_AvailFactor_Table,RAC_LDs!$G$258),IF($A140&lt;Startops2,Tariff!$T$11,0))</f>
        <v>0</v>
      </c>
      <c r="I140" s="1559">
        <f ca="1">IF(OR($A140&lt;Startops1,$A140&gt;=Startops2),0,IF(AND($A140&gt;=DieselOps_2,$A140&lt;Startops2),VLOOKUP($A140,Diesel_Table,Tariff!$Y$41),VLOOKUP($A140,OA_Table,Tariff!$Y$26)))</f>
        <v>0</v>
      </c>
      <c r="J140" s="391">
        <f t="shared" ca="1" si="26"/>
        <v>0</v>
      </c>
      <c r="K140" s="1109">
        <f ca="1">IF(OR($A140&lt;Startops2,$A140&gt;=Endyr),0,VLOOKUP($A140,Capacity_Table,Tariff!$S$18))</f>
        <v>0.91</v>
      </c>
      <c r="L140" s="212">
        <f ca="1">IF(OR($A140&lt;Startops2,$A140&gt;=Endyr),0,VLOOKUP($A140,Capacity_Table,Tariff!$T$18))</f>
        <v>0.92</v>
      </c>
      <c r="M140" s="334">
        <f ca="1">IF($A140&lt;Startops2,0,IF($A140&lt;Startops3,VLOOKUP($A140,Convert_Table,Tariff!$Y$54),C140*D140*F140*K140*L140))</f>
        <v>298980.864</v>
      </c>
      <c r="N140" s="391">
        <f t="shared" ca="1" si="27"/>
        <v>3520258.56</v>
      </c>
      <c r="O140" s="334">
        <f t="shared" ca="1" si="28"/>
        <v>7000</v>
      </c>
      <c r="P140" s="334">
        <f t="shared" ca="1" si="20"/>
        <v>2092866.048</v>
      </c>
      <c r="Q140" s="332">
        <f t="shared" ca="1" si="21"/>
        <v>24641809.920000002</v>
      </c>
      <c r="R140" s="334">
        <f ca="1">IF($A140&gt;Endyr,0,IF($A140&lt;Assm!$A$55,P140,Assm!$F$55*$D140))</f>
        <v>1828160.8767123288</v>
      </c>
      <c r="S140" s="391">
        <f t="shared" ca="1" si="22"/>
        <v>21525120.000000004</v>
      </c>
      <c r="T140" s="334">
        <f t="shared" ca="1" si="23"/>
        <v>2092866.048</v>
      </c>
      <c r="U140" s="682">
        <f ca="1">IF(MONTH($A140)=12,SUM(T129:T140)," ")</f>
        <v>24641809.920000002</v>
      </c>
    </row>
    <row r="141" spans="1:21">
      <c r="A141" s="672">
        <f t="shared" ref="A141:A204" ca="1" si="29">EDATE(A140,1)</f>
        <v>40179</v>
      </c>
      <c r="C141" s="681">
        <f ca="1">IF($A141&gt;Endyr,0,VLOOKUP($A141,Capacity_Table,Tariff!$R$18))</f>
        <v>480</v>
      </c>
      <c r="D141" s="330">
        <f t="shared" ref="D141:D204" ca="1" si="30">A142-A141</f>
        <v>31</v>
      </c>
      <c r="E141" s="330" t="str">
        <f t="shared" ref="E141:E204" ca="1" si="31">IF(MONTH($A141)=12,SUM(D130:D141)," ")</f>
        <v xml:space="preserve"> </v>
      </c>
      <c r="F141" s="332">
        <f t="shared" si="25"/>
        <v>24</v>
      </c>
      <c r="G141" s="1109">
        <f t="shared" ref="G141:G204" ca="1" si="32">IF(I141=0,0,I141/($C141*$D141*$F141*H141))</f>
        <v>0</v>
      </c>
      <c r="H141" s="1686">
        <f ca="1">IF(Avail_LDs_Switch=1,VLOOKUP('Plant Operations'!A141,RAC_AvailFactor_Table,RAC_LDs!$G$258),IF($A141&lt;Startops2,Tariff!$T$11,0))</f>
        <v>0</v>
      </c>
      <c r="I141" s="1559">
        <f ca="1">IF(OR($A141&lt;Startops1,$A141&gt;=Startops2),0,IF(AND($A141&gt;=DieselOps_2,$A141&lt;Startops2),VLOOKUP($A141,Diesel_Table,Tariff!$Y$41),VLOOKUP($A141,OA_Table,Tariff!$Y$26)))</f>
        <v>0</v>
      </c>
      <c r="J141" s="391" t="str">
        <f t="shared" ca="1" si="26"/>
        <v xml:space="preserve"> </v>
      </c>
      <c r="K141" s="1109">
        <f ca="1">IF(OR($A141&lt;Startops2,$A141&gt;=Endyr),0,VLOOKUP($A141,Capacity_Table,Tariff!$S$18))</f>
        <v>0.91</v>
      </c>
      <c r="L141" s="212">
        <f ca="1">IF(OR($A141&lt;Startops2,$A141&gt;=Endyr),0,VLOOKUP($A141,Capacity_Table,Tariff!$T$18))</f>
        <v>0.92</v>
      </c>
      <c r="M141" s="334">
        <f ca="1">IF($A141&lt;Startops2,0,IF($A141&lt;Startops3,VLOOKUP($A141,Convert_Table,Tariff!$Y$54),C141*D141*F141*K141*L141))</f>
        <v>298980.864</v>
      </c>
      <c r="N141" s="391" t="str">
        <f t="shared" ca="1" si="27"/>
        <v xml:space="preserve"> </v>
      </c>
      <c r="O141" s="334">
        <f t="shared" ca="1" si="28"/>
        <v>7000</v>
      </c>
      <c r="P141" s="334">
        <f t="shared" ref="P141:P204" ca="1" si="33">M141*O141/1000</f>
        <v>2092866.048</v>
      </c>
      <c r="Q141" s="332" t="str">
        <f t="shared" ref="Q141:Q204" ca="1" si="34">IF(MONTH($A141)=12,SUM(P130:P141)," ")</f>
        <v xml:space="preserve"> </v>
      </c>
      <c r="R141" s="334">
        <f ca="1">IF($A141&gt;Endyr,0,IF($A141&lt;Assm!$A$55,P141,Assm!$F$55*$D141))</f>
        <v>1828160.8767123288</v>
      </c>
      <c r="S141" s="391" t="str">
        <f t="shared" ref="S141:S204" ca="1" si="35">IF(MONTH($A141)=12,SUM(R130:R141)," ")</f>
        <v xml:space="preserve"> </v>
      </c>
      <c r="T141" s="334">
        <f t="shared" ref="T141:T204" ca="1" si="36">MAX(P141,R141)</f>
        <v>2092866.048</v>
      </c>
      <c r="U141" s="682" t="str">
        <f t="shared" ref="U141:U204" ca="1" si="37">IF(MONTH($A141)=12,SUM(T130:T141)," ")</f>
        <v xml:space="preserve"> </v>
      </c>
    </row>
    <row r="142" spans="1:21">
      <c r="A142" s="672">
        <f t="shared" ca="1" si="29"/>
        <v>40210</v>
      </c>
      <c r="C142" s="681">
        <f ca="1">IF($A142&gt;Endyr,0,VLOOKUP($A142,Capacity_Table,Tariff!$R$18))</f>
        <v>480</v>
      </c>
      <c r="D142" s="330">
        <f t="shared" ca="1" si="30"/>
        <v>28</v>
      </c>
      <c r="E142" s="330" t="str">
        <f t="shared" ca="1" si="31"/>
        <v xml:space="preserve"> </v>
      </c>
      <c r="F142" s="332">
        <f t="shared" ref="F142:F205" si="38">F141</f>
        <v>24</v>
      </c>
      <c r="G142" s="1109">
        <f t="shared" ca="1" si="32"/>
        <v>0</v>
      </c>
      <c r="H142" s="1686">
        <f ca="1">IF(Avail_LDs_Switch=1,VLOOKUP('Plant Operations'!A142,RAC_AvailFactor_Table,RAC_LDs!$G$258),IF($A142&lt;Startops2,Tariff!$T$11,0))</f>
        <v>0</v>
      </c>
      <c r="I142" s="1559">
        <f ca="1">IF(OR($A142&lt;Startops1,$A142&gt;=Startops2),0,IF(AND($A142&gt;=DieselOps_2,$A142&lt;Startops2),VLOOKUP($A142,Diesel_Table,Tariff!$Y$41),VLOOKUP($A142,OA_Table,Tariff!$Y$26)))</f>
        <v>0</v>
      </c>
      <c r="J142" s="391" t="str">
        <f t="shared" ca="1" si="26"/>
        <v xml:space="preserve"> </v>
      </c>
      <c r="K142" s="1109">
        <f ca="1">IF(OR($A142&lt;Startops2,$A142&gt;=Endyr),0,VLOOKUP($A142,Capacity_Table,Tariff!$S$18))</f>
        <v>0.91</v>
      </c>
      <c r="L142" s="212">
        <f ca="1">IF(OR($A142&lt;Startops2,$A142&gt;=Endyr),0,VLOOKUP($A142,Capacity_Table,Tariff!$T$18))</f>
        <v>0.92</v>
      </c>
      <c r="M142" s="334">
        <f ca="1">IF($A142&lt;Startops2,0,IF($A142&lt;Startops3,VLOOKUP($A142,Convert_Table,Tariff!$Y$54),C142*D142*F142*K142*L142))</f>
        <v>270047.23200000002</v>
      </c>
      <c r="N142" s="391" t="str">
        <f t="shared" ca="1" si="27"/>
        <v xml:space="preserve"> </v>
      </c>
      <c r="O142" s="334">
        <f t="shared" ca="1" si="28"/>
        <v>7000</v>
      </c>
      <c r="P142" s="334">
        <f t="shared" ca="1" si="33"/>
        <v>1890330.6240000003</v>
      </c>
      <c r="Q142" s="332" t="str">
        <f t="shared" ca="1" si="34"/>
        <v xml:space="preserve"> </v>
      </c>
      <c r="R142" s="334">
        <f ca="1">IF($A142&gt;Endyr,0,IF($A142&lt;Assm!$A$55,P142,Assm!$F$55*$D142))</f>
        <v>1651242.0821917809</v>
      </c>
      <c r="S142" s="391" t="str">
        <f t="shared" ca="1" si="35"/>
        <v xml:space="preserve"> </v>
      </c>
      <c r="T142" s="334">
        <f t="shared" ca="1" si="36"/>
        <v>1890330.6240000003</v>
      </c>
      <c r="U142" s="682" t="str">
        <f t="shared" ca="1" si="37"/>
        <v xml:space="preserve"> </v>
      </c>
    </row>
    <row r="143" spans="1:21">
      <c r="A143" s="672">
        <f t="shared" ca="1" si="29"/>
        <v>40238</v>
      </c>
      <c r="C143" s="681">
        <f ca="1">IF($A143&gt;Endyr,0,VLOOKUP($A143,Capacity_Table,Tariff!$R$18))</f>
        <v>480</v>
      </c>
      <c r="D143" s="330">
        <f t="shared" ca="1" si="30"/>
        <v>31</v>
      </c>
      <c r="E143" s="330" t="str">
        <f t="shared" ca="1" si="31"/>
        <v xml:space="preserve"> </v>
      </c>
      <c r="F143" s="332">
        <f t="shared" si="38"/>
        <v>24</v>
      </c>
      <c r="G143" s="1109">
        <f t="shared" ca="1" si="32"/>
        <v>0</v>
      </c>
      <c r="H143" s="1686">
        <f ca="1">IF(Avail_LDs_Switch=1,VLOOKUP('Plant Operations'!A143,RAC_AvailFactor_Table,RAC_LDs!$G$258),IF($A143&lt;Startops2,Tariff!$T$11,0))</f>
        <v>0</v>
      </c>
      <c r="I143" s="1559">
        <f ca="1">IF(OR($A143&lt;Startops1,$A143&gt;=Startops2),0,IF(AND($A143&gt;=DieselOps_2,$A143&lt;Startops2),VLOOKUP($A143,Diesel_Table,Tariff!$Y$41),VLOOKUP($A143,OA_Table,Tariff!$Y$26)))</f>
        <v>0</v>
      </c>
      <c r="J143" s="391" t="str">
        <f t="shared" ca="1" si="26"/>
        <v xml:space="preserve"> </v>
      </c>
      <c r="K143" s="1109">
        <f ca="1">IF(OR($A143&lt;Startops2,$A143&gt;=Endyr),0,VLOOKUP($A143,Capacity_Table,Tariff!$S$18))</f>
        <v>0.91</v>
      </c>
      <c r="L143" s="212">
        <f ca="1">IF(OR($A143&lt;Startops2,$A143&gt;=Endyr),0,VLOOKUP($A143,Capacity_Table,Tariff!$T$18))</f>
        <v>0.92</v>
      </c>
      <c r="M143" s="334">
        <f ca="1">IF($A143&lt;Startops2,0,IF($A143&lt;Startops3,VLOOKUP($A143,Convert_Table,Tariff!$Y$54),C143*D143*F143*K143*L143))</f>
        <v>298980.864</v>
      </c>
      <c r="N143" s="391" t="str">
        <f t="shared" ca="1" si="27"/>
        <v xml:space="preserve"> </v>
      </c>
      <c r="O143" s="334">
        <f t="shared" ca="1" si="28"/>
        <v>7000</v>
      </c>
      <c r="P143" s="334">
        <f t="shared" ca="1" si="33"/>
        <v>2092866.048</v>
      </c>
      <c r="Q143" s="332" t="str">
        <f t="shared" ca="1" si="34"/>
        <v xml:space="preserve"> </v>
      </c>
      <c r="R143" s="334">
        <f ca="1">IF($A143&gt;Endyr,0,IF($A143&lt;Assm!$A$55,P143,Assm!$F$55*$D143))</f>
        <v>1828160.8767123288</v>
      </c>
      <c r="S143" s="391" t="str">
        <f t="shared" ca="1" si="35"/>
        <v xml:space="preserve"> </v>
      </c>
      <c r="T143" s="334">
        <f t="shared" ca="1" si="36"/>
        <v>2092866.048</v>
      </c>
      <c r="U143" s="682" t="str">
        <f t="shared" ca="1" si="37"/>
        <v xml:space="preserve"> </v>
      </c>
    </row>
    <row r="144" spans="1:21">
      <c r="A144" s="672">
        <f t="shared" ca="1" si="29"/>
        <v>40269</v>
      </c>
      <c r="C144" s="681">
        <f ca="1">IF($A144&gt;Endyr,0,VLOOKUP($A144,Capacity_Table,Tariff!$R$18))</f>
        <v>480</v>
      </c>
      <c r="D144" s="330">
        <f t="shared" ca="1" si="30"/>
        <v>30</v>
      </c>
      <c r="E144" s="330" t="str">
        <f t="shared" ca="1" si="31"/>
        <v xml:space="preserve"> </v>
      </c>
      <c r="F144" s="332">
        <f t="shared" si="38"/>
        <v>24</v>
      </c>
      <c r="G144" s="1109">
        <f t="shared" ca="1" si="32"/>
        <v>0</v>
      </c>
      <c r="H144" s="1686">
        <f ca="1">IF(Avail_LDs_Switch=1,VLOOKUP('Plant Operations'!A144,RAC_AvailFactor_Table,RAC_LDs!$G$258),IF($A144&lt;Startops2,Tariff!$T$11,0))</f>
        <v>0</v>
      </c>
      <c r="I144" s="1559">
        <f ca="1">IF(OR($A144&lt;Startops1,$A144&gt;=Startops2),0,IF(AND($A144&gt;=DieselOps_2,$A144&lt;Startops2),VLOOKUP($A144,Diesel_Table,Tariff!$Y$41),VLOOKUP($A144,OA_Table,Tariff!$Y$26)))</f>
        <v>0</v>
      </c>
      <c r="J144" s="391" t="str">
        <f t="shared" ca="1" si="26"/>
        <v xml:space="preserve"> </v>
      </c>
      <c r="K144" s="1109">
        <f ca="1">IF(OR($A144&lt;Startops2,$A144&gt;=Endyr),0,VLOOKUP($A144,Capacity_Table,Tariff!$S$18))</f>
        <v>0.91</v>
      </c>
      <c r="L144" s="212">
        <f ca="1">IF(OR($A144&lt;Startops2,$A144&gt;=Endyr),0,VLOOKUP($A144,Capacity_Table,Tariff!$T$18))</f>
        <v>0.92</v>
      </c>
      <c r="M144" s="334">
        <f ca="1">IF($A144&lt;Startops2,0,IF($A144&lt;Startops3,VLOOKUP($A144,Convert_Table,Tariff!$Y$54),C144*D144*F144*K144*L144))</f>
        <v>289336.32000000001</v>
      </c>
      <c r="N144" s="391" t="str">
        <f t="shared" ca="1" si="27"/>
        <v xml:space="preserve"> </v>
      </c>
      <c r="O144" s="334">
        <f t="shared" ca="1" si="28"/>
        <v>7000</v>
      </c>
      <c r="P144" s="334">
        <f t="shared" ca="1" si="33"/>
        <v>2025354.24</v>
      </c>
      <c r="Q144" s="332" t="str">
        <f t="shared" ca="1" si="34"/>
        <v xml:space="preserve"> </v>
      </c>
      <c r="R144" s="334">
        <f ca="1">IF($A144&gt;Endyr,0,IF($A144&lt;Assm!$A$55,P144,Assm!$F$55*$D144))</f>
        <v>1769187.9452054794</v>
      </c>
      <c r="S144" s="391" t="str">
        <f t="shared" ca="1" si="35"/>
        <v xml:space="preserve"> </v>
      </c>
      <c r="T144" s="334">
        <f t="shared" ca="1" si="36"/>
        <v>2025354.24</v>
      </c>
      <c r="U144" s="682" t="str">
        <f t="shared" ca="1" si="37"/>
        <v xml:space="preserve"> </v>
      </c>
    </row>
    <row r="145" spans="1:21">
      <c r="A145" s="672">
        <f t="shared" ca="1" si="29"/>
        <v>40299</v>
      </c>
      <c r="C145" s="681">
        <f ca="1">IF($A145&gt;Endyr,0,VLOOKUP($A145,Capacity_Table,Tariff!$R$18))</f>
        <v>480</v>
      </c>
      <c r="D145" s="330">
        <f t="shared" ca="1" si="30"/>
        <v>31</v>
      </c>
      <c r="E145" s="330" t="str">
        <f t="shared" ca="1" si="31"/>
        <v xml:space="preserve"> </v>
      </c>
      <c r="F145" s="332">
        <f t="shared" si="38"/>
        <v>24</v>
      </c>
      <c r="G145" s="1109">
        <f t="shared" ca="1" si="32"/>
        <v>0</v>
      </c>
      <c r="H145" s="1686">
        <f ca="1">IF(Avail_LDs_Switch=1,VLOOKUP('Plant Operations'!A145,RAC_AvailFactor_Table,RAC_LDs!$G$258),IF($A145&lt;Startops2,Tariff!$T$11,0))</f>
        <v>0</v>
      </c>
      <c r="I145" s="1559">
        <f ca="1">IF(OR($A145&lt;Startops1,$A145&gt;=Startops2),0,IF(AND($A145&gt;=DieselOps_2,$A145&lt;Startops2),VLOOKUP($A145,Diesel_Table,Tariff!$Y$41),VLOOKUP($A145,OA_Table,Tariff!$Y$26)))</f>
        <v>0</v>
      </c>
      <c r="J145" s="391" t="str">
        <f t="shared" ca="1" si="26"/>
        <v xml:space="preserve"> </v>
      </c>
      <c r="K145" s="1109">
        <f ca="1">IF(OR($A145&lt;Startops2,$A145&gt;=Endyr),0,VLOOKUP($A145,Capacity_Table,Tariff!$S$18))</f>
        <v>0.91</v>
      </c>
      <c r="L145" s="212">
        <f ca="1">IF(OR($A145&lt;Startops2,$A145&gt;=Endyr),0,VLOOKUP($A145,Capacity_Table,Tariff!$T$18))</f>
        <v>0.92</v>
      </c>
      <c r="M145" s="334">
        <f ca="1">IF($A145&lt;Startops2,0,IF($A145&lt;Startops3,VLOOKUP($A145,Convert_Table,Tariff!$Y$54),C145*D145*F145*K145*L145))</f>
        <v>298980.864</v>
      </c>
      <c r="N145" s="391" t="str">
        <f t="shared" ca="1" si="27"/>
        <v xml:space="preserve"> </v>
      </c>
      <c r="O145" s="334">
        <f t="shared" ca="1" si="28"/>
        <v>7000</v>
      </c>
      <c r="P145" s="334">
        <f t="shared" ca="1" si="33"/>
        <v>2092866.048</v>
      </c>
      <c r="Q145" s="332" t="str">
        <f t="shared" ca="1" si="34"/>
        <v xml:space="preserve"> </v>
      </c>
      <c r="R145" s="334">
        <f ca="1">IF($A145&gt;Endyr,0,IF($A145&lt;Assm!$A$55,P145,Assm!$F$55*$D145))</f>
        <v>1828160.8767123288</v>
      </c>
      <c r="S145" s="391" t="str">
        <f t="shared" ca="1" si="35"/>
        <v xml:space="preserve"> </v>
      </c>
      <c r="T145" s="334">
        <f t="shared" ca="1" si="36"/>
        <v>2092866.048</v>
      </c>
      <c r="U145" s="682" t="str">
        <f t="shared" ca="1" si="37"/>
        <v xml:space="preserve"> </v>
      </c>
    </row>
    <row r="146" spans="1:21">
      <c r="A146" s="672">
        <f t="shared" ca="1" si="29"/>
        <v>40330</v>
      </c>
      <c r="C146" s="681">
        <f ca="1">IF($A146&gt;Endyr,0,VLOOKUP($A146,Capacity_Table,Tariff!$R$18))</f>
        <v>480</v>
      </c>
      <c r="D146" s="330">
        <f t="shared" ca="1" si="30"/>
        <v>30</v>
      </c>
      <c r="E146" s="330" t="str">
        <f t="shared" ca="1" si="31"/>
        <v xml:space="preserve"> </v>
      </c>
      <c r="F146" s="332">
        <f t="shared" si="38"/>
        <v>24</v>
      </c>
      <c r="G146" s="1109">
        <f t="shared" ca="1" si="32"/>
        <v>0</v>
      </c>
      <c r="H146" s="1686">
        <f ca="1">IF(Avail_LDs_Switch=1,VLOOKUP('Plant Operations'!A146,RAC_AvailFactor_Table,RAC_LDs!$G$258),IF($A146&lt;Startops2,Tariff!$T$11,0))</f>
        <v>0</v>
      </c>
      <c r="I146" s="1559">
        <f ca="1">IF(OR($A146&lt;Startops1,$A146&gt;=Startops2),0,IF(AND($A146&gt;=DieselOps_2,$A146&lt;Startops2),VLOOKUP($A146,Diesel_Table,Tariff!$Y$41),VLOOKUP($A146,OA_Table,Tariff!$Y$26)))</f>
        <v>0</v>
      </c>
      <c r="J146" s="391" t="str">
        <f t="shared" ca="1" si="26"/>
        <v xml:space="preserve"> </v>
      </c>
      <c r="K146" s="1109">
        <f ca="1">IF(OR($A146&lt;Startops2,$A146&gt;=Endyr),0,VLOOKUP($A146,Capacity_Table,Tariff!$S$18))</f>
        <v>0.91</v>
      </c>
      <c r="L146" s="212">
        <f ca="1">IF(OR($A146&lt;Startops2,$A146&gt;=Endyr),0,VLOOKUP($A146,Capacity_Table,Tariff!$T$18))</f>
        <v>0.92</v>
      </c>
      <c r="M146" s="334">
        <f ca="1">IF($A146&lt;Startops2,0,IF($A146&lt;Startops3,VLOOKUP($A146,Convert_Table,Tariff!$Y$54),C146*D146*F146*K146*L146))</f>
        <v>289336.32000000001</v>
      </c>
      <c r="N146" s="391" t="str">
        <f t="shared" ca="1" si="27"/>
        <v xml:space="preserve"> </v>
      </c>
      <c r="O146" s="334">
        <f t="shared" ca="1" si="28"/>
        <v>7000</v>
      </c>
      <c r="P146" s="334">
        <f ca="1">M146*O146/1000</f>
        <v>2025354.24</v>
      </c>
      <c r="Q146" s="332" t="str">
        <f t="shared" ca="1" si="34"/>
        <v xml:space="preserve"> </v>
      </c>
      <c r="R146" s="334">
        <f ca="1">IF($A146&gt;Endyr,0,IF($A146&lt;Assm!$A$55,P146,Assm!$F$55*$D146))</f>
        <v>1769187.9452054794</v>
      </c>
      <c r="S146" s="391" t="str">
        <f t="shared" ca="1" si="35"/>
        <v xml:space="preserve"> </v>
      </c>
      <c r="T146" s="334">
        <f t="shared" ca="1" si="36"/>
        <v>2025354.24</v>
      </c>
      <c r="U146" s="682" t="str">
        <f t="shared" ca="1" si="37"/>
        <v xml:space="preserve"> </v>
      </c>
    </row>
    <row r="147" spans="1:21">
      <c r="A147" s="672">
        <f t="shared" ca="1" si="29"/>
        <v>40360</v>
      </c>
      <c r="C147" s="681">
        <f ca="1">IF($A147&gt;Endyr,0,VLOOKUP($A147,Capacity_Table,Tariff!$R$18))</f>
        <v>480</v>
      </c>
      <c r="D147" s="330">
        <f t="shared" ca="1" si="30"/>
        <v>31</v>
      </c>
      <c r="E147" s="330" t="str">
        <f t="shared" ca="1" si="31"/>
        <v xml:space="preserve"> </v>
      </c>
      <c r="F147" s="332">
        <f t="shared" si="38"/>
        <v>24</v>
      </c>
      <c r="G147" s="1109">
        <f t="shared" ca="1" si="32"/>
        <v>0</v>
      </c>
      <c r="H147" s="1686">
        <f ca="1">IF(Avail_LDs_Switch=1,VLOOKUP('Plant Operations'!A147,RAC_AvailFactor_Table,RAC_LDs!$G$258),IF($A147&lt;Startops2,Tariff!$T$11,0))</f>
        <v>0</v>
      </c>
      <c r="I147" s="1559">
        <f ca="1">IF(OR($A147&lt;Startops1,$A147&gt;=Startops2),0,IF(AND($A147&gt;=DieselOps_2,$A147&lt;Startops2),VLOOKUP($A147,Diesel_Table,Tariff!$Y$41),VLOOKUP($A147,OA_Table,Tariff!$Y$26)))</f>
        <v>0</v>
      </c>
      <c r="J147" s="391" t="str">
        <f t="shared" ca="1" si="26"/>
        <v xml:space="preserve"> </v>
      </c>
      <c r="K147" s="1109">
        <f ca="1">IF(OR($A147&lt;Startops2,$A147&gt;=Endyr),0,VLOOKUP($A147,Capacity_Table,Tariff!$S$18))</f>
        <v>0.91</v>
      </c>
      <c r="L147" s="212">
        <f ca="1">IF(OR($A147&lt;Startops2,$A147&gt;=Endyr),0,VLOOKUP($A147,Capacity_Table,Tariff!$T$18))</f>
        <v>0.92</v>
      </c>
      <c r="M147" s="334">
        <f ca="1">IF($A147&lt;Startops2,0,IF($A147&lt;Startops3,VLOOKUP($A147,Convert_Table,Tariff!$Y$54),C147*D147*F147*K147*L147))</f>
        <v>298980.864</v>
      </c>
      <c r="N147" s="391" t="str">
        <f t="shared" ca="1" si="27"/>
        <v xml:space="preserve"> </v>
      </c>
      <c r="O147" s="334">
        <f t="shared" ca="1" si="28"/>
        <v>7000</v>
      </c>
      <c r="P147" s="334">
        <f t="shared" ca="1" si="33"/>
        <v>2092866.048</v>
      </c>
      <c r="Q147" s="332" t="str">
        <f t="shared" ca="1" si="34"/>
        <v xml:space="preserve"> </v>
      </c>
      <c r="R147" s="334">
        <f ca="1">IF($A147&gt;Endyr,0,IF($A147&lt;Assm!$A$55,P147,Assm!$F$55*$D147))</f>
        <v>1828160.8767123288</v>
      </c>
      <c r="S147" s="391" t="str">
        <f t="shared" ca="1" si="35"/>
        <v xml:space="preserve"> </v>
      </c>
      <c r="T147" s="334">
        <f t="shared" ca="1" si="36"/>
        <v>2092866.048</v>
      </c>
      <c r="U147" s="682" t="str">
        <f t="shared" ca="1" si="37"/>
        <v xml:space="preserve"> </v>
      </c>
    </row>
    <row r="148" spans="1:21">
      <c r="A148" s="672">
        <f t="shared" ca="1" si="29"/>
        <v>40391</v>
      </c>
      <c r="C148" s="681">
        <f ca="1">IF($A148&gt;Endyr,0,VLOOKUP($A148,Capacity_Table,Tariff!$R$18))</f>
        <v>480</v>
      </c>
      <c r="D148" s="330">
        <f t="shared" ca="1" si="30"/>
        <v>31</v>
      </c>
      <c r="E148" s="330" t="str">
        <f t="shared" ca="1" si="31"/>
        <v xml:space="preserve"> </v>
      </c>
      <c r="F148" s="332">
        <f t="shared" si="38"/>
        <v>24</v>
      </c>
      <c r="G148" s="1109">
        <f t="shared" ca="1" si="32"/>
        <v>0</v>
      </c>
      <c r="H148" s="1686">
        <f ca="1">IF(Avail_LDs_Switch=1,VLOOKUP('Plant Operations'!A148,RAC_AvailFactor_Table,RAC_LDs!$G$258),IF($A148&lt;Startops2,Tariff!$T$11,0))</f>
        <v>0</v>
      </c>
      <c r="I148" s="1559">
        <f ca="1">IF(OR($A148&lt;Startops1,$A148&gt;=Startops2),0,IF(AND($A148&gt;=DieselOps_2,$A148&lt;Startops2),VLOOKUP($A148,Diesel_Table,Tariff!$Y$41),VLOOKUP($A148,OA_Table,Tariff!$Y$26)))</f>
        <v>0</v>
      </c>
      <c r="J148" s="391" t="str">
        <f t="shared" ca="1" si="26"/>
        <v xml:space="preserve"> </v>
      </c>
      <c r="K148" s="1109">
        <f ca="1">IF(OR($A148&lt;Startops2,$A148&gt;=Endyr),0,VLOOKUP($A148,Capacity_Table,Tariff!$S$18))</f>
        <v>0.91</v>
      </c>
      <c r="L148" s="212">
        <f ca="1">IF(OR($A148&lt;Startops2,$A148&gt;=Endyr),0,VLOOKUP($A148,Capacity_Table,Tariff!$T$18))</f>
        <v>0.92</v>
      </c>
      <c r="M148" s="334">
        <f ca="1">IF($A148&lt;Startops2,0,IF($A148&lt;Startops3,VLOOKUP($A148,Convert_Table,Tariff!$Y$54),C148*D148*F148*K148*L148))</f>
        <v>298980.864</v>
      </c>
      <c r="N148" s="391" t="str">
        <f t="shared" ca="1" si="27"/>
        <v xml:space="preserve"> </v>
      </c>
      <c r="O148" s="334">
        <f t="shared" ca="1" si="28"/>
        <v>7000</v>
      </c>
      <c r="P148" s="334">
        <f t="shared" ca="1" si="33"/>
        <v>2092866.048</v>
      </c>
      <c r="Q148" s="332" t="str">
        <f t="shared" ca="1" si="34"/>
        <v xml:space="preserve"> </v>
      </c>
      <c r="R148" s="334">
        <f ca="1">IF($A148&gt;Endyr,0,IF($A148&lt;Assm!$A$55,P148,Assm!$F$55*$D148))</f>
        <v>1828160.8767123288</v>
      </c>
      <c r="S148" s="391" t="str">
        <f t="shared" ca="1" si="35"/>
        <v xml:space="preserve"> </v>
      </c>
      <c r="T148" s="334">
        <f t="shared" ca="1" si="36"/>
        <v>2092866.048</v>
      </c>
      <c r="U148" s="682" t="str">
        <f t="shared" ca="1" si="37"/>
        <v xml:space="preserve"> </v>
      </c>
    </row>
    <row r="149" spans="1:21">
      <c r="A149" s="672">
        <f t="shared" ca="1" si="29"/>
        <v>40422</v>
      </c>
      <c r="C149" s="681">
        <f ca="1">IF($A149&gt;Endyr,0,VLOOKUP($A149,Capacity_Table,Tariff!$R$18))</f>
        <v>480</v>
      </c>
      <c r="D149" s="330">
        <f t="shared" ca="1" si="30"/>
        <v>30</v>
      </c>
      <c r="E149" s="330" t="str">
        <f t="shared" ca="1" si="31"/>
        <v xml:space="preserve"> </v>
      </c>
      <c r="F149" s="332">
        <f t="shared" si="38"/>
        <v>24</v>
      </c>
      <c r="G149" s="1109">
        <f t="shared" ca="1" si="32"/>
        <v>0</v>
      </c>
      <c r="H149" s="1686">
        <f ca="1">IF(Avail_LDs_Switch=1,VLOOKUP('Plant Operations'!A149,RAC_AvailFactor_Table,RAC_LDs!$G$258),IF($A149&lt;Startops2,Tariff!$T$11,0))</f>
        <v>0</v>
      </c>
      <c r="I149" s="1559">
        <f ca="1">IF(OR($A149&lt;Startops1,$A149&gt;=Startops2),0,IF(AND($A149&gt;=DieselOps_2,$A149&lt;Startops2),VLOOKUP($A149,Diesel_Table,Tariff!$Y$41),VLOOKUP($A149,OA_Table,Tariff!$Y$26)))</f>
        <v>0</v>
      </c>
      <c r="J149" s="391" t="str">
        <f t="shared" ref="J149:J212" ca="1" si="39">IF(MONTH($A149)=12,SUM(I138:I149)," ")</f>
        <v xml:space="preserve"> </v>
      </c>
      <c r="K149" s="1109">
        <f ca="1">IF(OR($A149&lt;Startops2,$A149&gt;=Endyr),0,VLOOKUP($A149,Capacity_Table,Tariff!$S$18))</f>
        <v>0.91</v>
      </c>
      <c r="L149" s="212">
        <f ca="1">IF(OR($A149&lt;Startops2,$A149&gt;=Endyr),0,VLOOKUP($A149,Capacity_Table,Tariff!$T$18))</f>
        <v>0.92</v>
      </c>
      <c r="M149" s="334">
        <f ca="1">IF($A149&lt;Startops2,0,IF($A149&lt;Startops3,VLOOKUP($A149,Convert_Table,Tariff!$Y$54),C149*D149*F149*K149*L149))</f>
        <v>289336.32000000001</v>
      </c>
      <c r="N149" s="391" t="str">
        <f t="shared" ref="N149:N212" ca="1" si="40">IF(MONTH($A149)=12,SUM(M138:M149)," ")</f>
        <v xml:space="preserve"> </v>
      </c>
      <c r="O149" s="334">
        <f t="shared" ca="1" si="28"/>
        <v>7000</v>
      </c>
      <c r="P149" s="334">
        <f t="shared" ca="1" si="33"/>
        <v>2025354.24</v>
      </c>
      <c r="Q149" s="332" t="str">
        <f t="shared" ca="1" si="34"/>
        <v xml:space="preserve"> </v>
      </c>
      <c r="R149" s="334">
        <f ca="1">IF($A149&gt;Endyr,0,IF($A149&lt;Assm!$A$55,P149,Assm!$F$55*$D149))</f>
        <v>1769187.9452054794</v>
      </c>
      <c r="S149" s="391" t="str">
        <f t="shared" ca="1" si="35"/>
        <v xml:space="preserve"> </v>
      </c>
      <c r="T149" s="334">
        <f t="shared" ca="1" si="36"/>
        <v>2025354.24</v>
      </c>
      <c r="U149" s="682" t="str">
        <f t="shared" ca="1" si="37"/>
        <v xml:space="preserve"> </v>
      </c>
    </row>
    <row r="150" spans="1:21">
      <c r="A150" s="672">
        <f t="shared" ca="1" si="29"/>
        <v>40452</v>
      </c>
      <c r="C150" s="681">
        <f ca="1">IF($A150&gt;Endyr,0,VLOOKUP($A150,Capacity_Table,Tariff!$R$18))</f>
        <v>480</v>
      </c>
      <c r="D150" s="330">
        <f t="shared" ca="1" si="30"/>
        <v>31</v>
      </c>
      <c r="E150" s="330" t="str">
        <f t="shared" ca="1" si="31"/>
        <v xml:space="preserve"> </v>
      </c>
      <c r="F150" s="332">
        <f t="shared" si="38"/>
        <v>24</v>
      </c>
      <c r="G150" s="1109">
        <f t="shared" ca="1" si="32"/>
        <v>0</v>
      </c>
      <c r="H150" s="1686">
        <f ca="1">IF(Avail_LDs_Switch=1,VLOOKUP('Plant Operations'!A150,RAC_AvailFactor_Table,RAC_LDs!$G$258),IF($A150&lt;Startops2,Tariff!$T$11,0))</f>
        <v>0</v>
      </c>
      <c r="I150" s="1559">
        <f ca="1">IF(OR($A150&lt;Startops1,$A150&gt;=Startops2),0,IF(AND($A150&gt;=DieselOps_2,$A150&lt;Startops2),VLOOKUP($A150,Diesel_Table,Tariff!$Y$41),VLOOKUP($A150,OA_Table,Tariff!$Y$26)))</f>
        <v>0</v>
      </c>
      <c r="J150" s="391" t="str">
        <f t="shared" ca="1" si="39"/>
        <v xml:space="preserve"> </v>
      </c>
      <c r="K150" s="1109">
        <f ca="1">IF(OR($A150&lt;Startops2,$A150&gt;=Endyr),0,VLOOKUP($A150,Capacity_Table,Tariff!$S$18))</f>
        <v>0.91</v>
      </c>
      <c r="L150" s="212">
        <f ca="1">IF(OR($A150&lt;Startops2,$A150&gt;=Endyr),0,VLOOKUP($A150,Capacity_Table,Tariff!$T$18))</f>
        <v>0.92</v>
      </c>
      <c r="M150" s="334">
        <f ca="1">IF($A150&lt;Startops2,0,IF($A150&lt;Startops3,VLOOKUP($A150,Convert_Table,Tariff!$Y$54),C150*D150*F150*K150*L150))</f>
        <v>298980.864</v>
      </c>
      <c r="N150" s="391" t="str">
        <f t="shared" ca="1" si="40"/>
        <v xml:space="preserve"> </v>
      </c>
      <c r="O150" s="334">
        <f t="shared" ref="O150:O213" ca="1" si="41">IF($A150&lt;Startops2,0,IF($A150&lt;Startops3,Hr_II,Hr_III))</f>
        <v>7000</v>
      </c>
      <c r="P150" s="334">
        <f t="shared" ca="1" si="33"/>
        <v>2092866.048</v>
      </c>
      <c r="Q150" s="332" t="str">
        <f t="shared" ca="1" si="34"/>
        <v xml:space="preserve"> </v>
      </c>
      <c r="R150" s="334">
        <f ca="1">IF($A150&gt;Endyr,0,IF($A150&lt;Assm!$A$55,P150,Assm!$F$55*$D150))</f>
        <v>1828160.8767123288</v>
      </c>
      <c r="S150" s="391" t="str">
        <f t="shared" ca="1" si="35"/>
        <v xml:space="preserve"> </v>
      </c>
      <c r="T150" s="334">
        <f t="shared" ca="1" si="36"/>
        <v>2092866.048</v>
      </c>
      <c r="U150" s="682" t="str">
        <f t="shared" ca="1" si="37"/>
        <v xml:space="preserve"> </v>
      </c>
    </row>
    <row r="151" spans="1:21">
      <c r="A151" s="672">
        <f t="shared" ca="1" si="29"/>
        <v>40483</v>
      </c>
      <c r="C151" s="681">
        <f ca="1">IF($A151&gt;Endyr,0,VLOOKUP($A151,Capacity_Table,Tariff!$R$18))</f>
        <v>480</v>
      </c>
      <c r="D151" s="330">
        <f t="shared" ca="1" si="30"/>
        <v>30</v>
      </c>
      <c r="E151" s="330" t="str">
        <f t="shared" ca="1" si="31"/>
        <v xml:space="preserve"> </v>
      </c>
      <c r="F151" s="332">
        <f t="shared" si="38"/>
        <v>24</v>
      </c>
      <c r="G151" s="1109">
        <f t="shared" ca="1" si="32"/>
        <v>0</v>
      </c>
      <c r="H151" s="1686">
        <f ca="1">IF(Avail_LDs_Switch=1,VLOOKUP('Plant Operations'!A151,RAC_AvailFactor_Table,RAC_LDs!$G$258),IF($A151&lt;Startops2,Tariff!$T$11,0))</f>
        <v>0</v>
      </c>
      <c r="I151" s="1559">
        <f ca="1">IF(OR($A151&lt;Startops1,$A151&gt;=Startops2),0,IF(AND($A151&gt;=DieselOps_2,$A151&lt;Startops2),VLOOKUP($A151,Diesel_Table,Tariff!$Y$41),VLOOKUP($A151,OA_Table,Tariff!$Y$26)))</f>
        <v>0</v>
      </c>
      <c r="J151" s="391" t="str">
        <f t="shared" ca="1" si="39"/>
        <v xml:space="preserve"> </v>
      </c>
      <c r="K151" s="1109">
        <f ca="1">IF(OR($A151&lt;Startops2,$A151&gt;=Endyr),0,VLOOKUP($A151,Capacity_Table,Tariff!$S$18))</f>
        <v>0.91</v>
      </c>
      <c r="L151" s="212">
        <f ca="1">IF(OR($A151&lt;Startops2,$A151&gt;=Endyr),0,VLOOKUP($A151,Capacity_Table,Tariff!$T$18))</f>
        <v>0.92</v>
      </c>
      <c r="M151" s="334">
        <f ca="1">IF($A151&lt;Startops2,0,IF($A151&lt;Startops3,VLOOKUP($A151,Convert_Table,Tariff!$Y$54),C151*D151*F151*K151*L151))</f>
        <v>289336.32000000001</v>
      </c>
      <c r="N151" s="391" t="str">
        <f t="shared" ca="1" si="40"/>
        <v xml:space="preserve"> </v>
      </c>
      <c r="O151" s="334">
        <f t="shared" ca="1" si="41"/>
        <v>7000</v>
      </c>
      <c r="P151" s="334">
        <f t="shared" ca="1" si="33"/>
        <v>2025354.24</v>
      </c>
      <c r="Q151" s="332" t="str">
        <f t="shared" ca="1" si="34"/>
        <v xml:space="preserve"> </v>
      </c>
      <c r="R151" s="334">
        <f ca="1">IF($A151&gt;Endyr,0,IF($A151&lt;Assm!$A$55,P151,Assm!$F$55*$D151))</f>
        <v>1769187.9452054794</v>
      </c>
      <c r="S151" s="391" t="str">
        <f t="shared" ca="1" si="35"/>
        <v xml:space="preserve"> </v>
      </c>
      <c r="T151" s="334">
        <f t="shared" ca="1" si="36"/>
        <v>2025354.24</v>
      </c>
      <c r="U151" s="682" t="str">
        <f t="shared" ca="1" si="37"/>
        <v xml:space="preserve"> </v>
      </c>
    </row>
    <row r="152" spans="1:21">
      <c r="A152" s="672">
        <f t="shared" ca="1" si="29"/>
        <v>40513</v>
      </c>
      <c r="C152" s="681">
        <f ca="1">IF($A152&gt;Endyr,0,VLOOKUP($A152,Capacity_Table,Tariff!$R$18))</f>
        <v>480</v>
      </c>
      <c r="D152" s="330">
        <f t="shared" ca="1" si="30"/>
        <v>31</v>
      </c>
      <c r="E152" s="330">
        <f t="shared" ca="1" si="31"/>
        <v>365</v>
      </c>
      <c r="F152" s="332">
        <f t="shared" si="38"/>
        <v>24</v>
      </c>
      <c r="G152" s="1109">
        <f t="shared" ca="1" si="32"/>
        <v>0</v>
      </c>
      <c r="H152" s="1686">
        <f ca="1">IF(Avail_LDs_Switch=1,VLOOKUP('Plant Operations'!A152,RAC_AvailFactor_Table,RAC_LDs!$G$258),IF($A152&lt;Startops2,Tariff!$T$11,0))</f>
        <v>0</v>
      </c>
      <c r="I152" s="1559">
        <f ca="1">IF(OR($A152&lt;Startops1,$A152&gt;=Startops2),0,IF(AND($A152&gt;=DieselOps_2,$A152&lt;Startops2),VLOOKUP($A152,Diesel_Table,Tariff!$Y$41),VLOOKUP($A152,OA_Table,Tariff!$Y$26)))</f>
        <v>0</v>
      </c>
      <c r="J152" s="391">
        <f t="shared" ca="1" si="39"/>
        <v>0</v>
      </c>
      <c r="K152" s="1109">
        <f ca="1">IF(OR($A152&lt;Startops2,$A152&gt;=Endyr),0,VLOOKUP($A152,Capacity_Table,Tariff!$S$18))</f>
        <v>0.91</v>
      </c>
      <c r="L152" s="212">
        <f ca="1">IF(OR($A152&lt;Startops2,$A152&gt;=Endyr),0,VLOOKUP($A152,Capacity_Table,Tariff!$T$18))</f>
        <v>0.92</v>
      </c>
      <c r="M152" s="334">
        <f ca="1">IF($A152&lt;Startops2,0,IF($A152&lt;Startops3,VLOOKUP($A152,Convert_Table,Tariff!$Y$54),C152*D152*F152*K152*L152))</f>
        <v>298980.864</v>
      </c>
      <c r="N152" s="391">
        <f t="shared" ca="1" si="40"/>
        <v>3520258.56</v>
      </c>
      <c r="O152" s="334">
        <f t="shared" ca="1" si="41"/>
        <v>7000</v>
      </c>
      <c r="P152" s="334">
        <f t="shared" ca="1" si="33"/>
        <v>2092866.048</v>
      </c>
      <c r="Q152" s="332">
        <f t="shared" ca="1" si="34"/>
        <v>24641809.920000002</v>
      </c>
      <c r="R152" s="334">
        <f ca="1">IF($A152&gt;Endyr,0,IF($A152&lt;Assm!$A$55,P152,Assm!$F$55*$D152))</f>
        <v>1828160.8767123288</v>
      </c>
      <c r="S152" s="391">
        <f ca="1">IF(MONTH($A152)=12,SUM(R141:R152)," ")</f>
        <v>21525120.000000004</v>
      </c>
      <c r="T152" s="334">
        <f t="shared" ca="1" si="36"/>
        <v>2092866.048</v>
      </c>
      <c r="U152" s="682">
        <f ca="1">IF(MONTH($A152)=12,SUM(T141:T152)," ")</f>
        <v>24641809.920000002</v>
      </c>
    </row>
    <row r="153" spans="1:21">
      <c r="A153" s="672">
        <f t="shared" ca="1" si="29"/>
        <v>40544</v>
      </c>
      <c r="C153" s="681">
        <f ca="1">IF($A153&gt;Endyr,0,VLOOKUP($A153,Capacity_Table,Tariff!$R$18))</f>
        <v>480</v>
      </c>
      <c r="D153" s="330">
        <f t="shared" ca="1" si="30"/>
        <v>31</v>
      </c>
      <c r="E153" s="330" t="str">
        <f t="shared" ca="1" si="31"/>
        <v xml:space="preserve"> </v>
      </c>
      <c r="F153" s="332">
        <f t="shared" si="38"/>
        <v>24</v>
      </c>
      <c r="G153" s="1109">
        <f t="shared" ca="1" si="32"/>
        <v>0</v>
      </c>
      <c r="H153" s="1686">
        <f ca="1">IF(Avail_LDs_Switch=1,VLOOKUP('Plant Operations'!A153,RAC_AvailFactor_Table,RAC_LDs!$G$258),IF($A153&lt;Startops2,Tariff!$T$11,0))</f>
        <v>0</v>
      </c>
      <c r="I153" s="1559">
        <f ca="1">IF(OR($A153&lt;Startops1,$A153&gt;=Startops2),0,IF(AND($A153&gt;=DieselOps_2,$A153&lt;Startops2),VLOOKUP($A153,Diesel_Table,Tariff!$Y$41),VLOOKUP($A153,OA_Table,Tariff!$Y$26)))</f>
        <v>0</v>
      </c>
      <c r="J153" s="391" t="str">
        <f t="shared" ca="1" si="39"/>
        <v xml:space="preserve"> </v>
      </c>
      <c r="K153" s="1109">
        <f ca="1">IF(OR($A153&lt;Startops2,$A153&gt;=Endyr),0,VLOOKUP($A153,Capacity_Table,Tariff!$S$18))</f>
        <v>0.91</v>
      </c>
      <c r="L153" s="212">
        <f ca="1">IF(OR($A153&lt;Startops2,$A153&gt;=Endyr),0,VLOOKUP($A153,Capacity_Table,Tariff!$T$18))</f>
        <v>0.92</v>
      </c>
      <c r="M153" s="334">
        <f ca="1">IF($A153&lt;Startops2,0,IF($A153&lt;Startops3,VLOOKUP($A153,Convert_Table,Tariff!$Y$54),C153*D153*F153*K153*L153))</f>
        <v>298980.864</v>
      </c>
      <c r="N153" s="391" t="str">
        <f t="shared" ca="1" si="40"/>
        <v xml:space="preserve"> </v>
      </c>
      <c r="O153" s="334">
        <f t="shared" ca="1" si="41"/>
        <v>7000</v>
      </c>
      <c r="P153" s="334">
        <f t="shared" ca="1" si="33"/>
        <v>2092866.048</v>
      </c>
      <c r="Q153" s="332" t="str">
        <f t="shared" ca="1" si="34"/>
        <v xml:space="preserve"> </v>
      </c>
      <c r="R153" s="334">
        <f ca="1">IF($A153&gt;Endyr,0,IF($A153&lt;Assm!$A$55,P153,Assm!$F$55*$D153))</f>
        <v>1828160.8767123288</v>
      </c>
      <c r="S153" s="391" t="str">
        <f t="shared" ca="1" si="35"/>
        <v xml:space="preserve"> </v>
      </c>
      <c r="T153" s="334">
        <f t="shared" ca="1" si="36"/>
        <v>2092866.048</v>
      </c>
      <c r="U153" s="682" t="str">
        <f t="shared" ca="1" si="37"/>
        <v xml:space="preserve"> </v>
      </c>
    </row>
    <row r="154" spans="1:21">
      <c r="A154" s="672">
        <f t="shared" ca="1" si="29"/>
        <v>40575</v>
      </c>
      <c r="C154" s="681">
        <f ca="1">IF($A154&gt;Endyr,0,VLOOKUP($A154,Capacity_Table,Tariff!$R$18))</f>
        <v>480</v>
      </c>
      <c r="D154" s="330">
        <f t="shared" ca="1" si="30"/>
        <v>28</v>
      </c>
      <c r="E154" s="330" t="str">
        <f t="shared" ca="1" si="31"/>
        <v xml:space="preserve"> </v>
      </c>
      <c r="F154" s="332">
        <f t="shared" si="38"/>
        <v>24</v>
      </c>
      <c r="G154" s="1109">
        <f t="shared" ca="1" si="32"/>
        <v>0</v>
      </c>
      <c r="H154" s="1686">
        <f ca="1">IF(Avail_LDs_Switch=1,VLOOKUP('Plant Operations'!A154,RAC_AvailFactor_Table,RAC_LDs!$G$258),IF($A154&lt;Startops2,Tariff!$T$11,0))</f>
        <v>0</v>
      </c>
      <c r="I154" s="1559">
        <f ca="1">IF(OR($A154&lt;Startops1,$A154&gt;=Startops2),0,IF(AND($A154&gt;=DieselOps_2,$A154&lt;Startops2),VLOOKUP($A154,Diesel_Table,Tariff!$Y$41),VLOOKUP($A154,OA_Table,Tariff!$Y$26)))</f>
        <v>0</v>
      </c>
      <c r="J154" s="391" t="str">
        <f t="shared" ca="1" si="39"/>
        <v xml:space="preserve"> </v>
      </c>
      <c r="K154" s="1109">
        <f ca="1">IF(OR($A154&lt;Startops2,$A154&gt;=Endyr),0,VLOOKUP($A154,Capacity_Table,Tariff!$S$18))</f>
        <v>0.91</v>
      </c>
      <c r="L154" s="212">
        <f ca="1">IF(OR($A154&lt;Startops2,$A154&gt;=Endyr),0,VLOOKUP($A154,Capacity_Table,Tariff!$T$18))</f>
        <v>0.92</v>
      </c>
      <c r="M154" s="334">
        <f ca="1">IF($A154&lt;Startops2,0,IF($A154&lt;Startops3,VLOOKUP($A154,Convert_Table,Tariff!$Y$54),C154*D154*F154*K154*L154))</f>
        <v>270047.23200000002</v>
      </c>
      <c r="N154" s="391" t="str">
        <f t="shared" ca="1" si="40"/>
        <v xml:space="preserve"> </v>
      </c>
      <c r="O154" s="334">
        <f t="shared" ca="1" si="41"/>
        <v>7000</v>
      </c>
      <c r="P154" s="334">
        <f t="shared" ca="1" si="33"/>
        <v>1890330.6240000003</v>
      </c>
      <c r="Q154" s="332" t="str">
        <f t="shared" ca="1" si="34"/>
        <v xml:space="preserve"> </v>
      </c>
      <c r="R154" s="334">
        <f ca="1">IF($A154&gt;Endyr,0,IF($A154&lt;Assm!$A$55,P154,Assm!$F$55*$D154))</f>
        <v>1651242.0821917809</v>
      </c>
      <c r="S154" s="391" t="str">
        <f t="shared" ca="1" si="35"/>
        <v xml:space="preserve"> </v>
      </c>
      <c r="T154" s="334">
        <f t="shared" ca="1" si="36"/>
        <v>1890330.6240000003</v>
      </c>
      <c r="U154" s="682" t="str">
        <f t="shared" ca="1" si="37"/>
        <v xml:space="preserve"> </v>
      </c>
    </row>
    <row r="155" spans="1:21">
      <c r="A155" s="672">
        <f t="shared" ca="1" si="29"/>
        <v>40603</v>
      </c>
      <c r="C155" s="681">
        <f ca="1">IF($A155&gt;Endyr,0,VLOOKUP($A155,Capacity_Table,Tariff!$R$18))</f>
        <v>480</v>
      </c>
      <c r="D155" s="330">
        <f t="shared" ca="1" si="30"/>
        <v>31</v>
      </c>
      <c r="E155" s="330" t="str">
        <f t="shared" ca="1" si="31"/>
        <v xml:space="preserve"> </v>
      </c>
      <c r="F155" s="332">
        <f t="shared" si="38"/>
        <v>24</v>
      </c>
      <c r="G155" s="1109">
        <f t="shared" ca="1" si="32"/>
        <v>0</v>
      </c>
      <c r="H155" s="1686">
        <f ca="1">IF(Avail_LDs_Switch=1,VLOOKUP('Plant Operations'!A155,RAC_AvailFactor_Table,RAC_LDs!$G$258),IF($A155&lt;Startops2,Tariff!$T$11,0))</f>
        <v>0</v>
      </c>
      <c r="I155" s="1559">
        <f ca="1">IF(OR($A155&lt;Startops1,$A155&gt;=Startops2),0,IF(AND($A155&gt;=DieselOps_2,$A155&lt;Startops2),VLOOKUP($A155,Diesel_Table,Tariff!$Y$41),VLOOKUP($A155,OA_Table,Tariff!$Y$26)))</f>
        <v>0</v>
      </c>
      <c r="J155" s="391" t="str">
        <f t="shared" ca="1" si="39"/>
        <v xml:space="preserve"> </v>
      </c>
      <c r="K155" s="1109">
        <f ca="1">IF(OR($A155&lt;Startops2,$A155&gt;=Endyr),0,VLOOKUP($A155,Capacity_Table,Tariff!$S$18))</f>
        <v>0.91</v>
      </c>
      <c r="L155" s="212">
        <f ca="1">IF(OR($A155&lt;Startops2,$A155&gt;=Endyr),0,VLOOKUP($A155,Capacity_Table,Tariff!$T$18))</f>
        <v>0.92</v>
      </c>
      <c r="M155" s="334">
        <f ca="1">IF($A155&lt;Startops2,0,IF($A155&lt;Startops3,VLOOKUP($A155,Convert_Table,Tariff!$Y$54),C155*D155*F155*K155*L155))</f>
        <v>298980.864</v>
      </c>
      <c r="N155" s="391" t="str">
        <f t="shared" ca="1" si="40"/>
        <v xml:space="preserve"> </v>
      </c>
      <c r="O155" s="334">
        <f t="shared" ca="1" si="41"/>
        <v>7000</v>
      </c>
      <c r="P155" s="334">
        <f t="shared" ca="1" si="33"/>
        <v>2092866.048</v>
      </c>
      <c r="Q155" s="332" t="str">
        <f t="shared" ca="1" si="34"/>
        <v xml:space="preserve"> </v>
      </c>
      <c r="R155" s="334">
        <f ca="1">IF($A155&gt;Endyr,0,IF($A155&lt;Assm!$A$55,P155,Assm!$F$55*$D155))</f>
        <v>1828160.8767123288</v>
      </c>
      <c r="S155" s="391" t="str">
        <f t="shared" ca="1" si="35"/>
        <v xml:space="preserve"> </v>
      </c>
      <c r="T155" s="334">
        <f t="shared" ca="1" si="36"/>
        <v>2092866.048</v>
      </c>
      <c r="U155" s="682" t="str">
        <f t="shared" ca="1" si="37"/>
        <v xml:space="preserve"> </v>
      </c>
    </row>
    <row r="156" spans="1:21">
      <c r="A156" s="672">
        <f t="shared" ca="1" si="29"/>
        <v>40634</v>
      </c>
      <c r="C156" s="681">
        <f ca="1">IF($A156&gt;Endyr,0,VLOOKUP($A156,Capacity_Table,Tariff!$R$18))</f>
        <v>480</v>
      </c>
      <c r="D156" s="330">
        <f t="shared" ca="1" si="30"/>
        <v>30</v>
      </c>
      <c r="E156" s="330" t="str">
        <f t="shared" ca="1" si="31"/>
        <v xml:space="preserve"> </v>
      </c>
      <c r="F156" s="332">
        <f t="shared" si="38"/>
        <v>24</v>
      </c>
      <c r="G156" s="1109">
        <f t="shared" ca="1" si="32"/>
        <v>0</v>
      </c>
      <c r="H156" s="1686">
        <f ca="1">IF(Avail_LDs_Switch=1,VLOOKUP('Plant Operations'!A156,RAC_AvailFactor_Table,RAC_LDs!$G$258),IF($A156&lt;Startops2,Tariff!$T$11,0))</f>
        <v>0</v>
      </c>
      <c r="I156" s="1559">
        <f ca="1">IF(OR($A156&lt;Startops1,$A156&gt;=Startops2),0,IF(AND($A156&gt;=DieselOps_2,$A156&lt;Startops2),VLOOKUP($A156,Diesel_Table,Tariff!$Y$41),VLOOKUP($A156,OA_Table,Tariff!$Y$26)))</f>
        <v>0</v>
      </c>
      <c r="J156" s="391" t="str">
        <f t="shared" ca="1" si="39"/>
        <v xml:space="preserve"> </v>
      </c>
      <c r="K156" s="1109">
        <f ca="1">IF(OR($A156&lt;Startops2,$A156&gt;=Endyr),0,VLOOKUP($A156,Capacity_Table,Tariff!$S$18))</f>
        <v>0.91</v>
      </c>
      <c r="L156" s="212">
        <f ca="1">IF(OR($A156&lt;Startops2,$A156&gt;=Endyr),0,VLOOKUP($A156,Capacity_Table,Tariff!$T$18))</f>
        <v>0.92</v>
      </c>
      <c r="M156" s="334">
        <f ca="1">IF($A156&lt;Startops2,0,IF($A156&lt;Startops3,VLOOKUP($A156,Convert_Table,Tariff!$Y$54),C156*D156*F156*K156*L156))</f>
        <v>289336.32000000001</v>
      </c>
      <c r="N156" s="391" t="str">
        <f t="shared" ca="1" si="40"/>
        <v xml:space="preserve"> </v>
      </c>
      <c r="O156" s="334">
        <f t="shared" ca="1" si="41"/>
        <v>7000</v>
      </c>
      <c r="P156" s="334">
        <f t="shared" ca="1" si="33"/>
        <v>2025354.24</v>
      </c>
      <c r="Q156" s="332" t="str">
        <f t="shared" ca="1" si="34"/>
        <v xml:space="preserve"> </v>
      </c>
      <c r="R156" s="334">
        <f ca="1">IF($A156&gt;Endyr,0,IF($A156&lt;Assm!$A$55,P156,Assm!$F$55*$D156))</f>
        <v>1769187.9452054794</v>
      </c>
      <c r="S156" s="391" t="str">
        <f t="shared" ca="1" si="35"/>
        <v xml:space="preserve"> </v>
      </c>
      <c r="T156" s="334">
        <f t="shared" ca="1" si="36"/>
        <v>2025354.24</v>
      </c>
      <c r="U156" s="682" t="str">
        <f t="shared" ca="1" si="37"/>
        <v xml:space="preserve"> </v>
      </c>
    </row>
    <row r="157" spans="1:21">
      <c r="A157" s="672">
        <f t="shared" ca="1" si="29"/>
        <v>40664</v>
      </c>
      <c r="C157" s="681">
        <f ca="1">IF($A157&gt;Endyr,0,VLOOKUP($A157,Capacity_Table,Tariff!$R$18))</f>
        <v>480</v>
      </c>
      <c r="D157" s="330">
        <f t="shared" ca="1" si="30"/>
        <v>31</v>
      </c>
      <c r="E157" s="330" t="str">
        <f t="shared" ca="1" si="31"/>
        <v xml:space="preserve"> </v>
      </c>
      <c r="F157" s="332">
        <f t="shared" si="38"/>
        <v>24</v>
      </c>
      <c r="G157" s="1109">
        <f t="shared" ca="1" si="32"/>
        <v>0</v>
      </c>
      <c r="H157" s="1686">
        <f ca="1">IF(Avail_LDs_Switch=1,VLOOKUP('Plant Operations'!A157,RAC_AvailFactor_Table,RAC_LDs!$G$258),IF($A157&lt;Startops2,Tariff!$T$11,0))</f>
        <v>0</v>
      </c>
      <c r="I157" s="1559">
        <f ca="1">IF(OR($A157&lt;Startops1,$A157&gt;=Startops2),0,IF(AND($A157&gt;=DieselOps_2,$A157&lt;Startops2),VLOOKUP($A157,Diesel_Table,Tariff!$Y$41),VLOOKUP($A157,OA_Table,Tariff!$Y$26)))</f>
        <v>0</v>
      </c>
      <c r="J157" s="391" t="str">
        <f t="shared" ca="1" si="39"/>
        <v xml:space="preserve"> </v>
      </c>
      <c r="K157" s="1109">
        <f ca="1">IF(OR($A157&lt;Startops2,$A157&gt;=Endyr),0,VLOOKUP($A157,Capacity_Table,Tariff!$S$18))</f>
        <v>0.91</v>
      </c>
      <c r="L157" s="212">
        <f ca="1">IF(OR($A157&lt;Startops2,$A157&gt;=Endyr),0,VLOOKUP($A157,Capacity_Table,Tariff!$T$18))</f>
        <v>0.92</v>
      </c>
      <c r="M157" s="334">
        <f ca="1">IF($A157&lt;Startops2,0,IF($A157&lt;Startops3,VLOOKUP($A157,Convert_Table,Tariff!$Y$54),C157*D157*F157*K157*L157))</f>
        <v>298980.864</v>
      </c>
      <c r="N157" s="391" t="str">
        <f t="shared" ca="1" si="40"/>
        <v xml:space="preserve"> </v>
      </c>
      <c r="O157" s="334">
        <f t="shared" ca="1" si="41"/>
        <v>7000</v>
      </c>
      <c r="P157" s="334">
        <f t="shared" ca="1" si="33"/>
        <v>2092866.048</v>
      </c>
      <c r="Q157" s="332" t="str">
        <f t="shared" ca="1" si="34"/>
        <v xml:space="preserve"> </v>
      </c>
      <c r="R157" s="334">
        <f ca="1">IF($A157&gt;Endyr,0,IF($A157&lt;Assm!$A$55,P157,Assm!$F$55*$D157))</f>
        <v>1828160.8767123288</v>
      </c>
      <c r="S157" s="391" t="str">
        <f t="shared" ca="1" si="35"/>
        <v xml:space="preserve"> </v>
      </c>
      <c r="T157" s="334">
        <f t="shared" ca="1" si="36"/>
        <v>2092866.048</v>
      </c>
      <c r="U157" s="682" t="str">
        <f t="shared" ca="1" si="37"/>
        <v xml:space="preserve"> </v>
      </c>
    </row>
    <row r="158" spans="1:21">
      <c r="A158" s="672">
        <f t="shared" ca="1" si="29"/>
        <v>40695</v>
      </c>
      <c r="C158" s="681">
        <f ca="1">IF($A158&gt;Endyr,0,VLOOKUP($A158,Capacity_Table,Tariff!$R$18))</f>
        <v>480</v>
      </c>
      <c r="D158" s="330">
        <f t="shared" ca="1" si="30"/>
        <v>30</v>
      </c>
      <c r="E158" s="330" t="str">
        <f t="shared" ca="1" si="31"/>
        <v xml:space="preserve"> </v>
      </c>
      <c r="F158" s="332">
        <f t="shared" si="38"/>
        <v>24</v>
      </c>
      <c r="G158" s="1109">
        <f t="shared" ca="1" si="32"/>
        <v>0</v>
      </c>
      <c r="H158" s="1686">
        <f ca="1">IF(Avail_LDs_Switch=1,VLOOKUP('Plant Operations'!A158,RAC_AvailFactor_Table,RAC_LDs!$G$258),IF($A158&lt;Startops2,Tariff!$T$11,0))</f>
        <v>0</v>
      </c>
      <c r="I158" s="1559">
        <f ca="1">IF(OR($A158&lt;Startops1,$A158&gt;=Startops2),0,IF(AND($A158&gt;=DieselOps_2,$A158&lt;Startops2),VLOOKUP($A158,Diesel_Table,Tariff!$Y$41),VLOOKUP($A158,OA_Table,Tariff!$Y$26)))</f>
        <v>0</v>
      </c>
      <c r="J158" s="391" t="str">
        <f t="shared" ca="1" si="39"/>
        <v xml:space="preserve"> </v>
      </c>
      <c r="K158" s="1109">
        <f ca="1">IF(OR($A158&lt;Startops2,$A158&gt;=Endyr),0,VLOOKUP($A158,Capacity_Table,Tariff!$S$18))</f>
        <v>0.91</v>
      </c>
      <c r="L158" s="212">
        <f ca="1">IF(OR($A158&lt;Startops2,$A158&gt;=Endyr),0,VLOOKUP($A158,Capacity_Table,Tariff!$T$18))</f>
        <v>0.92</v>
      </c>
      <c r="M158" s="334">
        <f ca="1">IF($A158&lt;Startops2,0,IF($A158&lt;Startops3,VLOOKUP($A158,Convert_Table,Tariff!$Y$54),C158*D158*F158*K158*L158))</f>
        <v>289336.32000000001</v>
      </c>
      <c r="N158" s="391" t="str">
        <f t="shared" ca="1" si="40"/>
        <v xml:space="preserve"> </v>
      </c>
      <c r="O158" s="334">
        <f t="shared" ca="1" si="41"/>
        <v>7000</v>
      </c>
      <c r="P158" s="334">
        <f t="shared" ca="1" si="33"/>
        <v>2025354.24</v>
      </c>
      <c r="Q158" s="332" t="str">
        <f t="shared" ca="1" si="34"/>
        <v xml:space="preserve"> </v>
      </c>
      <c r="R158" s="334">
        <f ca="1">IF($A158&gt;Endyr,0,IF($A158&lt;Assm!$A$55,P158,Assm!$F$55*$D158))</f>
        <v>1769187.9452054794</v>
      </c>
      <c r="S158" s="391" t="str">
        <f t="shared" ca="1" si="35"/>
        <v xml:space="preserve"> </v>
      </c>
      <c r="T158" s="334">
        <f t="shared" ca="1" si="36"/>
        <v>2025354.24</v>
      </c>
      <c r="U158" s="682" t="str">
        <f t="shared" ca="1" si="37"/>
        <v xml:space="preserve"> </v>
      </c>
    </row>
    <row r="159" spans="1:21">
      <c r="A159" s="672">
        <f t="shared" ca="1" si="29"/>
        <v>40725</v>
      </c>
      <c r="C159" s="681">
        <f ca="1">IF($A159&gt;Endyr,0,VLOOKUP($A159,Capacity_Table,Tariff!$R$18))</f>
        <v>480</v>
      </c>
      <c r="D159" s="330">
        <f t="shared" ca="1" si="30"/>
        <v>31</v>
      </c>
      <c r="E159" s="330" t="str">
        <f t="shared" ca="1" si="31"/>
        <v xml:space="preserve"> </v>
      </c>
      <c r="F159" s="332">
        <f t="shared" si="38"/>
        <v>24</v>
      </c>
      <c r="G159" s="1109">
        <f t="shared" ca="1" si="32"/>
        <v>0</v>
      </c>
      <c r="H159" s="1686">
        <f ca="1">IF(Avail_LDs_Switch=1,VLOOKUP('Plant Operations'!A159,RAC_AvailFactor_Table,RAC_LDs!$G$258),IF($A159&lt;Startops2,Tariff!$T$11,0))</f>
        <v>0</v>
      </c>
      <c r="I159" s="1559">
        <f ca="1">IF(OR($A159&lt;Startops1,$A159&gt;=Startops2),0,IF(AND($A159&gt;=DieselOps_2,$A159&lt;Startops2),VLOOKUP($A159,Diesel_Table,Tariff!$Y$41),VLOOKUP($A159,OA_Table,Tariff!$Y$26)))</f>
        <v>0</v>
      </c>
      <c r="J159" s="391" t="str">
        <f t="shared" ca="1" si="39"/>
        <v xml:space="preserve"> </v>
      </c>
      <c r="K159" s="1109">
        <f ca="1">IF(OR($A159&lt;Startops2,$A159&gt;=Endyr),0,VLOOKUP($A159,Capacity_Table,Tariff!$S$18))</f>
        <v>0.91</v>
      </c>
      <c r="L159" s="212">
        <f ca="1">IF(OR($A159&lt;Startops2,$A159&gt;=Endyr),0,VLOOKUP($A159,Capacity_Table,Tariff!$T$18))</f>
        <v>0.92</v>
      </c>
      <c r="M159" s="334">
        <f ca="1">IF($A159&lt;Startops2,0,IF($A159&lt;Startops3,VLOOKUP($A159,Convert_Table,Tariff!$Y$54),C159*D159*F159*K159*L159))</f>
        <v>298980.864</v>
      </c>
      <c r="N159" s="391" t="str">
        <f t="shared" ca="1" si="40"/>
        <v xml:space="preserve"> </v>
      </c>
      <c r="O159" s="334">
        <f t="shared" ca="1" si="41"/>
        <v>7000</v>
      </c>
      <c r="P159" s="334">
        <f t="shared" ca="1" si="33"/>
        <v>2092866.048</v>
      </c>
      <c r="Q159" s="332" t="str">
        <f t="shared" ca="1" si="34"/>
        <v xml:space="preserve"> </v>
      </c>
      <c r="R159" s="334">
        <f ca="1">IF($A159&gt;Endyr,0,IF($A159&lt;Assm!$A$55,P159,Assm!$F$55*$D159))</f>
        <v>1828160.8767123288</v>
      </c>
      <c r="S159" s="391" t="str">
        <f t="shared" ca="1" si="35"/>
        <v xml:space="preserve"> </v>
      </c>
      <c r="T159" s="334">
        <f t="shared" ca="1" si="36"/>
        <v>2092866.048</v>
      </c>
      <c r="U159" s="682" t="str">
        <f t="shared" ca="1" si="37"/>
        <v xml:space="preserve"> </v>
      </c>
    </row>
    <row r="160" spans="1:21">
      <c r="A160" s="672">
        <f t="shared" ca="1" si="29"/>
        <v>40756</v>
      </c>
      <c r="C160" s="681">
        <f ca="1">IF($A160&gt;Endyr,0,VLOOKUP($A160,Capacity_Table,Tariff!$R$18))</f>
        <v>480</v>
      </c>
      <c r="D160" s="330">
        <f t="shared" ca="1" si="30"/>
        <v>31</v>
      </c>
      <c r="E160" s="330" t="str">
        <f t="shared" ca="1" si="31"/>
        <v xml:space="preserve"> </v>
      </c>
      <c r="F160" s="332">
        <f t="shared" si="38"/>
        <v>24</v>
      </c>
      <c r="G160" s="1109">
        <f t="shared" ca="1" si="32"/>
        <v>0</v>
      </c>
      <c r="H160" s="1686">
        <f ca="1">IF(Avail_LDs_Switch=1,VLOOKUP('Plant Operations'!A160,RAC_AvailFactor_Table,RAC_LDs!$G$258),IF($A160&lt;Startops2,Tariff!$T$11,0))</f>
        <v>0</v>
      </c>
      <c r="I160" s="1559">
        <f ca="1">IF(OR($A160&lt;Startops1,$A160&gt;=Startops2),0,IF(AND($A160&gt;=DieselOps_2,$A160&lt;Startops2),VLOOKUP($A160,Diesel_Table,Tariff!$Y$41),VLOOKUP($A160,OA_Table,Tariff!$Y$26)))</f>
        <v>0</v>
      </c>
      <c r="J160" s="391" t="str">
        <f t="shared" ca="1" si="39"/>
        <v xml:space="preserve"> </v>
      </c>
      <c r="K160" s="1109">
        <f ca="1">IF(OR($A160&lt;Startops2,$A160&gt;=Endyr),0,VLOOKUP($A160,Capacity_Table,Tariff!$S$18))</f>
        <v>0.91</v>
      </c>
      <c r="L160" s="212">
        <f ca="1">IF(OR($A160&lt;Startops2,$A160&gt;=Endyr),0,VLOOKUP($A160,Capacity_Table,Tariff!$T$18))</f>
        <v>0.92</v>
      </c>
      <c r="M160" s="334">
        <f ca="1">IF($A160&lt;Startops2,0,IF($A160&lt;Startops3,VLOOKUP($A160,Convert_Table,Tariff!$Y$54),C160*D160*F160*K160*L160))</f>
        <v>298980.864</v>
      </c>
      <c r="N160" s="391" t="str">
        <f t="shared" ca="1" si="40"/>
        <v xml:space="preserve"> </v>
      </c>
      <c r="O160" s="334">
        <f t="shared" ca="1" si="41"/>
        <v>7000</v>
      </c>
      <c r="P160" s="334">
        <f t="shared" ca="1" si="33"/>
        <v>2092866.048</v>
      </c>
      <c r="Q160" s="332" t="str">
        <f t="shared" ca="1" si="34"/>
        <v xml:space="preserve"> </v>
      </c>
      <c r="R160" s="334">
        <f ca="1">IF($A160&gt;Endyr,0,IF($A160&lt;Assm!$A$55,P160,Assm!$F$55*$D160))</f>
        <v>1828160.8767123288</v>
      </c>
      <c r="S160" s="391" t="str">
        <f t="shared" ca="1" si="35"/>
        <v xml:space="preserve"> </v>
      </c>
      <c r="T160" s="334">
        <f t="shared" ca="1" si="36"/>
        <v>2092866.048</v>
      </c>
      <c r="U160" s="682" t="str">
        <f t="shared" ca="1" si="37"/>
        <v xml:space="preserve"> </v>
      </c>
    </row>
    <row r="161" spans="1:21">
      <c r="A161" s="672">
        <f t="shared" ca="1" si="29"/>
        <v>40787</v>
      </c>
      <c r="C161" s="681">
        <f ca="1">IF($A161&gt;Endyr,0,VLOOKUP($A161,Capacity_Table,Tariff!$R$18))</f>
        <v>480</v>
      </c>
      <c r="D161" s="330">
        <f t="shared" ca="1" si="30"/>
        <v>30</v>
      </c>
      <c r="E161" s="330" t="str">
        <f t="shared" ca="1" si="31"/>
        <v xml:space="preserve"> </v>
      </c>
      <c r="F161" s="332">
        <f t="shared" si="38"/>
        <v>24</v>
      </c>
      <c r="G161" s="1109">
        <f t="shared" ca="1" si="32"/>
        <v>0</v>
      </c>
      <c r="H161" s="1686">
        <f ca="1">IF(Avail_LDs_Switch=1,VLOOKUP('Plant Operations'!A161,RAC_AvailFactor_Table,RAC_LDs!$G$258),IF($A161&lt;Startops2,Tariff!$T$11,0))</f>
        <v>0</v>
      </c>
      <c r="I161" s="1559">
        <f ca="1">IF(OR($A161&lt;Startops1,$A161&gt;=Startops2),0,IF(AND($A161&gt;=DieselOps_2,$A161&lt;Startops2),VLOOKUP($A161,Diesel_Table,Tariff!$Y$41),VLOOKUP($A161,OA_Table,Tariff!$Y$26)))</f>
        <v>0</v>
      </c>
      <c r="J161" s="391" t="str">
        <f t="shared" ca="1" si="39"/>
        <v xml:space="preserve"> </v>
      </c>
      <c r="K161" s="1109">
        <f ca="1">IF(OR($A161&lt;Startops2,$A161&gt;=Endyr),0,VLOOKUP($A161,Capacity_Table,Tariff!$S$18))</f>
        <v>0.91</v>
      </c>
      <c r="L161" s="212">
        <f ca="1">IF(OR($A161&lt;Startops2,$A161&gt;=Endyr),0,VLOOKUP($A161,Capacity_Table,Tariff!$T$18))</f>
        <v>0.92</v>
      </c>
      <c r="M161" s="334">
        <f ca="1">IF($A161&lt;Startops2,0,IF($A161&lt;Startops3,VLOOKUP($A161,Convert_Table,Tariff!$Y$54),C161*D161*F161*K161*L161))</f>
        <v>289336.32000000001</v>
      </c>
      <c r="N161" s="391" t="str">
        <f t="shared" ca="1" si="40"/>
        <v xml:space="preserve"> </v>
      </c>
      <c r="O161" s="334">
        <f t="shared" ca="1" si="41"/>
        <v>7000</v>
      </c>
      <c r="P161" s="334">
        <f t="shared" ca="1" si="33"/>
        <v>2025354.24</v>
      </c>
      <c r="Q161" s="332" t="str">
        <f t="shared" ca="1" si="34"/>
        <v xml:space="preserve"> </v>
      </c>
      <c r="R161" s="334">
        <f ca="1">IF($A161&gt;Endyr,0,IF($A161&lt;Assm!$A$55,P161,Assm!$F$55*$D161))</f>
        <v>1769187.9452054794</v>
      </c>
      <c r="S161" s="391" t="str">
        <f t="shared" ca="1" si="35"/>
        <v xml:space="preserve"> </v>
      </c>
      <c r="T161" s="334">
        <f t="shared" ca="1" si="36"/>
        <v>2025354.24</v>
      </c>
      <c r="U161" s="682" t="str">
        <f t="shared" ca="1" si="37"/>
        <v xml:space="preserve"> </v>
      </c>
    </row>
    <row r="162" spans="1:21">
      <c r="A162" s="672">
        <f t="shared" ca="1" si="29"/>
        <v>40817</v>
      </c>
      <c r="C162" s="681">
        <f ca="1">IF($A162&gt;Endyr,0,VLOOKUP($A162,Capacity_Table,Tariff!$R$18))</f>
        <v>480</v>
      </c>
      <c r="D162" s="330">
        <f t="shared" ca="1" si="30"/>
        <v>31</v>
      </c>
      <c r="E162" s="330" t="str">
        <f t="shared" ca="1" si="31"/>
        <v xml:space="preserve"> </v>
      </c>
      <c r="F162" s="332">
        <f t="shared" si="38"/>
        <v>24</v>
      </c>
      <c r="G162" s="1109">
        <f t="shared" ca="1" si="32"/>
        <v>0</v>
      </c>
      <c r="H162" s="1686">
        <f ca="1">IF(Avail_LDs_Switch=1,VLOOKUP('Plant Operations'!A162,RAC_AvailFactor_Table,RAC_LDs!$G$258),IF($A162&lt;Startops2,Tariff!$T$11,0))</f>
        <v>0</v>
      </c>
      <c r="I162" s="1559">
        <f ca="1">IF(OR($A162&lt;Startops1,$A162&gt;=Startops2),0,IF(AND($A162&gt;=DieselOps_2,$A162&lt;Startops2),VLOOKUP($A162,Diesel_Table,Tariff!$Y$41),VLOOKUP($A162,OA_Table,Tariff!$Y$26)))</f>
        <v>0</v>
      </c>
      <c r="J162" s="391" t="str">
        <f t="shared" ca="1" si="39"/>
        <v xml:space="preserve"> </v>
      </c>
      <c r="K162" s="1109">
        <f ca="1">IF(OR($A162&lt;Startops2,$A162&gt;=Endyr),0,VLOOKUP($A162,Capacity_Table,Tariff!$S$18))</f>
        <v>0.91</v>
      </c>
      <c r="L162" s="212">
        <f ca="1">IF(OR($A162&lt;Startops2,$A162&gt;=Endyr),0,VLOOKUP($A162,Capacity_Table,Tariff!$T$18))</f>
        <v>0.92</v>
      </c>
      <c r="M162" s="334">
        <f ca="1">IF($A162&lt;Startops2,0,IF($A162&lt;Startops3,VLOOKUP($A162,Convert_Table,Tariff!$Y$54),C162*D162*F162*K162*L162))</f>
        <v>298980.864</v>
      </c>
      <c r="N162" s="391" t="str">
        <f t="shared" ca="1" si="40"/>
        <v xml:space="preserve"> </v>
      </c>
      <c r="O162" s="334">
        <f t="shared" ca="1" si="41"/>
        <v>7000</v>
      </c>
      <c r="P162" s="334">
        <f t="shared" ca="1" si="33"/>
        <v>2092866.048</v>
      </c>
      <c r="Q162" s="332" t="str">
        <f t="shared" ca="1" si="34"/>
        <v xml:space="preserve"> </v>
      </c>
      <c r="R162" s="334">
        <f ca="1">IF($A162&gt;Endyr,0,IF($A162&lt;Assm!$A$55,P162,Assm!$F$55*$D162))</f>
        <v>1828160.8767123288</v>
      </c>
      <c r="S162" s="391" t="str">
        <f t="shared" ca="1" si="35"/>
        <v xml:space="preserve"> </v>
      </c>
      <c r="T162" s="334">
        <f t="shared" ca="1" si="36"/>
        <v>2092866.048</v>
      </c>
      <c r="U162" s="682" t="str">
        <f t="shared" ca="1" si="37"/>
        <v xml:space="preserve"> </v>
      </c>
    </row>
    <row r="163" spans="1:21">
      <c r="A163" s="672">
        <f t="shared" ca="1" si="29"/>
        <v>40848</v>
      </c>
      <c r="C163" s="681">
        <f ca="1">IF($A163&gt;Endyr,0,VLOOKUP($A163,Capacity_Table,Tariff!$R$18))</f>
        <v>480</v>
      </c>
      <c r="D163" s="330">
        <f t="shared" ca="1" si="30"/>
        <v>30</v>
      </c>
      <c r="E163" s="330" t="str">
        <f t="shared" ca="1" si="31"/>
        <v xml:space="preserve"> </v>
      </c>
      <c r="F163" s="332">
        <f t="shared" si="38"/>
        <v>24</v>
      </c>
      <c r="G163" s="1109">
        <f t="shared" ca="1" si="32"/>
        <v>0</v>
      </c>
      <c r="H163" s="1686">
        <f ca="1">IF(Avail_LDs_Switch=1,VLOOKUP('Plant Operations'!A163,RAC_AvailFactor_Table,RAC_LDs!$G$258),IF($A163&lt;Startops2,Tariff!$T$11,0))</f>
        <v>0</v>
      </c>
      <c r="I163" s="1559">
        <f ca="1">IF(OR($A163&lt;Startops1,$A163&gt;=Startops2),0,IF(AND($A163&gt;=DieselOps_2,$A163&lt;Startops2),VLOOKUP($A163,Diesel_Table,Tariff!$Y$41),VLOOKUP($A163,OA_Table,Tariff!$Y$26)))</f>
        <v>0</v>
      </c>
      <c r="J163" s="391" t="str">
        <f t="shared" ca="1" si="39"/>
        <v xml:space="preserve"> </v>
      </c>
      <c r="K163" s="1109">
        <f ca="1">IF(OR($A163&lt;Startops2,$A163&gt;=Endyr),0,VLOOKUP($A163,Capacity_Table,Tariff!$S$18))</f>
        <v>0.91</v>
      </c>
      <c r="L163" s="212">
        <f ca="1">IF(OR($A163&lt;Startops2,$A163&gt;=Endyr),0,VLOOKUP($A163,Capacity_Table,Tariff!$T$18))</f>
        <v>0.92</v>
      </c>
      <c r="M163" s="334">
        <f ca="1">IF($A163&lt;Startops2,0,IF($A163&lt;Startops3,VLOOKUP($A163,Convert_Table,Tariff!$Y$54),C163*D163*F163*K163*L163))</f>
        <v>289336.32000000001</v>
      </c>
      <c r="N163" s="391" t="str">
        <f t="shared" ca="1" si="40"/>
        <v xml:space="preserve"> </v>
      </c>
      <c r="O163" s="334">
        <f t="shared" ca="1" si="41"/>
        <v>7000</v>
      </c>
      <c r="P163" s="334">
        <f t="shared" ca="1" si="33"/>
        <v>2025354.24</v>
      </c>
      <c r="Q163" s="332" t="str">
        <f t="shared" ca="1" si="34"/>
        <v xml:space="preserve"> </v>
      </c>
      <c r="R163" s="334">
        <f ca="1">IF($A163&gt;Endyr,0,IF($A163&lt;Assm!$A$55,P163,Assm!$F$55*$D163))</f>
        <v>1769187.9452054794</v>
      </c>
      <c r="S163" s="391" t="str">
        <f t="shared" ca="1" si="35"/>
        <v xml:space="preserve"> </v>
      </c>
      <c r="T163" s="334">
        <f t="shared" ca="1" si="36"/>
        <v>2025354.24</v>
      </c>
      <c r="U163" s="682" t="str">
        <f t="shared" ca="1" si="37"/>
        <v xml:space="preserve"> </v>
      </c>
    </row>
    <row r="164" spans="1:21">
      <c r="A164" s="672">
        <f t="shared" ca="1" si="29"/>
        <v>40878</v>
      </c>
      <c r="C164" s="681">
        <f ca="1">IF($A164&gt;Endyr,0,VLOOKUP($A164,Capacity_Table,Tariff!$R$18))</f>
        <v>480</v>
      </c>
      <c r="D164" s="330">
        <f t="shared" ca="1" si="30"/>
        <v>31</v>
      </c>
      <c r="E164" s="330">
        <f t="shared" ca="1" si="31"/>
        <v>365</v>
      </c>
      <c r="F164" s="332">
        <f t="shared" si="38"/>
        <v>24</v>
      </c>
      <c r="G164" s="1109">
        <f t="shared" ca="1" si="32"/>
        <v>0</v>
      </c>
      <c r="H164" s="1686">
        <f ca="1">IF(Avail_LDs_Switch=1,VLOOKUP('Plant Operations'!A164,RAC_AvailFactor_Table,RAC_LDs!$G$258),IF($A164&lt;Startops2,Tariff!$T$11,0))</f>
        <v>0</v>
      </c>
      <c r="I164" s="1559">
        <f ca="1">IF(OR($A164&lt;Startops1,$A164&gt;=Startops2),0,IF(AND($A164&gt;=DieselOps_2,$A164&lt;Startops2),VLOOKUP($A164,Diesel_Table,Tariff!$Y$41),VLOOKUP($A164,OA_Table,Tariff!$Y$26)))</f>
        <v>0</v>
      </c>
      <c r="J164" s="391">
        <f t="shared" ca="1" si="39"/>
        <v>0</v>
      </c>
      <c r="K164" s="1109">
        <f ca="1">IF(OR($A164&lt;Startops2,$A164&gt;=Endyr),0,VLOOKUP($A164,Capacity_Table,Tariff!$S$18))</f>
        <v>0.91</v>
      </c>
      <c r="L164" s="212">
        <f ca="1">IF(OR($A164&lt;Startops2,$A164&gt;=Endyr),0,VLOOKUP($A164,Capacity_Table,Tariff!$T$18))</f>
        <v>0.92</v>
      </c>
      <c r="M164" s="334">
        <f ca="1">IF($A164&lt;Startops2,0,IF($A164&lt;Startops3,VLOOKUP($A164,Convert_Table,Tariff!$Y$54),C164*D164*F164*K164*L164))</f>
        <v>298980.864</v>
      </c>
      <c r="N164" s="391">
        <f t="shared" ca="1" si="40"/>
        <v>3520258.56</v>
      </c>
      <c r="O164" s="334">
        <f t="shared" ca="1" si="41"/>
        <v>7000</v>
      </c>
      <c r="P164" s="334">
        <f t="shared" ca="1" si="33"/>
        <v>2092866.048</v>
      </c>
      <c r="Q164" s="332">
        <f t="shared" ca="1" si="34"/>
        <v>24641809.920000002</v>
      </c>
      <c r="R164" s="334">
        <f ca="1">IF($A164&gt;Endyr,0,IF($A164&lt;Assm!$A$55,P164,Assm!$F$55*$D164))</f>
        <v>1828160.8767123288</v>
      </c>
      <c r="S164" s="391">
        <f t="shared" ca="1" si="35"/>
        <v>21525120.000000004</v>
      </c>
      <c r="T164" s="334">
        <f t="shared" ca="1" si="36"/>
        <v>2092866.048</v>
      </c>
      <c r="U164" s="682">
        <f t="shared" ca="1" si="37"/>
        <v>24641809.920000002</v>
      </c>
    </row>
    <row r="165" spans="1:21">
      <c r="A165" s="672">
        <f t="shared" ca="1" si="29"/>
        <v>40909</v>
      </c>
      <c r="C165" s="681">
        <f ca="1">IF($A165&gt;Endyr,0,VLOOKUP($A165,Capacity_Table,Tariff!$R$18))</f>
        <v>480</v>
      </c>
      <c r="D165" s="330">
        <f t="shared" ca="1" si="30"/>
        <v>31</v>
      </c>
      <c r="E165" s="330" t="str">
        <f t="shared" ca="1" si="31"/>
        <v xml:space="preserve"> </v>
      </c>
      <c r="F165" s="332">
        <f t="shared" si="38"/>
        <v>24</v>
      </c>
      <c r="G165" s="1109">
        <f t="shared" ca="1" si="32"/>
        <v>0</v>
      </c>
      <c r="H165" s="1686">
        <f ca="1">IF(Avail_LDs_Switch=1,VLOOKUP('Plant Operations'!A165,RAC_AvailFactor_Table,RAC_LDs!$G$258),IF($A165&lt;Startops2,Tariff!$T$11,0))</f>
        <v>0</v>
      </c>
      <c r="I165" s="1559">
        <f ca="1">IF(OR($A165&lt;Startops1,$A165&gt;=Startops2),0,IF(AND($A165&gt;=DieselOps_2,$A165&lt;Startops2),VLOOKUP($A165,Diesel_Table,Tariff!$Y$41),VLOOKUP($A165,OA_Table,Tariff!$Y$26)))</f>
        <v>0</v>
      </c>
      <c r="J165" s="391" t="str">
        <f t="shared" ca="1" si="39"/>
        <v xml:space="preserve"> </v>
      </c>
      <c r="K165" s="1109">
        <f ca="1">IF(OR($A165&lt;Startops2,$A165&gt;=Endyr),0,VLOOKUP($A165,Capacity_Table,Tariff!$S$18))</f>
        <v>0.91</v>
      </c>
      <c r="L165" s="212">
        <f ca="1">IF(OR($A165&lt;Startops2,$A165&gt;=Endyr),0,VLOOKUP($A165,Capacity_Table,Tariff!$T$18))</f>
        <v>0.92</v>
      </c>
      <c r="M165" s="334">
        <f ca="1">IF($A165&lt;Startops2,0,IF($A165&lt;Startops3,VLOOKUP($A165,Convert_Table,Tariff!$Y$54),C165*D165*F165*K165*L165))</f>
        <v>298980.864</v>
      </c>
      <c r="N165" s="391" t="str">
        <f t="shared" ca="1" si="40"/>
        <v xml:space="preserve"> </v>
      </c>
      <c r="O165" s="334">
        <f t="shared" ca="1" si="41"/>
        <v>7000</v>
      </c>
      <c r="P165" s="334">
        <f t="shared" ca="1" si="33"/>
        <v>2092866.048</v>
      </c>
      <c r="Q165" s="332" t="str">
        <f t="shared" ca="1" si="34"/>
        <v xml:space="preserve"> </v>
      </c>
      <c r="R165" s="334">
        <f ca="1">IF($A165&gt;Endyr,0,IF($A165&lt;Assm!$A$55,P165,Assm!$F$55*$D165))</f>
        <v>1828160.8767123288</v>
      </c>
      <c r="S165" s="391" t="str">
        <f t="shared" ca="1" si="35"/>
        <v xml:space="preserve"> </v>
      </c>
      <c r="T165" s="334">
        <f t="shared" ca="1" si="36"/>
        <v>2092866.048</v>
      </c>
      <c r="U165" s="682" t="str">
        <f t="shared" ca="1" si="37"/>
        <v xml:space="preserve"> </v>
      </c>
    </row>
    <row r="166" spans="1:21">
      <c r="A166" s="672">
        <f t="shared" ca="1" si="29"/>
        <v>40940</v>
      </c>
      <c r="C166" s="681">
        <f ca="1">IF($A166&gt;Endyr,0,VLOOKUP($A166,Capacity_Table,Tariff!$R$18))</f>
        <v>480</v>
      </c>
      <c r="D166" s="330">
        <f t="shared" ca="1" si="30"/>
        <v>29</v>
      </c>
      <c r="E166" s="330" t="str">
        <f t="shared" ca="1" si="31"/>
        <v xml:space="preserve"> </v>
      </c>
      <c r="F166" s="332">
        <f t="shared" si="38"/>
        <v>24</v>
      </c>
      <c r="G166" s="1109">
        <f t="shared" ca="1" si="32"/>
        <v>0</v>
      </c>
      <c r="H166" s="1686">
        <f ca="1">IF(Avail_LDs_Switch=1,VLOOKUP('Plant Operations'!A166,RAC_AvailFactor_Table,RAC_LDs!$G$258),IF($A166&lt;Startops2,Tariff!$T$11,0))</f>
        <v>0</v>
      </c>
      <c r="I166" s="1559">
        <f ca="1">IF(OR($A166&lt;Startops1,$A166&gt;=Startops2),0,IF(AND($A166&gt;=DieselOps_2,$A166&lt;Startops2),VLOOKUP($A166,Diesel_Table,Tariff!$Y$41),VLOOKUP($A166,OA_Table,Tariff!$Y$26)))</f>
        <v>0</v>
      </c>
      <c r="J166" s="391" t="str">
        <f t="shared" ca="1" si="39"/>
        <v xml:space="preserve"> </v>
      </c>
      <c r="K166" s="1109">
        <f ca="1">IF(OR($A166&lt;Startops2,$A166&gt;=Endyr),0,VLOOKUP($A166,Capacity_Table,Tariff!$S$18))</f>
        <v>0.91</v>
      </c>
      <c r="L166" s="212">
        <f ca="1">IF(OR($A166&lt;Startops2,$A166&gt;=Endyr),0,VLOOKUP($A166,Capacity_Table,Tariff!$T$18))</f>
        <v>0.92</v>
      </c>
      <c r="M166" s="334">
        <f ca="1">IF($A166&lt;Startops2,0,IF($A166&lt;Startops3,VLOOKUP($A166,Convert_Table,Tariff!$Y$54),C166*D166*F166*K166*L166))</f>
        <v>279691.77600000001</v>
      </c>
      <c r="N166" s="391" t="str">
        <f t="shared" ca="1" si="40"/>
        <v xml:space="preserve"> </v>
      </c>
      <c r="O166" s="334">
        <f t="shared" ca="1" si="41"/>
        <v>7000</v>
      </c>
      <c r="P166" s="334">
        <f t="shared" ca="1" si="33"/>
        <v>1957842.432</v>
      </c>
      <c r="Q166" s="332" t="str">
        <f t="shared" ca="1" si="34"/>
        <v xml:space="preserve"> </v>
      </c>
      <c r="R166" s="334">
        <f ca="1">IF($A166&gt;Endyr,0,IF($A166&lt;Assm!$A$55,P166,Assm!$F$55*$D166))</f>
        <v>1710215.0136986303</v>
      </c>
      <c r="S166" s="391" t="str">
        <f t="shared" ca="1" si="35"/>
        <v xml:space="preserve"> </v>
      </c>
      <c r="T166" s="334">
        <f t="shared" ca="1" si="36"/>
        <v>1957842.432</v>
      </c>
      <c r="U166" s="682" t="str">
        <f t="shared" ca="1" si="37"/>
        <v xml:space="preserve"> </v>
      </c>
    </row>
    <row r="167" spans="1:21">
      <c r="A167" s="672">
        <f t="shared" ca="1" si="29"/>
        <v>40969</v>
      </c>
      <c r="C167" s="681">
        <f ca="1">IF($A167&gt;Endyr,0,VLOOKUP($A167,Capacity_Table,Tariff!$R$18))</f>
        <v>480</v>
      </c>
      <c r="D167" s="330">
        <f t="shared" ca="1" si="30"/>
        <v>31</v>
      </c>
      <c r="E167" s="330" t="str">
        <f t="shared" ca="1" si="31"/>
        <v xml:space="preserve"> </v>
      </c>
      <c r="F167" s="332">
        <f t="shared" si="38"/>
        <v>24</v>
      </c>
      <c r="G167" s="1109">
        <f t="shared" ca="1" si="32"/>
        <v>0</v>
      </c>
      <c r="H167" s="1686">
        <f ca="1">IF(Avail_LDs_Switch=1,VLOOKUP('Plant Operations'!A167,RAC_AvailFactor_Table,RAC_LDs!$G$258),IF($A167&lt;Startops2,Tariff!$T$11,0))</f>
        <v>0</v>
      </c>
      <c r="I167" s="1559">
        <f ca="1">IF(OR($A167&lt;Startops1,$A167&gt;=Startops2),0,IF(AND($A167&gt;=DieselOps_2,$A167&lt;Startops2),VLOOKUP($A167,Diesel_Table,Tariff!$Y$41),VLOOKUP($A167,OA_Table,Tariff!$Y$26)))</f>
        <v>0</v>
      </c>
      <c r="J167" s="391" t="str">
        <f t="shared" ca="1" si="39"/>
        <v xml:space="preserve"> </v>
      </c>
      <c r="K167" s="1109">
        <f ca="1">IF(OR($A167&lt;Startops2,$A167&gt;=Endyr),0,VLOOKUP($A167,Capacity_Table,Tariff!$S$18))</f>
        <v>0.91</v>
      </c>
      <c r="L167" s="212">
        <f ca="1">IF(OR($A167&lt;Startops2,$A167&gt;=Endyr),0,VLOOKUP($A167,Capacity_Table,Tariff!$T$18))</f>
        <v>0.92</v>
      </c>
      <c r="M167" s="334">
        <f ca="1">IF($A167&lt;Startops2,0,IF($A167&lt;Startops3,VLOOKUP($A167,Convert_Table,Tariff!$Y$54),C167*D167*F167*K167*L167))</f>
        <v>298980.864</v>
      </c>
      <c r="N167" s="391" t="str">
        <f t="shared" ca="1" si="40"/>
        <v xml:space="preserve"> </v>
      </c>
      <c r="O167" s="334">
        <f t="shared" ca="1" si="41"/>
        <v>7000</v>
      </c>
      <c r="P167" s="334">
        <f t="shared" ca="1" si="33"/>
        <v>2092866.048</v>
      </c>
      <c r="Q167" s="332" t="str">
        <f t="shared" ca="1" si="34"/>
        <v xml:space="preserve"> </v>
      </c>
      <c r="R167" s="334">
        <f ca="1">IF($A167&gt;Endyr,0,IF($A167&lt;Assm!$A$55,P167,Assm!$F$55*$D167))</f>
        <v>1828160.8767123288</v>
      </c>
      <c r="S167" s="391" t="str">
        <f t="shared" ca="1" si="35"/>
        <v xml:space="preserve"> </v>
      </c>
      <c r="T167" s="334">
        <f t="shared" ca="1" si="36"/>
        <v>2092866.048</v>
      </c>
      <c r="U167" s="682" t="str">
        <f t="shared" ca="1" si="37"/>
        <v xml:space="preserve"> </v>
      </c>
    </row>
    <row r="168" spans="1:21">
      <c r="A168" s="672">
        <f t="shared" ca="1" si="29"/>
        <v>41000</v>
      </c>
      <c r="C168" s="681">
        <f ca="1">IF($A168&gt;Endyr,0,VLOOKUP($A168,Capacity_Table,Tariff!$R$18))</f>
        <v>480</v>
      </c>
      <c r="D168" s="330">
        <f t="shared" ca="1" si="30"/>
        <v>30</v>
      </c>
      <c r="E168" s="330" t="str">
        <f t="shared" ca="1" si="31"/>
        <v xml:space="preserve"> </v>
      </c>
      <c r="F168" s="332">
        <f t="shared" si="38"/>
        <v>24</v>
      </c>
      <c r="G168" s="1109">
        <f t="shared" ca="1" si="32"/>
        <v>0</v>
      </c>
      <c r="H168" s="1686">
        <f ca="1">IF(Avail_LDs_Switch=1,VLOOKUP('Plant Operations'!A168,RAC_AvailFactor_Table,RAC_LDs!$G$258),IF($A168&lt;Startops2,Tariff!$T$11,0))</f>
        <v>0</v>
      </c>
      <c r="I168" s="1559">
        <f ca="1">IF(OR($A168&lt;Startops1,$A168&gt;=Startops2),0,IF(AND($A168&gt;=DieselOps_2,$A168&lt;Startops2),VLOOKUP($A168,Diesel_Table,Tariff!$Y$41),VLOOKUP($A168,OA_Table,Tariff!$Y$26)))</f>
        <v>0</v>
      </c>
      <c r="J168" s="391" t="str">
        <f t="shared" ca="1" si="39"/>
        <v xml:space="preserve"> </v>
      </c>
      <c r="K168" s="1109">
        <f ca="1">IF(OR($A168&lt;Startops2,$A168&gt;=Endyr),0,VLOOKUP($A168,Capacity_Table,Tariff!$S$18))</f>
        <v>0.91</v>
      </c>
      <c r="L168" s="212">
        <f ca="1">IF(OR($A168&lt;Startops2,$A168&gt;=Endyr),0,VLOOKUP($A168,Capacity_Table,Tariff!$T$18))</f>
        <v>0.92</v>
      </c>
      <c r="M168" s="334">
        <f ca="1">IF($A168&lt;Startops2,0,IF($A168&lt;Startops3,VLOOKUP($A168,Convert_Table,Tariff!$Y$54),C168*D168*F168*K168*L168))</f>
        <v>289336.32000000001</v>
      </c>
      <c r="N168" s="391" t="str">
        <f t="shared" ca="1" si="40"/>
        <v xml:space="preserve"> </v>
      </c>
      <c r="O168" s="334">
        <f t="shared" ca="1" si="41"/>
        <v>7000</v>
      </c>
      <c r="P168" s="334">
        <f t="shared" ca="1" si="33"/>
        <v>2025354.24</v>
      </c>
      <c r="Q168" s="332" t="str">
        <f t="shared" ca="1" si="34"/>
        <v xml:space="preserve"> </v>
      </c>
      <c r="R168" s="334">
        <f ca="1">IF($A168&gt;Endyr,0,IF($A168&lt;Assm!$A$55,P168,Assm!$F$55*$D168))</f>
        <v>1769187.9452054794</v>
      </c>
      <c r="S168" s="391" t="str">
        <f t="shared" ca="1" si="35"/>
        <v xml:space="preserve"> </v>
      </c>
      <c r="T168" s="334">
        <f t="shared" ca="1" si="36"/>
        <v>2025354.24</v>
      </c>
      <c r="U168" s="682" t="str">
        <f t="shared" ca="1" si="37"/>
        <v xml:space="preserve"> </v>
      </c>
    </row>
    <row r="169" spans="1:21">
      <c r="A169" s="672">
        <f t="shared" ca="1" si="29"/>
        <v>41030</v>
      </c>
      <c r="C169" s="681">
        <f ca="1">IF($A169&gt;Endyr,0,VLOOKUP($A169,Capacity_Table,Tariff!$R$18))</f>
        <v>480</v>
      </c>
      <c r="D169" s="330">
        <f t="shared" ca="1" si="30"/>
        <v>31</v>
      </c>
      <c r="E169" s="330" t="str">
        <f t="shared" ca="1" si="31"/>
        <v xml:space="preserve"> </v>
      </c>
      <c r="F169" s="332">
        <f t="shared" si="38"/>
        <v>24</v>
      </c>
      <c r="G169" s="1109">
        <f t="shared" ca="1" si="32"/>
        <v>0</v>
      </c>
      <c r="H169" s="1686">
        <f ca="1">IF(Avail_LDs_Switch=1,VLOOKUP('Plant Operations'!A169,RAC_AvailFactor_Table,RAC_LDs!$G$258),IF($A169&lt;Startops2,Tariff!$T$11,0))</f>
        <v>0</v>
      </c>
      <c r="I169" s="1559">
        <f ca="1">IF(OR($A169&lt;Startops1,$A169&gt;=Startops2),0,IF(AND($A169&gt;=DieselOps_2,$A169&lt;Startops2),VLOOKUP($A169,Diesel_Table,Tariff!$Y$41),VLOOKUP($A169,OA_Table,Tariff!$Y$26)))</f>
        <v>0</v>
      </c>
      <c r="J169" s="391" t="str">
        <f t="shared" ca="1" si="39"/>
        <v xml:space="preserve"> </v>
      </c>
      <c r="K169" s="1109">
        <f ca="1">IF(OR($A169&lt;Startops2,$A169&gt;=Endyr),0,VLOOKUP($A169,Capacity_Table,Tariff!$S$18))</f>
        <v>0.91</v>
      </c>
      <c r="L169" s="212">
        <f ca="1">IF(OR($A169&lt;Startops2,$A169&gt;=Endyr),0,VLOOKUP($A169,Capacity_Table,Tariff!$T$18))</f>
        <v>0.92</v>
      </c>
      <c r="M169" s="334">
        <f ca="1">IF($A169&lt;Startops2,0,IF($A169&lt;Startops3,VLOOKUP($A169,Convert_Table,Tariff!$Y$54),C169*D169*F169*K169*L169))</f>
        <v>298980.864</v>
      </c>
      <c r="N169" s="391" t="str">
        <f t="shared" ca="1" si="40"/>
        <v xml:space="preserve"> </v>
      </c>
      <c r="O169" s="334">
        <f t="shared" ca="1" si="41"/>
        <v>7000</v>
      </c>
      <c r="P169" s="334">
        <f t="shared" ca="1" si="33"/>
        <v>2092866.048</v>
      </c>
      <c r="Q169" s="332" t="str">
        <f t="shared" ca="1" si="34"/>
        <v xml:space="preserve"> </v>
      </c>
      <c r="R169" s="334">
        <f ca="1">IF($A169&gt;Endyr,0,IF($A169&lt;Assm!$A$55,P169,Assm!$F$55*$D169))</f>
        <v>1828160.8767123288</v>
      </c>
      <c r="S169" s="391" t="str">
        <f t="shared" ca="1" si="35"/>
        <v xml:space="preserve"> </v>
      </c>
      <c r="T169" s="334">
        <f t="shared" ca="1" si="36"/>
        <v>2092866.048</v>
      </c>
      <c r="U169" s="682" t="str">
        <f t="shared" ca="1" si="37"/>
        <v xml:space="preserve"> </v>
      </c>
    </row>
    <row r="170" spans="1:21">
      <c r="A170" s="672">
        <f t="shared" ca="1" si="29"/>
        <v>41061</v>
      </c>
      <c r="C170" s="681">
        <f ca="1">IF($A170&gt;Endyr,0,VLOOKUP($A170,Capacity_Table,Tariff!$R$18))</f>
        <v>480</v>
      </c>
      <c r="D170" s="330">
        <f t="shared" ca="1" si="30"/>
        <v>30</v>
      </c>
      <c r="E170" s="330" t="str">
        <f t="shared" ca="1" si="31"/>
        <v xml:space="preserve"> </v>
      </c>
      <c r="F170" s="332">
        <f t="shared" si="38"/>
        <v>24</v>
      </c>
      <c r="G170" s="1109">
        <f t="shared" ca="1" si="32"/>
        <v>0</v>
      </c>
      <c r="H170" s="1686">
        <f ca="1">IF(Avail_LDs_Switch=1,VLOOKUP('Plant Operations'!A170,RAC_AvailFactor_Table,RAC_LDs!$G$258),IF($A170&lt;Startops2,Tariff!$T$11,0))</f>
        <v>0</v>
      </c>
      <c r="I170" s="1559">
        <f ca="1">IF(OR($A170&lt;Startops1,$A170&gt;=Startops2),0,IF(AND($A170&gt;=DieselOps_2,$A170&lt;Startops2),VLOOKUP($A170,Diesel_Table,Tariff!$Y$41),VLOOKUP($A170,OA_Table,Tariff!$Y$26)))</f>
        <v>0</v>
      </c>
      <c r="J170" s="391" t="str">
        <f t="shared" ca="1" si="39"/>
        <v xml:space="preserve"> </v>
      </c>
      <c r="K170" s="1109">
        <f ca="1">IF(OR($A170&lt;Startops2,$A170&gt;=Endyr),0,VLOOKUP($A170,Capacity_Table,Tariff!$S$18))</f>
        <v>0.91</v>
      </c>
      <c r="L170" s="212">
        <f ca="1">IF(OR($A170&lt;Startops2,$A170&gt;=Endyr),0,VLOOKUP($A170,Capacity_Table,Tariff!$T$18))</f>
        <v>0.92</v>
      </c>
      <c r="M170" s="334">
        <f ca="1">IF($A170&lt;Startops2,0,IF($A170&lt;Startops3,VLOOKUP($A170,Convert_Table,Tariff!$Y$54),C170*D170*F170*K170*L170))</f>
        <v>289336.32000000001</v>
      </c>
      <c r="N170" s="391" t="str">
        <f t="shared" ca="1" si="40"/>
        <v xml:space="preserve"> </v>
      </c>
      <c r="O170" s="334">
        <f t="shared" ca="1" si="41"/>
        <v>7000</v>
      </c>
      <c r="P170" s="334">
        <f t="shared" ca="1" si="33"/>
        <v>2025354.24</v>
      </c>
      <c r="Q170" s="332" t="str">
        <f t="shared" ca="1" si="34"/>
        <v xml:space="preserve"> </v>
      </c>
      <c r="R170" s="334">
        <f ca="1">IF($A170&gt;Endyr,0,IF($A170&lt;Assm!$A$55,P170,Assm!$F$55*$D170))</f>
        <v>1769187.9452054794</v>
      </c>
      <c r="S170" s="391" t="str">
        <f t="shared" ca="1" si="35"/>
        <v xml:space="preserve"> </v>
      </c>
      <c r="T170" s="334">
        <f t="shared" ca="1" si="36"/>
        <v>2025354.24</v>
      </c>
      <c r="U170" s="682" t="str">
        <f t="shared" ca="1" si="37"/>
        <v xml:space="preserve"> </v>
      </c>
    </row>
    <row r="171" spans="1:21">
      <c r="A171" s="672">
        <f t="shared" ca="1" si="29"/>
        <v>41091</v>
      </c>
      <c r="C171" s="681">
        <f ca="1">IF($A171&gt;Endyr,0,VLOOKUP($A171,Capacity_Table,Tariff!$R$18))</f>
        <v>480</v>
      </c>
      <c r="D171" s="330">
        <f t="shared" ca="1" si="30"/>
        <v>31</v>
      </c>
      <c r="E171" s="330" t="str">
        <f t="shared" ca="1" si="31"/>
        <v xml:space="preserve"> </v>
      </c>
      <c r="F171" s="332">
        <f t="shared" si="38"/>
        <v>24</v>
      </c>
      <c r="G171" s="1109">
        <f t="shared" ca="1" si="32"/>
        <v>0</v>
      </c>
      <c r="H171" s="1686">
        <f ca="1">IF(Avail_LDs_Switch=1,VLOOKUP('Plant Operations'!A171,RAC_AvailFactor_Table,RAC_LDs!$G$258),IF($A171&lt;Startops2,Tariff!$T$11,0))</f>
        <v>0</v>
      </c>
      <c r="I171" s="1559">
        <f ca="1">IF(OR($A171&lt;Startops1,$A171&gt;=Startops2),0,IF(AND($A171&gt;=DieselOps_2,$A171&lt;Startops2),VLOOKUP($A171,Diesel_Table,Tariff!$Y$41),VLOOKUP($A171,OA_Table,Tariff!$Y$26)))</f>
        <v>0</v>
      </c>
      <c r="J171" s="391" t="str">
        <f t="shared" ca="1" si="39"/>
        <v xml:space="preserve"> </v>
      </c>
      <c r="K171" s="1109">
        <f ca="1">IF(OR($A171&lt;Startops2,$A171&gt;=Endyr),0,VLOOKUP($A171,Capacity_Table,Tariff!$S$18))</f>
        <v>0.91</v>
      </c>
      <c r="L171" s="212">
        <f ca="1">IF(OR($A171&lt;Startops2,$A171&gt;=Endyr),0,VLOOKUP($A171,Capacity_Table,Tariff!$T$18))</f>
        <v>0.92</v>
      </c>
      <c r="M171" s="334">
        <f ca="1">IF($A171&lt;Startops2,0,IF($A171&lt;Startops3,VLOOKUP($A171,Convert_Table,Tariff!$Y$54),C171*D171*F171*K171*L171))</f>
        <v>298980.864</v>
      </c>
      <c r="N171" s="391" t="str">
        <f t="shared" ca="1" si="40"/>
        <v xml:space="preserve"> </v>
      </c>
      <c r="O171" s="334">
        <f t="shared" ca="1" si="41"/>
        <v>7000</v>
      </c>
      <c r="P171" s="334">
        <f t="shared" ca="1" si="33"/>
        <v>2092866.048</v>
      </c>
      <c r="Q171" s="332" t="str">
        <f t="shared" ca="1" si="34"/>
        <v xml:space="preserve"> </v>
      </c>
      <c r="R171" s="334">
        <f ca="1">IF($A171&gt;Endyr,0,IF($A171&lt;Assm!$A$55,P171,Assm!$F$55*$D171))</f>
        <v>1828160.8767123288</v>
      </c>
      <c r="S171" s="391" t="str">
        <f t="shared" ca="1" si="35"/>
        <v xml:space="preserve"> </v>
      </c>
      <c r="T171" s="334">
        <f t="shared" ca="1" si="36"/>
        <v>2092866.048</v>
      </c>
      <c r="U171" s="682" t="str">
        <f t="shared" ca="1" si="37"/>
        <v xml:space="preserve"> </v>
      </c>
    </row>
    <row r="172" spans="1:21">
      <c r="A172" s="672">
        <f t="shared" ca="1" si="29"/>
        <v>41122</v>
      </c>
      <c r="C172" s="681">
        <f ca="1">IF($A172&gt;Endyr,0,VLOOKUP($A172,Capacity_Table,Tariff!$R$18))</f>
        <v>480</v>
      </c>
      <c r="D172" s="330">
        <f t="shared" ca="1" si="30"/>
        <v>31</v>
      </c>
      <c r="E172" s="330" t="str">
        <f t="shared" ca="1" si="31"/>
        <v xml:space="preserve"> </v>
      </c>
      <c r="F172" s="332">
        <f t="shared" si="38"/>
        <v>24</v>
      </c>
      <c r="G172" s="1109">
        <f t="shared" ca="1" si="32"/>
        <v>0</v>
      </c>
      <c r="H172" s="1686">
        <f ca="1">IF(Avail_LDs_Switch=1,VLOOKUP('Plant Operations'!A172,RAC_AvailFactor_Table,RAC_LDs!$G$258),IF($A172&lt;Startops2,Tariff!$T$11,0))</f>
        <v>0</v>
      </c>
      <c r="I172" s="1559">
        <f ca="1">IF(OR($A172&lt;Startops1,$A172&gt;=Startops2),0,IF(AND($A172&gt;=DieselOps_2,$A172&lt;Startops2),VLOOKUP($A172,Diesel_Table,Tariff!$Y$41),VLOOKUP($A172,OA_Table,Tariff!$Y$26)))</f>
        <v>0</v>
      </c>
      <c r="J172" s="391" t="str">
        <f t="shared" ca="1" si="39"/>
        <v xml:space="preserve"> </v>
      </c>
      <c r="K172" s="1109">
        <f ca="1">IF(OR($A172&lt;Startops2,$A172&gt;=Endyr),0,VLOOKUP($A172,Capacity_Table,Tariff!$S$18))</f>
        <v>0.91</v>
      </c>
      <c r="L172" s="212">
        <f ca="1">IF(OR($A172&lt;Startops2,$A172&gt;=Endyr),0,VLOOKUP($A172,Capacity_Table,Tariff!$T$18))</f>
        <v>0.92</v>
      </c>
      <c r="M172" s="334">
        <f ca="1">IF($A172&lt;Startops2,0,IF($A172&lt;Startops3,VLOOKUP($A172,Convert_Table,Tariff!$Y$54),C172*D172*F172*K172*L172))</f>
        <v>298980.864</v>
      </c>
      <c r="N172" s="391" t="str">
        <f t="shared" ca="1" si="40"/>
        <v xml:space="preserve"> </v>
      </c>
      <c r="O172" s="334">
        <f t="shared" ca="1" si="41"/>
        <v>7000</v>
      </c>
      <c r="P172" s="334">
        <f t="shared" ca="1" si="33"/>
        <v>2092866.048</v>
      </c>
      <c r="Q172" s="332" t="str">
        <f t="shared" ca="1" si="34"/>
        <v xml:space="preserve"> </v>
      </c>
      <c r="R172" s="334">
        <f ca="1">IF($A172&gt;Endyr,0,IF($A172&lt;Assm!$A$55,P172,Assm!$F$55*$D172))</f>
        <v>1828160.8767123288</v>
      </c>
      <c r="S172" s="391" t="str">
        <f t="shared" ca="1" si="35"/>
        <v xml:space="preserve"> </v>
      </c>
      <c r="T172" s="334">
        <f t="shared" ca="1" si="36"/>
        <v>2092866.048</v>
      </c>
      <c r="U172" s="682" t="str">
        <f t="shared" ca="1" si="37"/>
        <v xml:space="preserve"> </v>
      </c>
    </row>
    <row r="173" spans="1:21">
      <c r="A173" s="672">
        <f t="shared" ca="1" si="29"/>
        <v>41153</v>
      </c>
      <c r="C173" s="681">
        <f ca="1">IF($A173&gt;Endyr,0,VLOOKUP($A173,Capacity_Table,Tariff!$R$18))</f>
        <v>480</v>
      </c>
      <c r="D173" s="330">
        <f t="shared" ca="1" si="30"/>
        <v>30</v>
      </c>
      <c r="E173" s="330" t="str">
        <f t="shared" ca="1" si="31"/>
        <v xml:space="preserve"> </v>
      </c>
      <c r="F173" s="332">
        <f t="shared" si="38"/>
        <v>24</v>
      </c>
      <c r="G173" s="1109">
        <f t="shared" ca="1" si="32"/>
        <v>0</v>
      </c>
      <c r="H173" s="1686">
        <f ca="1">IF(Avail_LDs_Switch=1,VLOOKUP('Plant Operations'!A173,RAC_AvailFactor_Table,RAC_LDs!$G$258),IF($A173&lt;Startops2,Tariff!$T$11,0))</f>
        <v>0</v>
      </c>
      <c r="I173" s="1559">
        <f ca="1">IF(OR($A173&lt;Startops1,$A173&gt;=Startops2),0,IF(AND($A173&gt;=DieselOps_2,$A173&lt;Startops2),VLOOKUP($A173,Diesel_Table,Tariff!$Y$41),VLOOKUP($A173,OA_Table,Tariff!$Y$26)))</f>
        <v>0</v>
      </c>
      <c r="J173" s="391" t="str">
        <f t="shared" ca="1" si="39"/>
        <v xml:space="preserve"> </v>
      </c>
      <c r="K173" s="1109">
        <f ca="1">IF(OR($A173&lt;Startops2,$A173&gt;=Endyr),0,VLOOKUP($A173,Capacity_Table,Tariff!$S$18))</f>
        <v>0.91</v>
      </c>
      <c r="L173" s="212">
        <f ca="1">IF(OR($A173&lt;Startops2,$A173&gt;=Endyr),0,VLOOKUP($A173,Capacity_Table,Tariff!$T$18))</f>
        <v>0.92</v>
      </c>
      <c r="M173" s="334">
        <f ca="1">IF($A173&lt;Startops2,0,IF($A173&lt;Startops3,VLOOKUP($A173,Convert_Table,Tariff!$Y$54),C173*D173*F173*K173*L173))</f>
        <v>289336.32000000001</v>
      </c>
      <c r="N173" s="391" t="str">
        <f t="shared" ca="1" si="40"/>
        <v xml:space="preserve"> </v>
      </c>
      <c r="O173" s="334">
        <f t="shared" ca="1" si="41"/>
        <v>7000</v>
      </c>
      <c r="P173" s="334">
        <f t="shared" ca="1" si="33"/>
        <v>2025354.24</v>
      </c>
      <c r="Q173" s="332" t="str">
        <f t="shared" ca="1" si="34"/>
        <v xml:space="preserve"> </v>
      </c>
      <c r="R173" s="334">
        <f ca="1">IF($A173&gt;Endyr,0,IF($A173&lt;Assm!$A$55,P173,Assm!$F$55*$D173))</f>
        <v>1769187.9452054794</v>
      </c>
      <c r="S173" s="391" t="str">
        <f t="shared" ca="1" si="35"/>
        <v xml:space="preserve"> </v>
      </c>
      <c r="T173" s="334">
        <f t="shared" ca="1" si="36"/>
        <v>2025354.24</v>
      </c>
      <c r="U173" s="682" t="str">
        <f t="shared" ca="1" si="37"/>
        <v xml:space="preserve"> </v>
      </c>
    </row>
    <row r="174" spans="1:21">
      <c r="A174" s="672">
        <f t="shared" ca="1" si="29"/>
        <v>41183</v>
      </c>
      <c r="C174" s="681">
        <f ca="1">IF($A174&gt;Endyr,0,VLOOKUP($A174,Capacity_Table,Tariff!$R$18))</f>
        <v>480</v>
      </c>
      <c r="D174" s="330">
        <f t="shared" ca="1" si="30"/>
        <v>31</v>
      </c>
      <c r="E174" s="330" t="str">
        <f t="shared" ca="1" si="31"/>
        <v xml:space="preserve"> </v>
      </c>
      <c r="F174" s="332">
        <f t="shared" si="38"/>
        <v>24</v>
      </c>
      <c r="G174" s="1109">
        <f t="shared" ca="1" si="32"/>
        <v>0</v>
      </c>
      <c r="H174" s="1686">
        <f ca="1">IF(Avail_LDs_Switch=1,VLOOKUP('Plant Operations'!A174,RAC_AvailFactor_Table,RAC_LDs!$G$258),IF($A174&lt;Startops2,Tariff!$T$11,0))</f>
        <v>0</v>
      </c>
      <c r="I174" s="1559">
        <f ca="1">IF(OR($A174&lt;Startops1,$A174&gt;=Startops2),0,IF(AND($A174&gt;=DieselOps_2,$A174&lt;Startops2),VLOOKUP($A174,Diesel_Table,Tariff!$Y$41),VLOOKUP($A174,OA_Table,Tariff!$Y$26)))</f>
        <v>0</v>
      </c>
      <c r="J174" s="391" t="str">
        <f t="shared" ca="1" si="39"/>
        <v xml:space="preserve"> </v>
      </c>
      <c r="K174" s="1109">
        <f ca="1">IF(OR($A174&lt;Startops2,$A174&gt;=Endyr),0,VLOOKUP($A174,Capacity_Table,Tariff!$S$18))</f>
        <v>0.91</v>
      </c>
      <c r="L174" s="212">
        <f ca="1">IF(OR($A174&lt;Startops2,$A174&gt;=Endyr),0,VLOOKUP($A174,Capacity_Table,Tariff!$T$18))</f>
        <v>0.92</v>
      </c>
      <c r="M174" s="334">
        <f ca="1">IF($A174&lt;Startops2,0,IF($A174&lt;Startops3,VLOOKUP($A174,Convert_Table,Tariff!$Y$54),C174*D174*F174*K174*L174))</f>
        <v>298980.864</v>
      </c>
      <c r="N174" s="391" t="str">
        <f t="shared" ca="1" si="40"/>
        <v xml:space="preserve"> </v>
      </c>
      <c r="O174" s="334">
        <f t="shared" ca="1" si="41"/>
        <v>7000</v>
      </c>
      <c r="P174" s="334">
        <f t="shared" ca="1" si="33"/>
        <v>2092866.048</v>
      </c>
      <c r="Q174" s="332" t="str">
        <f t="shared" ca="1" si="34"/>
        <v xml:space="preserve"> </v>
      </c>
      <c r="R174" s="334">
        <f ca="1">IF($A174&gt;Endyr,0,IF($A174&lt;Assm!$A$55,P174,Assm!$F$55*$D174))</f>
        <v>1828160.8767123288</v>
      </c>
      <c r="S174" s="391" t="str">
        <f t="shared" ca="1" si="35"/>
        <v xml:space="preserve"> </v>
      </c>
      <c r="T174" s="334">
        <f t="shared" ca="1" si="36"/>
        <v>2092866.048</v>
      </c>
      <c r="U174" s="682" t="str">
        <f t="shared" ca="1" si="37"/>
        <v xml:space="preserve"> </v>
      </c>
    </row>
    <row r="175" spans="1:21">
      <c r="A175" s="672">
        <f t="shared" ca="1" si="29"/>
        <v>41214</v>
      </c>
      <c r="C175" s="681">
        <f ca="1">IF($A175&gt;Endyr,0,VLOOKUP($A175,Capacity_Table,Tariff!$R$18))</f>
        <v>480</v>
      </c>
      <c r="D175" s="330">
        <f t="shared" ca="1" si="30"/>
        <v>30</v>
      </c>
      <c r="E175" s="330" t="str">
        <f t="shared" ca="1" si="31"/>
        <v xml:space="preserve"> </v>
      </c>
      <c r="F175" s="332">
        <f t="shared" si="38"/>
        <v>24</v>
      </c>
      <c r="G175" s="1109">
        <f t="shared" ca="1" si="32"/>
        <v>0</v>
      </c>
      <c r="H175" s="1686">
        <f ca="1">IF(Avail_LDs_Switch=1,VLOOKUP('Plant Operations'!A175,RAC_AvailFactor_Table,RAC_LDs!$G$258),IF($A175&lt;Startops2,Tariff!$T$11,0))</f>
        <v>0</v>
      </c>
      <c r="I175" s="1559">
        <f ca="1">IF(OR($A175&lt;Startops1,$A175&gt;=Startops2),0,IF(AND($A175&gt;=DieselOps_2,$A175&lt;Startops2),VLOOKUP($A175,Diesel_Table,Tariff!$Y$41),VLOOKUP($A175,OA_Table,Tariff!$Y$26)))</f>
        <v>0</v>
      </c>
      <c r="J175" s="391" t="str">
        <f t="shared" ca="1" si="39"/>
        <v xml:space="preserve"> </v>
      </c>
      <c r="K175" s="1109">
        <f ca="1">IF(OR($A175&lt;Startops2,$A175&gt;=Endyr),0,VLOOKUP($A175,Capacity_Table,Tariff!$S$18))</f>
        <v>0.91</v>
      </c>
      <c r="L175" s="212">
        <f ca="1">IF(OR($A175&lt;Startops2,$A175&gt;=Endyr),0,VLOOKUP($A175,Capacity_Table,Tariff!$T$18))</f>
        <v>0.92</v>
      </c>
      <c r="M175" s="334">
        <f ca="1">IF($A175&lt;Startops2,0,IF($A175&lt;Startops3,VLOOKUP($A175,Convert_Table,Tariff!$Y$54),C175*D175*F175*K175*L175))</f>
        <v>289336.32000000001</v>
      </c>
      <c r="N175" s="391" t="str">
        <f t="shared" ca="1" si="40"/>
        <v xml:space="preserve"> </v>
      </c>
      <c r="O175" s="334">
        <f t="shared" ca="1" si="41"/>
        <v>7000</v>
      </c>
      <c r="P175" s="334">
        <f t="shared" ca="1" si="33"/>
        <v>2025354.24</v>
      </c>
      <c r="Q175" s="332" t="str">
        <f t="shared" ca="1" si="34"/>
        <v xml:space="preserve"> </v>
      </c>
      <c r="R175" s="334">
        <f ca="1">IF($A175&gt;Endyr,0,IF($A175&lt;Assm!$A$55,P175,Assm!$F$55*$D175))</f>
        <v>1769187.9452054794</v>
      </c>
      <c r="S175" s="391" t="str">
        <f t="shared" ca="1" si="35"/>
        <v xml:space="preserve"> </v>
      </c>
      <c r="T175" s="334">
        <f t="shared" ca="1" si="36"/>
        <v>2025354.24</v>
      </c>
      <c r="U175" s="682" t="str">
        <f t="shared" ca="1" si="37"/>
        <v xml:space="preserve"> </v>
      </c>
    </row>
    <row r="176" spans="1:21">
      <c r="A176" s="672">
        <f t="shared" ca="1" si="29"/>
        <v>41244</v>
      </c>
      <c r="C176" s="681">
        <f ca="1">IF($A176&gt;Endyr,0,VLOOKUP($A176,Capacity_Table,Tariff!$R$18))</f>
        <v>480</v>
      </c>
      <c r="D176" s="330">
        <f t="shared" ca="1" si="30"/>
        <v>31</v>
      </c>
      <c r="E176" s="330">
        <f t="shared" ca="1" si="31"/>
        <v>366</v>
      </c>
      <c r="F176" s="332">
        <f t="shared" si="38"/>
        <v>24</v>
      </c>
      <c r="G176" s="1109">
        <f t="shared" ca="1" si="32"/>
        <v>0</v>
      </c>
      <c r="H176" s="1686">
        <f ca="1">IF(Avail_LDs_Switch=1,VLOOKUP('Plant Operations'!A176,RAC_AvailFactor_Table,RAC_LDs!$G$258),IF($A176&lt;Startops2,Tariff!$T$11,0))</f>
        <v>0</v>
      </c>
      <c r="I176" s="1559">
        <f ca="1">IF(OR($A176&lt;Startops1,$A176&gt;=Startops2),0,IF(AND($A176&gt;=DieselOps_2,$A176&lt;Startops2),VLOOKUP($A176,Diesel_Table,Tariff!$Y$41),VLOOKUP($A176,OA_Table,Tariff!$Y$26)))</f>
        <v>0</v>
      </c>
      <c r="J176" s="391">
        <f t="shared" ca="1" si="39"/>
        <v>0</v>
      </c>
      <c r="K176" s="1109">
        <f ca="1">IF(OR($A176&lt;Startops2,$A176&gt;=Endyr),0,VLOOKUP($A176,Capacity_Table,Tariff!$S$18))</f>
        <v>0.91</v>
      </c>
      <c r="L176" s="212">
        <f ca="1">IF(OR($A176&lt;Startops2,$A176&gt;=Endyr),0,VLOOKUP($A176,Capacity_Table,Tariff!$T$18))</f>
        <v>0.92</v>
      </c>
      <c r="M176" s="334">
        <f ca="1">IF($A176&lt;Startops2,0,IF($A176&lt;Startops3,VLOOKUP($A176,Convert_Table,Tariff!$Y$54),C176*D176*F176*K176*L176))</f>
        <v>298980.864</v>
      </c>
      <c r="N176" s="391">
        <f t="shared" ca="1" si="40"/>
        <v>3529903.1039999998</v>
      </c>
      <c r="O176" s="334">
        <f t="shared" ca="1" si="41"/>
        <v>7000</v>
      </c>
      <c r="P176" s="334">
        <f t="shared" ca="1" si="33"/>
        <v>2092866.048</v>
      </c>
      <c r="Q176" s="332">
        <f t="shared" ca="1" si="34"/>
        <v>24709321.728</v>
      </c>
      <c r="R176" s="334">
        <f ca="1">IF($A176&gt;Endyr,0,IF($A176&lt;Assm!$A$55,P176,Assm!$F$55*$D176))</f>
        <v>1828160.8767123288</v>
      </c>
      <c r="S176" s="391">
        <f t="shared" ca="1" si="35"/>
        <v>21584092.931506854</v>
      </c>
      <c r="T176" s="334">
        <f t="shared" ca="1" si="36"/>
        <v>2092866.048</v>
      </c>
      <c r="U176" s="682">
        <f t="shared" ca="1" si="37"/>
        <v>24709321.728</v>
      </c>
    </row>
    <row r="177" spans="1:21">
      <c r="A177" s="672">
        <f t="shared" ca="1" si="29"/>
        <v>41275</v>
      </c>
      <c r="C177" s="681">
        <f ca="1">IF($A177&gt;Endyr,0,VLOOKUP($A177,Capacity_Table,Tariff!$R$18))</f>
        <v>480</v>
      </c>
      <c r="D177" s="330">
        <f t="shared" ca="1" si="30"/>
        <v>31</v>
      </c>
      <c r="E177" s="330" t="str">
        <f t="shared" ca="1" si="31"/>
        <v xml:space="preserve"> </v>
      </c>
      <c r="F177" s="332">
        <f t="shared" si="38"/>
        <v>24</v>
      </c>
      <c r="G177" s="1109">
        <f t="shared" ca="1" si="32"/>
        <v>0</v>
      </c>
      <c r="H177" s="1686">
        <f ca="1">IF(Avail_LDs_Switch=1,VLOOKUP('Plant Operations'!A177,RAC_AvailFactor_Table,RAC_LDs!$G$258),IF($A177&lt;Startops2,Tariff!$T$11,0))</f>
        <v>0</v>
      </c>
      <c r="I177" s="1559">
        <f ca="1">IF(OR($A177&lt;Startops1,$A177&gt;=Startops2),0,IF(AND($A177&gt;=DieselOps_2,$A177&lt;Startops2),VLOOKUP($A177,Diesel_Table,Tariff!$Y$41),VLOOKUP($A177,OA_Table,Tariff!$Y$26)))</f>
        <v>0</v>
      </c>
      <c r="J177" s="391" t="str">
        <f t="shared" ca="1" si="39"/>
        <v xml:space="preserve"> </v>
      </c>
      <c r="K177" s="1109">
        <f ca="1">IF(OR($A177&lt;Startops2,$A177&gt;=Endyr),0,VLOOKUP($A177,Capacity_Table,Tariff!$S$18))</f>
        <v>0.91</v>
      </c>
      <c r="L177" s="212">
        <f ca="1">IF(OR($A177&lt;Startops2,$A177&gt;=Endyr),0,VLOOKUP($A177,Capacity_Table,Tariff!$T$18))</f>
        <v>0.92</v>
      </c>
      <c r="M177" s="334">
        <f ca="1">IF($A177&lt;Startops2,0,IF($A177&lt;Startops3,VLOOKUP($A177,Convert_Table,Tariff!$Y$54),C177*D177*F177*K177*L177))</f>
        <v>298980.864</v>
      </c>
      <c r="N177" s="391" t="str">
        <f t="shared" ca="1" si="40"/>
        <v xml:space="preserve"> </v>
      </c>
      <c r="O177" s="334">
        <f t="shared" ca="1" si="41"/>
        <v>7000</v>
      </c>
      <c r="P177" s="334">
        <f t="shared" ca="1" si="33"/>
        <v>2092866.048</v>
      </c>
      <c r="Q177" s="332" t="str">
        <f t="shared" ca="1" si="34"/>
        <v xml:space="preserve"> </v>
      </c>
      <c r="R177" s="334">
        <f ca="1">IF($A177&gt;Endyr,0,IF($A177&lt;Assm!$A$55,P177,Assm!$F$55*$D177))</f>
        <v>1828160.8767123288</v>
      </c>
      <c r="S177" s="391" t="str">
        <f t="shared" ca="1" si="35"/>
        <v xml:space="preserve"> </v>
      </c>
      <c r="T177" s="334">
        <f t="shared" ca="1" si="36"/>
        <v>2092866.048</v>
      </c>
      <c r="U177" s="682" t="str">
        <f t="shared" ca="1" si="37"/>
        <v xml:space="preserve"> </v>
      </c>
    </row>
    <row r="178" spans="1:21">
      <c r="A178" s="672">
        <f t="shared" ca="1" si="29"/>
        <v>41306</v>
      </c>
      <c r="C178" s="681">
        <f ca="1">IF($A178&gt;Endyr,0,VLOOKUP($A178,Capacity_Table,Tariff!$R$18))</f>
        <v>480</v>
      </c>
      <c r="D178" s="330">
        <f t="shared" ca="1" si="30"/>
        <v>28</v>
      </c>
      <c r="E178" s="330" t="str">
        <f t="shared" ca="1" si="31"/>
        <v xml:space="preserve"> </v>
      </c>
      <c r="F178" s="332">
        <f t="shared" si="38"/>
        <v>24</v>
      </c>
      <c r="G178" s="1109">
        <f t="shared" ca="1" si="32"/>
        <v>0</v>
      </c>
      <c r="H178" s="1686">
        <f ca="1">IF(Avail_LDs_Switch=1,VLOOKUP('Plant Operations'!A178,RAC_AvailFactor_Table,RAC_LDs!$G$258),IF($A178&lt;Startops2,Tariff!$T$11,0))</f>
        <v>0</v>
      </c>
      <c r="I178" s="1559">
        <f ca="1">IF(OR($A178&lt;Startops1,$A178&gt;=Startops2),0,IF(AND($A178&gt;=DieselOps_2,$A178&lt;Startops2),VLOOKUP($A178,Diesel_Table,Tariff!$Y$41),VLOOKUP($A178,OA_Table,Tariff!$Y$26)))</f>
        <v>0</v>
      </c>
      <c r="J178" s="391" t="str">
        <f t="shared" ca="1" si="39"/>
        <v xml:space="preserve"> </v>
      </c>
      <c r="K178" s="1109">
        <f ca="1">IF(OR($A178&lt;Startops2,$A178&gt;=Endyr),0,VLOOKUP($A178,Capacity_Table,Tariff!$S$18))</f>
        <v>0.91</v>
      </c>
      <c r="L178" s="212">
        <f ca="1">IF(OR($A178&lt;Startops2,$A178&gt;=Endyr),0,VLOOKUP($A178,Capacity_Table,Tariff!$T$18))</f>
        <v>0.92</v>
      </c>
      <c r="M178" s="334">
        <f ca="1">IF($A178&lt;Startops2,0,IF($A178&lt;Startops3,VLOOKUP($A178,Convert_Table,Tariff!$Y$54),C178*D178*F178*K178*L178))</f>
        <v>270047.23200000002</v>
      </c>
      <c r="N178" s="391" t="str">
        <f t="shared" ca="1" si="40"/>
        <v xml:space="preserve"> </v>
      </c>
      <c r="O178" s="334">
        <f t="shared" ca="1" si="41"/>
        <v>7000</v>
      </c>
      <c r="P178" s="334">
        <f t="shared" ca="1" si="33"/>
        <v>1890330.6240000003</v>
      </c>
      <c r="Q178" s="332" t="str">
        <f t="shared" ca="1" si="34"/>
        <v xml:space="preserve"> </v>
      </c>
      <c r="R178" s="334">
        <f ca="1">IF($A178&gt;Endyr,0,IF($A178&lt;Assm!$A$55,P178,Assm!$F$55*$D178))</f>
        <v>1651242.0821917809</v>
      </c>
      <c r="S178" s="391" t="str">
        <f t="shared" ca="1" si="35"/>
        <v xml:space="preserve"> </v>
      </c>
      <c r="T178" s="334">
        <f t="shared" ca="1" si="36"/>
        <v>1890330.6240000003</v>
      </c>
      <c r="U178" s="682" t="str">
        <f t="shared" ca="1" si="37"/>
        <v xml:space="preserve"> </v>
      </c>
    </row>
    <row r="179" spans="1:21">
      <c r="A179" s="672">
        <f t="shared" ca="1" si="29"/>
        <v>41334</v>
      </c>
      <c r="C179" s="681">
        <f ca="1">IF($A179&gt;Endyr,0,VLOOKUP($A179,Capacity_Table,Tariff!$R$18))</f>
        <v>480</v>
      </c>
      <c r="D179" s="330">
        <f t="shared" ca="1" si="30"/>
        <v>31</v>
      </c>
      <c r="E179" s="330" t="str">
        <f t="shared" ca="1" si="31"/>
        <v xml:space="preserve"> </v>
      </c>
      <c r="F179" s="332">
        <f t="shared" si="38"/>
        <v>24</v>
      </c>
      <c r="G179" s="1109">
        <f t="shared" ca="1" si="32"/>
        <v>0</v>
      </c>
      <c r="H179" s="1686">
        <f ca="1">IF(Avail_LDs_Switch=1,VLOOKUP('Plant Operations'!A179,RAC_AvailFactor_Table,RAC_LDs!$G$258),IF($A179&lt;Startops2,Tariff!$T$11,0))</f>
        <v>0</v>
      </c>
      <c r="I179" s="1559">
        <f ca="1">IF(OR($A179&lt;Startops1,$A179&gt;=Startops2),0,IF(AND($A179&gt;=DieselOps_2,$A179&lt;Startops2),VLOOKUP($A179,Diesel_Table,Tariff!$Y$41),VLOOKUP($A179,OA_Table,Tariff!$Y$26)))</f>
        <v>0</v>
      </c>
      <c r="J179" s="391" t="str">
        <f t="shared" ca="1" si="39"/>
        <v xml:space="preserve"> </v>
      </c>
      <c r="K179" s="1109">
        <f ca="1">IF(OR($A179&lt;Startops2,$A179&gt;=Endyr),0,VLOOKUP($A179,Capacity_Table,Tariff!$S$18))</f>
        <v>0.91</v>
      </c>
      <c r="L179" s="212">
        <f ca="1">IF(OR($A179&lt;Startops2,$A179&gt;=Endyr),0,VLOOKUP($A179,Capacity_Table,Tariff!$T$18))</f>
        <v>0.92</v>
      </c>
      <c r="M179" s="334">
        <f ca="1">IF($A179&lt;Startops2,0,IF($A179&lt;Startops3,VLOOKUP($A179,Convert_Table,Tariff!$Y$54),C179*D179*F179*K179*L179))</f>
        <v>298980.864</v>
      </c>
      <c r="N179" s="391" t="str">
        <f t="shared" ca="1" si="40"/>
        <v xml:space="preserve"> </v>
      </c>
      <c r="O179" s="334">
        <f t="shared" ca="1" si="41"/>
        <v>7000</v>
      </c>
      <c r="P179" s="334">
        <f t="shared" ca="1" si="33"/>
        <v>2092866.048</v>
      </c>
      <c r="Q179" s="332" t="str">
        <f t="shared" ca="1" si="34"/>
        <v xml:space="preserve"> </v>
      </c>
      <c r="R179" s="334">
        <f ca="1">IF($A179&gt;Endyr,0,IF($A179&lt;Assm!$A$55,P179,Assm!$F$55*$D179))</f>
        <v>1828160.8767123288</v>
      </c>
      <c r="S179" s="391" t="str">
        <f t="shared" ca="1" si="35"/>
        <v xml:space="preserve"> </v>
      </c>
      <c r="T179" s="334">
        <f t="shared" ca="1" si="36"/>
        <v>2092866.048</v>
      </c>
      <c r="U179" s="682" t="str">
        <f t="shared" ca="1" si="37"/>
        <v xml:space="preserve"> </v>
      </c>
    </row>
    <row r="180" spans="1:21">
      <c r="A180" s="672">
        <f t="shared" ca="1" si="29"/>
        <v>41365</v>
      </c>
      <c r="C180" s="681">
        <f ca="1">IF($A180&gt;Endyr,0,VLOOKUP($A180,Capacity_Table,Tariff!$R$18))</f>
        <v>480</v>
      </c>
      <c r="D180" s="330">
        <f t="shared" ca="1" si="30"/>
        <v>30</v>
      </c>
      <c r="E180" s="330" t="str">
        <f t="shared" ca="1" si="31"/>
        <v xml:space="preserve"> </v>
      </c>
      <c r="F180" s="332">
        <f t="shared" si="38"/>
        <v>24</v>
      </c>
      <c r="G180" s="1109">
        <f t="shared" ca="1" si="32"/>
        <v>0</v>
      </c>
      <c r="H180" s="1686">
        <f ca="1">IF(Avail_LDs_Switch=1,VLOOKUP('Plant Operations'!A180,RAC_AvailFactor_Table,RAC_LDs!$G$258),IF($A180&lt;Startops2,Tariff!$T$11,0))</f>
        <v>0</v>
      </c>
      <c r="I180" s="1559">
        <f ca="1">IF(OR($A180&lt;Startops1,$A180&gt;=Startops2),0,IF(AND($A180&gt;=DieselOps_2,$A180&lt;Startops2),VLOOKUP($A180,Diesel_Table,Tariff!$Y$41),VLOOKUP($A180,OA_Table,Tariff!$Y$26)))</f>
        <v>0</v>
      </c>
      <c r="J180" s="391" t="str">
        <f t="shared" ca="1" si="39"/>
        <v xml:space="preserve"> </v>
      </c>
      <c r="K180" s="1109">
        <f ca="1">IF(OR($A180&lt;Startops2,$A180&gt;=Endyr),0,VLOOKUP($A180,Capacity_Table,Tariff!$S$18))</f>
        <v>0.91</v>
      </c>
      <c r="L180" s="212">
        <f ca="1">IF(OR($A180&lt;Startops2,$A180&gt;=Endyr),0,VLOOKUP($A180,Capacity_Table,Tariff!$T$18))</f>
        <v>0.92</v>
      </c>
      <c r="M180" s="334">
        <f ca="1">IF($A180&lt;Startops2,0,IF($A180&lt;Startops3,VLOOKUP($A180,Convert_Table,Tariff!$Y$54),C180*D180*F180*K180*L180))</f>
        <v>289336.32000000001</v>
      </c>
      <c r="N180" s="391" t="str">
        <f t="shared" ca="1" si="40"/>
        <v xml:space="preserve"> </v>
      </c>
      <c r="O180" s="334">
        <f t="shared" ca="1" si="41"/>
        <v>7000</v>
      </c>
      <c r="P180" s="334">
        <f t="shared" ca="1" si="33"/>
        <v>2025354.24</v>
      </c>
      <c r="Q180" s="332" t="str">
        <f t="shared" ca="1" si="34"/>
        <v xml:space="preserve"> </v>
      </c>
      <c r="R180" s="334">
        <f ca="1">IF($A180&gt;Endyr,0,IF($A180&lt;Assm!$A$55,P180,Assm!$F$55*$D180))</f>
        <v>1769187.9452054794</v>
      </c>
      <c r="S180" s="391" t="str">
        <f t="shared" ca="1" si="35"/>
        <v xml:space="preserve"> </v>
      </c>
      <c r="T180" s="334">
        <f t="shared" ca="1" si="36"/>
        <v>2025354.24</v>
      </c>
      <c r="U180" s="682" t="str">
        <f t="shared" ca="1" si="37"/>
        <v xml:space="preserve"> </v>
      </c>
    </row>
    <row r="181" spans="1:21">
      <c r="A181" s="672">
        <f t="shared" ca="1" si="29"/>
        <v>41395</v>
      </c>
      <c r="C181" s="681">
        <f ca="1">IF($A181&gt;Endyr,0,VLOOKUP($A181,Capacity_Table,Tariff!$R$18))</f>
        <v>480</v>
      </c>
      <c r="D181" s="330">
        <f t="shared" ca="1" si="30"/>
        <v>31</v>
      </c>
      <c r="E181" s="330" t="str">
        <f t="shared" ca="1" si="31"/>
        <v xml:space="preserve"> </v>
      </c>
      <c r="F181" s="332">
        <f t="shared" si="38"/>
        <v>24</v>
      </c>
      <c r="G181" s="1109">
        <f t="shared" ca="1" si="32"/>
        <v>0</v>
      </c>
      <c r="H181" s="1686">
        <f ca="1">IF(Avail_LDs_Switch=1,VLOOKUP('Plant Operations'!A181,RAC_AvailFactor_Table,RAC_LDs!$G$258),IF($A181&lt;Startops2,Tariff!$T$11,0))</f>
        <v>0</v>
      </c>
      <c r="I181" s="1559">
        <f ca="1">IF(OR($A181&lt;Startops1,$A181&gt;=Startops2),0,IF(AND($A181&gt;=DieselOps_2,$A181&lt;Startops2),VLOOKUP($A181,Diesel_Table,Tariff!$Y$41),VLOOKUP($A181,OA_Table,Tariff!$Y$26)))</f>
        <v>0</v>
      </c>
      <c r="J181" s="391" t="str">
        <f t="shared" ca="1" si="39"/>
        <v xml:space="preserve"> </v>
      </c>
      <c r="K181" s="1109">
        <f ca="1">IF(OR($A181&lt;Startops2,$A181&gt;=Endyr),0,VLOOKUP($A181,Capacity_Table,Tariff!$S$18))</f>
        <v>0.91</v>
      </c>
      <c r="L181" s="212">
        <f ca="1">IF(OR($A181&lt;Startops2,$A181&gt;=Endyr),0,VLOOKUP($A181,Capacity_Table,Tariff!$T$18))</f>
        <v>0.92</v>
      </c>
      <c r="M181" s="334">
        <f ca="1">IF($A181&lt;Startops2,0,IF($A181&lt;Startops3,VLOOKUP($A181,Convert_Table,Tariff!$Y$54),C181*D181*F181*K181*L181))</f>
        <v>298980.864</v>
      </c>
      <c r="N181" s="391" t="str">
        <f t="shared" ca="1" si="40"/>
        <v xml:space="preserve"> </v>
      </c>
      <c r="O181" s="334">
        <f t="shared" ca="1" si="41"/>
        <v>7000</v>
      </c>
      <c r="P181" s="334">
        <f t="shared" ca="1" si="33"/>
        <v>2092866.048</v>
      </c>
      <c r="Q181" s="332" t="str">
        <f t="shared" ca="1" si="34"/>
        <v xml:space="preserve"> </v>
      </c>
      <c r="R181" s="334">
        <f ca="1">IF($A181&gt;Endyr,0,IF($A181&lt;Assm!$A$55,P181,Assm!$F$55*$D181))</f>
        <v>1828160.8767123288</v>
      </c>
      <c r="S181" s="391" t="str">
        <f t="shared" ca="1" si="35"/>
        <v xml:space="preserve"> </v>
      </c>
      <c r="T181" s="334">
        <f t="shared" ca="1" si="36"/>
        <v>2092866.048</v>
      </c>
      <c r="U181" s="682" t="str">
        <f t="shared" ca="1" si="37"/>
        <v xml:space="preserve"> </v>
      </c>
    </row>
    <row r="182" spans="1:21">
      <c r="A182" s="672">
        <f t="shared" ca="1" si="29"/>
        <v>41426</v>
      </c>
      <c r="C182" s="681">
        <f ca="1">IF($A182&gt;Endyr,0,VLOOKUP($A182,Capacity_Table,Tariff!$R$18))</f>
        <v>480</v>
      </c>
      <c r="D182" s="330">
        <f t="shared" ca="1" si="30"/>
        <v>30</v>
      </c>
      <c r="E182" s="330" t="str">
        <f t="shared" ca="1" si="31"/>
        <v xml:space="preserve"> </v>
      </c>
      <c r="F182" s="332">
        <f t="shared" si="38"/>
        <v>24</v>
      </c>
      <c r="G182" s="1109">
        <f t="shared" ca="1" si="32"/>
        <v>0</v>
      </c>
      <c r="H182" s="1686">
        <f ca="1">IF(Avail_LDs_Switch=1,VLOOKUP('Plant Operations'!A182,RAC_AvailFactor_Table,RAC_LDs!$G$258),IF($A182&lt;Startops2,Tariff!$T$11,0))</f>
        <v>0</v>
      </c>
      <c r="I182" s="1559">
        <f ca="1">IF(OR($A182&lt;Startops1,$A182&gt;=Startops2),0,IF(AND($A182&gt;=DieselOps_2,$A182&lt;Startops2),VLOOKUP($A182,Diesel_Table,Tariff!$Y$41),VLOOKUP($A182,OA_Table,Tariff!$Y$26)))</f>
        <v>0</v>
      </c>
      <c r="J182" s="391" t="str">
        <f t="shared" ca="1" si="39"/>
        <v xml:space="preserve"> </v>
      </c>
      <c r="K182" s="1109">
        <f ca="1">IF(OR($A182&lt;Startops2,$A182&gt;=Endyr),0,VLOOKUP($A182,Capacity_Table,Tariff!$S$18))</f>
        <v>0.91</v>
      </c>
      <c r="L182" s="212">
        <f ca="1">IF(OR($A182&lt;Startops2,$A182&gt;=Endyr),0,VLOOKUP($A182,Capacity_Table,Tariff!$T$18))</f>
        <v>0.92</v>
      </c>
      <c r="M182" s="334">
        <f ca="1">IF($A182&lt;Startops2,0,IF($A182&lt;Startops3,VLOOKUP($A182,Convert_Table,Tariff!$Y$54),C182*D182*F182*K182*L182))</f>
        <v>289336.32000000001</v>
      </c>
      <c r="N182" s="391" t="str">
        <f t="shared" ca="1" si="40"/>
        <v xml:space="preserve"> </v>
      </c>
      <c r="O182" s="334">
        <f t="shared" ca="1" si="41"/>
        <v>7000</v>
      </c>
      <c r="P182" s="334">
        <f t="shared" ca="1" si="33"/>
        <v>2025354.24</v>
      </c>
      <c r="Q182" s="332" t="str">
        <f t="shared" ca="1" si="34"/>
        <v xml:space="preserve"> </v>
      </c>
      <c r="R182" s="334">
        <f ca="1">IF($A182&gt;Endyr,0,IF($A182&lt;Assm!$A$55,P182,Assm!$F$55*$D182))</f>
        <v>1769187.9452054794</v>
      </c>
      <c r="S182" s="391" t="str">
        <f t="shared" ca="1" si="35"/>
        <v xml:space="preserve"> </v>
      </c>
      <c r="T182" s="334">
        <f t="shared" ca="1" si="36"/>
        <v>2025354.24</v>
      </c>
      <c r="U182" s="682" t="str">
        <f t="shared" ca="1" si="37"/>
        <v xml:space="preserve"> </v>
      </c>
    </row>
    <row r="183" spans="1:21">
      <c r="A183" s="672">
        <f t="shared" ca="1" si="29"/>
        <v>41456</v>
      </c>
      <c r="C183" s="681">
        <f ca="1">IF($A183&gt;Endyr,0,VLOOKUP($A183,Capacity_Table,Tariff!$R$18))</f>
        <v>480</v>
      </c>
      <c r="D183" s="330">
        <f t="shared" ca="1" si="30"/>
        <v>31</v>
      </c>
      <c r="E183" s="330" t="str">
        <f t="shared" ca="1" si="31"/>
        <v xml:space="preserve"> </v>
      </c>
      <c r="F183" s="332">
        <f t="shared" si="38"/>
        <v>24</v>
      </c>
      <c r="G183" s="1109">
        <f t="shared" ca="1" si="32"/>
        <v>0</v>
      </c>
      <c r="H183" s="1686">
        <f ca="1">IF(Avail_LDs_Switch=1,VLOOKUP('Plant Operations'!A183,RAC_AvailFactor_Table,RAC_LDs!$G$258),IF($A183&lt;Startops2,Tariff!$T$11,0))</f>
        <v>0</v>
      </c>
      <c r="I183" s="1559">
        <f ca="1">IF(OR($A183&lt;Startops1,$A183&gt;=Startops2),0,IF(AND($A183&gt;=DieselOps_2,$A183&lt;Startops2),VLOOKUP($A183,Diesel_Table,Tariff!$Y$41),VLOOKUP($A183,OA_Table,Tariff!$Y$26)))</f>
        <v>0</v>
      </c>
      <c r="J183" s="391" t="str">
        <f t="shared" ca="1" si="39"/>
        <v xml:space="preserve"> </v>
      </c>
      <c r="K183" s="1109">
        <f ca="1">IF(OR($A183&lt;Startops2,$A183&gt;=Endyr),0,VLOOKUP($A183,Capacity_Table,Tariff!$S$18))</f>
        <v>0.91</v>
      </c>
      <c r="L183" s="212">
        <f ca="1">IF(OR($A183&lt;Startops2,$A183&gt;=Endyr),0,VLOOKUP($A183,Capacity_Table,Tariff!$T$18))</f>
        <v>0.92</v>
      </c>
      <c r="M183" s="334">
        <f ca="1">IF($A183&lt;Startops2,0,IF($A183&lt;Startops3,VLOOKUP($A183,Convert_Table,Tariff!$Y$54),C183*D183*F183*K183*L183))</f>
        <v>298980.864</v>
      </c>
      <c r="N183" s="391" t="str">
        <f t="shared" ca="1" si="40"/>
        <v xml:space="preserve"> </v>
      </c>
      <c r="O183" s="334">
        <f t="shared" ca="1" si="41"/>
        <v>7000</v>
      </c>
      <c r="P183" s="334">
        <f t="shared" ca="1" si="33"/>
        <v>2092866.048</v>
      </c>
      <c r="Q183" s="332" t="str">
        <f t="shared" ca="1" si="34"/>
        <v xml:space="preserve"> </v>
      </c>
      <c r="R183" s="334">
        <f ca="1">IF($A183&gt;Endyr,0,IF($A183&lt;Assm!$A$55,P183,Assm!$F$55*$D183))</f>
        <v>1828160.8767123288</v>
      </c>
      <c r="S183" s="391" t="str">
        <f t="shared" ca="1" si="35"/>
        <v xml:space="preserve"> </v>
      </c>
      <c r="T183" s="334">
        <f t="shared" ca="1" si="36"/>
        <v>2092866.048</v>
      </c>
      <c r="U183" s="682" t="str">
        <f t="shared" ca="1" si="37"/>
        <v xml:space="preserve"> </v>
      </c>
    </row>
    <row r="184" spans="1:21">
      <c r="A184" s="672">
        <f t="shared" ca="1" si="29"/>
        <v>41487</v>
      </c>
      <c r="C184" s="681">
        <f ca="1">IF($A184&gt;Endyr,0,VLOOKUP($A184,Capacity_Table,Tariff!$R$18))</f>
        <v>480</v>
      </c>
      <c r="D184" s="330">
        <f t="shared" ca="1" si="30"/>
        <v>31</v>
      </c>
      <c r="E184" s="330" t="str">
        <f t="shared" ca="1" si="31"/>
        <v xml:space="preserve"> </v>
      </c>
      <c r="F184" s="332">
        <f t="shared" si="38"/>
        <v>24</v>
      </c>
      <c r="G184" s="1109">
        <f t="shared" ca="1" si="32"/>
        <v>0</v>
      </c>
      <c r="H184" s="1686">
        <f ca="1">IF(Avail_LDs_Switch=1,VLOOKUP('Plant Operations'!A184,RAC_AvailFactor_Table,RAC_LDs!$G$258),IF($A184&lt;Startops2,Tariff!$T$11,0))</f>
        <v>0</v>
      </c>
      <c r="I184" s="1559">
        <f ca="1">IF(OR($A184&lt;Startops1,$A184&gt;=Startops2),0,IF(AND($A184&gt;=DieselOps_2,$A184&lt;Startops2),VLOOKUP($A184,Diesel_Table,Tariff!$Y$41),VLOOKUP($A184,OA_Table,Tariff!$Y$26)))</f>
        <v>0</v>
      </c>
      <c r="J184" s="391" t="str">
        <f t="shared" ca="1" si="39"/>
        <v xml:space="preserve"> </v>
      </c>
      <c r="K184" s="1109">
        <f ca="1">IF(OR($A184&lt;Startops2,$A184&gt;=Endyr),0,VLOOKUP($A184,Capacity_Table,Tariff!$S$18))</f>
        <v>0.91</v>
      </c>
      <c r="L184" s="212">
        <f ca="1">IF(OR($A184&lt;Startops2,$A184&gt;=Endyr),0,VLOOKUP($A184,Capacity_Table,Tariff!$T$18))</f>
        <v>0.92</v>
      </c>
      <c r="M184" s="334">
        <f ca="1">IF($A184&lt;Startops2,0,IF($A184&lt;Startops3,VLOOKUP($A184,Convert_Table,Tariff!$Y$54),C184*D184*F184*K184*L184))</f>
        <v>298980.864</v>
      </c>
      <c r="N184" s="391" t="str">
        <f t="shared" ca="1" si="40"/>
        <v xml:space="preserve"> </v>
      </c>
      <c r="O184" s="334">
        <f t="shared" ca="1" si="41"/>
        <v>7000</v>
      </c>
      <c r="P184" s="334">
        <f t="shared" ca="1" si="33"/>
        <v>2092866.048</v>
      </c>
      <c r="Q184" s="332" t="str">
        <f t="shared" ca="1" si="34"/>
        <v xml:space="preserve"> </v>
      </c>
      <c r="R184" s="334">
        <f ca="1">IF($A184&gt;Endyr,0,IF($A184&lt;Assm!$A$55,P184,Assm!$F$55*$D184))</f>
        <v>1828160.8767123288</v>
      </c>
      <c r="S184" s="391" t="str">
        <f t="shared" ca="1" si="35"/>
        <v xml:space="preserve"> </v>
      </c>
      <c r="T184" s="334">
        <f t="shared" ca="1" si="36"/>
        <v>2092866.048</v>
      </c>
      <c r="U184" s="682" t="str">
        <f t="shared" ca="1" si="37"/>
        <v xml:space="preserve"> </v>
      </c>
    </row>
    <row r="185" spans="1:21">
      <c r="A185" s="672">
        <f t="shared" ca="1" si="29"/>
        <v>41518</v>
      </c>
      <c r="C185" s="681">
        <f ca="1">IF($A185&gt;Endyr,0,VLOOKUP($A185,Capacity_Table,Tariff!$R$18))</f>
        <v>480</v>
      </c>
      <c r="D185" s="330">
        <f t="shared" ca="1" si="30"/>
        <v>30</v>
      </c>
      <c r="E185" s="330" t="str">
        <f t="shared" ca="1" si="31"/>
        <v xml:space="preserve"> </v>
      </c>
      <c r="F185" s="332">
        <f t="shared" si="38"/>
        <v>24</v>
      </c>
      <c r="G185" s="1109">
        <f t="shared" ca="1" si="32"/>
        <v>0</v>
      </c>
      <c r="H185" s="1686">
        <f ca="1">IF(Avail_LDs_Switch=1,VLOOKUP('Plant Operations'!A185,RAC_AvailFactor_Table,RAC_LDs!$G$258),IF($A185&lt;Startops2,Tariff!$T$11,0))</f>
        <v>0</v>
      </c>
      <c r="I185" s="1559">
        <f ca="1">IF(OR($A185&lt;Startops1,$A185&gt;=Startops2),0,IF(AND($A185&gt;=DieselOps_2,$A185&lt;Startops2),VLOOKUP($A185,Diesel_Table,Tariff!$Y$41),VLOOKUP($A185,OA_Table,Tariff!$Y$26)))</f>
        <v>0</v>
      </c>
      <c r="J185" s="391" t="str">
        <f t="shared" ca="1" si="39"/>
        <v xml:space="preserve"> </v>
      </c>
      <c r="K185" s="1109">
        <f ca="1">IF(OR($A185&lt;Startops2,$A185&gt;=Endyr),0,VLOOKUP($A185,Capacity_Table,Tariff!$S$18))</f>
        <v>0.91</v>
      </c>
      <c r="L185" s="212">
        <f ca="1">IF(OR($A185&lt;Startops2,$A185&gt;=Endyr),0,VLOOKUP($A185,Capacity_Table,Tariff!$T$18))</f>
        <v>0.92</v>
      </c>
      <c r="M185" s="334">
        <f ca="1">IF($A185&lt;Startops2,0,IF($A185&lt;Startops3,VLOOKUP($A185,Convert_Table,Tariff!$Y$54),C185*D185*F185*K185*L185))</f>
        <v>289336.32000000001</v>
      </c>
      <c r="N185" s="391" t="str">
        <f t="shared" ca="1" si="40"/>
        <v xml:space="preserve"> </v>
      </c>
      <c r="O185" s="334">
        <f t="shared" ca="1" si="41"/>
        <v>7000</v>
      </c>
      <c r="P185" s="334">
        <f t="shared" ca="1" si="33"/>
        <v>2025354.24</v>
      </c>
      <c r="Q185" s="332" t="str">
        <f t="shared" ca="1" si="34"/>
        <v xml:space="preserve"> </v>
      </c>
      <c r="R185" s="334">
        <f ca="1">IF($A185&gt;Endyr,0,IF($A185&lt;Assm!$A$55,P185,Assm!$F$55*$D185))</f>
        <v>1769187.9452054794</v>
      </c>
      <c r="S185" s="391" t="str">
        <f t="shared" ca="1" si="35"/>
        <v xml:space="preserve"> </v>
      </c>
      <c r="T185" s="334">
        <f t="shared" ca="1" si="36"/>
        <v>2025354.24</v>
      </c>
      <c r="U185" s="682" t="str">
        <f t="shared" ca="1" si="37"/>
        <v xml:space="preserve"> </v>
      </c>
    </row>
    <row r="186" spans="1:21">
      <c r="A186" s="672">
        <f t="shared" ca="1" si="29"/>
        <v>41548</v>
      </c>
      <c r="C186" s="681">
        <f ca="1">IF($A186&gt;Endyr,0,VLOOKUP($A186,Capacity_Table,Tariff!$R$18))</f>
        <v>480</v>
      </c>
      <c r="D186" s="330">
        <f t="shared" ca="1" si="30"/>
        <v>31</v>
      </c>
      <c r="E186" s="330" t="str">
        <f t="shared" ca="1" si="31"/>
        <v xml:space="preserve"> </v>
      </c>
      <c r="F186" s="332">
        <f t="shared" si="38"/>
        <v>24</v>
      </c>
      <c r="G186" s="1109">
        <f t="shared" ca="1" si="32"/>
        <v>0</v>
      </c>
      <c r="H186" s="1686">
        <f ca="1">IF(Avail_LDs_Switch=1,VLOOKUP('Plant Operations'!A186,RAC_AvailFactor_Table,RAC_LDs!$G$258),IF($A186&lt;Startops2,Tariff!$T$11,0))</f>
        <v>0</v>
      </c>
      <c r="I186" s="1559">
        <f ca="1">IF(OR($A186&lt;Startops1,$A186&gt;=Startops2),0,IF(AND($A186&gt;=DieselOps_2,$A186&lt;Startops2),VLOOKUP($A186,Diesel_Table,Tariff!$Y$41),VLOOKUP($A186,OA_Table,Tariff!$Y$26)))</f>
        <v>0</v>
      </c>
      <c r="J186" s="391" t="str">
        <f t="shared" ca="1" si="39"/>
        <v xml:space="preserve"> </v>
      </c>
      <c r="K186" s="1109">
        <f ca="1">IF(OR($A186&lt;Startops2,$A186&gt;=Endyr),0,VLOOKUP($A186,Capacity_Table,Tariff!$S$18))</f>
        <v>0.91</v>
      </c>
      <c r="L186" s="212">
        <f ca="1">IF(OR($A186&lt;Startops2,$A186&gt;=Endyr),0,VLOOKUP($A186,Capacity_Table,Tariff!$T$18))</f>
        <v>0.92</v>
      </c>
      <c r="M186" s="334">
        <f ca="1">IF($A186&lt;Startops2,0,IF($A186&lt;Startops3,VLOOKUP($A186,Convert_Table,Tariff!$Y$54),C186*D186*F186*K186*L186))</f>
        <v>298980.864</v>
      </c>
      <c r="N186" s="391" t="str">
        <f t="shared" ca="1" si="40"/>
        <v xml:space="preserve"> </v>
      </c>
      <c r="O186" s="334">
        <f t="shared" ca="1" si="41"/>
        <v>7000</v>
      </c>
      <c r="P186" s="334">
        <f t="shared" ca="1" si="33"/>
        <v>2092866.048</v>
      </c>
      <c r="Q186" s="332" t="str">
        <f t="shared" ca="1" si="34"/>
        <v xml:space="preserve"> </v>
      </c>
      <c r="R186" s="334">
        <f ca="1">IF($A186&gt;Endyr,0,IF($A186&lt;Assm!$A$55,P186,Assm!$F$55*$D186))</f>
        <v>1828160.8767123288</v>
      </c>
      <c r="S186" s="391" t="str">
        <f t="shared" ca="1" si="35"/>
        <v xml:space="preserve"> </v>
      </c>
      <c r="T186" s="334">
        <f t="shared" ca="1" si="36"/>
        <v>2092866.048</v>
      </c>
      <c r="U186" s="682" t="str">
        <f t="shared" ca="1" si="37"/>
        <v xml:space="preserve"> </v>
      </c>
    </row>
    <row r="187" spans="1:21">
      <c r="A187" s="672">
        <f t="shared" ca="1" si="29"/>
        <v>41579</v>
      </c>
      <c r="C187" s="681">
        <f ca="1">IF($A187&gt;Endyr,0,VLOOKUP($A187,Capacity_Table,Tariff!$R$18))</f>
        <v>480</v>
      </c>
      <c r="D187" s="330">
        <f t="shared" ca="1" si="30"/>
        <v>30</v>
      </c>
      <c r="E187" s="330" t="str">
        <f t="shared" ca="1" si="31"/>
        <v xml:space="preserve"> </v>
      </c>
      <c r="F187" s="332">
        <f t="shared" si="38"/>
        <v>24</v>
      </c>
      <c r="G187" s="1109">
        <f t="shared" ca="1" si="32"/>
        <v>0</v>
      </c>
      <c r="H187" s="1686">
        <f ca="1">IF(Avail_LDs_Switch=1,VLOOKUP('Plant Operations'!A187,RAC_AvailFactor_Table,RAC_LDs!$G$258),IF($A187&lt;Startops2,Tariff!$T$11,0))</f>
        <v>0</v>
      </c>
      <c r="I187" s="1559">
        <f ca="1">IF(OR($A187&lt;Startops1,$A187&gt;=Startops2),0,IF(AND($A187&gt;=DieselOps_2,$A187&lt;Startops2),VLOOKUP($A187,Diesel_Table,Tariff!$Y$41),VLOOKUP($A187,OA_Table,Tariff!$Y$26)))</f>
        <v>0</v>
      </c>
      <c r="J187" s="391" t="str">
        <f t="shared" ca="1" si="39"/>
        <v xml:space="preserve"> </v>
      </c>
      <c r="K187" s="1109">
        <f ca="1">IF(OR($A187&lt;Startops2,$A187&gt;=Endyr),0,VLOOKUP($A187,Capacity_Table,Tariff!$S$18))</f>
        <v>0.91</v>
      </c>
      <c r="L187" s="212">
        <f ca="1">IF(OR($A187&lt;Startops2,$A187&gt;=Endyr),0,VLOOKUP($A187,Capacity_Table,Tariff!$T$18))</f>
        <v>0.92</v>
      </c>
      <c r="M187" s="334">
        <f ca="1">IF($A187&lt;Startops2,0,IF($A187&lt;Startops3,VLOOKUP($A187,Convert_Table,Tariff!$Y$54),C187*D187*F187*K187*L187))</f>
        <v>289336.32000000001</v>
      </c>
      <c r="N187" s="391" t="str">
        <f t="shared" ca="1" si="40"/>
        <v xml:space="preserve"> </v>
      </c>
      <c r="O187" s="334">
        <f t="shared" ca="1" si="41"/>
        <v>7000</v>
      </c>
      <c r="P187" s="334">
        <f t="shared" ca="1" si="33"/>
        <v>2025354.24</v>
      </c>
      <c r="Q187" s="332" t="str">
        <f t="shared" ca="1" si="34"/>
        <v xml:space="preserve"> </v>
      </c>
      <c r="R187" s="334">
        <f ca="1">IF($A187&gt;Endyr,0,IF($A187&lt;Assm!$A$55,P187,Assm!$F$55*$D187))</f>
        <v>1769187.9452054794</v>
      </c>
      <c r="S187" s="391" t="str">
        <f t="shared" ca="1" si="35"/>
        <v xml:space="preserve"> </v>
      </c>
      <c r="T187" s="334">
        <f t="shared" ca="1" si="36"/>
        <v>2025354.24</v>
      </c>
      <c r="U187" s="682" t="str">
        <f t="shared" ca="1" si="37"/>
        <v xml:space="preserve"> </v>
      </c>
    </row>
    <row r="188" spans="1:21">
      <c r="A188" s="672">
        <f t="shared" ca="1" si="29"/>
        <v>41609</v>
      </c>
      <c r="C188" s="681">
        <f ca="1">IF($A188&gt;Endyr,0,VLOOKUP($A188,Capacity_Table,Tariff!$R$18))</f>
        <v>480</v>
      </c>
      <c r="D188" s="330">
        <f t="shared" ca="1" si="30"/>
        <v>31</v>
      </c>
      <c r="E188" s="330">
        <f t="shared" ca="1" si="31"/>
        <v>365</v>
      </c>
      <c r="F188" s="332">
        <f t="shared" si="38"/>
        <v>24</v>
      </c>
      <c r="G188" s="1109">
        <f t="shared" ca="1" si="32"/>
        <v>0</v>
      </c>
      <c r="H188" s="1686">
        <f ca="1">IF(Avail_LDs_Switch=1,VLOOKUP('Plant Operations'!A188,RAC_AvailFactor_Table,RAC_LDs!$G$258),IF($A188&lt;Startops2,Tariff!$T$11,0))</f>
        <v>0</v>
      </c>
      <c r="I188" s="1559">
        <f ca="1">IF(OR($A188&lt;Startops1,$A188&gt;=Startops2),0,IF(AND($A188&gt;=DieselOps_2,$A188&lt;Startops2),VLOOKUP($A188,Diesel_Table,Tariff!$Y$41),VLOOKUP($A188,OA_Table,Tariff!$Y$26)))</f>
        <v>0</v>
      </c>
      <c r="J188" s="391">
        <f t="shared" ca="1" si="39"/>
        <v>0</v>
      </c>
      <c r="K188" s="1109">
        <f ca="1">IF(OR($A188&lt;Startops2,$A188&gt;=Endyr),0,VLOOKUP($A188,Capacity_Table,Tariff!$S$18))</f>
        <v>0.91</v>
      </c>
      <c r="L188" s="212">
        <f ca="1">IF(OR($A188&lt;Startops2,$A188&gt;=Endyr),0,VLOOKUP($A188,Capacity_Table,Tariff!$T$18))</f>
        <v>0.92</v>
      </c>
      <c r="M188" s="334">
        <f ca="1">IF($A188&lt;Startops2,0,IF($A188&lt;Startops3,VLOOKUP($A188,Convert_Table,Tariff!$Y$54),C188*D188*F188*K188*L188))</f>
        <v>298980.864</v>
      </c>
      <c r="N188" s="391">
        <f t="shared" ca="1" si="40"/>
        <v>3520258.56</v>
      </c>
      <c r="O188" s="334">
        <f t="shared" ca="1" si="41"/>
        <v>7000</v>
      </c>
      <c r="P188" s="334">
        <f t="shared" ca="1" si="33"/>
        <v>2092866.048</v>
      </c>
      <c r="Q188" s="332">
        <f t="shared" ca="1" si="34"/>
        <v>24641809.920000002</v>
      </c>
      <c r="R188" s="334">
        <f ca="1">IF($A188&gt;Endyr,0,IF($A188&lt;Assm!$A$55,P188,Assm!$F$55*$D188))</f>
        <v>1828160.8767123288</v>
      </c>
      <c r="S188" s="391">
        <f t="shared" ca="1" si="35"/>
        <v>21525120.000000004</v>
      </c>
      <c r="T188" s="334">
        <f t="shared" ca="1" si="36"/>
        <v>2092866.048</v>
      </c>
      <c r="U188" s="682">
        <f t="shared" ca="1" si="37"/>
        <v>24641809.920000002</v>
      </c>
    </row>
    <row r="189" spans="1:21">
      <c r="A189" s="672">
        <f t="shared" ca="1" si="29"/>
        <v>41640</v>
      </c>
      <c r="C189" s="681">
        <f ca="1">IF($A189&gt;Endyr,0,VLOOKUP($A189,Capacity_Table,Tariff!$R$18))</f>
        <v>480</v>
      </c>
      <c r="D189" s="330">
        <f t="shared" ca="1" si="30"/>
        <v>31</v>
      </c>
      <c r="E189" s="330" t="str">
        <f t="shared" ca="1" si="31"/>
        <v xml:space="preserve"> </v>
      </c>
      <c r="F189" s="332">
        <f t="shared" si="38"/>
        <v>24</v>
      </c>
      <c r="G189" s="1109">
        <f t="shared" ca="1" si="32"/>
        <v>0</v>
      </c>
      <c r="H189" s="1686">
        <f ca="1">IF(Avail_LDs_Switch=1,VLOOKUP('Plant Operations'!A189,RAC_AvailFactor_Table,RAC_LDs!$G$258),IF($A189&lt;Startops2,Tariff!$T$11,0))</f>
        <v>0</v>
      </c>
      <c r="I189" s="1559">
        <f ca="1">IF(OR($A189&lt;Startops1,$A189&gt;=Startops2),0,IF(AND($A189&gt;=DieselOps_2,$A189&lt;Startops2),VLOOKUP($A189,Diesel_Table,Tariff!$Y$41),VLOOKUP($A189,OA_Table,Tariff!$Y$26)))</f>
        <v>0</v>
      </c>
      <c r="J189" s="391" t="str">
        <f t="shared" ca="1" si="39"/>
        <v xml:space="preserve"> </v>
      </c>
      <c r="K189" s="1109">
        <f ca="1">IF(OR($A189&lt;Startops2,$A189&gt;=Endyr),0,VLOOKUP($A189,Capacity_Table,Tariff!$S$18))</f>
        <v>0.91</v>
      </c>
      <c r="L189" s="212">
        <f ca="1">IF(OR($A189&lt;Startops2,$A189&gt;=Endyr),0,VLOOKUP($A189,Capacity_Table,Tariff!$T$18))</f>
        <v>0.92</v>
      </c>
      <c r="M189" s="334">
        <f ca="1">IF($A189&lt;Startops2,0,IF($A189&lt;Startops3,VLOOKUP($A189,Convert_Table,Tariff!$Y$54),C189*D189*F189*K189*L189))</f>
        <v>298980.864</v>
      </c>
      <c r="N189" s="391" t="str">
        <f t="shared" ca="1" si="40"/>
        <v xml:space="preserve"> </v>
      </c>
      <c r="O189" s="334">
        <f t="shared" ca="1" si="41"/>
        <v>7000</v>
      </c>
      <c r="P189" s="334">
        <f t="shared" ca="1" si="33"/>
        <v>2092866.048</v>
      </c>
      <c r="Q189" s="332" t="str">
        <f t="shared" ca="1" si="34"/>
        <v xml:space="preserve"> </v>
      </c>
      <c r="R189" s="334">
        <f ca="1">IF($A189&gt;Endyr,0,IF($A189&lt;Assm!$A$55,P189,Assm!$F$55*$D189))</f>
        <v>1828160.8767123288</v>
      </c>
      <c r="S189" s="391" t="str">
        <f t="shared" ca="1" si="35"/>
        <v xml:space="preserve"> </v>
      </c>
      <c r="T189" s="334">
        <f t="shared" ca="1" si="36"/>
        <v>2092866.048</v>
      </c>
      <c r="U189" s="682" t="str">
        <f t="shared" ca="1" si="37"/>
        <v xml:space="preserve"> </v>
      </c>
    </row>
    <row r="190" spans="1:21">
      <c r="A190" s="672">
        <f t="shared" ca="1" si="29"/>
        <v>41671</v>
      </c>
      <c r="C190" s="681">
        <f ca="1">IF($A190&gt;Endyr,0,VLOOKUP($A190,Capacity_Table,Tariff!$R$18))</f>
        <v>480</v>
      </c>
      <c r="D190" s="330">
        <f t="shared" ca="1" si="30"/>
        <v>28</v>
      </c>
      <c r="E190" s="330" t="str">
        <f t="shared" ca="1" si="31"/>
        <v xml:space="preserve"> </v>
      </c>
      <c r="F190" s="332">
        <f t="shared" si="38"/>
        <v>24</v>
      </c>
      <c r="G190" s="1109">
        <f t="shared" ca="1" si="32"/>
        <v>0</v>
      </c>
      <c r="H190" s="1686">
        <f ca="1">IF(Avail_LDs_Switch=1,VLOOKUP('Plant Operations'!A190,RAC_AvailFactor_Table,RAC_LDs!$G$258),IF($A190&lt;Startops2,Tariff!$T$11,0))</f>
        <v>0</v>
      </c>
      <c r="I190" s="1559">
        <f ca="1">IF(OR($A190&lt;Startops1,$A190&gt;=Startops2),0,IF(AND($A190&gt;=DieselOps_2,$A190&lt;Startops2),VLOOKUP($A190,Diesel_Table,Tariff!$Y$41),VLOOKUP($A190,OA_Table,Tariff!$Y$26)))</f>
        <v>0</v>
      </c>
      <c r="J190" s="391" t="str">
        <f t="shared" ca="1" si="39"/>
        <v xml:space="preserve"> </v>
      </c>
      <c r="K190" s="1109">
        <f ca="1">IF(OR($A190&lt;Startops2,$A190&gt;=Endyr),0,VLOOKUP($A190,Capacity_Table,Tariff!$S$18))</f>
        <v>0.91</v>
      </c>
      <c r="L190" s="212">
        <f ca="1">IF(OR($A190&lt;Startops2,$A190&gt;=Endyr),0,VLOOKUP($A190,Capacity_Table,Tariff!$T$18))</f>
        <v>0.92</v>
      </c>
      <c r="M190" s="334">
        <f ca="1">IF($A190&lt;Startops2,0,IF($A190&lt;Startops3,VLOOKUP($A190,Convert_Table,Tariff!$Y$54),C190*D190*F190*K190*L190))</f>
        <v>270047.23200000002</v>
      </c>
      <c r="N190" s="391" t="str">
        <f t="shared" ca="1" si="40"/>
        <v xml:space="preserve"> </v>
      </c>
      <c r="O190" s="334">
        <f t="shared" ca="1" si="41"/>
        <v>7000</v>
      </c>
      <c r="P190" s="334">
        <f t="shared" ca="1" si="33"/>
        <v>1890330.6240000003</v>
      </c>
      <c r="Q190" s="332" t="str">
        <f t="shared" ca="1" si="34"/>
        <v xml:space="preserve"> </v>
      </c>
      <c r="R190" s="334">
        <f ca="1">IF($A190&gt;Endyr,0,IF($A190&lt;Assm!$A$55,P190,Assm!$F$55*$D190))</f>
        <v>1651242.0821917809</v>
      </c>
      <c r="S190" s="391" t="str">
        <f t="shared" ca="1" si="35"/>
        <v xml:space="preserve"> </v>
      </c>
      <c r="T190" s="334">
        <f t="shared" ca="1" si="36"/>
        <v>1890330.6240000003</v>
      </c>
      <c r="U190" s="682" t="str">
        <f t="shared" ca="1" si="37"/>
        <v xml:space="preserve"> </v>
      </c>
    </row>
    <row r="191" spans="1:21">
      <c r="A191" s="672">
        <f t="shared" ca="1" si="29"/>
        <v>41699</v>
      </c>
      <c r="C191" s="681">
        <f ca="1">IF($A191&gt;Endyr,0,VLOOKUP($A191,Capacity_Table,Tariff!$R$18))</f>
        <v>480</v>
      </c>
      <c r="D191" s="330">
        <f t="shared" ca="1" si="30"/>
        <v>31</v>
      </c>
      <c r="E191" s="330" t="str">
        <f t="shared" ca="1" si="31"/>
        <v xml:space="preserve"> </v>
      </c>
      <c r="F191" s="332">
        <f t="shared" si="38"/>
        <v>24</v>
      </c>
      <c r="G191" s="1109">
        <f t="shared" ca="1" si="32"/>
        <v>0</v>
      </c>
      <c r="H191" s="1686">
        <f ca="1">IF(Avail_LDs_Switch=1,VLOOKUP('Plant Operations'!A191,RAC_AvailFactor_Table,RAC_LDs!$G$258),IF($A191&lt;Startops2,Tariff!$T$11,0))</f>
        <v>0</v>
      </c>
      <c r="I191" s="1559">
        <f ca="1">IF(OR($A191&lt;Startops1,$A191&gt;=Startops2),0,IF(AND($A191&gt;=DieselOps_2,$A191&lt;Startops2),VLOOKUP($A191,Diesel_Table,Tariff!$Y$41),VLOOKUP($A191,OA_Table,Tariff!$Y$26)))</f>
        <v>0</v>
      </c>
      <c r="J191" s="391" t="str">
        <f t="shared" ca="1" si="39"/>
        <v xml:space="preserve"> </v>
      </c>
      <c r="K191" s="1109">
        <f ca="1">IF(OR($A191&lt;Startops2,$A191&gt;=Endyr),0,VLOOKUP($A191,Capacity_Table,Tariff!$S$18))</f>
        <v>0.91</v>
      </c>
      <c r="L191" s="212">
        <f ca="1">IF(OR($A191&lt;Startops2,$A191&gt;=Endyr),0,VLOOKUP($A191,Capacity_Table,Tariff!$T$18))</f>
        <v>0.92</v>
      </c>
      <c r="M191" s="334">
        <f ca="1">IF($A191&lt;Startops2,0,IF($A191&lt;Startops3,VLOOKUP($A191,Convert_Table,Tariff!$Y$54),C191*D191*F191*K191*L191))</f>
        <v>298980.864</v>
      </c>
      <c r="N191" s="391" t="str">
        <f t="shared" ca="1" si="40"/>
        <v xml:space="preserve"> </v>
      </c>
      <c r="O191" s="334">
        <f t="shared" ca="1" si="41"/>
        <v>7000</v>
      </c>
      <c r="P191" s="334">
        <f t="shared" ca="1" si="33"/>
        <v>2092866.048</v>
      </c>
      <c r="Q191" s="332" t="str">
        <f t="shared" ca="1" si="34"/>
        <v xml:space="preserve"> </v>
      </c>
      <c r="R191" s="334">
        <f ca="1">IF($A191&gt;Endyr,0,IF($A191&lt;Assm!$A$55,P191,Assm!$F$55*$D191))</f>
        <v>1828160.8767123288</v>
      </c>
      <c r="S191" s="391" t="str">
        <f t="shared" ca="1" si="35"/>
        <v xml:space="preserve"> </v>
      </c>
      <c r="T191" s="334">
        <f t="shared" ca="1" si="36"/>
        <v>2092866.048</v>
      </c>
      <c r="U191" s="682" t="str">
        <f t="shared" ca="1" si="37"/>
        <v xml:space="preserve"> </v>
      </c>
    </row>
    <row r="192" spans="1:21">
      <c r="A192" s="672">
        <f t="shared" ca="1" si="29"/>
        <v>41730</v>
      </c>
      <c r="C192" s="681">
        <f ca="1">IF($A192&gt;Endyr,0,VLOOKUP($A192,Capacity_Table,Tariff!$R$18))</f>
        <v>480</v>
      </c>
      <c r="D192" s="330">
        <f t="shared" ca="1" si="30"/>
        <v>30</v>
      </c>
      <c r="E192" s="330" t="str">
        <f t="shared" ca="1" si="31"/>
        <v xml:space="preserve"> </v>
      </c>
      <c r="F192" s="332">
        <f t="shared" si="38"/>
        <v>24</v>
      </c>
      <c r="G192" s="1109">
        <f t="shared" ca="1" si="32"/>
        <v>0</v>
      </c>
      <c r="H192" s="1686">
        <f ca="1">IF(Avail_LDs_Switch=1,VLOOKUP('Plant Operations'!A192,RAC_AvailFactor_Table,RAC_LDs!$G$258),IF($A192&lt;Startops2,Tariff!$T$11,0))</f>
        <v>0</v>
      </c>
      <c r="I192" s="1559">
        <f ca="1">IF(OR($A192&lt;Startops1,$A192&gt;=Startops2),0,IF(AND($A192&gt;=DieselOps_2,$A192&lt;Startops2),VLOOKUP($A192,Diesel_Table,Tariff!$Y$41),VLOOKUP($A192,OA_Table,Tariff!$Y$26)))</f>
        <v>0</v>
      </c>
      <c r="J192" s="391" t="str">
        <f t="shared" ca="1" si="39"/>
        <v xml:space="preserve"> </v>
      </c>
      <c r="K192" s="1109">
        <f ca="1">IF(OR($A192&lt;Startops2,$A192&gt;=Endyr),0,VLOOKUP($A192,Capacity_Table,Tariff!$S$18))</f>
        <v>0.91</v>
      </c>
      <c r="L192" s="212">
        <f ca="1">IF(OR($A192&lt;Startops2,$A192&gt;=Endyr),0,VLOOKUP($A192,Capacity_Table,Tariff!$T$18))</f>
        <v>0.92</v>
      </c>
      <c r="M192" s="334">
        <f ca="1">IF($A192&lt;Startops2,0,IF($A192&lt;Startops3,VLOOKUP($A192,Convert_Table,Tariff!$Y$54),C192*D192*F192*K192*L192))</f>
        <v>289336.32000000001</v>
      </c>
      <c r="N192" s="391" t="str">
        <f t="shared" ca="1" si="40"/>
        <v xml:space="preserve"> </v>
      </c>
      <c r="O192" s="334">
        <f t="shared" ca="1" si="41"/>
        <v>7000</v>
      </c>
      <c r="P192" s="334">
        <f t="shared" ca="1" si="33"/>
        <v>2025354.24</v>
      </c>
      <c r="Q192" s="332" t="str">
        <f t="shared" ca="1" si="34"/>
        <v xml:space="preserve"> </v>
      </c>
      <c r="R192" s="334">
        <f ca="1">IF($A192&gt;Endyr,0,IF($A192&lt;Assm!$A$55,P192,Assm!$F$55*$D192))</f>
        <v>1769187.9452054794</v>
      </c>
      <c r="S192" s="391" t="str">
        <f t="shared" ca="1" si="35"/>
        <v xml:space="preserve"> </v>
      </c>
      <c r="T192" s="334">
        <f t="shared" ca="1" si="36"/>
        <v>2025354.24</v>
      </c>
      <c r="U192" s="682" t="str">
        <f t="shared" ca="1" si="37"/>
        <v xml:space="preserve"> </v>
      </c>
    </row>
    <row r="193" spans="1:21">
      <c r="A193" s="672">
        <f t="shared" ca="1" si="29"/>
        <v>41760</v>
      </c>
      <c r="C193" s="681">
        <f ca="1">IF($A193&gt;Endyr,0,VLOOKUP($A193,Capacity_Table,Tariff!$R$18))</f>
        <v>480</v>
      </c>
      <c r="D193" s="330">
        <f t="shared" ca="1" si="30"/>
        <v>31</v>
      </c>
      <c r="E193" s="330" t="str">
        <f t="shared" ca="1" si="31"/>
        <v xml:space="preserve"> </v>
      </c>
      <c r="F193" s="332">
        <f t="shared" si="38"/>
        <v>24</v>
      </c>
      <c r="G193" s="1109">
        <f t="shared" ca="1" si="32"/>
        <v>0</v>
      </c>
      <c r="H193" s="1686">
        <f ca="1">IF(Avail_LDs_Switch=1,VLOOKUP('Plant Operations'!A193,RAC_AvailFactor_Table,RAC_LDs!$G$258),IF($A193&lt;Startops2,Tariff!$T$11,0))</f>
        <v>0</v>
      </c>
      <c r="I193" s="1559">
        <f ca="1">IF(OR($A193&lt;Startops1,$A193&gt;=Startops2),0,IF(AND($A193&gt;=DieselOps_2,$A193&lt;Startops2),VLOOKUP($A193,Diesel_Table,Tariff!$Y$41),VLOOKUP($A193,OA_Table,Tariff!$Y$26)))</f>
        <v>0</v>
      </c>
      <c r="J193" s="391" t="str">
        <f t="shared" ca="1" si="39"/>
        <v xml:space="preserve"> </v>
      </c>
      <c r="K193" s="1109">
        <f ca="1">IF(OR($A193&lt;Startops2,$A193&gt;=Endyr),0,VLOOKUP($A193,Capacity_Table,Tariff!$S$18))</f>
        <v>0.91</v>
      </c>
      <c r="L193" s="212">
        <f ca="1">IF(OR($A193&lt;Startops2,$A193&gt;=Endyr),0,VLOOKUP($A193,Capacity_Table,Tariff!$T$18))</f>
        <v>0.92</v>
      </c>
      <c r="M193" s="334">
        <f ca="1">IF($A193&lt;Startops2,0,IF($A193&lt;Startops3,VLOOKUP($A193,Convert_Table,Tariff!$Y$54),C193*D193*F193*K193*L193))</f>
        <v>298980.864</v>
      </c>
      <c r="N193" s="391" t="str">
        <f t="shared" ca="1" si="40"/>
        <v xml:space="preserve"> </v>
      </c>
      <c r="O193" s="334">
        <f t="shared" ca="1" si="41"/>
        <v>7000</v>
      </c>
      <c r="P193" s="334">
        <f t="shared" ca="1" si="33"/>
        <v>2092866.048</v>
      </c>
      <c r="Q193" s="332" t="str">
        <f t="shared" ca="1" si="34"/>
        <v xml:space="preserve"> </v>
      </c>
      <c r="R193" s="334">
        <f ca="1">IF($A193&gt;Endyr,0,IF($A193&lt;Assm!$A$55,P193,Assm!$F$55*$D193))</f>
        <v>1828160.8767123288</v>
      </c>
      <c r="S193" s="391" t="str">
        <f t="shared" ca="1" si="35"/>
        <v xml:space="preserve"> </v>
      </c>
      <c r="T193" s="334">
        <f t="shared" ca="1" si="36"/>
        <v>2092866.048</v>
      </c>
      <c r="U193" s="682" t="str">
        <f t="shared" ca="1" si="37"/>
        <v xml:space="preserve"> </v>
      </c>
    </row>
    <row r="194" spans="1:21">
      <c r="A194" s="672">
        <f t="shared" ca="1" si="29"/>
        <v>41791</v>
      </c>
      <c r="C194" s="681">
        <f ca="1">IF($A194&gt;Endyr,0,VLOOKUP($A194,Capacity_Table,Tariff!$R$18))</f>
        <v>480</v>
      </c>
      <c r="D194" s="330">
        <f t="shared" ca="1" si="30"/>
        <v>30</v>
      </c>
      <c r="E194" s="330" t="str">
        <f t="shared" ca="1" si="31"/>
        <v xml:space="preserve"> </v>
      </c>
      <c r="F194" s="332">
        <f t="shared" si="38"/>
        <v>24</v>
      </c>
      <c r="G194" s="1109">
        <f t="shared" ca="1" si="32"/>
        <v>0</v>
      </c>
      <c r="H194" s="1686">
        <f ca="1">IF(Avail_LDs_Switch=1,VLOOKUP('Plant Operations'!A194,RAC_AvailFactor_Table,RAC_LDs!$G$258),IF($A194&lt;Startops2,Tariff!$T$11,0))</f>
        <v>0</v>
      </c>
      <c r="I194" s="1559">
        <f ca="1">IF(OR($A194&lt;Startops1,$A194&gt;=Startops2),0,IF(AND($A194&gt;=DieselOps_2,$A194&lt;Startops2),VLOOKUP($A194,Diesel_Table,Tariff!$Y$41),VLOOKUP($A194,OA_Table,Tariff!$Y$26)))</f>
        <v>0</v>
      </c>
      <c r="J194" s="391" t="str">
        <f t="shared" ca="1" si="39"/>
        <v xml:space="preserve"> </v>
      </c>
      <c r="K194" s="1109">
        <f ca="1">IF(OR($A194&lt;Startops2,$A194&gt;=Endyr),0,VLOOKUP($A194,Capacity_Table,Tariff!$S$18))</f>
        <v>0.91</v>
      </c>
      <c r="L194" s="212">
        <f ca="1">IF(OR($A194&lt;Startops2,$A194&gt;=Endyr),0,VLOOKUP($A194,Capacity_Table,Tariff!$T$18))</f>
        <v>0.92</v>
      </c>
      <c r="M194" s="334">
        <f ca="1">IF($A194&lt;Startops2,0,IF($A194&lt;Startops3,VLOOKUP($A194,Convert_Table,Tariff!$Y$54),C194*D194*F194*K194*L194))</f>
        <v>289336.32000000001</v>
      </c>
      <c r="N194" s="391" t="str">
        <f t="shared" ca="1" si="40"/>
        <v xml:space="preserve"> </v>
      </c>
      <c r="O194" s="334">
        <f t="shared" ca="1" si="41"/>
        <v>7000</v>
      </c>
      <c r="P194" s="334">
        <f t="shared" ca="1" si="33"/>
        <v>2025354.24</v>
      </c>
      <c r="Q194" s="332" t="str">
        <f t="shared" ca="1" si="34"/>
        <v xml:space="preserve"> </v>
      </c>
      <c r="R194" s="334">
        <f ca="1">IF($A194&gt;Endyr,0,IF($A194&lt;Assm!$A$55,P194,Assm!$F$55*$D194))</f>
        <v>1769187.9452054794</v>
      </c>
      <c r="S194" s="391" t="str">
        <f t="shared" ca="1" si="35"/>
        <v xml:space="preserve"> </v>
      </c>
      <c r="T194" s="334">
        <f t="shared" ca="1" si="36"/>
        <v>2025354.24</v>
      </c>
      <c r="U194" s="682" t="str">
        <f t="shared" ca="1" si="37"/>
        <v xml:space="preserve"> </v>
      </c>
    </row>
    <row r="195" spans="1:21">
      <c r="A195" s="672">
        <f t="shared" ca="1" si="29"/>
        <v>41821</v>
      </c>
      <c r="C195" s="681">
        <f ca="1">IF($A195&gt;Endyr,0,VLOOKUP($A195,Capacity_Table,Tariff!$R$18))</f>
        <v>480</v>
      </c>
      <c r="D195" s="330">
        <f t="shared" ca="1" si="30"/>
        <v>31</v>
      </c>
      <c r="E195" s="330" t="str">
        <f t="shared" ca="1" si="31"/>
        <v xml:space="preserve"> </v>
      </c>
      <c r="F195" s="332">
        <f t="shared" si="38"/>
        <v>24</v>
      </c>
      <c r="G195" s="1109">
        <f t="shared" ca="1" si="32"/>
        <v>0</v>
      </c>
      <c r="H195" s="1686">
        <f ca="1">IF(Avail_LDs_Switch=1,VLOOKUP('Plant Operations'!A195,RAC_AvailFactor_Table,RAC_LDs!$G$258),IF($A195&lt;Startops2,Tariff!$T$11,0))</f>
        <v>0</v>
      </c>
      <c r="I195" s="1559">
        <f ca="1">IF(OR($A195&lt;Startops1,$A195&gt;=Startops2),0,IF(AND($A195&gt;=DieselOps_2,$A195&lt;Startops2),VLOOKUP($A195,Diesel_Table,Tariff!$Y$41),VLOOKUP($A195,OA_Table,Tariff!$Y$26)))</f>
        <v>0</v>
      </c>
      <c r="J195" s="391" t="str">
        <f t="shared" ca="1" si="39"/>
        <v xml:space="preserve"> </v>
      </c>
      <c r="K195" s="1109">
        <f ca="1">IF(OR($A195&lt;Startops2,$A195&gt;=Endyr),0,VLOOKUP($A195,Capacity_Table,Tariff!$S$18))</f>
        <v>0.91</v>
      </c>
      <c r="L195" s="212">
        <f ca="1">IF(OR($A195&lt;Startops2,$A195&gt;=Endyr),0,VLOOKUP($A195,Capacity_Table,Tariff!$T$18))</f>
        <v>0.92</v>
      </c>
      <c r="M195" s="334">
        <f ca="1">IF($A195&lt;Startops2,0,IF($A195&lt;Startops3,VLOOKUP($A195,Convert_Table,Tariff!$Y$54),C195*D195*F195*K195*L195))</f>
        <v>298980.864</v>
      </c>
      <c r="N195" s="391" t="str">
        <f t="shared" ca="1" si="40"/>
        <v xml:space="preserve"> </v>
      </c>
      <c r="O195" s="334">
        <f t="shared" ca="1" si="41"/>
        <v>7000</v>
      </c>
      <c r="P195" s="334">
        <f t="shared" ca="1" si="33"/>
        <v>2092866.048</v>
      </c>
      <c r="Q195" s="332" t="str">
        <f t="shared" ca="1" si="34"/>
        <v xml:space="preserve"> </v>
      </c>
      <c r="R195" s="334">
        <f ca="1">IF($A195&gt;Endyr,0,IF($A195&lt;Assm!$A$55,P195,Assm!$F$55*$D195))</f>
        <v>1828160.8767123288</v>
      </c>
      <c r="S195" s="391" t="str">
        <f t="shared" ca="1" si="35"/>
        <v xml:space="preserve"> </v>
      </c>
      <c r="T195" s="334">
        <f t="shared" ca="1" si="36"/>
        <v>2092866.048</v>
      </c>
      <c r="U195" s="682" t="str">
        <f t="shared" ca="1" si="37"/>
        <v xml:space="preserve"> </v>
      </c>
    </row>
    <row r="196" spans="1:21">
      <c r="A196" s="672">
        <f t="shared" ca="1" si="29"/>
        <v>41852</v>
      </c>
      <c r="C196" s="681">
        <f ca="1">IF($A196&gt;Endyr,0,VLOOKUP($A196,Capacity_Table,Tariff!$R$18))</f>
        <v>480</v>
      </c>
      <c r="D196" s="330">
        <f t="shared" ca="1" si="30"/>
        <v>31</v>
      </c>
      <c r="E196" s="330" t="str">
        <f t="shared" ca="1" si="31"/>
        <v xml:space="preserve"> </v>
      </c>
      <c r="F196" s="332">
        <f t="shared" si="38"/>
        <v>24</v>
      </c>
      <c r="G196" s="1109">
        <f t="shared" ca="1" si="32"/>
        <v>0</v>
      </c>
      <c r="H196" s="1686">
        <f ca="1">IF(Avail_LDs_Switch=1,VLOOKUP('Plant Operations'!A196,RAC_AvailFactor_Table,RAC_LDs!$G$258),IF($A196&lt;Startops2,Tariff!$T$11,0))</f>
        <v>0</v>
      </c>
      <c r="I196" s="1559">
        <f ca="1">IF(OR($A196&lt;Startops1,$A196&gt;=Startops2),0,IF(AND($A196&gt;=DieselOps_2,$A196&lt;Startops2),VLOOKUP($A196,Diesel_Table,Tariff!$Y$41),VLOOKUP($A196,OA_Table,Tariff!$Y$26)))</f>
        <v>0</v>
      </c>
      <c r="J196" s="391" t="str">
        <f t="shared" ca="1" si="39"/>
        <v xml:space="preserve"> </v>
      </c>
      <c r="K196" s="1109">
        <f ca="1">IF(OR($A196&lt;Startops2,$A196&gt;=Endyr),0,VLOOKUP($A196,Capacity_Table,Tariff!$S$18))</f>
        <v>0.91</v>
      </c>
      <c r="L196" s="212">
        <f ca="1">IF(OR($A196&lt;Startops2,$A196&gt;=Endyr),0,VLOOKUP($A196,Capacity_Table,Tariff!$T$18))</f>
        <v>0.92</v>
      </c>
      <c r="M196" s="334">
        <f ca="1">IF($A196&lt;Startops2,0,IF($A196&lt;Startops3,VLOOKUP($A196,Convert_Table,Tariff!$Y$54),C196*D196*F196*K196*L196))</f>
        <v>298980.864</v>
      </c>
      <c r="N196" s="391" t="str">
        <f t="shared" ca="1" si="40"/>
        <v xml:space="preserve"> </v>
      </c>
      <c r="O196" s="334">
        <f t="shared" ca="1" si="41"/>
        <v>7000</v>
      </c>
      <c r="P196" s="334">
        <f t="shared" ca="1" si="33"/>
        <v>2092866.048</v>
      </c>
      <c r="Q196" s="332" t="str">
        <f t="shared" ca="1" si="34"/>
        <v xml:space="preserve"> </v>
      </c>
      <c r="R196" s="334">
        <f ca="1">IF($A196&gt;Endyr,0,IF($A196&lt;Assm!$A$55,P196,Assm!$F$55*$D196))</f>
        <v>1828160.8767123288</v>
      </c>
      <c r="S196" s="391" t="str">
        <f t="shared" ca="1" si="35"/>
        <v xml:space="preserve"> </v>
      </c>
      <c r="T196" s="334">
        <f t="shared" ca="1" si="36"/>
        <v>2092866.048</v>
      </c>
      <c r="U196" s="682" t="str">
        <f t="shared" ca="1" si="37"/>
        <v xml:space="preserve"> </v>
      </c>
    </row>
    <row r="197" spans="1:21">
      <c r="A197" s="672">
        <f t="shared" ca="1" si="29"/>
        <v>41883</v>
      </c>
      <c r="C197" s="681">
        <f ca="1">IF($A197&gt;Endyr,0,VLOOKUP($A197,Capacity_Table,Tariff!$R$18))</f>
        <v>480</v>
      </c>
      <c r="D197" s="330">
        <f t="shared" ca="1" si="30"/>
        <v>30</v>
      </c>
      <c r="E197" s="330" t="str">
        <f t="shared" ca="1" si="31"/>
        <v xml:space="preserve"> </v>
      </c>
      <c r="F197" s="332">
        <f t="shared" si="38"/>
        <v>24</v>
      </c>
      <c r="G197" s="1109">
        <f t="shared" ca="1" si="32"/>
        <v>0</v>
      </c>
      <c r="H197" s="1686">
        <f ca="1">IF(Avail_LDs_Switch=1,VLOOKUP('Plant Operations'!A197,RAC_AvailFactor_Table,RAC_LDs!$G$258),IF($A197&lt;Startops2,Tariff!$T$11,0))</f>
        <v>0</v>
      </c>
      <c r="I197" s="1559">
        <f ca="1">IF(OR($A197&lt;Startops1,$A197&gt;=Startops2),0,IF(AND($A197&gt;=DieselOps_2,$A197&lt;Startops2),VLOOKUP($A197,Diesel_Table,Tariff!$Y$41),VLOOKUP($A197,OA_Table,Tariff!$Y$26)))</f>
        <v>0</v>
      </c>
      <c r="J197" s="391" t="str">
        <f t="shared" ca="1" si="39"/>
        <v xml:space="preserve"> </v>
      </c>
      <c r="K197" s="1109">
        <f ca="1">IF(OR($A197&lt;Startops2,$A197&gt;=Endyr),0,VLOOKUP($A197,Capacity_Table,Tariff!$S$18))</f>
        <v>0.91</v>
      </c>
      <c r="L197" s="212">
        <f ca="1">IF(OR($A197&lt;Startops2,$A197&gt;=Endyr),0,VLOOKUP($A197,Capacity_Table,Tariff!$T$18))</f>
        <v>0.92</v>
      </c>
      <c r="M197" s="334">
        <f ca="1">IF($A197&lt;Startops2,0,IF($A197&lt;Startops3,VLOOKUP($A197,Convert_Table,Tariff!$Y$54),C197*D197*F197*K197*L197))</f>
        <v>289336.32000000001</v>
      </c>
      <c r="N197" s="391" t="str">
        <f t="shared" ca="1" si="40"/>
        <v xml:space="preserve"> </v>
      </c>
      <c r="O197" s="334">
        <f t="shared" ca="1" si="41"/>
        <v>7000</v>
      </c>
      <c r="P197" s="334">
        <f t="shared" ca="1" si="33"/>
        <v>2025354.24</v>
      </c>
      <c r="Q197" s="332" t="str">
        <f t="shared" ca="1" si="34"/>
        <v xml:space="preserve"> </v>
      </c>
      <c r="R197" s="334">
        <f ca="1">IF($A197&gt;Endyr,0,IF($A197&lt;Assm!$A$55,P197,Assm!$F$55*$D197))</f>
        <v>1769187.9452054794</v>
      </c>
      <c r="S197" s="391" t="str">
        <f t="shared" ca="1" si="35"/>
        <v xml:space="preserve"> </v>
      </c>
      <c r="T197" s="334">
        <f t="shared" ca="1" si="36"/>
        <v>2025354.24</v>
      </c>
      <c r="U197" s="682" t="str">
        <f t="shared" ca="1" si="37"/>
        <v xml:space="preserve"> </v>
      </c>
    </row>
    <row r="198" spans="1:21">
      <c r="A198" s="672">
        <f t="shared" ca="1" si="29"/>
        <v>41913</v>
      </c>
      <c r="C198" s="681">
        <f ca="1">IF($A198&gt;Endyr,0,VLOOKUP($A198,Capacity_Table,Tariff!$R$18))</f>
        <v>480</v>
      </c>
      <c r="D198" s="330">
        <f t="shared" ca="1" si="30"/>
        <v>31</v>
      </c>
      <c r="E198" s="330" t="str">
        <f t="shared" ca="1" si="31"/>
        <v xml:space="preserve"> </v>
      </c>
      <c r="F198" s="332">
        <f t="shared" si="38"/>
        <v>24</v>
      </c>
      <c r="G198" s="1109">
        <f t="shared" ca="1" si="32"/>
        <v>0</v>
      </c>
      <c r="H198" s="1686">
        <f ca="1">IF(Avail_LDs_Switch=1,VLOOKUP('Plant Operations'!A198,RAC_AvailFactor_Table,RAC_LDs!$G$258),IF($A198&lt;Startops2,Tariff!$T$11,0))</f>
        <v>0</v>
      </c>
      <c r="I198" s="1559">
        <f ca="1">IF(OR($A198&lt;Startops1,$A198&gt;=Startops2),0,IF(AND($A198&gt;=DieselOps_2,$A198&lt;Startops2),VLOOKUP($A198,Diesel_Table,Tariff!$Y$41),VLOOKUP($A198,OA_Table,Tariff!$Y$26)))</f>
        <v>0</v>
      </c>
      <c r="J198" s="391" t="str">
        <f t="shared" ca="1" si="39"/>
        <v xml:space="preserve"> </v>
      </c>
      <c r="K198" s="1109">
        <f ca="1">IF(OR($A198&lt;Startops2,$A198&gt;=Endyr),0,VLOOKUP($A198,Capacity_Table,Tariff!$S$18))</f>
        <v>0.91</v>
      </c>
      <c r="L198" s="212">
        <f ca="1">IF(OR($A198&lt;Startops2,$A198&gt;=Endyr),0,VLOOKUP($A198,Capacity_Table,Tariff!$T$18))</f>
        <v>0.92</v>
      </c>
      <c r="M198" s="334">
        <f ca="1">IF($A198&lt;Startops2,0,IF($A198&lt;Startops3,VLOOKUP($A198,Convert_Table,Tariff!$Y$54),C198*D198*F198*K198*L198))</f>
        <v>298980.864</v>
      </c>
      <c r="N198" s="391" t="str">
        <f t="shared" ca="1" si="40"/>
        <v xml:space="preserve"> </v>
      </c>
      <c r="O198" s="334">
        <f t="shared" ca="1" si="41"/>
        <v>7000</v>
      </c>
      <c r="P198" s="334">
        <f t="shared" ca="1" si="33"/>
        <v>2092866.048</v>
      </c>
      <c r="Q198" s="332" t="str">
        <f t="shared" ca="1" si="34"/>
        <v xml:space="preserve"> </v>
      </c>
      <c r="R198" s="334">
        <f ca="1">IF($A198&gt;Endyr,0,IF($A198&lt;Assm!$A$55,P198,Assm!$F$55*$D198))</f>
        <v>1828160.8767123288</v>
      </c>
      <c r="S198" s="391" t="str">
        <f t="shared" ca="1" si="35"/>
        <v xml:space="preserve"> </v>
      </c>
      <c r="T198" s="334">
        <f t="shared" ca="1" si="36"/>
        <v>2092866.048</v>
      </c>
      <c r="U198" s="682" t="str">
        <f t="shared" ca="1" si="37"/>
        <v xml:space="preserve"> </v>
      </c>
    </row>
    <row r="199" spans="1:21">
      <c r="A199" s="672">
        <f t="shared" ca="1" si="29"/>
        <v>41944</v>
      </c>
      <c r="C199" s="681">
        <f ca="1">IF($A199&gt;Endyr,0,VLOOKUP($A199,Capacity_Table,Tariff!$R$18))</f>
        <v>480</v>
      </c>
      <c r="D199" s="330">
        <f t="shared" ca="1" si="30"/>
        <v>30</v>
      </c>
      <c r="E199" s="330" t="str">
        <f t="shared" ca="1" si="31"/>
        <v xml:space="preserve"> </v>
      </c>
      <c r="F199" s="332">
        <f t="shared" si="38"/>
        <v>24</v>
      </c>
      <c r="G199" s="1109">
        <f t="shared" ca="1" si="32"/>
        <v>0</v>
      </c>
      <c r="H199" s="1686">
        <f ca="1">IF(Avail_LDs_Switch=1,VLOOKUP('Plant Operations'!A199,RAC_AvailFactor_Table,RAC_LDs!$G$258),IF($A199&lt;Startops2,Tariff!$T$11,0))</f>
        <v>0</v>
      </c>
      <c r="I199" s="1559">
        <f ca="1">IF(OR($A199&lt;Startops1,$A199&gt;=Startops2),0,IF(AND($A199&gt;=DieselOps_2,$A199&lt;Startops2),VLOOKUP($A199,Diesel_Table,Tariff!$Y$41),VLOOKUP($A199,OA_Table,Tariff!$Y$26)))</f>
        <v>0</v>
      </c>
      <c r="J199" s="391" t="str">
        <f t="shared" ca="1" si="39"/>
        <v xml:space="preserve"> </v>
      </c>
      <c r="K199" s="1109">
        <f ca="1">IF(OR($A199&lt;Startops2,$A199&gt;=Endyr),0,VLOOKUP($A199,Capacity_Table,Tariff!$S$18))</f>
        <v>0.91</v>
      </c>
      <c r="L199" s="212">
        <f ca="1">IF(OR($A199&lt;Startops2,$A199&gt;=Endyr),0,VLOOKUP($A199,Capacity_Table,Tariff!$T$18))</f>
        <v>0.92</v>
      </c>
      <c r="M199" s="334">
        <f ca="1">IF($A199&lt;Startops2,0,IF($A199&lt;Startops3,VLOOKUP($A199,Convert_Table,Tariff!$Y$54),C199*D199*F199*K199*L199))</f>
        <v>289336.32000000001</v>
      </c>
      <c r="N199" s="391" t="str">
        <f t="shared" ca="1" si="40"/>
        <v xml:space="preserve"> </v>
      </c>
      <c r="O199" s="334">
        <f t="shared" ca="1" si="41"/>
        <v>7000</v>
      </c>
      <c r="P199" s="334">
        <f t="shared" ca="1" si="33"/>
        <v>2025354.24</v>
      </c>
      <c r="Q199" s="332" t="str">
        <f t="shared" ca="1" si="34"/>
        <v xml:space="preserve"> </v>
      </c>
      <c r="R199" s="334">
        <f ca="1">IF($A199&gt;Endyr,0,IF($A199&lt;Assm!$A$55,P199,Assm!$F$55*$D199))</f>
        <v>1769187.9452054794</v>
      </c>
      <c r="S199" s="391" t="str">
        <f t="shared" ca="1" si="35"/>
        <v xml:space="preserve"> </v>
      </c>
      <c r="T199" s="334">
        <f t="shared" ca="1" si="36"/>
        <v>2025354.24</v>
      </c>
      <c r="U199" s="682" t="str">
        <f t="shared" ca="1" si="37"/>
        <v xml:space="preserve"> </v>
      </c>
    </row>
    <row r="200" spans="1:21">
      <c r="A200" s="672">
        <f t="shared" ca="1" si="29"/>
        <v>41974</v>
      </c>
      <c r="C200" s="681">
        <f ca="1">IF($A200&gt;Endyr,0,VLOOKUP($A200,Capacity_Table,Tariff!$R$18))</f>
        <v>480</v>
      </c>
      <c r="D200" s="330">
        <f t="shared" ca="1" si="30"/>
        <v>31</v>
      </c>
      <c r="E200" s="330">
        <f t="shared" ca="1" si="31"/>
        <v>365</v>
      </c>
      <c r="F200" s="332">
        <f t="shared" si="38"/>
        <v>24</v>
      </c>
      <c r="G200" s="1109">
        <f t="shared" ca="1" si="32"/>
        <v>0</v>
      </c>
      <c r="H200" s="1686">
        <f ca="1">IF(Avail_LDs_Switch=1,VLOOKUP('Plant Operations'!A200,RAC_AvailFactor_Table,RAC_LDs!$G$258),IF($A200&lt;Startops2,Tariff!$T$11,0))</f>
        <v>0</v>
      </c>
      <c r="I200" s="1559">
        <f ca="1">IF(OR($A200&lt;Startops1,$A200&gt;=Startops2),0,IF(AND($A200&gt;=DieselOps_2,$A200&lt;Startops2),VLOOKUP($A200,Diesel_Table,Tariff!$Y$41),VLOOKUP($A200,OA_Table,Tariff!$Y$26)))</f>
        <v>0</v>
      </c>
      <c r="J200" s="391">
        <f t="shared" ca="1" si="39"/>
        <v>0</v>
      </c>
      <c r="K200" s="1109">
        <f ca="1">IF(OR($A200&lt;Startops2,$A200&gt;=Endyr),0,VLOOKUP($A200,Capacity_Table,Tariff!$S$18))</f>
        <v>0.91</v>
      </c>
      <c r="L200" s="212">
        <f ca="1">IF(OR($A200&lt;Startops2,$A200&gt;=Endyr),0,VLOOKUP($A200,Capacity_Table,Tariff!$T$18))</f>
        <v>0.92</v>
      </c>
      <c r="M200" s="334">
        <f ca="1">IF($A200&lt;Startops2,0,IF($A200&lt;Startops3,VLOOKUP($A200,Convert_Table,Tariff!$Y$54),C200*D200*F200*K200*L200))</f>
        <v>298980.864</v>
      </c>
      <c r="N200" s="391">
        <f t="shared" ca="1" si="40"/>
        <v>3520258.56</v>
      </c>
      <c r="O200" s="334">
        <f t="shared" ca="1" si="41"/>
        <v>7000</v>
      </c>
      <c r="P200" s="334">
        <f t="shared" ca="1" si="33"/>
        <v>2092866.048</v>
      </c>
      <c r="Q200" s="332">
        <f t="shared" ca="1" si="34"/>
        <v>24641809.920000002</v>
      </c>
      <c r="R200" s="334">
        <f ca="1">IF($A200&gt;Endyr,0,IF($A200&lt;Assm!$A$55,P200,Assm!$F$55*$D200))</f>
        <v>1828160.8767123288</v>
      </c>
      <c r="S200" s="391">
        <f t="shared" ca="1" si="35"/>
        <v>21525120.000000004</v>
      </c>
      <c r="T200" s="334">
        <f t="shared" ca="1" si="36"/>
        <v>2092866.048</v>
      </c>
      <c r="U200" s="682">
        <f t="shared" ca="1" si="37"/>
        <v>24641809.920000002</v>
      </c>
    </row>
    <row r="201" spans="1:21">
      <c r="A201" s="672">
        <f t="shared" ca="1" si="29"/>
        <v>42005</v>
      </c>
      <c r="C201" s="681">
        <f ca="1">IF($A201&gt;Endyr,0,VLOOKUP($A201,Capacity_Table,Tariff!$R$18))</f>
        <v>480</v>
      </c>
      <c r="D201" s="330">
        <f t="shared" ca="1" si="30"/>
        <v>31</v>
      </c>
      <c r="E201" s="330" t="str">
        <f t="shared" ca="1" si="31"/>
        <v xml:space="preserve"> </v>
      </c>
      <c r="F201" s="332">
        <f t="shared" si="38"/>
        <v>24</v>
      </c>
      <c r="G201" s="1109">
        <f t="shared" ca="1" si="32"/>
        <v>0</v>
      </c>
      <c r="H201" s="1686">
        <f ca="1">IF(Avail_LDs_Switch=1,VLOOKUP('Plant Operations'!A201,RAC_AvailFactor_Table,RAC_LDs!$G$258),IF($A201&lt;Startops2,Tariff!$T$11,0))</f>
        <v>0</v>
      </c>
      <c r="I201" s="1559">
        <f ca="1">IF(OR($A201&lt;Startops1,$A201&gt;=Startops2),0,IF(AND($A201&gt;=DieselOps_2,$A201&lt;Startops2),VLOOKUP($A201,Diesel_Table,Tariff!$Y$41),VLOOKUP($A201,OA_Table,Tariff!$Y$26)))</f>
        <v>0</v>
      </c>
      <c r="J201" s="391" t="str">
        <f t="shared" ca="1" si="39"/>
        <v xml:space="preserve"> </v>
      </c>
      <c r="K201" s="1109">
        <f ca="1">IF(OR($A201&lt;Startops2,$A201&gt;=Endyr),0,VLOOKUP($A201,Capacity_Table,Tariff!$S$18))</f>
        <v>0.91</v>
      </c>
      <c r="L201" s="212">
        <f ca="1">IF(OR($A201&lt;Startops2,$A201&gt;=Endyr),0,VLOOKUP($A201,Capacity_Table,Tariff!$T$18))</f>
        <v>0.92</v>
      </c>
      <c r="M201" s="334">
        <f ca="1">IF($A201&lt;Startops2,0,IF($A201&lt;Startops3,VLOOKUP($A201,Convert_Table,Tariff!$Y$54),C201*D201*F201*K201*L201))</f>
        <v>298980.864</v>
      </c>
      <c r="N201" s="391" t="str">
        <f t="shared" ca="1" si="40"/>
        <v xml:space="preserve"> </v>
      </c>
      <c r="O201" s="334">
        <f t="shared" ca="1" si="41"/>
        <v>7000</v>
      </c>
      <c r="P201" s="334">
        <f t="shared" ca="1" si="33"/>
        <v>2092866.048</v>
      </c>
      <c r="Q201" s="332" t="str">
        <f t="shared" ca="1" si="34"/>
        <v xml:space="preserve"> </v>
      </c>
      <c r="R201" s="334">
        <f ca="1">IF($A201&gt;Endyr,0,IF($A201&lt;Assm!$A$55,P201,Assm!$F$55*$D201))</f>
        <v>1828160.8767123288</v>
      </c>
      <c r="S201" s="391" t="str">
        <f t="shared" ca="1" si="35"/>
        <v xml:space="preserve"> </v>
      </c>
      <c r="T201" s="334">
        <f t="shared" ca="1" si="36"/>
        <v>2092866.048</v>
      </c>
      <c r="U201" s="682" t="str">
        <f t="shared" ca="1" si="37"/>
        <v xml:space="preserve"> </v>
      </c>
    </row>
    <row r="202" spans="1:21">
      <c r="A202" s="672">
        <f t="shared" ca="1" si="29"/>
        <v>42036</v>
      </c>
      <c r="C202" s="681">
        <f ca="1">IF($A202&gt;Endyr,0,VLOOKUP($A202,Capacity_Table,Tariff!$R$18))</f>
        <v>480</v>
      </c>
      <c r="D202" s="330">
        <f t="shared" ca="1" si="30"/>
        <v>28</v>
      </c>
      <c r="E202" s="330" t="str">
        <f t="shared" ca="1" si="31"/>
        <v xml:space="preserve"> </v>
      </c>
      <c r="F202" s="332">
        <f t="shared" si="38"/>
        <v>24</v>
      </c>
      <c r="G202" s="1109">
        <f t="shared" ca="1" si="32"/>
        <v>0</v>
      </c>
      <c r="H202" s="1686">
        <f ca="1">IF(Avail_LDs_Switch=1,VLOOKUP('Plant Operations'!A202,RAC_AvailFactor_Table,RAC_LDs!$G$258),IF($A202&lt;Startops2,Tariff!$T$11,0))</f>
        <v>0</v>
      </c>
      <c r="I202" s="1559">
        <f ca="1">IF(OR($A202&lt;Startops1,$A202&gt;=Startops2),0,IF(AND($A202&gt;=DieselOps_2,$A202&lt;Startops2),VLOOKUP($A202,Diesel_Table,Tariff!$Y$41),VLOOKUP($A202,OA_Table,Tariff!$Y$26)))</f>
        <v>0</v>
      </c>
      <c r="J202" s="391" t="str">
        <f t="shared" ca="1" si="39"/>
        <v xml:space="preserve"> </v>
      </c>
      <c r="K202" s="1109">
        <f ca="1">IF(OR($A202&lt;Startops2,$A202&gt;=Endyr),0,VLOOKUP($A202,Capacity_Table,Tariff!$S$18))</f>
        <v>0.91</v>
      </c>
      <c r="L202" s="212">
        <f ca="1">IF(OR($A202&lt;Startops2,$A202&gt;=Endyr),0,VLOOKUP($A202,Capacity_Table,Tariff!$T$18))</f>
        <v>0.92</v>
      </c>
      <c r="M202" s="334">
        <f ca="1">IF($A202&lt;Startops2,0,IF($A202&lt;Startops3,VLOOKUP($A202,Convert_Table,Tariff!$Y$54),C202*D202*F202*K202*L202))</f>
        <v>270047.23200000002</v>
      </c>
      <c r="N202" s="391" t="str">
        <f t="shared" ca="1" si="40"/>
        <v xml:space="preserve"> </v>
      </c>
      <c r="O202" s="334">
        <f t="shared" ca="1" si="41"/>
        <v>7000</v>
      </c>
      <c r="P202" s="334">
        <f t="shared" ca="1" si="33"/>
        <v>1890330.6240000003</v>
      </c>
      <c r="Q202" s="332" t="str">
        <f t="shared" ca="1" si="34"/>
        <v xml:space="preserve"> </v>
      </c>
      <c r="R202" s="334">
        <f ca="1">IF($A202&gt;Endyr,0,IF($A202&lt;Assm!$A$55,P202,Assm!$F$55*$D202))</f>
        <v>1651242.0821917809</v>
      </c>
      <c r="S202" s="391" t="str">
        <f t="shared" ca="1" si="35"/>
        <v xml:space="preserve"> </v>
      </c>
      <c r="T202" s="334">
        <f t="shared" ca="1" si="36"/>
        <v>1890330.6240000003</v>
      </c>
      <c r="U202" s="682" t="str">
        <f t="shared" ca="1" si="37"/>
        <v xml:space="preserve"> </v>
      </c>
    </row>
    <row r="203" spans="1:21">
      <c r="A203" s="672">
        <f t="shared" ca="1" si="29"/>
        <v>42064</v>
      </c>
      <c r="C203" s="681">
        <f ca="1">IF($A203&gt;Endyr,0,VLOOKUP($A203,Capacity_Table,Tariff!$R$18))</f>
        <v>480</v>
      </c>
      <c r="D203" s="330">
        <f t="shared" ca="1" si="30"/>
        <v>31</v>
      </c>
      <c r="E203" s="330" t="str">
        <f t="shared" ca="1" si="31"/>
        <v xml:space="preserve"> </v>
      </c>
      <c r="F203" s="332">
        <f t="shared" si="38"/>
        <v>24</v>
      </c>
      <c r="G203" s="1109">
        <f t="shared" ca="1" si="32"/>
        <v>0</v>
      </c>
      <c r="H203" s="1686">
        <f ca="1">IF(Avail_LDs_Switch=1,VLOOKUP('Plant Operations'!A203,RAC_AvailFactor_Table,RAC_LDs!$G$258),IF($A203&lt;Startops2,Tariff!$T$11,0))</f>
        <v>0</v>
      </c>
      <c r="I203" s="1559">
        <f ca="1">IF(OR($A203&lt;Startops1,$A203&gt;=Startops2),0,IF(AND($A203&gt;=DieselOps_2,$A203&lt;Startops2),VLOOKUP($A203,Diesel_Table,Tariff!$Y$41),VLOOKUP($A203,OA_Table,Tariff!$Y$26)))</f>
        <v>0</v>
      </c>
      <c r="J203" s="391" t="str">
        <f t="shared" ca="1" si="39"/>
        <v xml:space="preserve"> </v>
      </c>
      <c r="K203" s="1109">
        <f ca="1">IF(OR($A203&lt;Startops2,$A203&gt;=Endyr),0,VLOOKUP($A203,Capacity_Table,Tariff!$S$18))</f>
        <v>0.91</v>
      </c>
      <c r="L203" s="212">
        <f ca="1">IF(OR($A203&lt;Startops2,$A203&gt;=Endyr),0,VLOOKUP($A203,Capacity_Table,Tariff!$T$18))</f>
        <v>0.92</v>
      </c>
      <c r="M203" s="334">
        <f ca="1">IF($A203&lt;Startops2,0,IF($A203&lt;Startops3,VLOOKUP($A203,Convert_Table,Tariff!$Y$54),C203*D203*F203*K203*L203))</f>
        <v>298980.864</v>
      </c>
      <c r="N203" s="391" t="str">
        <f t="shared" ca="1" si="40"/>
        <v xml:space="preserve"> </v>
      </c>
      <c r="O203" s="334">
        <f t="shared" ca="1" si="41"/>
        <v>7000</v>
      </c>
      <c r="P203" s="334">
        <f t="shared" ca="1" si="33"/>
        <v>2092866.048</v>
      </c>
      <c r="Q203" s="332" t="str">
        <f t="shared" ca="1" si="34"/>
        <v xml:space="preserve"> </v>
      </c>
      <c r="R203" s="334">
        <f ca="1">IF($A203&gt;Endyr,0,IF($A203&lt;Assm!$A$55,P203,Assm!$F$55*$D203))</f>
        <v>1828160.8767123288</v>
      </c>
      <c r="S203" s="391" t="str">
        <f t="shared" ca="1" si="35"/>
        <v xml:space="preserve"> </v>
      </c>
      <c r="T203" s="334">
        <f t="shared" ca="1" si="36"/>
        <v>2092866.048</v>
      </c>
      <c r="U203" s="682" t="str">
        <f t="shared" ca="1" si="37"/>
        <v xml:space="preserve"> </v>
      </c>
    </row>
    <row r="204" spans="1:21">
      <c r="A204" s="672">
        <f t="shared" ca="1" si="29"/>
        <v>42095</v>
      </c>
      <c r="C204" s="681">
        <f ca="1">IF($A204&gt;Endyr,0,VLOOKUP($A204,Capacity_Table,Tariff!$R$18))</f>
        <v>480</v>
      </c>
      <c r="D204" s="330">
        <f t="shared" ca="1" si="30"/>
        <v>30</v>
      </c>
      <c r="E204" s="330" t="str">
        <f t="shared" ca="1" si="31"/>
        <v xml:space="preserve"> </v>
      </c>
      <c r="F204" s="332">
        <f t="shared" si="38"/>
        <v>24</v>
      </c>
      <c r="G204" s="1109">
        <f t="shared" ca="1" si="32"/>
        <v>0</v>
      </c>
      <c r="H204" s="1686">
        <f ca="1">IF(Avail_LDs_Switch=1,VLOOKUP('Plant Operations'!A204,RAC_AvailFactor_Table,RAC_LDs!$G$258),IF($A204&lt;Startops2,Tariff!$T$11,0))</f>
        <v>0</v>
      </c>
      <c r="I204" s="1559">
        <f ca="1">IF(OR($A204&lt;Startops1,$A204&gt;=Startops2),0,IF(AND($A204&gt;=DieselOps_2,$A204&lt;Startops2),VLOOKUP($A204,Diesel_Table,Tariff!$Y$41),VLOOKUP($A204,OA_Table,Tariff!$Y$26)))</f>
        <v>0</v>
      </c>
      <c r="J204" s="391" t="str">
        <f t="shared" ca="1" si="39"/>
        <v xml:space="preserve"> </v>
      </c>
      <c r="K204" s="1109">
        <f ca="1">IF(OR($A204&lt;Startops2,$A204&gt;=Endyr),0,VLOOKUP($A204,Capacity_Table,Tariff!$S$18))</f>
        <v>0.91</v>
      </c>
      <c r="L204" s="212">
        <f ca="1">IF(OR($A204&lt;Startops2,$A204&gt;=Endyr),0,VLOOKUP($A204,Capacity_Table,Tariff!$T$18))</f>
        <v>0.92</v>
      </c>
      <c r="M204" s="334">
        <f ca="1">IF($A204&lt;Startops2,0,IF($A204&lt;Startops3,VLOOKUP($A204,Convert_Table,Tariff!$Y$54),C204*D204*F204*K204*L204))</f>
        <v>289336.32000000001</v>
      </c>
      <c r="N204" s="391" t="str">
        <f t="shared" ca="1" si="40"/>
        <v xml:space="preserve"> </v>
      </c>
      <c r="O204" s="334">
        <f t="shared" ca="1" si="41"/>
        <v>7000</v>
      </c>
      <c r="P204" s="334">
        <f t="shared" ca="1" si="33"/>
        <v>2025354.24</v>
      </c>
      <c r="Q204" s="332" t="str">
        <f t="shared" ca="1" si="34"/>
        <v xml:space="preserve"> </v>
      </c>
      <c r="R204" s="334">
        <f ca="1">IF($A204&gt;Endyr,0,IF($A204&lt;Assm!$A$55,P204,Assm!$F$55*$D204))</f>
        <v>1769187.9452054794</v>
      </c>
      <c r="S204" s="391" t="str">
        <f t="shared" ca="1" si="35"/>
        <v xml:space="preserve"> </v>
      </c>
      <c r="T204" s="334">
        <f t="shared" ca="1" si="36"/>
        <v>2025354.24</v>
      </c>
      <c r="U204" s="682" t="str">
        <f t="shared" ca="1" si="37"/>
        <v xml:space="preserve"> </v>
      </c>
    </row>
    <row r="205" spans="1:21">
      <c r="A205" s="672">
        <f t="shared" ref="A205:A267" ca="1" si="42">EDATE(A204,1)</f>
        <v>42125</v>
      </c>
      <c r="C205" s="681">
        <f ca="1">IF($A205&gt;Endyr,0,VLOOKUP($A205,Capacity_Table,Tariff!$R$18))</f>
        <v>480</v>
      </c>
      <c r="D205" s="330">
        <f t="shared" ref="D205:D266" ca="1" si="43">A206-A205</f>
        <v>31</v>
      </c>
      <c r="E205" s="330" t="str">
        <f t="shared" ref="E205:E266" ca="1" si="44">IF(MONTH($A205)=12,SUM(D194:D205)," ")</f>
        <v xml:space="preserve"> </v>
      </c>
      <c r="F205" s="332">
        <f t="shared" si="38"/>
        <v>24</v>
      </c>
      <c r="G205" s="1109">
        <f t="shared" ref="G205:G266" ca="1" si="45">IF(I205=0,0,I205/($C205*$D205*$F205*H205))</f>
        <v>0</v>
      </c>
      <c r="H205" s="1686">
        <f ca="1">IF(Avail_LDs_Switch=1,VLOOKUP('Plant Operations'!A205,RAC_AvailFactor_Table,RAC_LDs!$G$258),IF($A205&lt;Startops2,Tariff!$T$11,0))</f>
        <v>0</v>
      </c>
      <c r="I205" s="1559">
        <f ca="1">IF(OR($A205&lt;Startops1,$A205&gt;=Startops2),0,IF(AND($A205&gt;=DieselOps_2,$A205&lt;Startops2),VLOOKUP($A205,Diesel_Table,Tariff!$Y$41),VLOOKUP($A205,OA_Table,Tariff!$Y$26)))</f>
        <v>0</v>
      </c>
      <c r="J205" s="391" t="str">
        <f t="shared" ca="1" si="39"/>
        <v xml:space="preserve"> </v>
      </c>
      <c r="K205" s="1109">
        <f ca="1">IF(OR($A205&lt;Startops2,$A205&gt;=Endyr),0,VLOOKUP($A205,Capacity_Table,Tariff!$S$18))</f>
        <v>0.91</v>
      </c>
      <c r="L205" s="212">
        <f ca="1">IF(OR($A205&lt;Startops2,$A205&gt;=Endyr),0,VLOOKUP($A205,Capacity_Table,Tariff!$T$18))</f>
        <v>0.92</v>
      </c>
      <c r="M205" s="334">
        <f ca="1">IF($A205&lt;Startops2,0,IF($A205&lt;Startops3,VLOOKUP($A205,Convert_Table,Tariff!$Y$54),C205*D205*F205*K205*L205))</f>
        <v>298980.864</v>
      </c>
      <c r="N205" s="391" t="str">
        <f t="shared" ca="1" si="40"/>
        <v xml:space="preserve"> </v>
      </c>
      <c r="O205" s="334">
        <f t="shared" ca="1" si="41"/>
        <v>7000</v>
      </c>
      <c r="P205" s="334">
        <f t="shared" ref="P205:P266" ca="1" si="46">M205*O205/1000</f>
        <v>2092866.048</v>
      </c>
      <c r="Q205" s="332" t="str">
        <f t="shared" ref="Q205:Q266" ca="1" si="47">IF(MONTH($A205)=12,SUM(P194:P205)," ")</f>
        <v xml:space="preserve"> </v>
      </c>
      <c r="R205" s="334">
        <f ca="1">IF($A205&gt;Endyr,0,IF($A205&lt;Assm!$A$55,P205,Assm!$F$55*$D205))</f>
        <v>1828160.8767123288</v>
      </c>
      <c r="S205" s="391" t="str">
        <f t="shared" ref="S205:S266" ca="1" si="48">IF(MONTH($A205)=12,SUM(R194:R205)," ")</f>
        <v xml:space="preserve"> </v>
      </c>
      <c r="T205" s="334">
        <f t="shared" ref="T205:T266" ca="1" si="49">MAX(P205,R205)</f>
        <v>2092866.048</v>
      </c>
      <c r="U205" s="682" t="str">
        <f t="shared" ref="U205:U266" ca="1" si="50">IF(MONTH($A205)=12,SUM(T194:T205)," ")</f>
        <v xml:space="preserve"> </v>
      </c>
    </row>
    <row r="206" spans="1:21">
      <c r="A206" s="672">
        <f t="shared" ca="1" si="42"/>
        <v>42156</v>
      </c>
      <c r="C206" s="681">
        <f ca="1">IF($A206&gt;Endyr,0,VLOOKUP($A206,Capacity_Table,Tariff!$R$18))</f>
        <v>480</v>
      </c>
      <c r="D206" s="330">
        <f t="shared" ca="1" si="43"/>
        <v>30</v>
      </c>
      <c r="E206" s="330" t="str">
        <f t="shared" ca="1" si="44"/>
        <v xml:space="preserve"> </v>
      </c>
      <c r="F206" s="332">
        <f t="shared" ref="F206:F266" si="51">F205</f>
        <v>24</v>
      </c>
      <c r="G206" s="1109">
        <f t="shared" ca="1" si="45"/>
        <v>0</v>
      </c>
      <c r="H206" s="1686">
        <f ca="1">IF(Avail_LDs_Switch=1,VLOOKUP('Plant Operations'!A206,RAC_AvailFactor_Table,RAC_LDs!$G$258),IF($A206&lt;Startops2,Tariff!$T$11,0))</f>
        <v>0</v>
      </c>
      <c r="I206" s="1559">
        <f ca="1">IF(OR($A206&lt;Startops1,$A206&gt;=Startops2),0,IF(AND($A206&gt;=DieselOps_2,$A206&lt;Startops2),VLOOKUP($A206,Diesel_Table,Tariff!$Y$41),VLOOKUP($A206,OA_Table,Tariff!$Y$26)))</f>
        <v>0</v>
      </c>
      <c r="J206" s="391" t="str">
        <f t="shared" ca="1" si="39"/>
        <v xml:space="preserve"> </v>
      </c>
      <c r="K206" s="1109">
        <f ca="1">IF(OR($A206&lt;Startops2,$A206&gt;=Endyr),0,VLOOKUP($A206,Capacity_Table,Tariff!$S$18))</f>
        <v>0.91</v>
      </c>
      <c r="L206" s="212">
        <f ca="1">IF(OR($A206&lt;Startops2,$A206&gt;=Endyr),0,VLOOKUP($A206,Capacity_Table,Tariff!$T$18))</f>
        <v>0.92</v>
      </c>
      <c r="M206" s="334">
        <f ca="1">IF($A206&lt;Startops2,0,IF($A206&lt;Startops3,VLOOKUP($A206,Convert_Table,Tariff!$Y$54),C206*D206*F206*K206*L206))</f>
        <v>289336.32000000001</v>
      </c>
      <c r="N206" s="391" t="str">
        <f t="shared" ca="1" si="40"/>
        <v xml:space="preserve"> </v>
      </c>
      <c r="O206" s="334">
        <f t="shared" ca="1" si="41"/>
        <v>7000</v>
      </c>
      <c r="P206" s="334">
        <f t="shared" ca="1" si="46"/>
        <v>2025354.24</v>
      </c>
      <c r="Q206" s="332" t="str">
        <f t="shared" ca="1" si="47"/>
        <v xml:space="preserve"> </v>
      </c>
      <c r="R206" s="334">
        <f ca="1">IF($A206&gt;Endyr,0,IF($A206&lt;Assm!$A$55,P206,Assm!$F$55*$D206))</f>
        <v>1769187.9452054794</v>
      </c>
      <c r="S206" s="391" t="str">
        <f t="shared" ca="1" si="48"/>
        <v xml:space="preserve"> </v>
      </c>
      <c r="T206" s="334">
        <f t="shared" ca="1" si="49"/>
        <v>2025354.24</v>
      </c>
      <c r="U206" s="682" t="str">
        <f t="shared" ca="1" si="50"/>
        <v xml:space="preserve"> </v>
      </c>
    </row>
    <row r="207" spans="1:21">
      <c r="A207" s="672">
        <f t="shared" ca="1" si="42"/>
        <v>42186</v>
      </c>
      <c r="C207" s="681">
        <f ca="1">IF($A207&gt;Endyr,0,VLOOKUP($A207,Capacity_Table,Tariff!$R$18))</f>
        <v>480</v>
      </c>
      <c r="D207" s="330">
        <f t="shared" ca="1" si="43"/>
        <v>31</v>
      </c>
      <c r="E207" s="330" t="str">
        <f t="shared" ca="1" si="44"/>
        <v xml:space="preserve"> </v>
      </c>
      <c r="F207" s="332">
        <f t="shared" si="51"/>
        <v>24</v>
      </c>
      <c r="G207" s="1109">
        <f t="shared" ca="1" si="45"/>
        <v>0</v>
      </c>
      <c r="H207" s="1686">
        <f ca="1">IF(Avail_LDs_Switch=1,VLOOKUP('Plant Operations'!A207,RAC_AvailFactor_Table,RAC_LDs!$G$258),IF($A207&lt;Startops2,Tariff!$T$11,0))</f>
        <v>0</v>
      </c>
      <c r="I207" s="1559">
        <f ca="1">IF(OR($A207&lt;Startops1,$A207&gt;=Startops2),0,IF(AND($A207&gt;=DieselOps_2,$A207&lt;Startops2),VLOOKUP($A207,Diesel_Table,Tariff!$Y$41),VLOOKUP($A207,OA_Table,Tariff!$Y$26)))</f>
        <v>0</v>
      </c>
      <c r="J207" s="391" t="str">
        <f t="shared" ca="1" si="39"/>
        <v xml:space="preserve"> </v>
      </c>
      <c r="K207" s="1109">
        <f ca="1">IF(OR($A207&lt;Startops2,$A207&gt;=Endyr),0,VLOOKUP($A207,Capacity_Table,Tariff!$S$18))</f>
        <v>0.91</v>
      </c>
      <c r="L207" s="212">
        <f ca="1">IF(OR($A207&lt;Startops2,$A207&gt;=Endyr),0,VLOOKUP($A207,Capacity_Table,Tariff!$T$18))</f>
        <v>0.92</v>
      </c>
      <c r="M207" s="334">
        <f ca="1">IF($A207&lt;Startops2,0,IF($A207&lt;Startops3,VLOOKUP($A207,Convert_Table,Tariff!$Y$54),C207*D207*F207*K207*L207))</f>
        <v>298980.864</v>
      </c>
      <c r="N207" s="391" t="str">
        <f t="shared" ca="1" si="40"/>
        <v xml:space="preserve"> </v>
      </c>
      <c r="O207" s="334">
        <f t="shared" ca="1" si="41"/>
        <v>7000</v>
      </c>
      <c r="P207" s="334">
        <f t="shared" ca="1" si="46"/>
        <v>2092866.048</v>
      </c>
      <c r="Q207" s="332" t="str">
        <f t="shared" ca="1" si="47"/>
        <v xml:space="preserve"> </v>
      </c>
      <c r="R207" s="334">
        <f ca="1">IF($A207&gt;Endyr,0,IF($A207&lt;Assm!$A$55,P207,Assm!$F$55*$D207))</f>
        <v>1828160.8767123288</v>
      </c>
      <c r="S207" s="391" t="str">
        <f t="shared" ca="1" si="48"/>
        <v xml:space="preserve"> </v>
      </c>
      <c r="T207" s="334">
        <f t="shared" ca="1" si="49"/>
        <v>2092866.048</v>
      </c>
      <c r="U207" s="682" t="str">
        <f t="shared" ca="1" si="50"/>
        <v xml:space="preserve"> </v>
      </c>
    </row>
    <row r="208" spans="1:21">
      <c r="A208" s="672">
        <f t="shared" ca="1" si="42"/>
        <v>42217</v>
      </c>
      <c r="C208" s="681">
        <f ca="1">IF($A208&gt;Endyr,0,VLOOKUP($A208,Capacity_Table,Tariff!$R$18))</f>
        <v>480</v>
      </c>
      <c r="D208" s="330">
        <f t="shared" ca="1" si="43"/>
        <v>31</v>
      </c>
      <c r="E208" s="330" t="str">
        <f t="shared" ca="1" si="44"/>
        <v xml:space="preserve"> </v>
      </c>
      <c r="F208" s="332">
        <f t="shared" si="51"/>
        <v>24</v>
      </c>
      <c r="G208" s="1109">
        <f t="shared" ca="1" si="45"/>
        <v>0</v>
      </c>
      <c r="H208" s="1686">
        <f ca="1">IF(Avail_LDs_Switch=1,VLOOKUP('Plant Operations'!A208,RAC_AvailFactor_Table,RAC_LDs!$G$258),IF($A208&lt;Startops2,Tariff!$T$11,0))</f>
        <v>0</v>
      </c>
      <c r="I208" s="1559">
        <f ca="1">IF(OR($A208&lt;Startops1,$A208&gt;=Startops2),0,IF(AND($A208&gt;=DieselOps_2,$A208&lt;Startops2),VLOOKUP($A208,Diesel_Table,Tariff!$Y$41),VLOOKUP($A208,OA_Table,Tariff!$Y$26)))</f>
        <v>0</v>
      </c>
      <c r="J208" s="391" t="str">
        <f t="shared" ca="1" si="39"/>
        <v xml:space="preserve"> </v>
      </c>
      <c r="K208" s="1109">
        <f ca="1">IF(OR($A208&lt;Startops2,$A208&gt;=Endyr),0,VLOOKUP($A208,Capacity_Table,Tariff!$S$18))</f>
        <v>0.91</v>
      </c>
      <c r="L208" s="212">
        <f ca="1">IF(OR($A208&lt;Startops2,$A208&gt;=Endyr),0,VLOOKUP($A208,Capacity_Table,Tariff!$T$18))</f>
        <v>0.92</v>
      </c>
      <c r="M208" s="334">
        <f ca="1">IF($A208&lt;Startops2,0,IF($A208&lt;Startops3,VLOOKUP($A208,Convert_Table,Tariff!$Y$54),C208*D208*F208*K208*L208))</f>
        <v>298980.864</v>
      </c>
      <c r="N208" s="391" t="str">
        <f t="shared" ca="1" si="40"/>
        <v xml:space="preserve"> </v>
      </c>
      <c r="O208" s="334">
        <f t="shared" ca="1" si="41"/>
        <v>7000</v>
      </c>
      <c r="P208" s="334">
        <f t="shared" ca="1" si="46"/>
        <v>2092866.048</v>
      </c>
      <c r="Q208" s="332" t="str">
        <f t="shared" ca="1" si="47"/>
        <v xml:space="preserve"> </v>
      </c>
      <c r="R208" s="334">
        <f ca="1">IF($A208&gt;Endyr,0,IF($A208&lt;Assm!$A$55,P208,Assm!$F$55*$D208))</f>
        <v>1828160.8767123288</v>
      </c>
      <c r="S208" s="391" t="str">
        <f t="shared" ca="1" si="48"/>
        <v xml:space="preserve"> </v>
      </c>
      <c r="T208" s="334">
        <f t="shared" ca="1" si="49"/>
        <v>2092866.048</v>
      </c>
      <c r="U208" s="682" t="str">
        <f t="shared" ca="1" si="50"/>
        <v xml:space="preserve"> </v>
      </c>
    </row>
    <row r="209" spans="1:21">
      <c r="A209" s="672">
        <f t="shared" ca="1" si="42"/>
        <v>42248</v>
      </c>
      <c r="C209" s="681">
        <f ca="1">IF($A209&gt;Endyr,0,VLOOKUP($A209,Capacity_Table,Tariff!$R$18))</f>
        <v>480</v>
      </c>
      <c r="D209" s="330">
        <f t="shared" ca="1" si="43"/>
        <v>30</v>
      </c>
      <c r="E209" s="330" t="str">
        <f t="shared" ca="1" si="44"/>
        <v xml:space="preserve"> </v>
      </c>
      <c r="F209" s="332">
        <f t="shared" si="51"/>
        <v>24</v>
      </c>
      <c r="G209" s="1109">
        <f t="shared" ca="1" si="45"/>
        <v>0</v>
      </c>
      <c r="H209" s="1686">
        <f ca="1">IF(Avail_LDs_Switch=1,VLOOKUP('Plant Operations'!A209,RAC_AvailFactor_Table,RAC_LDs!$G$258),IF($A209&lt;Startops2,Tariff!$T$11,0))</f>
        <v>0</v>
      </c>
      <c r="I209" s="1559">
        <f ca="1">IF(OR($A209&lt;Startops1,$A209&gt;=Startops2),0,IF(AND($A209&gt;=DieselOps_2,$A209&lt;Startops2),VLOOKUP($A209,Diesel_Table,Tariff!$Y$41),VLOOKUP($A209,OA_Table,Tariff!$Y$26)))</f>
        <v>0</v>
      </c>
      <c r="J209" s="391" t="str">
        <f t="shared" ca="1" si="39"/>
        <v xml:space="preserve"> </v>
      </c>
      <c r="K209" s="1109">
        <f ca="1">IF(OR($A209&lt;Startops2,$A209&gt;=Endyr),0,VLOOKUP($A209,Capacity_Table,Tariff!$S$18))</f>
        <v>0.91</v>
      </c>
      <c r="L209" s="212">
        <f ca="1">IF(OR($A209&lt;Startops2,$A209&gt;=Endyr),0,VLOOKUP($A209,Capacity_Table,Tariff!$T$18))</f>
        <v>0.92</v>
      </c>
      <c r="M209" s="334">
        <f ca="1">IF($A209&lt;Startops2,0,IF($A209&lt;Startops3,VLOOKUP($A209,Convert_Table,Tariff!$Y$54),C209*D209*F209*K209*L209))</f>
        <v>289336.32000000001</v>
      </c>
      <c r="N209" s="391" t="str">
        <f t="shared" ca="1" si="40"/>
        <v xml:space="preserve"> </v>
      </c>
      <c r="O209" s="334">
        <f t="shared" ca="1" si="41"/>
        <v>7000</v>
      </c>
      <c r="P209" s="334">
        <f t="shared" ca="1" si="46"/>
        <v>2025354.24</v>
      </c>
      <c r="Q209" s="332" t="str">
        <f t="shared" ca="1" si="47"/>
        <v xml:space="preserve"> </v>
      </c>
      <c r="R209" s="334">
        <f ca="1">IF($A209&gt;Endyr,0,IF($A209&lt;Assm!$A$55,P209,Assm!$F$55*$D209))</f>
        <v>1769187.9452054794</v>
      </c>
      <c r="S209" s="391" t="str">
        <f t="shared" ca="1" si="48"/>
        <v xml:space="preserve"> </v>
      </c>
      <c r="T209" s="334">
        <f t="shared" ca="1" si="49"/>
        <v>2025354.24</v>
      </c>
      <c r="U209" s="682" t="str">
        <f t="shared" ca="1" si="50"/>
        <v xml:space="preserve"> </v>
      </c>
    </row>
    <row r="210" spans="1:21">
      <c r="A210" s="672">
        <f t="shared" ca="1" si="42"/>
        <v>42278</v>
      </c>
      <c r="C210" s="681">
        <f ca="1">IF($A210&gt;Endyr,0,VLOOKUP($A210,Capacity_Table,Tariff!$R$18))</f>
        <v>480</v>
      </c>
      <c r="D210" s="330">
        <f t="shared" ca="1" si="43"/>
        <v>31</v>
      </c>
      <c r="E210" s="330" t="str">
        <f t="shared" ca="1" si="44"/>
        <v xml:space="preserve"> </v>
      </c>
      <c r="F210" s="332">
        <f t="shared" si="51"/>
        <v>24</v>
      </c>
      <c r="G210" s="1109">
        <f t="shared" ca="1" si="45"/>
        <v>0</v>
      </c>
      <c r="H210" s="1686">
        <f ca="1">IF(Avail_LDs_Switch=1,VLOOKUP('Plant Operations'!A210,RAC_AvailFactor_Table,RAC_LDs!$G$258),IF($A210&lt;Startops2,Tariff!$T$11,0))</f>
        <v>0</v>
      </c>
      <c r="I210" s="1559">
        <f ca="1">IF(OR($A210&lt;Startops1,$A210&gt;=Startops2),0,IF(AND($A210&gt;=DieselOps_2,$A210&lt;Startops2),VLOOKUP($A210,Diesel_Table,Tariff!$Y$41),VLOOKUP($A210,OA_Table,Tariff!$Y$26)))</f>
        <v>0</v>
      </c>
      <c r="J210" s="391" t="str">
        <f t="shared" ca="1" si="39"/>
        <v xml:space="preserve"> </v>
      </c>
      <c r="K210" s="1109">
        <f ca="1">IF(OR($A210&lt;Startops2,$A210&gt;=Endyr),0,VLOOKUP($A210,Capacity_Table,Tariff!$S$18))</f>
        <v>0.91</v>
      </c>
      <c r="L210" s="212">
        <f ca="1">IF(OR($A210&lt;Startops2,$A210&gt;=Endyr),0,VLOOKUP($A210,Capacity_Table,Tariff!$T$18))</f>
        <v>0.92</v>
      </c>
      <c r="M210" s="334">
        <f ca="1">IF($A210&lt;Startops2,0,IF($A210&lt;Startops3,VLOOKUP($A210,Convert_Table,Tariff!$Y$54),C210*D210*F210*K210*L210))</f>
        <v>298980.864</v>
      </c>
      <c r="N210" s="391" t="str">
        <f t="shared" ca="1" si="40"/>
        <v xml:space="preserve"> </v>
      </c>
      <c r="O210" s="334">
        <f t="shared" ca="1" si="41"/>
        <v>7000</v>
      </c>
      <c r="P210" s="334">
        <f t="shared" ca="1" si="46"/>
        <v>2092866.048</v>
      </c>
      <c r="Q210" s="332" t="str">
        <f t="shared" ca="1" si="47"/>
        <v xml:space="preserve"> </v>
      </c>
      <c r="R210" s="334">
        <f ca="1">IF($A210&gt;Endyr,0,IF($A210&lt;Assm!$A$55,P210,Assm!$F$55*$D210))</f>
        <v>1828160.8767123288</v>
      </c>
      <c r="S210" s="391" t="str">
        <f t="shared" ca="1" si="48"/>
        <v xml:space="preserve"> </v>
      </c>
      <c r="T210" s="334">
        <f t="shared" ca="1" si="49"/>
        <v>2092866.048</v>
      </c>
      <c r="U210" s="682" t="str">
        <f t="shared" ca="1" si="50"/>
        <v xml:space="preserve"> </v>
      </c>
    </row>
    <row r="211" spans="1:21">
      <c r="A211" s="672">
        <f t="shared" ca="1" si="42"/>
        <v>42309</v>
      </c>
      <c r="C211" s="681">
        <f ca="1">IF($A211&gt;Endyr,0,VLOOKUP($A211,Capacity_Table,Tariff!$R$18))</f>
        <v>480</v>
      </c>
      <c r="D211" s="330">
        <f t="shared" ca="1" si="43"/>
        <v>30</v>
      </c>
      <c r="E211" s="330" t="str">
        <f t="shared" ca="1" si="44"/>
        <v xml:space="preserve"> </v>
      </c>
      <c r="F211" s="332">
        <f t="shared" si="51"/>
        <v>24</v>
      </c>
      <c r="G211" s="1109">
        <f t="shared" ca="1" si="45"/>
        <v>0</v>
      </c>
      <c r="H211" s="1686">
        <f ca="1">IF(Avail_LDs_Switch=1,VLOOKUP('Plant Operations'!A211,RAC_AvailFactor_Table,RAC_LDs!$G$258),IF($A211&lt;Startops2,Tariff!$T$11,0))</f>
        <v>0</v>
      </c>
      <c r="I211" s="1559">
        <f ca="1">IF(OR($A211&lt;Startops1,$A211&gt;=Startops2),0,IF(AND($A211&gt;=DieselOps_2,$A211&lt;Startops2),VLOOKUP($A211,Diesel_Table,Tariff!$Y$41),VLOOKUP($A211,OA_Table,Tariff!$Y$26)))</f>
        <v>0</v>
      </c>
      <c r="J211" s="391" t="str">
        <f t="shared" ca="1" si="39"/>
        <v xml:space="preserve"> </v>
      </c>
      <c r="K211" s="1109">
        <f ca="1">IF(OR($A211&lt;Startops2,$A211&gt;=Endyr),0,VLOOKUP($A211,Capacity_Table,Tariff!$S$18))</f>
        <v>0.91</v>
      </c>
      <c r="L211" s="212">
        <f ca="1">IF(OR($A211&lt;Startops2,$A211&gt;=Endyr),0,VLOOKUP($A211,Capacity_Table,Tariff!$T$18))</f>
        <v>0.92</v>
      </c>
      <c r="M211" s="334">
        <f ca="1">IF($A211&lt;Startops2,0,IF($A211&lt;Startops3,VLOOKUP($A211,Convert_Table,Tariff!$Y$54),C211*D211*F211*K211*L211))</f>
        <v>289336.32000000001</v>
      </c>
      <c r="N211" s="391" t="str">
        <f t="shared" ca="1" si="40"/>
        <v xml:space="preserve"> </v>
      </c>
      <c r="O211" s="334">
        <f t="shared" ca="1" si="41"/>
        <v>7000</v>
      </c>
      <c r="P211" s="334">
        <f t="shared" ca="1" si="46"/>
        <v>2025354.24</v>
      </c>
      <c r="Q211" s="332" t="str">
        <f t="shared" ca="1" si="47"/>
        <v xml:space="preserve"> </v>
      </c>
      <c r="R211" s="334">
        <f ca="1">IF($A211&gt;Endyr,0,IF($A211&lt;Assm!$A$55,P211,Assm!$F$55*$D211))</f>
        <v>1769187.9452054794</v>
      </c>
      <c r="S211" s="391" t="str">
        <f t="shared" ca="1" si="48"/>
        <v xml:space="preserve"> </v>
      </c>
      <c r="T211" s="334">
        <f t="shared" ca="1" si="49"/>
        <v>2025354.24</v>
      </c>
      <c r="U211" s="682" t="str">
        <f t="shared" ca="1" si="50"/>
        <v xml:space="preserve"> </v>
      </c>
    </row>
    <row r="212" spans="1:21">
      <c r="A212" s="672">
        <f t="shared" ca="1" si="42"/>
        <v>42339</v>
      </c>
      <c r="C212" s="681">
        <f ca="1">IF($A212&gt;Endyr,0,VLOOKUP($A212,Capacity_Table,Tariff!$R$18))</f>
        <v>480</v>
      </c>
      <c r="D212" s="330">
        <f t="shared" ca="1" si="43"/>
        <v>31</v>
      </c>
      <c r="E212" s="330">
        <f t="shared" ca="1" si="44"/>
        <v>365</v>
      </c>
      <c r="F212" s="332">
        <f t="shared" si="51"/>
        <v>24</v>
      </c>
      <c r="G212" s="1109">
        <f t="shared" ca="1" si="45"/>
        <v>0</v>
      </c>
      <c r="H212" s="1686">
        <f ca="1">IF(Avail_LDs_Switch=1,VLOOKUP('Plant Operations'!A212,RAC_AvailFactor_Table,RAC_LDs!$G$258),IF($A212&lt;Startops2,Tariff!$T$11,0))</f>
        <v>0</v>
      </c>
      <c r="I212" s="1559">
        <f ca="1">IF(OR($A212&lt;Startops1,$A212&gt;=Startops2),0,IF(AND($A212&gt;=DieselOps_2,$A212&lt;Startops2),VLOOKUP($A212,Diesel_Table,Tariff!$Y$41),VLOOKUP($A212,OA_Table,Tariff!$Y$26)))</f>
        <v>0</v>
      </c>
      <c r="J212" s="391">
        <f t="shared" ca="1" si="39"/>
        <v>0</v>
      </c>
      <c r="K212" s="1109">
        <f ca="1">IF(OR($A212&lt;Startops2,$A212&gt;=Endyr),0,VLOOKUP($A212,Capacity_Table,Tariff!$S$18))</f>
        <v>0.91</v>
      </c>
      <c r="L212" s="212">
        <f ca="1">IF(OR($A212&lt;Startops2,$A212&gt;=Endyr),0,VLOOKUP($A212,Capacity_Table,Tariff!$T$18))</f>
        <v>0.92</v>
      </c>
      <c r="M212" s="334">
        <f ca="1">IF($A212&lt;Startops2,0,IF($A212&lt;Startops3,VLOOKUP($A212,Convert_Table,Tariff!$Y$54),C212*D212*F212*K212*L212))</f>
        <v>298980.864</v>
      </c>
      <c r="N212" s="391">
        <f t="shared" ca="1" si="40"/>
        <v>3520258.56</v>
      </c>
      <c r="O212" s="334">
        <f t="shared" ca="1" si="41"/>
        <v>7000</v>
      </c>
      <c r="P212" s="334">
        <f t="shared" ca="1" si="46"/>
        <v>2092866.048</v>
      </c>
      <c r="Q212" s="332">
        <f t="shared" ca="1" si="47"/>
        <v>24641809.920000002</v>
      </c>
      <c r="R212" s="334">
        <f ca="1">IF($A212&gt;Endyr,0,IF($A212&lt;Assm!$A$55,P212,Assm!$F$55*$D212))</f>
        <v>1828160.8767123288</v>
      </c>
      <c r="S212" s="391">
        <f t="shared" ca="1" si="48"/>
        <v>21525120.000000004</v>
      </c>
      <c r="T212" s="334">
        <f t="shared" ca="1" si="49"/>
        <v>2092866.048</v>
      </c>
      <c r="U212" s="682">
        <f t="shared" ca="1" si="50"/>
        <v>24641809.920000002</v>
      </c>
    </row>
    <row r="213" spans="1:21">
      <c r="A213" s="672">
        <f t="shared" ca="1" si="42"/>
        <v>42370</v>
      </c>
      <c r="C213" s="681">
        <f ca="1">IF($A213&gt;Endyr,0,VLOOKUP($A213,Capacity_Table,Tariff!$R$18))</f>
        <v>480</v>
      </c>
      <c r="D213" s="330">
        <f t="shared" ca="1" si="43"/>
        <v>31</v>
      </c>
      <c r="E213" s="330" t="str">
        <f t="shared" ca="1" si="44"/>
        <v xml:space="preserve"> </v>
      </c>
      <c r="F213" s="332">
        <f t="shared" si="51"/>
        <v>24</v>
      </c>
      <c r="G213" s="1109">
        <f t="shared" ca="1" si="45"/>
        <v>0</v>
      </c>
      <c r="H213" s="1686">
        <f ca="1">IF(Avail_LDs_Switch=1,VLOOKUP('Plant Operations'!A213,RAC_AvailFactor_Table,RAC_LDs!$G$258),IF($A213&lt;Startops2,Tariff!$T$11,0))</f>
        <v>0</v>
      </c>
      <c r="I213" s="1559">
        <f ca="1">IF(OR($A213&lt;Startops1,$A213&gt;=Startops2),0,IF(AND($A213&gt;=DieselOps_2,$A213&lt;Startops2),VLOOKUP($A213,Diesel_Table,Tariff!$Y$41),VLOOKUP($A213,OA_Table,Tariff!$Y$26)))</f>
        <v>0</v>
      </c>
      <c r="J213" s="391" t="str">
        <f t="shared" ref="J213:J266" ca="1" si="52">IF(MONTH($A213)=12,SUM(I202:I213)," ")</f>
        <v xml:space="preserve"> </v>
      </c>
      <c r="K213" s="1109">
        <f ca="1">IF(OR($A213&lt;Startops2,$A213&gt;=Endyr),0,VLOOKUP($A213,Capacity_Table,Tariff!$S$18))</f>
        <v>0.91</v>
      </c>
      <c r="L213" s="212">
        <f ca="1">IF(OR($A213&lt;Startops2,$A213&gt;=Endyr),0,VLOOKUP($A213,Capacity_Table,Tariff!$T$18))</f>
        <v>0.92</v>
      </c>
      <c r="M213" s="334">
        <f ca="1">IF($A213&lt;Startops2,0,IF($A213&lt;Startops3,VLOOKUP($A213,Convert_Table,Tariff!$Y$54),C213*D213*F213*K213*L213))</f>
        <v>298980.864</v>
      </c>
      <c r="N213" s="391" t="str">
        <f t="shared" ref="N213:N266" ca="1" si="53">IF(MONTH($A213)=12,SUM(M202:M213)," ")</f>
        <v xml:space="preserve"> </v>
      </c>
      <c r="O213" s="334">
        <f t="shared" ca="1" si="41"/>
        <v>7000</v>
      </c>
      <c r="P213" s="334">
        <f t="shared" ca="1" si="46"/>
        <v>2092866.048</v>
      </c>
      <c r="Q213" s="332" t="str">
        <f t="shared" ca="1" si="47"/>
        <v xml:space="preserve"> </v>
      </c>
      <c r="R213" s="334">
        <f ca="1">IF($A213&gt;Endyr,0,IF($A213&lt;Assm!$A$55,P213,Assm!$F$55*$D213))</f>
        <v>1828160.8767123288</v>
      </c>
      <c r="S213" s="391" t="str">
        <f t="shared" ca="1" si="48"/>
        <v xml:space="preserve"> </v>
      </c>
      <c r="T213" s="334">
        <f t="shared" ca="1" si="49"/>
        <v>2092866.048</v>
      </c>
      <c r="U213" s="682" t="str">
        <f t="shared" ca="1" si="50"/>
        <v xml:space="preserve"> </v>
      </c>
    </row>
    <row r="214" spans="1:21">
      <c r="A214" s="672">
        <f t="shared" ca="1" si="42"/>
        <v>42401</v>
      </c>
      <c r="C214" s="681">
        <f ca="1">IF($A214&gt;Endyr,0,VLOOKUP($A214,Capacity_Table,Tariff!$R$18))</f>
        <v>480</v>
      </c>
      <c r="D214" s="330">
        <f t="shared" ca="1" si="43"/>
        <v>29</v>
      </c>
      <c r="E214" s="330" t="str">
        <f t="shared" ca="1" si="44"/>
        <v xml:space="preserve"> </v>
      </c>
      <c r="F214" s="332">
        <f t="shared" si="51"/>
        <v>24</v>
      </c>
      <c r="G214" s="1109">
        <f t="shared" ca="1" si="45"/>
        <v>0</v>
      </c>
      <c r="H214" s="1686">
        <f ca="1">IF(Avail_LDs_Switch=1,VLOOKUP('Plant Operations'!A214,RAC_AvailFactor_Table,RAC_LDs!$G$258),IF($A214&lt;Startops2,Tariff!$T$11,0))</f>
        <v>0</v>
      </c>
      <c r="I214" s="1559">
        <f ca="1">IF(OR($A214&lt;Startops1,$A214&gt;=Startops2),0,IF(AND($A214&gt;=DieselOps_2,$A214&lt;Startops2),VLOOKUP($A214,Diesel_Table,Tariff!$Y$41),VLOOKUP($A214,OA_Table,Tariff!$Y$26)))</f>
        <v>0</v>
      </c>
      <c r="J214" s="391" t="str">
        <f t="shared" ca="1" si="52"/>
        <v xml:space="preserve"> </v>
      </c>
      <c r="K214" s="1109">
        <f ca="1">IF(OR($A214&lt;Startops2,$A214&gt;=Endyr),0,VLOOKUP($A214,Capacity_Table,Tariff!$S$18))</f>
        <v>0.91</v>
      </c>
      <c r="L214" s="212">
        <f ca="1">IF(OR($A214&lt;Startops2,$A214&gt;=Endyr),0,VLOOKUP($A214,Capacity_Table,Tariff!$T$18))</f>
        <v>0.92</v>
      </c>
      <c r="M214" s="334">
        <f ca="1">IF($A214&lt;Startops2,0,IF($A214&lt;Startops3,VLOOKUP($A214,Convert_Table,Tariff!$Y$54),C214*D214*F214*K214*L214))</f>
        <v>279691.77600000001</v>
      </c>
      <c r="N214" s="391" t="str">
        <f t="shared" ca="1" si="53"/>
        <v xml:space="preserve"> </v>
      </c>
      <c r="O214" s="334">
        <f t="shared" ref="O214:O266" ca="1" si="54">IF($A214&lt;Startops2,0,IF($A214&lt;Startops3,Hr_II,Hr_III))</f>
        <v>7000</v>
      </c>
      <c r="P214" s="334">
        <f t="shared" ca="1" si="46"/>
        <v>1957842.432</v>
      </c>
      <c r="Q214" s="332" t="str">
        <f t="shared" ca="1" si="47"/>
        <v xml:space="preserve"> </v>
      </c>
      <c r="R214" s="334">
        <f ca="1">IF($A214&gt;Endyr,0,IF($A214&lt;Assm!$A$55,P214,Assm!$F$55*$D214))</f>
        <v>1710215.0136986303</v>
      </c>
      <c r="S214" s="391" t="str">
        <f t="shared" ca="1" si="48"/>
        <v xml:space="preserve"> </v>
      </c>
      <c r="T214" s="334">
        <f t="shared" ca="1" si="49"/>
        <v>1957842.432</v>
      </c>
      <c r="U214" s="682" t="str">
        <f t="shared" ca="1" si="50"/>
        <v xml:space="preserve"> </v>
      </c>
    </row>
    <row r="215" spans="1:21">
      <c r="A215" s="672">
        <f t="shared" ca="1" si="42"/>
        <v>42430</v>
      </c>
      <c r="C215" s="681">
        <f ca="1">IF($A215&gt;Endyr,0,VLOOKUP($A215,Capacity_Table,Tariff!$R$18))</f>
        <v>480</v>
      </c>
      <c r="D215" s="330">
        <f t="shared" ca="1" si="43"/>
        <v>31</v>
      </c>
      <c r="E215" s="330" t="str">
        <f t="shared" ca="1" si="44"/>
        <v xml:space="preserve"> </v>
      </c>
      <c r="F215" s="332">
        <f t="shared" si="51"/>
        <v>24</v>
      </c>
      <c r="G215" s="1109">
        <f t="shared" ca="1" si="45"/>
        <v>0</v>
      </c>
      <c r="H215" s="1686">
        <f ca="1">IF(Avail_LDs_Switch=1,VLOOKUP('Plant Operations'!A215,RAC_AvailFactor_Table,RAC_LDs!$G$258),IF($A215&lt;Startops2,Tariff!$T$11,0))</f>
        <v>0</v>
      </c>
      <c r="I215" s="1559">
        <f ca="1">IF(OR($A215&lt;Startops1,$A215&gt;=Startops2),0,IF(AND($A215&gt;=DieselOps_2,$A215&lt;Startops2),VLOOKUP($A215,Diesel_Table,Tariff!$Y$41),VLOOKUP($A215,OA_Table,Tariff!$Y$26)))</f>
        <v>0</v>
      </c>
      <c r="J215" s="391" t="str">
        <f t="shared" ca="1" si="52"/>
        <v xml:space="preserve"> </v>
      </c>
      <c r="K215" s="1109">
        <f ca="1">IF(OR($A215&lt;Startops2,$A215&gt;=Endyr),0,VLOOKUP($A215,Capacity_Table,Tariff!$S$18))</f>
        <v>0.91</v>
      </c>
      <c r="L215" s="212">
        <f ca="1">IF(OR($A215&lt;Startops2,$A215&gt;=Endyr),0,VLOOKUP($A215,Capacity_Table,Tariff!$T$18))</f>
        <v>0.92</v>
      </c>
      <c r="M215" s="334">
        <f ca="1">IF($A215&lt;Startops2,0,IF($A215&lt;Startops3,VLOOKUP($A215,Convert_Table,Tariff!$Y$54),C215*D215*F215*K215*L215))</f>
        <v>298980.864</v>
      </c>
      <c r="N215" s="391" t="str">
        <f t="shared" ca="1" si="53"/>
        <v xml:space="preserve"> </v>
      </c>
      <c r="O215" s="334">
        <f t="shared" ca="1" si="54"/>
        <v>7000</v>
      </c>
      <c r="P215" s="334">
        <f t="shared" ca="1" si="46"/>
        <v>2092866.048</v>
      </c>
      <c r="Q215" s="332" t="str">
        <f t="shared" ca="1" si="47"/>
        <v xml:space="preserve"> </v>
      </c>
      <c r="R215" s="334">
        <f ca="1">IF($A215&gt;Endyr,0,IF($A215&lt;Assm!$A$55,P215,Assm!$F$55*$D215))</f>
        <v>1828160.8767123288</v>
      </c>
      <c r="S215" s="391" t="str">
        <f t="shared" ca="1" si="48"/>
        <v xml:space="preserve"> </v>
      </c>
      <c r="T215" s="334">
        <f t="shared" ca="1" si="49"/>
        <v>2092866.048</v>
      </c>
      <c r="U215" s="682" t="str">
        <f t="shared" ca="1" si="50"/>
        <v xml:space="preserve"> </v>
      </c>
    </row>
    <row r="216" spans="1:21">
      <c r="A216" s="672">
        <f t="shared" ca="1" si="42"/>
        <v>42461</v>
      </c>
      <c r="C216" s="681">
        <f ca="1">IF($A216&gt;Endyr,0,VLOOKUP($A216,Capacity_Table,Tariff!$R$18))</f>
        <v>480</v>
      </c>
      <c r="D216" s="330">
        <f t="shared" ca="1" si="43"/>
        <v>30</v>
      </c>
      <c r="E216" s="330" t="str">
        <f t="shared" ca="1" si="44"/>
        <v xml:space="preserve"> </v>
      </c>
      <c r="F216" s="332">
        <f t="shared" si="51"/>
        <v>24</v>
      </c>
      <c r="G216" s="1109">
        <f t="shared" ca="1" si="45"/>
        <v>0</v>
      </c>
      <c r="H216" s="1686">
        <f ca="1">IF(Avail_LDs_Switch=1,VLOOKUP('Plant Operations'!A216,RAC_AvailFactor_Table,RAC_LDs!$G$258),IF($A216&lt;Startops2,Tariff!$T$11,0))</f>
        <v>0</v>
      </c>
      <c r="I216" s="1559">
        <f ca="1">IF(OR($A216&lt;Startops1,$A216&gt;=Startops2),0,IF(AND($A216&gt;=DieselOps_2,$A216&lt;Startops2),VLOOKUP($A216,Diesel_Table,Tariff!$Y$41),VLOOKUP($A216,OA_Table,Tariff!$Y$26)))</f>
        <v>0</v>
      </c>
      <c r="J216" s="391" t="str">
        <f t="shared" ca="1" si="52"/>
        <v xml:space="preserve"> </v>
      </c>
      <c r="K216" s="1109">
        <f ca="1">IF(OR($A216&lt;Startops2,$A216&gt;=Endyr),0,VLOOKUP($A216,Capacity_Table,Tariff!$S$18))</f>
        <v>0.91</v>
      </c>
      <c r="L216" s="212">
        <f ca="1">IF(OR($A216&lt;Startops2,$A216&gt;=Endyr),0,VLOOKUP($A216,Capacity_Table,Tariff!$T$18))</f>
        <v>0.92</v>
      </c>
      <c r="M216" s="334">
        <f ca="1">IF($A216&lt;Startops2,0,IF($A216&lt;Startops3,VLOOKUP($A216,Convert_Table,Tariff!$Y$54),C216*D216*F216*K216*L216))</f>
        <v>289336.32000000001</v>
      </c>
      <c r="N216" s="391" t="str">
        <f t="shared" ca="1" si="53"/>
        <v xml:space="preserve"> </v>
      </c>
      <c r="O216" s="334">
        <f t="shared" ca="1" si="54"/>
        <v>7000</v>
      </c>
      <c r="P216" s="334">
        <f t="shared" ca="1" si="46"/>
        <v>2025354.24</v>
      </c>
      <c r="Q216" s="332" t="str">
        <f t="shared" ca="1" si="47"/>
        <v xml:space="preserve"> </v>
      </c>
      <c r="R216" s="334">
        <f ca="1">IF($A216&gt;Endyr,0,IF($A216&lt;Assm!$A$55,P216,Assm!$F$55*$D216))</f>
        <v>1769187.9452054794</v>
      </c>
      <c r="S216" s="391" t="str">
        <f t="shared" ca="1" si="48"/>
        <v xml:space="preserve"> </v>
      </c>
      <c r="T216" s="334">
        <f t="shared" ca="1" si="49"/>
        <v>2025354.24</v>
      </c>
      <c r="U216" s="682" t="str">
        <f t="shared" ca="1" si="50"/>
        <v xml:space="preserve"> </v>
      </c>
    </row>
    <row r="217" spans="1:21">
      <c r="A217" s="672">
        <f t="shared" ca="1" si="42"/>
        <v>42491</v>
      </c>
      <c r="C217" s="681">
        <f ca="1">IF($A217&gt;Endyr,0,VLOOKUP($A217,Capacity_Table,Tariff!$R$18))</f>
        <v>480</v>
      </c>
      <c r="D217" s="330">
        <f t="shared" ca="1" si="43"/>
        <v>31</v>
      </c>
      <c r="E217" s="330" t="str">
        <f t="shared" ca="1" si="44"/>
        <v xml:space="preserve"> </v>
      </c>
      <c r="F217" s="332">
        <f t="shared" si="51"/>
        <v>24</v>
      </c>
      <c r="G217" s="1109">
        <f t="shared" ca="1" si="45"/>
        <v>0</v>
      </c>
      <c r="H217" s="1686">
        <f ca="1">IF(Avail_LDs_Switch=1,VLOOKUP('Plant Operations'!A217,RAC_AvailFactor_Table,RAC_LDs!$G$258),IF($A217&lt;Startops2,Tariff!$T$11,0))</f>
        <v>0</v>
      </c>
      <c r="I217" s="1559">
        <f ca="1">IF(OR($A217&lt;Startops1,$A217&gt;=Startops2),0,IF(AND($A217&gt;=DieselOps_2,$A217&lt;Startops2),VLOOKUP($A217,Diesel_Table,Tariff!$Y$41),VLOOKUP($A217,OA_Table,Tariff!$Y$26)))</f>
        <v>0</v>
      </c>
      <c r="J217" s="391" t="str">
        <f t="shared" ca="1" si="52"/>
        <v xml:space="preserve"> </v>
      </c>
      <c r="K217" s="1109">
        <f ca="1">IF(OR($A217&lt;Startops2,$A217&gt;=Endyr),0,VLOOKUP($A217,Capacity_Table,Tariff!$S$18))</f>
        <v>0.91</v>
      </c>
      <c r="L217" s="212">
        <f ca="1">IF(OR($A217&lt;Startops2,$A217&gt;=Endyr),0,VLOOKUP($A217,Capacity_Table,Tariff!$T$18))</f>
        <v>0.92</v>
      </c>
      <c r="M217" s="334">
        <f ca="1">IF($A217&lt;Startops2,0,IF($A217&lt;Startops3,VLOOKUP($A217,Convert_Table,Tariff!$Y$54),C217*D217*F217*K217*L217))</f>
        <v>298980.864</v>
      </c>
      <c r="N217" s="391" t="str">
        <f t="shared" ca="1" si="53"/>
        <v xml:space="preserve"> </v>
      </c>
      <c r="O217" s="334">
        <f t="shared" ca="1" si="54"/>
        <v>7000</v>
      </c>
      <c r="P217" s="334">
        <f t="shared" ca="1" si="46"/>
        <v>2092866.048</v>
      </c>
      <c r="Q217" s="332" t="str">
        <f t="shared" ca="1" si="47"/>
        <v xml:space="preserve"> </v>
      </c>
      <c r="R217" s="334">
        <f ca="1">IF($A217&gt;Endyr,0,IF($A217&lt;Assm!$A$55,P217,Assm!$F$55*$D217))</f>
        <v>1828160.8767123288</v>
      </c>
      <c r="S217" s="391" t="str">
        <f t="shared" ca="1" si="48"/>
        <v xml:space="preserve"> </v>
      </c>
      <c r="T217" s="334">
        <f t="shared" ca="1" si="49"/>
        <v>2092866.048</v>
      </c>
      <c r="U217" s="682" t="str">
        <f t="shared" ca="1" si="50"/>
        <v xml:space="preserve"> </v>
      </c>
    </row>
    <row r="218" spans="1:21">
      <c r="A218" s="672">
        <f t="shared" ca="1" si="42"/>
        <v>42522</v>
      </c>
      <c r="C218" s="681">
        <f ca="1">IF($A218&gt;Endyr,0,VLOOKUP($A218,Capacity_Table,Tariff!$R$18))</f>
        <v>480</v>
      </c>
      <c r="D218" s="330">
        <f t="shared" ca="1" si="43"/>
        <v>30</v>
      </c>
      <c r="E218" s="330" t="str">
        <f t="shared" ca="1" si="44"/>
        <v xml:space="preserve"> </v>
      </c>
      <c r="F218" s="332">
        <f t="shared" si="51"/>
        <v>24</v>
      </c>
      <c r="G218" s="1109">
        <f t="shared" ca="1" si="45"/>
        <v>0</v>
      </c>
      <c r="H218" s="1686">
        <f ca="1">IF(Avail_LDs_Switch=1,VLOOKUP('Plant Operations'!A218,RAC_AvailFactor_Table,RAC_LDs!$G$258),IF($A218&lt;Startops2,Tariff!$T$11,0))</f>
        <v>0</v>
      </c>
      <c r="I218" s="1559">
        <f ca="1">IF(OR($A218&lt;Startops1,$A218&gt;=Startops2),0,IF(AND($A218&gt;=DieselOps_2,$A218&lt;Startops2),VLOOKUP($A218,Diesel_Table,Tariff!$Y$41),VLOOKUP($A218,OA_Table,Tariff!$Y$26)))</f>
        <v>0</v>
      </c>
      <c r="J218" s="391" t="str">
        <f t="shared" ca="1" si="52"/>
        <v xml:space="preserve"> </v>
      </c>
      <c r="K218" s="1109">
        <f ca="1">IF(OR($A218&lt;Startops2,$A218&gt;=Endyr),0,VLOOKUP($A218,Capacity_Table,Tariff!$S$18))</f>
        <v>0.91</v>
      </c>
      <c r="L218" s="212">
        <f ca="1">IF(OR($A218&lt;Startops2,$A218&gt;=Endyr),0,VLOOKUP($A218,Capacity_Table,Tariff!$T$18))</f>
        <v>0.92</v>
      </c>
      <c r="M218" s="334">
        <f ca="1">IF($A218&lt;Startops2,0,IF($A218&lt;Startops3,VLOOKUP($A218,Convert_Table,Tariff!$Y$54),C218*D218*F218*K218*L218))</f>
        <v>289336.32000000001</v>
      </c>
      <c r="N218" s="391" t="str">
        <f t="shared" ca="1" si="53"/>
        <v xml:space="preserve"> </v>
      </c>
      <c r="O218" s="334">
        <f t="shared" ca="1" si="54"/>
        <v>7000</v>
      </c>
      <c r="P218" s="334">
        <f t="shared" ca="1" si="46"/>
        <v>2025354.24</v>
      </c>
      <c r="Q218" s="332" t="str">
        <f t="shared" ca="1" si="47"/>
        <v xml:space="preserve"> </v>
      </c>
      <c r="R218" s="334">
        <f ca="1">IF($A218&gt;Endyr,0,IF($A218&lt;Assm!$A$55,P218,Assm!$F$55*$D218))</f>
        <v>1769187.9452054794</v>
      </c>
      <c r="S218" s="391" t="str">
        <f t="shared" ca="1" si="48"/>
        <v xml:space="preserve"> </v>
      </c>
      <c r="T218" s="334">
        <f t="shared" ca="1" si="49"/>
        <v>2025354.24</v>
      </c>
      <c r="U218" s="682" t="str">
        <f t="shared" ca="1" si="50"/>
        <v xml:space="preserve"> </v>
      </c>
    </row>
    <row r="219" spans="1:21">
      <c r="A219" s="672">
        <f t="shared" ca="1" si="42"/>
        <v>42552</v>
      </c>
      <c r="C219" s="681">
        <f ca="1">IF($A219&gt;Endyr,0,VLOOKUP($A219,Capacity_Table,Tariff!$R$18))</f>
        <v>480</v>
      </c>
      <c r="D219" s="330">
        <f t="shared" ca="1" si="43"/>
        <v>31</v>
      </c>
      <c r="E219" s="330" t="str">
        <f t="shared" ca="1" si="44"/>
        <v xml:space="preserve"> </v>
      </c>
      <c r="F219" s="332">
        <f t="shared" si="51"/>
        <v>24</v>
      </c>
      <c r="G219" s="1109">
        <f t="shared" ca="1" si="45"/>
        <v>0</v>
      </c>
      <c r="H219" s="1686">
        <f ca="1">IF(Avail_LDs_Switch=1,VLOOKUP('Plant Operations'!A219,RAC_AvailFactor_Table,RAC_LDs!$G$258),IF($A219&lt;Startops2,Tariff!$T$11,0))</f>
        <v>0</v>
      </c>
      <c r="I219" s="1559">
        <f ca="1">IF(OR($A219&lt;Startops1,$A219&gt;=Startops2),0,IF(AND($A219&gt;=DieselOps_2,$A219&lt;Startops2),VLOOKUP($A219,Diesel_Table,Tariff!$Y$41),VLOOKUP($A219,OA_Table,Tariff!$Y$26)))</f>
        <v>0</v>
      </c>
      <c r="J219" s="391" t="str">
        <f t="shared" ca="1" si="52"/>
        <v xml:space="preserve"> </v>
      </c>
      <c r="K219" s="1109">
        <f ca="1">IF(OR($A219&lt;Startops2,$A219&gt;=Endyr),0,VLOOKUP($A219,Capacity_Table,Tariff!$S$18))</f>
        <v>0.91</v>
      </c>
      <c r="L219" s="212">
        <f ca="1">IF(OR($A219&lt;Startops2,$A219&gt;=Endyr),0,VLOOKUP($A219,Capacity_Table,Tariff!$T$18))</f>
        <v>0.92</v>
      </c>
      <c r="M219" s="334">
        <f ca="1">IF($A219&lt;Startops2,0,IF($A219&lt;Startops3,VLOOKUP($A219,Convert_Table,Tariff!$Y$54),C219*D219*F219*K219*L219))</f>
        <v>298980.864</v>
      </c>
      <c r="N219" s="391" t="str">
        <f t="shared" ca="1" si="53"/>
        <v xml:space="preserve"> </v>
      </c>
      <c r="O219" s="334">
        <f t="shared" ca="1" si="54"/>
        <v>7000</v>
      </c>
      <c r="P219" s="334">
        <f t="shared" ca="1" si="46"/>
        <v>2092866.048</v>
      </c>
      <c r="Q219" s="332" t="str">
        <f t="shared" ca="1" si="47"/>
        <v xml:space="preserve"> </v>
      </c>
      <c r="R219" s="334">
        <f ca="1">IF($A219&gt;Endyr,0,IF($A219&lt;Assm!$A$55,P219,Assm!$F$55*$D219))</f>
        <v>1828160.8767123288</v>
      </c>
      <c r="S219" s="391" t="str">
        <f t="shared" ca="1" si="48"/>
        <v xml:space="preserve"> </v>
      </c>
      <c r="T219" s="334">
        <f t="shared" ca="1" si="49"/>
        <v>2092866.048</v>
      </c>
      <c r="U219" s="682" t="str">
        <f t="shared" ca="1" si="50"/>
        <v xml:space="preserve"> </v>
      </c>
    </row>
    <row r="220" spans="1:21">
      <c r="A220" s="672">
        <f t="shared" ca="1" si="42"/>
        <v>42583</v>
      </c>
      <c r="C220" s="681">
        <f ca="1">IF($A220&gt;Endyr,0,VLOOKUP($A220,Capacity_Table,Tariff!$R$18))</f>
        <v>480</v>
      </c>
      <c r="D220" s="330">
        <f t="shared" ca="1" si="43"/>
        <v>31</v>
      </c>
      <c r="E220" s="330" t="str">
        <f t="shared" ca="1" si="44"/>
        <v xml:space="preserve"> </v>
      </c>
      <c r="F220" s="332">
        <f t="shared" si="51"/>
        <v>24</v>
      </c>
      <c r="G220" s="1109">
        <f t="shared" ca="1" si="45"/>
        <v>0</v>
      </c>
      <c r="H220" s="1686">
        <f ca="1">IF(Avail_LDs_Switch=1,VLOOKUP('Plant Operations'!A220,RAC_AvailFactor_Table,RAC_LDs!$G$258),IF($A220&lt;Startops2,Tariff!$T$11,0))</f>
        <v>0</v>
      </c>
      <c r="I220" s="1559">
        <f ca="1">IF(OR($A220&lt;Startops1,$A220&gt;=Startops2),0,IF(AND($A220&gt;=DieselOps_2,$A220&lt;Startops2),VLOOKUP($A220,Diesel_Table,Tariff!$Y$41),VLOOKUP($A220,OA_Table,Tariff!$Y$26)))</f>
        <v>0</v>
      </c>
      <c r="J220" s="391" t="str">
        <f t="shared" ca="1" si="52"/>
        <v xml:space="preserve"> </v>
      </c>
      <c r="K220" s="1109">
        <f ca="1">IF(OR($A220&lt;Startops2,$A220&gt;=Endyr),0,VLOOKUP($A220,Capacity_Table,Tariff!$S$18))</f>
        <v>0.91</v>
      </c>
      <c r="L220" s="212">
        <f ca="1">IF(OR($A220&lt;Startops2,$A220&gt;=Endyr),0,VLOOKUP($A220,Capacity_Table,Tariff!$T$18))</f>
        <v>0.92</v>
      </c>
      <c r="M220" s="334">
        <f ca="1">IF($A220&lt;Startops2,0,IF($A220&lt;Startops3,VLOOKUP($A220,Convert_Table,Tariff!$Y$54),C220*D220*F220*K220*L220))</f>
        <v>298980.864</v>
      </c>
      <c r="N220" s="391" t="str">
        <f t="shared" ca="1" si="53"/>
        <v xml:space="preserve"> </v>
      </c>
      <c r="O220" s="334">
        <f t="shared" ca="1" si="54"/>
        <v>7000</v>
      </c>
      <c r="P220" s="334">
        <f t="shared" ca="1" si="46"/>
        <v>2092866.048</v>
      </c>
      <c r="Q220" s="332" t="str">
        <f t="shared" ca="1" si="47"/>
        <v xml:space="preserve"> </v>
      </c>
      <c r="R220" s="334">
        <f ca="1">IF($A220&gt;Endyr,0,IF($A220&lt;Assm!$A$55,P220,Assm!$F$55*$D220))</f>
        <v>1828160.8767123288</v>
      </c>
      <c r="S220" s="391" t="str">
        <f t="shared" ca="1" si="48"/>
        <v xml:space="preserve"> </v>
      </c>
      <c r="T220" s="334">
        <f t="shared" ca="1" si="49"/>
        <v>2092866.048</v>
      </c>
      <c r="U220" s="682" t="str">
        <f t="shared" ca="1" si="50"/>
        <v xml:space="preserve"> </v>
      </c>
    </row>
    <row r="221" spans="1:21">
      <c r="A221" s="672">
        <f t="shared" ca="1" si="42"/>
        <v>42614</v>
      </c>
      <c r="C221" s="681">
        <f ca="1">IF($A221&gt;Endyr,0,VLOOKUP($A221,Capacity_Table,Tariff!$R$18))</f>
        <v>480</v>
      </c>
      <c r="D221" s="330">
        <f t="shared" ca="1" si="43"/>
        <v>30</v>
      </c>
      <c r="E221" s="330" t="str">
        <f t="shared" ca="1" si="44"/>
        <v xml:space="preserve"> </v>
      </c>
      <c r="F221" s="332">
        <f t="shared" si="51"/>
        <v>24</v>
      </c>
      <c r="G221" s="1109">
        <f t="shared" ca="1" si="45"/>
        <v>0</v>
      </c>
      <c r="H221" s="1686">
        <f ca="1">IF(Avail_LDs_Switch=1,VLOOKUP('Plant Operations'!A221,RAC_AvailFactor_Table,RAC_LDs!$G$258),IF($A221&lt;Startops2,Tariff!$T$11,0))</f>
        <v>0</v>
      </c>
      <c r="I221" s="1559">
        <f ca="1">IF(OR($A221&lt;Startops1,$A221&gt;=Startops2),0,IF(AND($A221&gt;=DieselOps_2,$A221&lt;Startops2),VLOOKUP($A221,Diesel_Table,Tariff!$Y$41),VLOOKUP($A221,OA_Table,Tariff!$Y$26)))</f>
        <v>0</v>
      </c>
      <c r="J221" s="391" t="str">
        <f t="shared" ca="1" si="52"/>
        <v xml:space="preserve"> </v>
      </c>
      <c r="K221" s="1109">
        <f ca="1">IF(OR($A221&lt;Startops2,$A221&gt;=Endyr),0,VLOOKUP($A221,Capacity_Table,Tariff!$S$18))</f>
        <v>0.91</v>
      </c>
      <c r="L221" s="212">
        <f ca="1">IF(OR($A221&lt;Startops2,$A221&gt;=Endyr),0,VLOOKUP($A221,Capacity_Table,Tariff!$T$18))</f>
        <v>0.92</v>
      </c>
      <c r="M221" s="334">
        <f ca="1">IF($A221&lt;Startops2,0,IF($A221&lt;Startops3,VLOOKUP($A221,Convert_Table,Tariff!$Y$54),C221*D221*F221*K221*L221))</f>
        <v>289336.32000000001</v>
      </c>
      <c r="N221" s="391" t="str">
        <f t="shared" ca="1" si="53"/>
        <v xml:space="preserve"> </v>
      </c>
      <c r="O221" s="334">
        <f t="shared" ca="1" si="54"/>
        <v>7000</v>
      </c>
      <c r="P221" s="334">
        <f t="shared" ca="1" si="46"/>
        <v>2025354.24</v>
      </c>
      <c r="Q221" s="332" t="str">
        <f t="shared" ca="1" si="47"/>
        <v xml:space="preserve"> </v>
      </c>
      <c r="R221" s="334">
        <f ca="1">IF($A221&gt;Endyr,0,IF($A221&lt;Assm!$A$55,P221,Assm!$F$55*$D221))</f>
        <v>1769187.9452054794</v>
      </c>
      <c r="S221" s="391" t="str">
        <f t="shared" ca="1" si="48"/>
        <v xml:space="preserve"> </v>
      </c>
      <c r="T221" s="334">
        <f t="shared" ca="1" si="49"/>
        <v>2025354.24</v>
      </c>
      <c r="U221" s="682" t="str">
        <f t="shared" ca="1" si="50"/>
        <v xml:space="preserve"> </v>
      </c>
    </row>
    <row r="222" spans="1:21">
      <c r="A222" s="672">
        <f t="shared" ca="1" si="42"/>
        <v>42644</v>
      </c>
      <c r="C222" s="681">
        <f ca="1">IF($A222&gt;Endyr,0,VLOOKUP($A222,Capacity_Table,Tariff!$R$18))</f>
        <v>480</v>
      </c>
      <c r="D222" s="330">
        <f t="shared" ca="1" si="43"/>
        <v>31</v>
      </c>
      <c r="E222" s="330" t="str">
        <f t="shared" ca="1" si="44"/>
        <v xml:space="preserve"> </v>
      </c>
      <c r="F222" s="332">
        <f t="shared" si="51"/>
        <v>24</v>
      </c>
      <c r="G222" s="1109">
        <f t="shared" ca="1" si="45"/>
        <v>0</v>
      </c>
      <c r="H222" s="1686">
        <f ca="1">IF(Avail_LDs_Switch=1,VLOOKUP('Plant Operations'!A222,RAC_AvailFactor_Table,RAC_LDs!$G$258),IF($A222&lt;Startops2,Tariff!$T$11,0))</f>
        <v>0</v>
      </c>
      <c r="I222" s="1559">
        <f ca="1">IF(OR($A222&lt;Startops1,$A222&gt;=Startops2),0,IF(AND($A222&gt;=DieselOps_2,$A222&lt;Startops2),VLOOKUP($A222,Diesel_Table,Tariff!$Y$41),VLOOKUP($A222,OA_Table,Tariff!$Y$26)))</f>
        <v>0</v>
      </c>
      <c r="J222" s="391" t="str">
        <f t="shared" ca="1" si="52"/>
        <v xml:space="preserve"> </v>
      </c>
      <c r="K222" s="1109">
        <f ca="1">IF(OR($A222&lt;Startops2,$A222&gt;=Endyr),0,VLOOKUP($A222,Capacity_Table,Tariff!$S$18))</f>
        <v>0.91</v>
      </c>
      <c r="L222" s="212">
        <f ca="1">IF(OR($A222&lt;Startops2,$A222&gt;=Endyr),0,VLOOKUP($A222,Capacity_Table,Tariff!$T$18))</f>
        <v>0.92</v>
      </c>
      <c r="M222" s="334">
        <f ca="1">IF($A222&lt;Startops2,0,IF($A222&lt;Startops3,VLOOKUP($A222,Convert_Table,Tariff!$Y$54),C222*D222*F222*K222*L222))</f>
        <v>298980.864</v>
      </c>
      <c r="N222" s="391" t="str">
        <f t="shared" ca="1" si="53"/>
        <v xml:space="preserve"> </v>
      </c>
      <c r="O222" s="334">
        <f t="shared" ca="1" si="54"/>
        <v>7000</v>
      </c>
      <c r="P222" s="334">
        <f t="shared" ca="1" si="46"/>
        <v>2092866.048</v>
      </c>
      <c r="Q222" s="332" t="str">
        <f t="shared" ca="1" si="47"/>
        <v xml:space="preserve"> </v>
      </c>
      <c r="R222" s="334">
        <f ca="1">IF($A222&gt;Endyr,0,IF($A222&lt;Assm!$A$55,P222,Assm!$F$55*$D222))</f>
        <v>1828160.8767123288</v>
      </c>
      <c r="S222" s="391" t="str">
        <f t="shared" ca="1" si="48"/>
        <v xml:space="preserve"> </v>
      </c>
      <c r="T222" s="334">
        <f t="shared" ca="1" si="49"/>
        <v>2092866.048</v>
      </c>
      <c r="U222" s="682" t="str">
        <f t="shared" ca="1" si="50"/>
        <v xml:space="preserve"> </v>
      </c>
    </row>
    <row r="223" spans="1:21">
      <c r="A223" s="672">
        <f t="shared" ca="1" si="42"/>
        <v>42675</v>
      </c>
      <c r="C223" s="681">
        <f ca="1">IF($A223&gt;Endyr,0,VLOOKUP($A223,Capacity_Table,Tariff!$R$18))</f>
        <v>480</v>
      </c>
      <c r="D223" s="330">
        <f t="shared" ca="1" si="43"/>
        <v>30</v>
      </c>
      <c r="E223" s="330" t="str">
        <f t="shared" ca="1" si="44"/>
        <v xml:space="preserve"> </v>
      </c>
      <c r="F223" s="332">
        <f t="shared" si="51"/>
        <v>24</v>
      </c>
      <c r="G223" s="1109">
        <f t="shared" ca="1" si="45"/>
        <v>0</v>
      </c>
      <c r="H223" s="1686">
        <f ca="1">IF(Avail_LDs_Switch=1,VLOOKUP('Plant Operations'!A223,RAC_AvailFactor_Table,RAC_LDs!$G$258),IF($A223&lt;Startops2,Tariff!$T$11,0))</f>
        <v>0</v>
      </c>
      <c r="I223" s="1559">
        <f ca="1">IF(OR($A223&lt;Startops1,$A223&gt;=Startops2),0,IF(AND($A223&gt;=DieselOps_2,$A223&lt;Startops2),VLOOKUP($A223,Diesel_Table,Tariff!$Y$41),VLOOKUP($A223,OA_Table,Tariff!$Y$26)))</f>
        <v>0</v>
      </c>
      <c r="J223" s="391" t="str">
        <f t="shared" ca="1" si="52"/>
        <v xml:space="preserve"> </v>
      </c>
      <c r="K223" s="1109">
        <f ca="1">IF(OR($A223&lt;Startops2,$A223&gt;=Endyr),0,VLOOKUP($A223,Capacity_Table,Tariff!$S$18))</f>
        <v>0.91</v>
      </c>
      <c r="L223" s="212">
        <f ca="1">IF(OR($A223&lt;Startops2,$A223&gt;=Endyr),0,VLOOKUP($A223,Capacity_Table,Tariff!$T$18))</f>
        <v>0.92</v>
      </c>
      <c r="M223" s="334">
        <f ca="1">IF($A223&lt;Startops2,0,IF($A223&lt;Startops3,VLOOKUP($A223,Convert_Table,Tariff!$Y$54),C223*D223*F223*K223*L223))</f>
        <v>289336.32000000001</v>
      </c>
      <c r="N223" s="391" t="str">
        <f t="shared" ca="1" si="53"/>
        <v xml:space="preserve"> </v>
      </c>
      <c r="O223" s="334">
        <f t="shared" ca="1" si="54"/>
        <v>7000</v>
      </c>
      <c r="P223" s="334">
        <f t="shared" ca="1" si="46"/>
        <v>2025354.24</v>
      </c>
      <c r="Q223" s="332" t="str">
        <f t="shared" ca="1" si="47"/>
        <v xml:space="preserve"> </v>
      </c>
      <c r="R223" s="334">
        <f ca="1">IF($A223&gt;Endyr,0,IF($A223&lt;Assm!$A$55,P223,Assm!$F$55*$D223))</f>
        <v>1769187.9452054794</v>
      </c>
      <c r="S223" s="391" t="str">
        <f t="shared" ca="1" si="48"/>
        <v xml:space="preserve"> </v>
      </c>
      <c r="T223" s="334">
        <f t="shared" ca="1" si="49"/>
        <v>2025354.24</v>
      </c>
      <c r="U223" s="682" t="str">
        <f t="shared" ca="1" si="50"/>
        <v xml:space="preserve"> </v>
      </c>
    </row>
    <row r="224" spans="1:21">
      <c r="A224" s="672">
        <f t="shared" ca="1" si="42"/>
        <v>42705</v>
      </c>
      <c r="C224" s="681">
        <f ca="1">IF($A224&gt;Endyr,0,VLOOKUP($A224,Capacity_Table,Tariff!$R$18))</f>
        <v>480</v>
      </c>
      <c r="D224" s="330">
        <f t="shared" ca="1" si="43"/>
        <v>31</v>
      </c>
      <c r="E224" s="330">
        <f t="shared" ca="1" si="44"/>
        <v>366</v>
      </c>
      <c r="F224" s="332">
        <f t="shared" si="51"/>
        <v>24</v>
      </c>
      <c r="G224" s="1109">
        <f t="shared" ca="1" si="45"/>
        <v>0</v>
      </c>
      <c r="H224" s="1686">
        <f ca="1">IF(Avail_LDs_Switch=1,VLOOKUP('Plant Operations'!A224,RAC_AvailFactor_Table,RAC_LDs!$G$258),IF($A224&lt;Startops2,Tariff!$T$11,0))</f>
        <v>0</v>
      </c>
      <c r="I224" s="1559">
        <f ca="1">IF(OR($A224&lt;Startops1,$A224&gt;=Startops2),0,IF(AND($A224&gt;=DieselOps_2,$A224&lt;Startops2),VLOOKUP($A224,Diesel_Table,Tariff!$Y$41),VLOOKUP($A224,OA_Table,Tariff!$Y$26)))</f>
        <v>0</v>
      </c>
      <c r="J224" s="391">
        <f t="shared" ca="1" si="52"/>
        <v>0</v>
      </c>
      <c r="K224" s="1109">
        <f ca="1">IF(OR($A224&lt;Startops2,$A224&gt;=Endyr),0,VLOOKUP($A224,Capacity_Table,Tariff!$S$18))</f>
        <v>0.91</v>
      </c>
      <c r="L224" s="212">
        <f ca="1">IF(OR($A224&lt;Startops2,$A224&gt;=Endyr),0,VLOOKUP($A224,Capacity_Table,Tariff!$T$18))</f>
        <v>0.92</v>
      </c>
      <c r="M224" s="334">
        <f ca="1">IF($A224&lt;Startops2,0,IF($A224&lt;Startops3,VLOOKUP($A224,Convert_Table,Tariff!$Y$54),C224*D224*F224*K224*L224))</f>
        <v>298980.864</v>
      </c>
      <c r="N224" s="391">
        <f t="shared" ca="1" si="53"/>
        <v>3529903.1039999998</v>
      </c>
      <c r="O224" s="334">
        <f t="shared" ca="1" si="54"/>
        <v>7000</v>
      </c>
      <c r="P224" s="334">
        <f t="shared" ca="1" si="46"/>
        <v>2092866.048</v>
      </c>
      <c r="Q224" s="332">
        <f t="shared" ca="1" si="47"/>
        <v>24709321.728</v>
      </c>
      <c r="R224" s="334">
        <f ca="1">IF($A224&gt;Endyr,0,IF($A224&lt;Assm!$A$55,P224,Assm!$F$55*$D224))</f>
        <v>1828160.8767123288</v>
      </c>
      <c r="S224" s="391">
        <f t="shared" ca="1" si="48"/>
        <v>21584092.931506854</v>
      </c>
      <c r="T224" s="334">
        <f t="shared" ca="1" si="49"/>
        <v>2092866.048</v>
      </c>
      <c r="U224" s="682">
        <f t="shared" ca="1" si="50"/>
        <v>24709321.728</v>
      </c>
    </row>
    <row r="225" spans="1:21">
      <c r="A225" s="672">
        <f t="shared" ca="1" si="42"/>
        <v>42736</v>
      </c>
      <c r="C225" s="681">
        <f ca="1">IF($A225&gt;Endyr,0,VLOOKUP($A225,Capacity_Table,Tariff!$R$18))</f>
        <v>480</v>
      </c>
      <c r="D225" s="330">
        <f t="shared" ca="1" si="43"/>
        <v>31</v>
      </c>
      <c r="E225" s="330" t="str">
        <f t="shared" ca="1" si="44"/>
        <v xml:space="preserve"> </v>
      </c>
      <c r="F225" s="332">
        <f t="shared" si="51"/>
        <v>24</v>
      </c>
      <c r="G225" s="1109">
        <f t="shared" ca="1" si="45"/>
        <v>0</v>
      </c>
      <c r="H225" s="1686">
        <f ca="1">IF(Avail_LDs_Switch=1,VLOOKUP('Plant Operations'!A225,RAC_AvailFactor_Table,RAC_LDs!$G$258),IF($A225&lt;Startops2,Tariff!$T$11,0))</f>
        <v>0</v>
      </c>
      <c r="I225" s="1559">
        <f ca="1">IF(OR($A225&lt;Startops1,$A225&gt;=Startops2),0,IF(AND($A225&gt;=DieselOps_2,$A225&lt;Startops2),VLOOKUP($A225,Diesel_Table,Tariff!$Y$41),VLOOKUP($A225,OA_Table,Tariff!$Y$26)))</f>
        <v>0</v>
      </c>
      <c r="J225" s="391" t="str">
        <f t="shared" ca="1" si="52"/>
        <v xml:space="preserve"> </v>
      </c>
      <c r="K225" s="1109">
        <f ca="1">IF(OR($A225&lt;Startops2,$A225&gt;=Endyr),0,VLOOKUP($A225,Capacity_Table,Tariff!$S$18))</f>
        <v>0.91</v>
      </c>
      <c r="L225" s="212">
        <f ca="1">IF(OR($A225&lt;Startops2,$A225&gt;=Endyr),0,VLOOKUP($A225,Capacity_Table,Tariff!$T$18))</f>
        <v>0.92</v>
      </c>
      <c r="M225" s="334">
        <f ca="1">IF($A225&lt;Startops2,0,IF($A225&lt;Startops3,VLOOKUP($A225,Convert_Table,Tariff!$Y$54),C225*D225*F225*K225*L225))</f>
        <v>298980.864</v>
      </c>
      <c r="N225" s="391" t="str">
        <f t="shared" ca="1" si="53"/>
        <v xml:space="preserve"> </v>
      </c>
      <c r="O225" s="334">
        <f t="shared" ca="1" si="54"/>
        <v>7000</v>
      </c>
      <c r="P225" s="334">
        <f t="shared" ca="1" si="46"/>
        <v>2092866.048</v>
      </c>
      <c r="Q225" s="332" t="str">
        <f t="shared" ca="1" si="47"/>
        <v xml:space="preserve"> </v>
      </c>
      <c r="R225" s="334">
        <f ca="1">IF($A225&gt;Endyr,0,IF($A225&lt;Assm!$A$55,P225,Assm!$F$55*$D225))</f>
        <v>1828160.8767123288</v>
      </c>
      <c r="S225" s="391" t="str">
        <f t="shared" ca="1" si="48"/>
        <v xml:space="preserve"> </v>
      </c>
      <c r="T225" s="334">
        <f t="shared" ca="1" si="49"/>
        <v>2092866.048</v>
      </c>
      <c r="U225" s="682" t="str">
        <f t="shared" ca="1" si="50"/>
        <v xml:space="preserve"> </v>
      </c>
    </row>
    <row r="226" spans="1:21">
      <c r="A226" s="672">
        <f t="shared" ca="1" si="42"/>
        <v>42767</v>
      </c>
      <c r="C226" s="681">
        <f ca="1">IF($A226&gt;Endyr,0,VLOOKUP($A226,Capacity_Table,Tariff!$R$18))</f>
        <v>480</v>
      </c>
      <c r="D226" s="330">
        <f t="shared" ca="1" si="43"/>
        <v>28</v>
      </c>
      <c r="E226" s="330" t="str">
        <f t="shared" ca="1" si="44"/>
        <v xml:space="preserve"> </v>
      </c>
      <c r="F226" s="332">
        <f t="shared" si="51"/>
        <v>24</v>
      </c>
      <c r="G226" s="1109">
        <f t="shared" ca="1" si="45"/>
        <v>0</v>
      </c>
      <c r="H226" s="1686">
        <f ca="1">IF(Avail_LDs_Switch=1,VLOOKUP('Plant Operations'!A226,RAC_AvailFactor_Table,RAC_LDs!$G$258),IF($A226&lt;Startops2,Tariff!$T$11,0))</f>
        <v>0</v>
      </c>
      <c r="I226" s="1559">
        <f ca="1">IF(OR($A226&lt;Startops1,$A226&gt;=Startops2),0,IF(AND($A226&gt;=DieselOps_2,$A226&lt;Startops2),VLOOKUP($A226,Diesel_Table,Tariff!$Y$41),VLOOKUP($A226,OA_Table,Tariff!$Y$26)))</f>
        <v>0</v>
      </c>
      <c r="J226" s="391" t="str">
        <f t="shared" ca="1" si="52"/>
        <v xml:space="preserve"> </v>
      </c>
      <c r="K226" s="1109">
        <f ca="1">IF(OR($A226&lt;Startops2,$A226&gt;=Endyr),0,VLOOKUP($A226,Capacity_Table,Tariff!$S$18))</f>
        <v>0.91</v>
      </c>
      <c r="L226" s="212">
        <f ca="1">IF(OR($A226&lt;Startops2,$A226&gt;=Endyr),0,VLOOKUP($A226,Capacity_Table,Tariff!$T$18))</f>
        <v>0.92</v>
      </c>
      <c r="M226" s="334">
        <f ca="1">IF($A226&lt;Startops2,0,IF($A226&lt;Startops3,VLOOKUP($A226,Convert_Table,Tariff!$Y$54),C226*D226*F226*K226*L226))</f>
        <v>270047.23200000002</v>
      </c>
      <c r="N226" s="391" t="str">
        <f t="shared" ca="1" si="53"/>
        <v xml:space="preserve"> </v>
      </c>
      <c r="O226" s="334">
        <f t="shared" ca="1" si="54"/>
        <v>7000</v>
      </c>
      <c r="P226" s="334">
        <f t="shared" ca="1" si="46"/>
        <v>1890330.6240000003</v>
      </c>
      <c r="Q226" s="332" t="str">
        <f t="shared" ca="1" si="47"/>
        <v xml:space="preserve"> </v>
      </c>
      <c r="R226" s="334">
        <f ca="1">IF($A226&gt;Endyr,0,IF($A226&lt;Assm!$A$55,P226,Assm!$F$55*$D226))</f>
        <v>1651242.0821917809</v>
      </c>
      <c r="S226" s="391" t="str">
        <f t="shared" ca="1" si="48"/>
        <v xml:space="preserve"> </v>
      </c>
      <c r="T226" s="334">
        <f t="shared" ca="1" si="49"/>
        <v>1890330.6240000003</v>
      </c>
      <c r="U226" s="682" t="str">
        <f t="shared" ca="1" si="50"/>
        <v xml:space="preserve"> </v>
      </c>
    </row>
    <row r="227" spans="1:21">
      <c r="A227" s="672">
        <f t="shared" ca="1" si="42"/>
        <v>42795</v>
      </c>
      <c r="C227" s="681">
        <f ca="1">IF($A227&gt;Endyr,0,VLOOKUP($A227,Capacity_Table,Tariff!$R$18))</f>
        <v>480</v>
      </c>
      <c r="D227" s="330">
        <f t="shared" ca="1" si="43"/>
        <v>31</v>
      </c>
      <c r="E227" s="330" t="str">
        <f t="shared" ca="1" si="44"/>
        <v xml:space="preserve"> </v>
      </c>
      <c r="F227" s="332">
        <f t="shared" si="51"/>
        <v>24</v>
      </c>
      <c r="G227" s="1109">
        <f t="shared" ca="1" si="45"/>
        <v>0</v>
      </c>
      <c r="H227" s="1686">
        <f ca="1">IF(Avail_LDs_Switch=1,VLOOKUP('Plant Operations'!A227,RAC_AvailFactor_Table,RAC_LDs!$G$258),IF($A227&lt;Startops2,Tariff!$T$11,0))</f>
        <v>0</v>
      </c>
      <c r="I227" s="1559">
        <f ca="1">IF(OR($A227&lt;Startops1,$A227&gt;=Startops2),0,IF(AND($A227&gt;=DieselOps_2,$A227&lt;Startops2),VLOOKUP($A227,Diesel_Table,Tariff!$Y$41),VLOOKUP($A227,OA_Table,Tariff!$Y$26)))</f>
        <v>0</v>
      </c>
      <c r="J227" s="391" t="str">
        <f t="shared" ca="1" si="52"/>
        <v xml:space="preserve"> </v>
      </c>
      <c r="K227" s="1109">
        <f ca="1">IF(OR($A227&lt;Startops2,$A227&gt;=Endyr),0,VLOOKUP($A227,Capacity_Table,Tariff!$S$18))</f>
        <v>0.91</v>
      </c>
      <c r="L227" s="212">
        <f ca="1">IF(OR($A227&lt;Startops2,$A227&gt;=Endyr),0,VLOOKUP($A227,Capacity_Table,Tariff!$T$18))</f>
        <v>0.92</v>
      </c>
      <c r="M227" s="334">
        <f ca="1">IF($A227&lt;Startops2,0,IF($A227&lt;Startops3,VLOOKUP($A227,Convert_Table,Tariff!$Y$54),C227*D227*F227*K227*L227))</f>
        <v>298980.864</v>
      </c>
      <c r="N227" s="391" t="str">
        <f t="shared" ca="1" si="53"/>
        <v xml:space="preserve"> </v>
      </c>
      <c r="O227" s="334">
        <f t="shared" ca="1" si="54"/>
        <v>7000</v>
      </c>
      <c r="P227" s="334">
        <f t="shared" ca="1" si="46"/>
        <v>2092866.048</v>
      </c>
      <c r="Q227" s="332" t="str">
        <f t="shared" ca="1" si="47"/>
        <v xml:space="preserve"> </v>
      </c>
      <c r="R227" s="334">
        <f ca="1">IF($A227&gt;Endyr,0,IF($A227&lt;Assm!$A$55,P227,Assm!$F$55*$D227))</f>
        <v>1828160.8767123288</v>
      </c>
      <c r="S227" s="391" t="str">
        <f t="shared" ca="1" si="48"/>
        <v xml:space="preserve"> </v>
      </c>
      <c r="T227" s="334">
        <f t="shared" ca="1" si="49"/>
        <v>2092866.048</v>
      </c>
      <c r="U227" s="682" t="str">
        <f t="shared" ca="1" si="50"/>
        <v xml:space="preserve"> </v>
      </c>
    </row>
    <row r="228" spans="1:21">
      <c r="A228" s="672">
        <f t="shared" ca="1" si="42"/>
        <v>42826</v>
      </c>
      <c r="C228" s="681">
        <f ca="1">IF($A228&gt;Endyr,0,VLOOKUP($A228,Capacity_Table,Tariff!$R$18))</f>
        <v>480</v>
      </c>
      <c r="D228" s="330">
        <f t="shared" ca="1" si="43"/>
        <v>30</v>
      </c>
      <c r="E228" s="330" t="str">
        <f t="shared" ca="1" si="44"/>
        <v xml:space="preserve"> </v>
      </c>
      <c r="F228" s="332">
        <f t="shared" si="51"/>
        <v>24</v>
      </c>
      <c r="G228" s="1109">
        <f t="shared" ca="1" si="45"/>
        <v>0</v>
      </c>
      <c r="H228" s="1686">
        <f ca="1">IF(Avail_LDs_Switch=1,VLOOKUP('Plant Operations'!A228,RAC_AvailFactor_Table,RAC_LDs!$G$258),IF($A228&lt;Startops2,Tariff!$T$11,0))</f>
        <v>0</v>
      </c>
      <c r="I228" s="1559">
        <f ca="1">IF(OR($A228&lt;Startops1,$A228&gt;=Startops2),0,IF(AND($A228&gt;=DieselOps_2,$A228&lt;Startops2),VLOOKUP($A228,Diesel_Table,Tariff!$Y$41),VLOOKUP($A228,OA_Table,Tariff!$Y$26)))</f>
        <v>0</v>
      </c>
      <c r="J228" s="391" t="str">
        <f t="shared" ca="1" si="52"/>
        <v xml:space="preserve"> </v>
      </c>
      <c r="K228" s="1109">
        <f ca="1">IF(OR($A228&lt;Startops2,$A228&gt;=Endyr),0,VLOOKUP($A228,Capacity_Table,Tariff!$S$18))</f>
        <v>0.91</v>
      </c>
      <c r="L228" s="212">
        <f ca="1">IF(OR($A228&lt;Startops2,$A228&gt;=Endyr),0,VLOOKUP($A228,Capacity_Table,Tariff!$T$18))</f>
        <v>0.92</v>
      </c>
      <c r="M228" s="334">
        <f ca="1">IF($A228&lt;Startops2,0,IF($A228&lt;Startops3,VLOOKUP($A228,Convert_Table,Tariff!$Y$54),C228*D228*F228*K228*L228))</f>
        <v>289336.32000000001</v>
      </c>
      <c r="N228" s="391" t="str">
        <f t="shared" ca="1" si="53"/>
        <v xml:space="preserve"> </v>
      </c>
      <c r="O228" s="334">
        <f t="shared" ca="1" si="54"/>
        <v>7000</v>
      </c>
      <c r="P228" s="334">
        <f t="shared" ca="1" si="46"/>
        <v>2025354.24</v>
      </c>
      <c r="Q228" s="332" t="str">
        <f t="shared" ca="1" si="47"/>
        <v xml:space="preserve"> </v>
      </c>
      <c r="R228" s="334">
        <f ca="1">IF($A228&gt;Endyr,0,IF($A228&lt;Assm!$A$55,P228,Assm!$F$55*$D228))</f>
        <v>1769187.9452054794</v>
      </c>
      <c r="S228" s="391" t="str">
        <f t="shared" ca="1" si="48"/>
        <v xml:space="preserve"> </v>
      </c>
      <c r="T228" s="334">
        <f t="shared" ca="1" si="49"/>
        <v>2025354.24</v>
      </c>
      <c r="U228" s="682" t="str">
        <f t="shared" ca="1" si="50"/>
        <v xml:space="preserve"> </v>
      </c>
    </row>
    <row r="229" spans="1:21">
      <c r="A229" s="672">
        <f t="shared" ca="1" si="42"/>
        <v>42856</v>
      </c>
      <c r="C229" s="681">
        <f ca="1">IF($A229&gt;Endyr,0,VLOOKUP($A229,Capacity_Table,Tariff!$R$18))</f>
        <v>480</v>
      </c>
      <c r="D229" s="330">
        <f t="shared" ca="1" si="43"/>
        <v>31</v>
      </c>
      <c r="E229" s="330" t="str">
        <f t="shared" ca="1" si="44"/>
        <v xml:space="preserve"> </v>
      </c>
      <c r="F229" s="332">
        <f t="shared" si="51"/>
        <v>24</v>
      </c>
      <c r="G229" s="1109">
        <f t="shared" ca="1" si="45"/>
        <v>0</v>
      </c>
      <c r="H229" s="1686">
        <f ca="1">IF(Avail_LDs_Switch=1,VLOOKUP('Plant Operations'!A229,RAC_AvailFactor_Table,RAC_LDs!$G$258),IF($A229&lt;Startops2,Tariff!$T$11,0))</f>
        <v>0</v>
      </c>
      <c r="I229" s="1559">
        <f ca="1">IF(OR($A229&lt;Startops1,$A229&gt;=Startops2),0,IF(AND($A229&gt;=DieselOps_2,$A229&lt;Startops2),VLOOKUP($A229,Diesel_Table,Tariff!$Y$41),VLOOKUP($A229,OA_Table,Tariff!$Y$26)))</f>
        <v>0</v>
      </c>
      <c r="J229" s="391" t="str">
        <f t="shared" ca="1" si="52"/>
        <v xml:space="preserve"> </v>
      </c>
      <c r="K229" s="1109">
        <f ca="1">IF(OR($A229&lt;Startops2,$A229&gt;=Endyr),0,VLOOKUP($A229,Capacity_Table,Tariff!$S$18))</f>
        <v>0.91</v>
      </c>
      <c r="L229" s="212">
        <f ca="1">IF(OR($A229&lt;Startops2,$A229&gt;=Endyr),0,VLOOKUP($A229,Capacity_Table,Tariff!$T$18))</f>
        <v>0.92</v>
      </c>
      <c r="M229" s="334">
        <f ca="1">IF($A229&lt;Startops2,0,IF($A229&lt;Startops3,VLOOKUP($A229,Convert_Table,Tariff!$Y$54),C229*D229*F229*K229*L229))</f>
        <v>298980.864</v>
      </c>
      <c r="N229" s="391" t="str">
        <f t="shared" ca="1" si="53"/>
        <v xml:space="preserve"> </v>
      </c>
      <c r="O229" s="334">
        <f t="shared" ca="1" si="54"/>
        <v>7000</v>
      </c>
      <c r="P229" s="334">
        <f t="shared" ca="1" si="46"/>
        <v>2092866.048</v>
      </c>
      <c r="Q229" s="332" t="str">
        <f t="shared" ca="1" si="47"/>
        <v xml:space="preserve"> </v>
      </c>
      <c r="R229" s="334">
        <f ca="1">IF($A229&gt;Endyr,0,IF($A229&lt;Assm!$A$55,P229,Assm!$F$55*$D229))</f>
        <v>1828160.8767123288</v>
      </c>
      <c r="S229" s="391" t="str">
        <f t="shared" ca="1" si="48"/>
        <v xml:space="preserve"> </v>
      </c>
      <c r="T229" s="334">
        <f t="shared" ca="1" si="49"/>
        <v>2092866.048</v>
      </c>
      <c r="U229" s="682" t="str">
        <f t="shared" ca="1" si="50"/>
        <v xml:space="preserve"> </v>
      </c>
    </row>
    <row r="230" spans="1:21">
      <c r="A230" s="672">
        <f t="shared" ca="1" si="42"/>
        <v>42887</v>
      </c>
      <c r="C230" s="681">
        <f ca="1">IF($A230&gt;Endyr,0,VLOOKUP($A230,Capacity_Table,Tariff!$R$18))</f>
        <v>480</v>
      </c>
      <c r="D230" s="330">
        <f t="shared" ca="1" si="43"/>
        <v>30</v>
      </c>
      <c r="E230" s="330" t="str">
        <f t="shared" ca="1" si="44"/>
        <v xml:space="preserve"> </v>
      </c>
      <c r="F230" s="332">
        <f t="shared" si="51"/>
        <v>24</v>
      </c>
      <c r="G230" s="1109">
        <f t="shared" ca="1" si="45"/>
        <v>0</v>
      </c>
      <c r="H230" s="1686">
        <f ca="1">IF(Avail_LDs_Switch=1,VLOOKUP('Plant Operations'!A230,RAC_AvailFactor_Table,RAC_LDs!$G$258),IF($A230&lt;Startops2,Tariff!$T$11,0))</f>
        <v>0</v>
      </c>
      <c r="I230" s="1559">
        <f ca="1">IF(OR($A230&lt;Startops1,$A230&gt;=Startops2),0,IF(AND($A230&gt;=DieselOps_2,$A230&lt;Startops2),VLOOKUP($A230,Diesel_Table,Tariff!$Y$41),VLOOKUP($A230,OA_Table,Tariff!$Y$26)))</f>
        <v>0</v>
      </c>
      <c r="J230" s="391" t="str">
        <f t="shared" ca="1" si="52"/>
        <v xml:space="preserve"> </v>
      </c>
      <c r="K230" s="1109">
        <f ca="1">IF(OR($A230&lt;Startops2,$A230&gt;=Endyr),0,VLOOKUP($A230,Capacity_Table,Tariff!$S$18))</f>
        <v>0.91</v>
      </c>
      <c r="L230" s="212">
        <f ca="1">IF(OR($A230&lt;Startops2,$A230&gt;=Endyr),0,VLOOKUP($A230,Capacity_Table,Tariff!$T$18))</f>
        <v>0.92</v>
      </c>
      <c r="M230" s="334">
        <f ca="1">IF($A230&lt;Startops2,0,IF($A230&lt;Startops3,VLOOKUP($A230,Convert_Table,Tariff!$Y$54),C230*D230*F230*K230*L230))</f>
        <v>289336.32000000001</v>
      </c>
      <c r="N230" s="391" t="str">
        <f t="shared" ca="1" si="53"/>
        <v xml:space="preserve"> </v>
      </c>
      <c r="O230" s="334">
        <f t="shared" ca="1" si="54"/>
        <v>7000</v>
      </c>
      <c r="P230" s="334">
        <f t="shared" ca="1" si="46"/>
        <v>2025354.24</v>
      </c>
      <c r="Q230" s="332" t="str">
        <f t="shared" ca="1" si="47"/>
        <v xml:space="preserve"> </v>
      </c>
      <c r="R230" s="334">
        <f ca="1">IF($A230&gt;Endyr,0,IF($A230&lt;Assm!$A$55,P230,Assm!$F$55*$D230))</f>
        <v>1769187.9452054794</v>
      </c>
      <c r="S230" s="391" t="str">
        <f t="shared" ca="1" si="48"/>
        <v xml:space="preserve"> </v>
      </c>
      <c r="T230" s="334">
        <f t="shared" ca="1" si="49"/>
        <v>2025354.24</v>
      </c>
      <c r="U230" s="682" t="str">
        <f t="shared" ca="1" si="50"/>
        <v xml:space="preserve"> </v>
      </c>
    </row>
    <row r="231" spans="1:21">
      <c r="A231" s="672">
        <f t="shared" ca="1" si="42"/>
        <v>42917</v>
      </c>
      <c r="C231" s="681">
        <f ca="1">IF($A231&gt;Endyr,0,VLOOKUP($A231,Capacity_Table,Tariff!$R$18))</f>
        <v>480</v>
      </c>
      <c r="D231" s="330">
        <f t="shared" ca="1" si="43"/>
        <v>31</v>
      </c>
      <c r="E231" s="330" t="str">
        <f t="shared" ca="1" si="44"/>
        <v xml:space="preserve"> </v>
      </c>
      <c r="F231" s="332">
        <f t="shared" si="51"/>
        <v>24</v>
      </c>
      <c r="G231" s="1109">
        <f t="shared" ca="1" si="45"/>
        <v>0</v>
      </c>
      <c r="H231" s="1686">
        <f ca="1">IF(Avail_LDs_Switch=1,VLOOKUP('Plant Operations'!A231,RAC_AvailFactor_Table,RAC_LDs!$G$258),IF($A231&lt;Startops2,Tariff!$T$11,0))</f>
        <v>0</v>
      </c>
      <c r="I231" s="1559">
        <f ca="1">IF(OR($A231&lt;Startops1,$A231&gt;=Startops2),0,IF(AND($A231&gt;=DieselOps_2,$A231&lt;Startops2),VLOOKUP($A231,Diesel_Table,Tariff!$Y$41),VLOOKUP($A231,OA_Table,Tariff!$Y$26)))</f>
        <v>0</v>
      </c>
      <c r="J231" s="391" t="str">
        <f t="shared" ca="1" si="52"/>
        <v xml:space="preserve"> </v>
      </c>
      <c r="K231" s="1109">
        <f ca="1">IF(OR($A231&lt;Startops2,$A231&gt;=Endyr),0,VLOOKUP($A231,Capacity_Table,Tariff!$S$18))</f>
        <v>0.91</v>
      </c>
      <c r="L231" s="212">
        <f ca="1">IF(OR($A231&lt;Startops2,$A231&gt;=Endyr),0,VLOOKUP($A231,Capacity_Table,Tariff!$T$18))</f>
        <v>0.92</v>
      </c>
      <c r="M231" s="334">
        <f ca="1">IF($A231&lt;Startops2,0,IF($A231&lt;Startops3,VLOOKUP($A231,Convert_Table,Tariff!$Y$54),C231*D231*F231*K231*L231))</f>
        <v>298980.864</v>
      </c>
      <c r="N231" s="391" t="str">
        <f t="shared" ca="1" si="53"/>
        <v xml:space="preserve"> </v>
      </c>
      <c r="O231" s="334">
        <f t="shared" ca="1" si="54"/>
        <v>7000</v>
      </c>
      <c r="P231" s="334">
        <f t="shared" ca="1" si="46"/>
        <v>2092866.048</v>
      </c>
      <c r="Q231" s="332" t="str">
        <f t="shared" ca="1" si="47"/>
        <v xml:space="preserve"> </v>
      </c>
      <c r="R231" s="334">
        <f ca="1">IF($A231&gt;Endyr,0,IF($A231&lt;Assm!$A$55,P231,Assm!$F$55*$D231))</f>
        <v>1828160.8767123288</v>
      </c>
      <c r="S231" s="391" t="str">
        <f t="shared" ca="1" si="48"/>
        <v xml:space="preserve"> </v>
      </c>
      <c r="T231" s="334">
        <f t="shared" ca="1" si="49"/>
        <v>2092866.048</v>
      </c>
      <c r="U231" s="682" t="str">
        <f t="shared" ca="1" si="50"/>
        <v xml:space="preserve"> </v>
      </c>
    </row>
    <row r="232" spans="1:21">
      <c r="A232" s="672">
        <f t="shared" ca="1" si="42"/>
        <v>42948</v>
      </c>
      <c r="C232" s="681">
        <f ca="1">IF($A232&gt;Endyr,0,VLOOKUP($A232,Capacity_Table,Tariff!$R$18))</f>
        <v>480</v>
      </c>
      <c r="D232" s="330">
        <f t="shared" ca="1" si="43"/>
        <v>31</v>
      </c>
      <c r="E232" s="330" t="str">
        <f t="shared" ca="1" si="44"/>
        <v xml:space="preserve"> </v>
      </c>
      <c r="F232" s="332">
        <f t="shared" si="51"/>
        <v>24</v>
      </c>
      <c r="G232" s="1109">
        <f t="shared" ca="1" si="45"/>
        <v>0</v>
      </c>
      <c r="H232" s="1686">
        <f ca="1">IF(Avail_LDs_Switch=1,VLOOKUP('Plant Operations'!A232,RAC_AvailFactor_Table,RAC_LDs!$G$258),IF($A232&lt;Startops2,Tariff!$T$11,0))</f>
        <v>0</v>
      </c>
      <c r="I232" s="1559">
        <f ca="1">IF(OR($A232&lt;Startops1,$A232&gt;=Startops2),0,IF(AND($A232&gt;=DieselOps_2,$A232&lt;Startops2),VLOOKUP($A232,Diesel_Table,Tariff!$Y$41),VLOOKUP($A232,OA_Table,Tariff!$Y$26)))</f>
        <v>0</v>
      </c>
      <c r="J232" s="391" t="str">
        <f t="shared" ca="1" si="52"/>
        <v xml:space="preserve"> </v>
      </c>
      <c r="K232" s="1109">
        <f ca="1">IF(OR($A232&lt;Startops2,$A232&gt;=Endyr),0,VLOOKUP($A232,Capacity_Table,Tariff!$S$18))</f>
        <v>0.91</v>
      </c>
      <c r="L232" s="212">
        <f ca="1">IF(OR($A232&lt;Startops2,$A232&gt;=Endyr),0,VLOOKUP($A232,Capacity_Table,Tariff!$T$18))</f>
        <v>0.92</v>
      </c>
      <c r="M232" s="334">
        <f ca="1">IF($A232&lt;Startops2,0,IF($A232&lt;Startops3,VLOOKUP($A232,Convert_Table,Tariff!$Y$54),C232*D232*F232*K232*L232))</f>
        <v>298980.864</v>
      </c>
      <c r="N232" s="391" t="str">
        <f t="shared" ca="1" si="53"/>
        <v xml:space="preserve"> </v>
      </c>
      <c r="O232" s="334">
        <f t="shared" ca="1" si="54"/>
        <v>7000</v>
      </c>
      <c r="P232" s="334">
        <f t="shared" ca="1" si="46"/>
        <v>2092866.048</v>
      </c>
      <c r="Q232" s="332" t="str">
        <f t="shared" ca="1" si="47"/>
        <v xml:space="preserve"> </v>
      </c>
      <c r="R232" s="334">
        <f ca="1">IF($A232&gt;Endyr,0,IF($A232&lt;Assm!$A$55,P232,Assm!$F$55*$D232))</f>
        <v>1828160.8767123288</v>
      </c>
      <c r="S232" s="391" t="str">
        <f t="shared" ca="1" si="48"/>
        <v xml:space="preserve"> </v>
      </c>
      <c r="T232" s="334">
        <f t="shared" ca="1" si="49"/>
        <v>2092866.048</v>
      </c>
      <c r="U232" s="682" t="str">
        <f t="shared" ca="1" si="50"/>
        <v xml:space="preserve"> </v>
      </c>
    </row>
    <row r="233" spans="1:21">
      <c r="A233" s="672">
        <f t="shared" ca="1" si="42"/>
        <v>42979</v>
      </c>
      <c r="C233" s="681">
        <f ca="1">IF($A233&gt;Endyr,0,VLOOKUP($A233,Capacity_Table,Tariff!$R$18))</f>
        <v>480</v>
      </c>
      <c r="D233" s="330">
        <f t="shared" ca="1" si="43"/>
        <v>30</v>
      </c>
      <c r="E233" s="330" t="str">
        <f t="shared" ca="1" si="44"/>
        <v xml:space="preserve"> </v>
      </c>
      <c r="F233" s="332">
        <f t="shared" si="51"/>
        <v>24</v>
      </c>
      <c r="G233" s="1109">
        <f t="shared" ca="1" si="45"/>
        <v>0</v>
      </c>
      <c r="H233" s="1686">
        <f ca="1">IF(Avail_LDs_Switch=1,VLOOKUP('Plant Operations'!A233,RAC_AvailFactor_Table,RAC_LDs!$G$258),IF($A233&lt;Startops2,Tariff!$T$11,0))</f>
        <v>0</v>
      </c>
      <c r="I233" s="1559">
        <f ca="1">IF(OR($A233&lt;Startops1,$A233&gt;=Startops2),0,IF(AND($A233&gt;=DieselOps_2,$A233&lt;Startops2),VLOOKUP($A233,Diesel_Table,Tariff!$Y$41),VLOOKUP($A233,OA_Table,Tariff!$Y$26)))</f>
        <v>0</v>
      </c>
      <c r="J233" s="391" t="str">
        <f t="shared" ca="1" si="52"/>
        <v xml:space="preserve"> </v>
      </c>
      <c r="K233" s="1109">
        <f ca="1">IF(OR($A233&lt;Startops2,$A233&gt;=Endyr),0,VLOOKUP($A233,Capacity_Table,Tariff!$S$18))</f>
        <v>0.91</v>
      </c>
      <c r="L233" s="212">
        <f ca="1">IF(OR($A233&lt;Startops2,$A233&gt;=Endyr),0,VLOOKUP($A233,Capacity_Table,Tariff!$T$18))</f>
        <v>0.92</v>
      </c>
      <c r="M233" s="334">
        <f ca="1">IF($A233&lt;Startops2,0,IF($A233&lt;Startops3,VLOOKUP($A233,Convert_Table,Tariff!$Y$54),C233*D233*F233*K233*L233))</f>
        <v>289336.32000000001</v>
      </c>
      <c r="N233" s="391" t="str">
        <f t="shared" ca="1" si="53"/>
        <v xml:space="preserve"> </v>
      </c>
      <c r="O233" s="334">
        <f t="shared" ca="1" si="54"/>
        <v>7000</v>
      </c>
      <c r="P233" s="334">
        <f t="shared" ca="1" si="46"/>
        <v>2025354.24</v>
      </c>
      <c r="Q233" s="332" t="str">
        <f t="shared" ca="1" si="47"/>
        <v xml:space="preserve"> </v>
      </c>
      <c r="R233" s="334">
        <f ca="1">IF($A233&gt;Endyr,0,IF($A233&lt;Assm!$A$55,P233,Assm!$F$55*$D233))</f>
        <v>1769187.9452054794</v>
      </c>
      <c r="S233" s="391" t="str">
        <f t="shared" ca="1" si="48"/>
        <v xml:space="preserve"> </v>
      </c>
      <c r="T233" s="334">
        <f t="shared" ca="1" si="49"/>
        <v>2025354.24</v>
      </c>
      <c r="U233" s="682" t="str">
        <f t="shared" ca="1" si="50"/>
        <v xml:space="preserve"> </v>
      </c>
    </row>
    <row r="234" spans="1:21">
      <c r="A234" s="672">
        <f t="shared" ca="1" si="42"/>
        <v>43009</v>
      </c>
      <c r="C234" s="681">
        <f ca="1">IF($A234&gt;Endyr,0,VLOOKUP($A234,Capacity_Table,Tariff!$R$18))</f>
        <v>480</v>
      </c>
      <c r="D234" s="330">
        <f t="shared" ca="1" si="43"/>
        <v>31</v>
      </c>
      <c r="E234" s="330" t="str">
        <f t="shared" ca="1" si="44"/>
        <v xml:space="preserve"> </v>
      </c>
      <c r="F234" s="332">
        <f t="shared" si="51"/>
        <v>24</v>
      </c>
      <c r="G234" s="1109">
        <f t="shared" ca="1" si="45"/>
        <v>0</v>
      </c>
      <c r="H234" s="1686">
        <f ca="1">IF(Avail_LDs_Switch=1,VLOOKUP('Plant Operations'!A234,RAC_AvailFactor_Table,RAC_LDs!$G$258),IF($A234&lt;Startops2,Tariff!$T$11,0))</f>
        <v>0</v>
      </c>
      <c r="I234" s="1559">
        <f ca="1">IF(OR($A234&lt;Startops1,$A234&gt;=Startops2),0,IF(AND($A234&gt;=DieselOps_2,$A234&lt;Startops2),VLOOKUP($A234,Diesel_Table,Tariff!$Y$41),VLOOKUP($A234,OA_Table,Tariff!$Y$26)))</f>
        <v>0</v>
      </c>
      <c r="J234" s="391" t="str">
        <f t="shared" ca="1" si="52"/>
        <v xml:space="preserve"> </v>
      </c>
      <c r="K234" s="1109">
        <f ca="1">IF(OR($A234&lt;Startops2,$A234&gt;=Endyr),0,VLOOKUP($A234,Capacity_Table,Tariff!$S$18))</f>
        <v>0.91</v>
      </c>
      <c r="L234" s="212">
        <f ca="1">IF(OR($A234&lt;Startops2,$A234&gt;=Endyr),0,VLOOKUP($A234,Capacity_Table,Tariff!$T$18))</f>
        <v>0.92</v>
      </c>
      <c r="M234" s="334">
        <f ca="1">IF($A234&lt;Startops2,0,IF($A234&lt;Startops3,VLOOKUP($A234,Convert_Table,Tariff!$Y$54),C234*D234*F234*K234*L234))</f>
        <v>298980.864</v>
      </c>
      <c r="N234" s="391" t="str">
        <f t="shared" ca="1" si="53"/>
        <v xml:space="preserve"> </v>
      </c>
      <c r="O234" s="334">
        <f t="shared" ca="1" si="54"/>
        <v>7000</v>
      </c>
      <c r="P234" s="334">
        <f t="shared" ca="1" si="46"/>
        <v>2092866.048</v>
      </c>
      <c r="Q234" s="332" t="str">
        <f t="shared" ca="1" si="47"/>
        <v xml:space="preserve"> </v>
      </c>
      <c r="R234" s="334">
        <f ca="1">IF($A234&gt;Endyr,0,IF($A234&lt;Assm!$A$55,P234,Assm!$F$55*$D234))</f>
        <v>1828160.8767123288</v>
      </c>
      <c r="S234" s="391" t="str">
        <f t="shared" ca="1" si="48"/>
        <v xml:space="preserve"> </v>
      </c>
      <c r="T234" s="334">
        <f t="shared" ca="1" si="49"/>
        <v>2092866.048</v>
      </c>
      <c r="U234" s="682" t="str">
        <f t="shared" ca="1" si="50"/>
        <v xml:space="preserve"> </v>
      </c>
    </row>
    <row r="235" spans="1:21">
      <c r="A235" s="672">
        <f t="shared" ca="1" si="42"/>
        <v>43040</v>
      </c>
      <c r="C235" s="681">
        <f ca="1">IF($A235&gt;Endyr,0,VLOOKUP($A235,Capacity_Table,Tariff!$R$18))</f>
        <v>480</v>
      </c>
      <c r="D235" s="330">
        <f t="shared" ca="1" si="43"/>
        <v>30</v>
      </c>
      <c r="E235" s="330" t="str">
        <f t="shared" ca="1" si="44"/>
        <v xml:space="preserve"> </v>
      </c>
      <c r="F235" s="332">
        <f t="shared" si="51"/>
        <v>24</v>
      </c>
      <c r="G235" s="1109">
        <f t="shared" ca="1" si="45"/>
        <v>0</v>
      </c>
      <c r="H235" s="1686">
        <f ca="1">IF(Avail_LDs_Switch=1,VLOOKUP('Plant Operations'!A235,RAC_AvailFactor_Table,RAC_LDs!$G$258),IF($A235&lt;Startops2,Tariff!$T$11,0))</f>
        <v>0</v>
      </c>
      <c r="I235" s="1559">
        <f ca="1">IF(OR($A235&lt;Startops1,$A235&gt;=Startops2),0,IF(AND($A235&gt;=DieselOps_2,$A235&lt;Startops2),VLOOKUP($A235,Diesel_Table,Tariff!$Y$41),VLOOKUP($A235,OA_Table,Tariff!$Y$26)))</f>
        <v>0</v>
      </c>
      <c r="J235" s="391" t="str">
        <f t="shared" ca="1" si="52"/>
        <v xml:space="preserve"> </v>
      </c>
      <c r="K235" s="1109">
        <f ca="1">IF(OR($A235&lt;Startops2,$A235&gt;=Endyr),0,VLOOKUP($A235,Capacity_Table,Tariff!$S$18))</f>
        <v>0.91</v>
      </c>
      <c r="L235" s="212">
        <f ca="1">IF(OR($A235&lt;Startops2,$A235&gt;=Endyr),0,VLOOKUP($A235,Capacity_Table,Tariff!$T$18))</f>
        <v>0.92</v>
      </c>
      <c r="M235" s="334">
        <f ca="1">IF($A235&lt;Startops2,0,IF($A235&lt;Startops3,VLOOKUP($A235,Convert_Table,Tariff!$Y$54),C235*D235*F235*K235*L235))</f>
        <v>289336.32000000001</v>
      </c>
      <c r="N235" s="391" t="str">
        <f t="shared" ca="1" si="53"/>
        <v xml:space="preserve"> </v>
      </c>
      <c r="O235" s="334">
        <f t="shared" ca="1" si="54"/>
        <v>7000</v>
      </c>
      <c r="P235" s="334">
        <f t="shared" ca="1" si="46"/>
        <v>2025354.24</v>
      </c>
      <c r="Q235" s="332" t="str">
        <f t="shared" ca="1" si="47"/>
        <v xml:space="preserve"> </v>
      </c>
      <c r="R235" s="334">
        <f ca="1">IF($A235&gt;Endyr,0,IF($A235&lt;Assm!$A$55,P235,Assm!$F$55*$D235))</f>
        <v>1769187.9452054794</v>
      </c>
      <c r="S235" s="391" t="str">
        <f t="shared" ca="1" si="48"/>
        <v xml:space="preserve"> </v>
      </c>
      <c r="T235" s="334">
        <f t="shared" ca="1" si="49"/>
        <v>2025354.24</v>
      </c>
      <c r="U235" s="682" t="str">
        <f t="shared" ca="1" si="50"/>
        <v xml:space="preserve"> </v>
      </c>
    </row>
    <row r="236" spans="1:21">
      <c r="A236" s="672">
        <f t="shared" ca="1" si="42"/>
        <v>43070</v>
      </c>
      <c r="C236" s="681">
        <f ca="1">IF($A236&gt;Endyr,0,VLOOKUP($A236,Capacity_Table,Tariff!$R$18))</f>
        <v>480</v>
      </c>
      <c r="D236" s="330">
        <f t="shared" ca="1" si="43"/>
        <v>31</v>
      </c>
      <c r="E236" s="330">
        <f t="shared" ca="1" si="44"/>
        <v>365</v>
      </c>
      <c r="F236" s="332">
        <f t="shared" si="51"/>
        <v>24</v>
      </c>
      <c r="G236" s="1109">
        <f t="shared" ca="1" si="45"/>
        <v>0</v>
      </c>
      <c r="H236" s="1686">
        <f ca="1">IF(Avail_LDs_Switch=1,VLOOKUP('Plant Operations'!A236,RAC_AvailFactor_Table,RAC_LDs!$G$258),IF($A236&lt;Startops2,Tariff!$T$11,0))</f>
        <v>0</v>
      </c>
      <c r="I236" s="1559">
        <f ca="1">IF(OR($A236&lt;Startops1,$A236&gt;=Startops2),0,IF(AND($A236&gt;=DieselOps_2,$A236&lt;Startops2),VLOOKUP($A236,Diesel_Table,Tariff!$Y$41),VLOOKUP($A236,OA_Table,Tariff!$Y$26)))</f>
        <v>0</v>
      </c>
      <c r="J236" s="391">
        <f t="shared" ca="1" si="52"/>
        <v>0</v>
      </c>
      <c r="K236" s="1109">
        <f ca="1">IF(OR($A236&lt;Startops2,$A236&gt;=Endyr),0,VLOOKUP($A236,Capacity_Table,Tariff!$S$18))</f>
        <v>0.91</v>
      </c>
      <c r="L236" s="212">
        <f ca="1">IF(OR($A236&lt;Startops2,$A236&gt;=Endyr),0,VLOOKUP($A236,Capacity_Table,Tariff!$T$18))</f>
        <v>0.92</v>
      </c>
      <c r="M236" s="334">
        <f ca="1">IF($A236&lt;Startops2,0,IF($A236&lt;Startops3,VLOOKUP($A236,Convert_Table,Tariff!$Y$54),C236*D236*F236*K236*L236))</f>
        <v>298980.864</v>
      </c>
      <c r="N236" s="391">
        <f t="shared" ca="1" si="53"/>
        <v>3520258.56</v>
      </c>
      <c r="O236" s="334">
        <f t="shared" ca="1" si="54"/>
        <v>7000</v>
      </c>
      <c r="P236" s="334">
        <f t="shared" ca="1" si="46"/>
        <v>2092866.048</v>
      </c>
      <c r="Q236" s="332">
        <f t="shared" ca="1" si="47"/>
        <v>24641809.920000002</v>
      </c>
      <c r="R236" s="334">
        <f ca="1">IF($A236&gt;Endyr,0,IF($A236&lt;Assm!$A$55,P236,Assm!$F$55*$D236))</f>
        <v>1828160.8767123288</v>
      </c>
      <c r="S236" s="391">
        <f t="shared" ca="1" si="48"/>
        <v>21525120.000000004</v>
      </c>
      <c r="T236" s="334">
        <f t="shared" ca="1" si="49"/>
        <v>2092866.048</v>
      </c>
      <c r="U236" s="682">
        <f t="shared" ca="1" si="50"/>
        <v>24641809.920000002</v>
      </c>
    </row>
    <row r="237" spans="1:21">
      <c r="A237" s="672">
        <f t="shared" ca="1" si="42"/>
        <v>43101</v>
      </c>
      <c r="C237" s="681">
        <f ca="1">IF($A237&gt;Endyr,0,VLOOKUP($A237,Capacity_Table,Tariff!$R$18))</f>
        <v>480</v>
      </c>
      <c r="D237" s="330">
        <f t="shared" ca="1" si="43"/>
        <v>31</v>
      </c>
      <c r="E237" s="330" t="str">
        <f t="shared" ca="1" si="44"/>
        <v xml:space="preserve"> </v>
      </c>
      <c r="F237" s="332">
        <f t="shared" si="51"/>
        <v>24</v>
      </c>
      <c r="G237" s="1109">
        <f t="shared" ca="1" si="45"/>
        <v>0</v>
      </c>
      <c r="H237" s="1686">
        <f ca="1">IF(Avail_LDs_Switch=1,VLOOKUP('Plant Operations'!A237,RAC_AvailFactor_Table,RAC_LDs!$G$258),IF($A237&lt;Startops2,Tariff!$T$11,0))</f>
        <v>0</v>
      </c>
      <c r="I237" s="1559">
        <f ca="1">IF(OR($A237&lt;Startops1,$A237&gt;=Startops2),0,IF(AND($A237&gt;=DieselOps_2,$A237&lt;Startops2),VLOOKUP($A237,Diesel_Table,Tariff!$Y$41),VLOOKUP($A237,OA_Table,Tariff!$Y$26)))</f>
        <v>0</v>
      </c>
      <c r="J237" s="391" t="str">
        <f t="shared" ca="1" si="52"/>
        <v xml:space="preserve"> </v>
      </c>
      <c r="K237" s="1109">
        <f ca="1">IF(OR($A237&lt;Startops2,$A237&gt;=Endyr),0,VLOOKUP($A237,Capacity_Table,Tariff!$S$18))</f>
        <v>0.91</v>
      </c>
      <c r="L237" s="212">
        <f ca="1">IF(OR($A237&lt;Startops2,$A237&gt;=Endyr),0,VLOOKUP($A237,Capacity_Table,Tariff!$T$18))</f>
        <v>0.92</v>
      </c>
      <c r="M237" s="334">
        <f ca="1">IF($A237&lt;Startops2,0,IF($A237&lt;Startops3,VLOOKUP($A237,Convert_Table,Tariff!$Y$54),C237*D237*F237*K237*L237))</f>
        <v>298980.864</v>
      </c>
      <c r="N237" s="391" t="str">
        <f t="shared" ca="1" si="53"/>
        <v xml:space="preserve"> </v>
      </c>
      <c r="O237" s="334">
        <f t="shared" ca="1" si="54"/>
        <v>7000</v>
      </c>
      <c r="P237" s="334">
        <f t="shared" ca="1" si="46"/>
        <v>2092866.048</v>
      </c>
      <c r="Q237" s="332" t="str">
        <f t="shared" ca="1" si="47"/>
        <v xml:space="preserve"> </v>
      </c>
      <c r="R237" s="334">
        <f ca="1">IF($A237&gt;Endyr,0,IF($A237&lt;Assm!$A$55,P237,Assm!$F$55*$D237))</f>
        <v>1828160.8767123288</v>
      </c>
      <c r="S237" s="391" t="str">
        <f t="shared" ca="1" si="48"/>
        <v xml:space="preserve"> </v>
      </c>
      <c r="T237" s="334">
        <f t="shared" ca="1" si="49"/>
        <v>2092866.048</v>
      </c>
      <c r="U237" s="682" t="str">
        <f t="shared" ca="1" si="50"/>
        <v xml:space="preserve"> </v>
      </c>
    </row>
    <row r="238" spans="1:21">
      <c r="A238" s="672">
        <f t="shared" ca="1" si="42"/>
        <v>43132</v>
      </c>
      <c r="C238" s="681">
        <f ca="1">IF($A238&gt;Endyr,0,VLOOKUP($A238,Capacity_Table,Tariff!$R$18))</f>
        <v>480</v>
      </c>
      <c r="D238" s="330">
        <f t="shared" ca="1" si="43"/>
        <v>28</v>
      </c>
      <c r="E238" s="330" t="str">
        <f t="shared" ca="1" si="44"/>
        <v xml:space="preserve"> </v>
      </c>
      <c r="F238" s="332">
        <f t="shared" si="51"/>
        <v>24</v>
      </c>
      <c r="G238" s="1109">
        <f t="shared" ca="1" si="45"/>
        <v>0</v>
      </c>
      <c r="H238" s="1686">
        <f ca="1">IF(Avail_LDs_Switch=1,VLOOKUP('Plant Operations'!A238,RAC_AvailFactor_Table,RAC_LDs!$G$258),IF($A238&lt;Startops2,Tariff!$T$11,0))</f>
        <v>0</v>
      </c>
      <c r="I238" s="1559">
        <f ca="1">IF(OR($A238&lt;Startops1,$A238&gt;=Startops2),0,IF(AND($A238&gt;=DieselOps_2,$A238&lt;Startops2),VLOOKUP($A238,Diesel_Table,Tariff!$Y$41),VLOOKUP($A238,OA_Table,Tariff!$Y$26)))</f>
        <v>0</v>
      </c>
      <c r="J238" s="391" t="str">
        <f t="shared" ca="1" si="52"/>
        <v xml:space="preserve"> </v>
      </c>
      <c r="K238" s="1109">
        <f ca="1">IF(OR($A238&lt;Startops2,$A238&gt;=Endyr),0,VLOOKUP($A238,Capacity_Table,Tariff!$S$18))</f>
        <v>0.91</v>
      </c>
      <c r="L238" s="212">
        <f ca="1">IF(OR($A238&lt;Startops2,$A238&gt;=Endyr),0,VLOOKUP($A238,Capacity_Table,Tariff!$T$18))</f>
        <v>0.92</v>
      </c>
      <c r="M238" s="334">
        <f ca="1">IF($A238&lt;Startops2,0,IF($A238&lt;Startops3,VLOOKUP($A238,Convert_Table,Tariff!$Y$54),C238*D238*F238*K238*L238))</f>
        <v>270047.23200000002</v>
      </c>
      <c r="N238" s="391" t="str">
        <f t="shared" ca="1" si="53"/>
        <v xml:space="preserve"> </v>
      </c>
      <c r="O238" s="334">
        <f t="shared" ca="1" si="54"/>
        <v>7000</v>
      </c>
      <c r="P238" s="334">
        <f t="shared" ca="1" si="46"/>
        <v>1890330.6240000003</v>
      </c>
      <c r="Q238" s="332" t="str">
        <f t="shared" ca="1" si="47"/>
        <v xml:space="preserve"> </v>
      </c>
      <c r="R238" s="334">
        <f ca="1">IF($A238&gt;Endyr,0,IF($A238&lt;Assm!$A$55,P238,Assm!$F$55*$D238))</f>
        <v>1651242.0821917809</v>
      </c>
      <c r="S238" s="391" t="str">
        <f t="shared" ca="1" si="48"/>
        <v xml:space="preserve"> </v>
      </c>
      <c r="T238" s="334">
        <f t="shared" ca="1" si="49"/>
        <v>1890330.6240000003</v>
      </c>
      <c r="U238" s="682" t="str">
        <f t="shared" ca="1" si="50"/>
        <v xml:space="preserve"> </v>
      </c>
    </row>
    <row r="239" spans="1:21">
      <c r="A239" s="672">
        <f t="shared" ca="1" si="42"/>
        <v>43160</v>
      </c>
      <c r="C239" s="681">
        <f ca="1">IF($A239&gt;Endyr,0,VLOOKUP($A239,Capacity_Table,Tariff!$R$18))</f>
        <v>480</v>
      </c>
      <c r="D239" s="330">
        <f t="shared" ca="1" si="43"/>
        <v>31</v>
      </c>
      <c r="E239" s="330" t="str">
        <f t="shared" ca="1" si="44"/>
        <v xml:space="preserve"> </v>
      </c>
      <c r="F239" s="332">
        <f t="shared" si="51"/>
        <v>24</v>
      </c>
      <c r="G239" s="1109">
        <f t="shared" ca="1" si="45"/>
        <v>0</v>
      </c>
      <c r="H239" s="1686">
        <f ca="1">IF(Avail_LDs_Switch=1,VLOOKUP('Plant Operations'!A239,RAC_AvailFactor_Table,RAC_LDs!$G$258),IF($A239&lt;Startops2,Tariff!$T$11,0))</f>
        <v>0</v>
      </c>
      <c r="I239" s="1559">
        <f ca="1">IF(OR($A239&lt;Startops1,$A239&gt;=Startops2),0,IF(AND($A239&gt;=DieselOps_2,$A239&lt;Startops2),VLOOKUP($A239,Diesel_Table,Tariff!$Y$41),VLOOKUP($A239,OA_Table,Tariff!$Y$26)))</f>
        <v>0</v>
      </c>
      <c r="J239" s="391" t="str">
        <f t="shared" ca="1" si="52"/>
        <v xml:space="preserve"> </v>
      </c>
      <c r="K239" s="1109">
        <f ca="1">IF(OR($A239&lt;Startops2,$A239&gt;=Endyr),0,VLOOKUP($A239,Capacity_Table,Tariff!$S$18))</f>
        <v>0.91</v>
      </c>
      <c r="L239" s="212">
        <f ca="1">IF(OR($A239&lt;Startops2,$A239&gt;=Endyr),0,VLOOKUP($A239,Capacity_Table,Tariff!$T$18))</f>
        <v>0.92</v>
      </c>
      <c r="M239" s="334">
        <f ca="1">IF($A239&lt;Startops2,0,IF($A239&lt;Startops3,VLOOKUP($A239,Convert_Table,Tariff!$Y$54),C239*D239*F239*K239*L239))</f>
        <v>298980.864</v>
      </c>
      <c r="N239" s="391" t="str">
        <f t="shared" ca="1" si="53"/>
        <v xml:space="preserve"> </v>
      </c>
      <c r="O239" s="334">
        <f t="shared" ca="1" si="54"/>
        <v>7000</v>
      </c>
      <c r="P239" s="334">
        <f t="shared" ca="1" si="46"/>
        <v>2092866.048</v>
      </c>
      <c r="Q239" s="332" t="str">
        <f t="shared" ca="1" si="47"/>
        <v xml:space="preserve"> </v>
      </c>
      <c r="R239" s="334">
        <f ca="1">IF($A239&gt;Endyr,0,IF($A239&lt;Assm!$A$55,P239,Assm!$F$55*$D239))</f>
        <v>1828160.8767123288</v>
      </c>
      <c r="S239" s="391" t="str">
        <f t="shared" ca="1" si="48"/>
        <v xml:space="preserve"> </v>
      </c>
      <c r="T239" s="334">
        <f t="shared" ca="1" si="49"/>
        <v>2092866.048</v>
      </c>
      <c r="U239" s="682" t="str">
        <f t="shared" ca="1" si="50"/>
        <v xml:space="preserve"> </v>
      </c>
    </row>
    <row r="240" spans="1:21">
      <c r="A240" s="672">
        <f t="shared" ca="1" si="42"/>
        <v>43191</v>
      </c>
      <c r="C240" s="681">
        <f ca="1">IF($A240&gt;Endyr,0,VLOOKUP($A240,Capacity_Table,Tariff!$R$18))</f>
        <v>480</v>
      </c>
      <c r="D240" s="330">
        <f t="shared" ca="1" si="43"/>
        <v>30</v>
      </c>
      <c r="E240" s="330" t="str">
        <f t="shared" ca="1" si="44"/>
        <v xml:space="preserve"> </v>
      </c>
      <c r="F240" s="332">
        <f t="shared" si="51"/>
        <v>24</v>
      </c>
      <c r="G240" s="1109">
        <f t="shared" ca="1" si="45"/>
        <v>0</v>
      </c>
      <c r="H240" s="1686">
        <f ca="1">IF(Avail_LDs_Switch=1,VLOOKUP('Plant Operations'!A240,RAC_AvailFactor_Table,RAC_LDs!$G$258),IF($A240&lt;Startops2,Tariff!$T$11,0))</f>
        <v>0</v>
      </c>
      <c r="I240" s="1559">
        <f ca="1">IF(OR($A240&lt;Startops1,$A240&gt;=Startops2),0,IF(AND($A240&gt;=DieselOps_2,$A240&lt;Startops2),VLOOKUP($A240,Diesel_Table,Tariff!$Y$41),VLOOKUP($A240,OA_Table,Tariff!$Y$26)))</f>
        <v>0</v>
      </c>
      <c r="J240" s="391" t="str">
        <f t="shared" ca="1" si="52"/>
        <v xml:space="preserve"> </v>
      </c>
      <c r="K240" s="1109">
        <f ca="1">IF(OR($A240&lt;Startops2,$A240&gt;=Endyr),0,VLOOKUP($A240,Capacity_Table,Tariff!$S$18))</f>
        <v>0.91</v>
      </c>
      <c r="L240" s="212">
        <f ca="1">IF(OR($A240&lt;Startops2,$A240&gt;=Endyr),0,VLOOKUP($A240,Capacity_Table,Tariff!$T$18))</f>
        <v>0.92</v>
      </c>
      <c r="M240" s="334">
        <f ca="1">IF($A240&lt;Startops2,0,IF($A240&lt;Startops3,VLOOKUP($A240,Convert_Table,Tariff!$Y$54),C240*D240*F240*K240*L240))</f>
        <v>289336.32000000001</v>
      </c>
      <c r="N240" s="391" t="str">
        <f t="shared" ca="1" si="53"/>
        <v xml:space="preserve"> </v>
      </c>
      <c r="O240" s="334">
        <f t="shared" ca="1" si="54"/>
        <v>7000</v>
      </c>
      <c r="P240" s="334">
        <f t="shared" ca="1" si="46"/>
        <v>2025354.24</v>
      </c>
      <c r="Q240" s="332" t="str">
        <f t="shared" ca="1" si="47"/>
        <v xml:space="preserve"> </v>
      </c>
      <c r="R240" s="334">
        <f ca="1">IF($A240&gt;Endyr,0,IF($A240&lt;Assm!$A$55,P240,Assm!$F$55*$D240))</f>
        <v>1769187.9452054794</v>
      </c>
      <c r="S240" s="391" t="str">
        <f t="shared" ca="1" si="48"/>
        <v xml:space="preserve"> </v>
      </c>
      <c r="T240" s="334">
        <f t="shared" ca="1" si="49"/>
        <v>2025354.24</v>
      </c>
      <c r="U240" s="682" t="str">
        <f t="shared" ca="1" si="50"/>
        <v xml:space="preserve"> </v>
      </c>
    </row>
    <row r="241" spans="1:21">
      <c r="A241" s="672">
        <f t="shared" ca="1" si="42"/>
        <v>43221</v>
      </c>
      <c r="C241" s="681">
        <f ca="1">IF($A241&gt;Endyr,0,VLOOKUP($A241,Capacity_Table,Tariff!$R$18))</f>
        <v>480</v>
      </c>
      <c r="D241" s="330">
        <f t="shared" ca="1" si="43"/>
        <v>31</v>
      </c>
      <c r="E241" s="330" t="str">
        <f t="shared" ca="1" si="44"/>
        <v xml:space="preserve"> </v>
      </c>
      <c r="F241" s="332">
        <f t="shared" si="51"/>
        <v>24</v>
      </c>
      <c r="G241" s="1109">
        <f t="shared" ca="1" si="45"/>
        <v>0</v>
      </c>
      <c r="H241" s="1686">
        <f ca="1">IF(Avail_LDs_Switch=1,VLOOKUP('Plant Operations'!A241,RAC_AvailFactor_Table,RAC_LDs!$G$258),IF($A241&lt;Startops2,Tariff!$T$11,0))</f>
        <v>0</v>
      </c>
      <c r="I241" s="1559">
        <f ca="1">IF(OR($A241&lt;Startops1,$A241&gt;=Startops2),0,IF(AND($A241&gt;=DieselOps_2,$A241&lt;Startops2),VLOOKUP($A241,Diesel_Table,Tariff!$Y$41),VLOOKUP($A241,OA_Table,Tariff!$Y$26)))</f>
        <v>0</v>
      </c>
      <c r="J241" s="391" t="str">
        <f t="shared" ca="1" si="52"/>
        <v xml:space="preserve"> </v>
      </c>
      <c r="K241" s="1109">
        <f ca="1">IF(OR($A241&lt;Startops2,$A241&gt;=Endyr),0,VLOOKUP($A241,Capacity_Table,Tariff!$S$18))</f>
        <v>0.91</v>
      </c>
      <c r="L241" s="212">
        <f ca="1">IF(OR($A241&lt;Startops2,$A241&gt;=Endyr),0,VLOOKUP($A241,Capacity_Table,Tariff!$T$18))</f>
        <v>0.92</v>
      </c>
      <c r="M241" s="334">
        <f ca="1">IF($A241&lt;Startops2,0,IF($A241&lt;Startops3,VLOOKUP($A241,Convert_Table,Tariff!$Y$54),C241*D241*F241*K241*L241))</f>
        <v>298980.864</v>
      </c>
      <c r="N241" s="391" t="str">
        <f t="shared" ca="1" si="53"/>
        <v xml:space="preserve"> </v>
      </c>
      <c r="O241" s="334">
        <f t="shared" ca="1" si="54"/>
        <v>7000</v>
      </c>
      <c r="P241" s="334">
        <f t="shared" ca="1" si="46"/>
        <v>2092866.048</v>
      </c>
      <c r="Q241" s="332" t="str">
        <f t="shared" ca="1" si="47"/>
        <v xml:space="preserve"> </v>
      </c>
      <c r="R241" s="334">
        <f ca="1">IF($A241&gt;Endyr,0,IF($A241&lt;Assm!$A$55,P241,Assm!$F$55*$D241))</f>
        <v>1828160.8767123288</v>
      </c>
      <c r="S241" s="391" t="str">
        <f t="shared" ca="1" si="48"/>
        <v xml:space="preserve"> </v>
      </c>
      <c r="T241" s="334">
        <f t="shared" ca="1" si="49"/>
        <v>2092866.048</v>
      </c>
      <c r="U241" s="682" t="str">
        <f t="shared" ca="1" si="50"/>
        <v xml:space="preserve"> </v>
      </c>
    </row>
    <row r="242" spans="1:21">
      <c r="A242" s="672">
        <f t="shared" ca="1" si="42"/>
        <v>43252</v>
      </c>
      <c r="C242" s="681">
        <f ca="1">IF($A242&gt;Endyr,0,VLOOKUP($A242,Capacity_Table,Tariff!$R$18))</f>
        <v>480</v>
      </c>
      <c r="D242" s="330">
        <f t="shared" ca="1" si="43"/>
        <v>30</v>
      </c>
      <c r="E242" s="330" t="str">
        <f t="shared" ca="1" si="44"/>
        <v xml:space="preserve"> </v>
      </c>
      <c r="F242" s="332">
        <f t="shared" si="51"/>
        <v>24</v>
      </c>
      <c r="G242" s="1109">
        <f t="shared" ca="1" si="45"/>
        <v>0</v>
      </c>
      <c r="H242" s="1686">
        <f ca="1">IF(Avail_LDs_Switch=1,VLOOKUP('Plant Operations'!A242,RAC_AvailFactor_Table,RAC_LDs!$G$258),IF($A242&lt;Startops2,Tariff!$T$11,0))</f>
        <v>0</v>
      </c>
      <c r="I242" s="1559">
        <f ca="1">IF(OR($A242&lt;Startops1,$A242&gt;=Startops2),0,IF(AND($A242&gt;=DieselOps_2,$A242&lt;Startops2),VLOOKUP($A242,Diesel_Table,Tariff!$Y$41),VLOOKUP($A242,OA_Table,Tariff!$Y$26)))</f>
        <v>0</v>
      </c>
      <c r="J242" s="391" t="str">
        <f t="shared" ca="1" si="52"/>
        <v xml:space="preserve"> </v>
      </c>
      <c r="K242" s="1109">
        <f ca="1">IF(OR($A242&lt;Startops2,$A242&gt;=Endyr),0,VLOOKUP($A242,Capacity_Table,Tariff!$S$18))</f>
        <v>0.91</v>
      </c>
      <c r="L242" s="212">
        <f ca="1">IF(OR($A242&lt;Startops2,$A242&gt;=Endyr),0,VLOOKUP($A242,Capacity_Table,Tariff!$T$18))</f>
        <v>0.92</v>
      </c>
      <c r="M242" s="334">
        <f ca="1">IF($A242&lt;Startops2,0,IF($A242&lt;Startops3,VLOOKUP($A242,Convert_Table,Tariff!$Y$54),C242*D242*F242*K242*L242))</f>
        <v>289336.32000000001</v>
      </c>
      <c r="N242" s="391" t="str">
        <f t="shared" ca="1" si="53"/>
        <v xml:space="preserve"> </v>
      </c>
      <c r="O242" s="334">
        <f t="shared" ca="1" si="54"/>
        <v>7000</v>
      </c>
      <c r="P242" s="334">
        <f t="shared" ca="1" si="46"/>
        <v>2025354.24</v>
      </c>
      <c r="Q242" s="332" t="str">
        <f t="shared" ca="1" si="47"/>
        <v xml:space="preserve"> </v>
      </c>
      <c r="R242" s="334">
        <f ca="1">IF($A242&gt;Endyr,0,IF($A242&lt;Assm!$A$55,P242,Assm!$F$55*$D242))</f>
        <v>1769187.9452054794</v>
      </c>
      <c r="S242" s="391" t="str">
        <f t="shared" ca="1" si="48"/>
        <v xml:space="preserve"> </v>
      </c>
      <c r="T242" s="334">
        <f t="shared" ca="1" si="49"/>
        <v>2025354.24</v>
      </c>
      <c r="U242" s="682" t="str">
        <f t="shared" ca="1" si="50"/>
        <v xml:space="preserve"> </v>
      </c>
    </row>
    <row r="243" spans="1:21">
      <c r="A243" s="672">
        <f t="shared" ca="1" si="42"/>
        <v>43282</v>
      </c>
      <c r="C243" s="681">
        <f ca="1">IF($A243&gt;Endyr,0,VLOOKUP($A243,Capacity_Table,Tariff!$R$18))</f>
        <v>480</v>
      </c>
      <c r="D243" s="330">
        <f t="shared" ca="1" si="43"/>
        <v>31</v>
      </c>
      <c r="E243" s="330" t="str">
        <f t="shared" ca="1" si="44"/>
        <v xml:space="preserve"> </v>
      </c>
      <c r="F243" s="332">
        <f t="shared" si="51"/>
        <v>24</v>
      </c>
      <c r="G243" s="1109">
        <f t="shared" ca="1" si="45"/>
        <v>0</v>
      </c>
      <c r="H243" s="1686">
        <f ca="1">IF(Avail_LDs_Switch=1,VLOOKUP('Plant Operations'!A243,RAC_AvailFactor_Table,RAC_LDs!$G$258),IF($A243&lt;Startops2,Tariff!$T$11,0))</f>
        <v>0</v>
      </c>
      <c r="I243" s="1559">
        <f ca="1">IF(OR($A243&lt;Startops1,$A243&gt;=Startops2),0,IF(AND($A243&gt;=DieselOps_2,$A243&lt;Startops2),VLOOKUP($A243,Diesel_Table,Tariff!$Y$41),VLOOKUP($A243,OA_Table,Tariff!$Y$26)))</f>
        <v>0</v>
      </c>
      <c r="J243" s="391" t="str">
        <f t="shared" ca="1" si="52"/>
        <v xml:space="preserve"> </v>
      </c>
      <c r="K243" s="1109">
        <f ca="1">IF(OR($A243&lt;Startops2,$A243&gt;=Endyr),0,VLOOKUP($A243,Capacity_Table,Tariff!$S$18))</f>
        <v>0.91</v>
      </c>
      <c r="L243" s="212">
        <f ca="1">IF(OR($A243&lt;Startops2,$A243&gt;=Endyr),0,VLOOKUP($A243,Capacity_Table,Tariff!$T$18))</f>
        <v>0.92</v>
      </c>
      <c r="M243" s="334">
        <f ca="1">IF($A243&lt;Startops2,0,IF($A243&lt;Startops3,VLOOKUP($A243,Convert_Table,Tariff!$Y$54),C243*D243*F243*K243*L243))</f>
        <v>298980.864</v>
      </c>
      <c r="N243" s="391" t="str">
        <f t="shared" ca="1" si="53"/>
        <v xml:space="preserve"> </v>
      </c>
      <c r="O243" s="334">
        <f t="shared" ca="1" si="54"/>
        <v>7000</v>
      </c>
      <c r="P243" s="334">
        <f t="shared" ca="1" si="46"/>
        <v>2092866.048</v>
      </c>
      <c r="Q243" s="332" t="str">
        <f t="shared" ca="1" si="47"/>
        <v xml:space="preserve"> </v>
      </c>
      <c r="R243" s="334">
        <f ca="1">IF($A243&gt;Endyr,0,IF($A243&lt;Assm!$A$55,P243,Assm!$F$55*$D243))</f>
        <v>1828160.8767123288</v>
      </c>
      <c r="S243" s="391" t="str">
        <f t="shared" ca="1" si="48"/>
        <v xml:space="preserve"> </v>
      </c>
      <c r="T243" s="334">
        <f t="shared" ca="1" si="49"/>
        <v>2092866.048</v>
      </c>
      <c r="U243" s="682" t="str">
        <f t="shared" ca="1" si="50"/>
        <v xml:space="preserve"> </v>
      </c>
    </row>
    <row r="244" spans="1:21">
      <c r="A244" s="672">
        <f t="shared" ca="1" si="42"/>
        <v>43313</v>
      </c>
      <c r="C244" s="681">
        <f ca="1">IF($A244&gt;Endyr,0,VLOOKUP($A244,Capacity_Table,Tariff!$R$18))</f>
        <v>480</v>
      </c>
      <c r="D244" s="330">
        <f t="shared" ca="1" si="43"/>
        <v>31</v>
      </c>
      <c r="E244" s="330" t="str">
        <f t="shared" ca="1" si="44"/>
        <v xml:space="preserve"> </v>
      </c>
      <c r="F244" s="332">
        <f t="shared" si="51"/>
        <v>24</v>
      </c>
      <c r="G244" s="1109">
        <f t="shared" ca="1" si="45"/>
        <v>0</v>
      </c>
      <c r="H244" s="1686">
        <f ca="1">IF(Avail_LDs_Switch=1,VLOOKUP('Plant Operations'!A244,RAC_AvailFactor_Table,RAC_LDs!$G$258),IF($A244&lt;Startops2,Tariff!$T$11,0))</f>
        <v>0</v>
      </c>
      <c r="I244" s="1559">
        <f ca="1">IF(OR($A244&lt;Startops1,$A244&gt;=Startops2),0,IF(AND($A244&gt;=DieselOps_2,$A244&lt;Startops2),VLOOKUP($A244,Diesel_Table,Tariff!$Y$41),VLOOKUP($A244,OA_Table,Tariff!$Y$26)))</f>
        <v>0</v>
      </c>
      <c r="J244" s="391" t="str">
        <f t="shared" ca="1" si="52"/>
        <v xml:space="preserve"> </v>
      </c>
      <c r="K244" s="1109">
        <f ca="1">IF(OR($A244&lt;Startops2,$A244&gt;=Endyr),0,VLOOKUP($A244,Capacity_Table,Tariff!$S$18))</f>
        <v>0.91</v>
      </c>
      <c r="L244" s="212">
        <f ca="1">IF(OR($A244&lt;Startops2,$A244&gt;=Endyr),0,VLOOKUP($A244,Capacity_Table,Tariff!$T$18))</f>
        <v>0.92</v>
      </c>
      <c r="M244" s="334">
        <f ca="1">IF($A244&lt;Startops2,0,IF($A244&lt;Startops3,VLOOKUP($A244,Convert_Table,Tariff!$Y$54),C244*D244*F244*K244*L244))</f>
        <v>298980.864</v>
      </c>
      <c r="N244" s="391" t="str">
        <f t="shared" ca="1" si="53"/>
        <v xml:space="preserve"> </v>
      </c>
      <c r="O244" s="334">
        <f t="shared" ca="1" si="54"/>
        <v>7000</v>
      </c>
      <c r="P244" s="334">
        <f t="shared" ca="1" si="46"/>
        <v>2092866.048</v>
      </c>
      <c r="Q244" s="332" t="str">
        <f t="shared" ca="1" si="47"/>
        <v xml:space="preserve"> </v>
      </c>
      <c r="R244" s="334">
        <f ca="1">IF($A244&gt;Endyr,0,IF($A244&lt;Assm!$A$55,P244,Assm!$F$55*$D244))</f>
        <v>1828160.8767123288</v>
      </c>
      <c r="S244" s="391" t="str">
        <f t="shared" ca="1" si="48"/>
        <v xml:space="preserve"> </v>
      </c>
      <c r="T244" s="334">
        <f t="shared" ca="1" si="49"/>
        <v>2092866.048</v>
      </c>
      <c r="U244" s="682" t="str">
        <f t="shared" ca="1" si="50"/>
        <v xml:space="preserve"> </v>
      </c>
    </row>
    <row r="245" spans="1:21">
      <c r="A245" s="672">
        <f t="shared" ca="1" si="42"/>
        <v>43344</v>
      </c>
      <c r="C245" s="681">
        <f ca="1">IF($A245&gt;Endyr,0,VLOOKUP($A245,Capacity_Table,Tariff!$R$18))</f>
        <v>480</v>
      </c>
      <c r="D245" s="330">
        <f t="shared" ca="1" si="43"/>
        <v>30</v>
      </c>
      <c r="E245" s="330" t="str">
        <f t="shared" ca="1" si="44"/>
        <v xml:space="preserve"> </v>
      </c>
      <c r="F245" s="332">
        <f t="shared" si="51"/>
        <v>24</v>
      </c>
      <c r="G245" s="1109">
        <f t="shared" ca="1" si="45"/>
        <v>0</v>
      </c>
      <c r="H245" s="1686">
        <f ca="1">IF(Avail_LDs_Switch=1,VLOOKUP('Plant Operations'!A245,RAC_AvailFactor_Table,RAC_LDs!$G$258),IF($A245&lt;Startops2,Tariff!$T$11,0))</f>
        <v>0</v>
      </c>
      <c r="I245" s="1559">
        <f ca="1">IF(OR($A245&lt;Startops1,$A245&gt;=Startops2),0,IF(AND($A245&gt;=DieselOps_2,$A245&lt;Startops2),VLOOKUP($A245,Diesel_Table,Tariff!$Y$41),VLOOKUP($A245,OA_Table,Tariff!$Y$26)))</f>
        <v>0</v>
      </c>
      <c r="J245" s="391" t="str">
        <f t="shared" ca="1" si="52"/>
        <v xml:space="preserve"> </v>
      </c>
      <c r="K245" s="1109">
        <f ca="1">IF(OR($A245&lt;Startops2,$A245&gt;=Endyr),0,VLOOKUP($A245,Capacity_Table,Tariff!$S$18))</f>
        <v>0.91</v>
      </c>
      <c r="L245" s="212">
        <f ca="1">IF(OR($A245&lt;Startops2,$A245&gt;=Endyr),0,VLOOKUP($A245,Capacity_Table,Tariff!$T$18))</f>
        <v>0.92</v>
      </c>
      <c r="M245" s="334">
        <f ca="1">IF($A245&lt;Startops2,0,IF($A245&lt;Startops3,VLOOKUP($A245,Convert_Table,Tariff!$Y$54),C245*D245*F245*K245*L245))</f>
        <v>289336.32000000001</v>
      </c>
      <c r="N245" s="391" t="str">
        <f t="shared" ca="1" si="53"/>
        <v xml:space="preserve"> </v>
      </c>
      <c r="O245" s="334">
        <f t="shared" ca="1" si="54"/>
        <v>7000</v>
      </c>
      <c r="P245" s="334">
        <f t="shared" ca="1" si="46"/>
        <v>2025354.24</v>
      </c>
      <c r="Q245" s="332" t="str">
        <f t="shared" ca="1" si="47"/>
        <v xml:space="preserve"> </v>
      </c>
      <c r="R245" s="334">
        <f ca="1">IF($A245&gt;Endyr,0,IF($A245&lt;Assm!$A$55,P245,Assm!$F$55*$D245))</f>
        <v>1769187.9452054794</v>
      </c>
      <c r="S245" s="391" t="str">
        <f t="shared" ca="1" si="48"/>
        <v xml:space="preserve"> </v>
      </c>
      <c r="T245" s="334">
        <f t="shared" ca="1" si="49"/>
        <v>2025354.24</v>
      </c>
      <c r="U245" s="682" t="str">
        <f t="shared" ca="1" si="50"/>
        <v xml:space="preserve"> </v>
      </c>
    </row>
    <row r="246" spans="1:21">
      <c r="A246" s="672">
        <f t="shared" ca="1" si="42"/>
        <v>43374</v>
      </c>
      <c r="C246" s="681">
        <f ca="1">IF($A246&gt;Endyr,0,VLOOKUP($A246,Capacity_Table,Tariff!$R$18))</f>
        <v>480</v>
      </c>
      <c r="D246" s="330">
        <f t="shared" ca="1" si="43"/>
        <v>31</v>
      </c>
      <c r="E246" s="330" t="str">
        <f t="shared" ca="1" si="44"/>
        <v xml:space="preserve"> </v>
      </c>
      <c r="F246" s="332">
        <f t="shared" si="51"/>
        <v>24</v>
      </c>
      <c r="G246" s="1109">
        <f t="shared" ca="1" si="45"/>
        <v>0</v>
      </c>
      <c r="H246" s="1686">
        <f ca="1">IF(Avail_LDs_Switch=1,VLOOKUP('Plant Operations'!A246,RAC_AvailFactor_Table,RAC_LDs!$G$258),IF($A246&lt;Startops2,Tariff!$T$11,0))</f>
        <v>0</v>
      </c>
      <c r="I246" s="1559">
        <f ca="1">IF(OR($A246&lt;Startops1,$A246&gt;=Startops2),0,IF(AND($A246&gt;=DieselOps_2,$A246&lt;Startops2),VLOOKUP($A246,Diesel_Table,Tariff!$Y$41),VLOOKUP($A246,OA_Table,Tariff!$Y$26)))</f>
        <v>0</v>
      </c>
      <c r="J246" s="391" t="str">
        <f t="shared" ca="1" si="52"/>
        <v xml:space="preserve"> </v>
      </c>
      <c r="K246" s="1109">
        <f ca="1">IF(OR($A246&lt;Startops2,$A246&gt;=Endyr),0,VLOOKUP($A246,Capacity_Table,Tariff!$S$18))</f>
        <v>0.91</v>
      </c>
      <c r="L246" s="212">
        <f ca="1">IF(OR($A246&lt;Startops2,$A246&gt;=Endyr),0,VLOOKUP($A246,Capacity_Table,Tariff!$T$18))</f>
        <v>0.92</v>
      </c>
      <c r="M246" s="334">
        <f ca="1">IF($A246&lt;Startops2,0,IF($A246&lt;Startops3,VLOOKUP($A246,Convert_Table,Tariff!$Y$54),C246*D246*F246*K246*L246))</f>
        <v>298980.864</v>
      </c>
      <c r="N246" s="391" t="str">
        <f t="shared" ca="1" si="53"/>
        <v xml:space="preserve"> </v>
      </c>
      <c r="O246" s="334">
        <f t="shared" ca="1" si="54"/>
        <v>7000</v>
      </c>
      <c r="P246" s="334">
        <f t="shared" ca="1" si="46"/>
        <v>2092866.048</v>
      </c>
      <c r="Q246" s="332" t="str">
        <f t="shared" ca="1" si="47"/>
        <v xml:space="preserve"> </v>
      </c>
      <c r="R246" s="334">
        <f ca="1">IF($A246&gt;Endyr,0,IF($A246&lt;Assm!$A$55,P246,Assm!$F$55*$D246))</f>
        <v>1828160.8767123288</v>
      </c>
      <c r="S246" s="391" t="str">
        <f t="shared" ca="1" si="48"/>
        <v xml:space="preserve"> </v>
      </c>
      <c r="T246" s="334">
        <f t="shared" ca="1" si="49"/>
        <v>2092866.048</v>
      </c>
      <c r="U246" s="682" t="str">
        <f t="shared" ca="1" si="50"/>
        <v xml:space="preserve"> </v>
      </c>
    </row>
    <row r="247" spans="1:21">
      <c r="A247" s="672">
        <f t="shared" ca="1" si="42"/>
        <v>43405</v>
      </c>
      <c r="C247" s="681">
        <f ca="1">IF($A247&gt;Endyr,0,VLOOKUP($A247,Capacity_Table,Tariff!$R$18))</f>
        <v>480</v>
      </c>
      <c r="D247" s="330">
        <f t="shared" ca="1" si="43"/>
        <v>30</v>
      </c>
      <c r="E247" s="330" t="str">
        <f t="shared" ca="1" si="44"/>
        <v xml:space="preserve"> </v>
      </c>
      <c r="F247" s="332">
        <f t="shared" si="51"/>
        <v>24</v>
      </c>
      <c r="G247" s="1109">
        <f t="shared" ca="1" si="45"/>
        <v>0</v>
      </c>
      <c r="H247" s="1686">
        <f ca="1">IF(Avail_LDs_Switch=1,VLOOKUP('Plant Operations'!A247,RAC_AvailFactor_Table,RAC_LDs!$G$258),IF($A247&lt;Startops2,Tariff!$T$11,0))</f>
        <v>0</v>
      </c>
      <c r="I247" s="1559">
        <f ca="1">IF(OR($A247&lt;Startops1,$A247&gt;=Startops2),0,IF(AND($A247&gt;=DieselOps_2,$A247&lt;Startops2),VLOOKUP($A247,Diesel_Table,Tariff!$Y$41),VLOOKUP($A247,OA_Table,Tariff!$Y$26)))</f>
        <v>0</v>
      </c>
      <c r="J247" s="391" t="str">
        <f t="shared" ca="1" si="52"/>
        <v xml:space="preserve"> </v>
      </c>
      <c r="K247" s="1109">
        <f ca="1">IF(OR($A247&lt;Startops2,$A247&gt;=Endyr),0,VLOOKUP($A247,Capacity_Table,Tariff!$S$18))</f>
        <v>0.91</v>
      </c>
      <c r="L247" s="212">
        <f ca="1">IF(OR($A247&lt;Startops2,$A247&gt;=Endyr),0,VLOOKUP($A247,Capacity_Table,Tariff!$T$18))</f>
        <v>0.92</v>
      </c>
      <c r="M247" s="334">
        <f ca="1">IF($A247&lt;Startops2,0,IF($A247&lt;Startops3,VLOOKUP($A247,Convert_Table,Tariff!$Y$54),C247*D247*F247*K247*L247))</f>
        <v>289336.32000000001</v>
      </c>
      <c r="N247" s="391" t="str">
        <f t="shared" ca="1" si="53"/>
        <v xml:space="preserve"> </v>
      </c>
      <c r="O247" s="334">
        <f t="shared" ca="1" si="54"/>
        <v>7000</v>
      </c>
      <c r="P247" s="334">
        <f t="shared" ca="1" si="46"/>
        <v>2025354.24</v>
      </c>
      <c r="Q247" s="332" t="str">
        <f t="shared" ca="1" si="47"/>
        <v xml:space="preserve"> </v>
      </c>
      <c r="R247" s="334">
        <f ca="1">IF($A247&gt;Endyr,0,IF($A247&lt;Assm!$A$55,P247,Assm!$F$55*$D247))</f>
        <v>1769187.9452054794</v>
      </c>
      <c r="S247" s="391" t="str">
        <f t="shared" ca="1" si="48"/>
        <v xml:space="preserve"> </v>
      </c>
      <c r="T247" s="334">
        <f t="shared" ca="1" si="49"/>
        <v>2025354.24</v>
      </c>
      <c r="U247" s="682" t="str">
        <f t="shared" ca="1" si="50"/>
        <v xml:space="preserve"> </v>
      </c>
    </row>
    <row r="248" spans="1:21">
      <c r="A248" s="672">
        <f t="shared" ca="1" si="42"/>
        <v>43435</v>
      </c>
      <c r="C248" s="681">
        <f ca="1">IF($A248&gt;Endyr,0,VLOOKUP($A248,Capacity_Table,Tariff!$R$18))</f>
        <v>480</v>
      </c>
      <c r="D248" s="330">
        <f t="shared" ca="1" si="43"/>
        <v>31</v>
      </c>
      <c r="E248" s="330">
        <f t="shared" ca="1" si="44"/>
        <v>365</v>
      </c>
      <c r="F248" s="332">
        <f t="shared" si="51"/>
        <v>24</v>
      </c>
      <c r="G248" s="1109">
        <f t="shared" ca="1" si="45"/>
        <v>0</v>
      </c>
      <c r="H248" s="1686">
        <f ca="1">IF(Avail_LDs_Switch=1,VLOOKUP('Plant Operations'!A248,RAC_AvailFactor_Table,RAC_LDs!$G$258),IF($A248&lt;Startops2,Tariff!$T$11,0))</f>
        <v>0</v>
      </c>
      <c r="I248" s="1559">
        <f ca="1">IF(OR($A248&lt;Startops1,$A248&gt;=Startops2),0,IF(AND($A248&gt;=DieselOps_2,$A248&lt;Startops2),VLOOKUP($A248,Diesel_Table,Tariff!$Y$41),VLOOKUP($A248,OA_Table,Tariff!$Y$26)))</f>
        <v>0</v>
      </c>
      <c r="J248" s="391">
        <f t="shared" ca="1" si="52"/>
        <v>0</v>
      </c>
      <c r="K248" s="1109">
        <f ca="1">IF(OR($A248&lt;Startops2,$A248&gt;=Endyr),0,VLOOKUP($A248,Capacity_Table,Tariff!$S$18))</f>
        <v>0.91</v>
      </c>
      <c r="L248" s="212">
        <f ca="1">IF(OR($A248&lt;Startops2,$A248&gt;=Endyr),0,VLOOKUP($A248,Capacity_Table,Tariff!$T$18))</f>
        <v>0.92</v>
      </c>
      <c r="M248" s="334">
        <f ca="1">IF($A248&lt;Startops2,0,IF($A248&lt;Startops3,VLOOKUP($A248,Convert_Table,Tariff!$Y$54),C248*D248*F248*K248*L248))</f>
        <v>298980.864</v>
      </c>
      <c r="N248" s="391">
        <f t="shared" ca="1" si="53"/>
        <v>3520258.56</v>
      </c>
      <c r="O248" s="334">
        <f t="shared" ca="1" si="54"/>
        <v>7000</v>
      </c>
      <c r="P248" s="334">
        <f t="shared" ca="1" si="46"/>
        <v>2092866.048</v>
      </c>
      <c r="Q248" s="332">
        <f t="shared" ca="1" si="47"/>
        <v>24641809.920000002</v>
      </c>
      <c r="R248" s="334">
        <f ca="1">IF($A248&gt;Endyr,0,IF($A248&lt;Assm!$A$55,P248,Assm!$F$55*$D248))</f>
        <v>1828160.8767123288</v>
      </c>
      <c r="S248" s="391">
        <f t="shared" ca="1" si="48"/>
        <v>21525120.000000004</v>
      </c>
      <c r="T248" s="334">
        <f t="shared" ca="1" si="49"/>
        <v>2092866.048</v>
      </c>
      <c r="U248" s="682">
        <f t="shared" ca="1" si="50"/>
        <v>24641809.920000002</v>
      </c>
    </row>
    <row r="249" spans="1:21">
      <c r="A249" s="672">
        <f t="shared" ca="1" si="42"/>
        <v>43466</v>
      </c>
      <c r="C249" s="681">
        <f ca="1">IF($A249&gt;Endyr,0,VLOOKUP($A249,Capacity_Table,Tariff!$R$18))</f>
        <v>480</v>
      </c>
      <c r="D249" s="330">
        <f t="shared" ca="1" si="43"/>
        <v>31</v>
      </c>
      <c r="E249" s="330" t="str">
        <f t="shared" ca="1" si="44"/>
        <v xml:space="preserve"> </v>
      </c>
      <c r="F249" s="332">
        <f t="shared" si="51"/>
        <v>24</v>
      </c>
      <c r="G249" s="1109">
        <f t="shared" ca="1" si="45"/>
        <v>0</v>
      </c>
      <c r="H249" s="1686">
        <f ca="1">IF(Avail_LDs_Switch=1,VLOOKUP('Plant Operations'!A249,RAC_AvailFactor_Table,RAC_LDs!$G$258),IF($A249&lt;Startops2,Tariff!$T$11,0))</f>
        <v>0</v>
      </c>
      <c r="I249" s="1559">
        <f ca="1">IF(OR($A249&lt;Startops1,$A249&gt;=Startops2),0,IF(AND($A249&gt;=DieselOps_2,$A249&lt;Startops2),VLOOKUP($A249,Diesel_Table,Tariff!$Y$41),VLOOKUP($A249,OA_Table,Tariff!$Y$26)))</f>
        <v>0</v>
      </c>
      <c r="J249" s="391" t="str">
        <f t="shared" ca="1" si="52"/>
        <v xml:space="preserve"> </v>
      </c>
      <c r="K249" s="1109">
        <f ca="1">IF(OR($A249&lt;Startops2,$A249&gt;=Endyr),0,VLOOKUP($A249,Capacity_Table,Tariff!$S$18))</f>
        <v>0.91</v>
      </c>
      <c r="L249" s="212">
        <f ca="1">IF(OR($A249&lt;Startops2,$A249&gt;=Endyr),0,VLOOKUP($A249,Capacity_Table,Tariff!$T$18))</f>
        <v>0.92</v>
      </c>
      <c r="M249" s="334">
        <f ca="1">IF($A249&lt;Startops2,0,IF($A249&lt;Startops3,VLOOKUP($A249,Convert_Table,Tariff!$Y$54),C249*D249*F249*K249*L249))</f>
        <v>298980.864</v>
      </c>
      <c r="N249" s="391" t="str">
        <f t="shared" ca="1" si="53"/>
        <v xml:space="preserve"> </v>
      </c>
      <c r="O249" s="334">
        <f t="shared" ca="1" si="54"/>
        <v>7000</v>
      </c>
      <c r="P249" s="334">
        <f t="shared" ca="1" si="46"/>
        <v>2092866.048</v>
      </c>
      <c r="Q249" s="332" t="str">
        <f t="shared" ca="1" si="47"/>
        <v xml:space="preserve"> </v>
      </c>
      <c r="R249" s="334">
        <f ca="1">IF($A249&gt;Endyr,0,IF($A249&lt;Assm!$A$55,P249,Assm!$F$55*$D249))</f>
        <v>1828160.8767123288</v>
      </c>
      <c r="S249" s="391" t="str">
        <f t="shared" ca="1" si="48"/>
        <v xml:space="preserve"> </v>
      </c>
      <c r="T249" s="334">
        <f t="shared" ca="1" si="49"/>
        <v>2092866.048</v>
      </c>
      <c r="U249" s="682" t="str">
        <f t="shared" ca="1" si="50"/>
        <v xml:space="preserve"> </v>
      </c>
    </row>
    <row r="250" spans="1:21">
      <c r="A250" s="672">
        <f t="shared" ca="1" si="42"/>
        <v>43497</v>
      </c>
      <c r="C250" s="681">
        <f ca="1">IF($A250&gt;Endyr,0,VLOOKUP($A250,Capacity_Table,Tariff!$R$18))</f>
        <v>480</v>
      </c>
      <c r="D250" s="330">
        <f t="shared" ca="1" si="43"/>
        <v>28</v>
      </c>
      <c r="E250" s="330" t="str">
        <f t="shared" ca="1" si="44"/>
        <v xml:space="preserve"> </v>
      </c>
      <c r="F250" s="332">
        <f t="shared" si="51"/>
        <v>24</v>
      </c>
      <c r="G250" s="1109">
        <f t="shared" ca="1" si="45"/>
        <v>0</v>
      </c>
      <c r="H250" s="1686">
        <f ca="1">IF(Avail_LDs_Switch=1,VLOOKUP('Plant Operations'!A250,RAC_AvailFactor_Table,RAC_LDs!$G$258),IF($A250&lt;Startops2,Tariff!$T$11,0))</f>
        <v>0</v>
      </c>
      <c r="I250" s="1559">
        <f ca="1">IF(OR($A250&lt;Startops1,$A250&gt;=Startops2),0,IF(AND($A250&gt;=DieselOps_2,$A250&lt;Startops2),VLOOKUP($A250,Diesel_Table,Tariff!$Y$41),VLOOKUP($A250,OA_Table,Tariff!$Y$26)))</f>
        <v>0</v>
      </c>
      <c r="J250" s="391" t="str">
        <f t="shared" ca="1" si="52"/>
        <v xml:space="preserve"> </v>
      </c>
      <c r="K250" s="1109">
        <f ca="1">IF(OR($A250&lt;Startops2,$A250&gt;=Endyr),0,VLOOKUP($A250,Capacity_Table,Tariff!$S$18))</f>
        <v>0.91</v>
      </c>
      <c r="L250" s="212">
        <f ca="1">IF(OR($A250&lt;Startops2,$A250&gt;=Endyr),0,VLOOKUP($A250,Capacity_Table,Tariff!$T$18))</f>
        <v>0.92</v>
      </c>
      <c r="M250" s="334">
        <f ca="1">IF($A250&lt;Startops2,0,IF($A250&lt;Startops3,VLOOKUP($A250,Convert_Table,Tariff!$Y$54),C250*D250*F250*K250*L250))</f>
        <v>270047.23200000002</v>
      </c>
      <c r="N250" s="391" t="str">
        <f t="shared" ca="1" si="53"/>
        <v xml:space="preserve"> </v>
      </c>
      <c r="O250" s="334">
        <f t="shared" ca="1" si="54"/>
        <v>7000</v>
      </c>
      <c r="P250" s="334">
        <f t="shared" ca="1" si="46"/>
        <v>1890330.6240000003</v>
      </c>
      <c r="Q250" s="332" t="str">
        <f t="shared" ca="1" si="47"/>
        <v xml:space="preserve"> </v>
      </c>
      <c r="R250" s="334">
        <f ca="1">IF($A250&gt;Endyr,0,IF($A250&lt;Assm!$A$55,P250,Assm!$F$55*$D250))</f>
        <v>1651242.0821917809</v>
      </c>
      <c r="S250" s="391" t="str">
        <f t="shared" ca="1" si="48"/>
        <v xml:space="preserve"> </v>
      </c>
      <c r="T250" s="334">
        <f t="shared" ca="1" si="49"/>
        <v>1890330.6240000003</v>
      </c>
      <c r="U250" s="682" t="str">
        <f t="shared" ca="1" si="50"/>
        <v xml:space="preserve"> </v>
      </c>
    </row>
    <row r="251" spans="1:21">
      <c r="A251" s="672">
        <f t="shared" ca="1" si="42"/>
        <v>43525</v>
      </c>
      <c r="C251" s="681">
        <f ca="1">IF($A251&gt;Endyr,0,VLOOKUP($A251,Capacity_Table,Tariff!$R$18))</f>
        <v>480</v>
      </c>
      <c r="D251" s="330">
        <f t="shared" ca="1" si="43"/>
        <v>31</v>
      </c>
      <c r="E251" s="330" t="str">
        <f t="shared" ca="1" si="44"/>
        <v xml:space="preserve"> </v>
      </c>
      <c r="F251" s="332">
        <f t="shared" si="51"/>
        <v>24</v>
      </c>
      <c r="G251" s="1109">
        <f t="shared" ca="1" si="45"/>
        <v>0</v>
      </c>
      <c r="H251" s="1686">
        <f ca="1">IF(Avail_LDs_Switch=1,VLOOKUP('Plant Operations'!A251,RAC_AvailFactor_Table,RAC_LDs!$G$258),IF($A251&lt;Startops2,Tariff!$T$11,0))</f>
        <v>0</v>
      </c>
      <c r="I251" s="1559">
        <f ca="1">IF(OR($A251&lt;Startops1,$A251&gt;=Startops2),0,IF(AND($A251&gt;=DieselOps_2,$A251&lt;Startops2),VLOOKUP($A251,Diesel_Table,Tariff!$Y$41),VLOOKUP($A251,OA_Table,Tariff!$Y$26)))</f>
        <v>0</v>
      </c>
      <c r="J251" s="391" t="str">
        <f t="shared" ca="1" si="52"/>
        <v xml:space="preserve"> </v>
      </c>
      <c r="K251" s="1109">
        <f ca="1">IF(OR($A251&lt;Startops2,$A251&gt;=Endyr),0,VLOOKUP($A251,Capacity_Table,Tariff!$S$18))</f>
        <v>0.91</v>
      </c>
      <c r="L251" s="212">
        <f ca="1">IF(OR($A251&lt;Startops2,$A251&gt;=Endyr),0,VLOOKUP($A251,Capacity_Table,Tariff!$T$18))</f>
        <v>0.92</v>
      </c>
      <c r="M251" s="334">
        <f ca="1">IF($A251&lt;Startops2,0,IF($A251&lt;Startops3,VLOOKUP($A251,Convert_Table,Tariff!$Y$54),C251*D251*F251*K251*L251))</f>
        <v>298980.864</v>
      </c>
      <c r="N251" s="391" t="str">
        <f t="shared" ca="1" si="53"/>
        <v xml:space="preserve"> </v>
      </c>
      <c r="O251" s="334">
        <f t="shared" ca="1" si="54"/>
        <v>7000</v>
      </c>
      <c r="P251" s="334">
        <f t="shared" ca="1" si="46"/>
        <v>2092866.048</v>
      </c>
      <c r="Q251" s="332" t="str">
        <f t="shared" ca="1" si="47"/>
        <v xml:space="preserve"> </v>
      </c>
      <c r="R251" s="334">
        <f ca="1">IF($A251&gt;Endyr,0,IF($A251&lt;Assm!$A$55,P251,Assm!$F$55*$D251))</f>
        <v>1828160.8767123288</v>
      </c>
      <c r="S251" s="391" t="str">
        <f t="shared" ca="1" si="48"/>
        <v xml:space="preserve"> </v>
      </c>
      <c r="T251" s="334">
        <f t="shared" ca="1" si="49"/>
        <v>2092866.048</v>
      </c>
      <c r="U251" s="682" t="str">
        <f t="shared" ca="1" si="50"/>
        <v xml:space="preserve"> </v>
      </c>
    </row>
    <row r="252" spans="1:21">
      <c r="A252" s="672">
        <f t="shared" ca="1" si="42"/>
        <v>43556</v>
      </c>
      <c r="C252" s="681">
        <f ca="1">IF($A252&gt;Endyr,0,VLOOKUP($A252,Capacity_Table,Tariff!$R$18))</f>
        <v>480</v>
      </c>
      <c r="D252" s="330">
        <f t="shared" ca="1" si="43"/>
        <v>30</v>
      </c>
      <c r="E252" s="330" t="str">
        <f t="shared" ca="1" si="44"/>
        <v xml:space="preserve"> </v>
      </c>
      <c r="F252" s="332">
        <f t="shared" si="51"/>
        <v>24</v>
      </c>
      <c r="G252" s="1109">
        <f t="shared" ca="1" si="45"/>
        <v>0</v>
      </c>
      <c r="H252" s="1686">
        <f ca="1">IF(Avail_LDs_Switch=1,VLOOKUP('Plant Operations'!A252,RAC_AvailFactor_Table,RAC_LDs!$G$258),IF($A252&lt;Startops2,Tariff!$T$11,0))</f>
        <v>0</v>
      </c>
      <c r="I252" s="1559">
        <f ca="1">IF(OR($A252&lt;Startops1,$A252&gt;=Startops2),0,IF(AND($A252&gt;=DieselOps_2,$A252&lt;Startops2),VLOOKUP($A252,Diesel_Table,Tariff!$Y$41),VLOOKUP($A252,OA_Table,Tariff!$Y$26)))</f>
        <v>0</v>
      </c>
      <c r="J252" s="391" t="str">
        <f t="shared" ca="1" si="52"/>
        <v xml:space="preserve"> </v>
      </c>
      <c r="K252" s="1109">
        <f ca="1">IF(OR($A252&lt;Startops2,$A252&gt;=Endyr),0,VLOOKUP($A252,Capacity_Table,Tariff!$S$18))</f>
        <v>0.91</v>
      </c>
      <c r="L252" s="212">
        <f ca="1">IF(OR($A252&lt;Startops2,$A252&gt;=Endyr),0,VLOOKUP($A252,Capacity_Table,Tariff!$T$18))</f>
        <v>0.92</v>
      </c>
      <c r="M252" s="334">
        <f ca="1">IF($A252&lt;Startops2,0,IF($A252&lt;Startops3,VLOOKUP($A252,Convert_Table,Tariff!$Y$54),C252*D252*F252*K252*L252))</f>
        <v>289336.32000000001</v>
      </c>
      <c r="N252" s="391" t="str">
        <f t="shared" ca="1" si="53"/>
        <v xml:space="preserve"> </v>
      </c>
      <c r="O252" s="334">
        <f t="shared" ca="1" si="54"/>
        <v>7000</v>
      </c>
      <c r="P252" s="334">
        <f t="shared" ca="1" si="46"/>
        <v>2025354.24</v>
      </c>
      <c r="Q252" s="332" t="str">
        <f t="shared" ca="1" si="47"/>
        <v xml:space="preserve"> </v>
      </c>
      <c r="R252" s="334">
        <f ca="1">IF($A252&gt;Endyr,0,IF($A252&lt;Assm!$A$55,P252,Assm!$F$55*$D252))</f>
        <v>1769187.9452054794</v>
      </c>
      <c r="S252" s="391" t="str">
        <f t="shared" ca="1" si="48"/>
        <v xml:space="preserve"> </v>
      </c>
      <c r="T252" s="334">
        <f t="shared" ca="1" si="49"/>
        <v>2025354.24</v>
      </c>
      <c r="U252" s="682" t="str">
        <f t="shared" ca="1" si="50"/>
        <v xml:space="preserve"> </v>
      </c>
    </row>
    <row r="253" spans="1:21">
      <c r="A253" s="672">
        <f t="shared" ca="1" si="42"/>
        <v>43586</v>
      </c>
      <c r="C253" s="681">
        <f ca="1">IF($A253&gt;Endyr,0,VLOOKUP($A253,Capacity_Table,Tariff!$R$18))</f>
        <v>0</v>
      </c>
      <c r="D253" s="330">
        <f t="shared" ca="1" si="43"/>
        <v>31</v>
      </c>
      <c r="E253" s="330" t="str">
        <f t="shared" ca="1" si="44"/>
        <v xml:space="preserve"> </v>
      </c>
      <c r="F253" s="332">
        <f t="shared" si="51"/>
        <v>24</v>
      </c>
      <c r="G253" s="1109">
        <f t="shared" ca="1" si="45"/>
        <v>0</v>
      </c>
      <c r="H253" s="1686">
        <f ca="1">IF(Avail_LDs_Switch=1,VLOOKUP('Plant Operations'!A253,RAC_AvailFactor_Table,RAC_LDs!$G$258),IF($A253&lt;Startops2,Tariff!$T$11,0))</f>
        <v>0</v>
      </c>
      <c r="I253" s="1559">
        <f ca="1">IF(OR($A253&lt;Startops1,$A253&gt;=Startops2),0,IF(AND($A253&gt;=DieselOps_2,$A253&lt;Startops2),VLOOKUP($A253,Diesel_Table,Tariff!$Y$41),VLOOKUP($A253,OA_Table,Tariff!$Y$26)))</f>
        <v>0</v>
      </c>
      <c r="J253" s="391" t="str">
        <f t="shared" ca="1" si="52"/>
        <v xml:space="preserve"> </v>
      </c>
      <c r="K253" s="1109">
        <f ca="1">IF(OR($A253&lt;Startops2,$A253&gt;=Endyr),0,VLOOKUP($A253,Capacity_Table,Tariff!$S$18))</f>
        <v>0</v>
      </c>
      <c r="L253" s="212">
        <f ca="1">IF(OR($A253&lt;Startops2,$A253&gt;=Endyr),0,VLOOKUP($A253,Capacity_Table,Tariff!$T$18))</f>
        <v>0</v>
      </c>
      <c r="M253" s="334">
        <f ca="1">IF($A253&lt;Startops2,0,IF($A253&lt;Startops3,VLOOKUP($A253,Convert_Table,Tariff!$Y$54),C253*D253*F253*K253*L253))</f>
        <v>0</v>
      </c>
      <c r="N253" s="391" t="str">
        <f t="shared" ca="1" si="53"/>
        <v xml:space="preserve"> </v>
      </c>
      <c r="O253" s="334">
        <f t="shared" ca="1" si="54"/>
        <v>7000</v>
      </c>
      <c r="P253" s="334">
        <f t="shared" ca="1" si="46"/>
        <v>0</v>
      </c>
      <c r="Q253" s="332" t="str">
        <f t="shared" ca="1" si="47"/>
        <v xml:space="preserve"> </v>
      </c>
      <c r="R253" s="334">
        <f ca="1">IF($A253&gt;Endyr,0,IF($A253&lt;Assm!$A$55,P253,Assm!$F$55*$D253))</f>
        <v>0</v>
      </c>
      <c r="S253" s="391" t="str">
        <f t="shared" ca="1" si="48"/>
        <v xml:space="preserve"> </v>
      </c>
      <c r="T253" s="334">
        <f t="shared" ca="1" si="49"/>
        <v>0</v>
      </c>
      <c r="U253" s="682" t="str">
        <f t="shared" ca="1" si="50"/>
        <v xml:space="preserve"> </v>
      </c>
    </row>
    <row r="254" spans="1:21">
      <c r="A254" s="672">
        <f t="shared" ca="1" si="42"/>
        <v>43617</v>
      </c>
      <c r="C254" s="681">
        <f ca="1">IF($A254&gt;Endyr,0,VLOOKUP($A254,Capacity_Table,Tariff!$R$18))</f>
        <v>0</v>
      </c>
      <c r="D254" s="330">
        <f t="shared" ca="1" si="43"/>
        <v>30</v>
      </c>
      <c r="E254" s="330" t="str">
        <f t="shared" ca="1" si="44"/>
        <v xml:space="preserve"> </v>
      </c>
      <c r="F254" s="332">
        <f t="shared" si="51"/>
        <v>24</v>
      </c>
      <c r="G254" s="1109">
        <f t="shared" ca="1" si="45"/>
        <v>0</v>
      </c>
      <c r="H254" s="1686">
        <f ca="1">IF(Avail_LDs_Switch=1,VLOOKUP('Plant Operations'!A254,RAC_AvailFactor_Table,RAC_LDs!$G$258),IF($A254&lt;Startops2,Tariff!$T$11,0))</f>
        <v>0</v>
      </c>
      <c r="I254" s="1559">
        <f ca="1">IF(OR($A254&lt;Startops1,$A254&gt;=Startops2),0,IF(AND($A254&gt;=DieselOps_2,$A254&lt;Startops2),VLOOKUP($A254,Diesel_Table,Tariff!$Y$41),VLOOKUP($A254,OA_Table,Tariff!$Y$26)))</f>
        <v>0</v>
      </c>
      <c r="J254" s="391" t="str">
        <f t="shared" ca="1" si="52"/>
        <v xml:space="preserve"> </v>
      </c>
      <c r="K254" s="1109">
        <f ca="1">IF(OR($A254&lt;Startops2,$A254&gt;=Endyr),0,VLOOKUP($A254,Capacity_Table,Tariff!$S$18))</f>
        <v>0</v>
      </c>
      <c r="L254" s="212">
        <f ca="1">IF(OR($A254&lt;Startops2,$A254&gt;=Endyr),0,VLOOKUP($A254,Capacity_Table,Tariff!$T$18))</f>
        <v>0</v>
      </c>
      <c r="M254" s="334">
        <f ca="1">IF($A254&lt;Startops2,0,IF($A254&lt;Startops3,VLOOKUP($A254,Convert_Table,Tariff!$Y$54),C254*D254*F254*K254*L254))</f>
        <v>0</v>
      </c>
      <c r="N254" s="391" t="str">
        <f t="shared" ca="1" si="53"/>
        <v xml:space="preserve"> </v>
      </c>
      <c r="O254" s="334">
        <f t="shared" ca="1" si="54"/>
        <v>7000</v>
      </c>
      <c r="P254" s="334">
        <f t="shared" ca="1" si="46"/>
        <v>0</v>
      </c>
      <c r="Q254" s="332" t="str">
        <f t="shared" ca="1" si="47"/>
        <v xml:space="preserve"> </v>
      </c>
      <c r="R254" s="334">
        <f ca="1">IF($A254&gt;Endyr,0,IF($A254&lt;Assm!$A$55,P254,Assm!$F$55*$D254))</f>
        <v>0</v>
      </c>
      <c r="S254" s="391" t="str">
        <f t="shared" ca="1" si="48"/>
        <v xml:space="preserve"> </v>
      </c>
      <c r="T254" s="334">
        <f t="shared" ca="1" si="49"/>
        <v>0</v>
      </c>
      <c r="U254" s="682" t="str">
        <f t="shared" ca="1" si="50"/>
        <v xml:space="preserve"> </v>
      </c>
    </row>
    <row r="255" spans="1:21">
      <c r="A255" s="672">
        <f t="shared" ca="1" si="42"/>
        <v>43647</v>
      </c>
      <c r="C255" s="681">
        <f ca="1">IF($A255&gt;Endyr,0,VLOOKUP($A255,Capacity_Table,Tariff!$R$18))</f>
        <v>0</v>
      </c>
      <c r="D255" s="330">
        <f t="shared" ca="1" si="43"/>
        <v>31</v>
      </c>
      <c r="E255" s="330" t="str">
        <f t="shared" ca="1" si="44"/>
        <v xml:space="preserve"> </v>
      </c>
      <c r="F255" s="332">
        <f t="shared" si="51"/>
        <v>24</v>
      </c>
      <c r="G255" s="1109">
        <f t="shared" ca="1" si="45"/>
        <v>0</v>
      </c>
      <c r="H255" s="1686">
        <f ca="1">IF(Avail_LDs_Switch=1,VLOOKUP('Plant Operations'!A255,RAC_AvailFactor_Table,RAC_LDs!$G$258),IF($A255&lt;Startops2,Tariff!$T$11,0))</f>
        <v>0</v>
      </c>
      <c r="I255" s="1559">
        <f ca="1">IF(OR($A255&lt;Startops1,$A255&gt;=Startops2),0,IF(AND($A255&gt;=DieselOps_2,$A255&lt;Startops2),VLOOKUP($A255,Diesel_Table,Tariff!$Y$41),VLOOKUP($A255,OA_Table,Tariff!$Y$26)))</f>
        <v>0</v>
      </c>
      <c r="J255" s="391" t="str">
        <f t="shared" ca="1" si="52"/>
        <v xml:space="preserve"> </v>
      </c>
      <c r="K255" s="1109">
        <f ca="1">IF(OR($A255&lt;Startops2,$A255&gt;=Endyr),0,VLOOKUP($A255,Capacity_Table,Tariff!$S$18))</f>
        <v>0</v>
      </c>
      <c r="L255" s="212">
        <f ca="1">IF(OR($A255&lt;Startops2,$A255&gt;=Endyr),0,VLOOKUP($A255,Capacity_Table,Tariff!$T$18))</f>
        <v>0</v>
      </c>
      <c r="M255" s="334">
        <f ca="1">IF($A255&lt;Startops2,0,IF($A255&lt;Startops3,VLOOKUP($A255,Convert_Table,Tariff!$Y$54),C255*D255*F255*K255*L255))</f>
        <v>0</v>
      </c>
      <c r="N255" s="391" t="str">
        <f t="shared" ca="1" si="53"/>
        <v xml:space="preserve"> </v>
      </c>
      <c r="O255" s="334">
        <f t="shared" ca="1" si="54"/>
        <v>7000</v>
      </c>
      <c r="P255" s="334">
        <f t="shared" ca="1" si="46"/>
        <v>0</v>
      </c>
      <c r="Q255" s="332" t="str">
        <f t="shared" ca="1" si="47"/>
        <v xml:space="preserve"> </v>
      </c>
      <c r="R255" s="334">
        <f ca="1">IF($A255&gt;Endyr,0,IF($A255&lt;Assm!$A$55,P255,Assm!$F$55*$D255))</f>
        <v>0</v>
      </c>
      <c r="S255" s="391" t="str">
        <f t="shared" ca="1" si="48"/>
        <v xml:space="preserve"> </v>
      </c>
      <c r="T255" s="334">
        <f t="shared" ca="1" si="49"/>
        <v>0</v>
      </c>
      <c r="U255" s="682" t="str">
        <f t="shared" ca="1" si="50"/>
        <v xml:space="preserve"> </v>
      </c>
    </row>
    <row r="256" spans="1:21">
      <c r="A256" s="672">
        <f t="shared" ca="1" si="42"/>
        <v>43678</v>
      </c>
      <c r="C256" s="681">
        <f ca="1">IF($A256&gt;Endyr,0,VLOOKUP($A256,Capacity_Table,Tariff!$R$18))</f>
        <v>0</v>
      </c>
      <c r="D256" s="330">
        <f t="shared" ca="1" si="43"/>
        <v>31</v>
      </c>
      <c r="E256" s="330" t="str">
        <f t="shared" ca="1" si="44"/>
        <v xml:space="preserve"> </v>
      </c>
      <c r="F256" s="332">
        <f t="shared" si="51"/>
        <v>24</v>
      </c>
      <c r="G256" s="1109">
        <f t="shared" ca="1" si="45"/>
        <v>0</v>
      </c>
      <c r="H256" s="1686">
        <f ca="1">IF(Avail_LDs_Switch=1,VLOOKUP('Plant Operations'!A256,RAC_AvailFactor_Table,RAC_LDs!$G$258),IF($A256&lt;Startops2,Tariff!$T$11,0))</f>
        <v>0</v>
      </c>
      <c r="I256" s="1559">
        <f ca="1">IF(OR($A256&lt;Startops1,$A256&gt;=Startops2),0,IF(AND($A256&gt;=DieselOps_2,$A256&lt;Startops2),VLOOKUP($A256,Diesel_Table,Tariff!$Y$41),VLOOKUP($A256,OA_Table,Tariff!$Y$26)))</f>
        <v>0</v>
      </c>
      <c r="J256" s="391" t="str">
        <f t="shared" ca="1" si="52"/>
        <v xml:space="preserve"> </v>
      </c>
      <c r="K256" s="1109">
        <f ca="1">IF(OR($A256&lt;Startops2,$A256&gt;=Endyr),0,VLOOKUP($A256,Capacity_Table,Tariff!$S$18))</f>
        <v>0</v>
      </c>
      <c r="L256" s="212">
        <f ca="1">IF(OR($A256&lt;Startops2,$A256&gt;=Endyr),0,VLOOKUP($A256,Capacity_Table,Tariff!$T$18))</f>
        <v>0</v>
      </c>
      <c r="M256" s="334">
        <f ca="1">IF($A256&lt;Startops2,0,IF($A256&lt;Startops3,VLOOKUP($A256,Convert_Table,Tariff!$Y$54),C256*D256*F256*K256*L256))</f>
        <v>0</v>
      </c>
      <c r="N256" s="391" t="str">
        <f t="shared" ca="1" si="53"/>
        <v xml:space="preserve"> </v>
      </c>
      <c r="O256" s="334">
        <f t="shared" ca="1" si="54"/>
        <v>7000</v>
      </c>
      <c r="P256" s="334">
        <f t="shared" ca="1" si="46"/>
        <v>0</v>
      </c>
      <c r="Q256" s="332" t="str">
        <f t="shared" ca="1" si="47"/>
        <v xml:space="preserve"> </v>
      </c>
      <c r="R256" s="334">
        <f ca="1">IF($A256&gt;Endyr,0,IF($A256&lt;Assm!$A$55,P256,Assm!$F$55*$D256))</f>
        <v>0</v>
      </c>
      <c r="S256" s="391" t="str">
        <f t="shared" ca="1" si="48"/>
        <v xml:space="preserve"> </v>
      </c>
      <c r="T256" s="334">
        <f t="shared" ca="1" si="49"/>
        <v>0</v>
      </c>
      <c r="U256" s="682" t="str">
        <f t="shared" ca="1" si="50"/>
        <v xml:space="preserve"> </v>
      </c>
    </row>
    <row r="257" spans="1:21">
      <c r="A257" s="672">
        <f t="shared" ca="1" si="42"/>
        <v>43709</v>
      </c>
      <c r="C257" s="681">
        <f ca="1">IF($A257&gt;Endyr,0,VLOOKUP($A257,Capacity_Table,Tariff!$R$18))</f>
        <v>0</v>
      </c>
      <c r="D257" s="330">
        <f t="shared" ca="1" si="43"/>
        <v>30</v>
      </c>
      <c r="E257" s="330" t="str">
        <f t="shared" ca="1" si="44"/>
        <v xml:space="preserve"> </v>
      </c>
      <c r="F257" s="332">
        <f t="shared" si="51"/>
        <v>24</v>
      </c>
      <c r="G257" s="1109">
        <f t="shared" ca="1" si="45"/>
        <v>0</v>
      </c>
      <c r="H257" s="1686">
        <f ca="1">IF(Avail_LDs_Switch=1,VLOOKUP('Plant Operations'!A257,RAC_AvailFactor_Table,RAC_LDs!$G$258),IF($A257&lt;Startops2,Tariff!$T$11,0))</f>
        <v>0</v>
      </c>
      <c r="I257" s="1559">
        <f ca="1">IF(OR($A257&lt;Startops1,$A257&gt;=Startops2),0,IF(AND($A257&gt;=DieselOps_2,$A257&lt;Startops2),VLOOKUP($A257,Diesel_Table,Tariff!$Y$41),VLOOKUP($A257,OA_Table,Tariff!$Y$26)))</f>
        <v>0</v>
      </c>
      <c r="J257" s="391" t="str">
        <f t="shared" ca="1" si="52"/>
        <v xml:space="preserve"> </v>
      </c>
      <c r="K257" s="1109">
        <f ca="1">IF(OR($A257&lt;Startops2,$A257&gt;=Endyr),0,VLOOKUP($A257,Capacity_Table,Tariff!$S$18))</f>
        <v>0</v>
      </c>
      <c r="L257" s="212">
        <f ca="1">IF(OR($A257&lt;Startops2,$A257&gt;=Endyr),0,VLOOKUP($A257,Capacity_Table,Tariff!$T$18))</f>
        <v>0</v>
      </c>
      <c r="M257" s="334">
        <f ca="1">IF($A257&lt;Startops2,0,IF($A257&lt;Startops3,VLOOKUP($A257,Convert_Table,Tariff!$Y$54),C257*D257*F257*K257*L257))</f>
        <v>0</v>
      </c>
      <c r="N257" s="391" t="str">
        <f t="shared" ca="1" si="53"/>
        <v xml:space="preserve"> </v>
      </c>
      <c r="O257" s="334">
        <f t="shared" ca="1" si="54"/>
        <v>7000</v>
      </c>
      <c r="P257" s="334">
        <f t="shared" ca="1" si="46"/>
        <v>0</v>
      </c>
      <c r="Q257" s="332" t="str">
        <f t="shared" ca="1" si="47"/>
        <v xml:space="preserve"> </v>
      </c>
      <c r="R257" s="334">
        <f ca="1">IF($A257&gt;Endyr,0,IF($A257&lt;Assm!$A$55,P257,Assm!$F$55*$D257))</f>
        <v>0</v>
      </c>
      <c r="S257" s="391" t="str">
        <f t="shared" ca="1" si="48"/>
        <v xml:space="preserve"> </v>
      </c>
      <c r="T257" s="334">
        <f t="shared" ca="1" si="49"/>
        <v>0</v>
      </c>
      <c r="U257" s="682" t="str">
        <f t="shared" ca="1" si="50"/>
        <v xml:space="preserve"> </v>
      </c>
    </row>
    <row r="258" spans="1:21">
      <c r="A258" s="672">
        <f t="shared" ca="1" si="42"/>
        <v>43739</v>
      </c>
      <c r="C258" s="681">
        <f ca="1">IF($A258&gt;Endyr,0,VLOOKUP($A258,Capacity_Table,Tariff!$R$18))</f>
        <v>0</v>
      </c>
      <c r="D258" s="330">
        <f t="shared" ca="1" si="43"/>
        <v>31</v>
      </c>
      <c r="E258" s="330" t="str">
        <f t="shared" ca="1" si="44"/>
        <v xml:space="preserve"> </v>
      </c>
      <c r="F258" s="332">
        <f t="shared" si="51"/>
        <v>24</v>
      </c>
      <c r="G258" s="1109">
        <f t="shared" ca="1" si="45"/>
        <v>0</v>
      </c>
      <c r="H258" s="1686">
        <f ca="1">IF(Avail_LDs_Switch=1,VLOOKUP('Plant Operations'!A258,RAC_AvailFactor_Table,RAC_LDs!$G$258),IF($A258&lt;Startops2,Tariff!$T$11,0))</f>
        <v>0</v>
      </c>
      <c r="I258" s="1559">
        <f ca="1">IF(OR($A258&lt;Startops1,$A258&gt;=Startops2),0,IF(AND($A258&gt;=DieselOps_2,$A258&lt;Startops2),VLOOKUP($A258,Diesel_Table,Tariff!$Y$41),VLOOKUP($A258,OA_Table,Tariff!$Y$26)))</f>
        <v>0</v>
      </c>
      <c r="J258" s="391" t="str">
        <f t="shared" ca="1" si="52"/>
        <v xml:space="preserve"> </v>
      </c>
      <c r="K258" s="1109">
        <f ca="1">IF(OR($A258&lt;Startops2,$A258&gt;=Endyr),0,VLOOKUP($A258,Capacity_Table,Tariff!$S$18))</f>
        <v>0</v>
      </c>
      <c r="L258" s="212">
        <f ca="1">IF(OR($A258&lt;Startops2,$A258&gt;=Endyr),0,VLOOKUP($A258,Capacity_Table,Tariff!$T$18))</f>
        <v>0</v>
      </c>
      <c r="M258" s="334">
        <f ca="1">IF($A258&lt;Startops2,0,IF($A258&lt;Startops3,VLOOKUP($A258,Convert_Table,Tariff!$Y$54),C258*D258*F258*K258*L258))</f>
        <v>0</v>
      </c>
      <c r="N258" s="391" t="str">
        <f t="shared" ca="1" si="53"/>
        <v xml:space="preserve"> </v>
      </c>
      <c r="O258" s="334">
        <f t="shared" ca="1" si="54"/>
        <v>7000</v>
      </c>
      <c r="P258" s="334">
        <f t="shared" ca="1" si="46"/>
        <v>0</v>
      </c>
      <c r="Q258" s="332" t="str">
        <f t="shared" ca="1" si="47"/>
        <v xml:space="preserve"> </v>
      </c>
      <c r="R258" s="334">
        <f ca="1">IF($A258&gt;Endyr,0,IF($A258&lt;Assm!$A$55,P258,Assm!$F$55*$D258))</f>
        <v>0</v>
      </c>
      <c r="S258" s="391" t="str">
        <f t="shared" ca="1" si="48"/>
        <v xml:space="preserve"> </v>
      </c>
      <c r="T258" s="334">
        <f t="shared" ca="1" si="49"/>
        <v>0</v>
      </c>
      <c r="U258" s="682" t="str">
        <f t="shared" ca="1" si="50"/>
        <v xml:space="preserve"> </v>
      </c>
    </row>
    <row r="259" spans="1:21">
      <c r="A259" s="672">
        <f t="shared" ca="1" si="42"/>
        <v>43770</v>
      </c>
      <c r="C259" s="681">
        <f ca="1">IF($A259&gt;Endyr,0,VLOOKUP($A259,Capacity_Table,Tariff!$R$18))</f>
        <v>0</v>
      </c>
      <c r="D259" s="330">
        <f t="shared" ca="1" si="43"/>
        <v>30</v>
      </c>
      <c r="E259" s="330" t="str">
        <f t="shared" ca="1" si="44"/>
        <v xml:space="preserve"> </v>
      </c>
      <c r="F259" s="332">
        <f t="shared" si="51"/>
        <v>24</v>
      </c>
      <c r="G259" s="1109">
        <f t="shared" ca="1" si="45"/>
        <v>0</v>
      </c>
      <c r="H259" s="1686">
        <f ca="1">IF(Avail_LDs_Switch=1,VLOOKUP('Plant Operations'!A259,RAC_AvailFactor_Table,RAC_LDs!$G$258),IF($A259&lt;Startops2,Tariff!$T$11,0))</f>
        <v>0</v>
      </c>
      <c r="I259" s="1559">
        <f ca="1">IF(OR($A259&lt;Startops1,$A259&gt;=Startops2),0,IF(AND($A259&gt;=DieselOps_2,$A259&lt;Startops2),VLOOKUP($A259,Diesel_Table,Tariff!$Y$41),VLOOKUP($A259,OA_Table,Tariff!$Y$26)))</f>
        <v>0</v>
      </c>
      <c r="J259" s="391" t="str">
        <f t="shared" ca="1" si="52"/>
        <v xml:space="preserve"> </v>
      </c>
      <c r="K259" s="1109">
        <f ca="1">IF(OR($A259&lt;Startops2,$A259&gt;=Endyr),0,VLOOKUP($A259,Capacity_Table,Tariff!$S$18))</f>
        <v>0</v>
      </c>
      <c r="L259" s="212">
        <f ca="1">IF(OR($A259&lt;Startops2,$A259&gt;=Endyr),0,VLOOKUP($A259,Capacity_Table,Tariff!$T$18))</f>
        <v>0</v>
      </c>
      <c r="M259" s="334">
        <f ca="1">IF($A259&lt;Startops2,0,IF($A259&lt;Startops3,VLOOKUP($A259,Convert_Table,Tariff!$Y$54),C259*D259*F259*K259*L259))</f>
        <v>0</v>
      </c>
      <c r="N259" s="391" t="str">
        <f t="shared" ca="1" si="53"/>
        <v xml:space="preserve"> </v>
      </c>
      <c r="O259" s="334">
        <f t="shared" ca="1" si="54"/>
        <v>7000</v>
      </c>
      <c r="P259" s="334">
        <f t="shared" ca="1" si="46"/>
        <v>0</v>
      </c>
      <c r="Q259" s="332" t="str">
        <f t="shared" ca="1" si="47"/>
        <v xml:space="preserve"> </v>
      </c>
      <c r="R259" s="334">
        <f ca="1">IF($A259&gt;Endyr,0,IF($A259&lt;Assm!$A$55,P259,Assm!$F$55*$D259))</f>
        <v>0</v>
      </c>
      <c r="S259" s="391" t="str">
        <f t="shared" ca="1" si="48"/>
        <v xml:space="preserve"> </v>
      </c>
      <c r="T259" s="334">
        <f t="shared" ca="1" si="49"/>
        <v>0</v>
      </c>
      <c r="U259" s="682" t="str">
        <f t="shared" ca="1" si="50"/>
        <v xml:space="preserve"> </v>
      </c>
    </row>
    <row r="260" spans="1:21">
      <c r="A260" s="672">
        <f t="shared" ca="1" si="42"/>
        <v>43800</v>
      </c>
      <c r="C260" s="681">
        <f ca="1">IF($A260&gt;Endyr,0,VLOOKUP($A260,Capacity_Table,Tariff!$R$18))</f>
        <v>0</v>
      </c>
      <c r="D260" s="330">
        <f t="shared" ca="1" si="43"/>
        <v>31</v>
      </c>
      <c r="E260" s="330">
        <f t="shared" ca="1" si="44"/>
        <v>365</v>
      </c>
      <c r="F260" s="332">
        <f t="shared" si="51"/>
        <v>24</v>
      </c>
      <c r="G260" s="1109">
        <f t="shared" ca="1" si="45"/>
        <v>0</v>
      </c>
      <c r="H260" s="1686">
        <f ca="1">IF(Avail_LDs_Switch=1,VLOOKUP('Plant Operations'!A260,RAC_AvailFactor_Table,RAC_LDs!$G$258),IF($A260&lt;Startops2,Tariff!$T$11,0))</f>
        <v>0</v>
      </c>
      <c r="I260" s="1559">
        <f ca="1">IF(OR($A260&lt;Startops1,$A260&gt;=Startops2),0,IF(AND($A260&gt;=DieselOps_2,$A260&lt;Startops2),VLOOKUP($A260,Diesel_Table,Tariff!$Y$41),VLOOKUP($A260,OA_Table,Tariff!$Y$26)))</f>
        <v>0</v>
      </c>
      <c r="J260" s="391">
        <f t="shared" ca="1" si="52"/>
        <v>0</v>
      </c>
      <c r="K260" s="1109">
        <f ca="1">IF(OR($A260&lt;Startops2,$A260&gt;=Endyr),0,VLOOKUP($A260,Capacity_Table,Tariff!$S$18))</f>
        <v>0</v>
      </c>
      <c r="L260" s="212">
        <f ca="1">IF(OR($A260&lt;Startops2,$A260&gt;=Endyr),0,VLOOKUP($A260,Capacity_Table,Tariff!$T$18))</f>
        <v>0</v>
      </c>
      <c r="M260" s="334">
        <f ca="1">IF($A260&lt;Startops2,0,IF($A260&lt;Startops3,VLOOKUP($A260,Convert_Table,Tariff!$Y$54),C260*D260*F260*K260*L260))</f>
        <v>0</v>
      </c>
      <c r="N260" s="391">
        <f t="shared" ca="1" si="53"/>
        <v>1157345.28</v>
      </c>
      <c r="O260" s="334">
        <f t="shared" ca="1" si="54"/>
        <v>7000</v>
      </c>
      <c r="P260" s="334">
        <f t="shared" ca="1" si="46"/>
        <v>0</v>
      </c>
      <c r="Q260" s="332">
        <f t="shared" ca="1" si="47"/>
        <v>8101416.9600000009</v>
      </c>
      <c r="R260" s="334">
        <f ca="1">IF($A260&gt;Endyr,0,IF($A260&lt;Assm!$A$55,P260,Assm!$F$55*$D260))</f>
        <v>0</v>
      </c>
      <c r="S260" s="391">
        <f t="shared" ca="1" si="48"/>
        <v>7076751.7808219176</v>
      </c>
      <c r="T260" s="334">
        <f t="shared" ca="1" si="49"/>
        <v>0</v>
      </c>
      <c r="U260" s="682">
        <f t="shared" ca="1" si="50"/>
        <v>8101416.9600000009</v>
      </c>
    </row>
    <row r="261" spans="1:21">
      <c r="A261" s="672">
        <f t="shared" ca="1" si="42"/>
        <v>43831</v>
      </c>
      <c r="C261" s="681">
        <f ca="1">IF($A261&gt;Endyr,0,VLOOKUP($A261,Capacity_Table,Tariff!$R$18))</f>
        <v>0</v>
      </c>
      <c r="D261" s="330">
        <f t="shared" ca="1" si="43"/>
        <v>31</v>
      </c>
      <c r="E261" s="330" t="str">
        <f t="shared" ca="1" si="44"/>
        <v xml:space="preserve"> </v>
      </c>
      <c r="F261" s="332">
        <f t="shared" si="51"/>
        <v>24</v>
      </c>
      <c r="G261" s="1109">
        <f t="shared" ca="1" si="45"/>
        <v>0</v>
      </c>
      <c r="H261" s="1686">
        <f ca="1">IF(Avail_LDs_Switch=1,VLOOKUP('Plant Operations'!A261,RAC_AvailFactor_Table,RAC_LDs!$G$258),IF($A261&lt;Startops2,Tariff!$T$11,0))</f>
        <v>0</v>
      </c>
      <c r="I261" s="1559">
        <f ca="1">IF(OR($A261&lt;Startops1,$A261&gt;=Startops2),0,IF(AND($A261&gt;=DieselOps_2,$A261&lt;Startops2),VLOOKUP($A261,Diesel_Table,Tariff!$Y$41),VLOOKUP($A261,OA_Table,Tariff!$Y$26)))</f>
        <v>0</v>
      </c>
      <c r="J261" s="391" t="str">
        <f t="shared" ca="1" si="52"/>
        <v xml:space="preserve"> </v>
      </c>
      <c r="K261" s="1109">
        <f ca="1">IF(OR($A261&lt;Startops2,$A261&gt;=Endyr),0,VLOOKUP($A261,Capacity_Table,Tariff!$S$18))</f>
        <v>0</v>
      </c>
      <c r="L261" s="212">
        <f ca="1">IF(OR($A261&lt;Startops2,$A261&gt;=Endyr),0,VLOOKUP($A261,Capacity_Table,Tariff!$T$18))</f>
        <v>0</v>
      </c>
      <c r="M261" s="334">
        <f ca="1">IF($A261&lt;Startops2,0,IF($A261&lt;Startops3,VLOOKUP($A261,Convert_Table,Tariff!$Y$54),C261*D261*F261*K261*L261))</f>
        <v>0</v>
      </c>
      <c r="N261" s="391" t="str">
        <f t="shared" ca="1" si="53"/>
        <v xml:space="preserve"> </v>
      </c>
      <c r="O261" s="334">
        <f t="shared" ca="1" si="54"/>
        <v>7000</v>
      </c>
      <c r="P261" s="334">
        <f t="shared" ca="1" si="46"/>
        <v>0</v>
      </c>
      <c r="Q261" s="332" t="str">
        <f t="shared" ca="1" si="47"/>
        <v xml:space="preserve"> </v>
      </c>
      <c r="R261" s="334">
        <f ca="1">IF($A261&gt;Endyr,0,IF($A261&lt;Assm!$A$55,P261,Assm!$F$55*$D261))</f>
        <v>0</v>
      </c>
      <c r="S261" s="391" t="str">
        <f t="shared" ca="1" si="48"/>
        <v xml:space="preserve"> </v>
      </c>
      <c r="T261" s="334">
        <f t="shared" ca="1" si="49"/>
        <v>0</v>
      </c>
      <c r="U261" s="682" t="str">
        <f t="shared" ca="1" si="50"/>
        <v xml:space="preserve"> </v>
      </c>
    </row>
    <row r="262" spans="1:21">
      <c r="A262" s="672">
        <f t="shared" ca="1" si="42"/>
        <v>43862</v>
      </c>
      <c r="C262" s="681">
        <f ca="1">IF($A262&gt;Endyr,0,VLOOKUP($A262,Capacity_Table,Tariff!$R$18))</f>
        <v>0</v>
      </c>
      <c r="D262" s="330">
        <f t="shared" ca="1" si="43"/>
        <v>29</v>
      </c>
      <c r="E262" s="330" t="str">
        <f t="shared" ca="1" si="44"/>
        <v xml:space="preserve"> </v>
      </c>
      <c r="F262" s="332">
        <f t="shared" si="51"/>
        <v>24</v>
      </c>
      <c r="G262" s="1109">
        <f t="shared" ca="1" si="45"/>
        <v>0</v>
      </c>
      <c r="H262" s="1686">
        <f ca="1">IF(Avail_LDs_Switch=1,VLOOKUP('Plant Operations'!A262,RAC_AvailFactor_Table,RAC_LDs!$G$258),IF($A262&lt;Startops2,Tariff!$T$11,0))</f>
        <v>0</v>
      </c>
      <c r="I262" s="1559">
        <f ca="1">IF(OR($A262&lt;Startops1,$A262&gt;=Startops2),0,IF(AND($A262&gt;=DieselOps_2,$A262&lt;Startops2),VLOOKUP($A262,Diesel_Table,Tariff!$Y$41),VLOOKUP($A262,OA_Table,Tariff!$Y$26)))</f>
        <v>0</v>
      </c>
      <c r="J262" s="391" t="str">
        <f t="shared" ca="1" si="52"/>
        <v xml:space="preserve"> </v>
      </c>
      <c r="K262" s="1109">
        <f ca="1">IF(OR($A262&lt;Startops2,$A262&gt;=Endyr),0,VLOOKUP($A262,Capacity_Table,Tariff!$S$18))</f>
        <v>0</v>
      </c>
      <c r="L262" s="212">
        <f ca="1">IF(OR($A262&lt;Startops2,$A262&gt;=Endyr),0,VLOOKUP($A262,Capacity_Table,Tariff!$T$18))</f>
        <v>0</v>
      </c>
      <c r="M262" s="334">
        <f ca="1">IF($A262&lt;Startops2,0,IF($A262&lt;Startops3,VLOOKUP($A262,Convert_Table,Tariff!$Y$54),C262*D262*F262*K262*L262))</f>
        <v>0</v>
      </c>
      <c r="N262" s="391" t="str">
        <f t="shared" ca="1" si="53"/>
        <v xml:space="preserve"> </v>
      </c>
      <c r="O262" s="334">
        <f t="shared" ca="1" si="54"/>
        <v>7000</v>
      </c>
      <c r="P262" s="334">
        <f t="shared" ca="1" si="46"/>
        <v>0</v>
      </c>
      <c r="Q262" s="332" t="str">
        <f t="shared" ca="1" si="47"/>
        <v xml:space="preserve"> </v>
      </c>
      <c r="R262" s="334">
        <f ca="1">IF($A262&gt;Endyr,0,IF($A262&lt;Assm!$A$55,P262,Assm!$F$55*$D262))</f>
        <v>0</v>
      </c>
      <c r="S262" s="391" t="str">
        <f t="shared" ca="1" si="48"/>
        <v xml:space="preserve"> </v>
      </c>
      <c r="T262" s="334">
        <f t="shared" ca="1" si="49"/>
        <v>0</v>
      </c>
      <c r="U262" s="682" t="str">
        <f t="shared" ca="1" si="50"/>
        <v xml:space="preserve"> </v>
      </c>
    </row>
    <row r="263" spans="1:21">
      <c r="A263" s="672">
        <f t="shared" ca="1" si="42"/>
        <v>43891</v>
      </c>
      <c r="C263" s="681">
        <f ca="1">IF($A263&gt;Endyr,0,VLOOKUP($A263,Capacity_Table,Tariff!$R$18))</f>
        <v>0</v>
      </c>
      <c r="D263" s="330">
        <f t="shared" ca="1" si="43"/>
        <v>31</v>
      </c>
      <c r="E263" s="330" t="str">
        <f t="shared" ca="1" si="44"/>
        <v xml:space="preserve"> </v>
      </c>
      <c r="F263" s="332">
        <f t="shared" si="51"/>
        <v>24</v>
      </c>
      <c r="G263" s="1109">
        <f t="shared" ca="1" si="45"/>
        <v>0</v>
      </c>
      <c r="H263" s="1686">
        <f ca="1">IF(Avail_LDs_Switch=1,VLOOKUP('Plant Operations'!A263,RAC_AvailFactor_Table,RAC_LDs!$G$258),IF($A263&lt;Startops2,Tariff!$T$11,0))</f>
        <v>0</v>
      </c>
      <c r="I263" s="1559">
        <f ca="1">IF(OR($A263&lt;Startops1,$A263&gt;=Startops2),0,IF(AND($A263&gt;=DieselOps_2,$A263&lt;Startops2),VLOOKUP($A263,Diesel_Table,Tariff!$Y$41),VLOOKUP($A263,OA_Table,Tariff!$Y$26)))</f>
        <v>0</v>
      </c>
      <c r="J263" s="391" t="str">
        <f t="shared" ca="1" si="52"/>
        <v xml:space="preserve"> </v>
      </c>
      <c r="K263" s="1109">
        <f ca="1">IF(OR($A263&lt;Startops2,$A263&gt;=Endyr),0,VLOOKUP($A263,Capacity_Table,Tariff!$S$18))</f>
        <v>0</v>
      </c>
      <c r="L263" s="212">
        <f ca="1">IF(OR($A263&lt;Startops2,$A263&gt;=Endyr),0,VLOOKUP($A263,Capacity_Table,Tariff!$T$18))</f>
        <v>0</v>
      </c>
      <c r="M263" s="334">
        <f ca="1">IF($A263&lt;Startops2,0,IF($A263&lt;Startops3,VLOOKUP($A263,Convert_Table,Tariff!$Y$54),C263*D263*F263*K263*L263))</f>
        <v>0</v>
      </c>
      <c r="N263" s="391" t="str">
        <f t="shared" ca="1" si="53"/>
        <v xml:space="preserve"> </v>
      </c>
      <c r="O263" s="334">
        <f t="shared" ca="1" si="54"/>
        <v>7000</v>
      </c>
      <c r="P263" s="334">
        <f t="shared" ca="1" si="46"/>
        <v>0</v>
      </c>
      <c r="Q263" s="332" t="str">
        <f t="shared" ca="1" si="47"/>
        <v xml:space="preserve"> </v>
      </c>
      <c r="R263" s="334">
        <f ca="1">IF($A263&gt;Endyr,0,IF($A263&lt;Assm!$A$55,P263,Assm!$F$55*$D263))</f>
        <v>0</v>
      </c>
      <c r="S263" s="391" t="str">
        <f t="shared" ca="1" si="48"/>
        <v xml:space="preserve"> </v>
      </c>
      <c r="T263" s="334">
        <f t="shared" ca="1" si="49"/>
        <v>0</v>
      </c>
      <c r="U263" s="682" t="str">
        <f t="shared" ca="1" si="50"/>
        <v xml:space="preserve"> </v>
      </c>
    </row>
    <row r="264" spans="1:21">
      <c r="A264" s="672">
        <f t="shared" ca="1" si="42"/>
        <v>43922</v>
      </c>
      <c r="C264" s="681">
        <f ca="1">IF($A264&gt;Endyr,0,VLOOKUP($A264,Capacity_Table,Tariff!$R$18))</f>
        <v>0</v>
      </c>
      <c r="D264" s="330">
        <f t="shared" ca="1" si="43"/>
        <v>30</v>
      </c>
      <c r="E264" s="330" t="str">
        <f t="shared" ca="1" si="44"/>
        <v xml:space="preserve"> </v>
      </c>
      <c r="F264" s="332">
        <f t="shared" si="51"/>
        <v>24</v>
      </c>
      <c r="G264" s="1109">
        <f t="shared" ca="1" si="45"/>
        <v>0</v>
      </c>
      <c r="H264" s="1686">
        <f ca="1">IF(Avail_LDs_Switch=1,VLOOKUP('Plant Operations'!A264,RAC_AvailFactor_Table,RAC_LDs!$G$258),IF($A264&lt;Startops2,Tariff!$T$11,0))</f>
        <v>0</v>
      </c>
      <c r="I264" s="1559">
        <f ca="1">IF(OR($A264&lt;Startops1,$A264&gt;=Startops2),0,IF(AND($A264&gt;=DieselOps_2,$A264&lt;Startops2),VLOOKUP($A264,Diesel_Table,Tariff!$Y$41),VLOOKUP($A264,OA_Table,Tariff!$Y$26)))</f>
        <v>0</v>
      </c>
      <c r="J264" s="391" t="str">
        <f t="shared" ca="1" si="52"/>
        <v xml:space="preserve"> </v>
      </c>
      <c r="K264" s="1109">
        <f ca="1">IF(OR($A264&lt;Startops2,$A264&gt;=Endyr),0,VLOOKUP($A264,Capacity_Table,Tariff!$S$18))</f>
        <v>0</v>
      </c>
      <c r="L264" s="212">
        <f ca="1">IF(OR($A264&lt;Startops2,$A264&gt;=Endyr),0,VLOOKUP($A264,Capacity_Table,Tariff!$T$18))</f>
        <v>0</v>
      </c>
      <c r="M264" s="334">
        <f ca="1">IF($A264&lt;Startops2,0,IF($A264&lt;Startops3,VLOOKUP($A264,Convert_Table,Tariff!$Y$54),C264*D264*F264*K264*L264))</f>
        <v>0</v>
      </c>
      <c r="N264" s="391" t="str">
        <f t="shared" ca="1" si="53"/>
        <v xml:space="preserve"> </v>
      </c>
      <c r="O264" s="334">
        <f t="shared" ca="1" si="54"/>
        <v>7000</v>
      </c>
      <c r="P264" s="334">
        <f t="shared" ca="1" si="46"/>
        <v>0</v>
      </c>
      <c r="Q264" s="332" t="str">
        <f t="shared" ca="1" si="47"/>
        <v xml:space="preserve"> </v>
      </c>
      <c r="R264" s="334">
        <f ca="1">IF($A264&gt;Endyr,0,IF($A264&lt;Assm!$A$55,P264,Assm!$F$55*$D264))</f>
        <v>0</v>
      </c>
      <c r="S264" s="391" t="str">
        <f t="shared" ca="1" si="48"/>
        <v xml:space="preserve"> </v>
      </c>
      <c r="T264" s="334">
        <f t="shared" ca="1" si="49"/>
        <v>0</v>
      </c>
      <c r="U264" s="682" t="str">
        <f t="shared" ca="1" si="50"/>
        <v xml:space="preserve"> </v>
      </c>
    </row>
    <row r="265" spans="1:21">
      <c r="A265" s="672">
        <f t="shared" ca="1" si="42"/>
        <v>43952</v>
      </c>
      <c r="C265" s="681">
        <f ca="1">IF($A265&gt;Endyr,0,VLOOKUP($A265,Capacity_Table,Tariff!$R$18))</f>
        <v>0</v>
      </c>
      <c r="D265" s="330">
        <f t="shared" ca="1" si="43"/>
        <v>31</v>
      </c>
      <c r="E265" s="330" t="str">
        <f t="shared" ca="1" si="44"/>
        <v xml:space="preserve"> </v>
      </c>
      <c r="F265" s="332">
        <f t="shared" si="51"/>
        <v>24</v>
      </c>
      <c r="G265" s="1109">
        <f t="shared" ca="1" si="45"/>
        <v>0</v>
      </c>
      <c r="H265" s="1686">
        <f ca="1">IF(Avail_LDs_Switch=1,VLOOKUP('Plant Operations'!A265,RAC_AvailFactor_Table,RAC_LDs!$G$258),IF($A265&lt;Startops2,Tariff!$T$11,0))</f>
        <v>0</v>
      </c>
      <c r="I265" s="1559">
        <f ca="1">IF(OR($A265&lt;Startops1,$A265&gt;=Startops2),0,IF(AND($A265&gt;=DieselOps_2,$A265&lt;Startops2),VLOOKUP($A265,Diesel_Table,Tariff!$Y$41),VLOOKUP($A265,OA_Table,Tariff!$Y$26)))</f>
        <v>0</v>
      </c>
      <c r="J265" s="391" t="str">
        <f t="shared" ca="1" si="52"/>
        <v xml:space="preserve"> </v>
      </c>
      <c r="K265" s="1109">
        <f ca="1">IF(OR($A265&lt;Startops2,$A265&gt;=Endyr),0,VLOOKUP($A265,Capacity_Table,Tariff!$S$18))</f>
        <v>0</v>
      </c>
      <c r="L265" s="212">
        <f ca="1">IF(OR($A265&lt;Startops2,$A265&gt;=Endyr),0,VLOOKUP($A265,Capacity_Table,Tariff!$T$18))</f>
        <v>0</v>
      </c>
      <c r="M265" s="334">
        <f ca="1">IF($A265&lt;Startops2,0,IF($A265&lt;Startops3,VLOOKUP($A265,Convert_Table,Tariff!$Y$54),C265*D265*F265*K265*L265))</f>
        <v>0</v>
      </c>
      <c r="N265" s="391" t="str">
        <f t="shared" ca="1" si="53"/>
        <v xml:space="preserve"> </v>
      </c>
      <c r="O265" s="334">
        <f t="shared" ca="1" si="54"/>
        <v>7000</v>
      </c>
      <c r="P265" s="334">
        <f t="shared" ca="1" si="46"/>
        <v>0</v>
      </c>
      <c r="Q265" s="332" t="str">
        <f t="shared" ca="1" si="47"/>
        <v xml:space="preserve"> </v>
      </c>
      <c r="R265" s="334">
        <f ca="1">IF($A265&gt;Endyr,0,IF($A265&lt;Assm!$A$55,P265,Assm!$F$55*$D265))</f>
        <v>0</v>
      </c>
      <c r="S265" s="391" t="str">
        <f t="shared" ca="1" si="48"/>
        <v xml:space="preserve"> </v>
      </c>
      <c r="T265" s="334">
        <f t="shared" ca="1" si="49"/>
        <v>0</v>
      </c>
      <c r="U265" s="682" t="str">
        <f t="shared" ca="1" si="50"/>
        <v xml:space="preserve"> </v>
      </c>
    </row>
    <row r="266" spans="1:21">
      <c r="A266" s="672">
        <f t="shared" ca="1" si="42"/>
        <v>43983</v>
      </c>
      <c r="C266" s="681">
        <f ca="1">IF($A266&gt;Endyr,0,VLOOKUP($A266,Capacity_Table,Tariff!$R$18))</f>
        <v>0</v>
      </c>
      <c r="D266" s="330">
        <f t="shared" ca="1" si="43"/>
        <v>30</v>
      </c>
      <c r="E266" s="330" t="str">
        <f t="shared" ca="1" si="44"/>
        <v xml:space="preserve"> </v>
      </c>
      <c r="F266" s="332">
        <f t="shared" si="51"/>
        <v>24</v>
      </c>
      <c r="G266" s="1109">
        <f t="shared" ca="1" si="45"/>
        <v>0</v>
      </c>
      <c r="H266" s="1686">
        <f ca="1">IF(Avail_LDs_Switch=1,VLOOKUP('Plant Operations'!A266,RAC_AvailFactor_Table,RAC_LDs!$G$258),IF($A266&lt;Startops2,Tariff!$T$11,0))</f>
        <v>0</v>
      </c>
      <c r="I266" s="1559">
        <f ca="1">IF(OR($A266&lt;Startops1,$A266&gt;=Startops2),0,IF(AND($A266&gt;=DieselOps_2,$A266&lt;Startops2),VLOOKUP($A266,Diesel_Table,Tariff!$Y$41),VLOOKUP($A266,OA_Table,Tariff!$Y$26)))</f>
        <v>0</v>
      </c>
      <c r="J266" s="391" t="str">
        <f t="shared" ca="1" si="52"/>
        <v xml:space="preserve"> </v>
      </c>
      <c r="K266" s="1109">
        <f ca="1">IF(OR($A266&lt;Startops2,$A266&gt;=Endyr),0,VLOOKUP($A266,Capacity_Table,Tariff!$S$18))</f>
        <v>0</v>
      </c>
      <c r="L266" s="212">
        <f ca="1">IF(OR($A266&lt;Startops2,$A266&gt;=Endyr),0,VLOOKUP($A266,Capacity_Table,Tariff!$T$18))</f>
        <v>0</v>
      </c>
      <c r="M266" s="334">
        <f ca="1">IF($A266&lt;Startops2,0,IF($A266&lt;Startops3,VLOOKUP($A266,Convert_Table,Tariff!$Y$54),C266*D266*F266*K266*L266))</f>
        <v>0</v>
      </c>
      <c r="N266" s="391" t="str">
        <f t="shared" ca="1" si="53"/>
        <v xml:space="preserve"> </v>
      </c>
      <c r="O266" s="334">
        <f t="shared" ca="1" si="54"/>
        <v>7000</v>
      </c>
      <c r="P266" s="334">
        <f t="shared" ca="1" si="46"/>
        <v>0</v>
      </c>
      <c r="Q266" s="332" t="str">
        <f t="shared" ca="1" si="47"/>
        <v xml:space="preserve"> </v>
      </c>
      <c r="R266" s="334">
        <f ca="1">IF($A266&gt;Endyr,0,IF($A266&lt;Assm!$A$55,P266,Assm!$F$55*$D266))</f>
        <v>0</v>
      </c>
      <c r="S266" s="391" t="str">
        <f t="shared" ca="1" si="48"/>
        <v xml:space="preserve"> </v>
      </c>
      <c r="T266" s="334">
        <f t="shared" ca="1" si="49"/>
        <v>0</v>
      </c>
      <c r="U266" s="682" t="str">
        <f t="shared" ca="1" si="50"/>
        <v xml:space="preserve"> </v>
      </c>
    </row>
    <row r="267" spans="1:21" ht="13.5" thickBot="1">
      <c r="A267" s="955">
        <f t="shared" ca="1" si="42"/>
        <v>44013</v>
      </c>
      <c r="C267" s="398"/>
      <c r="D267" s="1"/>
      <c r="E267" s="1"/>
      <c r="F267" s="108"/>
      <c r="G267" s="1107"/>
      <c r="H267" s="1"/>
      <c r="I267" s="1"/>
      <c r="J267" s="683"/>
      <c r="K267" s="1107"/>
      <c r="M267" s="1"/>
      <c r="N267" s="683"/>
      <c r="O267" s="1"/>
      <c r="P267" s="1"/>
      <c r="Q267" s="108"/>
      <c r="R267" s="1"/>
      <c r="S267" s="332"/>
      <c r="T267" s="1"/>
      <c r="U267" s="682"/>
    </row>
    <row r="268" spans="1:21" ht="13.5" thickBot="1">
      <c r="A268" s="673"/>
      <c r="C268" s="684"/>
      <c r="D268" s="685"/>
      <c r="E268" s="685"/>
      <c r="F268" s="1110"/>
      <c r="G268" s="689"/>
      <c r="H268" s="685"/>
      <c r="I268" s="685"/>
      <c r="J268" s="688">
        <f ca="1">SUM(J12:J266)</f>
        <v>977500.16000000003</v>
      </c>
      <c r="K268" s="689"/>
      <c r="L268" s="685"/>
      <c r="M268" s="685"/>
      <c r="N268" s="688">
        <f ca="1">SUM(N12:N266)</f>
        <v>63212152.208000019</v>
      </c>
      <c r="O268" s="689"/>
      <c r="P268" s="685"/>
      <c r="Q268" s="688">
        <f ca="1">SUM(Q12:Q266)</f>
        <v>444643341.2560001</v>
      </c>
      <c r="R268" s="689"/>
      <c r="S268" s="688">
        <f ca="1">SUM(S12:S266)</f>
        <v>389294343.82739729</v>
      </c>
      <c r="T268" s="689"/>
      <c r="U268" s="687">
        <f ca="1">SUM(U12:U266)</f>
        <v>444643341.2560001</v>
      </c>
    </row>
    <row r="269" spans="1:21">
      <c r="G269" s="1"/>
      <c r="H269" s="1"/>
    </row>
    <row r="270" spans="1:21">
      <c r="A270" s="357">
        <v>1</v>
      </c>
      <c r="B270" s="357">
        <f t="shared" ref="B270:U270" si="55">A270+1</f>
        <v>2</v>
      </c>
      <c r="C270" s="357">
        <f t="shared" si="55"/>
        <v>3</v>
      </c>
      <c r="D270" s="357">
        <f t="shared" si="55"/>
        <v>4</v>
      </c>
      <c r="E270" s="357">
        <f t="shared" si="55"/>
        <v>5</v>
      </c>
      <c r="F270" s="357">
        <f t="shared" si="55"/>
        <v>6</v>
      </c>
      <c r="G270" s="357">
        <f t="shared" si="55"/>
        <v>7</v>
      </c>
      <c r="H270" s="357">
        <f t="shared" si="55"/>
        <v>8</v>
      </c>
      <c r="I270" s="357">
        <f t="shared" si="55"/>
        <v>9</v>
      </c>
      <c r="J270" s="357">
        <f t="shared" si="55"/>
        <v>10</v>
      </c>
      <c r="K270" s="357">
        <f t="shared" si="55"/>
        <v>11</v>
      </c>
      <c r="L270" s="357">
        <f t="shared" si="55"/>
        <v>12</v>
      </c>
      <c r="M270" s="357">
        <f t="shared" si="55"/>
        <v>13</v>
      </c>
      <c r="N270" s="357">
        <f t="shared" si="55"/>
        <v>14</v>
      </c>
      <c r="O270" s="357">
        <f t="shared" si="55"/>
        <v>15</v>
      </c>
      <c r="P270" s="357">
        <f t="shared" si="55"/>
        <v>16</v>
      </c>
      <c r="Q270" s="357">
        <f t="shared" si="55"/>
        <v>17</v>
      </c>
      <c r="R270" s="357">
        <f t="shared" si="55"/>
        <v>18</v>
      </c>
      <c r="S270" s="357">
        <f t="shared" si="55"/>
        <v>19</v>
      </c>
      <c r="T270" s="357">
        <f t="shared" si="55"/>
        <v>20</v>
      </c>
      <c r="U270" s="357">
        <f t="shared" si="55"/>
        <v>21</v>
      </c>
    </row>
    <row r="271" spans="1:21">
      <c r="G271" s="1"/>
      <c r="H271" s="1"/>
    </row>
    <row r="272" spans="1:21">
      <c r="G272" s="1"/>
      <c r="H272" s="1"/>
    </row>
    <row r="273" spans="7:8">
      <c r="G273" s="1"/>
      <c r="H273" s="1"/>
    </row>
    <row r="274" spans="7:8">
      <c r="G274" s="1"/>
      <c r="H274" s="1"/>
    </row>
    <row r="275" spans="7:8">
      <c r="G275" s="1"/>
      <c r="H275" s="1"/>
    </row>
    <row r="276" spans="7:8">
      <c r="G276" s="1"/>
      <c r="H276" s="1"/>
    </row>
    <row r="277" spans="7:8">
      <c r="G277" s="1"/>
      <c r="H277" s="1"/>
    </row>
    <row r="278" spans="7:8">
      <c r="G278" s="1"/>
      <c r="H278" s="1"/>
    </row>
    <row r="279" spans="7:8">
      <c r="G279" s="1"/>
      <c r="H279" s="1"/>
    </row>
    <row r="280" spans="7:8">
      <c r="G280" s="1"/>
      <c r="H280" s="1"/>
    </row>
    <row r="281" spans="7:8">
      <c r="G281" s="1"/>
      <c r="H281" s="1"/>
    </row>
    <row r="282" spans="7:8">
      <c r="G282" s="1"/>
      <c r="H282" s="1"/>
    </row>
    <row r="283" spans="7:8">
      <c r="G283" s="1"/>
      <c r="H283" s="1"/>
    </row>
    <row r="284" spans="7:8">
      <c r="G284" s="1"/>
      <c r="H284" s="1"/>
    </row>
    <row r="285" spans="7:8">
      <c r="G285" s="1"/>
      <c r="H285" s="1"/>
    </row>
    <row r="286" spans="7:8">
      <c r="G286" s="1"/>
      <c r="H286" s="1"/>
    </row>
    <row r="287" spans="7:8">
      <c r="G287" s="1"/>
      <c r="H287" s="1"/>
    </row>
    <row r="288" spans="7:8">
      <c r="G288" s="1"/>
      <c r="H288" s="1"/>
    </row>
    <row r="289" spans="7:8">
      <c r="G289" s="1"/>
      <c r="H289" s="1"/>
    </row>
    <row r="290" spans="7:8">
      <c r="G290" s="1"/>
      <c r="H290" s="1"/>
    </row>
    <row r="291" spans="7:8">
      <c r="G291" s="1"/>
      <c r="H291" s="1"/>
    </row>
    <row r="292" spans="7:8">
      <c r="G292" s="1"/>
      <c r="H292" s="1"/>
    </row>
    <row r="293" spans="7:8">
      <c r="G293" s="1"/>
      <c r="H293" s="1"/>
    </row>
    <row r="294" spans="7:8">
      <c r="G294" s="1"/>
      <c r="H294" s="1"/>
    </row>
    <row r="295" spans="7:8">
      <c r="G295" s="1"/>
      <c r="H295" s="1"/>
    </row>
    <row r="296" spans="7:8">
      <c r="G296" s="1"/>
      <c r="H296" s="1"/>
    </row>
    <row r="297" spans="7:8">
      <c r="G297" s="1"/>
      <c r="H297" s="1"/>
    </row>
    <row r="298" spans="7:8">
      <c r="G298" s="1"/>
      <c r="H298" s="1"/>
    </row>
    <row r="299" spans="7:8">
      <c r="G299" s="1"/>
      <c r="H299" s="1"/>
    </row>
    <row r="300" spans="7:8">
      <c r="G300" s="1"/>
      <c r="H300" s="1"/>
    </row>
    <row r="301" spans="7:8">
      <c r="G301" s="1"/>
      <c r="H301" s="1"/>
    </row>
    <row r="302" spans="7:8">
      <c r="G302" s="1"/>
      <c r="H302" s="1"/>
    </row>
    <row r="303" spans="7:8">
      <c r="G303" s="1"/>
      <c r="H303" s="1"/>
    </row>
    <row r="304" spans="7:8">
      <c r="G304" s="1"/>
      <c r="H304" s="1"/>
    </row>
    <row r="305" spans="7:8">
      <c r="G305" s="1"/>
      <c r="H305" s="1"/>
    </row>
    <row r="306" spans="7:8">
      <c r="G306" s="1"/>
      <c r="H306" s="1"/>
    </row>
    <row r="307" spans="7:8">
      <c r="G307" s="1"/>
      <c r="H307" s="1"/>
    </row>
    <row r="308" spans="7:8">
      <c r="G308" s="1"/>
      <c r="H308" s="1"/>
    </row>
    <row r="309" spans="7:8">
      <c r="G309" s="1"/>
      <c r="H309" s="1"/>
    </row>
    <row r="310" spans="7:8">
      <c r="G310" s="1"/>
      <c r="H310" s="1"/>
    </row>
  </sheetData>
  <printOptions horizontalCentered="1"/>
  <pageMargins left="0.25" right="0.25" top="0.5" bottom="0.5" header="0.25" footer="0.25"/>
  <pageSetup scale="48" fitToHeight="4" orientation="landscape" horizontalDpi="4294967294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21">
    <pageSetUpPr autoPageBreaks="0" fitToPage="1"/>
  </sheetPr>
  <dimension ref="A1:M270"/>
  <sheetViews>
    <sheetView showGridLines="0" zoomScale="90" workbookViewId="0">
      <selection activeCell="C14" sqref="C14"/>
    </sheetView>
  </sheetViews>
  <sheetFormatPr defaultRowHeight="12.75"/>
  <cols>
    <col min="2" max="2" width="2.7109375" customWidth="1"/>
    <col min="3" max="8" width="10.7109375" customWidth="1"/>
    <col min="9" max="9" width="11.85546875" bestFit="1" customWidth="1"/>
    <col min="10" max="12" width="10.7109375" customWidth="1"/>
    <col min="13" max="13" width="11.7109375" customWidth="1"/>
  </cols>
  <sheetData>
    <row r="1" spans="1:13" s="1" customFormat="1" ht="15.75">
      <c r="A1" s="1137" t="str">
        <f>CONCATENATE(TOC!B2," ",TOC!B6)</f>
        <v>EMPRESSA PRODUTORA DE ENERGÍA LTDA (EPE) *** DRAFT COPY ***</v>
      </c>
      <c r="B1" s="117"/>
    </row>
    <row r="2" spans="1:13" s="1" customFormat="1" ht="15.75">
      <c r="A2" s="1137" t="str">
        <f>TOC!B3</f>
        <v>480 MW POWER PLANT (CUIABA, BRAZIL)</v>
      </c>
      <c r="B2" s="117"/>
    </row>
    <row r="3" spans="1:13" s="1" customFormat="1" ht="15">
      <c r="A3" s="118" t="str">
        <f>TOC!B4</f>
        <v>ENRON INTERNATIONAL</v>
      </c>
      <c r="B3" s="118"/>
    </row>
    <row r="4" spans="1:13" s="1" customFormat="1" ht="15">
      <c r="A4" s="932" t="s">
        <v>1789</v>
      </c>
      <c r="B4" s="1218"/>
      <c r="C4" s="769"/>
      <c r="D4" s="769"/>
      <c r="E4" s="769"/>
      <c r="F4" s="769"/>
    </row>
    <row r="5" spans="1:13" s="288" customFormat="1">
      <c r="C5" s="1"/>
      <c r="D5" s="1"/>
      <c r="E5" s="1"/>
      <c r="F5" s="1"/>
      <c r="G5" s="1"/>
      <c r="H5" s="1"/>
      <c r="I5" s="1"/>
      <c r="J5" s="1"/>
      <c r="L5" s="1"/>
      <c r="M5" s="1"/>
    </row>
    <row r="6" spans="1:13">
      <c r="C6" s="666" t="s">
        <v>659</v>
      </c>
      <c r="D6" s="667"/>
      <c r="E6" s="667"/>
      <c r="F6" s="667"/>
      <c r="G6" s="667"/>
      <c r="H6" s="667"/>
      <c r="I6" s="667"/>
      <c r="J6" s="667"/>
      <c r="K6" s="694"/>
      <c r="L6" s="667"/>
      <c r="M6" s="667"/>
    </row>
    <row r="7" spans="1:13" ht="13.5" thickBot="1"/>
    <row r="8" spans="1:13">
      <c r="A8" s="670"/>
      <c r="C8" s="674" t="s">
        <v>1489</v>
      </c>
      <c r="D8" s="675" t="s">
        <v>656</v>
      </c>
      <c r="E8" s="675" t="s">
        <v>658</v>
      </c>
      <c r="F8" s="1106" t="s">
        <v>1295</v>
      </c>
      <c r="G8" s="675" t="s">
        <v>1296</v>
      </c>
      <c r="H8" s="676" t="s">
        <v>1297</v>
      </c>
      <c r="I8" s="675" t="s">
        <v>1298</v>
      </c>
      <c r="J8" s="675" t="s">
        <v>1489</v>
      </c>
      <c r="K8" s="675" t="s">
        <v>1215</v>
      </c>
      <c r="L8" s="675" t="s">
        <v>1489</v>
      </c>
      <c r="M8" s="677"/>
    </row>
    <row r="9" spans="1:13">
      <c r="A9" s="426"/>
      <c r="C9" s="678" t="s">
        <v>914</v>
      </c>
      <c r="D9" s="113" t="s">
        <v>657</v>
      </c>
      <c r="E9" s="113" t="s">
        <v>1291</v>
      </c>
      <c r="F9" s="1206" t="s">
        <v>800</v>
      </c>
      <c r="G9" s="113" t="s">
        <v>800</v>
      </c>
      <c r="H9" s="326" t="s">
        <v>800</v>
      </c>
      <c r="I9" s="113" t="s">
        <v>800</v>
      </c>
      <c r="J9" s="113" t="s">
        <v>660</v>
      </c>
      <c r="K9" s="55" t="s">
        <v>689</v>
      </c>
      <c r="L9" s="113" t="s">
        <v>660</v>
      </c>
      <c r="M9" s="399" t="s">
        <v>1484</v>
      </c>
    </row>
    <row r="10" spans="1:13">
      <c r="A10" s="671" t="s">
        <v>1436</v>
      </c>
      <c r="C10" s="679" t="s">
        <v>356</v>
      </c>
      <c r="D10" s="93" t="s">
        <v>744</v>
      </c>
      <c r="E10" s="1205">
        <v>0.92</v>
      </c>
      <c r="F10" s="741" t="s">
        <v>1213</v>
      </c>
      <c r="G10" s="93" t="s">
        <v>1213</v>
      </c>
      <c r="H10" s="327" t="s">
        <v>1213</v>
      </c>
      <c r="I10" s="93" t="s">
        <v>1213</v>
      </c>
      <c r="J10" s="93" t="s">
        <v>1213</v>
      </c>
      <c r="K10" s="93" t="s">
        <v>1284</v>
      </c>
      <c r="L10" s="93" t="s">
        <v>1299</v>
      </c>
      <c r="M10" s="680" t="s">
        <v>660</v>
      </c>
    </row>
    <row r="11" spans="1:13">
      <c r="A11" s="426"/>
      <c r="C11" s="398"/>
      <c r="D11" s="1"/>
      <c r="E11" s="1"/>
      <c r="F11" s="1107"/>
      <c r="G11" s="1"/>
      <c r="H11" s="108"/>
      <c r="I11" s="1"/>
      <c r="J11" s="1"/>
      <c r="K11" s="1"/>
      <c r="L11" s="1"/>
      <c r="M11" s="401"/>
    </row>
    <row r="12" spans="1:13">
      <c r="A12" s="672">
        <f ca="1">Startops1</f>
        <v>36251</v>
      </c>
      <c r="C12" s="691">
        <f ca="1">MAX('Plant Operations'!H12,'Plant Operations'!L12)</f>
        <v>0.92</v>
      </c>
      <c r="D12" s="796">
        <v>0.92</v>
      </c>
      <c r="E12" s="820">
        <f t="shared" ref="E12:E75" si="0">IF(D12&gt;E$10,0,E$10-D12)</f>
        <v>0</v>
      </c>
      <c r="F12" s="1485">
        <f ca="1">IF(Assm!$F$29=0,'Annex 10-Plant'!G12,'Annex 12-Plant'!T12)</f>
        <v>1480.1589806486136</v>
      </c>
      <c r="G12" s="1486">
        <f ca="1">IF($A12&lt;Startops2,0,IF(Assm!$F$29=0,VLOOKUP($A12,Annex10_Gas_Table,'Annex 10-Gas'!$G$270),VLOOKUP($A12,Annex12_Gas_Table,'Annex 12-Gas'!$J$270)))</f>
        <v>0</v>
      </c>
      <c r="H12" s="1487">
        <f ca="1">IF($A12&lt;Startops2,0,IF(Assm!$F$29=0,VLOOKUP($A12,Annex10_Gas_Table,'Annex 10-Gas'!$P$270),VLOOKUP($A12,Annex12_Gas_Table,'Annex 12-Gas'!$V$270)))</f>
        <v>0</v>
      </c>
      <c r="I12" s="1486">
        <f ca="1">SUM(F12:H12)</f>
        <v>1480.1589806486136</v>
      </c>
      <c r="J12" s="1486">
        <f ca="1">E12*I12</f>
        <v>0</v>
      </c>
      <c r="K12" s="1480">
        <f ca="1">IF(Assm!$L$74=1,VLOOKUP($A12,Curves_Table,Escalation!$D$291),Exch)</f>
        <v>1.0649999999999999</v>
      </c>
      <c r="L12" s="335">
        <f ca="1">J12/K12</f>
        <v>0</v>
      </c>
      <c r="M12" s="698" t="str">
        <f t="shared" ref="M12:M75" ca="1" si="1">IF(MONTH($A12)=12,SUM(L1:L12)," ")</f>
        <v xml:space="preserve"> </v>
      </c>
    </row>
    <row r="13" spans="1:13">
      <c r="A13" s="672">
        <f t="shared" ref="A13:A76" ca="1" si="2">EDATE(A12,1)</f>
        <v>36281</v>
      </c>
      <c r="C13" s="691">
        <f ca="1">MAX('Plant Operations'!H13,'Plant Operations'!L13)</f>
        <v>0.92</v>
      </c>
      <c r="D13" s="820">
        <f t="shared" ref="D13:D76" ca="1" si="3">IF($A13&gt;Endyr,0,AVERAGE(C1:C12))</f>
        <v>0.92</v>
      </c>
      <c r="E13" s="820">
        <f t="shared" ca="1" si="0"/>
        <v>0</v>
      </c>
      <c r="F13" s="1485">
        <f ca="1">IF(Assm!$F$29=0,'Annex 10-Plant'!G13,'Annex 12-Plant'!T13)</f>
        <v>1558.369848982624</v>
      </c>
      <c r="G13" s="1486">
        <f ca="1">IF($A13&lt;Startops2,0,IF(Assm!$F$29=0,VLOOKUP($A13,Annex10_Gas_Table,'Annex 10-Gas'!$G$270),VLOOKUP($A13,Annex12_Gas_Table,'Annex 12-Gas'!$J$270)))</f>
        <v>0</v>
      </c>
      <c r="H13" s="1487">
        <f ca="1">IF($A13&lt;Startops2,0,IF(Assm!$F$29=0,VLOOKUP($A13,Annex10_Gas_Table,'Annex 10-Gas'!$P$270),VLOOKUP($A13,Annex12_Gas_Table,'Annex 12-Gas'!$V$270)))</f>
        <v>0</v>
      </c>
      <c r="I13" s="1486">
        <f t="shared" ref="I13:I76" ca="1" si="4">SUM(F13:H13)</f>
        <v>1558.369848982624</v>
      </c>
      <c r="J13" s="1486">
        <f t="shared" ref="J13:J76" ca="1" si="5">E13*I13</f>
        <v>0</v>
      </c>
      <c r="K13" s="1480">
        <f ca="1">IF(Assm!$L$74=1,VLOOKUP($A13,Curves_Table,Escalation!$D$291),Exch)</f>
        <v>1.0649999999999999</v>
      </c>
      <c r="L13" s="335">
        <f t="shared" ref="L13:L76" ca="1" si="6">J13/K13</f>
        <v>0</v>
      </c>
      <c r="M13" s="698" t="str">
        <f t="shared" ca="1" si="1"/>
        <v xml:space="preserve"> </v>
      </c>
    </row>
    <row r="14" spans="1:13">
      <c r="A14" s="672">
        <f t="shared" ca="1" si="2"/>
        <v>36312</v>
      </c>
      <c r="C14" s="691">
        <f ca="1">MAX('Plant Operations'!H14,'Plant Operations'!L14)</f>
        <v>0.92</v>
      </c>
      <c r="D14" s="820">
        <f t="shared" ca="1" si="3"/>
        <v>0.92</v>
      </c>
      <c r="E14" s="820">
        <f t="shared" ca="1" si="0"/>
        <v>0</v>
      </c>
      <c r="F14" s="1485">
        <f ca="1">IF(Assm!$F$29=0,'Annex 10-Plant'!G14,'Annex 12-Plant'!T14)</f>
        <v>1558.369848982624</v>
      </c>
      <c r="G14" s="1486">
        <f ca="1">IF($A14&lt;Startops2,0,IF(Assm!$F$29=0,VLOOKUP($A14,Annex10_Gas_Table,'Annex 10-Gas'!$G$270),VLOOKUP($A14,Annex12_Gas_Table,'Annex 12-Gas'!$J$270)))</f>
        <v>0</v>
      </c>
      <c r="H14" s="1487">
        <f ca="1">IF($A14&lt;Startops2,0,IF(Assm!$F$29=0,VLOOKUP($A14,Annex10_Gas_Table,'Annex 10-Gas'!$P$270),VLOOKUP($A14,Annex12_Gas_Table,'Annex 12-Gas'!$V$270)))</f>
        <v>0</v>
      </c>
      <c r="I14" s="1486">
        <f t="shared" ca="1" si="4"/>
        <v>1558.369848982624</v>
      </c>
      <c r="J14" s="1486">
        <f t="shared" ca="1" si="5"/>
        <v>0</v>
      </c>
      <c r="K14" s="1480">
        <f ca="1">IF(Assm!$L$74=1,VLOOKUP($A14,Curves_Table,Escalation!$D$291),Exch)</f>
        <v>1.0649999999999999</v>
      </c>
      <c r="L14" s="335">
        <f t="shared" ca="1" si="6"/>
        <v>0</v>
      </c>
      <c r="M14" s="698" t="str">
        <f t="shared" ca="1" si="1"/>
        <v xml:space="preserve"> </v>
      </c>
    </row>
    <row r="15" spans="1:13">
      <c r="A15" s="672">
        <f t="shared" ca="1" si="2"/>
        <v>36342</v>
      </c>
      <c r="C15" s="691">
        <f ca="1">MAX('Plant Operations'!H15,'Plant Operations'!L15)</f>
        <v>0.92</v>
      </c>
      <c r="D15" s="820">
        <f t="shared" ca="1" si="3"/>
        <v>0.92</v>
      </c>
      <c r="E15" s="820">
        <f t="shared" ca="1" si="0"/>
        <v>0</v>
      </c>
      <c r="F15" s="1485">
        <f ca="1">IF(Assm!$F$29=0,'Annex 10-Plant'!G15,'Annex 12-Plant'!T15)</f>
        <v>1558.369848982624</v>
      </c>
      <c r="G15" s="1486">
        <f ca="1">IF($A15&lt;Startops2,0,IF(Assm!$F$29=0,VLOOKUP($A15,Annex10_Gas_Table,'Annex 10-Gas'!$G$270),VLOOKUP($A15,Annex12_Gas_Table,'Annex 12-Gas'!$J$270)))</f>
        <v>0</v>
      </c>
      <c r="H15" s="1487">
        <f ca="1">IF($A15&lt;Startops2,0,IF(Assm!$F$29=0,VLOOKUP($A15,Annex10_Gas_Table,'Annex 10-Gas'!$P$270),VLOOKUP($A15,Annex12_Gas_Table,'Annex 12-Gas'!$V$270)))</f>
        <v>0</v>
      </c>
      <c r="I15" s="1486">
        <f t="shared" ca="1" si="4"/>
        <v>1558.369848982624</v>
      </c>
      <c r="J15" s="1486">
        <f t="shared" ca="1" si="5"/>
        <v>0</v>
      </c>
      <c r="K15" s="1480">
        <f ca="1">IF(Assm!$L$74=1,VLOOKUP($A15,Curves_Table,Escalation!$D$291),Exch)</f>
        <v>1.0649999999999999</v>
      </c>
      <c r="L15" s="335">
        <f t="shared" ca="1" si="6"/>
        <v>0</v>
      </c>
      <c r="M15" s="698" t="str">
        <f t="shared" ca="1" si="1"/>
        <v xml:space="preserve"> </v>
      </c>
    </row>
    <row r="16" spans="1:13">
      <c r="A16" s="672">
        <f t="shared" ca="1" si="2"/>
        <v>36373</v>
      </c>
      <c r="C16" s="691">
        <f ca="1">MAX('Plant Operations'!H16,'Plant Operations'!L16)</f>
        <v>0.92</v>
      </c>
      <c r="D16" s="820">
        <f t="shared" ca="1" si="3"/>
        <v>0.92</v>
      </c>
      <c r="E16" s="820">
        <f t="shared" ca="1" si="0"/>
        <v>0</v>
      </c>
      <c r="F16" s="1485">
        <f ca="1">IF(Assm!$F$29=0,'Annex 10-Plant'!G16,'Annex 12-Plant'!T16)</f>
        <v>1558.369848982624</v>
      </c>
      <c r="G16" s="1486">
        <f ca="1">IF($A16&lt;Startops2,0,IF(Assm!$F$29=0,VLOOKUP($A16,Annex10_Gas_Table,'Annex 10-Gas'!$G$270),VLOOKUP($A16,Annex12_Gas_Table,'Annex 12-Gas'!$J$270)))</f>
        <v>0</v>
      </c>
      <c r="H16" s="1487">
        <f ca="1">IF($A16&lt;Startops2,0,IF(Assm!$F$29=0,VLOOKUP($A16,Annex10_Gas_Table,'Annex 10-Gas'!$P$270),VLOOKUP($A16,Annex12_Gas_Table,'Annex 12-Gas'!$V$270)))</f>
        <v>0</v>
      </c>
      <c r="I16" s="1486">
        <f t="shared" ca="1" si="4"/>
        <v>1558.369848982624</v>
      </c>
      <c r="J16" s="1486">
        <f t="shared" ca="1" si="5"/>
        <v>0</v>
      </c>
      <c r="K16" s="1480">
        <f ca="1">IF(Assm!$L$74=1,VLOOKUP($A16,Curves_Table,Escalation!$D$291),Exch)</f>
        <v>1.0649999999999999</v>
      </c>
      <c r="L16" s="335">
        <f t="shared" ca="1" si="6"/>
        <v>0</v>
      </c>
      <c r="M16" s="698" t="str">
        <f t="shared" ca="1" si="1"/>
        <v xml:space="preserve"> </v>
      </c>
    </row>
    <row r="17" spans="1:13">
      <c r="A17" s="672">
        <f t="shared" ca="1" si="2"/>
        <v>36404</v>
      </c>
      <c r="C17" s="691">
        <f ca="1">MAX('Plant Operations'!H17,'Plant Operations'!L17)</f>
        <v>0.92</v>
      </c>
      <c r="D17" s="820">
        <f t="shared" ca="1" si="3"/>
        <v>0.92000000000000015</v>
      </c>
      <c r="E17" s="820">
        <f t="shared" ca="1" si="0"/>
        <v>-1.1102230246251565E-16</v>
      </c>
      <c r="F17" s="1485">
        <f ca="1">IF(Assm!$F$29=0,'Annex 10-Plant'!G17,'Annex 12-Plant'!T17)</f>
        <v>2200.0407334960732</v>
      </c>
      <c r="G17" s="1486">
        <f ca="1">IF($A17&lt;Startops2,0,IF(Assm!$F$29=0,VLOOKUP($A17,Annex10_Gas_Table,'Annex 10-Gas'!$G$270),VLOOKUP($A17,Annex12_Gas_Table,'Annex 12-Gas'!$J$270)))</f>
        <v>0</v>
      </c>
      <c r="H17" s="1487">
        <f ca="1">IF($A17&lt;Startops2,0,IF(Assm!$F$29=0,VLOOKUP($A17,Annex10_Gas_Table,'Annex 10-Gas'!$P$270),VLOOKUP($A17,Annex12_Gas_Table,'Annex 12-Gas'!$V$270)))</f>
        <v>0</v>
      </c>
      <c r="I17" s="1486">
        <f t="shared" ca="1" si="4"/>
        <v>2200.0407334960732</v>
      </c>
      <c r="J17" s="1486">
        <f t="shared" ca="1" si="5"/>
        <v>-2.4425358774405584E-13</v>
      </c>
      <c r="K17" s="1480">
        <f ca="1">IF(Assm!$L$74=1,VLOOKUP($A17,Curves_Table,Escalation!$D$291),Exch)</f>
        <v>1.0649999999999999</v>
      </c>
      <c r="L17" s="335">
        <f t="shared" ca="1" si="6"/>
        <v>-2.293460917784562E-13</v>
      </c>
      <c r="M17" s="698" t="str">
        <f t="shared" ca="1" si="1"/>
        <v xml:space="preserve"> </v>
      </c>
    </row>
    <row r="18" spans="1:13">
      <c r="A18" s="672">
        <f t="shared" ca="1" si="2"/>
        <v>36434</v>
      </c>
      <c r="C18" s="691">
        <f ca="1">MAX('Plant Operations'!H18,'Plant Operations'!L18)</f>
        <v>0.92</v>
      </c>
      <c r="D18" s="820">
        <f t="shared" ca="1" si="3"/>
        <v>0.92</v>
      </c>
      <c r="E18" s="820">
        <f t="shared" ca="1" si="0"/>
        <v>0</v>
      </c>
      <c r="F18" s="1485">
        <f ca="1">IF(Assm!$F$29=0,'Annex 10-Plant'!G18,'Annex 12-Plant'!T18)</f>
        <v>2208.4982867016947</v>
      </c>
      <c r="G18" s="1486">
        <f ca="1">IF($A18&lt;Startops2,0,IF(Assm!$F$29=0,VLOOKUP($A18,Annex10_Gas_Table,'Annex 10-Gas'!$G$270),VLOOKUP($A18,Annex12_Gas_Table,'Annex 12-Gas'!$J$270)))</f>
        <v>0</v>
      </c>
      <c r="H18" s="1487">
        <f ca="1">IF($A18&lt;Startops2,0,IF(Assm!$F$29=0,VLOOKUP($A18,Annex10_Gas_Table,'Annex 10-Gas'!$P$270),VLOOKUP($A18,Annex12_Gas_Table,'Annex 12-Gas'!$V$270)))</f>
        <v>0</v>
      </c>
      <c r="I18" s="1486">
        <f t="shared" ca="1" si="4"/>
        <v>2208.4982867016947</v>
      </c>
      <c r="J18" s="1486">
        <f t="shared" ca="1" si="5"/>
        <v>0</v>
      </c>
      <c r="K18" s="1480">
        <f ca="1">IF(Assm!$L$74=1,VLOOKUP($A18,Curves_Table,Escalation!$D$291),Exch)</f>
        <v>1.0649999999999999</v>
      </c>
      <c r="L18" s="335">
        <f t="shared" ca="1" si="6"/>
        <v>0</v>
      </c>
      <c r="M18" s="698" t="str">
        <f t="shared" ca="1" si="1"/>
        <v xml:space="preserve"> </v>
      </c>
    </row>
    <row r="19" spans="1:13">
      <c r="A19" s="672">
        <f t="shared" ca="1" si="2"/>
        <v>36465</v>
      </c>
      <c r="C19" s="691">
        <f ca="1">MAX('Plant Operations'!H19,'Plant Operations'!L19)</f>
        <v>0.92</v>
      </c>
      <c r="D19" s="820">
        <f t="shared" ca="1" si="3"/>
        <v>0.92</v>
      </c>
      <c r="E19" s="820">
        <f t="shared" ca="1" si="0"/>
        <v>0</v>
      </c>
      <c r="F19" s="1485">
        <f ca="1">IF(Assm!$F$29=0,'Annex 10-Plant'!G19,'Annex 12-Plant'!T19)</f>
        <v>2189.3768620628985</v>
      </c>
      <c r="G19" s="1486">
        <f ca="1">IF($A19&lt;Startops2,0,IF(Assm!$F$29=0,VLOOKUP($A19,Annex10_Gas_Table,'Annex 10-Gas'!$G$270),VLOOKUP($A19,Annex12_Gas_Table,'Annex 12-Gas'!$J$270)))</f>
        <v>0</v>
      </c>
      <c r="H19" s="1487">
        <f ca="1">IF($A19&lt;Startops2,0,IF(Assm!$F$29=0,VLOOKUP($A19,Annex10_Gas_Table,'Annex 10-Gas'!$P$270),VLOOKUP($A19,Annex12_Gas_Table,'Annex 12-Gas'!$V$270)))</f>
        <v>0</v>
      </c>
      <c r="I19" s="1486">
        <f t="shared" ca="1" si="4"/>
        <v>2189.3768620628985</v>
      </c>
      <c r="J19" s="1486">
        <f t="shared" ca="1" si="5"/>
        <v>0</v>
      </c>
      <c r="K19" s="1480">
        <f ca="1">IF(Assm!$L$74=1,VLOOKUP($A19,Curves_Table,Escalation!$D$291),Exch)</f>
        <v>1.0649999999999999</v>
      </c>
      <c r="L19" s="335">
        <f t="shared" ca="1" si="6"/>
        <v>0</v>
      </c>
      <c r="M19" s="698" t="str">
        <f t="shared" ca="1" si="1"/>
        <v xml:space="preserve"> </v>
      </c>
    </row>
    <row r="20" spans="1:13">
      <c r="A20" s="672">
        <f t="shared" ca="1" si="2"/>
        <v>36495</v>
      </c>
      <c r="C20" s="691">
        <f ca="1">MAX('Plant Operations'!H20,'Plant Operations'!L20)</f>
        <v>0.92</v>
      </c>
      <c r="D20" s="820">
        <f t="shared" ca="1" si="3"/>
        <v>0.92</v>
      </c>
      <c r="E20" s="820">
        <f t="shared" ca="1" si="0"/>
        <v>0</v>
      </c>
      <c r="F20" s="1485">
        <f ca="1">IF(Assm!$F$29=0,'Annex 10-Plant'!G20,'Annex 12-Plant'!T20)</f>
        <v>2098.1823753240237</v>
      </c>
      <c r="G20" s="1486">
        <f ca="1">IF($A20&lt;Startops2,0,IF(Assm!$F$29=0,VLOOKUP($A20,Annex10_Gas_Table,'Annex 10-Gas'!$G$270),VLOOKUP($A20,Annex12_Gas_Table,'Annex 12-Gas'!$J$270)))</f>
        <v>0</v>
      </c>
      <c r="H20" s="1487">
        <f ca="1">IF($A20&lt;Startops2,0,IF(Assm!$F$29=0,VLOOKUP($A20,Annex10_Gas_Table,'Annex 10-Gas'!$P$270),VLOOKUP($A20,Annex12_Gas_Table,'Annex 12-Gas'!$V$270)))</f>
        <v>0</v>
      </c>
      <c r="I20" s="1486">
        <f t="shared" ca="1" si="4"/>
        <v>2098.1823753240237</v>
      </c>
      <c r="J20" s="1486">
        <f t="shared" ca="1" si="5"/>
        <v>0</v>
      </c>
      <c r="K20" s="1480">
        <f ca="1">IF(Assm!$L$74=1,VLOOKUP($A20,Curves_Table,Escalation!$D$291),Exch)</f>
        <v>1.0649999999999999</v>
      </c>
      <c r="L20" s="335">
        <f t="shared" ca="1" si="6"/>
        <v>0</v>
      </c>
      <c r="M20" s="698">
        <f t="shared" ca="1" si="1"/>
        <v>-2.293460917784562E-13</v>
      </c>
    </row>
    <row r="21" spans="1:13">
      <c r="A21" s="672">
        <f t="shared" ca="1" si="2"/>
        <v>36526</v>
      </c>
      <c r="C21" s="691">
        <f ca="1">MAX('Plant Operations'!H21,'Plant Operations'!L21)</f>
        <v>0.92</v>
      </c>
      <c r="D21" s="820">
        <f t="shared" ca="1" si="3"/>
        <v>0.92000000000000015</v>
      </c>
      <c r="E21" s="820">
        <f t="shared" ca="1" si="0"/>
        <v>-1.1102230246251565E-16</v>
      </c>
      <c r="F21" s="1485">
        <f ca="1">IF(Assm!$F$29=0,'Annex 10-Plant'!G21,'Annex 12-Plant'!T21)</f>
        <v>2095.0572349070258</v>
      </c>
      <c r="G21" s="1486">
        <f ca="1">IF($A21&lt;Startops2,0,IF(Assm!$F$29=0,VLOOKUP($A21,Annex10_Gas_Table,'Annex 10-Gas'!$G$270),VLOOKUP($A21,Annex12_Gas_Table,'Annex 12-Gas'!$J$270)))</f>
        <v>0</v>
      </c>
      <c r="H21" s="1487">
        <f ca="1">IF($A21&lt;Startops2,0,IF(Assm!$F$29=0,VLOOKUP($A21,Annex10_Gas_Table,'Annex 10-Gas'!$P$270),VLOOKUP($A21,Annex12_Gas_Table,'Annex 12-Gas'!$V$270)))</f>
        <v>0</v>
      </c>
      <c r="I21" s="1486">
        <f t="shared" ca="1" si="4"/>
        <v>2095.0572349070258</v>
      </c>
      <c r="J21" s="1486">
        <f t="shared" ca="1" si="5"/>
        <v>-2.3259807801012952E-13</v>
      </c>
      <c r="K21" s="1480">
        <f ca="1">IF(Assm!$L$74=1,VLOOKUP($A21,Curves_Table,Escalation!$D$291),Exch)</f>
        <v>1.0649999999999999</v>
      </c>
      <c r="L21" s="335">
        <f t="shared" ca="1" si="6"/>
        <v>-2.1840195118322022E-13</v>
      </c>
      <c r="M21" s="698" t="str">
        <f t="shared" ca="1" si="1"/>
        <v xml:space="preserve"> </v>
      </c>
    </row>
    <row r="22" spans="1:13">
      <c r="A22" s="672">
        <f t="shared" ca="1" si="2"/>
        <v>36557</v>
      </c>
      <c r="C22" s="691">
        <f ca="1">MAX('Plant Operations'!H22,'Plant Operations'!L22)</f>
        <v>0.92</v>
      </c>
      <c r="D22" s="820">
        <f t="shared" ca="1" si="3"/>
        <v>0.92000000000000015</v>
      </c>
      <c r="E22" s="820">
        <f t="shared" ca="1" si="0"/>
        <v>-1.1102230246251565E-16</v>
      </c>
      <c r="F22" s="1485">
        <f ca="1">IF(Assm!$F$29=0,'Annex 10-Plant'!G22,'Annex 12-Plant'!T22)</f>
        <v>2091.9394762685297</v>
      </c>
      <c r="G22" s="1486">
        <f ca="1">IF($A22&lt;Startops2,0,IF(Assm!$F$29=0,VLOOKUP($A22,Annex10_Gas_Table,'Annex 10-Gas'!$G$270),VLOOKUP($A22,Annex12_Gas_Table,'Annex 12-Gas'!$J$270)))</f>
        <v>0</v>
      </c>
      <c r="H22" s="1487">
        <f ca="1">IF($A22&lt;Startops2,0,IF(Assm!$F$29=0,VLOOKUP($A22,Annex10_Gas_Table,'Annex 10-Gas'!$P$270),VLOOKUP($A22,Annex12_Gas_Table,'Annex 12-Gas'!$V$270)))</f>
        <v>0</v>
      </c>
      <c r="I22" s="1486">
        <f t="shared" ca="1" si="4"/>
        <v>2091.9394762685297</v>
      </c>
      <c r="J22" s="1486">
        <f t="shared" ca="1" si="5"/>
        <v>-2.3225193726756129E-13</v>
      </c>
      <c r="K22" s="1480">
        <f ca="1">IF(Assm!$L$74=1,VLOOKUP($A22,Curves_Table,Escalation!$D$291),Exch)</f>
        <v>1.0649999999999999</v>
      </c>
      <c r="L22" s="335">
        <f t="shared" ca="1" si="6"/>
        <v>-2.1807693640146602E-13</v>
      </c>
      <c r="M22" s="698" t="str">
        <f t="shared" ca="1" si="1"/>
        <v xml:space="preserve"> </v>
      </c>
    </row>
    <row r="23" spans="1:13">
      <c r="A23" s="672">
        <f t="shared" ca="1" si="2"/>
        <v>36586</v>
      </c>
      <c r="C23" s="691">
        <f ca="1">MAX('Plant Operations'!H23,'Plant Operations'!L23)</f>
        <v>0.92</v>
      </c>
      <c r="D23" s="820">
        <f t="shared" ca="1" si="3"/>
        <v>0.92</v>
      </c>
      <c r="E23" s="820">
        <f t="shared" ca="1" si="0"/>
        <v>0</v>
      </c>
      <c r="F23" s="1485">
        <f ca="1">IF(Assm!$F$29=0,'Annex 10-Plant'!G23,'Annex 12-Plant'!T23)</f>
        <v>2088.8290819723102</v>
      </c>
      <c r="G23" s="1486">
        <f ca="1">IF($A23&lt;Startops2,0,IF(Assm!$F$29=0,VLOOKUP($A23,Annex10_Gas_Table,'Annex 10-Gas'!$G$270),VLOOKUP($A23,Annex12_Gas_Table,'Annex 12-Gas'!$J$270)))</f>
        <v>0</v>
      </c>
      <c r="H23" s="1487">
        <f ca="1">IF($A23&lt;Startops2,0,IF(Assm!$F$29=0,VLOOKUP($A23,Annex10_Gas_Table,'Annex 10-Gas'!$P$270),VLOOKUP($A23,Annex12_Gas_Table,'Annex 12-Gas'!$V$270)))</f>
        <v>0</v>
      </c>
      <c r="I23" s="1486">
        <f t="shared" ca="1" si="4"/>
        <v>2088.8290819723102</v>
      </c>
      <c r="J23" s="1486">
        <f t="shared" ca="1" si="5"/>
        <v>0</v>
      </c>
      <c r="K23" s="1480">
        <f ca="1">IF(Assm!$L$74=1,VLOOKUP($A23,Curves_Table,Escalation!$D$291),Exch)</f>
        <v>1.0649999999999999</v>
      </c>
      <c r="L23" s="335">
        <f t="shared" ca="1" si="6"/>
        <v>0</v>
      </c>
      <c r="M23" s="698" t="str">
        <f t="shared" ca="1" si="1"/>
        <v xml:space="preserve"> </v>
      </c>
    </row>
    <row r="24" spans="1:13">
      <c r="A24" s="672">
        <f t="shared" ca="1" si="2"/>
        <v>36617</v>
      </c>
      <c r="C24" s="691">
        <f ca="1">MAX('Plant Operations'!H24,'Plant Operations'!L24)</f>
        <v>0.92</v>
      </c>
      <c r="D24" s="820">
        <f t="shared" ca="1" si="3"/>
        <v>0.92</v>
      </c>
      <c r="E24" s="820">
        <f t="shared" ca="1" si="0"/>
        <v>0</v>
      </c>
      <c r="F24" s="1485">
        <f ca="1">IF(Assm!$F$29=0,'Annex 10-Plant'!G24,'Annex 12-Plant'!T24)</f>
        <v>2085.726034623327</v>
      </c>
      <c r="G24" s="1486">
        <f ca="1">IF($A24&lt;Startops2,0,IF(Assm!$F$29=0,VLOOKUP($A24,Annex10_Gas_Table,'Annex 10-Gas'!$G$270),VLOOKUP($A24,Annex12_Gas_Table,'Annex 12-Gas'!$J$270)))</f>
        <v>0</v>
      </c>
      <c r="H24" s="1487">
        <f ca="1">IF($A24&lt;Startops2,0,IF(Assm!$F$29=0,VLOOKUP($A24,Annex10_Gas_Table,'Annex 10-Gas'!$P$270),VLOOKUP($A24,Annex12_Gas_Table,'Annex 12-Gas'!$V$270)))</f>
        <v>0</v>
      </c>
      <c r="I24" s="1486">
        <f t="shared" ca="1" si="4"/>
        <v>2085.726034623327</v>
      </c>
      <c r="J24" s="1486">
        <f t="shared" ca="1" si="5"/>
        <v>0</v>
      </c>
      <c r="K24" s="1480">
        <f ca="1">IF(Assm!$L$74=1,VLOOKUP($A24,Curves_Table,Escalation!$D$291),Exch)</f>
        <v>1.0649999999999999</v>
      </c>
      <c r="L24" s="335">
        <f t="shared" ca="1" si="6"/>
        <v>0</v>
      </c>
      <c r="M24" s="698" t="str">
        <f t="shared" ca="1" si="1"/>
        <v xml:space="preserve"> </v>
      </c>
    </row>
    <row r="25" spans="1:13">
      <c r="A25" s="672">
        <f t="shared" ca="1" si="2"/>
        <v>36647</v>
      </c>
      <c r="C25" s="691">
        <f ca="1">MAX('Plant Operations'!H25,'Plant Operations'!L25)</f>
        <v>0.92</v>
      </c>
      <c r="D25" s="820">
        <f t="shared" ca="1" si="3"/>
        <v>0.92</v>
      </c>
      <c r="E25" s="820">
        <f t="shared" ca="1" si="0"/>
        <v>0</v>
      </c>
      <c r="F25" s="1485">
        <f ca="1">IF(Assm!$F$29=0,'Annex 10-Plant'!G25,'Annex 12-Plant'!T25)</f>
        <v>2227.552228441225</v>
      </c>
      <c r="G25" s="1486">
        <f ca="1">IF($A25&lt;Startops2,0,IF(Assm!$F$29=0,VLOOKUP($A25,Annex10_Gas_Table,'Annex 10-Gas'!$G$270),VLOOKUP($A25,Annex12_Gas_Table,'Annex 12-Gas'!$J$270)))</f>
        <v>0</v>
      </c>
      <c r="H25" s="1487">
        <f ca="1">IF($A25&lt;Startops2,0,IF(Assm!$F$29=0,VLOOKUP($A25,Annex10_Gas_Table,'Annex 10-Gas'!$P$270),VLOOKUP($A25,Annex12_Gas_Table,'Annex 12-Gas'!$V$270)))</f>
        <v>0</v>
      </c>
      <c r="I25" s="1486">
        <f t="shared" ca="1" si="4"/>
        <v>2227.552228441225</v>
      </c>
      <c r="J25" s="1486">
        <f t="shared" ca="1" si="5"/>
        <v>0</v>
      </c>
      <c r="K25" s="1480">
        <f ca="1">IF(Assm!$L$74=1,VLOOKUP($A25,Curves_Table,Escalation!$D$291),Exch)</f>
        <v>1.0649999999999999</v>
      </c>
      <c r="L25" s="335">
        <f t="shared" ca="1" si="6"/>
        <v>0</v>
      </c>
      <c r="M25" s="698" t="str">
        <f t="shared" ca="1" si="1"/>
        <v xml:space="preserve"> </v>
      </c>
    </row>
    <row r="26" spans="1:13">
      <c r="A26" s="672">
        <f t="shared" ca="1" si="2"/>
        <v>36678</v>
      </c>
      <c r="C26" s="691">
        <f ca="1">MAX('Plant Operations'!H26,'Plant Operations'!L26)</f>
        <v>0.92</v>
      </c>
      <c r="D26" s="820">
        <f t="shared" ca="1" si="3"/>
        <v>0.92</v>
      </c>
      <c r="E26" s="820">
        <f t="shared" ca="1" si="0"/>
        <v>0</v>
      </c>
      <c r="F26" s="1485">
        <f ca="1">IF(Assm!$F$29=0,'Annex 10-Plant'!G26,'Annex 12-Plant'!T26)</f>
        <v>2224.3905111473232</v>
      </c>
      <c r="G26" s="1486">
        <f ca="1">IF($A26&lt;Startops2,0,IF(Assm!$F$29=0,VLOOKUP($A26,Annex10_Gas_Table,'Annex 10-Gas'!$G$270),VLOOKUP($A26,Annex12_Gas_Table,'Annex 12-Gas'!$J$270)))</f>
        <v>0</v>
      </c>
      <c r="H26" s="1487">
        <f ca="1">IF($A26&lt;Startops2,0,IF(Assm!$F$29=0,VLOOKUP($A26,Annex10_Gas_Table,'Annex 10-Gas'!$P$270),VLOOKUP($A26,Annex12_Gas_Table,'Annex 12-Gas'!$V$270)))</f>
        <v>0</v>
      </c>
      <c r="I26" s="1486">
        <f t="shared" ca="1" si="4"/>
        <v>2224.3905111473232</v>
      </c>
      <c r="J26" s="1486">
        <f t="shared" ca="1" si="5"/>
        <v>0</v>
      </c>
      <c r="K26" s="1480">
        <f ca="1">IF(Assm!$L$74=1,VLOOKUP($A26,Curves_Table,Escalation!$D$291),Exch)</f>
        <v>1.0649999999999999</v>
      </c>
      <c r="L26" s="335">
        <f t="shared" ca="1" si="6"/>
        <v>0</v>
      </c>
      <c r="M26" s="698" t="str">
        <f t="shared" ca="1" si="1"/>
        <v xml:space="preserve"> </v>
      </c>
    </row>
    <row r="27" spans="1:13">
      <c r="A27" s="672">
        <f t="shared" ca="1" si="2"/>
        <v>36708</v>
      </c>
      <c r="C27" s="691">
        <f ca="1">MAX('Plant Operations'!H27,'Plant Operations'!L27)</f>
        <v>0.92</v>
      </c>
      <c r="D27" s="820">
        <f t="shared" ca="1" si="3"/>
        <v>0.92</v>
      </c>
      <c r="E27" s="820">
        <f t="shared" ca="1" si="0"/>
        <v>0</v>
      </c>
      <c r="F27" s="1485">
        <f ca="1">IF(Assm!$F$29=0,'Annex 10-Plant'!G27,'Annex 12-Plant'!T27)</f>
        <v>2221.2362620288104</v>
      </c>
      <c r="G27" s="1486">
        <f ca="1">IF($A27&lt;Startops2,0,IF(Assm!$F$29=0,VLOOKUP($A27,Annex10_Gas_Table,'Annex 10-Gas'!$G$270),VLOOKUP($A27,Annex12_Gas_Table,'Annex 12-Gas'!$J$270)))</f>
        <v>0</v>
      </c>
      <c r="H27" s="1487">
        <f ca="1">IF($A27&lt;Startops2,0,IF(Assm!$F$29=0,VLOOKUP($A27,Annex10_Gas_Table,'Annex 10-Gas'!$P$270),VLOOKUP($A27,Annex12_Gas_Table,'Annex 12-Gas'!$V$270)))</f>
        <v>0</v>
      </c>
      <c r="I27" s="1486">
        <f t="shared" ca="1" si="4"/>
        <v>2221.2362620288104</v>
      </c>
      <c r="J27" s="1486">
        <f t="shared" ca="1" si="5"/>
        <v>0</v>
      </c>
      <c r="K27" s="1480">
        <f ca="1">IF(Assm!$L$74=1,VLOOKUP($A27,Curves_Table,Escalation!$D$291),Exch)</f>
        <v>1.0649999999999999</v>
      </c>
      <c r="L27" s="335">
        <f t="shared" ca="1" si="6"/>
        <v>0</v>
      </c>
      <c r="M27" s="698" t="str">
        <f t="shared" ca="1" si="1"/>
        <v xml:space="preserve"> </v>
      </c>
    </row>
    <row r="28" spans="1:13">
      <c r="A28" s="672">
        <f t="shared" ca="1" si="2"/>
        <v>36739</v>
      </c>
      <c r="C28" s="691">
        <f ca="1">MAX('Plant Operations'!H28,'Plant Operations'!L28)</f>
        <v>0.92</v>
      </c>
      <c r="D28" s="820">
        <f t="shared" ca="1" si="3"/>
        <v>0.92</v>
      </c>
      <c r="E28" s="820">
        <f t="shared" ca="1" si="0"/>
        <v>0</v>
      </c>
      <c r="F28" s="1485">
        <f ca="1">IF(Assm!$F$29=0,'Annex 10-Plant'!G28,'Annex 12-Plant'!T28)</f>
        <v>2218.0894634453866</v>
      </c>
      <c r="G28" s="1486">
        <f ca="1">IF($A28&lt;Startops2,0,IF(Assm!$F$29=0,VLOOKUP($A28,Annex10_Gas_Table,'Annex 10-Gas'!$G$270),VLOOKUP($A28,Annex12_Gas_Table,'Annex 12-Gas'!$J$270)))</f>
        <v>0</v>
      </c>
      <c r="H28" s="1487">
        <f ca="1">IF($A28&lt;Startops2,0,IF(Assm!$F$29=0,VLOOKUP($A28,Annex10_Gas_Table,'Annex 10-Gas'!$P$270),VLOOKUP($A28,Annex12_Gas_Table,'Annex 12-Gas'!$V$270)))</f>
        <v>0</v>
      </c>
      <c r="I28" s="1486">
        <f t="shared" ca="1" si="4"/>
        <v>2218.0894634453866</v>
      </c>
      <c r="J28" s="1486">
        <f t="shared" ca="1" si="5"/>
        <v>0</v>
      </c>
      <c r="K28" s="1480">
        <f ca="1">IF(Assm!$L$74=1,VLOOKUP($A28,Curves_Table,Escalation!$D$291),Exch)</f>
        <v>1.0649999999999999</v>
      </c>
      <c r="L28" s="335">
        <f t="shared" ca="1" si="6"/>
        <v>0</v>
      </c>
      <c r="M28" s="698" t="str">
        <f t="shared" ca="1" si="1"/>
        <v xml:space="preserve"> </v>
      </c>
    </row>
    <row r="29" spans="1:13">
      <c r="A29" s="672">
        <f t="shared" ca="1" si="2"/>
        <v>36770</v>
      </c>
      <c r="C29" s="691">
        <f ca="1">MAX('Plant Operations'!H29,'Plant Operations'!L29)</f>
        <v>0.92</v>
      </c>
      <c r="D29" s="820">
        <f t="shared" ca="1" si="3"/>
        <v>0.92</v>
      </c>
      <c r="E29" s="820">
        <f t="shared" ca="1" si="0"/>
        <v>0</v>
      </c>
      <c r="F29" s="1485">
        <f ca="1">IF(Assm!$F$29=0,'Annex 10-Plant'!G29,'Annex 12-Plant'!T29)</f>
        <v>2214.9500977984189</v>
      </c>
      <c r="G29" s="1486">
        <f ca="1">IF($A29&lt;Startops2,0,IF(Assm!$F$29=0,VLOOKUP($A29,Annex10_Gas_Table,'Annex 10-Gas'!$G$270),VLOOKUP($A29,Annex12_Gas_Table,'Annex 12-Gas'!$J$270)))</f>
        <v>0</v>
      </c>
      <c r="H29" s="1487">
        <f ca="1">IF($A29&lt;Startops2,0,IF(Assm!$F$29=0,VLOOKUP($A29,Annex10_Gas_Table,'Annex 10-Gas'!$P$270),VLOOKUP($A29,Annex12_Gas_Table,'Annex 12-Gas'!$V$270)))</f>
        <v>0</v>
      </c>
      <c r="I29" s="1486">
        <f t="shared" ca="1" si="4"/>
        <v>2214.9500977984189</v>
      </c>
      <c r="J29" s="1486">
        <f t="shared" ca="1" si="5"/>
        <v>0</v>
      </c>
      <c r="K29" s="1480">
        <f ca="1">IF(Assm!$L$74=1,VLOOKUP($A29,Curves_Table,Escalation!$D$291),Exch)</f>
        <v>1.0649999999999999</v>
      </c>
      <c r="L29" s="335">
        <f t="shared" ca="1" si="6"/>
        <v>0</v>
      </c>
      <c r="M29" s="698" t="str">
        <f t="shared" ca="1" si="1"/>
        <v xml:space="preserve"> </v>
      </c>
    </row>
    <row r="30" spans="1:13">
      <c r="A30" s="672">
        <f t="shared" ca="1" si="2"/>
        <v>36800</v>
      </c>
      <c r="C30" s="691">
        <f ca="1">MAX('Plant Operations'!H30,'Plant Operations'!L30)</f>
        <v>0.92</v>
      </c>
      <c r="D30" s="820">
        <f t="shared" ca="1" si="3"/>
        <v>0.92</v>
      </c>
      <c r="E30" s="820">
        <f t="shared" ca="1" si="0"/>
        <v>0</v>
      </c>
      <c r="F30" s="1485">
        <f ca="1">IF(Assm!$F$29=0,'Annex 10-Plant'!G30,'Annex 12-Plant'!T30)</f>
        <v>2211.8181475308415</v>
      </c>
      <c r="G30" s="1486">
        <f ca="1">IF($A30&lt;Startops2,0,IF(Assm!$F$29=0,VLOOKUP($A30,Annex10_Gas_Table,'Annex 10-Gas'!$G$270),VLOOKUP($A30,Annex12_Gas_Table,'Annex 12-Gas'!$J$270)))</f>
        <v>0</v>
      </c>
      <c r="H30" s="1487">
        <f ca="1">IF($A30&lt;Startops2,0,IF(Assm!$F$29=0,VLOOKUP($A30,Annex10_Gas_Table,'Annex 10-Gas'!$P$270),VLOOKUP($A30,Annex12_Gas_Table,'Annex 12-Gas'!$V$270)))</f>
        <v>0</v>
      </c>
      <c r="I30" s="1486">
        <f t="shared" ca="1" si="4"/>
        <v>2211.8181475308415</v>
      </c>
      <c r="J30" s="1486">
        <f t="shared" ca="1" si="5"/>
        <v>0</v>
      </c>
      <c r="K30" s="1480">
        <f ca="1">IF(Assm!$L$74=1,VLOOKUP($A30,Curves_Table,Escalation!$D$291),Exch)</f>
        <v>1.0649999999999999</v>
      </c>
      <c r="L30" s="335">
        <f t="shared" ca="1" si="6"/>
        <v>0</v>
      </c>
      <c r="M30" s="698" t="str">
        <f t="shared" ca="1" si="1"/>
        <v xml:space="preserve"> </v>
      </c>
    </row>
    <row r="31" spans="1:13">
      <c r="A31" s="672">
        <f t="shared" ca="1" si="2"/>
        <v>36831</v>
      </c>
      <c r="C31" s="691">
        <f ca="1">MAX('Plant Operations'!H31,'Plant Operations'!L31)</f>
        <v>0.92</v>
      </c>
      <c r="D31" s="820">
        <f t="shared" ca="1" si="3"/>
        <v>0.92</v>
      </c>
      <c r="E31" s="820">
        <f t="shared" ca="1" si="0"/>
        <v>0</v>
      </c>
      <c r="F31" s="1485">
        <f ca="1">IF(Assm!$F$29=0,'Annex 10-Plant'!G31,'Annex 12-Plant'!T31)</f>
        <v>2208.6935951270634</v>
      </c>
      <c r="G31" s="1486">
        <f ca="1">IF($A31&lt;Startops2,0,IF(Assm!$F$29=0,VLOOKUP($A31,Annex10_Gas_Table,'Annex 10-Gas'!$G$270),VLOOKUP($A31,Annex12_Gas_Table,'Annex 12-Gas'!$J$270)))</f>
        <v>0</v>
      </c>
      <c r="H31" s="1487">
        <f ca="1">IF($A31&lt;Startops2,0,IF(Assm!$F$29=0,VLOOKUP($A31,Annex10_Gas_Table,'Annex 10-Gas'!$P$270),VLOOKUP($A31,Annex12_Gas_Table,'Annex 12-Gas'!$V$270)))</f>
        <v>0</v>
      </c>
      <c r="I31" s="1486">
        <f t="shared" ca="1" si="4"/>
        <v>2208.6935951270634</v>
      </c>
      <c r="J31" s="1486">
        <f t="shared" ca="1" si="5"/>
        <v>0</v>
      </c>
      <c r="K31" s="1480">
        <f ca="1">IF(Assm!$L$74=1,VLOOKUP($A31,Curves_Table,Escalation!$D$291),Exch)</f>
        <v>1.0649999999999999</v>
      </c>
      <c r="L31" s="335">
        <f t="shared" ca="1" si="6"/>
        <v>0</v>
      </c>
      <c r="M31" s="698" t="str">
        <f t="shared" ca="1" si="1"/>
        <v xml:space="preserve"> </v>
      </c>
    </row>
    <row r="32" spans="1:13">
      <c r="A32" s="672">
        <f t="shared" ca="1" si="2"/>
        <v>36861</v>
      </c>
      <c r="C32" s="691">
        <f ca="1">MAX('Plant Operations'!H32,'Plant Operations'!L32)</f>
        <v>0.92</v>
      </c>
      <c r="D32" s="820">
        <f t="shared" ca="1" si="3"/>
        <v>0.92</v>
      </c>
      <c r="E32" s="820">
        <f t="shared" ca="1" si="0"/>
        <v>0</v>
      </c>
      <c r="F32" s="1485">
        <f ca="1">IF(Assm!$F$29=0,'Annex 10-Plant'!G32,'Annex 12-Plant'!T32)</f>
        <v>2247.1383525701904</v>
      </c>
      <c r="G32" s="1486">
        <f ca="1">IF($A32&lt;Startops2,0,IF(Assm!$F$29=0,VLOOKUP($A32,Annex10_Gas_Table,'Annex 10-Gas'!$G$270),VLOOKUP($A32,Annex12_Gas_Table,'Annex 12-Gas'!$J$270)))</f>
        <v>0</v>
      </c>
      <c r="H32" s="1487">
        <f ca="1">IF($A32&lt;Startops2,0,IF(Assm!$F$29=0,VLOOKUP($A32,Annex10_Gas_Table,'Annex 10-Gas'!$P$270),VLOOKUP($A32,Annex12_Gas_Table,'Annex 12-Gas'!$V$270)))</f>
        <v>0</v>
      </c>
      <c r="I32" s="1486">
        <f t="shared" ca="1" si="4"/>
        <v>2247.1383525701904</v>
      </c>
      <c r="J32" s="1486">
        <f t="shared" ca="1" si="5"/>
        <v>0</v>
      </c>
      <c r="K32" s="1480">
        <f ca="1">IF(Assm!$L$74=1,VLOOKUP($A32,Curves_Table,Escalation!$D$291),Exch)</f>
        <v>1.0649999999999999</v>
      </c>
      <c r="L32" s="335">
        <f t="shared" ca="1" si="6"/>
        <v>0</v>
      </c>
      <c r="M32" s="698">
        <f t="shared" ca="1" si="1"/>
        <v>-4.3647888758468624E-13</v>
      </c>
    </row>
    <row r="33" spans="1:13">
      <c r="A33" s="672">
        <f t="shared" ca="1" si="2"/>
        <v>36892</v>
      </c>
      <c r="C33" s="691">
        <f ca="1">MAX('Plant Operations'!H33,'Plant Operations'!L33)</f>
        <v>0.92</v>
      </c>
      <c r="D33" s="820">
        <f t="shared" ca="1" si="3"/>
        <v>0.92</v>
      </c>
      <c r="E33" s="820">
        <f t="shared" ca="1" si="0"/>
        <v>0</v>
      </c>
      <c r="F33" s="1485">
        <f ca="1">IF(Assm!$F$29=0,'Annex 10-Plant'!G33,'Annex 12-Plant'!T33)</f>
        <v>2258.3968336934345</v>
      </c>
      <c r="G33" s="1486">
        <f ca="1">IF($A33&lt;Startops2,0,IF(Assm!$F$29=0,VLOOKUP($A33,Annex10_Gas_Table,'Annex 10-Gas'!$G$270),VLOOKUP($A33,Annex12_Gas_Table,'Annex 12-Gas'!$J$270)))</f>
        <v>0</v>
      </c>
      <c r="H33" s="1487">
        <f ca="1">IF($A33&lt;Startops2,0,IF(Assm!$F$29=0,VLOOKUP($A33,Annex10_Gas_Table,'Annex 10-Gas'!$P$270),VLOOKUP($A33,Annex12_Gas_Table,'Annex 12-Gas'!$V$270)))</f>
        <v>0</v>
      </c>
      <c r="I33" s="1486">
        <f t="shared" ca="1" si="4"/>
        <v>2258.3968336934345</v>
      </c>
      <c r="J33" s="1486">
        <f t="shared" ca="1" si="5"/>
        <v>0</v>
      </c>
      <c r="K33" s="1480">
        <f ca="1">IF(Assm!$L$74=1,VLOOKUP($A33,Curves_Table,Escalation!$D$291),Exch)</f>
        <v>1.0649999999999999</v>
      </c>
      <c r="L33" s="335">
        <f t="shared" ca="1" si="6"/>
        <v>0</v>
      </c>
      <c r="M33" s="698" t="str">
        <f t="shared" ca="1" si="1"/>
        <v xml:space="preserve"> </v>
      </c>
    </row>
    <row r="34" spans="1:13">
      <c r="A34" s="672">
        <f t="shared" ca="1" si="2"/>
        <v>36923</v>
      </c>
      <c r="C34" s="691">
        <f ca="1">MAX('Plant Operations'!H34,'Plant Operations'!L34)</f>
        <v>0.92</v>
      </c>
      <c r="D34" s="820">
        <f t="shared" ca="1" si="3"/>
        <v>0.92</v>
      </c>
      <c r="E34" s="820">
        <f t="shared" ca="1" si="0"/>
        <v>0</v>
      </c>
      <c r="F34" s="1485">
        <f ca="1">IF(Assm!$F$29=0,'Annex 10-Plant'!G34,'Annex 12-Plant'!T34)</f>
        <v>2269.7486443944345</v>
      </c>
      <c r="G34" s="1486">
        <f ca="1">IF($A34&lt;Startops2,0,IF(Assm!$F$29=0,VLOOKUP($A34,Annex10_Gas_Table,'Annex 10-Gas'!$G$270),VLOOKUP($A34,Annex12_Gas_Table,'Annex 12-Gas'!$J$270)))</f>
        <v>0</v>
      </c>
      <c r="H34" s="1487">
        <f ca="1">IF($A34&lt;Startops2,0,IF(Assm!$F$29=0,VLOOKUP($A34,Annex10_Gas_Table,'Annex 10-Gas'!$P$270),VLOOKUP($A34,Annex12_Gas_Table,'Annex 12-Gas'!$V$270)))</f>
        <v>0</v>
      </c>
      <c r="I34" s="1486">
        <f t="shared" ca="1" si="4"/>
        <v>2269.7486443944345</v>
      </c>
      <c r="J34" s="1486">
        <f t="shared" ca="1" si="5"/>
        <v>0</v>
      </c>
      <c r="K34" s="1480">
        <f ca="1">IF(Assm!$L$74=1,VLOOKUP($A34,Curves_Table,Escalation!$D$291),Exch)</f>
        <v>1.0649999999999999</v>
      </c>
      <c r="L34" s="335">
        <f t="shared" ca="1" si="6"/>
        <v>0</v>
      </c>
      <c r="M34" s="698" t="str">
        <f t="shared" ca="1" si="1"/>
        <v xml:space="preserve"> </v>
      </c>
    </row>
    <row r="35" spans="1:13">
      <c r="A35" s="672">
        <f t="shared" ca="1" si="2"/>
        <v>36951</v>
      </c>
      <c r="C35" s="691">
        <f ca="1">MAX('Plant Operations'!H35,'Plant Operations'!L35)</f>
        <v>0.92</v>
      </c>
      <c r="D35" s="820">
        <f t="shared" ca="1" si="3"/>
        <v>0.92</v>
      </c>
      <c r="E35" s="820">
        <f t="shared" ca="1" si="0"/>
        <v>0</v>
      </c>
      <c r="F35" s="1485">
        <f ca="1">IF(Assm!$F$29=0,'Annex 10-Plant'!G35,'Annex 12-Plant'!T35)</f>
        <v>2753.6223189479515</v>
      </c>
      <c r="G35" s="1486">
        <f ca="1">IF($A35&lt;Startops2,0,IF(Assm!$F$29=0,VLOOKUP($A35,Annex10_Gas_Table,'Annex 10-Gas'!$G$270),VLOOKUP($A35,Annex12_Gas_Table,'Annex 12-Gas'!$J$270)))</f>
        <v>3221.2167903661348</v>
      </c>
      <c r="H35" s="1487">
        <f ca="1">IF($A35&lt;Startops2,0,IF(Assm!$F$29=0,VLOOKUP($A35,Annex10_Gas_Table,'Annex 10-Gas'!$P$270),VLOOKUP($A35,Annex12_Gas_Table,'Annex 12-Gas'!$V$270)))</f>
        <v>2472.73370695413</v>
      </c>
      <c r="I35" s="1486">
        <f t="shared" ca="1" si="4"/>
        <v>8447.5728162682171</v>
      </c>
      <c r="J35" s="1486">
        <f t="shared" ca="1" si="5"/>
        <v>0</v>
      </c>
      <c r="K35" s="1480">
        <f ca="1">IF(Assm!$L$74=1,VLOOKUP($A35,Curves_Table,Escalation!$D$291),Exch)</f>
        <v>1.0649999999999999</v>
      </c>
      <c r="L35" s="335">
        <f t="shared" ca="1" si="6"/>
        <v>0</v>
      </c>
      <c r="M35" s="698" t="str">
        <f t="shared" ca="1" si="1"/>
        <v xml:space="preserve"> </v>
      </c>
    </row>
    <row r="36" spans="1:13">
      <c r="A36" s="672">
        <f t="shared" ca="1" si="2"/>
        <v>36982</v>
      </c>
      <c r="C36" s="691">
        <f ca="1">MAX('Plant Operations'!H36,'Plant Operations'!L36)</f>
        <v>1</v>
      </c>
      <c r="D36" s="820">
        <f t="shared" ca="1" si="3"/>
        <v>0.92</v>
      </c>
      <c r="E36" s="820">
        <f t="shared" ca="1" si="0"/>
        <v>0</v>
      </c>
      <c r="F36" s="1485">
        <f ca="1">IF(Assm!$F$29=0,'Annex 10-Plant'!G36,'Annex 12-Plant'!T36)</f>
        <v>4400.9592827133738</v>
      </c>
      <c r="G36" s="1486">
        <f ca="1">IF($A36&lt;Startops2,0,IF(Assm!$F$29=0,VLOOKUP($A36,Annex10_Gas_Table,'Annex 10-Gas'!$G$270),VLOOKUP($A36,Annex12_Gas_Table,'Annex 12-Gas'!$J$270)))</f>
        <v>5148.5887858097403</v>
      </c>
      <c r="H36" s="1487">
        <f ca="1">IF($A36&lt;Startops2,0,IF(Assm!$F$29=0,VLOOKUP($A36,Annex10_Gas_Table,'Annex 10-Gas'!$P$270),VLOOKUP($A36,Annex12_Gas_Table,'Annex 12-Gas'!$V$270)))</f>
        <v>3952.2608574478231</v>
      </c>
      <c r="I36" s="1486">
        <f t="shared" ca="1" si="4"/>
        <v>13501.808925970938</v>
      </c>
      <c r="J36" s="1486">
        <f t="shared" ca="1" si="5"/>
        <v>0</v>
      </c>
      <c r="K36" s="1480">
        <f ca="1">IF(Assm!$L$74=1,VLOOKUP($A36,Curves_Table,Escalation!$D$291),Exch)</f>
        <v>1.0649999999999999</v>
      </c>
      <c r="L36" s="335">
        <f t="shared" ca="1" si="6"/>
        <v>0</v>
      </c>
      <c r="M36" s="698" t="str">
        <f t="shared" ca="1" si="1"/>
        <v xml:space="preserve"> </v>
      </c>
    </row>
    <row r="37" spans="1:13">
      <c r="A37" s="672">
        <f t="shared" ca="1" si="2"/>
        <v>37012</v>
      </c>
      <c r="C37" s="691">
        <f ca="1">MAX('Plant Operations'!H37,'Plant Operations'!L37)</f>
        <v>1</v>
      </c>
      <c r="D37" s="820">
        <f t="shared" ca="1" si="3"/>
        <v>0.92666666666666675</v>
      </c>
      <c r="E37" s="820">
        <f t="shared" ca="1" si="0"/>
        <v>0</v>
      </c>
      <c r="F37" s="1485">
        <f ca="1">IF(Assm!$F$29=0,'Annex 10-Plant'!G37,'Annex 12-Plant'!T37)</f>
        <v>4585.6496479191028</v>
      </c>
      <c r="G37" s="1486">
        <f ca="1">IF($A37&lt;Startops2,0,IF(Assm!$F$29=0,VLOOKUP($A37,Annex10_Gas_Table,'Annex 10-Gas'!$G$270),VLOOKUP($A37,Annex12_Gas_Table,'Annex 12-Gas'!$J$270)))</f>
        <v>5362.8350722917912</v>
      </c>
      <c r="H37" s="1487">
        <f ca="1">IF($A37&lt;Startops2,0,IF(Assm!$F$29=0,VLOOKUP($A37,Annex10_Gas_Table,'Annex 10-Gas'!$P$270),VLOOKUP($A37,Annex12_Gas_Table,'Annex 12-Gas'!$V$270)))</f>
        <v>4086.9475419563851</v>
      </c>
      <c r="I37" s="1486">
        <f t="shared" ca="1" si="4"/>
        <v>14035.43226216728</v>
      </c>
      <c r="J37" s="1486">
        <f t="shared" ca="1" si="5"/>
        <v>0</v>
      </c>
      <c r="K37" s="1480">
        <f ca="1">IF(Assm!$L$74=1,VLOOKUP($A37,Curves_Table,Escalation!$D$291),Exch)</f>
        <v>1.0649999999999999</v>
      </c>
      <c r="L37" s="335">
        <f t="shared" ca="1" si="6"/>
        <v>0</v>
      </c>
      <c r="M37" s="698" t="str">
        <f t="shared" ca="1" si="1"/>
        <v xml:space="preserve"> </v>
      </c>
    </row>
    <row r="38" spans="1:13">
      <c r="A38" s="672">
        <f t="shared" ca="1" si="2"/>
        <v>37043</v>
      </c>
      <c r="C38" s="691">
        <f ca="1">MAX('Plant Operations'!H38,'Plant Operations'!L38)</f>
        <v>1</v>
      </c>
      <c r="D38" s="820">
        <f t="shared" ca="1" si="3"/>
        <v>0.93333333333333346</v>
      </c>
      <c r="E38" s="820">
        <f t="shared" ca="1" si="0"/>
        <v>0</v>
      </c>
      <c r="F38" s="1485">
        <f ca="1">IF(Assm!$F$29=0,'Annex 10-Plant'!G38,'Annex 12-Plant'!T38)</f>
        <v>4623.3836876287787</v>
      </c>
      <c r="G38" s="1486">
        <f ca="1">IF($A38&lt;Startops2,0,IF(Assm!$F$29=0,VLOOKUP($A38,Annex10_Gas_Table,'Annex 10-Gas'!$G$270),VLOOKUP($A38,Annex12_Gas_Table,'Annex 12-Gas'!$J$270)))</f>
        <v>5407.2914361116618</v>
      </c>
      <c r="H38" s="1487">
        <f ca="1">IF($A38&lt;Startops2,0,IF(Assm!$F$29=0,VLOOKUP($A38,Annex10_Gas_Table,'Annex 10-Gas'!$P$270),VLOOKUP($A38,Annex12_Gas_Table,'Annex 12-Gas'!$V$270)))</f>
        <v>4120.8271642809059</v>
      </c>
      <c r="I38" s="1486">
        <f t="shared" ca="1" si="4"/>
        <v>14151.502288021347</v>
      </c>
      <c r="J38" s="1486">
        <f t="shared" ca="1" si="5"/>
        <v>0</v>
      </c>
      <c r="K38" s="1480">
        <f ca="1">IF(Assm!$L$74=1,VLOOKUP($A38,Curves_Table,Escalation!$D$291),Exch)</f>
        <v>1.0649999999999999</v>
      </c>
      <c r="L38" s="335">
        <f t="shared" ca="1" si="6"/>
        <v>0</v>
      </c>
      <c r="M38" s="698" t="str">
        <f t="shared" ca="1" si="1"/>
        <v xml:space="preserve"> </v>
      </c>
    </row>
    <row r="39" spans="1:13">
      <c r="A39" s="672">
        <f t="shared" ca="1" si="2"/>
        <v>37073</v>
      </c>
      <c r="C39" s="691">
        <f ca="1">MAX('Plant Operations'!H39,'Plant Operations'!L39)</f>
        <v>1</v>
      </c>
      <c r="D39" s="820">
        <f t="shared" ca="1" si="3"/>
        <v>0.94000000000000006</v>
      </c>
      <c r="E39" s="820">
        <f t="shared" ca="1" si="0"/>
        <v>0</v>
      </c>
      <c r="F39" s="1485">
        <f ca="1">IF(Assm!$F$29=0,'Annex 10-Plant'!G39,'Annex 12-Plant'!T39)</f>
        <v>4661.4305316994132</v>
      </c>
      <c r="G39" s="1486">
        <f ca="1">IF($A39&lt;Startops2,0,IF(Assm!$F$29=0,VLOOKUP($A39,Annex10_Gas_Table,'Annex 10-Gas'!$G$270),VLOOKUP($A39,Annex12_Gas_Table,'Annex 12-Gas'!$J$270)))</f>
        <v>5452.1163304303163</v>
      </c>
      <c r="H39" s="1487">
        <f ca="1">IF($A39&lt;Startops2,0,IF(Assm!$F$29=0,VLOOKUP($A39,Annex10_Gas_Table,'Annex 10-Gas'!$P$270),VLOOKUP($A39,Annex12_Gas_Table,'Annex 12-Gas'!$V$270)))</f>
        <v>4154.9876389523351</v>
      </c>
      <c r="I39" s="1486">
        <f t="shared" ca="1" si="4"/>
        <v>14268.534501082064</v>
      </c>
      <c r="J39" s="1486">
        <f t="shared" ca="1" si="5"/>
        <v>0</v>
      </c>
      <c r="K39" s="1480">
        <f ca="1">IF(Assm!$L$74=1,VLOOKUP($A39,Curves_Table,Escalation!$D$291),Exch)</f>
        <v>1.0649999999999999</v>
      </c>
      <c r="L39" s="335">
        <f t="shared" ca="1" si="6"/>
        <v>0</v>
      </c>
      <c r="M39" s="698" t="str">
        <f t="shared" ca="1" si="1"/>
        <v xml:space="preserve"> </v>
      </c>
    </row>
    <row r="40" spans="1:13">
      <c r="A40" s="672">
        <f t="shared" ca="1" si="2"/>
        <v>37104</v>
      </c>
      <c r="C40" s="691">
        <f ca="1">MAX('Plant Operations'!H40,'Plant Operations'!L40)</f>
        <v>0.92</v>
      </c>
      <c r="D40" s="820">
        <f t="shared" ca="1" si="3"/>
        <v>0.94666666666666666</v>
      </c>
      <c r="E40" s="820">
        <f t="shared" ca="1" si="0"/>
        <v>0</v>
      </c>
      <c r="F40" s="1485">
        <f ca="1">IF(Assm!$F$29=0,'Annex 10-Plant'!G40,'Annex 12-Plant'!T40)</f>
        <v>7996.2673545534262</v>
      </c>
      <c r="G40" s="1486">
        <f ca="1">IF($A40&lt;Startops2,0,IF(Assm!$F$29=0,VLOOKUP($A40,Annex10_Gas_Table,'Annex 10-Gas'!$G$270),VLOOKUP($A40,Annex12_Gas_Table,'Annex 12-Gas'!$J$270)))</f>
        <v>11097.304746575903</v>
      </c>
      <c r="H40" s="1487">
        <f ca="1">IF($A40&lt;Startops2,0,IF(Assm!$F$29=0,VLOOKUP($A40,Annex10_Gas_Table,'Annex 10-Gas'!$P$270),VLOOKUP($A40,Annex12_Gas_Table,'Annex 12-Gas'!$V$270)))</f>
        <v>8457.1130279002537</v>
      </c>
      <c r="I40" s="1486">
        <f t="shared" ca="1" si="4"/>
        <v>27550.685129029582</v>
      </c>
      <c r="J40" s="1486">
        <f t="shared" ca="1" si="5"/>
        <v>0</v>
      </c>
      <c r="K40" s="1480">
        <f ca="1">IF(Assm!$L$74=1,VLOOKUP($A40,Curves_Table,Escalation!$D$291),Exch)</f>
        <v>1.0649999999999999</v>
      </c>
      <c r="L40" s="335">
        <f t="shared" ca="1" si="6"/>
        <v>0</v>
      </c>
      <c r="M40" s="698" t="str">
        <f t="shared" ca="1" si="1"/>
        <v xml:space="preserve"> </v>
      </c>
    </row>
    <row r="41" spans="1:13">
      <c r="A41" s="672">
        <f t="shared" ca="1" si="2"/>
        <v>37135</v>
      </c>
      <c r="C41" s="691">
        <f ca="1">MAX('Plant Operations'!H41,'Plant Operations'!L41)</f>
        <v>0.92</v>
      </c>
      <c r="D41" s="820">
        <f t="shared" ca="1" si="3"/>
        <v>0.94666666666666677</v>
      </c>
      <c r="E41" s="820">
        <f t="shared" ca="1" si="0"/>
        <v>0</v>
      </c>
      <c r="F41" s="1485">
        <f ca="1">IF(Assm!$F$29=0,'Annex 10-Plant'!G41,'Annex 12-Plant'!T41)</f>
        <v>8759.6733937322588</v>
      </c>
      <c r="G41" s="1486">
        <f ca="1">IF($A41&lt;Startops2,0,IF(Assm!$F$29=0,VLOOKUP($A41,Annex10_Gas_Table,'Annex 10-Gas'!$G$270),VLOOKUP($A41,Annex12_Gas_Table,'Annex 12-Gas'!$J$270)))</f>
        <v>7136.2959586913375</v>
      </c>
      <c r="H41" s="1487">
        <f ca="1">IF($A41&lt;Startops2,0,IF(Assm!$F$29=0,VLOOKUP($A41,Annex10_Gas_Table,'Annex 10-Gas'!$P$270),VLOOKUP($A41,Annex12_Gas_Table,'Annex 12-Gas'!$V$270)))</f>
        <v>5788.8121634983854</v>
      </c>
      <c r="I41" s="1486">
        <f t="shared" ca="1" si="4"/>
        <v>21684.781515921983</v>
      </c>
      <c r="J41" s="1486">
        <f t="shared" ca="1" si="5"/>
        <v>0</v>
      </c>
      <c r="K41" s="1480">
        <f ca="1">IF(Assm!$L$74=1,VLOOKUP($A41,Curves_Table,Escalation!$D$291),Exch)</f>
        <v>1.0649999999999999</v>
      </c>
      <c r="L41" s="335">
        <f t="shared" ca="1" si="6"/>
        <v>0</v>
      </c>
      <c r="M41" s="698" t="str">
        <f t="shared" ca="1" si="1"/>
        <v xml:space="preserve"> </v>
      </c>
    </row>
    <row r="42" spans="1:13">
      <c r="A42" s="672">
        <f t="shared" ca="1" si="2"/>
        <v>37165</v>
      </c>
      <c r="C42" s="691">
        <f ca="1">MAX('Plant Operations'!H42,'Plant Operations'!L42)</f>
        <v>0.92</v>
      </c>
      <c r="D42" s="820">
        <f t="shared" ca="1" si="3"/>
        <v>0.94666666666666666</v>
      </c>
      <c r="E42" s="820">
        <f t="shared" ca="1" si="0"/>
        <v>0</v>
      </c>
      <c r="F42" s="1485">
        <f ca="1">IF(Assm!$F$29=0,'Annex 10-Plant'!G42,'Annex 12-Plant'!T42)</f>
        <v>8829.93789701887</v>
      </c>
      <c r="G42" s="1486">
        <f ca="1">IF($A42&lt;Startops2,0,IF(Assm!$F$29=0,VLOOKUP($A42,Annex10_Gas_Table,'Annex 10-Gas'!$G$270),VLOOKUP($A42,Annex12_Gas_Table,'Annex 12-Gas'!$J$270)))</f>
        <v>7195.4538043437269</v>
      </c>
      <c r="H42" s="1487">
        <f ca="1">IF($A42&lt;Startops2,0,IF(Assm!$F$29=0,VLOOKUP($A42,Annex10_Gas_Table,'Annex 10-Gas'!$P$270),VLOOKUP($A42,Annex12_Gas_Table,'Annex 12-Gas'!$V$270)))</f>
        <v>5836.7997551651579</v>
      </c>
      <c r="I42" s="1486">
        <f t="shared" ca="1" si="4"/>
        <v>21862.191456527755</v>
      </c>
      <c r="J42" s="1486">
        <f t="shared" ca="1" si="5"/>
        <v>0</v>
      </c>
      <c r="K42" s="1480">
        <f ca="1">IF(Assm!$L$74=1,VLOOKUP($A42,Curves_Table,Escalation!$D$291),Exch)</f>
        <v>1.0649999999999999</v>
      </c>
      <c r="L42" s="335">
        <f t="shared" ca="1" si="6"/>
        <v>0</v>
      </c>
      <c r="M42" s="698" t="str">
        <f t="shared" ca="1" si="1"/>
        <v xml:space="preserve"> </v>
      </c>
    </row>
    <row r="43" spans="1:13">
      <c r="A43" s="672">
        <f t="shared" ca="1" si="2"/>
        <v>37196</v>
      </c>
      <c r="C43" s="691">
        <f ca="1">MAX('Plant Operations'!H43,'Plant Operations'!L43)</f>
        <v>0.92</v>
      </c>
      <c r="D43" s="820">
        <f t="shared" ca="1" si="3"/>
        <v>0.94666666666666677</v>
      </c>
      <c r="E43" s="820">
        <f t="shared" ca="1" si="0"/>
        <v>0</v>
      </c>
      <c r="F43" s="1485">
        <f ca="1">IF(Assm!$F$29=0,'Annex 10-Plant'!G43,'Annex 12-Plant'!T43)</f>
        <v>8900.7848728744921</v>
      </c>
      <c r="G43" s="1486">
        <f ca="1">IF($A43&lt;Startops2,0,IF(Assm!$F$29=0,VLOOKUP($A43,Annex10_Gas_Table,'Annex 10-Gas'!$G$270),VLOOKUP($A43,Annex12_Gas_Table,'Annex 12-Gas'!$J$270)))</f>
        <v>7255.1020515605242</v>
      </c>
      <c r="H43" s="1487">
        <f ca="1">IF($A43&lt;Startops2,0,IF(Assm!$F$29=0,VLOOKUP($A43,Annex10_Gas_Table,'Annex 10-Gas'!$P$270),VLOOKUP($A43,Annex12_Gas_Table,'Annex 12-Gas'!$V$270)))</f>
        <v>5885.1851501962346</v>
      </c>
      <c r="I43" s="1486">
        <f t="shared" ca="1" si="4"/>
        <v>22041.072074631251</v>
      </c>
      <c r="J43" s="1486">
        <f t="shared" ca="1" si="5"/>
        <v>0</v>
      </c>
      <c r="K43" s="1480">
        <f ca="1">IF(Assm!$L$74=1,VLOOKUP($A43,Curves_Table,Escalation!$D$291),Exch)</f>
        <v>1.0649999999999999</v>
      </c>
      <c r="L43" s="335">
        <f t="shared" ca="1" si="6"/>
        <v>0</v>
      </c>
      <c r="M43" s="698" t="str">
        <f t="shared" ca="1" si="1"/>
        <v xml:space="preserve"> </v>
      </c>
    </row>
    <row r="44" spans="1:13">
      <c r="A44" s="672">
        <f t="shared" ca="1" si="2"/>
        <v>37226</v>
      </c>
      <c r="C44" s="691">
        <f ca="1">MAX('Plant Operations'!H44,'Plant Operations'!L44)</f>
        <v>0.92</v>
      </c>
      <c r="D44" s="820">
        <f t="shared" ca="1" si="3"/>
        <v>0.94666666666666666</v>
      </c>
      <c r="E44" s="820">
        <f t="shared" ca="1" si="0"/>
        <v>0</v>
      </c>
      <c r="F44" s="1485">
        <f ca="1">IF(Assm!$F$29=0,'Annex 10-Plant'!G44,'Annex 12-Plant'!T44)</f>
        <v>8972.219149829567</v>
      </c>
      <c r="G44" s="1486">
        <f ca="1">IF($A44&lt;Startops2,0,IF(Assm!$F$29=0,VLOOKUP($A44,Annex10_Gas_Table,'Annex 10-Gas'!$G$270),VLOOKUP($A44,Annex12_Gas_Table,'Annex 12-Gas'!$J$270)))</f>
        <v>7315.2447656299692</v>
      </c>
      <c r="H44" s="1487">
        <f ca="1">IF($A44&lt;Startops2,0,IF(Assm!$F$29=0,VLOOKUP($A44,Annex10_Gas_Table,'Annex 10-Gas'!$P$270),VLOOKUP($A44,Annex12_Gas_Table,'Annex 12-Gas'!$V$270)))</f>
        <v>5933.9716462673505</v>
      </c>
      <c r="I44" s="1486">
        <f t="shared" ca="1" si="4"/>
        <v>22221.435561726885</v>
      </c>
      <c r="J44" s="1486">
        <f t="shared" ca="1" si="5"/>
        <v>0</v>
      </c>
      <c r="K44" s="1480">
        <f ca="1">IF(Assm!$L$74=1,VLOOKUP($A44,Curves_Table,Escalation!$D$291),Exch)</f>
        <v>1.0649999999999999</v>
      </c>
      <c r="L44" s="335">
        <f t="shared" ca="1" si="6"/>
        <v>0</v>
      </c>
      <c r="M44" s="698">
        <f t="shared" ca="1" si="1"/>
        <v>0</v>
      </c>
    </row>
    <row r="45" spans="1:13">
      <c r="A45" s="672">
        <f t="shared" ca="1" si="2"/>
        <v>37257</v>
      </c>
      <c r="C45" s="691">
        <f ca="1">MAX('Plant Operations'!H45,'Plant Operations'!L45)</f>
        <v>0.92</v>
      </c>
      <c r="D45" s="820">
        <f t="shared" ca="1" si="3"/>
        <v>0.94666666666666666</v>
      </c>
      <c r="E45" s="820">
        <f t="shared" ca="1" si="0"/>
        <v>0</v>
      </c>
      <c r="F45" s="1485">
        <f ca="1">IF(Assm!$F$29=0,'Annex 10-Plant'!G45,'Annex 12-Plant'!T45)</f>
        <v>9019.1782103964415</v>
      </c>
      <c r="G45" s="1486">
        <f ca="1">IF($A45&lt;Startops2,0,IF(Assm!$F$29=0,VLOOKUP($A45,Annex10_Gas_Table,'Annex 10-Gas'!$G$270),VLOOKUP($A45,Annex12_Gas_Table,'Annex 12-Gas'!$J$270)))</f>
        <v>7354.7810425131165</v>
      </c>
      <c r="H45" s="1487">
        <f ca="1">IF($A45&lt;Startops2,0,IF(Assm!$F$29=0,VLOOKUP($A45,Annex10_Gas_Table,'Annex 10-Gas'!$P$270),VLOOKUP($A45,Annex12_Gas_Table,'Annex 12-Gas'!$V$270)))</f>
        <v>5966.0426368548215</v>
      </c>
      <c r="I45" s="1486">
        <f t="shared" ca="1" si="4"/>
        <v>22340.001889764379</v>
      </c>
      <c r="J45" s="1486">
        <f t="shared" ca="1" si="5"/>
        <v>0</v>
      </c>
      <c r="K45" s="1480">
        <f ca="1">IF(Assm!$L$74=1,VLOOKUP($A45,Curves_Table,Escalation!$D$291),Exch)</f>
        <v>1.0649999999999999</v>
      </c>
      <c r="L45" s="335">
        <f t="shared" ca="1" si="6"/>
        <v>0</v>
      </c>
      <c r="M45" s="698" t="str">
        <f t="shared" ca="1" si="1"/>
        <v xml:space="preserve"> </v>
      </c>
    </row>
    <row r="46" spans="1:13">
      <c r="A46" s="672">
        <f t="shared" ca="1" si="2"/>
        <v>37288</v>
      </c>
      <c r="C46" s="691">
        <f ca="1">MAX('Plant Operations'!H46,'Plant Operations'!L46)</f>
        <v>0.92</v>
      </c>
      <c r="D46" s="820">
        <f t="shared" ca="1" si="3"/>
        <v>0.94666666666666666</v>
      </c>
      <c r="E46" s="820">
        <f t="shared" ca="1" si="0"/>
        <v>0</v>
      </c>
      <c r="F46" s="1485">
        <f ca="1">IF(Assm!$F$29=0,'Annex 10-Plant'!G46,'Annex 12-Plant'!T46)</f>
        <v>9066.3910678600987</v>
      </c>
      <c r="G46" s="1486">
        <f ca="1">IF($A46&lt;Startops2,0,IF(Assm!$F$29=0,VLOOKUP($A46,Annex10_Gas_Table,'Annex 10-Gas'!$G$270),VLOOKUP($A46,Annex12_Gas_Table,'Annex 12-Gas'!$J$270)))</f>
        <v>7394.5309988068448</v>
      </c>
      <c r="H46" s="1487">
        <f ca="1">IF($A46&lt;Startops2,0,IF(Assm!$F$29=0,VLOOKUP($A46,Annex10_Gas_Table,'Annex 10-Gas'!$P$270),VLOOKUP($A46,Annex12_Gas_Table,'Annex 12-Gas'!$V$270)))</f>
        <v>5998.286959655281</v>
      </c>
      <c r="I46" s="1486">
        <f t="shared" ca="1" si="4"/>
        <v>22459.209026322224</v>
      </c>
      <c r="J46" s="1486">
        <f t="shared" ca="1" si="5"/>
        <v>0</v>
      </c>
      <c r="K46" s="1480">
        <f ca="1">IF(Assm!$L$74=1,VLOOKUP($A46,Curves_Table,Escalation!$D$291),Exch)</f>
        <v>1.0649999999999999</v>
      </c>
      <c r="L46" s="335">
        <f t="shared" ca="1" si="6"/>
        <v>0</v>
      </c>
      <c r="M46" s="698" t="str">
        <f t="shared" ca="1" si="1"/>
        <v xml:space="preserve"> </v>
      </c>
    </row>
    <row r="47" spans="1:13">
      <c r="A47" s="672">
        <f t="shared" ca="1" si="2"/>
        <v>37316</v>
      </c>
      <c r="C47" s="691">
        <f ca="1">MAX('Plant Operations'!H47,'Plant Operations'!L47)</f>
        <v>0.92</v>
      </c>
      <c r="D47" s="820">
        <f t="shared" ca="1" si="3"/>
        <v>0.94666666666666666</v>
      </c>
      <c r="E47" s="820">
        <f t="shared" ca="1" si="0"/>
        <v>0</v>
      </c>
      <c r="F47" s="1485">
        <f ca="1">IF(Assm!$F$29=0,'Annex 10-Plant'!G47,'Annex 12-Plant'!T47)</f>
        <v>9113.8590939018341</v>
      </c>
      <c r="G47" s="1486">
        <f ca="1">IF($A47&lt;Startops2,0,IF(Assm!$F$29=0,VLOOKUP($A47,Annex10_Gas_Table,'Annex 10-Gas'!$G$270),VLOOKUP($A47,Annex12_Gas_Table,'Annex 12-Gas'!$J$270)))</f>
        <v>7434.4957893718065</v>
      </c>
      <c r="H47" s="1487">
        <f ca="1">IF($A47&lt;Startops2,0,IF(Assm!$F$29=0,VLOOKUP($A47,Annex10_Gas_Table,'Annex 10-Gas'!$P$270),VLOOKUP($A47,Annex12_Gas_Table,'Annex 12-Gas'!$V$270)))</f>
        <v>6030.7055514672375</v>
      </c>
      <c r="I47" s="1486">
        <f t="shared" ca="1" si="4"/>
        <v>22579.060434740881</v>
      </c>
      <c r="J47" s="1486">
        <f t="shared" ca="1" si="5"/>
        <v>0</v>
      </c>
      <c r="K47" s="1480">
        <f ca="1">IF(Assm!$L$74=1,VLOOKUP($A47,Curves_Table,Escalation!$D$291),Exch)</f>
        <v>1.0649999999999999</v>
      </c>
      <c r="L47" s="335">
        <f t="shared" ca="1" si="6"/>
        <v>0</v>
      </c>
      <c r="M47" s="698" t="str">
        <f t="shared" ca="1" si="1"/>
        <v xml:space="preserve"> </v>
      </c>
    </row>
    <row r="48" spans="1:13">
      <c r="A48" s="672">
        <f t="shared" ca="1" si="2"/>
        <v>37347</v>
      </c>
      <c r="C48" s="691">
        <f ca="1">MAX('Plant Operations'!H48,'Plant Operations'!L48)</f>
        <v>0.92</v>
      </c>
      <c r="D48" s="820">
        <f t="shared" ca="1" si="3"/>
        <v>0.94666666666666666</v>
      </c>
      <c r="E48" s="820">
        <f t="shared" ca="1" si="0"/>
        <v>0</v>
      </c>
      <c r="F48" s="1485">
        <f ca="1">IF(Assm!$F$29=0,'Annex 10-Plant'!G48,'Annex 12-Plant'!T48)</f>
        <v>9161.5836676163835</v>
      </c>
      <c r="G48" s="1486">
        <f ca="1">IF($A48&lt;Startops2,0,IF(Assm!$F$29=0,VLOOKUP($A48,Annex10_Gas_Table,'Annex 10-Gas'!$G$270),VLOOKUP($A48,Annex12_Gas_Table,'Annex 12-Gas'!$J$270)))</f>
        <v>7474.6765753102627</v>
      </c>
      <c r="H48" s="1487">
        <f ca="1">IF($A48&lt;Startops2,0,IF(Assm!$F$29=0,VLOOKUP($A48,Annex10_Gas_Table,'Annex 10-Gas'!$P$270),VLOOKUP($A48,Annex12_Gas_Table,'Annex 12-Gas'!$V$270)))</f>
        <v>6063.2993541522528</v>
      </c>
      <c r="I48" s="1486">
        <f t="shared" ca="1" si="4"/>
        <v>22699.5595970789</v>
      </c>
      <c r="J48" s="1486">
        <f t="shared" ca="1" si="5"/>
        <v>0</v>
      </c>
      <c r="K48" s="1480">
        <f ca="1">IF(Assm!$L$74=1,VLOOKUP($A48,Curves_Table,Escalation!$D$291),Exch)</f>
        <v>1.0649999999999999</v>
      </c>
      <c r="L48" s="335">
        <f t="shared" ca="1" si="6"/>
        <v>0</v>
      </c>
      <c r="M48" s="698" t="str">
        <f t="shared" ca="1" si="1"/>
        <v xml:space="preserve"> </v>
      </c>
    </row>
    <row r="49" spans="1:13">
      <c r="A49" s="672">
        <f t="shared" ca="1" si="2"/>
        <v>37377</v>
      </c>
      <c r="C49" s="691">
        <f ca="1">MAX('Plant Operations'!H49,'Plant Operations'!L49)</f>
        <v>0.92</v>
      </c>
      <c r="D49" s="820">
        <f t="shared" ca="1" si="3"/>
        <v>0.94</v>
      </c>
      <c r="E49" s="820">
        <f t="shared" ca="1" si="0"/>
        <v>0</v>
      </c>
      <c r="F49" s="1485">
        <f ca="1">IF(Assm!$F$29=0,'Annex 10-Plant'!G49,'Annex 12-Plant'!T49)</f>
        <v>9487.8350069901408</v>
      </c>
      <c r="G49" s="1486">
        <f ca="1">IF($A49&lt;Startops2,0,IF(Assm!$F$29=0,VLOOKUP($A49,Annex10_Gas_Table,'Annex 10-Gas'!$G$270),VLOOKUP($A49,Annex12_Gas_Table,'Annex 12-Gas'!$J$270)))</f>
        <v>7747.3458110761903</v>
      </c>
      <c r="H49" s="1487">
        <f ca="1">IF($A49&lt;Startops2,0,IF(Assm!$F$29=0,VLOOKUP($A49,Annex10_Gas_Table,'Annex 10-Gas'!$P$270),VLOOKUP($A49,Annex12_Gas_Table,'Annex 12-Gas'!$V$270)))</f>
        <v>6222.854112178421</v>
      </c>
      <c r="I49" s="1486">
        <f t="shared" ca="1" si="4"/>
        <v>23458.034930244754</v>
      </c>
      <c r="J49" s="1486">
        <f t="shared" ca="1" si="5"/>
        <v>0</v>
      </c>
      <c r="K49" s="1480">
        <f ca="1">IF(Assm!$L$74=1,VLOOKUP($A49,Curves_Table,Escalation!$D$291),Exch)</f>
        <v>1.0649999999999999</v>
      </c>
      <c r="L49" s="335">
        <f t="shared" ca="1" si="6"/>
        <v>0</v>
      </c>
      <c r="M49" s="698" t="str">
        <f t="shared" ca="1" si="1"/>
        <v xml:space="preserve"> </v>
      </c>
    </row>
    <row r="50" spans="1:13">
      <c r="A50" s="672">
        <f t="shared" ca="1" si="2"/>
        <v>37408</v>
      </c>
      <c r="C50" s="691">
        <f ca="1">MAX('Plant Operations'!H50,'Plant Operations'!L50)</f>
        <v>0.92</v>
      </c>
      <c r="D50" s="820">
        <f t="shared" ca="1" si="3"/>
        <v>0.93333333333333324</v>
      </c>
      <c r="E50" s="820">
        <f t="shared" ca="1" si="0"/>
        <v>0</v>
      </c>
      <c r="F50" s="1485">
        <f ca="1">IF(Assm!$F$29=0,'Annex 10-Plant'!G50,'Annex 12-Plant'!T50)</f>
        <v>9537.8241466943418</v>
      </c>
      <c r="G50" s="1486">
        <f ca="1">IF($A50&lt;Startops2,0,IF(Assm!$F$29=0,VLOOKUP($A50,Annex10_Gas_Table,'Annex 10-Gas'!$G$270),VLOOKUP($A50,Annex12_Gas_Table,'Annex 12-Gas'!$J$270)))</f>
        <v>7789.2174392868201</v>
      </c>
      <c r="H50" s="1487">
        <f ca="1">IF($A50&lt;Startops2,0,IF(Assm!$F$29=0,VLOOKUP($A50,Annex10_Gas_Table,'Annex 10-Gas'!$P$270),VLOOKUP($A50,Annex12_Gas_Table,'Annex 12-Gas'!$V$270)))</f>
        <v>6256.4864089866514</v>
      </c>
      <c r="I50" s="1486">
        <f t="shared" ca="1" si="4"/>
        <v>23583.527994967815</v>
      </c>
      <c r="J50" s="1486">
        <f t="shared" ca="1" si="5"/>
        <v>0</v>
      </c>
      <c r="K50" s="1480">
        <f ca="1">IF(Assm!$L$74=1,VLOOKUP($A50,Curves_Table,Escalation!$D$291),Exch)</f>
        <v>1.0649999999999999</v>
      </c>
      <c r="L50" s="335">
        <f t="shared" ca="1" si="6"/>
        <v>0</v>
      </c>
      <c r="M50" s="698" t="str">
        <f t="shared" ca="1" si="1"/>
        <v xml:space="preserve"> </v>
      </c>
    </row>
    <row r="51" spans="1:13">
      <c r="A51" s="672">
        <f t="shared" ca="1" si="2"/>
        <v>37438</v>
      </c>
      <c r="C51" s="691">
        <f ca="1">MAX('Plant Operations'!H51,'Plant Operations'!L51)</f>
        <v>0.92</v>
      </c>
      <c r="D51" s="820">
        <f t="shared" ca="1" si="3"/>
        <v>0.92666666666666664</v>
      </c>
      <c r="E51" s="820">
        <f t="shared" ca="1" si="0"/>
        <v>0</v>
      </c>
      <c r="F51" s="1485">
        <f ca="1">IF(Assm!$F$29=0,'Annex 10-Plant'!G51,'Annex 12-Plant'!T51)</f>
        <v>9588.08345978738</v>
      </c>
      <c r="G51" s="1486">
        <f ca="1">IF($A51&lt;Startops2,0,IF(Assm!$F$29=0,VLOOKUP($A51,Annex10_Gas_Table,'Annex 10-Gas'!$G$270),VLOOKUP($A51,Annex12_Gas_Table,'Annex 12-Gas'!$J$270)))</f>
        <v>7831.3153686451906</v>
      </c>
      <c r="H51" s="1487">
        <f ca="1">IF($A51&lt;Startops2,0,IF(Assm!$F$29=0,VLOOKUP($A51,Annex10_Gas_Table,'Annex 10-Gas'!$P$270),VLOOKUP($A51,Annex12_Gas_Table,'Annex 12-Gas'!$V$270)))</f>
        <v>6290.3004763085728</v>
      </c>
      <c r="I51" s="1486">
        <f t="shared" ca="1" si="4"/>
        <v>23709.699304741145</v>
      </c>
      <c r="J51" s="1486">
        <f t="shared" ca="1" si="5"/>
        <v>0</v>
      </c>
      <c r="K51" s="1480">
        <f ca="1">IF(Assm!$L$74=1,VLOOKUP($A51,Curves_Table,Escalation!$D$291),Exch)</f>
        <v>1.0649999999999999</v>
      </c>
      <c r="L51" s="335">
        <f t="shared" ca="1" si="6"/>
        <v>0</v>
      </c>
      <c r="M51" s="698" t="str">
        <f t="shared" ca="1" si="1"/>
        <v xml:space="preserve"> </v>
      </c>
    </row>
    <row r="52" spans="1:13">
      <c r="A52" s="672">
        <f t="shared" ca="1" si="2"/>
        <v>37469</v>
      </c>
      <c r="C52" s="691">
        <f ca="1">MAX('Plant Operations'!H52,'Plant Operations'!L52)</f>
        <v>0.92</v>
      </c>
      <c r="D52" s="820">
        <f t="shared" ca="1" si="3"/>
        <v>0.92</v>
      </c>
      <c r="E52" s="820">
        <f t="shared" ca="1" si="0"/>
        <v>0</v>
      </c>
      <c r="F52" s="1485">
        <f ca="1">IF(Assm!$F$29=0,'Annex 10-Plant'!G52,'Annex 12-Plant'!T52)</f>
        <v>9638.6144064596137</v>
      </c>
      <c r="G52" s="1486">
        <f ca="1">IF($A52&lt;Startops2,0,IF(Assm!$F$29=0,VLOOKUP($A52,Annex10_Gas_Table,'Annex 10-Gas'!$G$270),VLOOKUP($A52,Annex12_Gas_Table,'Annex 12-Gas'!$J$270)))</f>
        <v>7873.6408222279224</v>
      </c>
      <c r="H52" s="1487">
        <f ca="1">IF($A52&lt;Startops2,0,IF(Assm!$F$29=0,VLOOKUP($A52,Annex10_Gas_Table,'Annex 10-Gas'!$P$270),VLOOKUP($A52,Annex12_Gas_Table,'Annex 12-Gas'!$V$270)))</f>
        <v>6324.2972965486824</v>
      </c>
      <c r="I52" s="1486">
        <f t="shared" ca="1" si="4"/>
        <v>23836.55252523622</v>
      </c>
      <c r="J52" s="1486">
        <f t="shared" ca="1" si="5"/>
        <v>0</v>
      </c>
      <c r="K52" s="1480">
        <f ca="1">IF(Assm!$L$74=1,VLOOKUP($A52,Curves_Table,Escalation!$D$291),Exch)</f>
        <v>1.0649999999999999</v>
      </c>
      <c r="L52" s="335">
        <f t="shared" ca="1" si="6"/>
        <v>0</v>
      </c>
      <c r="M52" s="698" t="str">
        <f t="shared" ca="1" si="1"/>
        <v xml:space="preserve"> </v>
      </c>
    </row>
    <row r="53" spans="1:13">
      <c r="A53" s="672">
        <f t="shared" ca="1" si="2"/>
        <v>37500</v>
      </c>
      <c r="C53" s="691">
        <f ca="1">MAX('Plant Operations'!H53,'Plant Operations'!L53)</f>
        <v>0.92</v>
      </c>
      <c r="D53" s="820">
        <f t="shared" ca="1" si="3"/>
        <v>0.92</v>
      </c>
      <c r="E53" s="820">
        <f t="shared" ca="1" si="0"/>
        <v>0</v>
      </c>
      <c r="F53" s="1485">
        <f ca="1">IF(Assm!$F$29=0,'Annex 10-Plant'!G53,'Annex 12-Plant'!T53)</f>
        <v>9689.4184547932164</v>
      </c>
      <c r="G53" s="1486">
        <f ca="1">IF($A53&lt;Startops2,0,IF(Assm!$F$29=0,VLOOKUP($A53,Annex10_Gas_Table,'Annex 10-Gas'!$G$270),VLOOKUP($A53,Annex12_Gas_Table,'Annex 12-Gas'!$J$270)))</f>
        <v>7916.1950297219291</v>
      </c>
      <c r="H53" s="1487">
        <f ca="1">IF($A53&lt;Startops2,0,IF(Assm!$F$29=0,VLOOKUP($A53,Annex10_Gas_Table,'Annex 10-Gas'!$P$270),VLOOKUP($A53,Annex12_Gas_Table,'Annex 12-Gas'!$V$270)))</f>
        <v>6358.4778574210241</v>
      </c>
      <c r="I53" s="1486">
        <f t="shared" ca="1" si="4"/>
        <v>23964.091341936171</v>
      </c>
      <c r="J53" s="1486">
        <f t="shared" ca="1" si="5"/>
        <v>0</v>
      </c>
      <c r="K53" s="1480">
        <f ca="1">IF(Assm!$L$74=1,VLOOKUP($A53,Curves_Table,Escalation!$D$291),Exch)</f>
        <v>1.0649999999999999</v>
      </c>
      <c r="L53" s="335">
        <f t="shared" ca="1" si="6"/>
        <v>0</v>
      </c>
      <c r="M53" s="698" t="str">
        <f t="shared" ca="1" si="1"/>
        <v xml:space="preserve"> </v>
      </c>
    </row>
    <row r="54" spans="1:13">
      <c r="A54" s="672">
        <f t="shared" ca="1" si="2"/>
        <v>37530</v>
      </c>
      <c r="C54" s="691">
        <f ca="1">MAX('Plant Operations'!H54,'Plant Operations'!L54)</f>
        <v>0.92</v>
      </c>
      <c r="D54" s="820">
        <f t="shared" ca="1" si="3"/>
        <v>0.92</v>
      </c>
      <c r="E54" s="820">
        <f t="shared" ca="1" si="0"/>
        <v>0</v>
      </c>
      <c r="F54" s="1485">
        <f ca="1">IF(Assm!$F$29=0,'Annex 10-Plant'!G54,'Annex 12-Plant'!T54)</f>
        <v>9740.497080804811</v>
      </c>
      <c r="G54" s="1486">
        <f ca="1">IF($A54&lt;Startops2,0,IF(Assm!$F$29=0,VLOOKUP($A54,Annex10_Gas_Table,'Annex 10-Gas'!$G$270),VLOOKUP($A54,Annex12_Gas_Table,'Annex 12-Gas'!$J$270)))</f>
        <v>7958.9792274601323</v>
      </c>
      <c r="H54" s="1487">
        <f ca="1">IF($A54&lt;Startops2,0,IF(Assm!$F$29=0,VLOOKUP($A54,Annex10_Gas_Table,'Annex 10-Gas'!$P$270),VLOOKUP($A54,Annex12_Gas_Table,'Annex 12-Gas'!$V$270)))</f>
        <v>6392.8431519778769</v>
      </c>
      <c r="I54" s="1486">
        <f t="shared" ca="1" si="4"/>
        <v>24092.319460242819</v>
      </c>
      <c r="J54" s="1486">
        <f t="shared" ca="1" si="5"/>
        <v>0</v>
      </c>
      <c r="K54" s="1480">
        <f ca="1">IF(Assm!$L$74=1,VLOOKUP($A54,Curves_Table,Escalation!$D$291),Exch)</f>
        <v>1.0649999999999999</v>
      </c>
      <c r="L54" s="335">
        <f t="shared" ca="1" si="6"/>
        <v>0</v>
      </c>
      <c r="M54" s="698" t="str">
        <f t="shared" ca="1" si="1"/>
        <v xml:space="preserve"> </v>
      </c>
    </row>
    <row r="55" spans="1:13">
      <c r="A55" s="672">
        <f t="shared" ca="1" si="2"/>
        <v>37561</v>
      </c>
      <c r="C55" s="691">
        <f ca="1">MAX('Plant Operations'!H55,'Plant Operations'!L55)</f>
        <v>0.92</v>
      </c>
      <c r="D55" s="820">
        <f t="shared" ca="1" si="3"/>
        <v>0.92</v>
      </c>
      <c r="E55" s="820">
        <f t="shared" ca="1" si="0"/>
        <v>0</v>
      </c>
      <c r="F55" s="1485">
        <f ca="1">IF(Assm!$F$29=0,'Annex 10-Plant'!G55,'Annex 12-Plant'!T55)</f>
        <v>9791.8517684883718</v>
      </c>
      <c r="G55" s="1486">
        <f ca="1">IF($A55&lt;Startops2,0,IF(Assm!$F$29=0,VLOOKUP($A55,Annex10_Gas_Table,'Annex 10-Gas'!$G$270),VLOOKUP($A55,Annex12_Gas_Table,'Annex 12-Gas'!$J$270)))</f>
        <v>8001.9946584574</v>
      </c>
      <c r="H55" s="1487">
        <f ca="1">IF($A55&lt;Startops2,0,IF(Assm!$F$29=0,VLOOKUP($A55,Annex10_Gas_Table,'Annex 10-Gas'!$P$270),VLOOKUP($A55,Annex12_Gas_Table,'Annex 12-Gas'!$V$270)))</f>
        <v>6427.3941786386185</v>
      </c>
      <c r="I55" s="1486">
        <f t="shared" ca="1" si="4"/>
        <v>24221.240605584389</v>
      </c>
      <c r="J55" s="1486">
        <f t="shared" ca="1" si="5"/>
        <v>0</v>
      </c>
      <c r="K55" s="1480">
        <f ca="1">IF(Assm!$L$74=1,VLOOKUP($A55,Curves_Table,Escalation!$D$291),Exch)</f>
        <v>1.0649999999999999</v>
      </c>
      <c r="L55" s="335">
        <f t="shared" ca="1" si="6"/>
        <v>0</v>
      </c>
      <c r="M55" s="698" t="str">
        <f t="shared" ca="1" si="1"/>
        <v xml:space="preserve"> </v>
      </c>
    </row>
    <row r="56" spans="1:13">
      <c r="A56" s="672">
        <f t="shared" ca="1" si="2"/>
        <v>37591</v>
      </c>
      <c r="C56" s="691">
        <f ca="1">MAX('Plant Operations'!H56,'Plant Operations'!L56)</f>
        <v>0.92</v>
      </c>
      <c r="D56" s="820">
        <f t="shared" ca="1" si="3"/>
        <v>0.92</v>
      </c>
      <c r="E56" s="820">
        <f t="shared" ca="1" si="0"/>
        <v>0</v>
      </c>
      <c r="F56" s="1485">
        <f ca="1">IF(Assm!$F$29=0,'Annex 10-Plant'!G56,'Annex 12-Plant'!T56)</f>
        <v>9843.4840098583081</v>
      </c>
      <c r="G56" s="1486">
        <f ca="1">IF($A56&lt;Startops2,0,IF(Assm!$F$29=0,VLOOKUP($A56,Annex10_Gas_Table,'Annex 10-Gas'!$G$270),VLOOKUP($A56,Annex12_Gas_Table,'Annex 12-Gas'!$J$270)))</f>
        <v>8045.2425724466411</v>
      </c>
      <c r="H56" s="1487">
        <f ca="1">IF($A56&lt;Startops2,0,IF(Assm!$F$29=0,VLOOKUP($A56,Annex10_Gas_Table,'Annex 10-Gas'!$P$270),VLOOKUP($A56,Annex12_Gas_Table,'Annex 12-Gas'!$V$270)))</f>
        <v>6462.1319412187177</v>
      </c>
      <c r="I56" s="1486">
        <f t="shared" ca="1" si="4"/>
        <v>24350.858523523668</v>
      </c>
      <c r="J56" s="1486">
        <f t="shared" ca="1" si="5"/>
        <v>0</v>
      </c>
      <c r="K56" s="1480">
        <f ca="1">IF(Assm!$L$74=1,VLOOKUP($A56,Curves_Table,Escalation!$D$291),Exch)</f>
        <v>1.0649999999999999</v>
      </c>
      <c r="L56" s="335">
        <f t="shared" ca="1" si="6"/>
        <v>0</v>
      </c>
      <c r="M56" s="698">
        <f t="shared" ca="1" si="1"/>
        <v>0</v>
      </c>
    </row>
    <row r="57" spans="1:13">
      <c r="A57" s="672">
        <f t="shared" ca="1" si="2"/>
        <v>37622</v>
      </c>
      <c r="C57" s="691">
        <f ca="1">MAX('Plant Operations'!H57,'Plant Operations'!L57)</f>
        <v>0.92</v>
      </c>
      <c r="D57" s="820">
        <f t="shared" ca="1" si="3"/>
        <v>0.92</v>
      </c>
      <c r="E57" s="820">
        <f t="shared" ca="1" si="0"/>
        <v>0</v>
      </c>
      <c r="F57" s="1485">
        <f ca="1">IF(Assm!$F$29=0,'Annex 10-Plant'!G57,'Annex 12-Plant'!T57)</f>
        <v>9870.9296726134999</v>
      </c>
      <c r="G57" s="1486">
        <f ca="1">IF($A57&lt;Startops2,0,IF(Assm!$F$29=0,VLOOKUP($A57,Annex10_Gas_Table,'Annex 10-Gas'!$G$270),VLOOKUP($A57,Annex12_Gas_Table,'Annex 12-Gas'!$J$270)))</f>
        <v>8068.2314575060727</v>
      </c>
      <c r="H57" s="1487">
        <f ca="1">IF($A57&lt;Startops2,0,IF(Assm!$F$29=0,VLOOKUP($A57,Annex10_Gas_Table,'Annex 10-Gas'!$P$270),VLOOKUP($A57,Annex12_Gas_Table,'Annex 12-Gas'!$V$270)))</f>
        <v>6480.5971654922932</v>
      </c>
      <c r="I57" s="1486">
        <f t="shared" ca="1" si="4"/>
        <v>24419.758295611868</v>
      </c>
      <c r="J57" s="1486">
        <f t="shared" ca="1" si="5"/>
        <v>0</v>
      </c>
      <c r="K57" s="1480">
        <f ca="1">IF(Assm!$L$74=1,VLOOKUP($A57,Curves_Table,Escalation!$D$291),Exch)</f>
        <v>1.0649999999999999</v>
      </c>
      <c r="L57" s="335">
        <f t="shared" ca="1" si="6"/>
        <v>0</v>
      </c>
      <c r="M57" s="698" t="str">
        <f t="shared" ca="1" si="1"/>
        <v xml:space="preserve"> </v>
      </c>
    </row>
    <row r="58" spans="1:13">
      <c r="A58" s="672">
        <f t="shared" ca="1" si="2"/>
        <v>37653</v>
      </c>
      <c r="C58" s="691">
        <f ca="1">MAX('Plant Operations'!H58,'Plant Operations'!L58)</f>
        <v>0.92</v>
      </c>
      <c r="D58" s="820">
        <f t="shared" ca="1" si="3"/>
        <v>0.92</v>
      </c>
      <c r="E58" s="820">
        <f t="shared" ca="1" si="0"/>
        <v>0</v>
      </c>
      <c r="F58" s="1485">
        <f ca="1">IF(Assm!$F$29=0,'Annex 10-Plant'!G58,'Annex 12-Plant'!T58)</f>
        <v>9898.453760000486</v>
      </c>
      <c r="G58" s="1486">
        <f ca="1">IF($A58&lt;Startops2,0,IF(Assm!$F$29=0,VLOOKUP($A58,Annex10_Gas_Table,'Annex 10-Gas'!$G$270),VLOOKUP($A58,Annex12_Gas_Table,'Annex 12-Gas'!$J$270)))</f>
        <v>8091.2860321741746</v>
      </c>
      <c r="H58" s="1487">
        <f ca="1">IF($A58&lt;Startops2,0,IF(Assm!$F$29=0,VLOOKUP($A58,Annex10_Gas_Table,'Annex 10-Gas'!$P$270),VLOOKUP($A58,Annex12_Gas_Table,'Annex 12-Gas'!$V$270)))</f>
        <v>6499.1151532362792</v>
      </c>
      <c r="I58" s="1486">
        <f t="shared" ca="1" si="4"/>
        <v>24488.854945410938</v>
      </c>
      <c r="J58" s="1486">
        <f t="shared" ca="1" si="5"/>
        <v>0</v>
      </c>
      <c r="K58" s="1480">
        <f ca="1">IF(Assm!$L$74=1,VLOOKUP($A58,Curves_Table,Escalation!$D$291),Exch)</f>
        <v>1.0649999999999999</v>
      </c>
      <c r="L58" s="335">
        <f t="shared" ca="1" si="6"/>
        <v>0</v>
      </c>
      <c r="M58" s="698" t="str">
        <f t="shared" ca="1" si="1"/>
        <v xml:space="preserve"> </v>
      </c>
    </row>
    <row r="59" spans="1:13">
      <c r="A59" s="672">
        <f t="shared" ca="1" si="2"/>
        <v>37681</v>
      </c>
      <c r="C59" s="691">
        <f ca="1">MAX('Plant Operations'!H59,'Plant Operations'!L59)</f>
        <v>0.92</v>
      </c>
      <c r="D59" s="820">
        <f t="shared" ca="1" si="3"/>
        <v>0.92</v>
      </c>
      <c r="E59" s="820">
        <f t="shared" ca="1" si="0"/>
        <v>0</v>
      </c>
      <c r="F59" s="1485">
        <f ca="1">IF(Assm!$F$29=0,'Annex 10-Plant'!G59,'Annex 12-Plant'!T59)</f>
        <v>9926.0564961137952</v>
      </c>
      <c r="G59" s="1486">
        <f ca="1">IF($A59&lt;Startops2,0,IF(Assm!$F$29=0,VLOOKUP($A59,Annex10_Gas_Table,'Annex 10-Gas'!$G$270),VLOOKUP($A59,Annex12_Gas_Table,'Annex 12-Gas'!$J$270)))</f>
        <v>8114.4064841557774</v>
      </c>
      <c r="H59" s="1487">
        <f ca="1">IF($A59&lt;Startops2,0,IF(Assm!$F$29=0,VLOOKUP($A59,Annex10_Gas_Table,'Annex 10-Gas'!$P$270),VLOOKUP($A59,Annex12_Gas_Table,'Annex 12-Gas'!$V$270)))</f>
        <v>6517.6860552196977</v>
      </c>
      <c r="I59" s="1486">
        <f t="shared" ca="1" si="4"/>
        <v>24558.149035489267</v>
      </c>
      <c r="J59" s="1486">
        <f t="shared" ca="1" si="5"/>
        <v>0</v>
      </c>
      <c r="K59" s="1480">
        <f ca="1">IF(Assm!$L$74=1,VLOOKUP($A59,Curves_Table,Escalation!$D$291),Exch)</f>
        <v>1.0649999999999999</v>
      </c>
      <c r="L59" s="335">
        <f t="shared" ca="1" si="6"/>
        <v>0</v>
      </c>
      <c r="M59" s="698" t="str">
        <f t="shared" ca="1" si="1"/>
        <v xml:space="preserve"> </v>
      </c>
    </row>
    <row r="60" spans="1:13">
      <c r="A60" s="672">
        <f t="shared" ca="1" si="2"/>
        <v>37712</v>
      </c>
      <c r="C60" s="691">
        <f ca="1">MAX('Plant Operations'!H60,'Plant Operations'!L60)</f>
        <v>0.92</v>
      </c>
      <c r="D60" s="820">
        <f t="shared" ca="1" si="3"/>
        <v>0.92</v>
      </c>
      <c r="E60" s="820">
        <f t="shared" ca="1" si="0"/>
        <v>0</v>
      </c>
      <c r="F60" s="1485">
        <f ca="1">IF(Assm!$F$29=0,'Annex 10-Plant'!G60,'Annex 12-Plant'!T60)</f>
        <v>9953.7381056883041</v>
      </c>
      <c r="G60" s="1486">
        <f ca="1">IF($A60&lt;Startops2,0,IF(Assm!$F$29=0,VLOOKUP($A60,Annex10_Gas_Table,'Annex 10-Gas'!$G$270),VLOOKUP($A60,Annex12_Gas_Table,'Annex 12-Gas'!$J$270)))</f>
        <v>8137.5930016920693</v>
      </c>
      <c r="H60" s="1487">
        <f ca="1">IF($A60&lt;Startops2,0,IF(Assm!$F$29=0,VLOOKUP($A60,Annex10_Gas_Table,'Annex 10-Gas'!$P$270),VLOOKUP($A60,Annex12_Gas_Table,'Annex 12-Gas'!$V$270)))</f>
        <v>6536.3100226423885</v>
      </c>
      <c r="I60" s="1486">
        <f t="shared" ca="1" si="4"/>
        <v>24627.641130022763</v>
      </c>
      <c r="J60" s="1486">
        <f t="shared" ca="1" si="5"/>
        <v>0</v>
      </c>
      <c r="K60" s="1480">
        <f ca="1">IF(Assm!$L$74=1,VLOOKUP($A60,Curves_Table,Escalation!$D$291),Exch)</f>
        <v>1.0649999999999999</v>
      </c>
      <c r="L60" s="335">
        <f t="shared" ca="1" si="6"/>
        <v>0</v>
      </c>
      <c r="M60" s="698" t="str">
        <f t="shared" ca="1" si="1"/>
        <v xml:space="preserve"> </v>
      </c>
    </row>
    <row r="61" spans="1:13">
      <c r="A61" s="672">
        <f t="shared" ca="1" si="2"/>
        <v>37742</v>
      </c>
      <c r="C61" s="691">
        <f ca="1">MAX('Plant Operations'!H61,'Plant Operations'!L61)</f>
        <v>0.92</v>
      </c>
      <c r="D61" s="820">
        <f t="shared" ca="1" si="3"/>
        <v>0.92</v>
      </c>
      <c r="E61" s="820">
        <f t="shared" ca="1" si="0"/>
        <v>0</v>
      </c>
      <c r="F61" s="1485">
        <f ca="1">IF(Assm!$F$29=0,'Annex 10-Plant'!G61,'Annex 12-Plant'!T61)</f>
        <v>11018.914120986266</v>
      </c>
      <c r="G61" s="1486">
        <f ca="1">IF($A61&lt;Startops2,0,IF(Assm!$F$29=0,VLOOKUP($A61,Annex10_Gas_Table,'Annex 10-Gas'!$G$270),VLOOKUP($A61,Annex12_Gas_Table,'Annex 12-Gas'!$J$270)))</f>
        <v>8415.6992342264784</v>
      </c>
      <c r="H61" s="1487">
        <f ca="1">IF($A61&lt;Startops2,0,IF(Assm!$F$29=0,VLOOKUP($A61,Annex10_Gas_Table,'Annex 10-Gas'!$P$270),VLOOKUP($A61,Annex12_Gas_Table,'Annex 12-Gas'!$V$270)))</f>
        <v>6736.7561241218009</v>
      </c>
      <c r="I61" s="1486">
        <f t="shared" ca="1" si="4"/>
        <v>26171.369479334542</v>
      </c>
      <c r="J61" s="1486">
        <f t="shared" ca="1" si="5"/>
        <v>0</v>
      </c>
      <c r="K61" s="1480">
        <f ca="1">IF(Assm!$L$74=1,VLOOKUP($A61,Curves_Table,Escalation!$D$291),Exch)</f>
        <v>1.0649999999999999</v>
      </c>
      <c r="L61" s="335">
        <f t="shared" ca="1" si="6"/>
        <v>0</v>
      </c>
      <c r="M61" s="698" t="str">
        <f t="shared" ca="1" si="1"/>
        <v xml:space="preserve"> </v>
      </c>
    </row>
    <row r="62" spans="1:13">
      <c r="A62" s="672">
        <f t="shared" ca="1" si="2"/>
        <v>37773</v>
      </c>
      <c r="C62" s="691">
        <f ca="1">MAX('Plant Operations'!H62,'Plant Operations'!L62)</f>
        <v>0.92</v>
      </c>
      <c r="D62" s="820">
        <f t="shared" ca="1" si="3"/>
        <v>0.92</v>
      </c>
      <c r="E62" s="820">
        <f t="shared" ca="1" si="0"/>
        <v>0</v>
      </c>
      <c r="F62" s="1485">
        <f ca="1">IF(Assm!$F$29=0,'Annex 10-Plant'!G62,'Annex 12-Plant'!T62)</f>
        <v>11049.824887627516</v>
      </c>
      <c r="G62" s="1486">
        <f ca="1">IF($A62&lt;Startops2,0,IF(Assm!$F$29=0,VLOOKUP($A62,Annex10_Gas_Table,'Annex 10-Gas'!$G$270),VLOOKUP($A62,Annex12_Gas_Table,'Annex 12-Gas'!$J$270)))</f>
        <v>8439.7466809812777</v>
      </c>
      <c r="H62" s="1487">
        <f ca="1">IF($A62&lt;Startops2,0,IF(Assm!$F$29=0,VLOOKUP($A62,Annex10_Gas_Table,'Annex 10-Gas'!$P$270),VLOOKUP($A62,Annex12_Gas_Table,'Annex 12-Gas'!$V$270)))</f>
        <v>6756.00607349452</v>
      </c>
      <c r="I62" s="1486">
        <f t="shared" ca="1" si="4"/>
        <v>26245.577642103315</v>
      </c>
      <c r="J62" s="1486">
        <f t="shared" ca="1" si="5"/>
        <v>0</v>
      </c>
      <c r="K62" s="1480">
        <f ca="1">IF(Assm!$L$74=1,VLOOKUP($A62,Curves_Table,Escalation!$D$291),Exch)</f>
        <v>1.0649999999999999</v>
      </c>
      <c r="L62" s="335">
        <f t="shared" ca="1" si="6"/>
        <v>0</v>
      </c>
      <c r="M62" s="698" t="str">
        <f t="shared" ca="1" si="1"/>
        <v xml:space="preserve"> </v>
      </c>
    </row>
    <row r="63" spans="1:13">
      <c r="A63" s="672">
        <f t="shared" ca="1" si="2"/>
        <v>37803</v>
      </c>
      <c r="C63" s="691">
        <f ca="1">MAX('Plant Operations'!H63,'Plant Operations'!L63)</f>
        <v>0.92</v>
      </c>
      <c r="D63" s="820">
        <f t="shared" ca="1" si="3"/>
        <v>0.92</v>
      </c>
      <c r="E63" s="820">
        <f t="shared" ca="1" si="0"/>
        <v>0</v>
      </c>
      <c r="F63" s="1485">
        <f ca="1">IF(Assm!$F$29=0,'Annex 10-Plant'!G63,'Annex 12-Plant'!T63)</f>
        <v>11080.823980264531</v>
      </c>
      <c r="G63" s="1486">
        <f ca="1">IF($A63&lt;Startops2,0,IF(Assm!$F$29=0,VLOOKUP($A63,Annex10_Gas_Table,'Annex 10-Gas'!$G$270),VLOOKUP($A63,Annex12_Gas_Table,'Annex 12-Gas'!$J$270)))</f>
        <v>8463.862842132743</v>
      </c>
      <c r="H63" s="1487">
        <f ca="1">IF($A63&lt;Startops2,0,IF(Assm!$F$29=0,VLOOKUP($A63,Annex10_Gas_Table,'Annex 10-Gas'!$P$270),VLOOKUP($A63,Annex12_Gas_Table,'Annex 12-Gas'!$V$270)))</f>
        <v>6775.3110286510346</v>
      </c>
      <c r="I63" s="1486">
        <f t="shared" ca="1" si="4"/>
        <v>26319.997851048309</v>
      </c>
      <c r="J63" s="1486">
        <f t="shared" ca="1" si="5"/>
        <v>0</v>
      </c>
      <c r="K63" s="1480">
        <f ca="1">IF(Assm!$L$74=1,VLOOKUP($A63,Curves_Table,Escalation!$D$291),Exch)</f>
        <v>1.0649999999999999</v>
      </c>
      <c r="L63" s="335">
        <f t="shared" ca="1" si="6"/>
        <v>0</v>
      </c>
      <c r="M63" s="698" t="str">
        <f t="shared" ca="1" si="1"/>
        <v xml:space="preserve"> </v>
      </c>
    </row>
    <row r="64" spans="1:13">
      <c r="A64" s="672">
        <f t="shared" ca="1" si="2"/>
        <v>37834</v>
      </c>
      <c r="C64" s="691">
        <f ca="1">MAX('Plant Operations'!H64,'Plant Operations'!L64)</f>
        <v>0.92</v>
      </c>
      <c r="D64" s="820">
        <f t="shared" ca="1" si="3"/>
        <v>0.92</v>
      </c>
      <c r="E64" s="820">
        <f t="shared" ca="1" si="0"/>
        <v>0</v>
      </c>
      <c r="F64" s="1485">
        <f ca="1">IF(Assm!$F$29=0,'Annex 10-Plant'!G64,'Annex 12-Plant'!T64)</f>
        <v>11111.911651284507</v>
      </c>
      <c r="G64" s="1486">
        <f ca="1">IF($A64&lt;Startops2,0,IF(Assm!$F$29=0,VLOOKUP($A64,Annex10_Gas_Table,'Annex 10-Gas'!$G$270),VLOOKUP($A64,Annex12_Gas_Table,'Annex 12-Gas'!$J$270)))</f>
        <v>8488.0479140288899</v>
      </c>
      <c r="H64" s="1487">
        <f ca="1">IF($A64&lt;Startops2,0,IF(Assm!$F$29=0,VLOOKUP($A64,Annex10_Gas_Table,'Annex 10-Gas'!$P$270),VLOOKUP($A64,Annex12_Gas_Table,'Annex 12-Gas'!$V$270)))</f>
        <v>6794.6711467676687</v>
      </c>
      <c r="I64" s="1486">
        <f t="shared" ca="1" si="4"/>
        <v>26394.630712081063</v>
      </c>
      <c r="J64" s="1486">
        <f t="shared" ca="1" si="5"/>
        <v>0</v>
      </c>
      <c r="K64" s="1480">
        <f ca="1">IF(Assm!$L$74=1,VLOOKUP($A64,Curves_Table,Escalation!$D$291),Exch)</f>
        <v>1.0649999999999999</v>
      </c>
      <c r="L64" s="335">
        <f t="shared" ca="1" si="6"/>
        <v>0</v>
      </c>
      <c r="M64" s="698" t="str">
        <f t="shared" ca="1" si="1"/>
        <v xml:space="preserve"> </v>
      </c>
    </row>
    <row r="65" spans="1:13">
      <c r="A65" s="672">
        <f t="shared" ca="1" si="2"/>
        <v>37865</v>
      </c>
      <c r="C65" s="691">
        <f ca="1">MAX('Plant Operations'!H65,'Plant Operations'!L65)</f>
        <v>0.92</v>
      </c>
      <c r="D65" s="820">
        <f t="shared" ca="1" si="3"/>
        <v>0.92</v>
      </c>
      <c r="E65" s="820">
        <f t="shared" ca="1" si="0"/>
        <v>0</v>
      </c>
      <c r="F65" s="1485">
        <f ca="1">IF(Assm!$F$29=0,'Annex 10-Plant'!G65,'Annex 12-Plant'!T65)</f>
        <v>11143.088153795814</v>
      </c>
      <c r="G65" s="1486">
        <f ca="1">IF($A65&lt;Startops2,0,IF(Assm!$F$29=0,VLOOKUP($A65,Annex10_Gas_Table,'Annex 10-Gas'!$G$270),VLOOKUP($A65,Annex12_Gas_Table,'Annex 12-Gas'!$J$270)))</f>
        <v>8512.3020935787808</v>
      </c>
      <c r="H65" s="1487">
        <f ca="1">IF($A65&lt;Startops2,0,IF(Assm!$F$29=0,VLOOKUP($A65,Annex10_Gas_Table,'Annex 10-Gas'!$P$270),VLOOKUP($A65,Annex12_Gas_Table,'Annex 12-Gas'!$V$270)))</f>
        <v>6814.0865854698659</v>
      </c>
      <c r="I65" s="1486">
        <f t="shared" ca="1" si="4"/>
        <v>26469.476832844462</v>
      </c>
      <c r="J65" s="1486">
        <f t="shared" ca="1" si="5"/>
        <v>0</v>
      </c>
      <c r="K65" s="1480">
        <f ca="1">IF(Assm!$L$74=1,VLOOKUP($A65,Curves_Table,Escalation!$D$291),Exch)</f>
        <v>1.0649999999999999</v>
      </c>
      <c r="L65" s="335">
        <f t="shared" ca="1" si="6"/>
        <v>0</v>
      </c>
      <c r="M65" s="698" t="str">
        <f t="shared" ca="1" si="1"/>
        <v xml:space="preserve"> </v>
      </c>
    </row>
    <row r="66" spans="1:13">
      <c r="A66" s="672">
        <f t="shared" ca="1" si="2"/>
        <v>37895</v>
      </c>
      <c r="C66" s="691">
        <f ca="1">MAX('Plant Operations'!H66,'Plant Operations'!L66)</f>
        <v>0.92</v>
      </c>
      <c r="D66" s="820">
        <f t="shared" ca="1" si="3"/>
        <v>0.92</v>
      </c>
      <c r="E66" s="820">
        <f t="shared" ca="1" si="0"/>
        <v>0</v>
      </c>
      <c r="F66" s="1485">
        <f ca="1">IF(Assm!$F$29=0,'Annex 10-Plant'!G66,'Annex 12-Plant'!T66)</f>
        <v>11174.353741630073</v>
      </c>
      <c r="G66" s="1486">
        <f ca="1">IF($A66&lt;Startops2,0,IF(Assm!$F$29=0,VLOOKUP($A66,Annex10_Gas_Table,'Annex 10-Gas'!$G$270),VLOOKUP($A66,Annex12_Gas_Table,'Annex 12-Gas'!$J$270)))</f>
        <v>8536.6255782541339</v>
      </c>
      <c r="H66" s="1487">
        <f ca="1">IF($A66&lt;Startops2,0,IF(Assm!$F$29=0,VLOOKUP($A66,Annex10_Gas_Table,'Annex 10-Gas'!$P$270),VLOOKUP($A66,Annex12_Gas_Table,'Annex 12-Gas'!$V$270)))</f>
        <v>6833.5575028334824</v>
      </c>
      <c r="I66" s="1486">
        <f t="shared" ca="1" si="4"/>
        <v>26544.536822717691</v>
      </c>
      <c r="J66" s="1486">
        <f t="shared" ca="1" si="5"/>
        <v>0</v>
      </c>
      <c r="K66" s="1480">
        <f ca="1">IF(Assm!$L$74=1,VLOOKUP($A66,Curves_Table,Escalation!$D$291),Exch)</f>
        <v>1.0649999999999999</v>
      </c>
      <c r="L66" s="335">
        <f t="shared" ca="1" si="6"/>
        <v>0</v>
      </c>
      <c r="M66" s="698" t="str">
        <f t="shared" ca="1" si="1"/>
        <v xml:space="preserve"> </v>
      </c>
    </row>
    <row r="67" spans="1:13">
      <c r="A67" s="672">
        <f t="shared" ca="1" si="2"/>
        <v>37926</v>
      </c>
      <c r="C67" s="691">
        <f ca="1">MAX('Plant Operations'!H67,'Plant Operations'!L67)</f>
        <v>0.92</v>
      </c>
      <c r="D67" s="820">
        <f t="shared" ca="1" si="3"/>
        <v>0.92</v>
      </c>
      <c r="E67" s="820">
        <f t="shared" ca="1" si="0"/>
        <v>0</v>
      </c>
      <c r="F67" s="1485">
        <f ca="1">IF(Assm!$F$29=0,'Annex 10-Plant'!G67,'Annex 12-Plant'!T67)</f>
        <v>11205.708669344214</v>
      </c>
      <c r="G67" s="1486">
        <f ca="1">IF($A67&lt;Startops2,0,IF(Assm!$F$29=0,VLOOKUP($A67,Annex10_Gas_Table,'Annex 10-Gas'!$G$270),VLOOKUP($A67,Annex12_Gas_Table,'Annex 12-Gas'!$J$270)))</f>
        <v>8561.018566090941</v>
      </c>
      <c r="H67" s="1487">
        <f ca="1">IF($A67&lt;Startops2,0,IF(Assm!$F$29=0,VLOOKUP($A67,Annex10_Gas_Table,'Annex 10-Gas'!$P$270),VLOOKUP($A67,Annex12_Gas_Table,'Annex 12-Gas'!$V$270)))</f>
        <v>6853.0840573860651</v>
      </c>
      <c r="I67" s="1486">
        <f t="shared" ca="1" si="4"/>
        <v>26619.811292821221</v>
      </c>
      <c r="J67" s="1486">
        <f t="shared" ca="1" si="5"/>
        <v>0</v>
      </c>
      <c r="K67" s="1480">
        <f ca="1">IF(Assm!$L$74=1,VLOOKUP($A67,Curves_Table,Escalation!$D$291),Exch)</f>
        <v>1.0649999999999999</v>
      </c>
      <c r="L67" s="335">
        <f t="shared" ca="1" si="6"/>
        <v>0</v>
      </c>
      <c r="M67" s="698" t="str">
        <f t="shared" ca="1" si="1"/>
        <v xml:space="preserve"> </v>
      </c>
    </row>
    <row r="68" spans="1:13">
      <c r="A68" s="672">
        <f t="shared" ca="1" si="2"/>
        <v>37956</v>
      </c>
      <c r="C68" s="691">
        <f ca="1">MAX('Plant Operations'!H68,'Plant Operations'!L68)</f>
        <v>0.92</v>
      </c>
      <c r="D68" s="820">
        <f t="shared" ca="1" si="3"/>
        <v>0.92</v>
      </c>
      <c r="E68" s="820">
        <f t="shared" ca="1" si="0"/>
        <v>0</v>
      </c>
      <c r="F68" s="1485">
        <f ca="1">IF(Assm!$F$29=0,'Annex 10-Plant'!G68,'Annex 12-Plant'!T68)</f>
        <v>11237.153192222555</v>
      </c>
      <c r="G68" s="1486">
        <f ca="1">IF($A68&lt;Startops2,0,IF(Assm!$F$29=0,VLOOKUP($A68,Annex10_Gas_Table,'Annex 10-Gas'!$G$270),VLOOKUP($A68,Annex12_Gas_Table,'Annex 12-Gas'!$J$270)))</f>
        <v>8585.4812556910729</v>
      </c>
      <c r="H68" s="1487">
        <f ca="1">IF($A68&lt;Startops2,0,IF(Assm!$F$29=0,VLOOKUP($A68,Annex10_Gas_Table,'Annex 10-Gas'!$P$270),VLOOKUP($A68,Annex12_Gas_Table,'Annex 12-Gas'!$V$270)))</f>
        <v>6872.6664081081453</v>
      </c>
      <c r="I68" s="1486">
        <f t="shared" ca="1" si="4"/>
        <v>26695.300856021771</v>
      </c>
      <c r="J68" s="1486">
        <f t="shared" ca="1" si="5"/>
        <v>0</v>
      </c>
      <c r="K68" s="1480">
        <f ca="1">IF(Assm!$L$74=1,VLOOKUP($A68,Curves_Table,Escalation!$D$291),Exch)</f>
        <v>1.0649999999999999</v>
      </c>
      <c r="L68" s="335">
        <f t="shared" ca="1" si="6"/>
        <v>0</v>
      </c>
      <c r="M68" s="698">
        <f t="shared" ca="1" si="1"/>
        <v>0</v>
      </c>
    </row>
    <row r="69" spans="1:13">
      <c r="A69" s="672">
        <f t="shared" ca="1" si="2"/>
        <v>37987</v>
      </c>
      <c r="C69" s="691">
        <f ca="1">MAX('Plant Operations'!H69,'Plant Operations'!L69)</f>
        <v>0.92</v>
      </c>
      <c r="D69" s="820">
        <f t="shared" ca="1" si="3"/>
        <v>0.92</v>
      </c>
      <c r="E69" s="820">
        <f t="shared" ca="1" si="0"/>
        <v>0</v>
      </c>
      <c r="F69" s="1485">
        <f ca="1">IF(Assm!$F$29=0,'Annex 10-Plant'!G69,'Annex 12-Plant'!T69)</f>
        <v>11265.672769313964</v>
      </c>
      <c r="G69" s="1486">
        <f ca="1">IF($A69&lt;Startops2,0,IF(Assm!$F$29=0,VLOOKUP($A69,Annex10_Gas_Table,'Annex 10-Gas'!$G$270),VLOOKUP($A69,Annex12_Gas_Table,'Annex 12-Gas'!$J$270)))</f>
        <v>8607.6684443666145</v>
      </c>
      <c r="H69" s="1487">
        <f ca="1">IF($A69&lt;Startops2,0,IF(Assm!$F$29=0,VLOOKUP($A69,Annex10_Gas_Table,'Annex 10-Gas'!$P$270),VLOOKUP($A69,Annex12_Gas_Table,'Annex 12-Gas'!$V$270)))</f>
        <v>6890.4272233448792</v>
      </c>
      <c r="I69" s="1486">
        <f t="shared" ca="1" si="4"/>
        <v>26763.768437025457</v>
      </c>
      <c r="J69" s="1486">
        <f t="shared" ca="1" si="5"/>
        <v>0</v>
      </c>
      <c r="K69" s="1480">
        <f ca="1">IF(Assm!$L$74=1,VLOOKUP($A69,Curves_Table,Escalation!$D$291),Exch)</f>
        <v>1.0649999999999999</v>
      </c>
      <c r="L69" s="335">
        <f t="shared" ca="1" si="6"/>
        <v>0</v>
      </c>
      <c r="M69" s="698" t="str">
        <f t="shared" ca="1" si="1"/>
        <v xml:space="preserve"> </v>
      </c>
    </row>
    <row r="70" spans="1:13">
      <c r="A70" s="672">
        <f t="shared" ca="1" si="2"/>
        <v>38018</v>
      </c>
      <c r="C70" s="691">
        <f ca="1">MAX('Plant Operations'!H70,'Plant Operations'!L70)</f>
        <v>0.92</v>
      </c>
      <c r="D70" s="820">
        <f t="shared" ca="1" si="3"/>
        <v>0.92</v>
      </c>
      <c r="E70" s="820">
        <f t="shared" ca="1" si="0"/>
        <v>0</v>
      </c>
      <c r="F70" s="1485">
        <f ca="1">IF(Assm!$F$29=0,'Annex 10-Plant'!G70,'Annex 12-Plant'!T70)</f>
        <v>11294.266048649784</v>
      </c>
      <c r="G70" s="1486">
        <f ca="1">IF($A70&lt;Startops2,0,IF(Assm!$F$29=0,VLOOKUP($A70,Annex10_Gas_Table,'Annex 10-Gas'!$G$270),VLOOKUP($A70,Annex12_Gas_Table,'Annex 12-Gas'!$J$270)))</f>
        <v>8629.9129706947242</v>
      </c>
      <c r="H70" s="1487">
        <f ca="1">IF($A70&lt;Startops2,0,IF(Assm!$F$29=0,VLOOKUP($A70,Annex10_Gas_Table,'Annex 10-Gas'!$P$270),VLOOKUP($A70,Annex12_Gas_Table,'Annex 12-Gas'!$V$270)))</f>
        <v>6908.2339372967763</v>
      </c>
      <c r="I70" s="1486">
        <f t="shared" ca="1" si="4"/>
        <v>26832.412956641285</v>
      </c>
      <c r="J70" s="1486">
        <f t="shared" ca="1" si="5"/>
        <v>0</v>
      </c>
      <c r="K70" s="1480">
        <f ca="1">IF(Assm!$L$74=1,VLOOKUP($A70,Curves_Table,Escalation!$D$291),Exch)</f>
        <v>1.0649999999999999</v>
      </c>
      <c r="L70" s="335">
        <f t="shared" ca="1" si="6"/>
        <v>0</v>
      </c>
      <c r="M70" s="698" t="str">
        <f t="shared" ca="1" si="1"/>
        <v xml:space="preserve"> </v>
      </c>
    </row>
    <row r="71" spans="1:13">
      <c r="A71" s="672">
        <f t="shared" ca="1" si="2"/>
        <v>38047</v>
      </c>
      <c r="C71" s="691">
        <f ca="1">MAX('Plant Operations'!H71,'Plant Operations'!L71)</f>
        <v>0.92</v>
      </c>
      <c r="D71" s="820">
        <f t="shared" ca="1" si="3"/>
        <v>0.92</v>
      </c>
      <c r="E71" s="820">
        <f t="shared" ca="1" si="0"/>
        <v>0</v>
      </c>
      <c r="F71" s="1485">
        <f ca="1">IF(Assm!$F$29=0,'Annex 10-Plant'!G71,'Annex 12-Plant'!T71)</f>
        <v>11322.933220696399</v>
      </c>
      <c r="G71" s="1486">
        <f ca="1">IF($A71&lt;Startops2,0,IF(Assm!$F$29=0,VLOOKUP($A71,Annex10_Gas_Table,'Annex 10-Gas'!$G$270),VLOOKUP($A71,Annex12_Gas_Table,'Annex 12-Gas'!$J$270)))</f>
        <v>8652.2149828512829</v>
      </c>
      <c r="H71" s="1487">
        <f ca="1">IF($A71&lt;Startops2,0,IF(Assm!$F$29=0,VLOOKUP($A71,Annex10_Gas_Table,'Annex 10-Gas'!$P$270),VLOOKUP($A71,Annex12_Gas_Table,'Annex 12-Gas'!$V$270)))</f>
        <v>6926.0866685784376</v>
      </c>
      <c r="I71" s="1486">
        <f t="shared" ca="1" si="4"/>
        <v>26901.234872126119</v>
      </c>
      <c r="J71" s="1486">
        <f t="shared" ca="1" si="5"/>
        <v>0</v>
      </c>
      <c r="K71" s="1480">
        <f ca="1">IF(Assm!$L$74=1,VLOOKUP($A71,Curves_Table,Escalation!$D$291),Exch)</f>
        <v>1.0649999999999999</v>
      </c>
      <c r="L71" s="335">
        <f t="shared" ca="1" si="6"/>
        <v>0</v>
      </c>
      <c r="M71" s="698" t="str">
        <f t="shared" ca="1" si="1"/>
        <v xml:space="preserve"> </v>
      </c>
    </row>
    <row r="72" spans="1:13">
      <c r="A72" s="672">
        <f t="shared" ca="1" si="2"/>
        <v>38078</v>
      </c>
      <c r="C72" s="691">
        <f ca="1">MAX('Plant Operations'!H72,'Plant Operations'!L72)</f>
        <v>0.92</v>
      </c>
      <c r="D72" s="820">
        <f t="shared" ca="1" si="3"/>
        <v>0.92</v>
      </c>
      <c r="E72" s="820">
        <f t="shared" ca="1" si="0"/>
        <v>0</v>
      </c>
      <c r="F72" s="1485">
        <f ca="1">IF(Assm!$F$29=0,'Annex 10-Plant'!G72,'Annex 12-Plant'!T72)</f>
        <v>11351.674476412416</v>
      </c>
      <c r="G72" s="1486">
        <f ca="1">IF($A72&lt;Startops2,0,IF(Assm!$F$29=0,VLOOKUP($A72,Annex10_Gas_Table,'Annex 10-Gas'!$G$270),VLOOKUP($A72,Annex12_Gas_Table,'Annex 12-Gas'!$J$270)))</f>
        <v>8674.5746293951088</v>
      </c>
      <c r="H72" s="1487">
        <f ca="1">IF($A72&lt;Startops2,0,IF(Assm!$F$29=0,VLOOKUP($A72,Annex10_Gas_Table,'Annex 10-Gas'!$P$270),VLOOKUP($A72,Annex12_Gas_Table,'Annex 12-Gas'!$V$270)))</f>
        <v>6943.9855361110021</v>
      </c>
      <c r="I72" s="1486">
        <f t="shared" ca="1" si="4"/>
        <v>26970.234641918527</v>
      </c>
      <c r="J72" s="1486">
        <f t="shared" ca="1" si="5"/>
        <v>0</v>
      </c>
      <c r="K72" s="1480">
        <f ca="1">IF(Assm!$L$74=1,VLOOKUP($A72,Curves_Table,Escalation!$D$291),Exch)</f>
        <v>1.0649999999999999</v>
      </c>
      <c r="L72" s="335">
        <f t="shared" ca="1" si="6"/>
        <v>0</v>
      </c>
      <c r="M72" s="698" t="str">
        <f t="shared" ca="1" si="1"/>
        <v xml:space="preserve"> </v>
      </c>
    </row>
    <row r="73" spans="1:13">
      <c r="A73" s="672">
        <f t="shared" ca="1" si="2"/>
        <v>38108</v>
      </c>
      <c r="C73" s="691">
        <f ca="1">MAX('Plant Operations'!H73,'Plant Operations'!L73)</f>
        <v>0.92</v>
      </c>
      <c r="D73" s="820">
        <f t="shared" ca="1" si="3"/>
        <v>0.92</v>
      </c>
      <c r="E73" s="820">
        <f t="shared" ca="1" si="0"/>
        <v>0</v>
      </c>
      <c r="F73" s="1485">
        <f ca="1">IF(Assm!$F$29=0,'Annex 10-Plant'!G73,'Annex 12-Plant'!T73)</f>
        <v>11753.598624917544</v>
      </c>
      <c r="G73" s="1486">
        <f ca="1">IF($A73&lt;Startops2,0,IF(Assm!$F$29=0,VLOOKUP($A73,Annex10_Gas_Table,'Annex 10-Gas'!$G$270),VLOOKUP($A73,Annex12_Gas_Table,'Annex 12-Gas'!$J$270)))</f>
        <v>8955.8143106361731</v>
      </c>
      <c r="H73" s="1487">
        <f ca="1">IF($A73&lt;Startops2,0,IF(Assm!$F$29=0,VLOOKUP($A73,Annex10_Gas_Table,'Annex 10-Gas'!$P$270),VLOOKUP($A73,Annex12_Gas_Table,'Annex 12-Gas'!$V$270)))</f>
        <v>7134.9329025924262</v>
      </c>
      <c r="I73" s="1486">
        <f t="shared" ca="1" si="4"/>
        <v>27844.345838146142</v>
      </c>
      <c r="J73" s="1486">
        <f t="shared" ca="1" si="5"/>
        <v>0</v>
      </c>
      <c r="K73" s="1480">
        <f ca="1">IF(Assm!$L$74=1,VLOOKUP($A73,Curves_Table,Escalation!$D$291),Exch)</f>
        <v>1.0649999999999999</v>
      </c>
      <c r="L73" s="335">
        <f t="shared" ca="1" si="6"/>
        <v>0</v>
      </c>
      <c r="M73" s="698" t="str">
        <f t="shared" ca="1" si="1"/>
        <v xml:space="preserve"> </v>
      </c>
    </row>
    <row r="74" spans="1:13">
      <c r="A74" s="672">
        <f t="shared" ca="1" si="2"/>
        <v>38139</v>
      </c>
      <c r="C74" s="691">
        <f ca="1">MAX('Plant Operations'!H74,'Plant Operations'!L74)</f>
        <v>0.92</v>
      </c>
      <c r="D74" s="820">
        <f t="shared" ca="1" si="3"/>
        <v>0.92</v>
      </c>
      <c r="E74" s="820">
        <f t="shared" ca="1" si="0"/>
        <v>0</v>
      </c>
      <c r="F74" s="1485">
        <f ca="1">IF(Assm!$F$29=0,'Annex 10-Plant'!G74,'Annex 12-Plant'!T74)</f>
        <v>11783.643275134709</v>
      </c>
      <c r="G74" s="1486">
        <f ca="1">IF($A74&lt;Startops2,0,IF(Assm!$F$29=0,VLOOKUP($A74,Annex10_Gas_Table,'Annex 10-Gas'!$G$270),VLOOKUP($A74,Annex12_Gas_Table,'Annex 12-Gas'!$J$270)))</f>
        <v>8978.9585393561993</v>
      </c>
      <c r="H74" s="1487">
        <f ca="1">IF($A74&lt;Startops2,0,IF(Assm!$F$29=0,VLOOKUP($A74,Annex10_Gas_Table,'Annex 10-Gas'!$P$270),VLOOKUP($A74,Annex12_Gas_Table,'Annex 12-Gas'!$V$270)))</f>
        <v>7153.3714848666841</v>
      </c>
      <c r="I74" s="1486">
        <f t="shared" ca="1" si="4"/>
        <v>27915.973299357596</v>
      </c>
      <c r="J74" s="1486">
        <f t="shared" ca="1" si="5"/>
        <v>0</v>
      </c>
      <c r="K74" s="1480">
        <f ca="1">IF(Assm!$L$74=1,VLOOKUP($A74,Curves_Table,Escalation!$D$291),Exch)</f>
        <v>1.0649999999999999</v>
      </c>
      <c r="L74" s="335">
        <f t="shared" ca="1" si="6"/>
        <v>0</v>
      </c>
      <c r="M74" s="698" t="str">
        <f t="shared" ca="1" si="1"/>
        <v xml:space="preserve"> </v>
      </c>
    </row>
    <row r="75" spans="1:13">
      <c r="A75" s="672">
        <f t="shared" ca="1" si="2"/>
        <v>38169</v>
      </c>
      <c r="C75" s="691">
        <f ca="1">MAX('Plant Operations'!H75,'Plant Operations'!L75)</f>
        <v>0.92</v>
      </c>
      <c r="D75" s="820">
        <f t="shared" ca="1" si="3"/>
        <v>0.92</v>
      </c>
      <c r="E75" s="820">
        <f t="shared" ca="1" si="0"/>
        <v>0</v>
      </c>
      <c r="F75" s="1485">
        <f ca="1">IF(Assm!$F$29=0,'Annex 10-Plant'!G75,'Annex 12-Plant'!T75)</f>
        <v>11813.765568794701</v>
      </c>
      <c r="G75" s="1486">
        <f ca="1">IF($A75&lt;Startops2,0,IF(Assm!$F$29=0,VLOOKUP($A75,Annex10_Gas_Table,'Annex 10-Gas'!$G$270),VLOOKUP($A75,Annex12_Gas_Table,'Annex 12-Gas'!$J$270)))</f>
        <v>9002.1625789772206</v>
      </c>
      <c r="H75" s="1487">
        <f ca="1">IF($A75&lt;Startops2,0,IF(Assm!$F$29=0,VLOOKUP($A75,Annex10_Gas_Table,'Annex 10-Gas'!$P$270),VLOOKUP($A75,Annex12_Gas_Table,'Annex 12-Gas'!$V$270)))</f>
        <v>7171.8577173881031</v>
      </c>
      <c r="I75" s="1486">
        <f t="shared" ca="1" si="4"/>
        <v>27987.785865160022</v>
      </c>
      <c r="J75" s="1486">
        <f t="shared" ca="1" si="5"/>
        <v>0</v>
      </c>
      <c r="K75" s="1480">
        <f ca="1">IF(Assm!$L$74=1,VLOOKUP($A75,Curves_Table,Escalation!$D$291),Exch)</f>
        <v>1.0649999999999999</v>
      </c>
      <c r="L75" s="335">
        <f t="shared" ca="1" si="6"/>
        <v>0</v>
      </c>
      <c r="M75" s="698" t="str">
        <f t="shared" ca="1" si="1"/>
        <v xml:space="preserve"> </v>
      </c>
    </row>
    <row r="76" spans="1:13">
      <c r="A76" s="672">
        <f t="shared" ca="1" si="2"/>
        <v>38200</v>
      </c>
      <c r="C76" s="691">
        <f ca="1">MAX('Plant Operations'!H76,'Plant Operations'!L76)</f>
        <v>0.92</v>
      </c>
      <c r="D76" s="820">
        <f t="shared" ca="1" si="3"/>
        <v>0.92</v>
      </c>
      <c r="E76" s="820">
        <f t="shared" ref="E76:E139" ca="1" si="7">IF(D76&gt;E$10,0,E$10-D76)</f>
        <v>0</v>
      </c>
      <c r="F76" s="1485">
        <f ca="1">IF(Assm!$F$29=0,'Annex 10-Plant'!G76,'Annex 12-Plant'!T76)</f>
        <v>11843.965706549034</v>
      </c>
      <c r="G76" s="1486">
        <f ca="1">IF($A76&lt;Startops2,0,IF(Assm!$F$29=0,VLOOKUP($A76,Annex10_Gas_Table,'Annex 10-Gas'!$G$270),VLOOKUP($A76,Annex12_Gas_Table,'Annex 12-Gas'!$J$270)))</f>
        <v>9025.4265840666612</v>
      </c>
      <c r="H76" s="1487">
        <f ca="1">IF($A76&lt;Startops2,0,IF(Assm!$F$29=0,VLOOKUP($A76,Annex10_Gas_Table,'Annex 10-Gas'!$P$270),VLOOKUP($A76,Annex12_Gas_Table,'Annex 12-Gas'!$V$270)))</f>
        <v>7190.3917232977174</v>
      </c>
      <c r="I76" s="1486">
        <f t="shared" ca="1" si="4"/>
        <v>28059.784013913413</v>
      </c>
      <c r="J76" s="1486">
        <f t="shared" ca="1" si="5"/>
        <v>0</v>
      </c>
      <c r="K76" s="1480">
        <f ca="1">IF(Assm!$L$74=1,VLOOKUP($A76,Curves_Table,Escalation!$D$291),Exch)</f>
        <v>1.0649999999999999</v>
      </c>
      <c r="L76" s="335">
        <f t="shared" ca="1" si="6"/>
        <v>0</v>
      </c>
      <c r="M76" s="698" t="str">
        <f t="shared" ref="M76:M139" ca="1" si="8">IF(MONTH($A76)=12,SUM(L65:L76)," ")</f>
        <v xml:space="preserve"> </v>
      </c>
    </row>
    <row r="77" spans="1:13">
      <c r="A77" s="672">
        <f t="shared" ref="A77:A140" ca="1" si="9">EDATE(A76,1)</f>
        <v>38231</v>
      </c>
      <c r="C77" s="691">
        <f ca="1">MAX('Plant Operations'!H77,'Plant Operations'!L77)</f>
        <v>0.92</v>
      </c>
      <c r="D77" s="820">
        <f t="shared" ref="D77:D140" ca="1" si="10">IF($A77&gt;Endyr,0,AVERAGE(C65:C76))</f>
        <v>0.92</v>
      </c>
      <c r="E77" s="820">
        <f t="shared" ca="1" si="7"/>
        <v>0</v>
      </c>
      <c r="F77" s="1485">
        <f ca="1">IF(Assm!$F$29=0,'Annex 10-Plant'!G77,'Annex 12-Plant'!T77)</f>
        <v>11874.243889567737</v>
      </c>
      <c r="G77" s="1486">
        <f ca="1">IF($A77&lt;Startops2,0,IF(Assm!$F$29=0,VLOOKUP($A77,Annex10_Gas_Table,'Annex 10-Gas'!$G$270),VLOOKUP($A77,Annex12_Gas_Table,'Annex 12-Gas'!$J$270)))</f>
        <v>9048.7507095913916</v>
      </c>
      <c r="H77" s="1487">
        <f ca="1">IF($A77&lt;Startops2,0,IF(Assm!$F$29=0,VLOOKUP($A77,Annex10_Gas_Table,'Annex 10-Gas'!$P$270),VLOOKUP($A77,Annex12_Gas_Table,'Annex 12-Gas'!$V$270)))</f>
        <v>7208.9736260547843</v>
      </c>
      <c r="I77" s="1486">
        <f t="shared" ref="I77:I140" ca="1" si="11">SUM(F77:H77)</f>
        <v>28131.968225213914</v>
      </c>
      <c r="J77" s="1486">
        <f t="shared" ref="J77:J140" ca="1" si="12">E77*I77</f>
        <v>0</v>
      </c>
      <c r="K77" s="1480">
        <f ca="1">IF(Assm!$L$74=1,VLOOKUP($A77,Curves_Table,Escalation!$D$291),Exch)</f>
        <v>1.0649999999999999</v>
      </c>
      <c r="L77" s="335">
        <f t="shared" ref="L77:L140" ca="1" si="13">J77/K77</f>
        <v>0</v>
      </c>
      <c r="M77" s="698" t="str">
        <f t="shared" ca="1" si="8"/>
        <v xml:space="preserve"> </v>
      </c>
    </row>
    <row r="78" spans="1:13">
      <c r="A78" s="672">
        <f t="shared" ca="1" si="9"/>
        <v>38261</v>
      </c>
      <c r="C78" s="691">
        <f ca="1">MAX('Plant Operations'!H78,'Plant Operations'!L78)</f>
        <v>0.92</v>
      </c>
      <c r="D78" s="820">
        <f t="shared" ca="1" si="10"/>
        <v>0.92</v>
      </c>
      <c r="E78" s="820">
        <f t="shared" ca="1" si="7"/>
        <v>0</v>
      </c>
      <c r="F78" s="1485">
        <f ca="1">IF(Assm!$F$29=0,'Annex 10-Plant'!G78,'Annex 12-Plant'!T78)</f>
        <v>11904.600319540736</v>
      </c>
      <c r="G78" s="1486">
        <f ca="1">IF($A78&lt;Startops2,0,IF(Assm!$F$29=0,VLOOKUP($A78,Annex10_Gas_Table,'Annex 10-Gas'!$G$270),VLOOKUP($A78,Annex12_Gas_Table,'Annex 12-Gas'!$J$270)))</f>
        <v>9072.1351109187581</v>
      </c>
      <c r="H78" s="1487">
        <f ca="1">IF($A78&lt;Startops2,0,IF(Assm!$F$29=0,VLOOKUP($A78,Annex10_Gas_Table,'Annex 10-Gas'!$P$270),VLOOKUP($A78,Annex12_Gas_Table,'Annex 12-Gas'!$V$270)))</f>
        <v>7227.603549437621</v>
      </c>
      <c r="I78" s="1486">
        <f t="shared" ca="1" si="11"/>
        <v>28204.338979897111</v>
      </c>
      <c r="J78" s="1486">
        <f t="shared" ca="1" si="12"/>
        <v>0</v>
      </c>
      <c r="K78" s="1480">
        <f ca="1">IF(Assm!$L$74=1,VLOOKUP($A78,Curves_Table,Escalation!$D$291),Exch)</f>
        <v>1.0649999999999999</v>
      </c>
      <c r="L78" s="335">
        <f t="shared" ca="1" si="13"/>
        <v>0</v>
      </c>
      <c r="M78" s="698" t="str">
        <f t="shared" ca="1" si="8"/>
        <v xml:space="preserve"> </v>
      </c>
    </row>
    <row r="79" spans="1:13">
      <c r="A79" s="672">
        <f t="shared" ca="1" si="9"/>
        <v>38292</v>
      </c>
      <c r="C79" s="691">
        <f ca="1">MAX('Plant Operations'!H79,'Plant Operations'!L79)</f>
        <v>0.92</v>
      </c>
      <c r="D79" s="820">
        <f t="shared" ca="1" si="10"/>
        <v>0.92</v>
      </c>
      <c r="E79" s="820">
        <f t="shared" ca="1" si="7"/>
        <v>0</v>
      </c>
      <c r="F79" s="1485">
        <f ca="1">IF(Assm!$F$29=0,'Annex 10-Plant'!G79,'Annex 12-Plant'!T79)</f>
        <v>11935.035198679163</v>
      </c>
      <c r="G79" s="1486">
        <f ca="1">IF($A79&lt;Startops2,0,IF(Assm!$F$29=0,VLOOKUP($A79,Annex10_Gas_Table,'Annex 10-Gas'!$G$270),VLOOKUP($A79,Annex12_Gas_Table,'Annex 12-Gas'!$J$270)))</f>
        <v>9095.5799438176218</v>
      </c>
      <c r="H79" s="1487">
        <f ca="1">IF($A79&lt;Startops2,0,IF(Assm!$F$29=0,VLOOKUP($A79,Annex10_Gas_Table,'Annex 10-Gas'!$P$270),VLOOKUP($A79,Annex12_Gas_Table,'Annex 12-Gas'!$V$270)))</f>
        <v>7246.281617544415</v>
      </c>
      <c r="I79" s="1486">
        <f t="shared" ca="1" si="11"/>
        <v>28276.8967600412</v>
      </c>
      <c r="J79" s="1486">
        <f t="shared" ca="1" si="12"/>
        <v>0</v>
      </c>
      <c r="K79" s="1480">
        <f ca="1">IF(Assm!$L$74=1,VLOOKUP($A79,Curves_Table,Escalation!$D$291),Exch)</f>
        <v>1.0649999999999999</v>
      </c>
      <c r="L79" s="335">
        <f t="shared" ca="1" si="13"/>
        <v>0</v>
      </c>
      <c r="M79" s="698" t="str">
        <f t="shared" ca="1" si="8"/>
        <v xml:space="preserve"> </v>
      </c>
    </row>
    <row r="80" spans="1:13">
      <c r="A80" s="672">
        <f t="shared" ca="1" si="9"/>
        <v>38322</v>
      </c>
      <c r="C80" s="691">
        <f ca="1">MAX('Plant Operations'!H80,'Plant Operations'!L80)</f>
        <v>0.92</v>
      </c>
      <c r="D80" s="820">
        <f t="shared" ca="1" si="10"/>
        <v>0.92</v>
      </c>
      <c r="E80" s="820">
        <f t="shared" ca="1" si="7"/>
        <v>0</v>
      </c>
      <c r="F80" s="1485">
        <f ca="1">IF(Assm!$F$29=0,'Annex 10-Plant'!G80,'Annex 12-Plant'!T80)</f>
        <v>11965.548729716729</v>
      </c>
      <c r="G80" s="1486">
        <f ca="1">IF($A80&lt;Startops2,0,IF(Assm!$F$29=0,VLOOKUP($A80,Annex10_Gas_Table,'Annex 10-Gas'!$G$270),VLOOKUP($A80,Annex12_Gas_Table,'Annex 12-Gas'!$J$270)))</f>
        <v>9119.0853644593863</v>
      </c>
      <c r="H80" s="1487">
        <f ca="1">IF($A80&lt;Startops2,0,IF(Assm!$F$29=0,VLOOKUP($A80,Annex10_Gas_Table,'Annex 10-Gas'!$P$270),VLOOKUP($A80,Annex12_Gas_Table,'Annex 12-Gas'!$V$270)))</f>
        <v>7265.0079547940641</v>
      </c>
      <c r="I80" s="1486">
        <f t="shared" ca="1" si="11"/>
        <v>28349.642048970178</v>
      </c>
      <c r="J80" s="1486">
        <f t="shared" ca="1" si="12"/>
        <v>0</v>
      </c>
      <c r="K80" s="1480">
        <f ca="1">IF(Assm!$L$74=1,VLOOKUP($A80,Curves_Table,Escalation!$D$291),Exch)</f>
        <v>1.0649999999999999</v>
      </c>
      <c r="L80" s="335">
        <f t="shared" ca="1" si="13"/>
        <v>0</v>
      </c>
      <c r="M80" s="698">
        <f t="shared" ca="1" si="8"/>
        <v>0</v>
      </c>
    </row>
    <row r="81" spans="1:13">
      <c r="A81" s="672">
        <f t="shared" ca="1" si="9"/>
        <v>38353</v>
      </c>
      <c r="C81" s="691">
        <f ca="1">MAX('Plant Operations'!H81,'Plant Operations'!L81)</f>
        <v>0.92</v>
      </c>
      <c r="D81" s="820">
        <f t="shared" ca="1" si="10"/>
        <v>0.92</v>
      </c>
      <c r="E81" s="820">
        <f t="shared" ca="1" si="7"/>
        <v>0</v>
      </c>
      <c r="F81" s="1485">
        <f ca="1">IF(Assm!$F$29=0,'Annex 10-Plant'!G81,'Annex 12-Plant'!T81)</f>
        <v>11993.254221952971</v>
      </c>
      <c r="G81" s="1486">
        <f ca="1">IF($A81&lt;Startops2,0,IF(Assm!$F$29=0,VLOOKUP($A81,Annex10_Gas_Table,'Annex 10-Gas'!$G$270),VLOOKUP($A81,Annex12_Gas_Table,'Annex 12-Gas'!$J$270)))</f>
        <v>9140.4276748035481</v>
      </c>
      <c r="H81" s="1487">
        <f ca="1">IF($A81&lt;Startops2,0,IF(Assm!$F$29=0,VLOOKUP($A81,Annex10_Gas_Table,'Annex 10-Gas'!$P$270),VLOOKUP($A81,Annex12_Gas_Table,'Annex 12-Gas'!$V$270)))</f>
        <v>7282.0109817673956</v>
      </c>
      <c r="I81" s="1486">
        <f t="shared" ca="1" si="11"/>
        <v>28415.692878523914</v>
      </c>
      <c r="J81" s="1486">
        <f t="shared" ca="1" si="12"/>
        <v>0</v>
      </c>
      <c r="K81" s="1480">
        <f ca="1">IF(Assm!$L$74=1,VLOOKUP($A81,Curves_Table,Escalation!$D$291),Exch)</f>
        <v>1.0649999999999999</v>
      </c>
      <c r="L81" s="335">
        <f t="shared" ca="1" si="13"/>
        <v>0</v>
      </c>
      <c r="M81" s="698" t="str">
        <f t="shared" ca="1" si="8"/>
        <v xml:space="preserve"> </v>
      </c>
    </row>
    <row r="82" spans="1:13">
      <c r="A82" s="672">
        <f t="shared" ca="1" si="9"/>
        <v>38384</v>
      </c>
      <c r="C82" s="691">
        <f ca="1">MAX('Plant Operations'!H82,'Plant Operations'!L82)</f>
        <v>0.92</v>
      </c>
      <c r="D82" s="820">
        <f t="shared" ca="1" si="10"/>
        <v>0.92</v>
      </c>
      <c r="E82" s="820">
        <f t="shared" ca="1" si="7"/>
        <v>0</v>
      </c>
      <c r="F82" s="1485">
        <f ca="1">IF(Assm!$F$29=0,'Annex 10-Plant'!G82,'Annex 12-Plant'!T82)</f>
        <v>12021.024556132224</v>
      </c>
      <c r="G82" s="1486">
        <f ca="1">IF($A82&lt;Startops2,0,IF(Assm!$F$29=0,VLOOKUP($A82,Annex10_Gas_Table,'Annex 10-Gas'!$G$270),VLOOKUP($A82,Annex12_Gas_Table,'Annex 12-Gas'!$J$270)))</f>
        <v>9161.8199346977599</v>
      </c>
      <c r="H82" s="1487">
        <f ca="1">IF($A82&lt;Startops2,0,IF(Assm!$F$29=0,VLOOKUP($A82,Annex10_Gas_Table,'Annex 10-Gas'!$P$270),VLOOKUP($A82,Annex12_Gas_Table,'Annex 12-Gas'!$V$270)))</f>
        <v>7299.0538026305694</v>
      </c>
      <c r="I82" s="1486">
        <f t="shared" ca="1" si="11"/>
        <v>28481.898293460556</v>
      </c>
      <c r="J82" s="1486">
        <f t="shared" ca="1" si="12"/>
        <v>0</v>
      </c>
      <c r="K82" s="1480">
        <f ca="1">IF(Assm!$L$74=1,VLOOKUP($A82,Curves_Table,Escalation!$D$291),Exch)</f>
        <v>1.0649999999999999</v>
      </c>
      <c r="L82" s="335">
        <f t="shared" ca="1" si="13"/>
        <v>0</v>
      </c>
      <c r="M82" s="698" t="str">
        <f t="shared" ca="1" si="8"/>
        <v xml:space="preserve"> </v>
      </c>
    </row>
    <row r="83" spans="1:13">
      <c r="A83" s="672">
        <f t="shared" ca="1" si="9"/>
        <v>38412</v>
      </c>
      <c r="C83" s="691">
        <f ca="1">MAX('Plant Operations'!H83,'Plant Operations'!L83)</f>
        <v>0.92</v>
      </c>
      <c r="D83" s="820">
        <f t="shared" ca="1" si="10"/>
        <v>0.92</v>
      </c>
      <c r="E83" s="820">
        <f t="shared" ca="1" si="7"/>
        <v>0</v>
      </c>
      <c r="F83" s="1485">
        <f ca="1">IF(Assm!$F$29=0,'Annex 10-Plant'!G83,'Annex 12-Plant'!T83)</f>
        <v>12048.859884010601</v>
      </c>
      <c r="G83" s="1486">
        <f ca="1">IF($A83&lt;Startops2,0,IF(Assm!$F$29=0,VLOOKUP($A83,Annex10_Gas_Table,'Annex 10-Gas'!$G$270),VLOOKUP($A83,Annex12_Gas_Table,'Annex 12-Gas'!$J$270)))</f>
        <v>9183.2622610439666</v>
      </c>
      <c r="H83" s="1487">
        <f ca="1">IF($A83&lt;Startops2,0,IF(Assm!$F$29=0,VLOOKUP($A83,Annex10_Gas_Table,'Annex 10-Gas'!$P$270),VLOOKUP($A83,Annex12_Gas_Table,'Annex 12-Gas'!$V$270)))</f>
        <v>7316.136510517219</v>
      </c>
      <c r="I83" s="1486">
        <f t="shared" ca="1" si="11"/>
        <v>28548.258655571786</v>
      </c>
      <c r="J83" s="1486">
        <f t="shared" ca="1" si="12"/>
        <v>0</v>
      </c>
      <c r="K83" s="1480">
        <f ca="1">IF(Assm!$L$74=1,VLOOKUP($A83,Curves_Table,Escalation!$D$291),Exch)</f>
        <v>1.0649999999999999</v>
      </c>
      <c r="L83" s="335">
        <f t="shared" ca="1" si="13"/>
        <v>0</v>
      </c>
      <c r="M83" s="698" t="str">
        <f t="shared" ca="1" si="8"/>
        <v xml:space="preserve"> </v>
      </c>
    </row>
    <row r="84" spans="1:13">
      <c r="A84" s="672">
        <f t="shared" ca="1" si="9"/>
        <v>38443</v>
      </c>
      <c r="C84" s="691">
        <f ca="1">MAX('Plant Operations'!H84,'Plant Operations'!L84)</f>
        <v>0.92</v>
      </c>
      <c r="D84" s="820">
        <f t="shared" ca="1" si="10"/>
        <v>0.92</v>
      </c>
      <c r="E84" s="820">
        <f t="shared" ca="1" si="7"/>
        <v>0</v>
      </c>
      <c r="F84" s="1485">
        <f ca="1">IF(Assm!$F$29=0,'Annex 10-Plant'!G84,'Annex 12-Plant'!T84)</f>
        <v>12076.760357699366</v>
      </c>
      <c r="G84" s="1486">
        <f ca="1">IF($A84&lt;Startops2,0,IF(Assm!$F$29=0,VLOOKUP($A84,Annex10_Gas_Table,'Annex 10-Gas'!$G$270),VLOOKUP($A84,Annex12_Gas_Table,'Annex 12-Gas'!$J$270)))</f>
        <v>9204.7547710177059</v>
      </c>
      <c r="H84" s="1487">
        <f ca="1">IF($A84&lt;Startops2,0,IF(Assm!$F$29=0,VLOOKUP($A84,Annex10_Gas_Table,'Annex 10-Gas'!$P$270),VLOOKUP($A84,Annex12_Gas_Table,'Annex 12-Gas'!$V$270)))</f>
        <v>7333.2591987789447</v>
      </c>
      <c r="I84" s="1486">
        <f t="shared" ca="1" si="11"/>
        <v>28614.774327496019</v>
      </c>
      <c r="J84" s="1486">
        <f t="shared" ca="1" si="12"/>
        <v>0</v>
      </c>
      <c r="K84" s="1480">
        <f ca="1">IF(Assm!$L$74=1,VLOOKUP($A84,Curves_Table,Escalation!$D$291),Exch)</f>
        <v>1.0649999999999999</v>
      </c>
      <c r="L84" s="335">
        <f t="shared" ca="1" si="13"/>
        <v>0</v>
      </c>
      <c r="M84" s="698" t="str">
        <f t="shared" ca="1" si="8"/>
        <v xml:space="preserve"> </v>
      </c>
    </row>
    <row r="85" spans="1:13">
      <c r="A85" s="672">
        <f t="shared" ca="1" si="9"/>
        <v>38473</v>
      </c>
      <c r="C85" s="691">
        <f ca="1">MAX('Plant Operations'!H85,'Plant Operations'!L85)</f>
        <v>0.92</v>
      </c>
      <c r="D85" s="820">
        <f t="shared" ca="1" si="10"/>
        <v>0.92</v>
      </c>
      <c r="E85" s="820">
        <f t="shared" ca="1" si="7"/>
        <v>0</v>
      </c>
      <c r="F85" s="1485">
        <f ca="1">IF(Assm!$F$29=0,'Annex 10-Plant'!G85,'Annex 12-Plant'!T85)</f>
        <v>12352.66254121346</v>
      </c>
      <c r="G85" s="1486">
        <f ca="1">IF($A85&lt;Startops2,0,IF(Assm!$F$29=0,VLOOKUP($A85,Annex10_Gas_Table,'Annex 10-Gas'!$G$270),VLOOKUP($A85,Annex12_Gas_Table,'Annex 12-Gas'!$J$270)))</f>
        <v>9475.0652269959537</v>
      </c>
      <c r="H85" s="1487">
        <f ca="1">IF($A85&lt;Startops2,0,IF(Assm!$F$29=0,VLOOKUP($A85,Annex10_Gas_Table,'Annex 10-Gas'!$P$270),VLOOKUP($A85,Annex12_Gas_Table,'Annex 12-Gas'!$V$270)))</f>
        <v>7467.6755057680648</v>
      </c>
      <c r="I85" s="1486">
        <f t="shared" ca="1" si="11"/>
        <v>29295.403273977478</v>
      </c>
      <c r="J85" s="1486">
        <f t="shared" ca="1" si="12"/>
        <v>0</v>
      </c>
      <c r="K85" s="1480">
        <f ca="1">IF(Assm!$L$74=1,VLOOKUP($A85,Curves_Table,Escalation!$D$291),Exch)</f>
        <v>1.0649999999999999</v>
      </c>
      <c r="L85" s="335">
        <f t="shared" ca="1" si="13"/>
        <v>0</v>
      </c>
      <c r="M85" s="698" t="str">
        <f t="shared" ca="1" si="8"/>
        <v xml:space="preserve"> </v>
      </c>
    </row>
    <row r="86" spans="1:13">
      <c r="A86" s="672">
        <f t="shared" ca="1" si="9"/>
        <v>38504</v>
      </c>
      <c r="C86" s="691">
        <f ca="1">MAX('Plant Operations'!H86,'Plant Operations'!L86)</f>
        <v>0.92</v>
      </c>
      <c r="D86" s="820">
        <f t="shared" ca="1" si="10"/>
        <v>0.92</v>
      </c>
      <c r="E86" s="820">
        <f t="shared" ca="1" si="7"/>
        <v>0</v>
      </c>
      <c r="F86" s="1485">
        <f ca="1">IF(Assm!$F$29=0,'Annex 10-Plant'!G86,'Annex 12-Plant'!T86)</f>
        <v>12381.274689622471</v>
      </c>
      <c r="G86" s="1486">
        <f ca="1">IF($A86&lt;Startops2,0,IF(Assm!$F$29=0,VLOOKUP($A86,Annex10_Gas_Table,'Annex 10-Gas'!$G$270),VLOOKUP($A86,Annex12_Gas_Table,'Annex 12-Gas'!$J$270)))</f>
        <v>9497.2406727258385</v>
      </c>
      <c r="H86" s="1487">
        <f ca="1">IF($A86&lt;Startops2,0,IF(Assm!$F$29=0,VLOOKUP($A86,Annex10_Gas_Table,'Annex 10-Gas'!$P$270),VLOOKUP($A86,Annex12_Gas_Table,'Annex 12-Gas'!$V$270)))</f>
        <v>7485.1528559434164</v>
      </c>
      <c r="I86" s="1486">
        <f t="shared" ca="1" si="11"/>
        <v>29363.668218291725</v>
      </c>
      <c r="J86" s="1486">
        <f t="shared" ca="1" si="12"/>
        <v>0</v>
      </c>
      <c r="K86" s="1480">
        <f ca="1">IF(Assm!$L$74=1,VLOOKUP($A86,Curves_Table,Escalation!$D$291),Exch)</f>
        <v>1.0649999999999999</v>
      </c>
      <c r="L86" s="335">
        <f t="shared" ca="1" si="13"/>
        <v>0</v>
      </c>
      <c r="M86" s="698" t="str">
        <f t="shared" ca="1" si="8"/>
        <v xml:space="preserve"> </v>
      </c>
    </row>
    <row r="87" spans="1:13">
      <c r="A87" s="672">
        <f t="shared" ca="1" si="9"/>
        <v>38534</v>
      </c>
      <c r="C87" s="691">
        <f ca="1">MAX('Plant Operations'!H87,'Plant Operations'!L87)</f>
        <v>0.92</v>
      </c>
      <c r="D87" s="820">
        <f t="shared" ca="1" si="10"/>
        <v>0.92</v>
      </c>
      <c r="E87" s="820">
        <f t="shared" ca="1" si="7"/>
        <v>0</v>
      </c>
      <c r="F87" s="1485">
        <f ca="1">IF(Assm!$F$29=0,'Annex 10-Plant'!G87,'Annex 12-Plant'!T87)</f>
        <v>12409.953801912898</v>
      </c>
      <c r="G87" s="1486">
        <f ca="1">IF($A87&lt;Startops2,0,IF(Assm!$F$29=0,VLOOKUP($A87,Annex10_Gas_Table,'Annex 10-Gas'!$G$270),VLOOKUP($A87,Annex12_Gas_Table,'Annex 12-Gas'!$J$270)))</f>
        <v>9519.4680178760937</v>
      </c>
      <c r="H87" s="1487">
        <f ca="1">IF($A87&lt;Startops2,0,IF(Assm!$F$29=0,VLOOKUP($A87,Annex10_Gas_Table,'Annex 10-Gas'!$P$270),VLOOKUP($A87,Annex12_Gas_Table,'Annex 12-Gas'!$V$270)))</f>
        <v>7502.6711101147876</v>
      </c>
      <c r="I87" s="1486">
        <f t="shared" ca="1" si="11"/>
        <v>29432.092929903782</v>
      </c>
      <c r="J87" s="1486">
        <f t="shared" ca="1" si="12"/>
        <v>0</v>
      </c>
      <c r="K87" s="1480">
        <f ca="1">IF(Assm!$L$74=1,VLOOKUP($A87,Curves_Table,Escalation!$D$291),Exch)</f>
        <v>1.0649999999999999</v>
      </c>
      <c r="L87" s="335">
        <f t="shared" ca="1" si="13"/>
        <v>0</v>
      </c>
      <c r="M87" s="698" t="str">
        <f t="shared" ca="1" si="8"/>
        <v xml:space="preserve"> </v>
      </c>
    </row>
    <row r="88" spans="1:13">
      <c r="A88" s="672">
        <f t="shared" ca="1" si="9"/>
        <v>38565</v>
      </c>
      <c r="C88" s="691">
        <f ca="1">MAX('Plant Operations'!H88,'Plant Operations'!L88)</f>
        <v>0.92</v>
      </c>
      <c r="D88" s="820">
        <f t="shared" ca="1" si="10"/>
        <v>0.92</v>
      </c>
      <c r="E88" s="820">
        <f t="shared" ca="1" si="7"/>
        <v>0</v>
      </c>
      <c r="F88" s="1485">
        <f ca="1">IF(Assm!$F$29=0,'Annex 10-Plant'!G88,'Annex 12-Plant'!T88)</f>
        <v>12438.700034807031</v>
      </c>
      <c r="G88" s="1486">
        <f ca="1">IF($A88&lt;Startops2,0,IF(Assm!$F$29=0,VLOOKUP($A88,Annex10_Gas_Table,'Annex 10-Gas'!$G$270),VLOOKUP($A88,Annex12_Gas_Table,'Annex 12-Gas'!$J$270)))</f>
        <v>9541.7473839121521</v>
      </c>
      <c r="H88" s="1487">
        <f ca="1">IF($A88&lt;Startops2,0,IF(Assm!$F$29=0,VLOOKUP($A88,Annex10_Gas_Table,'Annex 10-Gas'!$P$270),VLOOKUP($A88,Annex12_Gas_Table,'Annex 12-Gas'!$V$270)))</f>
        <v>7520.2303640139044</v>
      </c>
      <c r="I88" s="1486">
        <f t="shared" ca="1" si="11"/>
        <v>29500.677782733084</v>
      </c>
      <c r="J88" s="1486">
        <f t="shared" ca="1" si="12"/>
        <v>0</v>
      </c>
      <c r="K88" s="1480">
        <f ca="1">IF(Assm!$L$74=1,VLOOKUP($A88,Curves_Table,Escalation!$D$291),Exch)</f>
        <v>1.0649999999999999</v>
      </c>
      <c r="L88" s="335">
        <f t="shared" ca="1" si="13"/>
        <v>0</v>
      </c>
      <c r="M88" s="698" t="str">
        <f t="shared" ca="1" si="8"/>
        <v xml:space="preserve"> </v>
      </c>
    </row>
    <row r="89" spans="1:13">
      <c r="A89" s="672">
        <f t="shared" ca="1" si="9"/>
        <v>38596</v>
      </c>
      <c r="C89" s="691">
        <f ca="1">MAX('Plant Operations'!H89,'Plant Operations'!L89)</f>
        <v>0.92</v>
      </c>
      <c r="D89" s="820">
        <f t="shared" ca="1" si="10"/>
        <v>0.92</v>
      </c>
      <c r="E89" s="820">
        <f t="shared" ca="1" si="7"/>
        <v>0</v>
      </c>
      <c r="F89" s="1485">
        <f ca="1">IF(Assm!$F$29=0,'Annex 10-Plant'!G89,'Annex 12-Plant'!T89)</f>
        <v>12467.513545393949</v>
      </c>
      <c r="G89" s="1486">
        <f ca="1">IF($A89&lt;Startops2,0,IF(Assm!$F$29=0,VLOOKUP($A89,Annex10_Gas_Table,'Annex 10-Gas'!$G$270),VLOOKUP($A89,Annex12_Gas_Table,'Annex 12-Gas'!$J$270)))</f>
        <v>9564.0788925837023</v>
      </c>
      <c r="H89" s="1487">
        <f ca="1">IF($A89&lt;Startops2,0,IF(Assm!$F$29=0,VLOOKUP($A89,Annex10_Gas_Table,'Annex 10-Gas'!$P$270),VLOOKUP($A89,Annex12_Gas_Table,'Annex 12-Gas'!$V$270)))</f>
        <v>7537.8307135965397</v>
      </c>
      <c r="I89" s="1486">
        <f t="shared" ca="1" si="11"/>
        <v>29569.423151574192</v>
      </c>
      <c r="J89" s="1486">
        <f t="shared" ca="1" si="12"/>
        <v>0</v>
      </c>
      <c r="K89" s="1480">
        <f ca="1">IF(Assm!$L$74=1,VLOOKUP($A89,Curves_Table,Escalation!$D$291),Exch)</f>
        <v>1.0649999999999999</v>
      </c>
      <c r="L89" s="335">
        <f t="shared" ca="1" si="13"/>
        <v>0</v>
      </c>
      <c r="M89" s="698" t="str">
        <f t="shared" ca="1" si="8"/>
        <v xml:space="preserve"> </v>
      </c>
    </row>
    <row r="90" spans="1:13">
      <c r="A90" s="672">
        <f t="shared" ca="1" si="9"/>
        <v>38626</v>
      </c>
      <c r="C90" s="691">
        <f ca="1">MAX('Plant Operations'!H90,'Plant Operations'!L90)</f>
        <v>0.92</v>
      </c>
      <c r="D90" s="820">
        <f t="shared" ca="1" si="10"/>
        <v>0.92</v>
      </c>
      <c r="E90" s="820">
        <f t="shared" ca="1" si="7"/>
        <v>0</v>
      </c>
      <c r="F90" s="1485">
        <f ca="1">IF(Assm!$F$29=0,'Annex 10-Plant'!G90,'Annex 12-Plant'!T90)</f>
        <v>12496.39449113039</v>
      </c>
      <c r="G90" s="1486">
        <f ca="1">IF($A90&lt;Startops2,0,IF(Assm!$F$29=0,VLOOKUP($A90,Annex10_Gas_Table,'Annex 10-Gas'!$G$270),VLOOKUP($A90,Annex12_Gas_Table,'Annex 12-Gas'!$J$270)))</f>
        <v>9586.4626659253918</v>
      </c>
      <c r="H90" s="1487">
        <f ca="1">IF($A90&lt;Startops2,0,IF(Assm!$F$29=0,VLOOKUP($A90,Annex10_Gas_Table,'Annex 10-Gas'!$P$270),VLOOKUP($A90,Annex12_Gas_Table,'Annex 12-Gas'!$V$270)))</f>
        <v>7555.4722550430442</v>
      </c>
      <c r="I90" s="1486">
        <f t="shared" ca="1" si="11"/>
        <v>29638.329412098828</v>
      </c>
      <c r="J90" s="1486">
        <f t="shared" ca="1" si="12"/>
        <v>0</v>
      </c>
      <c r="K90" s="1480">
        <f ca="1">IF(Assm!$L$74=1,VLOOKUP($A90,Curves_Table,Escalation!$D$291),Exch)</f>
        <v>1.0649999999999999</v>
      </c>
      <c r="L90" s="335">
        <f t="shared" ca="1" si="13"/>
        <v>0</v>
      </c>
      <c r="M90" s="698" t="str">
        <f t="shared" ca="1" si="8"/>
        <v xml:space="preserve"> </v>
      </c>
    </row>
    <row r="91" spans="1:13">
      <c r="A91" s="672">
        <f t="shared" ca="1" si="9"/>
        <v>38657</v>
      </c>
      <c r="C91" s="691">
        <f ca="1">MAX('Plant Operations'!H91,'Plant Operations'!L91)</f>
        <v>0.92</v>
      </c>
      <c r="D91" s="820">
        <f t="shared" ca="1" si="10"/>
        <v>0.92</v>
      </c>
      <c r="E91" s="820">
        <f t="shared" ca="1" si="7"/>
        <v>0</v>
      </c>
      <c r="F91" s="1485">
        <f ca="1">IF(Assm!$F$29=0,'Annex 10-Plant'!G91,'Annex 12-Plant'!T91)</f>
        <v>12525.343029841597</v>
      </c>
      <c r="G91" s="1486">
        <f ca="1">IF($A91&lt;Startops2,0,IF(Assm!$F$29=0,VLOOKUP($A91,Annex10_Gas_Table,'Annex 10-Gas'!$G$270),VLOOKUP($A91,Annex12_Gas_Table,'Annex 12-Gas'!$J$270)))</f>
        <v>9608.8988262574694</v>
      </c>
      <c r="H91" s="1487">
        <f ca="1">IF($A91&lt;Startops2,0,IF(Assm!$F$29=0,VLOOKUP($A91,Annex10_Gas_Table,'Annex 10-Gas'!$P$270),VLOOKUP($A91,Annex12_Gas_Table,'Annex 12-Gas'!$V$270)))</f>
        <v>7573.1550847588733</v>
      </c>
      <c r="I91" s="1486">
        <f t="shared" ca="1" si="11"/>
        <v>29707.39694085794</v>
      </c>
      <c r="J91" s="1486">
        <f t="shared" ca="1" si="12"/>
        <v>0</v>
      </c>
      <c r="K91" s="1480">
        <f ca="1">IF(Assm!$L$74=1,VLOOKUP($A91,Curves_Table,Escalation!$D$291),Exch)</f>
        <v>1.0649999999999999</v>
      </c>
      <c r="L91" s="335">
        <f t="shared" ca="1" si="13"/>
        <v>0</v>
      </c>
      <c r="M91" s="698" t="str">
        <f t="shared" ca="1" si="8"/>
        <v xml:space="preserve"> </v>
      </c>
    </row>
    <row r="92" spans="1:13">
      <c r="A92" s="672">
        <f t="shared" ca="1" si="9"/>
        <v>38687</v>
      </c>
      <c r="C92" s="691">
        <f ca="1">MAX('Plant Operations'!H92,'Plant Operations'!L92)</f>
        <v>0.92</v>
      </c>
      <c r="D92" s="820">
        <f t="shared" ca="1" si="10"/>
        <v>0.92</v>
      </c>
      <c r="E92" s="820">
        <f t="shared" ca="1" si="7"/>
        <v>0</v>
      </c>
      <c r="F92" s="1485">
        <f ca="1">IF(Assm!$F$29=0,'Annex 10-Plant'!G92,'Annex 12-Plant'!T92)</f>
        <v>12554.359319722205</v>
      </c>
      <c r="G92" s="1486">
        <f ca="1">IF($A92&lt;Startops2,0,IF(Assm!$F$29=0,VLOOKUP($A92,Annex10_Gas_Table,'Annex 10-Gas'!$G$270),VLOOKUP($A92,Annex12_Gas_Table,'Annex 12-Gas'!$J$270)))</f>
        <v>9631.3874961864731</v>
      </c>
      <c r="H92" s="1487">
        <f ca="1">IF($A92&lt;Startops2,0,IF(Assm!$F$29=0,VLOOKUP($A92,Annex10_Gas_Table,'Annex 10-Gas'!$P$270),VLOOKUP($A92,Annex12_Gas_Table,'Annex 12-Gas'!$V$270)))</f>
        <v>7590.8792993751103</v>
      </c>
      <c r="I92" s="1486">
        <f t="shared" ca="1" si="11"/>
        <v>29776.626115283791</v>
      </c>
      <c r="J92" s="1486">
        <f t="shared" ca="1" si="12"/>
        <v>0</v>
      </c>
      <c r="K92" s="1480">
        <f ca="1">IF(Assm!$L$74=1,VLOOKUP($A92,Curves_Table,Escalation!$D$291),Exch)</f>
        <v>1.0649999999999999</v>
      </c>
      <c r="L92" s="335">
        <f t="shared" ca="1" si="13"/>
        <v>0</v>
      </c>
      <c r="M92" s="698">
        <f t="shared" ca="1" si="8"/>
        <v>0</v>
      </c>
    </row>
    <row r="93" spans="1:13">
      <c r="A93" s="672">
        <f t="shared" ca="1" si="9"/>
        <v>38718</v>
      </c>
      <c r="C93" s="691">
        <f ca="1">MAX('Plant Operations'!H93,'Plant Operations'!L93)</f>
        <v>0.92</v>
      </c>
      <c r="D93" s="820">
        <f t="shared" ca="1" si="10"/>
        <v>0.92</v>
      </c>
      <c r="E93" s="820">
        <f t="shared" ca="1" si="7"/>
        <v>0</v>
      </c>
      <c r="F93" s="1485">
        <f ca="1">IF(Assm!$F$29=0,'Annex 10-Plant'!G93,'Annex 12-Plant'!T93)</f>
        <v>12582.990101341908</v>
      </c>
      <c r="G93" s="1486">
        <f ca="1">IF($A93&lt;Startops2,0,IF(Assm!$F$29=0,VLOOKUP($A93,Annex10_Gas_Table,'Annex 10-Gas'!$G$270),VLOOKUP($A93,Annex12_Gas_Table,'Annex 12-Gas'!$J$270)))</f>
        <v>9653.5773833258754</v>
      </c>
      <c r="H93" s="1487">
        <f ca="1">IF($A93&lt;Startops2,0,IF(Assm!$F$29=0,VLOOKUP($A93,Annex10_Gas_Table,'Annex 10-Gas'!$P$270),VLOOKUP($A93,Annex12_Gas_Table,'Annex 12-Gas'!$V$270)))</f>
        <v>7608.3680313993009</v>
      </c>
      <c r="I93" s="1486">
        <f t="shared" ca="1" si="11"/>
        <v>29844.935516067082</v>
      </c>
      <c r="J93" s="1486">
        <f t="shared" ca="1" si="12"/>
        <v>0</v>
      </c>
      <c r="K93" s="1480">
        <f ca="1">IF(Assm!$L$74=1,VLOOKUP($A93,Curves_Table,Escalation!$D$291),Exch)</f>
        <v>1.0649999999999999</v>
      </c>
      <c r="L93" s="335">
        <f t="shared" ca="1" si="13"/>
        <v>0</v>
      </c>
      <c r="M93" s="698" t="str">
        <f t="shared" ca="1" si="8"/>
        <v xml:space="preserve"> </v>
      </c>
    </row>
    <row r="94" spans="1:13">
      <c r="A94" s="672">
        <f t="shared" ca="1" si="9"/>
        <v>38749</v>
      </c>
      <c r="C94" s="691">
        <f ca="1">MAX('Plant Operations'!H94,'Plant Operations'!L94)</f>
        <v>0.92</v>
      </c>
      <c r="D94" s="820">
        <f t="shared" ca="1" si="10"/>
        <v>0.92</v>
      </c>
      <c r="E94" s="820">
        <f t="shared" ca="1" si="7"/>
        <v>0</v>
      </c>
      <c r="F94" s="1485">
        <f ca="1">IF(Assm!$F$29=0,'Annex 10-Plant'!G94,'Annex 12-Plant'!T94)</f>
        <v>12611.686845816193</v>
      </c>
      <c r="G94" s="1486">
        <f ca="1">IF($A94&lt;Startops2,0,IF(Assm!$F$29=0,VLOOKUP($A94,Annex10_Gas_Table,'Annex 10-Gas'!$G$270),VLOOKUP($A94,Annex12_Gas_Table,'Annex 12-Gas'!$J$270)))</f>
        <v>9675.8183940538001</v>
      </c>
      <c r="H94" s="1487">
        <f ca="1">IF($A94&lt;Startops2,0,IF(Assm!$F$29=0,VLOOKUP($A94,Annex10_Gas_Table,'Annex 10-Gas'!$P$270),VLOOKUP($A94,Annex12_Gas_Table,'Annex 12-Gas'!$V$270)))</f>
        <v>7625.897055955591</v>
      </c>
      <c r="I94" s="1486">
        <f t="shared" ca="1" si="11"/>
        <v>29913.402295825581</v>
      </c>
      <c r="J94" s="1486">
        <f t="shared" ca="1" si="12"/>
        <v>0</v>
      </c>
      <c r="K94" s="1480">
        <f ca="1">IF(Assm!$L$74=1,VLOOKUP($A94,Curves_Table,Escalation!$D$291),Exch)</f>
        <v>1.0649999999999999</v>
      </c>
      <c r="L94" s="335">
        <f t="shared" ca="1" si="13"/>
        <v>0</v>
      </c>
      <c r="M94" s="698" t="str">
        <f t="shared" ca="1" si="8"/>
        <v xml:space="preserve"> </v>
      </c>
    </row>
    <row r="95" spans="1:13">
      <c r="A95" s="672">
        <f t="shared" ca="1" si="9"/>
        <v>38777</v>
      </c>
      <c r="C95" s="691">
        <f ca="1">MAX('Plant Operations'!H95,'Plant Operations'!L95)</f>
        <v>0.92</v>
      </c>
      <c r="D95" s="820">
        <f t="shared" ca="1" si="10"/>
        <v>0.92</v>
      </c>
      <c r="E95" s="820">
        <f t="shared" ca="1" si="7"/>
        <v>0</v>
      </c>
      <c r="F95" s="1485">
        <f ca="1">IF(Assm!$F$29=0,'Annex 10-Plant'!G95,'Annex 12-Plant'!T95)</f>
        <v>12640.449705117799</v>
      </c>
      <c r="G95" s="1486">
        <f ca="1">IF($A95&lt;Startops2,0,IF(Assm!$F$29=0,VLOOKUP($A95,Annex10_Gas_Table,'Annex 10-Gas'!$G$270),VLOOKUP($A95,Annex12_Gas_Table,'Annex 12-Gas'!$J$270)))</f>
        <v>9698.1106461545914</v>
      </c>
      <c r="H95" s="1487">
        <f ca="1">IF($A95&lt;Startops2,0,IF(Assm!$F$29=0,VLOOKUP($A95,Annex10_Gas_Table,'Annex 10-Gas'!$P$270),VLOOKUP($A95,Annex12_Gas_Table,'Annex 12-Gas'!$V$270)))</f>
        <v>7643.4664658745005</v>
      </c>
      <c r="I95" s="1486">
        <f t="shared" ca="1" si="11"/>
        <v>29982.026817146892</v>
      </c>
      <c r="J95" s="1486">
        <f t="shared" ca="1" si="12"/>
        <v>0</v>
      </c>
      <c r="K95" s="1480">
        <f ca="1">IF(Assm!$L$74=1,VLOOKUP($A95,Curves_Table,Escalation!$D$291),Exch)</f>
        <v>1.0649999999999999</v>
      </c>
      <c r="L95" s="335">
        <f t="shared" ca="1" si="13"/>
        <v>0</v>
      </c>
      <c r="M95" s="698" t="str">
        <f t="shared" ca="1" si="8"/>
        <v xml:space="preserve"> </v>
      </c>
    </row>
    <row r="96" spans="1:13">
      <c r="A96" s="672">
        <f t="shared" ca="1" si="9"/>
        <v>38808</v>
      </c>
      <c r="C96" s="691">
        <f ca="1">MAX('Plant Operations'!H96,'Plant Operations'!L96)</f>
        <v>0.92</v>
      </c>
      <c r="D96" s="820">
        <f t="shared" ca="1" si="10"/>
        <v>0.92</v>
      </c>
      <c r="E96" s="820">
        <f t="shared" ca="1" si="7"/>
        <v>0</v>
      </c>
      <c r="F96" s="1485">
        <f ca="1">IF(Assm!$F$29=0,'Annex 10-Plant'!G96,'Annex 12-Plant'!T96)</f>
        <v>12669.278831569589</v>
      </c>
      <c r="G96" s="1486">
        <f ca="1">IF($A96&lt;Startops2,0,IF(Assm!$F$29=0,VLOOKUP($A96,Annex10_Gas_Table,'Annex 10-Gas'!$G$270),VLOOKUP($A96,Annex12_Gas_Table,'Annex 12-Gas'!$J$270)))</f>
        <v>9720.4542576839613</v>
      </c>
      <c r="H96" s="1487">
        <f ca="1">IF($A96&lt;Startops2,0,IF(Assm!$F$29=0,VLOOKUP($A96,Annex10_Gas_Table,'Annex 10-Gas'!$P$270),VLOOKUP($A96,Annex12_Gas_Table,'Annex 12-Gas'!$V$270)))</f>
        <v>7661.0763542004252</v>
      </c>
      <c r="I96" s="1486">
        <f t="shared" ca="1" si="11"/>
        <v>30050.809443453974</v>
      </c>
      <c r="J96" s="1486">
        <f t="shared" ca="1" si="12"/>
        <v>0</v>
      </c>
      <c r="K96" s="1480">
        <f ca="1">IF(Assm!$L$74=1,VLOOKUP($A96,Curves_Table,Escalation!$D$291),Exch)</f>
        <v>1.0649999999999999</v>
      </c>
      <c r="L96" s="335">
        <f t="shared" ca="1" si="13"/>
        <v>0</v>
      </c>
      <c r="M96" s="698" t="str">
        <f t="shared" ca="1" si="8"/>
        <v xml:space="preserve"> </v>
      </c>
    </row>
    <row r="97" spans="1:13">
      <c r="A97" s="672">
        <f t="shared" ca="1" si="9"/>
        <v>38838</v>
      </c>
      <c r="C97" s="691">
        <f ca="1">MAX('Plant Operations'!H97,'Plant Operations'!L97)</f>
        <v>0.92</v>
      </c>
      <c r="D97" s="820">
        <f t="shared" ca="1" si="10"/>
        <v>0.92</v>
      </c>
      <c r="E97" s="820">
        <f t="shared" ca="1" si="7"/>
        <v>0</v>
      </c>
      <c r="F97" s="1485">
        <f ca="1">IF(Assm!$F$29=0,'Annex 10-Plant'!G97,'Annex 12-Plant'!T97)</f>
        <v>12791.084840005931</v>
      </c>
      <c r="G97" s="1486">
        <f ca="1">IF($A97&lt;Startops2,0,IF(Assm!$F$29=0,VLOOKUP($A97,Annex10_Gas_Table,'Annex 10-Gas'!$G$270),VLOOKUP($A97,Annex12_Gas_Table,'Annex 12-Gas'!$J$270)))</f>
        <v>10027.542247029383</v>
      </c>
      <c r="H97" s="1487">
        <f ca="1">IF($A97&lt;Startops2,0,IF(Assm!$F$29=0,VLOOKUP($A97,Annex10_Gas_Table,'Annex 10-Gas'!$P$270),VLOOKUP($A97,Annex12_Gas_Table,'Annex 12-Gas'!$V$270)))</f>
        <v>7883.1932362463849</v>
      </c>
      <c r="I97" s="1486">
        <f t="shared" ca="1" si="11"/>
        <v>30701.8203232817</v>
      </c>
      <c r="J97" s="1486">
        <f t="shared" ca="1" si="12"/>
        <v>0</v>
      </c>
      <c r="K97" s="1480">
        <f ca="1">IF(Assm!$L$74=1,VLOOKUP($A97,Curves_Table,Escalation!$D$291),Exch)</f>
        <v>1.0649999999999999</v>
      </c>
      <c r="L97" s="335">
        <f t="shared" ca="1" si="13"/>
        <v>0</v>
      </c>
      <c r="M97" s="698" t="str">
        <f t="shared" ca="1" si="8"/>
        <v xml:space="preserve"> </v>
      </c>
    </row>
    <row r="98" spans="1:13">
      <c r="A98" s="672">
        <f t="shared" ca="1" si="9"/>
        <v>38869</v>
      </c>
      <c r="C98" s="691">
        <f ca="1">MAX('Plant Operations'!H98,'Plant Operations'!L98)</f>
        <v>0.92</v>
      </c>
      <c r="D98" s="820">
        <f t="shared" ca="1" si="10"/>
        <v>0.92</v>
      </c>
      <c r="E98" s="820">
        <f t="shared" ca="1" si="7"/>
        <v>0</v>
      </c>
      <c r="F98" s="1485">
        <f ca="1">IF(Assm!$F$29=0,'Annex 10-Plant'!G98,'Annex 12-Plant'!T98)</f>
        <v>12820.267652763716</v>
      </c>
      <c r="G98" s="1486">
        <f ca="1">IF($A98&lt;Startops2,0,IF(Assm!$F$29=0,VLOOKUP($A98,Annex10_Gas_Table,'Annex 10-Gas'!$G$270),VLOOKUP($A98,Annex12_Gas_Table,'Annex 12-Gas'!$J$270)))</f>
        <v>10050.64484058979</v>
      </c>
      <c r="H98" s="1487">
        <f ca="1">IF($A98&lt;Startops2,0,IF(Assm!$F$29=0,VLOOKUP($A98,Annex10_Gas_Table,'Annex 10-Gas'!$P$270),VLOOKUP($A98,Annex12_Gas_Table,'Annex 12-Gas'!$V$270)))</f>
        <v>7901.3554344010827</v>
      </c>
      <c r="I98" s="1486">
        <f t="shared" ca="1" si="11"/>
        <v>30772.26792775459</v>
      </c>
      <c r="J98" s="1486">
        <f t="shared" ca="1" si="12"/>
        <v>0</v>
      </c>
      <c r="K98" s="1480">
        <f ca="1">IF(Assm!$L$74=1,VLOOKUP($A98,Curves_Table,Escalation!$D$291),Exch)</f>
        <v>1.0649999999999999</v>
      </c>
      <c r="L98" s="335">
        <f t="shared" ca="1" si="13"/>
        <v>0</v>
      </c>
      <c r="M98" s="698" t="str">
        <f t="shared" ca="1" si="8"/>
        <v xml:space="preserve"> </v>
      </c>
    </row>
    <row r="99" spans="1:13">
      <c r="A99" s="672">
        <f t="shared" ca="1" si="9"/>
        <v>38899</v>
      </c>
      <c r="C99" s="691">
        <f ca="1">MAX('Plant Operations'!H99,'Plant Operations'!L99)</f>
        <v>0.92</v>
      </c>
      <c r="D99" s="820">
        <f t="shared" ca="1" si="10"/>
        <v>0.92</v>
      </c>
      <c r="E99" s="820">
        <f t="shared" ca="1" si="7"/>
        <v>0</v>
      </c>
      <c r="F99" s="1485">
        <f ca="1">IF(Assm!$F$29=0,'Annex 10-Plant'!G99,'Annex 12-Plant'!T99)</f>
        <v>12849.517700208271</v>
      </c>
      <c r="G99" s="1486">
        <f ca="1">IF($A99&lt;Startops2,0,IF(Assm!$F$29=0,VLOOKUP($A99,Annex10_Gas_Table,'Annex 10-Gas'!$G$270),VLOOKUP($A99,Annex12_Gas_Table,'Annex 12-Gas'!$J$270)))</f>
        <v>10073.80066053569</v>
      </c>
      <c r="H99" s="1487">
        <f ca="1">IF($A99&lt;Startops2,0,IF(Assm!$F$29=0,VLOOKUP($A99,Annex10_Gas_Table,'Annex 10-Gas'!$P$270),VLOOKUP($A99,Annex12_Gas_Table,'Annex 12-Gas'!$V$270)))</f>
        <v>7919.5594766958275</v>
      </c>
      <c r="I99" s="1486">
        <f t="shared" ca="1" si="11"/>
        <v>30842.877837439788</v>
      </c>
      <c r="J99" s="1486">
        <f t="shared" ca="1" si="12"/>
        <v>0</v>
      </c>
      <c r="K99" s="1480">
        <f ca="1">IF(Assm!$L$74=1,VLOOKUP($A99,Curves_Table,Escalation!$D$291),Exch)</f>
        <v>1.0649999999999999</v>
      </c>
      <c r="L99" s="335">
        <f t="shared" ca="1" si="13"/>
        <v>0</v>
      </c>
      <c r="M99" s="698" t="str">
        <f t="shared" ca="1" si="8"/>
        <v xml:space="preserve"> </v>
      </c>
    </row>
    <row r="100" spans="1:13">
      <c r="A100" s="672">
        <f t="shared" ca="1" si="9"/>
        <v>38930</v>
      </c>
      <c r="C100" s="691">
        <f ca="1">MAX('Plant Operations'!H100,'Plant Operations'!L100)</f>
        <v>0.92</v>
      </c>
      <c r="D100" s="820">
        <f t="shared" ca="1" si="10"/>
        <v>0.92</v>
      </c>
      <c r="E100" s="820">
        <f t="shared" ca="1" si="7"/>
        <v>0</v>
      </c>
      <c r="F100" s="1485">
        <f ca="1">IF(Assm!$F$29=0,'Annex 10-Plant'!G100,'Annex 12-Plant'!T100)</f>
        <v>12878.83513724253</v>
      </c>
      <c r="G100" s="1486">
        <f ca="1">IF($A100&lt;Startops2,0,IF(Assm!$F$29=0,VLOOKUP($A100,Annex10_Gas_Table,'Annex 10-Gas'!$G$270),VLOOKUP($A100,Annex12_Gas_Table,'Annex 12-Gas'!$J$270)))</f>
        <v>10097.009829496094</v>
      </c>
      <c r="H100" s="1487">
        <f ca="1">IF($A100&lt;Startops2,0,IF(Assm!$F$29=0,VLOOKUP($A100,Annex10_Gas_Table,'Annex 10-Gas'!$P$270),VLOOKUP($A100,Annex12_Gas_Table,'Annex 12-Gas'!$V$270)))</f>
        <v>7937.8054595359154</v>
      </c>
      <c r="I100" s="1486">
        <f t="shared" ca="1" si="11"/>
        <v>30913.650426274537</v>
      </c>
      <c r="J100" s="1486">
        <f t="shared" ca="1" si="12"/>
        <v>0</v>
      </c>
      <c r="K100" s="1480">
        <f ca="1">IF(Assm!$L$74=1,VLOOKUP($A100,Curves_Table,Escalation!$D$291),Exch)</f>
        <v>1.0649999999999999</v>
      </c>
      <c r="L100" s="335">
        <f t="shared" ca="1" si="13"/>
        <v>0</v>
      </c>
      <c r="M100" s="698" t="str">
        <f t="shared" ca="1" si="8"/>
        <v xml:space="preserve"> </v>
      </c>
    </row>
    <row r="101" spans="1:13">
      <c r="A101" s="672">
        <f t="shared" ca="1" si="9"/>
        <v>38961</v>
      </c>
      <c r="C101" s="691">
        <f ca="1">MAX('Plant Operations'!H101,'Plant Operations'!L101)</f>
        <v>0.92</v>
      </c>
      <c r="D101" s="820">
        <f t="shared" ca="1" si="10"/>
        <v>0.92</v>
      </c>
      <c r="E101" s="820">
        <f t="shared" ca="1" si="7"/>
        <v>0</v>
      </c>
      <c r="F101" s="1485">
        <f ca="1">IF(Assm!$F$29=0,'Annex 10-Plant'!G101,'Annex 12-Plant'!T101)</f>
        <v>12908.220119126298</v>
      </c>
      <c r="G101" s="1486">
        <f ca="1">IF($A101&lt;Startops2,0,IF(Assm!$F$29=0,VLOOKUP($A101,Annex10_Gas_Table,'Annex 10-Gas'!$G$270),VLOOKUP($A101,Annex12_Gas_Table,'Annex 12-Gas'!$J$270)))</f>
        <v>10120.272470382535</v>
      </c>
      <c r="H101" s="1487">
        <f ca="1">IF($A101&lt;Startops2,0,IF(Assm!$F$29=0,VLOOKUP($A101,Annex10_Gas_Table,'Annex 10-Gas'!$P$270),VLOOKUP($A101,Annex12_Gas_Table,'Annex 12-Gas'!$V$270)))</f>
        <v>7956.0934795487519</v>
      </c>
      <c r="I101" s="1486">
        <f t="shared" ca="1" si="11"/>
        <v>30984.586069057583</v>
      </c>
      <c r="J101" s="1486">
        <f t="shared" ca="1" si="12"/>
        <v>0</v>
      </c>
      <c r="K101" s="1480">
        <f ca="1">IF(Assm!$L$74=1,VLOOKUP($A101,Curves_Table,Escalation!$D$291),Exch)</f>
        <v>1.0649999999999999</v>
      </c>
      <c r="L101" s="335">
        <f t="shared" ca="1" si="13"/>
        <v>0</v>
      </c>
      <c r="M101" s="698" t="str">
        <f t="shared" ca="1" si="8"/>
        <v xml:space="preserve"> </v>
      </c>
    </row>
    <row r="102" spans="1:13">
      <c r="A102" s="672">
        <f t="shared" ca="1" si="9"/>
        <v>38991</v>
      </c>
      <c r="C102" s="691">
        <f ca="1">MAX('Plant Operations'!H102,'Plant Operations'!L102)</f>
        <v>0.92</v>
      </c>
      <c r="D102" s="820">
        <f t="shared" ca="1" si="10"/>
        <v>0.92</v>
      </c>
      <c r="E102" s="820">
        <f t="shared" ca="1" si="7"/>
        <v>0</v>
      </c>
      <c r="F102" s="1485">
        <f ca="1">IF(Assm!$F$29=0,'Annex 10-Plant'!G102,'Annex 12-Plant'!T102)</f>
        <v>12937.672801477091</v>
      </c>
      <c r="G102" s="1486">
        <f ca="1">IF($A102&lt;Startops2,0,IF(Assm!$F$29=0,VLOOKUP($A102,Annex10_Gas_Table,'Annex 10-Gas'!$G$270),VLOOKUP($A102,Annex12_Gas_Table,'Annex 12-Gas'!$J$270)))</f>
        <v>10143.588706389724</v>
      </c>
      <c r="H102" s="1487">
        <f ca="1">IF($A102&lt;Startops2,0,IF(Assm!$F$29=0,VLOOKUP($A102,Annex10_Gas_Table,'Annex 10-Gas'!$P$270),VLOOKUP($A102,Annex12_Gas_Table,'Annex 12-Gas'!$V$270)))</f>
        <v>7974.423633584358</v>
      </c>
      <c r="I102" s="1486">
        <f t="shared" ca="1" si="11"/>
        <v>31055.685141451177</v>
      </c>
      <c r="J102" s="1486">
        <f t="shared" ca="1" si="12"/>
        <v>0</v>
      </c>
      <c r="K102" s="1480">
        <f ca="1">IF(Assm!$L$74=1,VLOOKUP($A102,Curves_Table,Escalation!$D$291),Exch)</f>
        <v>1.0649999999999999</v>
      </c>
      <c r="L102" s="335">
        <f t="shared" ca="1" si="13"/>
        <v>0</v>
      </c>
      <c r="M102" s="698" t="str">
        <f t="shared" ca="1" si="8"/>
        <v xml:space="preserve"> </v>
      </c>
    </row>
    <row r="103" spans="1:13">
      <c r="A103" s="672">
        <f t="shared" ca="1" si="9"/>
        <v>39022</v>
      </c>
      <c r="C103" s="691">
        <f ca="1">MAX('Plant Operations'!H103,'Plant Operations'!L103)</f>
        <v>0.92</v>
      </c>
      <c r="D103" s="820">
        <f t="shared" ca="1" si="10"/>
        <v>0.92</v>
      </c>
      <c r="E103" s="820">
        <f t="shared" ca="1" si="7"/>
        <v>0</v>
      </c>
      <c r="F103" s="1485">
        <f ca="1">IF(Assm!$F$29=0,'Annex 10-Plant'!G103,'Annex 12-Plant'!T103)</f>
        <v>12967.193340270955</v>
      </c>
      <c r="G103" s="1486">
        <f ca="1">IF($A103&lt;Startops2,0,IF(Assm!$F$29=0,VLOOKUP($A103,Annex10_Gas_Table,'Annex 10-Gas'!$G$270),VLOOKUP($A103,Annex12_Gas_Table,'Annex 12-Gas'!$J$270)))</f>
        <v>10166.958660996206</v>
      </c>
      <c r="H103" s="1487">
        <f ca="1">IF($A103&lt;Startops2,0,IF(Assm!$F$29=0,VLOOKUP($A103,Annex10_Gas_Table,'Annex 10-Gas'!$P$270),VLOOKUP($A103,Annex12_Gas_Table,'Annex 12-Gas'!$V$270)))</f>
        <v>7992.7960187158978</v>
      </c>
      <c r="I103" s="1486">
        <f t="shared" ca="1" si="11"/>
        <v>31126.948019983058</v>
      </c>
      <c r="J103" s="1486">
        <f t="shared" ca="1" si="12"/>
        <v>0</v>
      </c>
      <c r="K103" s="1480">
        <f ca="1">IF(Assm!$L$74=1,VLOOKUP($A103,Curves_Table,Escalation!$D$291),Exch)</f>
        <v>1.0649999999999999</v>
      </c>
      <c r="L103" s="335">
        <f t="shared" ca="1" si="13"/>
        <v>0</v>
      </c>
      <c r="M103" s="698" t="str">
        <f t="shared" ca="1" si="8"/>
        <v xml:space="preserve"> </v>
      </c>
    </row>
    <row r="104" spans="1:13">
      <c r="A104" s="672">
        <f t="shared" ca="1" si="9"/>
        <v>39052</v>
      </c>
      <c r="C104" s="691">
        <f ca="1">MAX('Plant Operations'!H104,'Plant Operations'!L104)</f>
        <v>0.92</v>
      </c>
      <c r="D104" s="820">
        <f t="shared" ca="1" si="10"/>
        <v>0.92</v>
      </c>
      <c r="E104" s="820">
        <f t="shared" ca="1" si="7"/>
        <v>0</v>
      </c>
      <c r="F104" s="1485">
        <f ca="1">IF(Assm!$F$29=0,'Annex 10-Plant'!G104,'Annex 12-Plant'!T104)</f>
        <v>12996.781891843273</v>
      </c>
      <c r="G104" s="1486">
        <f ca="1">IF($A104&lt;Startops2,0,IF(Assm!$F$29=0,VLOOKUP($A104,Annex10_Gas_Table,'Annex 10-Gas'!$G$270),VLOOKUP($A104,Annex12_Gas_Table,'Annex 12-Gas'!$J$270)))</f>
        <v>10190.382457964992</v>
      </c>
      <c r="H104" s="1487">
        <f ca="1">IF($A104&lt;Startops2,0,IF(Assm!$F$29=0,VLOOKUP($A104,Annex10_Gas_Table,'Annex 10-Gas'!$P$270),VLOOKUP($A104,Annex12_Gas_Table,'Annex 12-Gas'!$V$270)))</f>
        <v>8011.2107322401653</v>
      </c>
      <c r="I104" s="1486">
        <f t="shared" ca="1" si="11"/>
        <v>31198.375082048427</v>
      </c>
      <c r="J104" s="1486">
        <f t="shared" ca="1" si="12"/>
        <v>0</v>
      </c>
      <c r="K104" s="1480">
        <f ca="1">IF(Assm!$L$74=1,VLOOKUP($A104,Curves_Table,Escalation!$D$291),Exch)</f>
        <v>1.0649999999999999</v>
      </c>
      <c r="L104" s="335">
        <f t="shared" ca="1" si="13"/>
        <v>0</v>
      </c>
      <c r="M104" s="698">
        <f t="shared" ca="1" si="8"/>
        <v>0</v>
      </c>
    </row>
    <row r="105" spans="1:13">
      <c r="A105" s="672">
        <f t="shared" ca="1" si="9"/>
        <v>39083</v>
      </c>
      <c r="C105" s="691">
        <f ca="1">MAX('Plant Operations'!H105,'Plant Operations'!L105)</f>
        <v>0.92</v>
      </c>
      <c r="D105" s="820">
        <f t="shared" ca="1" si="10"/>
        <v>0.92</v>
      </c>
      <c r="E105" s="820">
        <f t="shared" ca="1" si="7"/>
        <v>0</v>
      </c>
      <c r="F105" s="1485">
        <f ca="1">IF(Assm!$F$29=0,'Annex 10-Plant'!G105,'Annex 12-Plant'!T105)</f>
        <v>13025.572953909665</v>
      </c>
      <c r="G105" s="1486">
        <f ca="1">IF($A105&lt;Startops2,0,IF(Assm!$F$29=0,VLOOKUP($A105,Annex10_Gas_Table,'Annex 10-Gas'!$G$270),VLOOKUP($A105,Annex12_Gas_Table,'Annex 12-Gas'!$J$270)))</f>
        <v>10213.174921824217</v>
      </c>
      <c r="H105" s="1487">
        <f ca="1">IF($A105&lt;Startops2,0,IF(Assm!$F$29=0,VLOOKUP($A105,Annex10_Gas_Table,'Annex 10-Gas'!$P$270),VLOOKUP($A105,Annex12_Gas_Table,'Annex 12-Gas'!$V$270)))</f>
        <v>8029.1291206653686</v>
      </c>
      <c r="I105" s="1486">
        <f t="shared" ca="1" si="11"/>
        <v>31267.876996399253</v>
      </c>
      <c r="J105" s="1486">
        <f t="shared" ca="1" si="12"/>
        <v>0</v>
      </c>
      <c r="K105" s="1480">
        <f ca="1">IF(Assm!$L$74=1,VLOOKUP($A105,Curves_Table,Escalation!$D$291),Exch)</f>
        <v>1.0649999999999999</v>
      </c>
      <c r="L105" s="335">
        <f t="shared" ca="1" si="13"/>
        <v>0</v>
      </c>
      <c r="M105" s="698" t="str">
        <f t="shared" ca="1" si="8"/>
        <v xml:space="preserve"> </v>
      </c>
    </row>
    <row r="106" spans="1:13">
      <c r="A106" s="672">
        <f t="shared" ca="1" si="9"/>
        <v>39114</v>
      </c>
      <c r="C106" s="691">
        <f ca="1">MAX('Plant Operations'!H106,'Plant Operations'!L106)</f>
        <v>0.92</v>
      </c>
      <c r="D106" s="820">
        <f t="shared" ca="1" si="10"/>
        <v>0.92</v>
      </c>
      <c r="E106" s="820">
        <f t="shared" ca="1" si="7"/>
        <v>0</v>
      </c>
      <c r="F106" s="1485">
        <f ca="1">IF(Assm!$F$29=0,'Annex 10-Plant'!G106,'Annex 12-Plant'!T106)</f>
        <v>13054.428411914518</v>
      </c>
      <c r="G106" s="1486">
        <f ca="1">IF($A106&lt;Startops2,0,IF(Assm!$F$29=0,VLOOKUP($A106,Annex10_Gas_Table,'Annex 10-Gas'!$G$270),VLOOKUP($A106,Annex12_Gas_Table,'Annex 12-Gas'!$J$270)))</f>
        <v>10236.0183647719</v>
      </c>
      <c r="H106" s="1487">
        <f ca="1">IF($A106&lt;Startops2,0,IF(Assm!$F$29=0,VLOOKUP($A106,Annex10_Gas_Table,'Annex 10-Gas'!$P$270),VLOOKUP($A106,Annex12_Gas_Table,'Annex 12-Gas'!$V$270)))</f>
        <v>8047.0875865088947</v>
      </c>
      <c r="I106" s="1486">
        <f t="shared" ca="1" si="11"/>
        <v>31337.534363195315</v>
      </c>
      <c r="J106" s="1486">
        <f t="shared" ca="1" si="12"/>
        <v>0</v>
      </c>
      <c r="K106" s="1480">
        <f ca="1">IF(Assm!$L$74=1,VLOOKUP($A106,Curves_Table,Escalation!$D$291),Exch)</f>
        <v>1.0649999999999999</v>
      </c>
      <c r="L106" s="335">
        <f t="shared" ca="1" si="13"/>
        <v>0</v>
      </c>
      <c r="M106" s="698" t="str">
        <f t="shared" ca="1" si="8"/>
        <v xml:space="preserve"> </v>
      </c>
    </row>
    <row r="107" spans="1:13">
      <c r="A107" s="672">
        <f t="shared" ca="1" si="9"/>
        <v>39142</v>
      </c>
      <c r="C107" s="691">
        <f ca="1">MAX('Plant Operations'!H107,'Plant Operations'!L107)</f>
        <v>0.92</v>
      </c>
      <c r="D107" s="820">
        <f t="shared" ca="1" si="10"/>
        <v>0.92</v>
      </c>
      <c r="E107" s="820">
        <f t="shared" ca="1" si="7"/>
        <v>0</v>
      </c>
      <c r="F107" s="1485">
        <f ca="1">IF(Assm!$F$29=0,'Annex 10-Plant'!G107,'Annex 12-Plant'!T107)</f>
        <v>13083.348409889915</v>
      </c>
      <c r="G107" s="1486">
        <f ca="1">IF($A107&lt;Startops2,0,IF(Assm!$F$29=0,VLOOKUP($A107,Annex10_Gas_Table,'Annex 10-Gas'!$G$270),VLOOKUP($A107,Annex12_Gas_Table,'Annex 12-Gas'!$J$270)))</f>
        <v>10258.91290083115</v>
      </c>
      <c r="H107" s="1487">
        <f ca="1">IF($A107&lt;Startops2,0,IF(Assm!$F$29=0,VLOOKUP($A107,Annex10_Gas_Table,'Annex 10-Gas'!$P$270),VLOOKUP($A107,Annex12_Gas_Table,'Annex 12-Gas'!$V$270)))</f>
        <v>8065.0862194104639</v>
      </c>
      <c r="I107" s="1486">
        <f t="shared" ca="1" si="11"/>
        <v>31407.347530131527</v>
      </c>
      <c r="J107" s="1486">
        <f t="shared" ca="1" si="12"/>
        <v>0</v>
      </c>
      <c r="K107" s="1480">
        <f ca="1">IF(Assm!$L$74=1,VLOOKUP($A107,Curves_Table,Escalation!$D$291),Exch)</f>
        <v>1.0649999999999999</v>
      </c>
      <c r="L107" s="335">
        <f t="shared" ca="1" si="13"/>
        <v>0</v>
      </c>
      <c r="M107" s="698" t="str">
        <f t="shared" ca="1" si="8"/>
        <v xml:space="preserve"> </v>
      </c>
    </row>
    <row r="108" spans="1:13">
      <c r="A108" s="672">
        <f t="shared" ca="1" si="9"/>
        <v>39173</v>
      </c>
      <c r="C108" s="691">
        <f ca="1">MAX('Plant Operations'!H108,'Plant Operations'!L108)</f>
        <v>0.92</v>
      </c>
      <c r="D108" s="820">
        <f t="shared" ca="1" si="10"/>
        <v>0.92</v>
      </c>
      <c r="E108" s="820">
        <f t="shared" ca="1" si="7"/>
        <v>0</v>
      </c>
      <c r="F108" s="1485">
        <f ca="1">IF(Assm!$F$29=0,'Annex 10-Plant'!G108,'Annex 12-Plant'!T108)</f>
        <v>13112.333092190105</v>
      </c>
      <c r="G108" s="1486">
        <f ca="1">IF($A108&lt;Startops2,0,IF(Assm!$F$29=0,VLOOKUP($A108,Annex10_Gas_Table,'Annex 10-Gas'!$G$270),VLOOKUP($A108,Annex12_Gas_Table,'Annex 12-Gas'!$J$270)))</f>
        <v>10281.858644280101</v>
      </c>
      <c r="H108" s="1487">
        <f ca="1">IF($A108&lt;Startops2,0,IF(Assm!$F$29=0,VLOOKUP($A108,Annex10_Gas_Table,'Annex 10-Gas'!$P$270),VLOOKUP($A108,Annex12_Gas_Table,'Annex 12-Gas'!$V$270)))</f>
        <v>8083.125109210303</v>
      </c>
      <c r="I108" s="1486">
        <f t="shared" ca="1" si="11"/>
        <v>31477.316845680507</v>
      </c>
      <c r="J108" s="1486">
        <f t="shared" ca="1" si="12"/>
        <v>0</v>
      </c>
      <c r="K108" s="1480">
        <f ca="1">IF(Assm!$L$74=1,VLOOKUP($A108,Curves_Table,Escalation!$D$291),Exch)</f>
        <v>1.0649999999999999</v>
      </c>
      <c r="L108" s="335">
        <f t="shared" ca="1" si="13"/>
        <v>0</v>
      </c>
      <c r="M108" s="698" t="str">
        <f t="shared" ca="1" si="8"/>
        <v xml:space="preserve"> </v>
      </c>
    </row>
    <row r="109" spans="1:13">
      <c r="A109" s="672">
        <f t="shared" ca="1" si="9"/>
        <v>39203</v>
      </c>
      <c r="C109" s="691">
        <f ca="1">MAX('Plant Operations'!H109,'Plant Operations'!L109)</f>
        <v>0.92</v>
      </c>
      <c r="D109" s="820">
        <f t="shared" ca="1" si="10"/>
        <v>0.92</v>
      </c>
      <c r="E109" s="820">
        <f t="shared" ca="1" si="7"/>
        <v>0</v>
      </c>
      <c r="F109" s="1485">
        <f ca="1">IF(Assm!$F$29=0,'Annex 10-Plant'!G109,'Annex 12-Plant'!T109)</f>
        <v>12244.580802451977</v>
      </c>
      <c r="G109" s="1486">
        <f ca="1">IF($A109&lt;Startops2,0,IF(Assm!$F$29=0,VLOOKUP($A109,Annex10_Gas_Table,'Annex 10-Gas'!$G$270),VLOOKUP($A109,Annex12_Gas_Table,'Annex 12-Gas'!$J$270)))</f>
        <v>10592.338524456671</v>
      </c>
      <c r="H109" s="1487">
        <f ca="1">IF($A109&lt;Startops2,0,IF(Assm!$F$29=0,VLOOKUP($A109,Annex10_Gas_Table,'Annex 10-Gas'!$P$270),VLOOKUP($A109,Annex12_Gas_Table,'Annex 12-Gas'!$V$270)))</f>
        <v>8291.6165822757866</v>
      </c>
      <c r="I109" s="1486">
        <f t="shared" ca="1" si="11"/>
        <v>31128.535909184433</v>
      </c>
      <c r="J109" s="1486">
        <f t="shared" ca="1" si="12"/>
        <v>0</v>
      </c>
      <c r="K109" s="1480">
        <f ca="1">IF(Assm!$L$74=1,VLOOKUP($A109,Curves_Table,Escalation!$D$291),Exch)</f>
        <v>1.0649999999999999</v>
      </c>
      <c r="L109" s="335">
        <f t="shared" ca="1" si="13"/>
        <v>0</v>
      </c>
      <c r="M109" s="698" t="str">
        <f t="shared" ca="1" si="8"/>
        <v xml:space="preserve"> </v>
      </c>
    </row>
    <row r="110" spans="1:13">
      <c r="A110" s="672">
        <f t="shared" ca="1" si="9"/>
        <v>39234</v>
      </c>
      <c r="C110" s="691">
        <f ca="1">MAX('Plant Operations'!H110,'Plant Operations'!L110)</f>
        <v>0.92</v>
      </c>
      <c r="D110" s="820">
        <f t="shared" ca="1" si="10"/>
        <v>0.92</v>
      </c>
      <c r="E110" s="820">
        <f t="shared" ca="1" si="7"/>
        <v>0</v>
      </c>
      <c r="F110" s="1485">
        <f ca="1">IF(Assm!$F$29=0,'Annex 10-Plant'!G110,'Annex 12-Plant'!T110)</f>
        <v>12271.73836657332</v>
      </c>
      <c r="G110" s="1486">
        <f ca="1">IF($A110&lt;Startops2,0,IF(Assm!$F$29=0,VLOOKUP($A110,Annex10_Gas_Table,'Annex 10-Gas'!$G$270),VLOOKUP($A110,Annex12_Gas_Table,'Annex 12-Gas'!$J$270)))</f>
        <v>10616.03002906891</v>
      </c>
      <c r="H110" s="1487">
        <f ca="1">IF($A110&lt;Startops2,0,IF(Assm!$F$29=0,VLOOKUP($A110,Annex10_Gas_Table,'Annex 10-Gas'!$P$270),VLOOKUP($A110,Annex12_Gas_Table,'Annex 12-Gas'!$V$270)))</f>
        <v>8310.1621444335979</v>
      </c>
      <c r="I110" s="1486">
        <f t="shared" ca="1" si="11"/>
        <v>31197.930540075828</v>
      </c>
      <c r="J110" s="1486">
        <f t="shared" ca="1" si="12"/>
        <v>0</v>
      </c>
      <c r="K110" s="1480">
        <f ca="1">IF(Assm!$L$74=1,VLOOKUP($A110,Curves_Table,Escalation!$D$291),Exch)</f>
        <v>1.0649999999999999</v>
      </c>
      <c r="L110" s="335">
        <f t="shared" ca="1" si="13"/>
        <v>0</v>
      </c>
      <c r="M110" s="698" t="str">
        <f t="shared" ca="1" si="8"/>
        <v xml:space="preserve"> </v>
      </c>
    </row>
    <row r="111" spans="1:13">
      <c r="A111" s="672">
        <f t="shared" ca="1" si="9"/>
        <v>39264</v>
      </c>
      <c r="C111" s="691">
        <f ca="1">MAX('Plant Operations'!H111,'Plant Operations'!L111)</f>
        <v>0.92</v>
      </c>
      <c r="D111" s="820">
        <f t="shared" ca="1" si="10"/>
        <v>0.92</v>
      </c>
      <c r="E111" s="820">
        <f t="shared" ca="1" si="7"/>
        <v>0</v>
      </c>
      <c r="F111" s="1485">
        <f ca="1">IF(Assm!$F$29=0,'Annex 10-Plant'!G111,'Annex 12-Plant'!T111)</f>
        <v>12298.956673046707</v>
      </c>
      <c r="G111" s="1486">
        <f ca="1">IF($A111&lt;Startops2,0,IF(Assm!$F$29=0,VLOOKUP($A111,Annex10_Gas_Table,'Annex 10-Gas'!$G$270),VLOOKUP($A111,Annex12_Gas_Table,'Annex 12-Gas'!$J$270)))</f>
        <v>10639.774523621896</v>
      </c>
      <c r="H111" s="1487">
        <f ca="1">IF($A111&lt;Startops2,0,IF(Assm!$F$29=0,VLOOKUP($A111,Annex10_Gas_Table,'Annex 10-Gas'!$P$270),VLOOKUP($A111,Annex12_Gas_Table,'Annex 12-Gas'!$V$270)))</f>
        <v>8328.7491867867793</v>
      </c>
      <c r="I111" s="1486">
        <f t="shared" ca="1" si="11"/>
        <v>31267.480383455382</v>
      </c>
      <c r="J111" s="1486">
        <f t="shared" ca="1" si="12"/>
        <v>0</v>
      </c>
      <c r="K111" s="1480">
        <f ca="1">IF(Assm!$L$74=1,VLOOKUP($A111,Curves_Table,Escalation!$D$291),Exch)</f>
        <v>1.0649999999999999</v>
      </c>
      <c r="L111" s="335">
        <f t="shared" ca="1" si="13"/>
        <v>0</v>
      </c>
      <c r="M111" s="698" t="str">
        <f t="shared" ca="1" si="8"/>
        <v xml:space="preserve"> </v>
      </c>
    </row>
    <row r="112" spans="1:13">
      <c r="A112" s="672">
        <f t="shared" ca="1" si="9"/>
        <v>39295</v>
      </c>
      <c r="C112" s="691">
        <f ca="1">MAX('Plant Operations'!H112,'Plant Operations'!L112)</f>
        <v>0.92</v>
      </c>
      <c r="D112" s="820">
        <f t="shared" ca="1" si="10"/>
        <v>0.92</v>
      </c>
      <c r="E112" s="820">
        <f t="shared" ca="1" si="7"/>
        <v>0</v>
      </c>
      <c r="F112" s="1485">
        <f ca="1">IF(Assm!$F$29=0,'Annex 10-Plant'!G112,'Annex 12-Plant'!T112)</f>
        <v>12326.235857732385</v>
      </c>
      <c r="G112" s="1486">
        <f ca="1">IF($A112&lt;Startops2,0,IF(Assm!$F$29=0,VLOOKUP($A112,Annex10_Gas_Table,'Annex 10-Gas'!$G$270),VLOOKUP($A112,Annex12_Gas_Table,'Annex 12-Gas'!$J$270)))</f>
        <v>10663.572126636336</v>
      </c>
      <c r="H112" s="1487">
        <f ca="1">IF($A112&lt;Startops2,0,IF(Assm!$F$29=0,VLOOKUP($A112,Annex10_Gas_Table,'Annex 10-Gas'!$P$270),VLOOKUP($A112,Annex12_Gas_Table,'Annex 12-Gas'!$V$270)))</f>
        <v>8347.3778021125981</v>
      </c>
      <c r="I112" s="1486">
        <f t="shared" ca="1" si="11"/>
        <v>31337.185786481321</v>
      </c>
      <c r="J112" s="1486">
        <f t="shared" ca="1" si="12"/>
        <v>0</v>
      </c>
      <c r="K112" s="1480">
        <f ca="1">IF(Assm!$L$74=1,VLOOKUP($A112,Curves_Table,Escalation!$D$291),Exch)</f>
        <v>1.0649999999999999</v>
      </c>
      <c r="L112" s="335">
        <f t="shared" ca="1" si="13"/>
        <v>0</v>
      </c>
      <c r="M112" s="698" t="str">
        <f t="shared" ca="1" si="8"/>
        <v xml:space="preserve"> </v>
      </c>
    </row>
    <row r="113" spans="1:13">
      <c r="A113" s="672">
        <f t="shared" ca="1" si="9"/>
        <v>39326</v>
      </c>
      <c r="C113" s="691">
        <f ca="1">MAX('Plant Operations'!H113,'Plant Operations'!L113)</f>
        <v>0.92</v>
      </c>
      <c r="D113" s="820">
        <f t="shared" ca="1" si="10"/>
        <v>0.92</v>
      </c>
      <c r="E113" s="820">
        <f t="shared" ca="1" si="7"/>
        <v>0</v>
      </c>
      <c r="F113" s="1485">
        <f ca="1">IF(Assm!$F$29=0,'Annex 10-Plant'!G113,'Annex 12-Plant'!T113)</f>
        <v>12353.576056794478</v>
      </c>
      <c r="G113" s="1486">
        <f ca="1">IF($A113&lt;Startops2,0,IF(Assm!$F$29=0,VLOOKUP($A113,Annex10_Gas_Table,'Annex 10-Gas'!$G$270),VLOOKUP($A113,Annex12_Gas_Table,'Annex 12-Gas'!$J$270)))</f>
        <v>10687.422956898024</v>
      </c>
      <c r="H113" s="1487">
        <f ca="1">IF($A113&lt;Startops2,0,IF(Assm!$F$29=0,VLOOKUP($A113,Annex10_Gas_Table,'Annex 10-Gas'!$P$270),VLOOKUP($A113,Annex12_Gas_Table,'Annex 12-Gas'!$V$270)))</f>
        <v>8366.0480833958336</v>
      </c>
      <c r="I113" s="1486">
        <f t="shared" ca="1" si="11"/>
        <v>31407.04709708834</v>
      </c>
      <c r="J113" s="1486">
        <f t="shared" ca="1" si="12"/>
        <v>0</v>
      </c>
      <c r="K113" s="1480">
        <f ca="1">IF(Assm!$L$74=1,VLOOKUP($A113,Curves_Table,Escalation!$D$291),Exch)</f>
        <v>1.0649999999999999</v>
      </c>
      <c r="L113" s="335">
        <f t="shared" ca="1" si="13"/>
        <v>0</v>
      </c>
      <c r="M113" s="698" t="str">
        <f t="shared" ca="1" si="8"/>
        <v xml:space="preserve"> </v>
      </c>
    </row>
    <row r="114" spans="1:13">
      <c r="A114" s="672">
        <f t="shared" ca="1" si="9"/>
        <v>39356</v>
      </c>
      <c r="C114" s="691">
        <f ca="1">MAX('Plant Operations'!H114,'Plant Operations'!L114)</f>
        <v>0.92</v>
      </c>
      <c r="D114" s="820">
        <f t="shared" ca="1" si="10"/>
        <v>0.92</v>
      </c>
      <c r="E114" s="820">
        <f t="shared" ca="1" si="7"/>
        <v>0</v>
      </c>
      <c r="F114" s="1485">
        <f ca="1">IF(Assm!$F$29=0,'Annex 10-Plant'!G114,'Annex 12-Plant'!T114)</f>
        <v>12380.977406701648</v>
      </c>
      <c r="G114" s="1486">
        <f ca="1">IF($A114&lt;Startops2,0,IF(Assm!$F$29=0,VLOOKUP($A114,Annex10_Gas_Table,'Annex 10-Gas'!$G$270),VLOOKUP($A114,Annex12_Gas_Table,'Annex 12-Gas'!$J$270)))</f>
        <v>10711.327133458439</v>
      </c>
      <c r="H114" s="1487">
        <f ca="1">IF($A114&lt;Startops2,0,IF(Assm!$F$29=0,VLOOKUP($A114,Annex10_Gas_Table,'Annex 10-Gas'!$P$270),VLOOKUP($A114,Annex12_Gas_Table,'Annex 12-Gas'!$V$270)))</f>
        <v>8384.7601238292391</v>
      </c>
      <c r="I114" s="1486">
        <f t="shared" ca="1" si="11"/>
        <v>31477.064663989324</v>
      </c>
      <c r="J114" s="1486">
        <f t="shared" ca="1" si="12"/>
        <v>0</v>
      </c>
      <c r="K114" s="1480">
        <f ca="1">IF(Assm!$L$74=1,VLOOKUP($A114,Curves_Table,Escalation!$D$291),Exch)</f>
        <v>1.0649999999999999</v>
      </c>
      <c r="L114" s="335">
        <f t="shared" ca="1" si="13"/>
        <v>0</v>
      </c>
      <c r="M114" s="698" t="str">
        <f t="shared" ca="1" si="8"/>
        <v xml:space="preserve"> </v>
      </c>
    </row>
    <row r="115" spans="1:13">
      <c r="A115" s="672">
        <f t="shared" ca="1" si="9"/>
        <v>39387</v>
      </c>
      <c r="C115" s="691">
        <f ca="1">MAX('Plant Operations'!H115,'Plant Operations'!L115)</f>
        <v>0.92</v>
      </c>
      <c r="D115" s="820">
        <f t="shared" ca="1" si="10"/>
        <v>0.92</v>
      </c>
      <c r="E115" s="820">
        <f t="shared" ca="1" si="7"/>
        <v>0</v>
      </c>
      <c r="F115" s="1485">
        <f ca="1">IF(Assm!$F$29=0,'Annex 10-Plant'!G115,'Annex 12-Plant'!T115)</f>
        <v>12408.440044227813</v>
      </c>
      <c r="G115" s="1486">
        <f ca="1">IF($A115&lt;Startops2,0,IF(Assm!$F$29=0,VLOOKUP($A115,Annex10_Gas_Table,'Annex 10-Gas'!$G$270),VLOOKUP($A115,Annex12_Gas_Table,'Annex 12-Gas'!$J$270)))</f>
        <v>10735.284775635339</v>
      </c>
      <c r="H115" s="1487">
        <f ca="1">IF($A115&lt;Startops2,0,IF(Assm!$F$29=0,VLOOKUP($A115,Annex10_Gas_Table,'Annex 10-Gas'!$P$270),VLOOKUP($A115,Annex12_Gas_Table,'Annex 12-Gas'!$V$270)))</f>
        <v>8403.5140168140188</v>
      </c>
      <c r="I115" s="1486">
        <f t="shared" ca="1" si="11"/>
        <v>31547.23883667717</v>
      </c>
      <c r="J115" s="1486">
        <f t="shared" ca="1" si="12"/>
        <v>0</v>
      </c>
      <c r="K115" s="1480">
        <f ca="1">IF(Assm!$L$74=1,VLOOKUP($A115,Curves_Table,Escalation!$D$291),Exch)</f>
        <v>1.0649999999999999</v>
      </c>
      <c r="L115" s="335">
        <f t="shared" ca="1" si="13"/>
        <v>0</v>
      </c>
      <c r="M115" s="698" t="str">
        <f t="shared" ca="1" si="8"/>
        <v xml:space="preserve"> </v>
      </c>
    </row>
    <row r="116" spans="1:13">
      <c r="A116" s="672">
        <f t="shared" ca="1" si="9"/>
        <v>39417</v>
      </c>
      <c r="C116" s="691">
        <f ca="1">MAX('Plant Operations'!H116,'Plant Operations'!L116)</f>
        <v>0.92</v>
      </c>
      <c r="D116" s="820">
        <f t="shared" ca="1" si="10"/>
        <v>0.92</v>
      </c>
      <c r="E116" s="820">
        <f t="shared" ca="1" si="7"/>
        <v>0</v>
      </c>
      <c r="F116" s="1485">
        <f ca="1">IF(Assm!$F$29=0,'Annex 10-Plant'!G116,'Annex 12-Plant'!T116)</f>
        <v>12435.964106452793</v>
      </c>
      <c r="G116" s="1486">
        <f ca="1">IF($A116&lt;Startops2,0,IF(Assm!$F$29=0,VLOOKUP($A116,Annex10_Gas_Table,'Annex 10-Gas'!$G$270),VLOOKUP($A116,Annex12_Gas_Table,'Annex 12-Gas'!$J$270)))</f>
        <v>10759.296003013358</v>
      </c>
      <c r="H116" s="1487">
        <f ca="1">IF($A116&lt;Startops2,0,IF(Assm!$F$29=0,VLOOKUP($A116,Annex10_Gas_Table,'Annex 10-Gas'!$P$270),VLOOKUP($A116,Annex12_Gas_Table,'Annex 12-Gas'!$V$270)))</f>
        <v>8422.3098559602768</v>
      </c>
      <c r="I116" s="1486">
        <f t="shared" ca="1" si="11"/>
        <v>31617.569965426428</v>
      </c>
      <c r="J116" s="1486">
        <f t="shared" ca="1" si="12"/>
        <v>0</v>
      </c>
      <c r="K116" s="1480">
        <f ca="1">IF(Assm!$L$74=1,VLOOKUP($A116,Curves_Table,Escalation!$D$291),Exch)</f>
        <v>1.0649999999999999</v>
      </c>
      <c r="L116" s="335">
        <f t="shared" ca="1" si="13"/>
        <v>0</v>
      </c>
      <c r="M116" s="698">
        <f t="shared" ca="1" si="8"/>
        <v>0</v>
      </c>
    </row>
    <row r="117" spans="1:13">
      <c r="A117" s="672">
        <f t="shared" ca="1" si="9"/>
        <v>39448</v>
      </c>
      <c r="C117" s="691">
        <f ca="1">MAX('Plant Operations'!H117,'Plant Operations'!L117)</f>
        <v>0.92</v>
      </c>
      <c r="D117" s="820">
        <f t="shared" ca="1" si="10"/>
        <v>0.92</v>
      </c>
      <c r="E117" s="820">
        <f t="shared" ca="1" si="7"/>
        <v>0</v>
      </c>
      <c r="F117" s="1485">
        <f ca="1">IF(Assm!$F$29=0,'Annex 10-Plant'!G117,'Annex 12-Plant'!T117)</f>
        <v>12462.046496762183</v>
      </c>
      <c r="G117" s="1486">
        <f ca="1">IF($A117&lt;Startops2,0,IF(Assm!$F$29=0,VLOOKUP($A117,Annex10_Gas_Table,'Annex 10-Gas'!$G$270),VLOOKUP($A117,Annex12_Gas_Table,'Annex 12-Gas'!$J$270)))</f>
        <v>10782.049555856027</v>
      </c>
      <c r="H117" s="1487">
        <f ca="1">IF($A117&lt;Startops2,0,IF(Assm!$F$29=0,VLOOKUP($A117,Annex10_Gas_Table,'Annex 10-Gas'!$P$270),VLOOKUP($A117,Annex12_Gas_Table,'Annex 12-Gas'!$V$270)))</f>
        <v>8440.1211953184684</v>
      </c>
      <c r="I117" s="1486">
        <f t="shared" ca="1" si="11"/>
        <v>31684.217247936678</v>
      </c>
      <c r="J117" s="1486">
        <f t="shared" ca="1" si="12"/>
        <v>0</v>
      </c>
      <c r="K117" s="1480">
        <f ca="1">IF(Assm!$L$74=1,VLOOKUP($A117,Curves_Table,Escalation!$D$291),Exch)</f>
        <v>1.0649999999999999</v>
      </c>
      <c r="L117" s="335">
        <f t="shared" ca="1" si="13"/>
        <v>0</v>
      </c>
      <c r="M117" s="698" t="str">
        <f t="shared" ca="1" si="8"/>
        <v xml:space="preserve"> </v>
      </c>
    </row>
    <row r="118" spans="1:13">
      <c r="A118" s="672">
        <f t="shared" ca="1" si="9"/>
        <v>39479</v>
      </c>
      <c r="C118" s="691">
        <f ca="1">MAX('Plant Operations'!H118,'Plant Operations'!L118)</f>
        <v>0.92</v>
      </c>
      <c r="D118" s="820">
        <f t="shared" ca="1" si="10"/>
        <v>0.92</v>
      </c>
      <c r="E118" s="820">
        <f t="shared" ca="1" si="7"/>
        <v>0</v>
      </c>
      <c r="F118" s="1485">
        <f ca="1">IF(Assm!$F$29=0,'Annex 10-Plant'!G118,'Annex 12-Plant'!T118)</f>
        <v>12488.184045610386</v>
      </c>
      <c r="G118" s="1486">
        <f ca="1">IF($A118&lt;Startops2,0,IF(Assm!$F$29=0,VLOOKUP($A118,Annex10_Gas_Table,'Annex 10-Gas'!$G$270),VLOOKUP($A118,Annex12_Gas_Table,'Annex 12-Gas'!$J$270)))</f>
        <v>10804.851227475874</v>
      </c>
      <c r="H118" s="1487">
        <f ca="1">IF($A118&lt;Startops2,0,IF(Assm!$F$29=0,VLOOKUP($A118,Annex10_Gas_Table,'Annex 10-Gas'!$P$270),VLOOKUP($A118,Annex12_Gas_Table,'Annex 12-Gas'!$V$270)))</f>
        <v>8457.9702017555464</v>
      </c>
      <c r="I118" s="1486">
        <f t="shared" ca="1" si="11"/>
        <v>31751.005474841804</v>
      </c>
      <c r="J118" s="1486">
        <f t="shared" ca="1" si="12"/>
        <v>0</v>
      </c>
      <c r="K118" s="1480">
        <f ca="1">IF(Assm!$L$74=1,VLOOKUP($A118,Curves_Table,Escalation!$D$291),Exch)</f>
        <v>1.0649999999999999</v>
      </c>
      <c r="L118" s="335">
        <f t="shared" ca="1" si="13"/>
        <v>0</v>
      </c>
      <c r="M118" s="698" t="str">
        <f t="shared" ca="1" si="8"/>
        <v xml:space="preserve"> </v>
      </c>
    </row>
    <row r="119" spans="1:13">
      <c r="A119" s="672">
        <f t="shared" ca="1" si="9"/>
        <v>39508</v>
      </c>
      <c r="C119" s="691">
        <f ca="1">MAX('Plant Operations'!H119,'Plant Operations'!L119)</f>
        <v>0.92</v>
      </c>
      <c r="D119" s="820">
        <f t="shared" ca="1" si="10"/>
        <v>0.92</v>
      </c>
      <c r="E119" s="820">
        <f t="shared" ca="1" si="7"/>
        <v>0</v>
      </c>
      <c r="F119" s="1485">
        <f ca="1">IF(Assm!$F$29=0,'Annex 10-Plant'!G119,'Annex 12-Plant'!T119)</f>
        <v>12514.376869645617</v>
      </c>
      <c r="G119" s="1486">
        <f ca="1">IF($A119&lt;Startops2,0,IF(Assm!$F$29=0,VLOOKUP($A119,Annex10_Gas_Table,'Annex 10-Gas'!$G$270),VLOOKUP($A119,Annex12_Gas_Table,'Annex 12-Gas'!$J$270)))</f>
        <v>10827.701119633566</v>
      </c>
      <c r="H119" s="1487">
        <f ca="1">IF($A119&lt;Startops2,0,IF(Assm!$F$29=0,VLOOKUP($A119,Annex10_Gas_Table,'Annex 10-Gas'!$P$270),VLOOKUP($A119,Annex12_Gas_Table,'Annex 12-Gas'!$V$270)))</f>
        <v>8475.8569549291242</v>
      </c>
      <c r="I119" s="1486">
        <f t="shared" ca="1" si="11"/>
        <v>31817.934944208308</v>
      </c>
      <c r="J119" s="1486">
        <f t="shared" ca="1" si="12"/>
        <v>0</v>
      </c>
      <c r="K119" s="1480">
        <f ca="1">IF(Assm!$L$74=1,VLOOKUP($A119,Curves_Table,Escalation!$D$291),Exch)</f>
        <v>1.0649999999999999</v>
      </c>
      <c r="L119" s="335">
        <f t="shared" ca="1" si="13"/>
        <v>0</v>
      </c>
      <c r="M119" s="698" t="str">
        <f t="shared" ca="1" si="8"/>
        <v xml:space="preserve"> </v>
      </c>
    </row>
    <row r="120" spans="1:13">
      <c r="A120" s="672">
        <f t="shared" ca="1" si="9"/>
        <v>39539</v>
      </c>
      <c r="C120" s="691">
        <f ca="1">MAX('Plant Operations'!H120,'Plant Operations'!L120)</f>
        <v>0.92</v>
      </c>
      <c r="D120" s="820">
        <f t="shared" ca="1" si="10"/>
        <v>0.92</v>
      </c>
      <c r="E120" s="820">
        <f t="shared" ca="1" si="7"/>
        <v>0</v>
      </c>
      <c r="F120" s="1485">
        <f ca="1">IF(Assm!$F$29=0,'Annex 10-Plant'!G120,'Annex 12-Plant'!T120)</f>
        <v>12540.625085762789</v>
      </c>
      <c r="G120" s="1486">
        <f ca="1">IF($A120&lt;Startops2,0,IF(Assm!$F$29=0,VLOOKUP($A120,Annex10_Gas_Table,'Annex 10-Gas'!$G$270),VLOOKUP($A120,Annex12_Gas_Table,'Annex 12-Gas'!$J$270)))</f>
        <v>10850.599334304974</v>
      </c>
      <c r="H120" s="1487">
        <f ca="1">IF($A120&lt;Startops2,0,IF(Assm!$F$29=0,VLOOKUP($A120,Annex10_Gas_Table,'Annex 10-Gas'!$P$270),VLOOKUP($A120,Annex12_Gas_Table,'Annex 12-Gas'!$V$270)))</f>
        <v>8493.7815346652769</v>
      </c>
      <c r="I120" s="1486">
        <f t="shared" ca="1" si="11"/>
        <v>31885.005954733038</v>
      </c>
      <c r="J120" s="1486">
        <f t="shared" ca="1" si="12"/>
        <v>0</v>
      </c>
      <c r="K120" s="1480">
        <f ca="1">IF(Assm!$L$74=1,VLOOKUP($A120,Curves_Table,Escalation!$D$291),Exch)</f>
        <v>1.0649999999999999</v>
      </c>
      <c r="L120" s="335">
        <f t="shared" ca="1" si="13"/>
        <v>0</v>
      </c>
      <c r="M120" s="698" t="str">
        <f t="shared" ca="1" si="8"/>
        <v xml:space="preserve"> </v>
      </c>
    </row>
    <row r="121" spans="1:13">
      <c r="A121" s="672">
        <f t="shared" ca="1" si="9"/>
        <v>39569</v>
      </c>
      <c r="C121" s="691">
        <f ca="1">MAX('Plant Operations'!H121,'Plant Operations'!L121)</f>
        <v>0.92</v>
      </c>
      <c r="D121" s="820">
        <f t="shared" ca="1" si="10"/>
        <v>0.92</v>
      </c>
      <c r="E121" s="820">
        <f t="shared" ca="1" si="7"/>
        <v>0</v>
      </c>
      <c r="F121" s="1485">
        <f ca="1">IF(Assm!$F$29=0,'Annex 10-Plant'!G121,'Annex 12-Plant'!T121)</f>
        <v>11800.551737459034</v>
      </c>
      <c r="G121" s="1486">
        <f ca="1">IF($A121&lt;Startops2,0,IF(Assm!$F$29=0,VLOOKUP($A121,Annex10_Gas_Table,'Annex 10-Gas'!$G$270),VLOOKUP($A121,Annex12_Gas_Table,'Annex 12-Gas'!$J$270)))</f>
        <v>11151.214494438742</v>
      </c>
      <c r="H121" s="1487">
        <f ca="1">IF($A121&lt;Startops2,0,IF(Assm!$F$29=0,VLOOKUP($A121,Annex10_Gas_Table,'Annex 10-Gas'!$P$270),VLOOKUP($A121,Annex12_Gas_Table,'Annex 12-Gas'!$V$270)))</f>
        <v>8648.8281936951498</v>
      </c>
      <c r="I121" s="1486">
        <f t="shared" ca="1" si="11"/>
        <v>31600.594425592924</v>
      </c>
      <c r="J121" s="1486">
        <f t="shared" ca="1" si="12"/>
        <v>0</v>
      </c>
      <c r="K121" s="1480">
        <f ca="1">IF(Assm!$L$74=1,VLOOKUP($A121,Curves_Table,Escalation!$D$291),Exch)</f>
        <v>1.0649999999999999</v>
      </c>
      <c r="L121" s="335">
        <f t="shared" ca="1" si="13"/>
        <v>0</v>
      </c>
      <c r="M121" s="698" t="str">
        <f t="shared" ca="1" si="8"/>
        <v xml:space="preserve"> </v>
      </c>
    </row>
    <row r="122" spans="1:13">
      <c r="A122" s="672">
        <f t="shared" ca="1" si="9"/>
        <v>39600</v>
      </c>
      <c r="C122" s="691">
        <f ca="1">MAX('Plant Operations'!H122,'Plant Operations'!L122)</f>
        <v>0.92</v>
      </c>
      <c r="D122" s="820">
        <f t="shared" ca="1" si="10"/>
        <v>0.92</v>
      </c>
      <c r="E122" s="820">
        <f t="shared" ca="1" si="7"/>
        <v>0</v>
      </c>
      <c r="F122" s="1485">
        <f ca="1">IF(Assm!$F$29=0,'Annex 10-Plant'!G122,'Annex 12-Plant'!T122)</f>
        <v>11825.096160215806</v>
      </c>
      <c r="G122" s="1486">
        <f ca="1">IF($A122&lt;Startops2,0,IF(Assm!$F$29=0,VLOOKUP($A122,Annex10_Gas_Table,'Annex 10-Gas'!$G$270),VLOOKUP($A122,Annex12_Gas_Table,'Annex 12-Gas'!$J$270)))</f>
        <v>11174.796868990765</v>
      </c>
      <c r="H122" s="1487">
        <f ca="1">IF($A122&lt;Startops2,0,IF(Assm!$F$29=0,VLOOKUP($A122,Annex10_Gas_Table,'Annex 10-Gas'!$P$270),VLOOKUP($A122,Annex12_Gas_Table,'Annex 12-Gas'!$V$270)))</f>
        <v>8667.1185696897574</v>
      </c>
      <c r="I122" s="1486">
        <f t="shared" ca="1" si="11"/>
        <v>31667.01159889633</v>
      </c>
      <c r="J122" s="1486">
        <f t="shared" ca="1" si="12"/>
        <v>0</v>
      </c>
      <c r="K122" s="1480">
        <f ca="1">IF(Assm!$L$74=1,VLOOKUP($A122,Curves_Table,Escalation!$D$291),Exch)</f>
        <v>1.0649999999999999</v>
      </c>
      <c r="L122" s="335">
        <f t="shared" ca="1" si="13"/>
        <v>0</v>
      </c>
      <c r="M122" s="698" t="str">
        <f t="shared" ca="1" si="8"/>
        <v xml:space="preserve"> </v>
      </c>
    </row>
    <row r="123" spans="1:13">
      <c r="A123" s="672">
        <f t="shared" ca="1" si="9"/>
        <v>39630</v>
      </c>
      <c r="C123" s="691">
        <f ca="1">MAX('Plant Operations'!H123,'Plant Operations'!L123)</f>
        <v>0.92</v>
      </c>
      <c r="D123" s="820">
        <f t="shared" ca="1" si="10"/>
        <v>0.92</v>
      </c>
      <c r="E123" s="820">
        <f t="shared" ca="1" si="7"/>
        <v>0</v>
      </c>
      <c r="F123" s="1485">
        <f ca="1">IF(Assm!$F$29=0,'Annex 10-Plant'!G123,'Annex 12-Plant'!T123)</f>
        <v>11849.6924890471</v>
      </c>
      <c r="G123" s="1486">
        <f ca="1">IF($A123&lt;Startops2,0,IF(Assm!$F$29=0,VLOOKUP($A123,Annex10_Gas_Table,'Annex 10-Gas'!$G$270),VLOOKUP($A123,Annex12_Gas_Table,'Annex 12-Gas'!$J$270)))</f>
        <v>11198.429115096222</v>
      </c>
      <c r="H123" s="1487">
        <f ca="1">IF($A123&lt;Startops2,0,IF(Assm!$F$29=0,VLOOKUP($A123,Annex10_Gas_Table,'Annex 10-Gas'!$P$270),VLOOKUP($A123,Annex12_Gas_Table,'Annex 12-Gas'!$V$270)))</f>
        <v>8685.4476258207433</v>
      </c>
      <c r="I123" s="1486">
        <f t="shared" ca="1" si="11"/>
        <v>31733.569229964065</v>
      </c>
      <c r="J123" s="1486">
        <f t="shared" ca="1" si="12"/>
        <v>0</v>
      </c>
      <c r="K123" s="1480">
        <f ca="1">IF(Assm!$L$74=1,VLOOKUP($A123,Curves_Table,Escalation!$D$291),Exch)</f>
        <v>1.0649999999999999</v>
      </c>
      <c r="L123" s="335">
        <f t="shared" ca="1" si="13"/>
        <v>0</v>
      </c>
      <c r="M123" s="698" t="str">
        <f t="shared" ca="1" si="8"/>
        <v xml:space="preserve"> </v>
      </c>
    </row>
    <row r="124" spans="1:13">
      <c r="A124" s="672">
        <f t="shared" ca="1" si="9"/>
        <v>39661</v>
      </c>
      <c r="C124" s="691">
        <f ca="1">MAX('Plant Operations'!H124,'Plant Operations'!L124)</f>
        <v>0.92</v>
      </c>
      <c r="D124" s="820">
        <f t="shared" ca="1" si="10"/>
        <v>0.92</v>
      </c>
      <c r="E124" s="820">
        <f t="shared" ca="1" si="7"/>
        <v>0</v>
      </c>
      <c r="F124" s="1485">
        <f ca="1">IF(Assm!$F$29=0,'Annex 10-Plant'!G124,'Annex 12-Plant'!T124)</f>
        <v>11874.340833722898</v>
      </c>
      <c r="G124" s="1486">
        <f ca="1">IF($A124&lt;Startops2,0,IF(Assm!$F$29=0,VLOOKUP($A124,Annex10_Gas_Table,'Annex 10-Gas'!$G$270),VLOOKUP($A124,Annex12_Gas_Table,'Annex 12-Gas'!$J$270)))</f>
        <v>11222.111338222519</v>
      </c>
      <c r="H124" s="1487">
        <f ca="1">IF($A124&lt;Startops2,0,IF(Assm!$F$29=0,VLOOKUP($A124,Annex10_Gas_Table,'Annex 10-Gas'!$P$270),VLOOKUP($A124,Annex12_Gas_Table,'Annex 12-Gas'!$V$270)))</f>
        <v>8703.8154438881156</v>
      </c>
      <c r="I124" s="1486">
        <f t="shared" ca="1" si="11"/>
        <v>31800.267615833531</v>
      </c>
      <c r="J124" s="1486">
        <f t="shared" ca="1" si="12"/>
        <v>0</v>
      </c>
      <c r="K124" s="1480">
        <f ca="1">IF(Assm!$L$74=1,VLOOKUP($A124,Curves_Table,Escalation!$D$291),Exch)</f>
        <v>1.0649999999999999</v>
      </c>
      <c r="L124" s="335">
        <f t="shared" ca="1" si="13"/>
        <v>0</v>
      </c>
      <c r="M124" s="698" t="str">
        <f t="shared" ca="1" si="8"/>
        <v xml:space="preserve"> </v>
      </c>
    </row>
    <row r="125" spans="1:13">
      <c r="A125" s="672">
        <f t="shared" ca="1" si="9"/>
        <v>39692</v>
      </c>
      <c r="C125" s="691">
        <f ca="1">MAX('Plant Operations'!H125,'Plant Operations'!L125)</f>
        <v>0.92</v>
      </c>
      <c r="D125" s="820">
        <f t="shared" ca="1" si="10"/>
        <v>0.92</v>
      </c>
      <c r="E125" s="820">
        <f t="shared" ca="1" si="7"/>
        <v>0</v>
      </c>
      <c r="F125" s="1485">
        <f ca="1">IF(Assm!$F$29=0,'Annex 10-Plant'!G125,'Annex 12-Plant'!T125)</f>
        <v>11899.0413042453</v>
      </c>
      <c r="G125" s="1486">
        <f ca="1">IF($A125&lt;Startops2,0,IF(Assm!$F$29=0,VLOOKUP($A125,Annex10_Gas_Table,'Annex 10-Gas'!$G$270),VLOOKUP($A125,Annex12_Gas_Table,'Annex 12-Gas'!$J$270)))</f>
        <v>11245.843644060098</v>
      </c>
      <c r="H125" s="1487">
        <f ca="1">IF($A125&lt;Startops2,0,IF(Assm!$F$29=0,VLOOKUP($A125,Annex10_Gas_Table,'Annex 10-Gas'!$P$270),VLOOKUP($A125,Annex12_Gas_Table,'Annex 12-Gas'!$V$270)))</f>
        <v>8722.2221058648738</v>
      </c>
      <c r="I125" s="1486">
        <f t="shared" ca="1" si="11"/>
        <v>31867.107054170272</v>
      </c>
      <c r="J125" s="1486">
        <f t="shared" ca="1" si="12"/>
        <v>0</v>
      </c>
      <c r="K125" s="1480">
        <f ca="1">IF(Assm!$L$74=1,VLOOKUP($A125,Curves_Table,Escalation!$D$291),Exch)</f>
        <v>1.0649999999999999</v>
      </c>
      <c r="L125" s="335">
        <f t="shared" ca="1" si="13"/>
        <v>0</v>
      </c>
      <c r="M125" s="698" t="str">
        <f t="shared" ca="1" si="8"/>
        <v xml:space="preserve"> </v>
      </c>
    </row>
    <row r="126" spans="1:13">
      <c r="A126" s="672">
        <f t="shared" ca="1" si="9"/>
        <v>39722</v>
      </c>
      <c r="C126" s="691">
        <f ca="1">MAX('Plant Operations'!H126,'Plant Operations'!L126)</f>
        <v>0.92</v>
      </c>
      <c r="D126" s="820">
        <f t="shared" ca="1" si="10"/>
        <v>0.92</v>
      </c>
      <c r="E126" s="820">
        <f t="shared" ca="1" si="7"/>
        <v>0</v>
      </c>
      <c r="F126" s="1485">
        <f ca="1">IF(Assm!$F$29=0,'Annex 10-Plant'!G126,'Annex 12-Plant'!T126)</f>
        <v>11923.794010849051</v>
      </c>
      <c r="G126" s="1486">
        <f ca="1">IF($A126&lt;Startops2,0,IF(Assm!$F$29=0,VLOOKUP($A126,Annex10_Gas_Table,'Annex 10-Gas'!$G$270),VLOOKUP($A126,Annex12_Gas_Table,'Annex 12-Gas'!$J$270)))</f>
        <v>11269.626138522919</v>
      </c>
      <c r="H126" s="1487">
        <f ca="1">IF($A126&lt;Startops2,0,IF(Assm!$F$29=0,VLOOKUP($A126,Annex10_Gas_Table,'Annex 10-Gas'!$P$270),VLOOKUP($A126,Annex12_Gas_Table,'Annex 12-Gas'!$V$270)))</f>
        <v>8740.6676938973706</v>
      </c>
      <c r="I126" s="1486">
        <f t="shared" ca="1" si="11"/>
        <v>31934.087843269343</v>
      </c>
      <c r="J126" s="1486">
        <f t="shared" ca="1" si="12"/>
        <v>0</v>
      </c>
      <c r="K126" s="1480">
        <f ca="1">IF(Assm!$L$74=1,VLOOKUP($A126,Curves_Table,Escalation!$D$291),Exch)</f>
        <v>1.0649999999999999</v>
      </c>
      <c r="L126" s="335">
        <f t="shared" ca="1" si="13"/>
        <v>0</v>
      </c>
      <c r="M126" s="698" t="str">
        <f t="shared" ca="1" si="8"/>
        <v xml:space="preserve"> </v>
      </c>
    </row>
    <row r="127" spans="1:13">
      <c r="A127" s="672">
        <f t="shared" ca="1" si="9"/>
        <v>39753</v>
      </c>
      <c r="C127" s="691">
        <f ca="1">MAX('Plant Operations'!H127,'Plant Operations'!L127)</f>
        <v>0.92</v>
      </c>
      <c r="D127" s="820">
        <f t="shared" ca="1" si="10"/>
        <v>0.92</v>
      </c>
      <c r="E127" s="820">
        <f t="shared" ca="1" si="7"/>
        <v>0</v>
      </c>
      <c r="F127" s="1485">
        <f ca="1">IF(Assm!$F$29=0,'Annex 10-Plant'!G127,'Annex 12-Plant'!T127)</f>
        <v>11948.599064002015</v>
      </c>
      <c r="G127" s="1486">
        <f ca="1">IF($A127&lt;Startops2,0,IF(Assm!$F$29=0,VLOOKUP($A127,Annex10_Gas_Table,'Annex 10-Gas'!$G$270),VLOOKUP($A127,Annex12_Gas_Table,'Annex 12-Gas'!$J$270)))</f>
        <v>11293.458927748925</v>
      </c>
      <c r="H127" s="1487">
        <f ca="1">IF($A127&lt;Startops2,0,IF(Assm!$F$29=0,VLOOKUP($A127,Annex10_Gas_Table,'Annex 10-Gas'!$P$270),VLOOKUP($A127,Annex12_Gas_Table,'Annex 12-Gas'!$V$270)))</f>
        <v>8759.1522903056866</v>
      </c>
      <c r="I127" s="1486">
        <f t="shared" ca="1" si="11"/>
        <v>32001.210282056625</v>
      </c>
      <c r="J127" s="1486">
        <f t="shared" ca="1" si="12"/>
        <v>0</v>
      </c>
      <c r="K127" s="1480">
        <f ca="1">IF(Assm!$L$74=1,VLOOKUP($A127,Curves_Table,Escalation!$D$291),Exch)</f>
        <v>1.0649999999999999</v>
      </c>
      <c r="L127" s="335">
        <f t="shared" ca="1" si="13"/>
        <v>0</v>
      </c>
      <c r="M127" s="698" t="str">
        <f t="shared" ca="1" si="8"/>
        <v xml:space="preserve"> </v>
      </c>
    </row>
    <row r="128" spans="1:13">
      <c r="A128" s="672">
        <f t="shared" ca="1" si="9"/>
        <v>39783</v>
      </c>
      <c r="C128" s="691">
        <f ca="1">MAX('Plant Operations'!H128,'Plant Operations'!L128)</f>
        <v>0.92</v>
      </c>
      <c r="D128" s="820">
        <f t="shared" ca="1" si="10"/>
        <v>0.92</v>
      </c>
      <c r="E128" s="820">
        <f t="shared" ca="1" si="7"/>
        <v>0</v>
      </c>
      <c r="F128" s="1485">
        <f ca="1">IF(Assm!$F$29=0,'Annex 10-Plant'!G128,'Annex 12-Plant'!T128)</f>
        <v>11973.456574405665</v>
      </c>
      <c r="G128" s="1486">
        <f ca="1">IF($A128&lt;Startops2,0,IF(Assm!$F$29=0,VLOOKUP($A128,Annex10_Gas_Table,'Annex 10-Gas'!$G$270),VLOOKUP($A128,Annex12_Gas_Table,'Annex 12-Gas'!$J$270)))</f>
        <v>11317.342118100503</v>
      </c>
      <c r="H128" s="1487">
        <f ca="1">IF($A128&lt;Startops2,0,IF(Assm!$F$29=0,VLOOKUP($A128,Annex10_Gas_Table,'Annex 10-Gas'!$P$270),VLOOKUP($A128,Annex12_Gas_Table,'Annex 12-Gas'!$V$270)))</f>
        <v>8777.6759775839801</v>
      </c>
      <c r="I128" s="1486">
        <f t="shared" ca="1" si="11"/>
        <v>32068.474670090152</v>
      </c>
      <c r="J128" s="1486">
        <f t="shared" ca="1" si="12"/>
        <v>0</v>
      </c>
      <c r="K128" s="1480">
        <f ca="1">IF(Assm!$L$74=1,VLOOKUP($A128,Curves_Table,Escalation!$D$291),Exch)</f>
        <v>1.0649999999999999</v>
      </c>
      <c r="L128" s="335">
        <f t="shared" ca="1" si="13"/>
        <v>0</v>
      </c>
      <c r="M128" s="698">
        <f t="shared" ca="1" si="8"/>
        <v>0</v>
      </c>
    </row>
    <row r="129" spans="1:13">
      <c r="A129" s="672">
        <f t="shared" ca="1" si="9"/>
        <v>39814</v>
      </c>
      <c r="C129" s="691">
        <f ca="1">MAX('Plant Operations'!H129,'Plant Operations'!L129)</f>
        <v>0.92</v>
      </c>
      <c r="D129" s="820">
        <f t="shared" ca="1" si="10"/>
        <v>0.92</v>
      </c>
      <c r="E129" s="820">
        <f t="shared" ca="1" si="7"/>
        <v>0</v>
      </c>
      <c r="F129" s="1485">
        <f ca="1">IF(Assm!$F$29=0,'Annex 10-Plant'!G129,'Annex 12-Plant'!T129)</f>
        <v>11997.719459162574</v>
      </c>
      <c r="G129" s="1486">
        <f ca="1">IF($A129&lt;Startops2,0,IF(Assm!$F$29=0,VLOOKUP($A129,Annex10_Gas_Table,'Annex 10-Gas'!$G$270),VLOOKUP($A129,Annex12_Gas_Table,'Annex 12-Gas'!$J$270)))</f>
        <v>11340.653989873586</v>
      </c>
      <c r="H129" s="1487">
        <f ca="1">IF($A129&lt;Startops2,0,IF(Assm!$F$29=0,VLOOKUP($A129,Annex10_Gas_Table,'Annex 10-Gas'!$P$270),VLOOKUP($A129,Annex12_Gas_Table,'Annex 12-Gas'!$V$270)))</f>
        <v>8795.7565529275307</v>
      </c>
      <c r="I129" s="1486">
        <f t="shared" ca="1" si="11"/>
        <v>32134.130001963691</v>
      </c>
      <c r="J129" s="1486">
        <f t="shared" ca="1" si="12"/>
        <v>0</v>
      </c>
      <c r="K129" s="1480">
        <f ca="1">IF(Assm!$L$74=1,VLOOKUP($A129,Curves_Table,Escalation!$D$291),Exch)</f>
        <v>1.0649999999999999</v>
      </c>
      <c r="L129" s="335">
        <f t="shared" ca="1" si="13"/>
        <v>0</v>
      </c>
      <c r="M129" s="698" t="str">
        <f t="shared" ca="1" si="8"/>
        <v xml:space="preserve"> </v>
      </c>
    </row>
    <row r="130" spans="1:13">
      <c r="A130" s="672">
        <f t="shared" ca="1" si="9"/>
        <v>39845</v>
      </c>
      <c r="C130" s="691">
        <f ca="1">MAX('Plant Operations'!H130,'Plant Operations'!L130)</f>
        <v>0.92</v>
      </c>
      <c r="D130" s="820">
        <f t="shared" ca="1" si="10"/>
        <v>0.92</v>
      </c>
      <c r="E130" s="820">
        <f t="shared" ca="1" si="7"/>
        <v>0</v>
      </c>
      <c r="F130" s="1485">
        <f ca="1">IF(Assm!$F$29=0,'Annex 10-Plant'!G130,'Annex 12-Plant'!T130)</f>
        <v>12022.03232148952</v>
      </c>
      <c r="G130" s="1486">
        <f ca="1">IF($A130&lt;Startops2,0,IF(Assm!$F$29=0,VLOOKUP($A130,Annex10_Gas_Table,'Annex 10-Gas'!$G$270),VLOOKUP($A130,Annex12_Gas_Table,'Annex 12-Gas'!$J$270)))</f>
        <v>11364.013880285662</v>
      </c>
      <c r="H130" s="1487">
        <f ca="1">IF($A130&lt;Startops2,0,IF(Assm!$F$29=0,VLOOKUP($A130,Annex10_Gas_Table,'Annex 10-Gas'!$P$270),VLOOKUP($A130,Annex12_Gas_Table,'Annex 12-Gas'!$V$270)))</f>
        <v>8813.8743712959586</v>
      </c>
      <c r="I130" s="1486">
        <f t="shared" ca="1" si="11"/>
        <v>32199.92057307114</v>
      </c>
      <c r="J130" s="1486">
        <f t="shared" ca="1" si="12"/>
        <v>0</v>
      </c>
      <c r="K130" s="1480">
        <f ca="1">IF(Assm!$L$74=1,VLOOKUP($A130,Curves_Table,Escalation!$D$291),Exch)</f>
        <v>1.0649999999999999</v>
      </c>
      <c r="L130" s="335">
        <f t="shared" ca="1" si="13"/>
        <v>0</v>
      </c>
      <c r="M130" s="698" t="str">
        <f t="shared" ca="1" si="8"/>
        <v xml:space="preserve"> </v>
      </c>
    </row>
    <row r="131" spans="1:13">
      <c r="A131" s="672">
        <f t="shared" ca="1" si="9"/>
        <v>39873</v>
      </c>
      <c r="C131" s="691">
        <f ca="1">MAX('Plant Operations'!H131,'Plant Operations'!L131)</f>
        <v>0.92</v>
      </c>
      <c r="D131" s="820">
        <f t="shared" ca="1" si="10"/>
        <v>0.92</v>
      </c>
      <c r="E131" s="820">
        <f t="shared" ca="1" si="7"/>
        <v>0</v>
      </c>
      <c r="F131" s="1485">
        <f ca="1">IF(Assm!$F$29=0,'Annex 10-Plant'!G131,'Annex 12-Plant'!T131)</f>
        <v>12046.395264332112</v>
      </c>
      <c r="G131" s="1486">
        <f ca="1">IF($A131&lt;Startops2,0,IF(Assm!$F$29=0,VLOOKUP($A131,Annex10_Gas_Table,'Annex 10-Gas'!$G$270),VLOOKUP($A131,Annex12_Gas_Table,'Annex 12-Gas'!$J$270)))</f>
        <v>11387.421888247269</v>
      </c>
      <c r="H131" s="1487">
        <f ca="1">IF($A131&lt;Startops2,0,IF(Assm!$F$29=0,VLOOKUP($A131,Annex10_Gas_Table,'Annex 10-Gas'!$P$270),VLOOKUP($A131,Annex12_Gas_Table,'Annex 12-Gas'!$V$270)))</f>
        <v>8832.0295094037901</v>
      </c>
      <c r="I131" s="1486">
        <f t="shared" ca="1" si="11"/>
        <v>32265.846661983171</v>
      </c>
      <c r="J131" s="1486">
        <f t="shared" ca="1" si="12"/>
        <v>0</v>
      </c>
      <c r="K131" s="1480">
        <f ca="1">IF(Assm!$L$74=1,VLOOKUP($A131,Curves_Table,Escalation!$D$291),Exch)</f>
        <v>1.0649999999999999</v>
      </c>
      <c r="L131" s="335">
        <f t="shared" ca="1" si="13"/>
        <v>0</v>
      </c>
      <c r="M131" s="698" t="str">
        <f t="shared" ca="1" si="8"/>
        <v xml:space="preserve"> </v>
      </c>
    </row>
    <row r="132" spans="1:13">
      <c r="A132" s="672">
        <f t="shared" ca="1" si="9"/>
        <v>39904</v>
      </c>
      <c r="C132" s="691">
        <f ca="1">MAX('Plant Operations'!H132,'Plant Operations'!L132)</f>
        <v>0.92</v>
      </c>
      <c r="D132" s="820">
        <f t="shared" ca="1" si="10"/>
        <v>0.92</v>
      </c>
      <c r="E132" s="820">
        <f t="shared" ca="1" si="7"/>
        <v>0</v>
      </c>
      <c r="F132" s="1485">
        <f ca="1">IF(Assm!$F$29=0,'Annex 10-Plant'!G132,'Annex 12-Plant'!T132)</f>
        <v>12070.808390848009</v>
      </c>
      <c r="G132" s="1486">
        <f ca="1">IF($A132&lt;Startops2,0,IF(Assm!$F$29=0,VLOOKUP($A132,Annex10_Gas_Table,'Annex 10-Gas'!$G$270),VLOOKUP($A132,Annex12_Gas_Table,'Annex 12-Gas'!$J$270)))</f>
        <v>11410.878112872679</v>
      </c>
      <c r="H132" s="1487">
        <f ca="1">IF($A132&lt;Startops2,0,IF(Assm!$F$29=0,VLOOKUP($A132,Annex10_Gas_Table,'Annex 10-Gas'!$P$270),VLOOKUP($A132,Annex12_Gas_Table,'Annex 12-Gas'!$V$270)))</f>
        <v>8850.2220441235786</v>
      </c>
      <c r="I132" s="1486">
        <f t="shared" ca="1" si="11"/>
        <v>32331.908547844265</v>
      </c>
      <c r="J132" s="1486">
        <f t="shared" ca="1" si="12"/>
        <v>0</v>
      </c>
      <c r="K132" s="1480">
        <f ca="1">IF(Assm!$L$74=1,VLOOKUP($A132,Curves_Table,Escalation!$D$291),Exch)</f>
        <v>1.0649999999999999</v>
      </c>
      <c r="L132" s="335">
        <f t="shared" ca="1" si="13"/>
        <v>0</v>
      </c>
      <c r="M132" s="698" t="str">
        <f t="shared" ca="1" si="8"/>
        <v xml:space="preserve"> </v>
      </c>
    </row>
    <row r="133" spans="1:13">
      <c r="A133" s="672">
        <f t="shared" ca="1" si="9"/>
        <v>39934</v>
      </c>
      <c r="C133" s="691">
        <f ca="1">MAX('Plant Operations'!H133,'Plant Operations'!L133)</f>
        <v>0.92</v>
      </c>
      <c r="D133" s="820">
        <f t="shared" ca="1" si="10"/>
        <v>0.92</v>
      </c>
      <c r="E133" s="820">
        <f t="shared" ca="1" si="7"/>
        <v>0</v>
      </c>
      <c r="F133" s="1485">
        <f ca="1">IF(Assm!$F$29=0,'Annex 10-Plant'!G133,'Annex 12-Plant'!T133)</f>
        <v>12135.982099466682</v>
      </c>
      <c r="G133" s="1486">
        <f ca="1">IF($A133&lt;Startops2,0,IF(Assm!$F$29=0,VLOOKUP($A133,Annex10_Gas_Table,'Annex 10-Gas'!$G$270),VLOOKUP($A133,Annex12_Gas_Table,'Annex 12-Gas'!$J$270)))</f>
        <v>11745.761232936058</v>
      </c>
      <c r="H133" s="1487">
        <f ca="1">IF($A133&lt;Startops2,0,IF(Assm!$F$29=0,VLOOKUP($A133,Annex10_Gas_Table,'Annex 10-Gas'!$P$270),VLOOKUP($A133,Annex12_Gas_Table,'Annex 12-Gas'!$V$270)))</f>
        <v>9084.1991382012566</v>
      </c>
      <c r="I133" s="1486">
        <f t="shared" ca="1" si="11"/>
        <v>32965.942470604001</v>
      </c>
      <c r="J133" s="1486">
        <f t="shared" ca="1" si="12"/>
        <v>0</v>
      </c>
      <c r="K133" s="1480">
        <f ca="1">IF(Assm!$L$74=1,VLOOKUP($A133,Curves_Table,Escalation!$D$291),Exch)</f>
        <v>1.0649999999999999</v>
      </c>
      <c r="L133" s="335">
        <f t="shared" ca="1" si="13"/>
        <v>0</v>
      </c>
      <c r="M133" s="698" t="str">
        <f t="shared" ca="1" si="8"/>
        <v xml:space="preserve"> </v>
      </c>
    </row>
    <row r="134" spans="1:13">
      <c r="A134" s="672">
        <f t="shared" ca="1" si="9"/>
        <v>39965</v>
      </c>
      <c r="C134" s="691">
        <f ca="1">MAX('Plant Operations'!H134,'Plant Operations'!L134)</f>
        <v>0.92</v>
      </c>
      <c r="D134" s="820">
        <f t="shared" ca="1" si="10"/>
        <v>0.92</v>
      </c>
      <c r="E134" s="820">
        <f t="shared" ca="1" si="7"/>
        <v>0</v>
      </c>
      <c r="F134" s="1485">
        <f ca="1">IF(Assm!$F$29=0,'Annex 10-Plant'!G134,'Annex 12-Plant'!T134)</f>
        <v>12160.334569348383</v>
      </c>
      <c r="G134" s="1486">
        <f ca="1">IF($A134&lt;Startops2,0,IF(Assm!$F$29=0,VLOOKUP($A134,Annex10_Gas_Table,'Annex 10-Gas'!$G$270),VLOOKUP($A134,Annex12_Gas_Table,'Annex 12-Gas'!$J$270)))</f>
        <v>11769.955577940571</v>
      </c>
      <c r="H134" s="1487">
        <f ca="1">IF($A134&lt;Startops2,0,IF(Assm!$F$29=0,VLOOKUP($A134,Annex10_Gas_Table,'Annex 10-Gas'!$P$270),VLOOKUP($A134,Annex12_Gas_Table,'Annex 12-Gas'!$V$270)))</f>
        <v>9102.9111010685974</v>
      </c>
      <c r="I134" s="1486">
        <f t="shared" ca="1" si="11"/>
        <v>33033.201248357553</v>
      </c>
      <c r="J134" s="1486">
        <f t="shared" ca="1" si="12"/>
        <v>0</v>
      </c>
      <c r="K134" s="1480">
        <f ca="1">IF(Assm!$L$74=1,VLOOKUP($A134,Curves_Table,Escalation!$D$291),Exch)</f>
        <v>1.0649999999999999</v>
      </c>
      <c r="L134" s="335">
        <f t="shared" ca="1" si="13"/>
        <v>0</v>
      </c>
      <c r="M134" s="698" t="str">
        <f t="shared" ca="1" si="8"/>
        <v xml:space="preserve"> </v>
      </c>
    </row>
    <row r="135" spans="1:13">
      <c r="A135" s="672">
        <f t="shared" ca="1" si="9"/>
        <v>39995</v>
      </c>
      <c r="C135" s="691">
        <f ca="1">MAX('Plant Operations'!H135,'Plant Operations'!L135)</f>
        <v>0.92</v>
      </c>
      <c r="D135" s="820">
        <f t="shared" ca="1" si="10"/>
        <v>0.92</v>
      </c>
      <c r="E135" s="820">
        <f t="shared" ca="1" si="7"/>
        <v>0</v>
      </c>
      <c r="F135" s="1485">
        <f ca="1">IF(Assm!$F$29=0,'Annex 10-Plant'!G135,'Annex 12-Plant'!T135)</f>
        <v>12184.737201330805</v>
      </c>
      <c r="G135" s="1486">
        <f ca="1">IF($A135&lt;Startops2,0,IF(Assm!$F$29=0,VLOOKUP($A135,Annex10_Gas_Table,'Annex 10-Gas'!$G$270),VLOOKUP($A135,Annex12_Gas_Table,'Annex 12-Gas'!$J$270)))</f>
        <v>11794.199759334449</v>
      </c>
      <c r="H135" s="1487">
        <f ca="1">IF($A135&lt;Startops2,0,IF(Assm!$F$29=0,VLOOKUP($A135,Annex10_Gas_Table,'Annex 10-Gas'!$P$270),VLOOKUP($A135,Annex12_Gas_Table,'Annex 12-Gas'!$V$270)))</f>
        <v>9121.6616075157308</v>
      </c>
      <c r="I135" s="1486">
        <f t="shared" ca="1" si="11"/>
        <v>33100.598568180983</v>
      </c>
      <c r="J135" s="1486">
        <f t="shared" ca="1" si="12"/>
        <v>0</v>
      </c>
      <c r="K135" s="1480">
        <f ca="1">IF(Assm!$L$74=1,VLOOKUP($A135,Curves_Table,Escalation!$D$291),Exch)</f>
        <v>1.0649999999999999</v>
      </c>
      <c r="L135" s="335">
        <f t="shared" ca="1" si="13"/>
        <v>0</v>
      </c>
      <c r="M135" s="698" t="str">
        <f t="shared" ca="1" si="8"/>
        <v xml:space="preserve"> </v>
      </c>
    </row>
    <row r="136" spans="1:13">
      <c r="A136" s="672">
        <f t="shared" ca="1" si="9"/>
        <v>40026</v>
      </c>
      <c r="C136" s="691">
        <f ca="1">MAX('Plant Operations'!H136,'Plant Operations'!L136)</f>
        <v>0.92</v>
      </c>
      <c r="D136" s="820">
        <f t="shared" ca="1" si="10"/>
        <v>0.92</v>
      </c>
      <c r="E136" s="820">
        <f t="shared" ca="1" si="7"/>
        <v>0</v>
      </c>
      <c r="F136" s="1485">
        <f ca="1">IF(Assm!$F$29=0,'Annex 10-Plant'!G136,'Annex 12-Plant'!T136)</f>
        <v>12209.190098739666</v>
      </c>
      <c r="G136" s="1486">
        <f ca="1">IF($A136&lt;Startops2,0,IF(Assm!$F$29=0,VLOOKUP($A136,Annex10_Gas_Table,'Annex 10-Gas'!$G$270),VLOOKUP($A136,Annex12_Gas_Table,'Annex 12-Gas'!$J$270)))</f>
        <v>11818.493879772494</v>
      </c>
      <c r="H136" s="1487">
        <f ca="1">IF($A136&lt;Startops2,0,IF(Assm!$F$29=0,VLOOKUP($A136,Annex10_Gas_Table,'Annex 10-Gas'!$P$270),VLOOKUP($A136,Annex12_Gas_Table,'Annex 12-Gas'!$V$270)))</f>
        <v>9140.4507369361199</v>
      </c>
      <c r="I136" s="1486">
        <f t="shared" ca="1" si="11"/>
        <v>33168.134715448279</v>
      </c>
      <c r="J136" s="1486">
        <f t="shared" ca="1" si="12"/>
        <v>0</v>
      </c>
      <c r="K136" s="1480">
        <f ca="1">IF(Assm!$L$74=1,VLOOKUP($A136,Curves_Table,Escalation!$D$291),Exch)</f>
        <v>1.0649999999999999</v>
      </c>
      <c r="L136" s="335">
        <f t="shared" ca="1" si="13"/>
        <v>0</v>
      </c>
      <c r="M136" s="698" t="str">
        <f t="shared" ca="1" si="8"/>
        <v xml:space="preserve"> </v>
      </c>
    </row>
    <row r="137" spans="1:13">
      <c r="A137" s="672">
        <f t="shared" ca="1" si="9"/>
        <v>40057</v>
      </c>
      <c r="C137" s="691">
        <f ca="1">MAX('Plant Operations'!H137,'Plant Operations'!L137)</f>
        <v>0.92</v>
      </c>
      <c r="D137" s="820">
        <f t="shared" ca="1" si="10"/>
        <v>0.92</v>
      </c>
      <c r="E137" s="820">
        <f t="shared" ca="1" si="7"/>
        <v>0</v>
      </c>
      <c r="F137" s="1485">
        <f ca="1">IF(Assm!$F$29=0,'Annex 10-Plant'!G137,'Annex 12-Plant'!T137)</f>
        <v>12233.693365113508</v>
      </c>
      <c r="G137" s="1486">
        <f ca="1">IF($A137&lt;Startops2,0,IF(Assm!$F$29=0,VLOOKUP($A137,Annex10_Gas_Table,'Annex 10-Gas'!$G$270),VLOOKUP($A137,Annex12_Gas_Table,'Annex 12-Gas'!$J$270)))</f>
        <v>11842.838042120962</v>
      </c>
      <c r="H137" s="1487">
        <f ca="1">IF($A137&lt;Startops2,0,IF(Assm!$F$29=0,VLOOKUP($A137,Annex10_Gas_Table,'Annex 10-Gas'!$P$270),VLOOKUP($A137,Annex12_Gas_Table,'Annex 12-Gas'!$V$270)))</f>
        <v>9159.2785688867698</v>
      </c>
      <c r="I137" s="1486">
        <f t="shared" ca="1" si="11"/>
        <v>33235.809976121236</v>
      </c>
      <c r="J137" s="1486">
        <f t="shared" ca="1" si="12"/>
        <v>0</v>
      </c>
      <c r="K137" s="1480">
        <f ca="1">IF(Assm!$L$74=1,VLOOKUP($A137,Curves_Table,Escalation!$D$291),Exch)</f>
        <v>1.0649999999999999</v>
      </c>
      <c r="L137" s="335">
        <f t="shared" ca="1" si="13"/>
        <v>0</v>
      </c>
      <c r="M137" s="698" t="str">
        <f t="shared" ca="1" si="8"/>
        <v xml:space="preserve"> </v>
      </c>
    </row>
    <row r="138" spans="1:13">
      <c r="A138" s="672">
        <f t="shared" ca="1" si="9"/>
        <v>40087</v>
      </c>
      <c r="C138" s="691">
        <f ca="1">MAX('Plant Operations'!H138,'Plant Operations'!L138)</f>
        <v>0.92</v>
      </c>
      <c r="D138" s="820">
        <f t="shared" ca="1" si="10"/>
        <v>0.92</v>
      </c>
      <c r="E138" s="820">
        <f t="shared" ca="1" si="7"/>
        <v>0</v>
      </c>
      <c r="F138" s="1485">
        <f ca="1">IF(Assm!$F$29=0,'Annex 10-Plant'!G138,'Annex 12-Plant'!T138)</f>
        <v>12258.24710420416</v>
      </c>
      <c r="G138" s="1486">
        <f ca="1">IF($A138&lt;Startops2,0,IF(Assm!$F$29=0,VLOOKUP($A138,Annex10_Gas_Table,'Annex 10-Gas'!$G$270),VLOOKUP($A138,Annex12_Gas_Table,'Annex 12-Gas'!$J$270)))</f>
        <v>11867.23234945799</v>
      </c>
      <c r="H138" s="1487">
        <f ca="1">IF($A138&lt;Startops2,0,IF(Assm!$F$29=0,VLOOKUP($A138,Annex10_Gas_Table,'Annex 10-Gas'!$P$270),VLOOKUP($A138,Annex12_Gas_Table,'Annex 12-Gas'!$V$270)))</f>
        <v>9178.1451830885544</v>
      </c>
      <c r="I138" s="1486">
        <f t="shared" ca="1" si="11"/>
        <v>33303.624636750705</v>
      </c>
      <c r="J138" s="1486">
        <f t="shared" ca="1" si="12"/>
        <v>0</v>
      </c>
      <c r="K138" s="1480">
        <f ca="1">IF(Assm!$L$74=1,VLOOKUP($A138,Curves_Table,Escalation!$D$291),Exch)</f>
        <v>1.0649999999999999</v>
      </c>
      <c r="L138" s="335">
        <f t="shared" ca="1" si="13"/>
        <v>0</v>
      </c>
      <c r="M138" s="698" t="str">
        <f t="shared" ca="1" si="8"/>
        <v xml:space="preserve"> </v>
      </c>
    </row>
    <row r="139" spans="1:13">
      <c r="A139" s="672">
        <f t="shared" ca="1" si="9"/>
        <v>40118</v>
      </c>
      <c r="C139" s="691">
        <f ca="1">MAX('Plant Operations'!H139,'Plant Operations'!L139)</f>
        <v>0.92</v>
      </c>
      <c r="D139" s="820">
        <f t="shared" ca="1" si="10"/>
        <v>0.92</v>
      </c>
      <c r="E139" s="820">
        <f t="shared" ca="1" si="7"/>
        <v>0</v>
      </c>
      <c r="F139" s="1485">
        <f ca="1">IF(Assm!$F$29=0,'Annex 10-Plant'!G139,'Annex 12-Plant'!T139)</f>
        <v>12282.851419977149</v>
      </c>
      <c r="G139" s="1486">
        <f ca="1">IF($A139&lt;Startops2,0,IF(Assm!$F$29=0,VLOOKUP($A139,Annex10_Gas_Table,'Annex 10-Gas'!$G$270),VLOOKUP($A139,Annex12_Gas_Table,'Annex 12-Gas'!$J$270)))</f>
        <v>11891.676905074053</v>
      </c>
      <c r="H139" s="1487">
        <f ca="1">IF($A139&lt;Startops2,0,IF(Assm!$F$29=0,VLOOKUP($A139,Annex10_Gas_Table,'Annex 10-Gas'!$P$270),VLOOKUP($A139,Annex12_Gas_Table,'Annex 12-Gas'!$V$270)))</f>
        <v>9197.0506594265607</v>
      </c>
      <c r="I139" s="1486">
        <f t="shared" ca="1" si="11"/>
        <v>33371.578984477761</v>
      </c>
      <c r="J139" s="1486">
        <f t="shared" ca="1" si="12"/>
        <v>0</v>
      </c>
      <c r="K139" s="1480">
        <f ca="1">IF(Assm!$L$74=1,VLOOKUP($A139,Curves_Table,Escalation!$D$291),Exch)</f>
        <v>1.0649999999999999</v>
      </c>
      <c r="L139" s="335">
        <f t="shared" ca="1" si="13"/>
        <v>0</v>
      </c>
      <c r="M139" s="698" t="str">
        <f t="shared" ca="1" si="8"/>
        <v xml:space="preserve"> </v>
      </c>
    </row>
    <row r="140" spans="1:13">
      <c r="A140" s="672">
        <f t="shared" ca="1" si="9"/>
        <v>40148</v>
      </c>
      <c r="C140" s="691">
        <f ca="1">MAX('Plant Operations'!H140,'Plant Operations'!L140)</f>
        <v>0.92</v>
      </c>
      <c r="D140" s="820">
        <f t="shared" ca="1" si="10"/>
        <v>0.92</v>
      </c>
      <c r="E140" s="820">
        <f t="shared" ref="E140:E203" ca="1" si="14">IF(D140&gt;E$10,0,E$10-D140)</f>
        <v>0</v>
      </c>
      <c r="F140" s="1485">
        <f ca="1">IF(Assm!$F$29=0,'Annex 10-Plant'!G140,'Annex 12-Plant'!T140)</f>
        <v>12307.506416612157</v>
      </c>
      <c r="G140" s="1486">
        <f ca="1">IF($A140&lt;Startops2,0,IF(Assm!$F$29=0,VLOOKUP($A140,Annex10_Gas_Table,'Annex 10-Gas'!$G$270),VLOOKUP($A140,Annex12_Gas_Table,'Annex 12-Gas'!$J$270)))</f>
        <v>11916.171812472367</v>
      </c>
      <c r="H140" s="1487">
        <f ca="1">IF($A140&lt;Startops2,0,IF(Assm!$F$29=0,VLOOKUP($A140,Annex10_Gas_Table,'Annex 10-Gas'!$P$270),VLOOKUP($A140,Annex12_Gas_Table,'Annex 12-Gas'!$V$270)))</f>
        <v>9215.9950779504197</v>
      </c>
      <c r="I140" s="1486">
        <f t="shared" ca="1" si="11"/>
        <v>33439.673307034944</v>
      </c>
      <c r="J140" s="1486">
        <f t="shared" ca="1" si="12"/>
        <v>0</v>
      </c>
      <c r="K140" s="1480">
        <f ca="1">IF(Assm!$L$74=1,VLOOKUP($A140,Curves_Table,Escalation!$D$291),Exch)</f>
        <v>1.0649999999999999</v>
      </c>
      <c r="L140" s="335">
        <f t="shared" ca="1" si="13"/>
        <v>0</v>
      </c>
      <c r="M140" s="698">
        <f t="shared" ref="M140:M203" ca="1" si="15">IF(MONTH($A140)=12,SUM(L129:L140)," ")</f>
        <v>0</v>
      </c>
    </row>
    <row r="141" spans="1:13">
      <c r="A141" s="672">
        <f t="shared" ref="A141:A204" ca="1" si="16">EDATE(A140,1)</f>
        <v>40179</v>
      </c>
      <c r="C141" s="691">
        <f ca="1">MAX('Plant Operations'!H141,'Plant Operations'!L141)</f>
        <v>0.92</v>
      </c>
      <c r="D141" s="820">
        <f t="shared" ref="D141:D204" ca="1" si="17">IF($A141&gt;Endyr,0,AVERAGE(C129:C140))</f>
        <v>0.92</v>
      </c>
      <c r="E141" s="820">
        <f t="shared" ca="1" si="14"/>
        <v>0</v>
      </c>
      <c r="F141" s="1485">
        <f ca="1">IF(Assm!$F$29=0,'Annex 10-Plant'!G141,'Annex 12-Plant'!T141)</f>
        <v>12330.866271968995</v>
      </c>
      <c r="G141" s="1486">
        <f ca="1">IF($A141&lt;Startops2,0,IF(Assm!$F$29=0,VLOOKUP($A141,Annex10_Gas_Table,'Annex 10-Gas'!$G$270),VLOOKUP($A141,Annex12_Gas_Table,'Annex 12-Gas'!$J$270)))</f>
        <v>11939.379988172999</v>
      </c>
      <c r="H141" s="1487">
        <f ca="1">IF($A141&lt;Startops2,0,IF(Assm!$F$29=0,VLOOKUP($A141,Annex10_Gas_Table,'Annex 10-Gas'!$P$270),VLOOKUP($A141,Annex12_Gas_Table,'Annex 12-Gas'!$V$270)))</f>
        <v>9233.9443351775899</v>
      </c>
      <c r="I141" s="1486">
        <f t="shared" ref="I141:I204" ca="1" si="18">SUM(F141:H141)</f>
        <v>33504.190595319582</v>
      </c>
      <c r="J141" s="1486">
        <f t="shared" ref="J141:J204" ca="1" si="19">E141*I141</f>
        <v>0</v>
      </c>
      <c r="K141" s="1480">
        <f ca="1">IF(Assm!$L$74=1,VLOOKUP($A141,Curves_Table,Escalation!$D$291),Exch)</f>
        <v>1.0649999999999999</v>
      </c>
      <c r="L141" s="335">
        <f t="shared" ref="L141:L204" ca="1" si="20">J141/K141</f>
        <v>0</v>
      </c>
      <c r="M141" s="698" t="str">
        <f t="shared" ca="1" si="15"/>
        <v xml:space="preserve"> </v>
      </c>
    </row>
    <row r="142" spans="1:13">
      <c r="A142" s="672">
        <f t="shared" ca="1" si="16"/>
        <v>40210</v>
      </c>
      <c r="C142" s="691">
        <f ca="1">MAX('Plant Operations'!H142,'Plant Operations'!L142)</f>
        <v>0.92</v>
      </c>
      <c r="D142" s="820">
        <f t="shared" ca="1" si="17"/>
        <v>0.92</v>
      </c>
      <c r="E142" s="820">
        <f t="shared" ca="1" si="14"/>
        <v>0</v>
      </c>
      <c r="F142" s="1485">
        <f ca="1">IF(Assm!$F$29=0,'Annex 10-Plant'!G142,'Annex 12-Plant'!T142)</f>
        <v>12354.271623449582</v>
      </c>
      <c r="G142" s="1486">
        <f ca="1">IF($A142&lt;Startops2,0,IF(Assm!$F$29=0,VLOOKUP($A142,Annex10_Gas_Table,'Annex 10-Gas'!$G$270),VLOOKUP($A142,Annex12_Gas_Table,'Annex 12-Gas'!$J$270)))</f>
        <v>11962.633364583033</v>
      </c>
      <c r="H142" s="1487">
        <f ca="1">IF($A142&lt;Startops2,0,IF(Assm!$F$29=0,VLOOKUP($A142,Annex10_Gas_Table,'Annex 10-Gas'!$P$270),VLOOKUP($A142,Annex12_Gas_Table,'Annex 12-Gas'!$V$270)))</f>
        <v>9251.9285507388595</v>
      </c>
      <c r="I142" s="1486">
        <f t="shared" ca="1" si="18"/>
        <v>33568.833538771476</v>
      </c>
      <c r="J142" s="1486">
        <f t="shared" ca="1" si="19"/>
        <v>0</v>
      </c>
      <c r="K142" s="1480">
        <f ca="1">IF(Assm!$L$74=1,VLOOKUP($A142,Curves_Table,Escalation!$D$291),Exch)</f>
        <v>1.0649999999999999</v>
      </c>
      <c r="L142" s="335">
        <f t="shared" ca="1" si="20"/>
        <v>0</v>
      </c>
      <c r="M142" s="698" t="str">
        <f t="shared" ca="1" si="15"/>
        <v xml:space="preserve"> </v>
      </c>
    </row>
    <row r="143" spans="1:13">
      <c r="A143" s="672">
        <f t="shared" ca="1" si="16"/>
        <v>40238</v>
      </c>
      <c r="C143" s="691">
        <f ca="1">MAX('Plant Operations'!H143,'Plant Operations'!L143)</f>
        <v>0.92</v>
      </c>
      <c r="D143" s="820">
        <f t="shared" ca="1" si="17"/>
        <v>0.92</v>
      </c>
      <c r="E143" s="820">
        <f t="shared" ca="1" si="14"/>
        <v>0</v>
      </c>
      <c r="F143" s="1485">
        <f ca="1">IF(Assm!$F$29=0,'Annex 10-Plant'!G143,'Annex 12-Plant'!T143)</f>
        <v>12377.722559663092</v>
      </c>
      <c r="G143" s="1486">
        <f ca="1">IF($A143&lt;Startops2,0,IF(Assm!$F$29=0,VLOOKUP($A143,Annex10_Gas_Table,'Annex 10-Gas'!$G$270),VLOOKUP($A143,Annex12_Gas_Table,'Annex 12-Gas'!$J$270)))</f>
        <v>11985.932029736288</v>
      </c>
      <c r="H143" s="1487">
        <f ca="1">IF($A143&lt;Startops2,0,IF(Assm!$F$29=0,VLOOKUP($A143,Annex10_Gas_Table,'Annex 10-Gas'!$P$270),VLOOKUP($A143,Annex12_Gas_Table,'Annex 12-Gas'!$V$270)))</f>
        <v>9269.9477927197877</v>
      </c>
      <c r="I143" s="1486">
        <f t="shared" ca="1" si="18"/>
        <v>33633.60238211917</v>
      </c>
      <c r="J143" s="1486">
        <f t="shared" ca="1" si="19"/>
        <v>0</v>
      </c>
      <c r="K143" s="1480">
        <f ca="1">IF(Assm!$L$74=1,VLOOKUP($A143,Curves_Table,Escalation!$D$291),Exch)</f>
        <v>1.0649999999999999</v>
      </c>
      <c r="L143" s="335">
        <f t="shared" ca="1" si="20"/>
        <v>0</v>
      </c>
      <c r="M143" s="698" t="str">
        <f t="shared" ca="1" si="15"/>
        <v xml:space="preserve"> </v>
      </c>
    </row>
    <row r="144" spans="1:13">
      <c r="A144" s="672">
        <f t="shared" ca="1" si="16"/>
        <v>40269</v>
      </c>
      <c r="C144" s="691">
        <f ca="1">MAX('Plant Operations'!H144,'Plant Operations'!L144)</f>
        <v>0.92</v>
      </c>
      <c r="D144" s="820">
        <f t="shared" ca="1" si="17"/>
        <v>0.92</v>
      </c>
      <c r="E144" s="820">
        <f t="shared" ca="1" si="14"/>
        <v>0</v>
      </c>
      <c r="F144" s="1485">
        <f ca="1">IF(Assm!$F$29=0,'Annex 10-Plant'!G144,'Annex 12-Plant'!T144)</f>
        <v>12401.219169391265</v>
      </c>
      <c r="G144" s="1486">
        <f ca="1">IF($A144&lt;Startops2,0,IF(Assm!$F$29=0,VLOOKUP($A144,Annex10_Gas_Table,'Annex 10-Gas'!$G$270),VLOOKUP($A144,Annex12_Gas_Table,'Annex 12-Gas'!$J$270)))</f>
        <v>12009.27607183803</v>
      </c>
      <c r="H144" s="1487">
        <f ca="1">IF($A144&lt;Startops2,0,IF(Assm!$F$29=0,VLOOKUP($A144,Annex10_Gas_Table,'Annex 10-Gas'!$P$270),VLOOKUP($A144,Annex12_Gas_Table,'Annex 12-Gas'!$V$270)))</f>
        <v>9288.0021293385253</v>
      </c>
      <c r="I144" s="1486">
        <f t="shared" ca="1" si="18"/>
        <v>33698.49737056782</v>
      </c>
      <c r="J144" s="1486">
        <f t="shared" ca="1" si="19"/>
        <v>0</v>
      </c>
      <c r="K144" s="1480">
        <f ca="1">IF(Assm!$L$74=1,VLOOKUP($A144,Curves_Table,Escalation!$D$291),Exch)</f>
        <v>1.0649999999999999</v>
      </c>
      <c r="L144" s="335">
        <f t="shared" ca="1" si="20"/>
        <v>0</v>
      </c>
      <c r="M144" s="698" t="str">
        <f t="shared" ca="1" si="15"/>
        <v xml:space="preserve"> </v>
      </c>
    </row>
    <row r="145" spans="1:13">
      <c r="A145" s="672">
        <f t="shared" ca="1" si="16"/>
        <v>40299</v>
      </c>
      <c r="C145" s="691">
        <f ca="1">MAX('Plant Operations'!H145,'Plant Operations'!L145)</f>
        <v>0.92</v>
      </c>
      <c r="D145" s="820">
        <f t="shared" ca="1" si="17"/>
        <v>0.92</v>
      </c>
      <c r="E145" s="820">
        <f t="shared" ca="1" si="14"/>
        <v>0</v>
      </c>
      <c r="F145" s="1485">
        <f ca="1">IF(Assm!$F$29=0,'Annex 10-Plant'!G145,'Annex 12-Plant'!T145)</f>
        <v>12760.992117770589</v>
      </c>
      <c r="G145" s="1486">
        <f ca="1">IF($A145&lt;Startops2,0,IF(Assm!$F$29=0,VLOOKUP($A145,Annex10_Gas_Table,'Annex 10-Gas'!$G$270),VLOOKUP($A145,Annex12_Gas_Table,'Annex 12-Gas'!$J$270)))</f>
        <v>12348.928189231559</v>
      </c>
      <c r="H145" s="1487">
        <f ca="1">IF($A145&lt;Startops2,0,IF(Assm!$F$29=0,VLOOKUP($A145,Annex10_Gas_Table,'Annex 10-Gas'!$P$270),VLOOKUP($A145,Annex12_Gas_Table,'Annex 12-Gas'!$V$270)))</f>
        <v>9510.5516829602384</v>
      </c>
      <c r="I145" s="1486">
        <f t="shared" ca="1" si="18"/>
        <v>34620.471989962389</v>
      </c>
      <c r="J145" s="1486">
        <f t="shared" ca="1" si="19"/>
        <v>0</v>
      </c>
      <c r="K145" s="1480">
        <f ca="1">IF(Assm!$L$74=1,VLOOKUP($A145,Curves_Table,Escalation!$D$291),Exch)</f>
        <v>1.0649999999999999</v>
      </c>
      <c r="L145" s="335">
        <f t="shared" ca="1" si="20"/>
        <v>0</v>
      </c>
      <c r="M145" s="698" t="str">
        <f t="shared" ca="1" si="15"/>
        <v xml:space="preserve"> </v>
      </c>
    </row>
    <row r="146" spans="1:13">
      <c r="A146" s="672">
        <f t="shared" ca="1" si="16"/>
        <v>40330</v>
      </c>
      <c r="C146" s="691">
        <f ca="1">MAX('Plant Operations'!H146,'Plant Operations'!L146)</f>
        <v>0.92</v>
      </c>
      <c r="D146" s="820">
        <f t="shared" ca="1" si="17"/>
        <v>0.92</v>
      </c>
      <c r="E146" s="820">
        <f t="shared" ca="1" si="14"/>
        <v>0</v>
      </c>
      <c r="F146" s="1485">
        <f ca="1">IF(Assm!$F$29=0,'Annex 10-Plant'!G146,'Annex 12-Plant'!T146)</f>
        <v>12785.23160105339</v>
      </c>
      <c r="G146" s="1486">
        <f ca="1">IF($A146&lt;Startops2,0,IF(Assm!$F$29=0,VLOOKUP($A146,Annex10_Gas_Table,'Annex 10-Gas'!$G$270),VLOOKUP($A146,Annex12_Gas_Table,'Annex 12-Gas'!$J$270)))</f>
        <v>12372.979209948646</v>
      </c>
      <c r="H146" s="1487">
        <f ca="1">IF($A146&lt;Startops2,0,IF(Assm!$F$29=0,VLOOKUP($A146,Annex10_Gas_Table,'Annex 10-Gas'!$P$270),VLOOKUP($A146,Annex12_Gas_Table,'Annex 12-Gas'!$V$270)))</f>
        <v>9529.0746245510127</v>
      </c>
      <c r="I146" s="1486">
        <f t="shared" ca="1" si="18"/>
        <v>34687.285435553043</v>
      </c>
      <c r="J146" s="1486">
        <f t="shared" ca="1" si="19"/>
        <v>0</v>
      </c>
      <c r="K146" s="1480">
        <f ca="1">IF(Assm!$L$74=1,VLOOKUP($A146,Curves_Table,Escalation!$D$291),Exch)</f>
        <v>1.0649999999999999</v>
      </c>
      <c r="L146" s="335">
        <f t="shared" ca="1" si="20"/>
        <v>0</v>
      </c>
      <c r="M146" s="698" t="str">
        <f t="shared" ca="1" si="15"/>
        <v xml:space="preserve"> </v>
      </c>
    </row>
    <row r="147" spans="1:13">
      <c r="A147" s="672">
        <f t="shared" ca="1" si="16"/>
        <v>40360</v>
      </c>
      <c r="C147" s="691">
        <f ca="1">MAX('Plant Operations'!H147,'Plant Operations'!L147)</f>
        <v>0.92</v>
      </c>
      <c r="D147" s="820">
        <f t="shared" ca="1" si="17"/>
        <v>0.92</v>
      </c>
      <c r="E147" s="820">
        <f t="shared" ca="1" si="14"/>
        <v>0</v>
      </c>
      <c r="F147" s="1485">
        <f ca="1">IF(Assm!$F$29=0,'Annex 10-Plant'!G147,'Annex 12-Plant'!T147)</f>
        <v>12809.518293640971</v>
      </c>
      <c r="G147" s="1486">
        <f ca="1">IF($A147&lt;Startops2,0,IF(Assm!$F$29=0,VLOOKUP($A147,Annex10_Gas_Table,'Annex 10-Gas'!$G$270),VLOOKUP($A147,Annex12_Gas_Table,'Annex 12-Gas'!$J$270)))</f>
        <v>12397.077072917033</v>
      </c>
      <c r="H147" s="1487">
        <f ca="1">IF($A147&lt;Startops2,0,IF(Assm!$F$29=0,VLOOKUP($A147,Annex10_Gas_Table,'Annex 10-Gas'!$P$270),VLOOKUP($A147,Annex12_Gas_Table,'Annex 12-Gas'!$V$270)))</f>
        <v>9547.6336417950843</v>
      </c>
      <c r="I147" s="1486">
        <f t="shared" ca="1" si="18"/>
        <v>34754.229008353082</v>
      </c>
      <c r="J147" s="1486">
        <f t="shared" ca="1" si="19"/>
        <v>0</v>
      </c>
      <c r="K147" s="1480">
        <f ca="1">IF(Assm!$L$74=1,VLOOKUP($A147,Curves_Table,Escalation!$D$291),Exch)</f>
        <v>1.0649999999999999</v>
      </c>
      <c r="L147" s="335">
        <f t="shared" ca="1" si="20"/>
        <v>0</v>
      </c>
      <c r="M147" s="698" t="str">
        <f t="shared" ca="1" si="15"/>
        <v xml:space="preserve"> </v>
      </c>
    </row>
    <row r="148" spans="1:13">
      <c r="A148" s="672">
        <f t="shared" ca="1" si="16"/>
        <v>40391</v>
      </c>
      <c r="C148" s="691">
        <f ca="1">MAX('Plant Operations'!H148,'Plant Operations'!L148)</f>
        <v>0.92</v>
      </c>
      <c r="D148" s="820">
        <f t="shared" ca="1" si="17"/>
        <v>0.92</v>
      </c>
      <c r="E148" s="820">
        <f t="shared" ca="1" si="14"/>
        <v>0</v>
      </c>
      <c r="F148" s="1485">
        <f ca="1">IF(Assm!$F$29=0,'Annex 10-Plant'!G148,'Annex 12-Plant'!T148)</f>
        <v>12833.852287479123</v>
      </c>
      <c r="G148" s="1486">
        <f ca="1">IF($A148&lt;Startops2,0,IF(Assm!$F$29=0,VLOOKUP($A148,Annex10_Gas_Table,'Annex 10-Gas'!$G$270),VLOOKUP($A148,Annex12_Gas_Table,'Annex 12-Gas'!$J$270)))</f>
        <v>12421.221869367631</v>
      </c>
      <c r="H148" s="1487">
        <f ca="1">IF($A148&lt;Startops2,0,IF(Assm!$F$29=0,VLOOKUP($A148,Annex10_Gas_Table,'Annex 10-Gas'!$P$270),VLOOKUP($A148,Annex12_Gas_Table,'Annex 12-Gas'!$V$270)))</f>
        <v>9566.2288049541203</v>
      </c>
      <c r="I148" s="1486">
        <f t="shared" ca="1" si="18"/>
        <v>34821.302961800873</v>
      </c>
      <c r="J148" s="1486">
        <f t="shared" ca="1" si="19"/>
        <v>0</v>
      </c>
      <c r="K148" s="1480">
        <f ca="1">IF(Assm!$L$74=1,VLOOKUP($A148,Curves_Table,Escalation!$D$291),Exch)</f>
        <v>1.0649999999999999</v>
      </c>
      <c r="L148" s="335">
        <f t="shared" ca="1" si="20"/>
        <v>0</v>
      </c>
      <c r="M148" s="698" t="str">
        <f t="shared" ca="1" si="15"/>
        <v xml:space="preserve"> </v>
      </c>
    </row>
    <row r="149" spans="1:13">
      <c r="A149" s="672">
        <f t="shared" ca="1" si="16"/>
        <v>40422</v>
      </c>
      <c r="C149" s="691">
        <f ca="1">MAX('Plant Operations'!H149,'Plant Operations'!L149)</f>
        <v>0.92</v>
      </c>
      <c r="D149" s="820">
        <f t="shared" ca="1" si="17"/>
        <v>0.92</v>
      </c>
      <c r="E149" s="820">
        <f t="shared" ca="1" si="14"/>
        <v>0</v>
      </c>
      <c r="F149" s="1485">
        <f ca="1">IF(Assm!$F$29=0,'Annex 10-Plant'!G149,'Annex 12-Plant'!T149)</f>
        <v>12858.233674692712</v>
      </c>
      <c r="G149" s="1486">
        <f ca="1">IF($A149&lt;Startops2,0,IF(Assm!$F$29=0,VLOOKUP($A149,Annex10_Gas_Table,'Annex 10-Gas'!$G$270),VLOOKUP($A149,Annex12_Gas_Table,'Annex 12-Gas'!$J$270)))</f>
        <v>12445.413690709034</v>
      </c>
      <c r="H149" s="1487">
        <f ca="1">IF($A149&lt;Startops2,0,IF(Assm!$F$29=0,VLOOKUP($A149,Annex10_Gas_Table,'Annex 10-Gas'!$P$270),VLOOKUP($A149,Annex12_Gas_Table,'Annex 12-Gas'!$V$270)))</f>
        <v>9584.8601844266286</v>
      </c>
      <c r="I149" s="1486">
        <f t="shared" ca="1" si="18"/>
        <v>34888.507549828377</v>
      </c>
      <c r="J149" s="1486">
        <f t="shared" ca="1" si="19"/>
        <v>0</v>
      </c>
      <c r="K149" s="1480">
        <f ca="1">IF(Assm!$L$74=1,VLOOKUP($A149,Curves_Table,Escalation!$D$291),Exch)</f>
        <v>1.0649999999999999</v>
      </c>
      <c r="L149" s="335">
        <f t="shared" ca="1" si="20"/>
        <v>0</v>
      </c>
      <c r="M149" s="698" t="str">
        <f t="shared" ca="1" si="15"/>
        <v xml:space="preserve"> </v>
      </c>
    </row>
    <row r="150" spans="1:13">
      <c r="A150" s="672">
        <f t="shared" ca="1" si="16"/>
        <v>40452</v>
      </c>
      <c r="C150" s="691">
        <f ca="1">MAX('Plant Operations'!H150,'Plant Operations'!L150)</f>
        <v>0.92</v>
      </c>
      <c r="D150" s="820">
        <f t="shared" ca="1" si="17"/>
        <v>0.92</v>
      </c>
      <c r="E150" s="820">
        <f t="shared" ca="1" si="14"/>
        <v>0</v>
      </c>
      <c r="F150" s="1485">
        <f ca="1">IF(Assm!$F$29=0,'Annex 10-Plant'!G150,'Annex 12-Plant'!T150)</f>
        <v>12882.662547586033</v>
      </c>
      <c r="G150" s="1486">
        <f ca="1">IF($A150&lt;Startops2,0,IF(Assm!$F$29=0,VLOOKUP($A150,Annex10_Gas_Table,'Annex 10-Gas'!$G$270),VLOOKUP($A150,Annex12_Gas_Table,'Annex 12-Gas'!$J$270)))</f>
        <v>12469.652628527861</v>
      </c>
      <c r="H150" s="1487">
        <f ca="1">IF($A150&lt;Startops2,0,IF(Assm!$F$29=0,VLOOKUP($A150,Annex10_Gas_Table,'Annex 10-Gas'!$P$270),VLOOKUP($A150,Annex12_Gas_Table,'Annex 12-Gas'!$V$270)))</f>
        <v>9603.5278507482308</v>
      </c>
      <c r="I150" s="1486">
        <f t="shared" ca="1" si="18"/>
        <v>34955.843026862123</v>
      </c>
      <c r="J150" s="1486">
        <f t="shared" ca="1" si="19"/>
        <v>0</v>
      </c>
      <c r="K150" s="1480">
        <f ca="1">IF(Assm!$L$74=1,VLOOKUP($A150,Curves_Table,Escalation!$D$291),Exch)</f>
        <v>1.0649999999999999</v>
      </c>
      <c r="L150" s="335">
        <f t="shared" ca="1" si="20"/>
        <v>0</v>
      </c>
      <c r="M150" s="698" t="str">
        <f t="shared" ca="1" si="15"/>
        <v xml:space="preserve"> </v>
      </c>
    </row>
    <row r="151" spans="1:13">
      <c r="A151" s="672">
        <f t="shared" ca="1" si="16"/>
        <v>40483</v>
      </c>
      <c r="C151" s="691">
        <f ca="1">MAX('Plant Operations'!H151,'Plant Operations'!L151)</f>
        <v>0.92</v>
      </c>
      <c r="D151" s="820">
        <f t="shared" ca="1" si="17"/>
        <v>0.92</v>
      </c>
      <c r="E151" s="820">
        <f t="shared" ca="1" si="14"/>
        <v>0</v>
      </c>
      <c r="F151" s="1485">
        <f ca="1">IF(Assm!$F$29=0,'Annex 10-Plant'!G151,'Annex 12-Plant'!T151)</f>
        <v>12907.138998643144</v>
      </c>
      <c r="G151" s="1486">
        <f ca="1">IF($A151&lt;Startops2,0,IF(Assm!$F$29=0,VLOOKUP($A151,Annex10_Gas_Table,'Annex 10-Gas'!$G$270),VLOOKUP($A151,Annex12_Gas_Table,'Annex 12-Gas'!$J$270)))</f>
        <v>12493.938774589114</v>
      </c>
      <c r="H151" s="1487">
        <f ca="1">IF($A151&lt;Startops2,0,IF(Assm!$F$29=0,VLOOKUP($A151,Annex10_Gas_Table,'Annex 10-Gas'!$P$270),VLOOKUP($A151,Annex12_Gas_Table,'Annex 12-Gas'!$V$270)))</f>
        <v>9622.2318745919274</v>
      </c>
      <c r="I151" s="1486">
        <f t="shared" ca="1" si="18"/>
        <v>35023.309647824186</v>
      </c>
      <c r="J151" s="1486">
        <f t="shared" ca="1" si="19"/>
        <v>0</v>
      </c>
      <c r="K151" s="1480">
        <f ca="1">IF(Assm!$L$74=1,VLOOKUP($A151,Curves_Table,Escalation!$D$291),Exch)</f>
        <v>1.0649999999999999</v>
      </c>
      <c r="L151" s="335">
        <f t="shared" ca="1" si="20"/>
        <v>0</v>
      </c>
      <c r="M151" s="698" t="str">
        <f t="shared" ca="1" si="15"/>
        <v xml:space="preserve"> </v>
      </c>
    </row>
    <row r="152" spans="1:13">
      <c r="A152" s="672">
        <f t="shared" ca="1" si="16"/>
        <v>40513</v>
      </c>
      <c r="C152" s="691">
        <f ca="1">MAX('Plant Operations'!H152,'Plant Operations'!L152)</f>
        <v>0.92</v>
      </c>
      <c r="D152" s="820">
        <f t="shared" ca="1" si="17"/>
        <v>0.92</v>
      </c>
      <c r="E152" s="820">
        <f t="shared" ca="1" si="14"/>
        <v>0</v>
      </c>
      <c r="F152" s="1485">
        <f ca="1">IF(Assm!$F$29=0,'Annex 10-Plant'!G152,'Annex 12-Plant'!T152)</f>
        <v>12931.663120528228</v>
      </c>
      <c r="G152" s="1486">
        <f ca="1">IF($A152&lt;Startops2,0,IF(Assm!$F$29=0,VLOOKUP($A152,Annex10_Gas_Table,'Annex 10-Gas'!$G$270),VLOOKUP($A152,Annex12_Gas_Table,'Annex 12-Gas'!$J$270)))</f>
        <v>12518.272220836505</v>
      </c>
      <c r="H152" s="1487">
        <f ca="1">IF($A152&lt;Startops2,0,IF(Assm!$F$29=0,VLOOKUP($A152,Annex10_Gas_Table,'Annex 10-Gas'!$P$270),VLOOKUP($A152,Annex12_Gas_Table,'Annex 12-Gas'!$V$270)))</f>
        <v>9640.9723267683476</v>
      </c>
      <c r="I152" s="1486">
        <f t="shared" ca="1" si="18"/>
        <v>35090.907668133077</v>
      </c>
      <c r="J152" s="1486">
        <f t="shared" ca="1" si="19"/>
        <v>0</v>
      </c>
      <c r="K152" s="1480">
        <f ca="1">IF(Assm!$L$74=1,VLOOKUP($A152,Curves_Table,Escalation!$D$291),Exch)</f>
        <v>1.0649999999999999</v>
      </c>
      <c r="L152" s="335">
        <f t="shared" ca="1" si="20"/>
        <v>0</v>
      </c>
      <c r="M152" s="698">
        <f t="shared" ca="1" si="15"/>
        <v>0</v>
      </c>
    </row>
    <row r="153" spans="1:13">
      <c r="A153" s="672">
        <f t="shared" ca="1" si="16"/>
        <v>40544</v>
      </c>
      <c r="C153" s="691">
        <f ca="1">MAX('Plant Operations'!H153,'Plant Operations'!L153)</f>
        <v>0.92</v>
      </c>
      <c r="D153" s="820">
        <f t="shared" ca="1" si="17"/>
        <v>0.92</v>
      </c>
      <c r="E153" s="820">
        <f t="shared" ca="1" si="14"/>
        <v>0</v>
      </c>
      <c r="F153" s="1485">
        <f ca="1">IF(Assm!$F$29=0,'Annex 10-Plant'!G153,'Annex 12-Plant'!T153)</f>
        <v>12953.551603348094</v>
      </c>
      <c r="G153" s="1486">
        <f ca="1">IF($A153&lt;Startops2,0,IF(Assm!$F$29=0,VLOOKUP($A153,Annex10_Gas_Table,'Annex 10-Gas'!$G$270),VLOOKUP($A153,Annex12_Gas_Table,'Annex 12-Gas'!$J$270)))</f>
        <v>12539.990520175823</v>
      </c>
      <c r="H153" s="1487">
        <f ca="1">IF($A153&lt;Startops2,0,IF(Assm!$F$29=0,VLOOKUP($A153,Annex10_Gas_Table,'Annex 10-Gas'!$P$270),VLOOKUP($A153,Annex12_Gas_Table,'Annex 12-Gas'!$V$270)))</f>
        <v>9657.6987183358906</v>
      </c>
      <c r="I153" s="1486">
        <f t="shared" ca="1" si="18"/>
        <v>35151.240841859806</v>
      </c>
      <c r="J153" s="1486">
        <f t="shared" ca="1" si="19"/>
        <v>0</v>
      </c>
      <c r="K153" s="1480">
        <f ca="1">IF(Assm!$L$74=1,VLOOKUP($A153,Curves_Table,Escalation!$D$291),Exch)</f>
        <v>1.0649999999999999</v>
      </c>
      <c r="L153" s="335">
        <f t="shared" ca="1" si="20"/>
        <v>0</v>
      </c>
      <c r="M153" s="698" t="str">
        <f t="shared" ca="1" si="15"/>
        <v xml:space="preserve"> </v>
      </c>
    </row>
    <row r="154" spans="1:13">
      <c r="A154" s="672">
        <f t="shared" ca="1" si="16"/>
        <v>40575</v>
      </c>
      <c r="C154" s="691">
        <f ca="1">MAX('Plant Operations'!H154,'Plant Operations'!L154)</f>
        <v>0.92</v>
      </c>
      <c r="D154" s="820">
        <f t="shared" ca="1" si="17"/>
        <v>0.92</v>
      </c>
      <c r="E154" s="820">
        <f t="shared" ca="1" si="14"/>
        <v>0</v>
      </c>
      <c r="F154" s="1485">
        <f ca="1">IF(Assm!$F$29=0,'Annex 10-Plant'!G154,'Annex 12-Plant'!T154)</f>
        <v>12975.478061106802</v>
      </c>
      <c r="G154" s="1486">
        <f ca="1">IF($A154&lt;Startops2,0,IF(Assm!$F$29=0,VLOOKUP($A154,Annex10_Gas_Table,'Annex 10-Gas'!$G$270),VLOOKUP($A154,Annex12_Gas_Table,'Annex 12-Gas'!$J$270)))</f>
        <v>12561.746499197914</v>
      </c>
      <c r="H154" s="1487">
        <f ca="1">IF($A154&lt;Startops2,0,IF(Assm!$F$29=0,VLOOKUP($A154,Annex10_Gas_Table,'Annex 10-Gas'!$P$270),VLOOKUP($A154,Annex12_Gas_Table,'Annex 12-Gas'!$V$270)))</f>
        <v>9674.4541289863009</v>
      </c>
      <c r="I154" s="1486">
        <f t="shared" ca="1" si="18"/>
        <v>35211.678689291017</v>
      </c>
      <c r="J154" s="1486">
        <f t="shared" ca="1" si="19"/>
        <v>0</v>
      </c>
      <c r="K154" s="1480">
        <f ca="1">IF(Assm!$L$74=1,VLOOKUP($A154,Curves_Table,Escalation!$D$291),Exch)</f>
        <v>1.0649999999999999</v>
      </c>
      <c r="L154" s="335">
        <f t="shared" ca="1" si="20"/>
        <v>0</v>
      </c>
      <c r="M154" s="698" t="str">
        <f t="shared" ca="1" si="15"/>
        <v xml:space="preserve"> </v>
      </c>
    </row>
    <row r="155" spans="1:13">
      <c r="A155" s="672">
        <f t="shared" ca="1" si="16"/>
        <v>40603</v>
      </c>
      <c r="C155" s="691">
        <f ca="1">MAX('Plant Operations'!H155,'Plant Operations'!L155)</f>
        <v>0.92</v>
      </c>
      <c r="D155" s="820">
        <f t="shared" ca="1" si="17"/>
        <v>0.92</v>
      </c>
      <c r="E155" s="820">
        <f t="shared" ca="1" si="14"/>
        <v>0</v>
      </c>
      <c r="F155" s="1485">
        <f ca="1">IF(Assm!$F$29=0,'Annex 10-Plant'!G155,'Annex 12-Plant'!T155)</f>
        <v>12997.442559688125</v>
      </c>
      <c r="G155" s="1486">
        <f ca="1">IF($A155&lt;Startops2,0,IF(Assm!$F$29=0,VLOOKUP($A155,Annex10_Gas_Table,'Annex 10-Gas'!$G$270),VLOOKUP($A155,Annex12_Gas_Table,'Annex 12-Gas'!$J$270)))</f>
        <v>12583.540223274314</v>
      </c>
      <c r="H155" s="1487">
        <f ca="1">IF($A155&lt;Startops2,0,IF(Assm!$F$29=0,VLOOKUP($A155,Annex10_Gas_Table,'Annex 10-Gas'!$P$270),VLOOKUP($A155,Annex12_Gas_Table,'Annex 12-Gas'!$V$270)))</f>
        <v>9691.2386090655964</v>
      </c>
      <c r="I155" s="1486">
        <f t="shared" ca="1" si="18"/>
        <v>35272.221392028034</v>
      </c>
      <c r="J155" s="1486">
        <f t="shared" ca="1" si="19"/>
        <v>0</v>
      </c>
      <c r="K155" s="1480">
        <f ca="1">IF(Assm!$L$74=1,VLOOKUP($A155,Curves_Table,Escalation!$D$291),Exch)</f>
        <v>1.0649999999999999</v>
      </c>
      <c r="L155" s="335">
        <f t="shared" ca="1" si="20"/>
        <v>0</v>
      </c>
      <c r="M155" s="698" t="str">
        <f t="shared" ca="1" si="15"/>
        <v xml:space="preserve"> </v>
      </c>
    </row>
    <row r="156" spans="1:13">
      <c r="A156" s="672">
        <f t="shared" ca="1" si="16"/>
        <v>40634</v>
      </c>
      <c r="C156" s="691">
        <f ca="1">MAX('Plant Operations'!H156,'Plant Operations'!L156)</f>
        <v>0.92</v>
      </c>
      <c r="D156" s="820">
        <f t="shared" ca="1" si="17"/>
        <v>0.92</v>
      </c>
      <c r="E156" s="820">
        <f t="shared" ca="1" si="14"/>
        <v>0</v>
      </c>
      <c r="F156" s="1485">
        <f ca="1">IF(Assm!$F$29=0,'Annex 10-Plant'!G156,'Annex 12-Plant'!T156)</f>
        <v>13019.445165090152</v>
      </c>
      <c r="G156" s="1486">
        <f ca="1">IF($A156&lt;Startops2,0,IF(Assm!$F$29=0,VLOOKUP($A156,Annex10_Gas_Table,'Annex 10-Gas'!$G$270),VLOOKUP($A156,Annex12_Gas_Table,'Annex 12-Gas'!$J$270)))</f>
        <v>12605.371757889969</v>
      </c>
      <c r="H156" s="1487">
        <f ca="1">IF($A156&lt;Startops2,0,IF(Assm!$F$29=0,VLOOKUP($A156,Annex10_Gas_Table,'Annex 10-Gas'!$P$270),VLOOKUP($A156,Annex12_Gas_Table,'Annex 12-Gas'!$V$270)))</f>
        <v>9708.0522090071354</v>
      </c>
      <c r="I156" s="1486">
        <f t="shared" ca="1" si="18"/>
        <v>35332.86913198726</v>
      </c>
      <c r="J156" s="1486">
        <f t="shared" ca="1" si="19"/>
        <v>0</v>
      </c>
      <c r="K156" s="1480">
        <f ca="1">IF(Assm!$L$74=1,VLOOKUP($A156,Curves_Table,Escalation!$D$291),Exch)</f>
        <v>1.0649999999999999</v>
      </c>
      <c r="L156" s="335">
        <f t="shared" ca="1" si="20"/>
        <v>0</v>
      </c>
      <c r="M156" s="698" t="str">
        <f t="shared" ca="1" si="15"/>
        <v xml:space="preserve"> </v>
      </c>
    </row>
    <row r="157" spans="1:13">
      <c r="A157" s="672">
        <f t="shared" ca="1" si="16"/>
        <v>40664</v>
      </c>
      <c r="C157" s="691">
        <f ca="1">MAX('Plant Operations'!H157,'Plant Operations'!L157)</f>
        <v>0.92</v>
      </c>
      <c r="D157" s="820">
        <f t="shared" ca="1" si="17"/>
        <v>0.92</v>
      </c>
      <c r="E157" s="820">
        <f t="shared" ca="1" si="14"/>
        <v>0</v>
      </c>
      <c r="F157" s="1485">
        <f ca="1">IF(Assm!$F$29=0,'Annex 10-Plant'!G157,'Annex 12-Plant'!T157)</f>
        <v>12611.783479630618</v>
      </c>
      <c r="G157" s="1486">
        <f ca="1">IF($A157&lt;Startops2,0,IF(Assm!$F$29=0,VLOOKUP($A157,Annex10_Gas_Table,'Annex 10-Gas'!$G$270),VLOOKUP($A157,Annex12_Gas_Table,'Annex 12-Gas'!$J$270)))</f>
        <v>12924.262015978802</v>
      </c>
      <c r="H157" s="1487">
        <f ca="1">IF($A157&lt;Startops2,0,IF(Assm!$F$29=0,VLOOKUP($A157,Annex10_Gas_Table,'Annex 10-Gas'!$P$270),VLOOKUP($A157,Annex12_Gas_Table,'Annex 12-Gas'!$V$270)))</f>
        <v>9844.5974154901578</v>
      </c>
      <c r="I157" s="1486">
        <f t="shared" ca="1" si="18"/>
        <v>35380.642911099574</v>
      </c>
      <c r="J157" s="1486">
        <f t="shared" ca="1" si="19"/>
        <v>0</v>
      </c>
      <c r="K157" s="1480">
        <f ca="1">IF(Assm!$L$74=1,VLOOKUP($A157,Curves_Table,Escalation!$D$291),Exch)</f>
        <v>1.0649999999999999</v>
      </c>
      <c r="L157" s="335">
        <f t="shared" ca="1" si="20"/>
        <v>0</v>
      </c>
      <c r="M157" s="698" t="str">
        <f t="shared" ca="1" si="15"/>
        <v xml:space="preserve"> </v>
      </c>
    </row>
    <row r="158" spans="1:13">
      <c r="A158" s="672">
        <f t="shared" ca="1" si="16"/>
        <v>40695</v>
      </c>
      <c r="C158" s="691">
        <f ca="1">MAX('Plant Operations'!H158,'Plant Operations'!L158)</f>
        <v>0.92</v>
      </c>
      <c r="D158" s="820">
        <f t="shared" ca="1" si="17"/>
        <v>0.92</v>
      </c>
      <c r="E158" s="820">
        <f t="shared" ca="1" si="14"/>
        <v>0</v>
      </c>
      <c r="F158" s="1485">
        <f ca="1">IF(Assm!$F$29=0,'Annex 10-Plant'!G158,'Annex 12-Plant'!T158)</f>
        <v>12633.151507682573</v>
      </c>
      <c r="G158" s="1486">
        <f ca="1">IF($A158&lt;Startops2,0,IF(Assm!$F$29=0,VLOOKUP($A158,Annex10_Gas_Table,'Annex 10-Gas'!$G$270),VLOOKUP($A158,Annex12_Gas_Table,'Annex 12-Gas'!$J$270)))</f>
        <v>12946.684678327969</v>
      </c>
      <c r="H158" s="1487">
        <f ca="1">IF($A158&lt;Startops2,0,IF(Assm!$F$29=0,VLOOKUP($A158,Annex10_Gas_Table,'Annex 10-Gas'!$P$270),VLOOKUP($A158,Annex12_Gas_Table,'Annex 12-Gas'!$V$270)))</f>
        <v>9861.6770818988171</v>
      </c>
      <c r="I158" s="1486">
        <f t="shared" ca="1" si="18"/>
        <v>35441.513267909359</v>
      </c>
      <c r="J158" s="1486">
        <f t="shared" ca="1" si="19"/>
        <v>0</v>
      </c>
      <c r="K158" s="1480">
        <f ca="1">IF(Assm!$L$74=1,VLOOKUP($A158,Curves_Table,Escalation!$D$291),Exch)</f>
        <v>1.0649999999999999</v>
      </c>
      <c r="L158" s="335">
        <f t="shared" ca="1" si="20"/>
        <v>0</v>
      </c>
      <c r="M158" s="698" t="str">
        <f t="shared" ca="1" si="15"/>
        <v xml:space="preserve"> </v>
      </c>
    </row>
    <row r="159" spans="1:13">
      <c r="A159" s="672">
        <f t="shared" ca="1" si="16"/>
        <v>40725</v>
      </c>
      <c r="C159" s="691">
        <f ca="1">MAX('Plant Operations'!H159,'Plant Operations'!L159)</f>
        <v>0.92</v>
      </c>
      <c r="D159" s="820">
        <f t="shared" ca="1" si="17"/>
        <v>0.92</v>
      </c>
      <c r="E159" s="820">
        <f t="shared" ca="1" si="14"/>
        <v>0</v>
      </c>
      <c r="F159" s="1485">
        <f ca="1">IF(Assm!$F$29=0,'Annex 10-Plant'!G159,'Annex 12-Plant'!T159)</f>
        <v>12654.556607721885</v>
      </c>
      <c r="G159" s="1486">
        <f ca="1">IF($A159&lt;Startops2,0,IF(Assm!$F$29=0,VLOOKUP($A159,Annex10_Gas_Table,'Annex 10-Gas'!$G$270),VLOOKUP($A159,Annex12_Gas_Table,'Annex 12-Gas'!$J$270)))</f>
        <v>12969.146242378925</v>
      </c>
      <c r="H159" s="1487">
        <f ca="1">IF($A159&lt;Startops2,0,IF(Assm!$F$29=0,VLOOKUP($A159,Annex10_Gas_Table,'Annex 10-Gas'!$P$270),VLOOKUP($A159,Annex12_Gas_Table,'Annex 12-Gas'!$V$270)))</f>
        <v>9878.7863802967095</v>
      </c>
      <c r="I159" s="1486">
        <f t="shared" ca="1" si="18"/>
        <v>35502.489230397521</v>
      </c>
      <c r="J159" s="1486">
        <f t="shared" ca="1" si="19"/>
        <v>0</v>
      </c>
      <c r="K159" s="1480">
        <f ca="1">IF(Assm!$L$74=1,VLOOKUP($A159,Curves_Table,Escalation!$D$291),Exch)</f>
        <v>1.0649999999999999</v>
      </c>
      <c r="L159" s="335">
        <f t="shared" ca="1" si="20"/>
        <v>0</v>
      </c>
      <c r="M159" s="698" t="str">
        <f t="shared" ca="1" si="15"/>
        <v xml:space="preserve"> </v>
      </c>
    </row>
    <row r="160" spans="1:13">
      <c r="A160" s="672">
        <f t="shared" ca="1" si="16"/>
        <v>40756</v>
      </c>
      <c r="C160" s="691">
        <f ca="1">MAX('Plant Operations'!H160,'Plant Operations'!L160)</f>
        <v>0.92</v>
      </c>
      <c r="D160" s="820">
        <f t="shared" ca="1" si="17"/>
        <v>0.92</v>
      </c>
      <c r="E160" s="820">
        <f t="shared" ca="1" si="14"/>
        <v>0</v>
      </c>
      <c r="F160" s="1485">
        <f ca="1">IF(Assm!$F$29=0,'Annex 10-Plant'!G160,'Annex 12-Plant'!T160)</f>
        <v>12675.99884406578</v>
      </c>
      <c r="G160" s="1486">
        <f ca="1">IF($A160&lt;Startops2,0,IF(Assm!$F$29=0,VLOOKUP($A160,Annex10_Gas_Table,'Annex 10-Gas'!$G$270),VLOOKUP($A160,Annex12_Gas_Table,'Annex 12-Gas'!$J$270)))</f>
        <v>12991.646775623323</v>
      </c>
      <c r="H160" s="1487">
        <f ca="1">IF($A160&lt;Startops2,0,IF(Assm!$F$29=0,VLOOKUP($A160,Annex10_Gas_Table,'Annex 10-Gas'!$P$270),VLOOKUP($A160,Annex12_Gas_Table,'Annex 12-Gas'!$V$270)))</f>
        <v>9895.9253620932013</v>
      </c>
      <c r="I160" s="1486">
        <f t="shared" ca="1" si="18"/>
        <v>35563.570981782301</v>
      </c>
      <c r="J160" s="1486">
        <f t="shared" ca="1" si="19"/>
        <v>0</v>
      </c>
      <c r="K160" s="1480">
        <f ca="1">IF(Assm!$L$74=1,VLOOKUP($A160,Curves_Table,Escalation!$D$291),Exch)</f>
        <v>1.0649999999999999</v>
      </c>
      <c r="L160" s="335">
        <f t="shared" ca="1" si="20"/>
        <v>0</v>
      </c>
      <c r="M160" s="698" t="str">
        <f t="shared" ca="1" si="15"/>
        <v xml:space="preserve"> </v>
      </c>
    </row>
    <row r="161" spans="1:13">
      <c r="A161" s="672">
        <f t="shared" ca="1" si="16"/>
        <v>40787</v>
      </c>
      <c r="C161" s="691">
        <f ca="1">MAX('Plant Operations'!H161,'Plant Operations'!L161)</f>
        <v>0.92</v>
      </c>
      <c r="D161" s="820">
        <f t="shared" ca="1" si="17"/>
        <v>0.92</v>
      </c>
      <c r="E161" s="820">
        <f t="shared" ca="1" si="14"/>
        <v>0</v>
      </c>
      <c r="F161" s="1485">
        <f ca="1">IF(Assm!$F$29=0,'Annex 10-Plant'!G161,'Annex 12-Plant'!T161)</f>
        <v>12697.478281143069</v>
      </c>
      <c r="G161" s="1486">
        <f ca="1">IF($A161&lt;Startops2,0,IF(Assm!$F$29=0,VLOOKUP($A161,Annex10_Gas_Table,'Annex 10-Gas'!$G$270),VLOOKUP($A161,Annex12_Gas_Table,'Annex 12-Gas'!$J$270)))</f>
        <v>13014.186345669899</v>
      </c>
      <c r="H161" s="1487">
        <f ca="1">IF($A161&lt;Startops2,0,IF(Assm!$F$29=0,VLOOKUP($A161,Annex10_Gas_Table,'Annex 10-Gas'!$P$270),VLOOKUP($A161,Annex12_Gas_Table,'Annex 12-Gas'!$V$270)))</f>
        <v>9913.094078786844</v>
      </c>
      <c r="I161" s="1486">
        <f t="shared" ca="1" si="18"/>
        <v>35624.758705599816</v>
      </c>
      <c r="J161" s="1486">
        <f t="shared" ca="1" si="19"/>
        <v>0</v>
      </c>
      <c r="K161" s="1480">
        <f ca="1">IF(Assm!$L$74=1,VLOOKUP($A161,Curves_Table,Escalation!$D$291),Exch)</f>
        <v>1.0649999999999999</v>
      </c>
      <c r="L161" s="335">
        <f t="shared" ca="1" si="20"/>
        <v>0</v>
      </c>
      <c r="M161" s="698" t="str">
        <f t="shared" ca="1" si="15"/>
        <v xml:space="preserve"> </v>
      </c>
    </row>
    <row r="162" spans="1:13">
      <c r="A162" s="672">
        <f t="shared" ca="1" si="16"/>
        <v>40817</v>
      </c>
      <c r="C162" s="691">
        <f ca="1">MAX('Plant Operations'!H162,'Plant Operations'!L162)</f>
        <v>0.92</v>
      </c>
      <c r="D162" s="820">
        <f t="shared" ca="1" si="17"/>
        <v>0.92</v>
      </c>
      <c r="E162" s="820">
        <f t="shared" ca="1" si="14"/>
        <v>0</v>
      </c>
      <c r="F162" s="1485">
        <f ca="1">IF(Assm!$F$29=0,'Annex 10-Plant'!G162,'Annex 12-Plant'!T162)</f>
        <v>12718.99498349434</v>
      </c>
      <c r="G162" s="1486">
        <f ca="1">IF($A162&lt;Startops2,0,IF(Assm!$F$29=0,VLOOKUP($A162,Annex10_Gas_Table,'Annex 10-Gas'!$G$270),VLOOKUP($A162,Annex12_Gas_Table,'Annex 12-Gas'!$J$270)))</f>
        <v>13036.765020244686</v>
      </c>
      <c r="H162" s="1487">
        <f ca="1">IF($A162&lt;Startops2,0,IF(Assm!$F$29=0,VLOOKUP($A162,Annex10_Gas_Table,'Annex 10-Gas'!$P$270),VLOOKUP($A162,Annex12_Gas_Table,'Annex 12-Gas'!$V$270)))</f>
        <v>9930.2925819655447</v>
      </c>
      <c r="I162" s="1486">
        <f t="shared" ca="1" si="18"/>
        <v>35686.052585704572</v>
      </c>
      <c r="J162" s="1486">
        <f t="shared" ca="1" si="19"/>
        <v>0</v>
      </c>
      <c r="K162" s="1480">
        <f ca="1">IF(Assm!$L$74=1,VLOOKUP($A162,Curves_Table,Escalation!$D$291),Exch)</f>
        <v>1.0649999999999999</v>
      </c>
      <c r="L162" s="335">
        <f t="shared" ca="1" si="20"/>
        <v>0</v>
      </c>
      <c r="M162" s="698" t="str">
        <f t="shared" ca="1" si="15"/>
        <v xml:space="preserve"> </v>
      </c>
    </row>
    <row r="163" spans="1:13">
      <c r="A163" s="672">
        <f t="shared" ca="1" si="16"/>
        <v>40848</v>
      </c>
      <c r="C163" s="691">
        <f ca="1">MAX('Plant Operations'!H163,'Plant Operations'!L163)</f>
        <v>0.92</v>
      </c>
      <c r="D163" s="820">
        <f t="shared" ca="1" si="17"/>
        <v>0.92</v>
      </c>
      <c r="E163" s="820">
        <f t="shared" ca="1" si="14"/>
        <v>0</v>
      </c>
      <c r="F163" s="1485">
        <f ca="1">IF(Assm!$F$29=0,'Annex 10-Plant'!G163,'Annex 12-Plant'!T163)</f>
        <v>12740.549015772154</v>
      </c>
      <c r="G163" s="1486">
        <f ca="1">IF($A163&lt;Startops2,0,IF(Assm!$F$29=0,VLOOKUP($A163,Annex10_Gas_Table,'Annex 10-Gas'!$G$270),VLOOKUP($A163,Annex12_Gas_Table,'Annex 12-Gas'!$J$270)))</f>
        <v>13059.382867191227</v>
      </c>
      <c r="H163" s="1487">
        <f ca="1">IF($A163&lt;Startops2,0,IF(Assm!$F$29=0,VLOOKUP($A163,Annex10_Gas_Table,'Annex 10-Gas'!$P$270),VLOOKUP($A163,Annex12_Gas_Table,'Annex 12-Gas'!$V$270)))</f>
        <v>9947.5209233067035</v>
      </c>
      <c r="I163" s="1486">
        <f t="shared" ca="1" si="18"/>
        <v>35747.452806270085</v>
      </c>
      <c r="J163" s="1486">
        <f t="shared" ca="1" si="19"/>
        <v>0</v>
      </c>
      <c r="K163" s="1480">
        <f ca="1">IF(Assm!$L$74=1,VLOOKUP($A163,Curves_Table,Escalation!$D$291),Exch)</f>
        <v>1.0649999999999999</v>
      </c>
      <c r="L163" s="335">
        <f t="shared" ca="1" si="20"/>
        <v>0</v>
      </c>
      <c r="M163" s="698" t="str">
        <f t="shared" ca="1" si="15"/>
        <v xml:space="preserve"> </v>
      </c>
    </row>
    <row r="164" spans="1:13">
      <c r="A164" s="672">
        <f t="shared" ca="1" si="16"/>
        <v>40878</v>
      </c>
      <c r="C164" s="691">
        <f ca="1">MAX('Plant Operations'!H164,'Plant Operations'!L164)</f>
        <v>0.92</v>
      </c>
      <c r="D164" s="820">
        <f t="shared" ca="1" si="17"/>
        <v>0.92</v>
      </c>
      <c r="E164" s="820">
        <f t="shared" ca="1" si="14"/>
        <v>0</v>
      </c>
      <c r="F164" s="1485">
        <f ca="1">IF(Assm!$F$29=0,'Annex 10-Plant'!G164,'Annex 12-Plant'!T164)</f>
        <v>12762.140442741251</v>
      </c>
      <c r="G164" s="1486">
        <f ca="1">IF($A164&lt;Startops2,0,IF(Assm!$F$29=0,VLOOKUP($A164,Annex10_Gas_Table,'Annex 10-Gas'!$G$270),VLOOKUP($A164,Annex12_Gas_Table,'Annex 12-Gas'!$J$270)))</f>
        <v>13082.039954470763</v>
      </c>
      <c r="H164" s="1487">
        <f ca="1">IF($A164&lt;Startops2,0,IF(Assm!$F$29=0,VLOOKUP($A164,Annex10_Gas_Table,'Annex 10-Gas'!$P$270),VLOOKUP($A164,Annex12_Gas_Table,'Annex 12-Gas'!$V$270)))</f>
        <v>9964.7791545773871</v>
      </c>
      <c r="I164" s="1486">
        <f t="shared" ca="1" si="18"/>
        <v>35808.959551789405</v>
      </c>
      <c r="J164" s="1486">
        <f t="shared" ca="1" si="19"/>
        <v>0</v>
      </c>
      <c r="K164" s="1480">
        <f ca="1">IF(Assm!$L$74=1,VLOOKUP($A164,Curves_Table,Escalation!$D$291),Exch)</f>
        <v>1.0649999999999999</v>
      </c>
      <c r="L164" s="335">
        <f t="shared" ca="1" si="20"/>
        <v>0</v>
      </c>
      <c r="M164" s="698">
        <f t="shared" ca="1" si="15"/>
        <v>0</v>
      </c>
    </row>
    <row r="165" spans="1:13">
      <c r="A165" s="672">
        <f t="shared" ca="1" si="16"/>
        <v>40909</v>
      </c>
      <c r="C165" s="691">
        <f ca="1">MAX('Plant Operations'!H165,'Plant Operations'!L165)</f>
        <v>0.92</v>
      </c>
      <c r="D165" s="820">
        <f t="shared" ca="1" si="17"/>
        <v>0.92</v>
      </c>
      <c r="E165" s="820">
        <f t="shared" ca="1" si="14"/>
        <v>0</v>
      </c>
      <c r="F165" s="1485">
        <f ca="1">IF(Assm!$F$29=0,'Annex 10-Plant'!G165,'Annex 12-Plant'!T165)</f>
        <v>0</v>
      </c>
      <c r="G165" s="1486">
        <f ca="1">IF($A165&lt;Startops2,0,IF(Assm!$F$29=0,VLOOKUP($A165,Annex10_Gas_Table,'Annex 10-Gas'!$G$270),VLOOKUP($A165,Annex12_Gas_Table,'Annex 12-Gas'!$J$270)))</f>
        <v>13103.633801216794</v>
      </c>
      <c r="H165" s="1487">
        <f ca="1">IF($A165&lt;Startops2,0,IF(Assm!$F$29=0,VLOOKUP($A165,Annex10_Gas_Table,'Annex 10-Gas'!$P$270),VLOOKUP($A165,Annex12_Gas_Table,'Annex 12-Gas'!$V$270)))</f>
        <v>9981.227500146646</v>
      </c>
      <c r="I165" s="1486">
        <f t="shared" ca="1" si="18"/>
        <v>23084.861301363439</v>
      </c>
      <c r="J165" s="1486">
        <f t="shared" ca="1" si="19"/>
        <v>0</v>
      </c>
      <c r="K165" s="1480">
        <f ca="1">IF(Assm!$L$74=1,VLOOKUP($A165,Curves_Table,Escalation!$D$291),Exch)</f>
        <v>1.0649999999999999</v>
      </c>
      <c r="L165" s="335">
        <f t="shared" ca="1" si="20"/>
        <v>0</v>
      </c>
      <c r="M165" s="698" t="str">
        <f t="shared" ca="1" si="15"/>
        <v xml:space="preserve"> </v>
      </c>
    </row>
    <row r="166" spans="1:13">
      <c r="A166" s="672">
        <f t="shared" ca="1" si="16"/>
        <v>40940</v>
      </c>
      <c r="C166" s="691">
        <f ca="1">MAX('Plant Operations'!H166,'Plant Operations'!L166)</f>
        <v>0.92</v>
      </c>
      <c r="D166" s="820">
        <f t="shared" ca="1" si="17"/>
        <v>0.92</v>
      </c>
      <c r="E166" s="820">
        <f t="shared" ca="1" si="14"/>
        <v>0</v>
      </c>
      <c r="F166" s="1485">
        <f ca="1">IF(Assm!$F$29=0,'Annex 10-Plant'!G166,'Annex 12-Plant'!T166)</f>
        <v>12803.330800529995</v>
      </c>
      <c r="G166" s="1486">
        <f ca="1">IF($A166&lt;Startops2,0,IF(Assm!$F$29=0,VLOOKUP($A166,Annex10_Gas_Table,'Annex 10-Gas'!$G$270),VLOOKUP($A166,Annex12_Gas_Table,'Annex 12-Gas'!$J$270)))</f>
        <v>13125.263291808807</v>
      </c>
      <c r="H166" s="1487">
        <f ca="1">IF($A166&lt;Startops2,0,IF(Assm!$F$29=0,VLOOKUP($A166,Annex10_Gas_Table,'Annex 10-Gas'!$P$270),VLOOKUP($A166,Annex12_Gas_Table,'Annex 12-Gas'!$V$270)))</f>
        <v>9997.7029961492226</v>
      </c>
      <c r="I166" s="1486">
        <f t="shared" ca="1" si="18"/>
        <v>35926.297088488027</v>
      </c>
      <c r="J166" s="1486">
        <f t="shared" ca="1" si="19"/>
        <v>0</v>
      </c>
      <c r="K166" s="1480">
        <f ca="1">IF(Assm!$L$74=1,VLOOKUP($A166,Curves_Table,Escalation!$D$291),Exch)</f>
        <v>1.0649999999999999</v>
      </c>
      <c r="L166" s="335">
        <f t="shared" ca="1" si="20"/>
        <v>0</v>
      </c>
      <c r="M166" s="698" t="str">
        <f t="shared" ca="1" si="15"/>
        <v xml:space="preserve"> </v>
      </c>
    </row>
    <row r="167" spans="1:13">
      <c r="A167" s="672">
        <f t="shared" ca="1" si="16"/>
        <v>40969</v>
      </c>
      <c r="C167" s="691">
        <f ca="1">MAX('Plant Operations'!H167,'Plant Operations'!L167)</f>
        <v>0.92</v>
      </c>
      <c r="D167" s="820">
        <f t="shared" ca="1" si="17"/>
        <v>0.92</v>
      </c>
      <c r="E167" s="820">
        <f t="shared" ca="1" si="14"/>
        <v>0</v>
      </c>
      <c r="F167" s="1485">
        <f ca="1">IF(Assm!$F$29=0,'Annex 10-Plant'!G167,'Annex 12-Plant'!T167)</f>
        <v>12823.976986536331</v>
      </c>
      <c r="G167" s="1486">
        <f ca="1">IF($A167&lt;Startops2,0,IF(Assm!$F$29=0,VLOOKUP($A167,Annex10_Gas_Table,'Annex 10-Gas'!$G$270),VLOOKUP($A167,Annex12_Gas_Table,'Annex 12-Gas'!$J$270)))</f>
        <v>13146.928485082257</v>
      </c>
      <c r="H167" s="1487">
        <f ca="1">IF($A167&lt;Startops2,0,IF(Assm!$F$29=0,VLOOKUP($A167,Annex10_Gas_Table,'Annex 10-Gas'!$P$270),VLOOKUP($A167,Annex12_Gas_Table,'Annex 12-Gas'!$V$270)))</f>
        <v>10014.205687400934</v>
      </c>
      <c r="I167" s="1486">
        <f t="shared" ca="1" si="18"/>
        <v>35985.111159019521</v>
      </c>
      <c r="J167" s="1486">
        <f t="shared" ca="1" si="19"/>
        <v>0</v>
      </c>
      <c r="K167" s="1480">
        <f ca="1">IF(Assm!$L$74=1,VLOOKUP($A167,Curves_Table,Escalation!$D$291),Exch)</f>
        <v>1.0649999999999999</v>
      </c>
      <c r="L167" s="335">
        <f t="shared" ca="1" si="20"/>
        <v>0</v>
      </c>
      <c r="M167" s="698" t="str">
        <f t="shared" ca="1" si="15"/>
        <v xml:space="preserve"> </v>
      </c>
    </row>
    <row r="168" spans="1:13">
      <c r="A168" s="672">
        <f t="shared" ca="1" si="16"/>
        <v>41000</v>
      </c>
      <c r="C168" s="691">
        <f ca="1">MAX('Plant Operations'!H168,'Plant Operations'!L168)</f>
        <v>0.92</v>
      </c>
      <c r="D168" s="820">
        <f t="shared" ca="1" si="17"/>
        <v>0.92</v>
      </c>
      <c r="E168" s="820">
        <f t="shared" ca="1" si="14"/>
        <v>0</v>
      </c>
      <c r="F168" s="1485">
        <f ca="1">IF(Assm!$F$29=0,'Annex 10-Plant'!G168,'Annex 12-Plant'!T168)</f>
        <v>12844.657252134077</v>
      </c>
      <c r="G168" s="1486">
        <f ca="1">IF($A168&lt;Startops2,0,IF(Assm!$F$29=0,VLOOKUP($A168,Annex10_Gas_Table,'Annex 10-Gas'!$G$270),VLOOKUP($A168,Annex12_Gas_Table,'Annex 12-Gas'!$J$270)))</f>
        <v>13168.629439969714</v>
      </c>
      <c r="H168" s="1487">
        <f ca="1">IF($A168&lt;Startops2,0,IF(Assm!$F$29=0,VLOOKUP($A168,Annex10_Gas_Table,'Annex 10-Gas'!$P$270),VLOOKUP($A168,Annex12_Gas_Table,'Annex 12-Gas'!$V$270)))</f>
        <v>10030.735618791568</v>
      </c>
      <c r="I168" s="1486">
        <f t="shared" ca="1" si="18"/>
        <v>36044.022310895365</v>
      </c>
      <c r="J168" s="1486">
        <f t="shared" ca="1" si="19"/>
        <v>0</v>
      </c>
      <c r="K168" s="1480">
        <f ca="1">IF(Assm!$L$74=1,VLOOKUP($A168,Curves_Table,Escalation!$D$291),Exch)</f>
        <v>1.0649999999999999</v>
      </c>
      <c r="L168" s="335">
        <f t="shared" ca="1" si="20"/>
        <v>0</v>
      </c>
      <c r="M168" s="698" t="str">
        <f t="shared" ca="1" si="15"/>
        <v xml:space="preserve"> </v>
      </c>
    </row>
    <row r="169" spans="1:13">
      <c r="A169" s="672">
        <f t="shared" ca="1" si="16"/>
        <v>41030</v>
      </c>
      <c r="C169" s="691">
        <f ca="1">MAX('Plant Operations'!H169,'Plant Operations'!L169)</f>
        <v>0.92</v>
      </c>
      <c r="D169" s="820">
        <f t="shared" ca="1" si="17"/>
        <v>0.92</v>
      </c>
      <c r="E169" s="820">
        <f t="shared" ca="1" si="14"/>
        <v>0</v>
      </c>
      <c r="F169" s="1485">
        <f ca="1">IF(Assm!$F$29=0,'Annex 10-Plant'!G169,'Annex 12-Plant'!T169)</f>
        <v>12223.397373947806</v>
      </c>
      <c r="G169" s="1486">
        <f ca="1">IF($A169&lt;Startops2,0,IF(Assm!$F$29=0,VLOOKUP($A169,Annex10_Gas_Table,'Annex 10-Gas'!$G$270),VLOOKUP($A169,Annex12_Gas_Table,'Annex 12-Gas'!$J$270)))</f>
        <v>13539.042244139739</v>
      </c>
      <c r="H169" s="1487">
        <f ca="1">IF($A169&lt;Startops2,0,IF(Assm!$F$29=0,VLOOKUP($A169,Annex10_Gas_Table,'Annex 10-Gas'!$P$270),VLOOKUP($A169,Annex12_Gas_Table,'Annex 12-Gas'!$V$270)))</f>
        <v>10294.656710225743</v>
      </c>
      <c r="I169" s="1486">
        <f t="shared" ca="1" si="18"/>
        <v>36057.096328313288</v>
      </c>
      <c r="J169" s="1486">
        <f t="shared" ca="1" si="19"/>
        <v>0</v>
      </c>
      <c r="K169" s="1480">
        <f ca="1">IF(Assm!$L$74=1,VLOOKUP($A169,Curves_Table,Escalation!$D$291),Exch)</f>
        <v>1.0649999999999999</v>
      </c>
      <c r="L169" s="335">
        <f t="shared" ca="1" si="20"/>
        <v>0</v>
      </c>
      <c r="M169" s="698" t="str">
        <f t="shared" ca="1" si="15"/>
        <v xml:space="preserve"> </v>
      </c>
    </row>
    <row r="170" spans="1:13">
      <c r="A170" s="672">
        <f t="shared" ca="1" si="16"/>
        <v>41061</v>
      </c>
      <c r="C170" s="691">
        <f ca="1">MAX('Plant Operations'!H170,'Plant Operations'!L170)</f>
        <v>0.92</v>
      </c>
      <c r="D170" s="820">
        <f t="shared" ca="1" si="17"/>
        <v>0.92</v>
      </c>
      <c r="E170" s="820">
        <f t="shared" ca="1" si="14"/>
        <v>0</v>
      </c>
      <c r="F170" s="1485">
        <f ca="1">IF(Assm!$F$29=0,'Annex 10-Plant'!G170,'Annex 12-Plant'!T170)</f>
        <v>12242.569048059726</v>
      </c>
      <c r="G170" s="1486">
        <f ca="1">IF($A170&lt;Startops2,0,IF(Assm!$F$29=0,VLOOKUP($A170,Annex10_Gas_Table,'Annex 10-Gas'!$G$270),VLOOKUP($A170,Annex12_Gas_Table,'Annex 12-Gas'!$J$270)))</f>
        <v>13561.390440929039</v>
      </c>
      <c r="H170" s="1487">
        <f ca="1">IF($A170&lt;Startops2,0,IF(Assm!$F$29=0,VLOOKUP($A170,Annex10_Gas_Table,'Annex 10-Gas'!$P$270),VLOOKUP($A170,Annex12_Gas_Table,'Annex 12-Gas'!$V$270)))</f>
        <v>10311.64956761475</v>
      </c>
      <c r="I170" s="1486">
        <f t="shared" ca="1" si="18"/>
        <v>36115.609056603513</v>
      </c>
      <c r="J170" s="1486">
        <f t="shared" ca="1" si="19"/>
        <v>0</v>
      </c>
      <c r="K170" s="1480">
        <f ca="1">IF(Assm!$L$74=1,VLOOKUP($A170,Curves_Table,Escalation!$D$291),Exch)</f>
        <v>1.0649999999999999</v>
      </c>
      <c r="L170" s="335">
        <f t="shared" ca="1" si="20"/>
        <v>0</v>
      </c>
      <c r="M170" s="698" t="str">
        <f t="shared" ca="1" si="15"/>
        <v xml:space="preserve"> </v>
      </c>
    </row>
    <row r="171" spans="1:13">
      <c r="A171" s="672">
        <f t="shared" ca="1" si="16"/>
        <v>41091</v>
      </c>
      <c r="C171" s="691">
        <f ca="1">MAX('Plant Operations'!H171,'Plant Operations'!L171)</f>
        <v>0.92</v>
      </c>
      <c r="D171" s="820">
        <f t="shared" ca="1" si="17"/>
        <v>0.92</v>
      </c>
      <c r="E171" s="820">
        <f t="shared" ca="1" si="14"/>
        <v>0</v>
      </c>
      <c r="F171" s="1485">
        <f ca="1">IF(Assm!$F$29=0,'Annex 10-Plant'!G171,'Annex 12-Plant'!T171)</f>
        <v>12261.772367862533</v>
      </c>
      <c r="G171" s="1486">
        <f ca="1">IF($A171&lt;Startops2,0,IF(Assm!$F$29=0,VLOOKUP($A171,Annex10_Gas_Table,'Annex 10-Gas'!$G$270),VLOOKUP($A171,Annex12_Gas_Table,'Annex 12-Gas'!$J$270)))</f>
        <v>13583.775526730919</v>
      </c>
      <c r="H171" s="1487">
        <f ca="1">IF($A171&lt;Startops2,0,IF(Assm!$F$29=0,VLOOKUP($A171,Annex10_Gas_Table,'Annex 10-Gas'!$P$270),VLOOKUP($A171,Annex12_Gas_Table,'Annex 12-Gas'!$V$270)))</f>
        <v>10328.670474234572</v>
      </c>
      <c r="I171" s="1486">
        <f t="shared" ca="1" si="18"/>
        <v>36174.21836882802</v>
      </c>
      <c r="J171" s="1486">
        <f t="shared" ca="1" si="19"/>
        <v>0</v>
      </c>
      <c r="K171" s="1480">
        <f ca="1">IF(Assm!$L$74=1,VLOOKUP($A171,Curves_Table,Escalation!$D$291),Exch)</f>
        <v>1.0649999999999999</v>
      </c>
      <c r="L171" s="335">
        <f t="shared" ca="1" si="20"/>
        <v>0</v>
      </c>
      <c r="M171" s="698" t="str">
        <f t="shared" ca="1" si="15"/>
        <v xml:space="preserve"> </v>
      </c>
    </row>
    <row r="172" spans="1:13">
      <c r="A172" s="672">
        <f t="shared" ca="1" si="16"/>
        <v>41122</v>
      </c>
      <c r="C172" s="691">
        <f ca="1">MAX('Plant Operations'!H172,'Plant Operations'!L172)</f>
        <v>0.92</v>
      </c>
      <c r="D172" s="820">
        <f t="shared" ca="1" si="17"/>
        <v>0.92</v>
      </c>
      <c r="E172" s="820">
        <f t="shared" ca="1" si="14"/>
        <v>0</v>
      </c>
      <c r="F172" s="1485">
        <f ca="1">IF(Assm!$F$29=0,'Annex 10-Plant'!G172,'Annex 12-Plant'!T172)</f>
        <v>12281.00738559214</v>
      </c>
      <c r="G172" s="1486">
        <f ca="1">IF($A172&lt;Startops2,0,IF(Assm!$F$29=0,VLOOKUP($A172,Annex10_Gas_Table,'Annex 10-Gas'!$G$270),VLOOKUP($A172,Annex12_Gas_Table,'Annex 12-Gas'!$J$270)))</f>
        <v>13606.197562436173</v>
      </c>
      <c r="H172" s="1487">
        <f ca="1">IF($A172&lt;Startops2,0,IF(Assm!$F$29=0,VLOOKUP($A172,Annex10_Gas_Table,'Annex 10-Gas'!$P$270),VLOOKUP($A172,Annex12_Gas_Table,'Annex 12-Gas'!$V$270)))</f>
        <v>10345.719476384626</v>
      </c>
      <c r="I172" s="1486">
        <f t="shared" ca="1" si="18"/>
        <v>36232.924424412937</v>
      </c>
      <c r="J172" s="1486">
        <f t="shared" ca="1" si="19"/>
        <v>0</v>
      </c>
      <c r="K172" s="1480">
        <f ca="1">IF(Assm!$L$74=1,VLOOKUP($A172,Curves_Table,Escalation!$D$291),Exch)</f>
        <v>1.0649999999999999</v>
      </c>
      <c r="L172" s="335">
        <f t="shared" ca="1" si="20"/>
        <v>0</v>
      </c>
      <c r="M172" s="698" t="str">
        <f t="shared" ca="1" si="15"/>
        <v xml:space="preserve"> </v>
      </c>
    </row>
    <row r="173" spans="1:13">
      <c r="A173" s="672">
        <f t="shared" ca="1" si="16"/>
        <v>41153</v>
      </c>
      <c r="C173" s="691">
        <f ca="1">MAX('Plant Operations'!H173,'Plant Operations'!L173)</f>
        <v>0.92</v>
      </c>
      <c r="D173" s="820">
        <f t="shared" ca="1" si="17"/>
        <v>0.92</v>
      </c>
      <c r="E173" s="820">
        <f t="shared" ca="1" si="14"/>
        <v>0</v>
      </c>
      <c r="F173" s="1485">
        <f ca="1">IF(Assm!$F$29=0,'Annex 10-Plant'!G173,'Annex 12-Plant'!T173)</f>
        <v>12300.274153570672</v>
      </c>
      <c r="G173" s="1486">
        <f ca="1">IF($A173&lt;Startops2,0,IF(Assm!$F$29=0,VLOOKUP($A173,Annex10_Gas_Table,'Annex 10-Gas'!$G$270),VLOOKUP($A173,Annex12_Gas_Table,'Annex 12-Gas'!$J$270)))</f>
        <v>13628.656609036092</v>
      </c>
      <c r="H173" s="1487">
        <f ca="1">IF($A173&lt;Startops2,0,IF(Assm!$F$29=0,VLOOKUP($A173,Annex10_Gas_Table,'Annex 10-Gas'!$P$270),VLOOKUP($A173,Annex12_Gas_Table,'Annex 12-Gas'!$V$270)))</f>
        <v>10362.796620440748</v>
      </c>
      <c r="I173" s="1486">
        <f t="shared" ca="1" si="18"/>
        <v>36291.72738304751</v>
      </c>
      <c r="J173" s="1486">
        <f t="shared" ca="1" si="19"/>
        <v>0</v>
      </c>
      <c r="K173" s="1480">
        <f ca="1">IF(Assm!$L$74=1,VLOOKUP($A173,Curves_Table,Escalation!$D$291),Exch)</f>
        <v>1.0649999999999999</v>
      </c>
      <c r="L173" s="335">
        <f t="shared" ca="1" si="20"/>
        <v>0</v>
      </c>
      <c r="M173" s="698" t="str">
        <f t="shared" ca="1" si="15"/>
        <v xml:space="preserve"> </v>
      </c>
    </row>
    <row r="174" spans="1:13">
      <c r="A174" s="672">
        <f t="shared" ca="1" si="16"/>
        <v>41183</v>
      </c>
      <c r="C174" s="691">
        <f ca="1">MAX('Plant Operations'!H174,'Plant Operations'!L174)</f>
        <v>0.92</v>
      </c>
      <c r="D174" s="820">
        <f t="shared" ca="1" si="17"/>
        <v>0.92</v>
      </c>
      <c r="E174" s="820">
        <f t="shared" ca="1" si="14"/>
        <v>0</v>
      </c>
      <c r="F174" s="1485">
        <f ca="1">IF(Assm!$F$29=0,'Annex 10-Plant'!G174,'Annex 12-Plant'!T174)</f>
        <v>12319.572724206626</v>
      </c>
      <c r="G174" s="1486">
        <f ca="1">IF($A174&lt;Startops2,0,IF(Assm!$F$29=0,VLOOKUP($A174,Annex10_Gas_Table,'Annex 10-Gas'!$G$270),VLOOKUP($A174,Annex12_Gas_Table,'Annex 12-Gas'!$J$270)))</f>
        <v>13651.152727622642</v>
      </c>
      <c r="H174" s="1487">
        <f ca="1">IF($A174&lt;Startops2,0,IF(Assm!$F$29=0,VLOOKUP($A174,Annex10_Gas_Table,'Annex 10-Gas'!$P$270),VLOOKUP($A174,Annex12_Gas_Table,'Annex 12-Gas'!$V$270)))</f>
        <v>10379.901952855331</v>
      </c>
      <c r="I174" s="1486">
        <f t="shared" ca="1" si="18"/>
        <v>36350.627404684601</v>
      </c>
      <c r="J174" s="1486">
        <f t="shared" ca="1" si="19"/>
        <v>0</v>
      </c>
      <c r="K174" s="1480">
        <f ca="1">IF(Assm!$L$74=1,VLOOKUP($A174,Curves_Table,Escalation!$D$291),Exch)</f>
        <v>1.0649999999999999</v>
      </c>
      <c r="L174" s="335">
        <f t="shared" ca="1" si="20"/>
        <v>0</v>
      </c>
      <c r="M174" s="698" t="str">
        <f t="shared" ca="1" si="15"/>
        <v xml:space="preserve"> </v>
      </c>
    </row>
    <row r="175" spans="1:13">
      <c r="A175" s="672">
        <f t="shared" ca="1" si="16"/>
        <v>41214</v>
      </c>
      <c r="C175" s="691">
        <f ca="1">MAX('Plant Operations'!H175,'Plant Operations'!L175)</f>
        <v>0.92</v>
      </c>
      <c r="D175" s="820">
        <f t="shared" ca="1" si="17"/>
        <v>0.92</v>
      </c>
      <c r="E175" s="820">
        <f t="shared" ca="1" si="14"/>
        <v>0</v>
      </c>
      <c r="F175" s="1485">
        <f ca="1">IF(Assm!$F$29=0,'Annex 10-Plant'!G175,'Annex 12-Plant'!T175)</f>
        <v>12338.903149994998</v>
      </c>
      <c r="G175" s="1486">
        <f ca="1">IF($A175&lt;Startops2,0,IF(Assm!$F$29=0,VLOOKUP($A175,Annex10_Gas_Table,'Annex 10-Gas'!$G$270),VLOOKUP($A175,Annex12_Gas_Table,'Annex 12-Gas'!$J$270)))</f>
        <v>13673.68597938864</v>
      </c>
      <c r="H175" s="1487">
        <f ca="1">IF($A175&lt;Startops2,0,IF(Assm!$F$29=0,VLOOKUP($A175,Annex10_Gas_Table,'Annex 10-Gas'!$P$270),VLOOKUP($A175,Annex12_Gas_Table,'Annex 12-Gas'!$V$270)))</f>
        <v>10397.035520157437</v>
      </c>
      <c r="I175" s="1486">
        <f t="shared" ca="1" si="18"/>
        <v>36409.624649541074</v>
      </c>
      <c r="J175" s="1486">
        <f t="shared" ca="1" si="19"/>
        <v>0</v>
      </c>
      <c r="K175" s="1480">
        <f ca="1">IF(Assm!$L$74=1,VLOOKUP($A175,Curves_Table,Escalation!$D$291),Exch)</f>
        <v>1.0649999999999999</v>
      </c>
      <c r="L175" s="335">
        <f t="shared" ca="1" si="20"/>
        <v>0</v>
      </c>
      <c r="M175" s="698" t="str">
        <f t="shared" ca="1" si="15"/>
        <v xml:space="preserve"> </v>
      </c>
    </row>
    <row r="176" spans="1:13">
      <c r="A176" s="672">
        <f t="shared" ca="1" si="16"/>
        <v>41244</v>
      </c>
      <c r="C176" s="691">
        <f ca="1">MAX('Plant Operations'!H176,'Plant Operations'!L176)</f>
        <v>0.92</v>
      </c>
      <c r="D176" s="820">
        <f t="shared" ca="1" si="17"/>
        <v>0.92</v>
      </c>
      <c r="E176" s="820">
        <f t="shared" ca="1" si="14"/>
        <v>0</v>
      </c>
      <c r="F176" s="1485">
        <f ca="1">IF(Assm!$F$29=0,'Annex 10-Plant'!G176,'Annex 12-Plant'!T176)</f>
        <v>12358.265483517443</v>
      </c>
      <c r="G176" s="1486">
        <f ca="1">IF($A176&lt;Startops2,0,IF(Assm!$F$29=0,VLOOKUP($A176,Annex10_Gas_Table,'Annex 10-Gas'!$G$270),VLOOKUP($A176,Annex12_Gas_Table,'Annex 12-Gas'!$J$270)))</f>
        <v>13696.2564256279</v>
      </c>
      <c r="H176" s="1487">
        <f ca="1">IF($A176&lt;Startops2,0,IF(Assm!$F$29=0,VLOOKUP($A176,Annex10_Gas_Table,'Annex 10-Gas'!$P$270),VLOOKUP($A176,Annex12_Gas_Table,'Annex 12-Gas'!$V$270)))</f>
        <v>10414.197368952933</v>
      </c>
      <c r="I176" s="1486">
        <f t="shared" ca="1" si="18"/>
        <v>36468.719278098273</v>
      </c>
      <c r="J176" s="1486">
        <f t="shared" ca="1" si="19"/>
        <v>0</v>
      </c>
      <c r="K176" s="1480">
        <f ca="1">IF(Assm!$L$74=1,VLOOKUP($A176,Curves_Table,Escalation!$D$291),Exch)</f>
        <v>1.0649999999999999</v>
      </c>
      <c r="L176" s="335">
        <f t="shared" ca="1" si="20"/>
        <v>0</v>
      </c>
      <c r="M176" s="698">
        <f t="shared" ca="1" si="15"/>
        <v>0</v>
      </c>
    </row>
    <row r="177" spans="1:13">
      <c r="A177" s="672">
        <f t="shared" ca="1" si="16"/>
        <v>41275</v>
      </c>
      <c r="C177" s="691">
        <f ca="1">MAX('Plant Operations'!H177,'Plant Operations'!L177)</f>
        <v>0.92</v>
      </c>
      <c r="D177" s="820">
        <f t="shared" ca="1" si="17"/>
        <v>0.92</v>
      </c>
      <c r="E177" s="820">
        <f t="shared" ca="1" si="14"/>
        <v>0</v>
      </c>
      <c r="F177" s="1485">
        <f ca="1">IF(Assm!$F$29=0,'Annex 10-Plant'!G177,'Annex 12-Plant'!T177)</f>
        <v>12377.793843861151</v>
      </c>
      <c r="G177" s="1486">
        <f ca="1">IF($A177&lt;Startops2,0,IF(Assm!$F$29=0,VLOOKUP($A177,Annex10_Gas_Table,'Annex 10-Gas'!$G$270),VLOOKUP($A177,Annex12_Gas_Table,'Annex 12-Gas'!$J$270)))</f>
        <v>13719.020407395261</v>
      </c>
      <c r="H177" s="1487">
        <f ca="1">IF($A177&lt;Startops2,0,IF(Assm!$F$29=0,VLOOKUP($A177,Annex10_Gas_Table,'Annex 10-Gas'!$P$270),VLOOKUP($A177,Annex12_Gas_Table,'Annex 12-Gas'!$V$270)))</f>
        <v>10431.506376002844</v>
      </c>
      <c r="I177" s="1486">
        <f t="shared" ca="1" si="18"/>
        <v>36528.320627259258</v>
      </c>
      <c r="J177" s="1486">
        <f t="shared" ca="1" si="19"/>
        <v>0</v>
      </c>
      <c r="K177" s="1480">
        <f ca="1">IF(Assm!$L$74=1,VLOOKUP($A177,Curves_Table,Escalation!$D$291),Exch)</f>
        <v>1.0649999999999999</v>
      </c>
      <c r="L177" s="335">
        <f t="shared" ca="1" si="20"/>
        <v>0</v>
      </c>
      <c r="M177" s="698" t="str">
        <f t="shared" ca="1" si="15"/>
        <v xml:space="preserve"> </v>
      </c>
    </row>
    <row r="178" spans="1:13">
      <c r="A178" s="672">
        <f t="shared" ca="1" si="16"/>
        <v>41306</v>
      </c>
      <c r="C178" s="691">
        <f ca="1">MAX('Plant Operations'!H178,'Plant Operations'!L178)</f>
        <v>0.92</v>
      </c>
      <c r="D178" s="820">
        <f t="shared" ca="1" si="17"/>
        <v>0.92</v>
      </c>
      <c r="E178" s="820">
        <f t="shared" ca="1" si="14"/>
        <v>0</v>
      </c>
      <c r="F178" s="1485">
        <f ca="1">IF(Assm!$F$29=0,'Annex 10-Plant'!G178,'Annex 12-Plant'!T178)</f>
        <v>12397.354661485517</v>
      </c>
      <c r="G178" s="1486">
        <f ca="1">IF($A178&lt;Startops2,0,IF(Assm!$F$29=0,VLOOKUP($A178,Annex10_Gas_Table,'Annex 10-Gas'!$G$270),VLOOKUP($A178,Annex12_Gas_Table,'Annex 12-Gas'!$J$270)))</f>
        <v>13741.82222423593</v>
      </c>
      <c r="H178" s="1487">
        <f ca="1">IF($A178&lt;Startops2,0,IF(Assm!$F$29=0,VLOOKUP($A178,Annex10_Gas_Table,'Annex 10-Gas'!$P$270),VLOOKUP($A178,Annex12_Gas_Table,'Annex 12-Gas'!$V$270)))</f>
        <v>10448.844151638024</v>
      </c>
      <c r="I178" s="1486">
        <f t="shared" ca="1" si="18"/>
        <v>36588.021037359475</v>
      </c>
      <c r="J178" s="1486">
        <f t="shared" ca="1" si="19"/>
        <v>0</v>
      </c>
      <c r="K178" s="1480">
        <f ca="1">IF(Assm!$L$74=1,VLOOKUP($A178,Curves_Table,Escalation!$D$291),Exch)</f>
        <v>1.0649999999999999</v>
      </c>
      <c r="L178" s="335">
        <f t="shared" ca="1" si="20"/>
        <v>0</v>
      </c>
      <c r="M178" s="698" t="str">
        <f t="shared" ca="1" si="15"/>
        <v xml:space="preserve"> </v>
      </c>
    </row>
    <row r="179" spans="1:13">
      <c r="A179" s="672">
        <f t="shared" ca="1" si="16"/>
        <v>41334</v>
      </c>
      <c r="C179" s="691">
        <f ca="1">MAX('Plant Operations'!H179,'Plant Operations'!L179)</f>
        <v>0.92</v>
      </c>
      <c r="D179" s="820">
        <f t="shared" ca="1" si="17"/>
        <v>0.92</v>
      </c>
      <c r="E179" s="820">
        <f t="shared" ca="1" si="14"/>
        <v>0</v>
      </c>
      <c r="F179" s="1485">
        <f ca="1">IF(Assm!$F$29=0,'Annex 10-Plant'!G179,'Annex 12-Plant'!T179)</f>
        <v>12416.94799033645</v>
      </c>
      <c r="G179" s="1486">
        <f ca="1">IF($A179&lt;Startops2,0,IF(Assm!$F$29=0,VLOOKUP($A179,Annex10_Gas_Table,'Annex 10-Gas'!$G$270),VLOOKUP($A179,Annex12_Gas_Table,'Annex 12-Gas'!$J$270)))</f>
        <v>13764.661939034015</v>
      </c>
      <c r="H179" s="1487">
        <f ca="1">IF($A179&lt;Startops2,0,IF(Assm!$F$29=0,VLOOKUP($A179,Annex10_Gas_Table,'Annex 10-Gas'!$P$270),VLOOKUP($A179,Annex12_Gas_Table,'Annex 12-Gas'!$V$270)))</f>
        <v>10466.210743673551</v>
      </c>
      <c r="I179" s="1486">
        <f t="shared" ca="1" si="18"/>
        <v>36647.820673044014</v>
      </c>
      <c r="J179" s="1486">
        <f t="shared" ca="1" si="19"/>
        <v>0</v>
      </c>
      <c r="K179" s="1480">
        <f ca="1">IF(Assm!$L$74=1,VLOOKUP($A179,Curves_Table,Escalation!$D$291),Exch)</f>
        <v>1.0649999999999999</v>
      </c>
      <c r="L179" s="335">
        <f t="shared" ca="1" si="20"/>
        <v>0</v>
      </c>
      <c r="M179" s="698" t="str">
        <f t="shared" ca="1" si="15"/>
        <v xml:space="preserve"> </v>
      </c>
    </row>
    <row r="180" spans="1:13">
      <c r="A180" s="672">
        <f t="shared" ca="1" si="16"/>
        <v>41365</v>
      </c>
      <c r="C180" s="691">
        <f ca="1">MAX('Plant Operations'!H180,'Plant Operations'!L180)</f>
        <v>0.92</v>
      </c>
      <c r="D180" s="820">
        <f t="shared" ca="1" si="17"/>
        <v>0.92</v>
      </c>
      <c r="E180" s="820">
        <f t="shared" ca="1" si="14"/>
        <v>0</v>
      </c>
      <c r="F180" s="1485">
        <f ca="1">IF(Assm!$F$29=0,'Annex 10-Plant'!G180,'Annex 12-Plant'!T180)</f>
        <v>12436.573884449514</v>
      </c>
      <c r="G180" s="1486">
        <f ca="1">IF($A180&lt;Startops2,0,IF(Assm!$F$29=0,VLOOKUP($A180,Annex10_Gas_Table,'Annex 10-Gas'!$G$270),VLOOKUP($A180,Annex12_Gas_Table,'Annex 12-Gas'!$J$270)))</f>
        <v>13787.539614778152</v>
      </c>
      <c r="H180" s="1487">
        <f ca="1">IF($A180&lt;Startops2,0,IF(Assm!$F$29=0,VLOOKUP($A180,Annex10_Gas_Table,'Annex 10-Gas'!$P$270),VLOOKUP($A180,Annex12_Gas_Table,'Annex 12-Gas'!$V$270)))</f>
        <v>10483.60620000398</v>
      </c>
      <c r="I180" s="1486">
        <f t="shared" ca="1" si="18"/>
        <v>36707.719699231646</v>
      </c>
      <c r="J180" s="1486">
        <f t="shared" ca="1" si="19"/>
        <v>0</v>
      </c>
      <c r="K180" s="1480">
        <f ca="1">IF(Assm!$L$74=1,VLOOKUP($A180,Curves_Table,Escalation!$D$291),Exch)</f>
        <v>1.0649999999999999</v>
      </c>
      <c r="L180" s="335">
        <f t="shared" ca="1" si="20"/>
        <v>0</v>
      </c>
      <c r="M180" s="698" t="str">
        <f t="shared" ca="1" si="15"/>
        <v xml:space="preserve"> </v>
      </c>
    </row>
    <row r="181" spans="1:13">
      <c r="A181" s="672">
        <f t="shared" ca="1" si="16"/>
        <v>41395</v>
      </c>
      <c r="C181" s="691">
        <f ca="1">MAX('Plant Operations'!H181,'Plant Operations'!L181)</f>
        <v>0.92</v>
      </c>
      <c r="D181" s="820">
        <f t="shared" ca="1" si="17"/>
        <v>0.92</v>
      </c>
      <c r="E181" s="820">
        <f t="shared" ca="1" si="14"/>
        <v>0</v>
      </c>
      <c r="F181" s="1485">
        <f ca="1">IF(Assm!$F$29=0,'Annex 10-Plant'!G181,'Annex 12-Plant'!T181)</f>
        <v>12338.604666650675</v>
      </c>
      <c r="G181" s="1486">
        <f ca="1">IF($A181&lt;Startops2,0,IF(Assm!$F$29=0,VLOOKUP($A181,Annex10_Gas_Table,'Annex 10-Gas'!$G$270),VLOOKUP($A181,Annex12_Gas_Table,'Annex 12-Gas'!$J$270)))</f>
        <v>14164.80106335076</v>
      </c>
      <c r="H181" s="1487">
        <f ca="1">IF($A181&lt;Startops2,0,IF(Assm!$F$29=0,VLOOKUP($A181,Annex10_Gas_Table,'Annex 10-Gas'!$P$270),VLOOKUP($A181,Annex12_Gas_Table,'Annex 12-Gas'!$V$270)))</f>
        <v>10731.48411333814</v>
      </c>
      <c r="I181" s="1486">
        <f t="shared" ca="1" si="18"/>
        <v>37234.889843339573</v>
      </c>
      <c r="J181" s="1486">
        <f t="shared" ca="1" si="19"/>
        <v>0</v>
      </c>
      <c r="K181" s="1480">
        <f ca="1">IF(Assm!$L$74=1,VLOOKUP($A181,Curves_Table,Escalation!$D$291),Exch)</f>
        <v>1.0649999999999999</v>
      </c>
      <c r="L181" s="335">
        <f t="shared" ca="1" si="20"/>
        <v>0</v>
      </c>
      <c r="M181" s="698" t="str">
        <f t="shared" ca="1" si="15"/>
        <v xml:space="preserve"> </v>
      </c>
    </row>
    <row r="182" spans="1:13">
      <c r="A182" s="672">
        <f t="shared" ca="1" si="16"/>
        <v>41426</v>
      </c>
      <c r="C182" s="691">
        <f ca="1">MAX('Plant Operations'!H182,'Plant Operations'!L182)</f>
        <v>0.92</v>
      </c>
      <c r="D182" s="820">
        <f t="shared" ca="1" si="17"/>
        <v>0.92</v>
      </c>
      <c r="E182" s="820">
        <f t="shared" ca="1" si="14"/>
        <v>0</v>
      </c>
      <c r="F182" s="1485">
        <f ca="1">IF(Assm!$F$29=0,'Annex 10-Plant'!G182,'Annex 12-Plant'!T182)</f>
        <v>12357.984314187448</v>
      </c>
      <c r="G182" s="1486">
        <f ca="1">IF($A182&lt;Startops2,0,IF(Assm!$F$29=0,VLOOKUP($A182,Annex10_Gas_Table,'Annex 10-Gas'!$G$270),VLOOKUP($A182,Annex12_Gas_Table,'Annex 12-Gas'!$J$270)))</f>
        <v>14188.343793796508</v>
      </c>
      <c r="H182" s="1487">
        <f ca="1">IF($A182&lt;Startops2,0,IF(Assm!$F$29=0,VLOOKUP($A182,Annex10_Gas_Table,'Annex 10-Gas'!$P$270),VLOOKUP($A182,Annex12_Gas_Table,'Annex 12-Gas'!$V$270)))</f>
        <v>10749.320469573091</v>
      </c>
      <c r="I182" s="1486">
        <f t="shared" ca="1" si="18"/>
        <v>37295.648577557047</v>
      </c>
      <c r="J182" s="1486">
        <f t="shared" ca="1" si="19"/>
        <v>0</v>
      </c>
      <c r="K182" s="1480">
        <f ca="1">IF(Assm!$L$74=1,VLOOKUP($A182,Curves_Table,Escalation!$D$291),Exch)</f>
        <v>1.0649999999999999</v>
      </c>
      <c r="L182" s="335">
        <f t="shared" ca="1" si="20"/>
        <v>0</v>
      </c>
      <c r="M182" s="698" t="str">
        <f t="shared" ca="1" si="15"/>
        <v xml:space="preserve"> </v>
      </c>
    </row>
    <row r="183" spans="1:13">
      <c r="A183" s="672">
        <f t="shared" ca="1" si="16"/>
        <v>41456</v>
      </c>
      <c r="C183" s="691">
        <f ca="1">MAX('Plant Operations'!H183,'Plant Operations'!L183)</f>
        <v>0.92</v>
      </c>
      <c r="D183" s="820">
        <f t="shared" ca="1" si="17"/>
        <v>0.92</v>
      </c>
      <c r="E183" s="820">
        <f t="shared" ca="1" si="14"/>
        <v>0</v>
      </c>
      <c r="F183" s="1485">
        <f ca="1">IF(Assm!$F$29=0,'Annex 10-Plant'!G183,'Annex 12-Plant'!T183)</f>
        <v>12377.396171835471</v>
      </c>
      <c r="G183" s="1486">
        <f ca="1">IF($A183&lt;Startops2,0,IF(Assm!$F$29=0,VLOOKUP($A183,Annex10_Gas_Table,'Annex 10-Gas'!$G$270),VLOOKUP($A183,Annex12_Gas_Table,'Annex 12-Gas'!$J$270)))</f>
        <v>14211.925653641561</v>
      </c>
      <c r="H183" s="1487">
        <f ca="1">IF($A183&lt;Startops2,0,IF(Assm!$F$29=0,VLOOKUP($A183,Annex10_Gas_Table,'Annex 10-Gas'!$P$270),VLOOKUP($A183,Annex12_Gas_Table,'Annex 12-Gas'!$V$270)))</f>
        <v>10767.186470878603</v>
      </c>
      <c r="I183" s="1486">
        <f t="shared" ca="1" si="18"/>
        <v>37356.508296355634</v>
      </c>
      <c r="J183" s="1486">
        <f t="shared" ca="1" si="19"/>
        <v>0</v>
      </c>
      <c r="K183" s="1480">
        <f ca="1">IF(Assm!$L$74=1,VLOOKUP($A183,Curves_Table,Escalation!$D$291),Exch)</f>
        <v>1.0649999999999999</v>
      </c>
      <c r="L183" s="335">
        <f t="shared" ca="1" si="20"/>
        <v>0</v>
      </c>
      <c r="M183" s="698" t="str">
        <f t="shared" ca="1" si="15"/>
        <v xml:space="preserve"> </v>
      </c>
    </row>
    <row r="184" spans="1:13">
      <c r="A184" s="672">
        <f t="shared" ca="1" si="16"/>
        <v>41487</v>
      </c>
      <c r="C184" s="691">
        <f ca="1">MAX('Plant Operations'!H184,'Plant Operations'!L184)</f>
        <v>0.92</v>
      </c>
      <c r="D184" s="820">
        <f t="shared" ca="1" si="17"/>
        <v>0.92</v>
      </c>
      <c r="E184" s="820">
        <f t="shared" ca="1" si="14"/>
        <v>0</v>
      </c>
      <c r="F184" s="1485">
        <f ca="1">IF(Assm!$F$29=0,'Annex 10-Plant'!G184,'Annex 12-Plant'!T184)</f>
        <v>12396.840293129841</v>
      </c>
      <c r="G184" s="1486">
        <f ca="1">IF($A184&lt;Startops2,0,IF(Assm!$F$29=0,VLOOKUP($A184,Annex10_Gas_Table,'Annex 10-Gas'!$G$270),VLOOKUP($A184,Annex12_Gas_Table,'Annex 12-Gas'!$J$270)))</f>
        <v>14235.54670792127</v>
      </c>
      <c r="H184" s="1487">
        <f ca="1">IF($A184&lt;Startops2,0,IF(Assm!$F$29=0,VLOOKUP($A184,Annex10_Gas_Table,'Annex 10-Gas'!$P$270),VLOOKUP($A184,Annex12_Gas_Table,'Annex 12-Gas'!$V$270)))</f>
        <v>10785.082166526521</v>
      </c>
      <c r="I184" s="1486">
        <f t="shared" ca="1" si="18"/>
        <v>37417.469167577627</v>
      </c>
      <c r="J184" s="1486">
        <f t="shared" ca="1" si="19"/>
        <v>0</v>
      </c>
      <c r="K184" s="1480">
        <f ca="1">IF(Assm!$L$74=1,VLOOKUP($A184,Curves_Table,Escalation!$D$291),Exch)</f>
        <v>1.0649999999999999</v>
      </c>
      <c r="L184" s="335">
        <f t="shared" ca="1" si="20"/>
        <v>0</v>
      </c>
      <c r="M184" s="698" t="str">
        <f t="shared" ca="1" si="15"/>
        <v xml:space="preserve"> </v>
      </c>
    </row>
    <row r="185" spans="1:13">
      <c r="A185" s="672">
        <f t="shared" ca="1" si="16"/>
        <v>41518</v>
      </c>
      <c r="C185" s="691">
        <f ca="1">MAX('Plant Operations'!H185,'Plant Operations'!L185)</f>
        <v>0.92</v>
      </c>
      <c r="D185" s="820">
        <f t="shared" ca="1" si="17"/>
        <v>0.92</v>
      </c>
      <c r="E185" s="820">
        <f t="shared" ca="1" si="14"/>
        <v>0</v>
      </c>
      <c r="F185" s="1485">
        <f ca="1">IF(Assm!$F$29=0,'Annex 10-Plant'!G185,'Annex 12-Plant'!T185)</f>
        <v>12416.316731694626</v>
      </c>
      <c r="G185" s="1486">
        <f ca="1">IF($A185&lt;Startops2,0,IF(Assm!$F$29=0,VLOOKUP($A185,Annex10_Gas_Table,'Annex 10-Gas'!$G$270),VLOOKUP($A185,Annex12_Gas_Table,'Annex 12-Gas'!$J$270)))</f>
        <v>14259.207021779088</v>
      </c>
      <c r="H185" s="1487">
        <f ca="1">IF($A185&lt;Startops2,0,IF(Assm!$F$29=0,VLOOKUP($A185,Annex10_Gas_Table,'Annex 10-Gas'!$P$270),VLOOKUP($A185,Annex12_Gas_Table,'Annex 12-Gas'!$V$270)))</f>
        <v>10803.007605870578</v>
      </c>
      <c r="I185" s="1486">
        <f t="shared" ca="1" si="18"/>
        <v>37478.531359344292</v>
      </c>
      <c r="J185" s="1486">
        <f t="shared" ca="1" si="19"/>
        <v>0</v>
      </c>
      <c r="K185" s="1480">
        <f ca="1">IF(Assm!$L$74=1,VLOOKUP($A185,Curves_Table,Escalation!$D$291),Exch)</f>
        <v>1.0649999999999999</v>
      </c>
      <c r="L185" s="335">
        <f t="shared" ca="1" si="20"/>
        <v>0</v>
      </c>
      <c r="M185" s="698" t="str">
        <f t="shared" ca="1" si="15"/>
        <v xml:space="preserve"> </v>
      </c>
    </row>
    <row r="186" spans="1:13">
      <c r="A186" s="672">
        <f t="shared" ca="1" si="16"/>
        <v>41548</v>
      </c>
      <c r="C186" s="691">
        <f ca="1">MAX('Plant Operations'!H186,'Plant Operations'!L186)</f>
        <v>0.92</v>
      </c>
      <c r="D186" s="820">
        <f t="shared" ca="1" si="17"/>
        <v>0.92</v>
      </c>
      <c r="E186" s="820">
        <f t="shared" ca="1" si="14"/>
        <v>0</v>
      </c>
      <c r="F186" s="1485">
        <f ca="1">IF(Assm!$F$29=0,'Annex 10-Plant'!G186,'Annex 12-Plant'!T186)</f>
        <v>12435.82554124303</v>
      </c>
      <c r="G186" s="1486">
        <f ca="1">IF($A186&lt;Startops2,0,IF(Assm!$F$29=0,VLOOKUP($A186,Annex10_Gas_Table,'Annex 10-Gas'!$G$270),VLOOKUP($A186,Annex12_Gas_Table,'Annex 12-Gas'!$J$270)))</f>
        <v>14282.906660466741</v>
      </c>
      <c r="H186" s="1487">
        <f ca="1">IF($A186&lt;Startops2,0,IF(Assm!$F$29=0,VLOOKUP($A186,Annex10_Gas_Table,'Annex 10-Gas'!$P$270),VLOOKUP($A186,Annex12_Gas_Table,'Annex 12-Gas'!$V$270)))</f>
        <v>10820.962838346553</v>
      </c>
      <c r="I186" s="1486">
        <f t="shared" ca="1" si="18"/>
        <v>37539.695040056322</v>
      </c>
      <c r="J186" s="1486">
        <f t="shared" ca="1" si="19"/>
        <v>0</v>
      </c>
      <c r="K186" s="1480">
        <f ca="1">IF(Assm!$L$74=1,VLOOKUP($A186,Curves_Table,Escalation!$D$291),Exch)</f>
        <v>1.0649999999999999</v>
      </c>
      <c r="L186" s="335">
        <f t="shared" ca="1" si="20"/>
        <v>0</v>
      </c>
      <c r="M186" s="698" t="str">
        <f t="shared" ca="1" si="15"/>
        <v xml:space="preserve"> </v>
      </c>
    </row>
    <row r="187" spans="1:13">
      <c r="A187" s="672">
        <f t="shared" ca="1" si="16"/>
        <v>41579</v>
      </c>
      <c r="C187" s="691">
        <f ca="1">MAX('Plant Operations'!H187,'Plant Operations'!L187)</f>
        <v>0.92</v>
      </c>
      <c r="D187" s="820">
        <f t="shared" ca="1" si="17"/>
        <v>0.92</v>
      </c>
      <c r="E187" s="820">
        <f t="shared" ca="1" si="14"/>
        <v>0</v>
      </c>
      <c r="F187" s="1485">
        <f ca="1">IF(Assm!$F$29=0,'Annex 10-Plant'!G187,'Annex 12-Plant'!T187)</f>
        <v>12455.36677557753</v>
      </c>
      <c r="G187" s="1486">
        <f ca="1">IF($A187&lt;Startops2,0,IF(Assm!$F$29=0,VLOOKUP($A187,Annex10_Gas_Table,'Annex 10-Gas'!$G$270),VLOOKUP($A187,Annex12_Gas_Table,'Annex 12-Gas'!$J$270)))</f>
        <v>14306.645689344399</v>
      </c>
      <c r="H187" s="1487">
        <f ca="1">IF($A187&lt;Startops2,0,IF(Assm!$F$29=0,VLOOKUP($A187,Annex10_Gas_Table,'Annex 10-Gas'!$P$270),VLOOKUP($A187,Annex12_Gas_Table,'Annex 12-Gas'!$V$270)))</f>
        <v>10838.947913472372</v>
      </c>
      <c r="I187" s="1486">
        <f t="shared" ca="1" si="18"/>
        <v>37600.960378394302</v>
      </c>
      <c r="J187" s="1486">
        <f t="shared" ca="1" si="19"/>
        <v>0</v>
      </c>
      <c r="K187" s="1480">
        <f ca="1">IF(Assm!$L$74=1,VLOOKUP($A187,Curves_Table,Escalation!$D$291),Exch)</f>
        <v>1.0649999999999999</v>
      </c>
      <c r="L187" s="335">
        <f t="shared" ca="1" si="20"/>
        <v>0</v>
      </c>
      <c r="M187" s="698" t="str">
        <f t="shared" ca="1" si="15"/>
        <v xml:space="preserve"> </v>
      </c>
    </row>
    <row r="188" spans="1:13">
      <c r="A188" s="672">
        <f t="shared" ca="1" si="16"/>
        <v>41609</v>
      </c>
      <c r="C188" s="691">
        <f ca="1">MAX('Plant Operations'!H188,'Plant Operations'!L188)</f>
        <v>0.92</v>
      </c>
      <c r="D188" s="820">
        <f t="shared" ca="1" si="17"/>
        <v>0.92</v>
      </c>
      <c r="E188" s="820">
        <f t="shared" ca="1" si="14"/>
        <v>0</v>
      </c>
      <c r="F188" s="1485">
        <f ca="1">IF(Assm!$F$29=0,'Annex 10-Plant'!G188,'Annex 12-Plant'!T188)</f>
        <v>12474.94048859</v>
      </c>
      <c r="G188" s="1486">
        <f ca="1">IF($A188&lt;Startops2,0,IF(Assm!$F$29=0,VLOOKUP($A188,Annex10_Gas_Table,'Annex 10-Gas'!$G$270),VLOOKUP($A188,Annex12_Gas_Table,'Annex 12-Gas'!$J$270)))</f>
        <v>14330.424173880851</v>
      </c>
      <c r="H188" s="1487">
        <f ca="1">IF($A188&lt;Startops2,0,IF(Assm!$F$29=0,VLOOKUP($A188,Annex10_Gas_Table,'Annex 10-Gas'!$P$270),VLOOKUP($A188,Annex12_Gas_Table,'Annex 12-Gas'!$V$270)))</f>
        <v>10856.962880848263</v>
      </c>
      <c r="I188" s="1486">
        <f t="shared" ca="1" si="18"/>
        <v>37662.327543319116</v>
      </c>
      <c r="J188" s="1486">
        <f t="shared" ca="1" si="19"/>
        <v>0</v>
      </c>
      <c r="K188" s="1480">
        <f ca="1">IF(Assm!$L$74=1,VLOOKUP($A188,Curves_Table,Escalation!$D$291),Exch)</f>
        <v>1.0649999999999999</v>
      </c>
      <c r="L188" s="335">
        <f t="shared" ca="1" si="20"/>
        <v>0</v>
      </c>
      <c r="M188" s="698">
        <f t="shared" ca="1" si="15"/>
        <v>0</v>
      </c>
    </row>
    <row r="189" spans="1:13">
      <c r="A189" s="672">
        <f t="shared" ca="1" si="16"/>
        <v>41640</v>
      </c>
      <c r="C189" s="691">
        <f ca="1">MAX('Plant Operations'!H189,'Plant Operations'!L189)</f>
        <v>0.92</v>
      </c>
      <c r="D189" s="820">
        <f t="shared" ca="1" si="17"/>
        <v>0.92</v>
      </c>
      <c r="E189" s="820">
        <f t="shared" ca="1" si="14"/>
        <v>0</v>
      </c>
      <c r="F189" s="1485">
        <f ca="1">IF(Assm!$F$29=0,'Annex 10-Plant'!G189,'Annex 12-Plant'!T189)</f>
        <v>12494.418587979751</v>
      </c>
      <c r="G189" s="1486">
        <f ca="1">IF($A189&lt;Startops2,0,IF(Assm!$F$29=0,VLOOKUP($A189,Annex10_Gas_Table,'Annex 10-Gas'!$G$270),VLOOKUP($A189,Annex12_Gas_Table,'Annex 12-Gas'!$J$270)))</f>
        <v>14354.086505337511</v>
      </c>
      <c r="H189" s="1487">
        <f ca="1">IF($A189&lt;Startops2,0,IF(Assm!$F$29=0,VLOOKUP($A189,Annex10_Gas_Table,'Annex 10-Gas'!$P$270),VLOOKUP($A189,Annex12_Gas_Table,'Annex 12-Gas'!$V$270)))</f>
        <v>10874.889848758081</v>
      </c>
      <c r="I189" s="1486">
        <f t="shared" ca="1" si="18"/>
        <v>37723.394942075342</v>
      </c>
      <c r="J189" s="1486">
        <f t="shared" ca="1" si="19"/>
        <v>0</v>
      </c>
      <c r="K189" s="1480">
        <f ca="1">IF(Assm!$L$74=1,VLOOKUP($A189,Curves_Table,Escalation!$D$291),Exch)</f>
        <v>1.0649999999999999</v>
      </c>
      <c r="L189" s="335">
        <f t="shared" ca="1" si="20"/>
        <v>0</v>
      </c>
      <c r="M189" s="698" t="str">
        <f t="shared" ca="1" si="15"/>
        <v xml:space="preserve"> </v>
      </c>
    </row>
    <row r="190" spans="1:13">
      <c r="A190" s="672">
        <f t="shared" ca="1" si="16"/>
        <v>41671</v>
      </c>
      <c r="C190" s="691">
        <f ca="1">MAX('Plant Operations'!H190,'Plant Operations'!L190)</f>
        <v>0.92</v>
      </c>
      <c r="D190" s="820">
        <f t="shared" ca="1" si="17"/>
        <v>0.92</v>
      </c>
      <c r="E190" s="820">
        <f t="shared" ca="1" si="14"/>
        <v>0</v>
      </c>
      <c r="F190" s="1485">
        <f ca="1">IF(Assm!$F$29=0,'Annex 10-Plant'!G190,'Annex 12-Plant'!T190)</f>
        <v>12513.928849518941</v>
      </c>
      <c r="G190" s="1486">
        <f ca="1">IF($A190&lt;Startops2,0,IF(Assm!$F$29=0,VLOOKUP($A190,Annex10_Gas_Table,'Annex 10-Gas'!$G$270),VLOOKUP($A190,Annex12_Gas_Table,'Annex 12-Gas'!$J$270)))</f>
        <v>14377.787907928641</v>
      </c>
      <c r="H190" s="1487">
        <f ca="1">IF($A190&lt;Startops2,0,IF(Assm!$F$29=0,VLOOKUP($A190,Annex10_Gas_Table,'Annex 10-Gas'!$P$270),VLOOKUP($A190,Annex12_Gas_Table,'Annex 12-Gas'!$V$270)))</f>
        <v>10892.846417596076</v>
      </c>
      <c r="I190" s="1486">
        <f t="shared" ca="1" si="18"/>
        <v>37784.563175043659</v>
      </c>
      <c r="J190" s="1486">
        <f t="shared" ca="1" si="19"/>
        <v>0</v>
      </c>
      <c r="K190" s="1480">
        <f ca="1">IF(Assm!$L$74=1,VLOOKUP($A190,Curves_Table,Escalation!$D$291),Exch)</f>
        <v>1.0649999999999999</v>
      </c>
      <c r="L190" s="335">
        <f t="shared" ca="1" si="20"/>
        <v>0</v>
      </c>
      <c r="M190" s="698" t="str">
        <f t="shared" ca="1" si="15"/>
        <v xml:space="preserve"> </v>
      </c>
    </row>
    <row r="191" spans="1:13">
      <c r="A191" s="672">
        <f t="shared" ca="1" si="16"/>
        <v>41699</v>
      </c>
      <c r="C191" s="691">
        <f ca="1">MAX('Plant Operations'!H191,'Plant Operations'!L191)</f>
        <v>0.92</v>
      </c>
      <c r="D191" s="820">
        <f t="shared" ca="1" si="17"/>
        <v>0.92</v>
      </c>
      <c r="E191" s="820">
        <f t="shared" ca="1" si="14"/>
        <v>0</v>
      </c>
      <c r="F191" s="1485">
        <f ca="1">IF(Assm!$F$29=0,'Annex 10-Plant'!G191,'Annex 12-Plant'!T191)</f>
        <v>12533.471326313578</v>
      </c>
      <c r="G191" s="1486">
        <f ca="1">IF($A191&lt;Startops2,0,IF(Assm!$F$29=0,VLOOKUP($A191,Annex10_Gas_Table,'Annex 10-Gas'!$G$270),VLOOKUP($A191,Annex12_Gas_Table,'Annex 12-Gas'!$J$270)))</f>
        <v>14401.528446168326</v>
      </c>
      <c r="H191" s="1487">
        <f ca="1">IF($A191&lt;Startops2,0,IF(Assm!$F$29=0,VLOOKUP($A191,Annex10_Gas_Table,'Annex 10-Gas'!$P$270),VLOOKUP($A191,Annex12_Gas_Table,'Annex 12-Gas'!$V$270)))</f>
        <v>10910.832636239165</v>
      </c>
      <c r="I191" s="1486">
        <f t="shared" ca="1" si="18"/>
        <v>37845.832408721071</v>
      </c>
      <c r="J191" s="1486">
        <f t="shared" ca="1" si="19"/>
        <v>0</v>
      </c>
      <c r="K191" s="1480">
        <f ca="1">IF(Assm!$L$74=1,VLOOKUP($A191,Curves_Table,Escalation!$D$291),Exch)</f>
        <v>1.0649999999999999</v>
      </c>
      <c r="L191" s="335">
        <f t="shared" ca="1" si="20"/>
        <v>0</v>
      </c>
      <c r="M191" s="698" t="str">
        <f t="shared" ca="1" si="15"/>
        <v xml:space="preserve"> </v>
      </c>
    </row>
    <row r="192" spans="1:13">
      <c r="A192" s="672">
        <f t="shared" ca="1" si="16"/>
        <v>41730</v>
      </c>
      <c r="C192" s="691">
        <f ca="1">MAX('Plant Operations'!H192,'Plant Operations'!L192)</f>
        <v>0.92</v>
      </c>
      <c r="D192" s="820">
        <f t="shared" ca="1" si="17"/>
        <v>0.92</v>
      </c>
      <c r="E192" s="820">
        <f t="shared" ca="1" si="14"/>
        <v>0</v>
      </c>
      <c r="F192" s="1485">
        <f ca="1">IF(Assm!$F$29=0,'Annex 10-Plant'!G192,'Annex 12-Plant'!T192)</f>
        <v>12553.046071557339</v>
      </c>
      <c r="G192" s="1486">
        <f ca="1">IF($A192&lt;Startops2,0,IF(Assm!$F$29=0,VLOOKUP($A192,Annex10_Gas_Table,'Annex 10-Gas'!$G$270),VLOOKUP($A192,Annex12_Gas_Table,'Annex 12-Gas'!$J$270)))</f>
        <v>14425.308184677173</v>
      </c>
      <c r="H192" s="1487">
        <f ca="1">IF($A192&lt;Startops2,0,IF(Assm!$F$29=0,VLOOKUP($A192,Annex10_Gas_Table,'Annex 10-Gas'!$P$270),VLOOKUP($A192,Annex12_Gas_Table,'Annex 12-Gas'!$V$270)))</f>
        <v>10928.848553644972</v>
      </c>
      <c r="I192" s="1486">
        <f t="shared" ca="1" si="18"/>
        <v>37907.202809879484</v>
      </c>
      <c r="J192" s="1486">
        <f t="shared" ca="1" si="19"/>
        <v>0</v>
      </c>
      <c r="K192" s="1480">
        <f ca="1">IF(Assm!$L$74=1,VLOOKUP($A192,Curves_Table,Escalation!$D$291),Exch)</f>
        <v>1.0649999999999999</v>
      </c>
      <c r="L192" s="335">
        <f t="shared" ca="1" si="20"/>
        <v>0</v>
      </c>
      <c r="M192" s="698" t="str">
        <f t="shared" ca="1" si="15"/>
        <v xml:space="preserve"> </v>
      </c>
    </row>
    <row r="193" spans="1:13">
      <c r="A193" s="672">
        <f t="shared" ca="1" si="16"/>
        <v>41760</v>
      </c>
      <c r="C193" s="691">
        <f ca="1">MAX('Plant Operations'!H193,'Plant Operations'!L193)</f>
        <v>0.92</v>
      </c>
      <c r="D193" s="820">
        <f t="shared" ca="1" si="17"/>
        <v>0.92</v>
      </c>
      <c r="E193" s="820">
        <f t="shared" ca="1" si="14"/>
        <v>0</v>
      </c>
      <c r="F193" s="1485">
        <f ca="1">IF(Assm!$F$29=0,'Annex 10-Plant'!G193,'Annex 12-Plant'!T193)</f>
        <v>8219.3736716082149</v>
      </c>
      <c r="G193" s="1486">
        <f ca="1">IF($A193&lt;Startops2,0,IF(Assm!$F$29=0,VLOOKUP($A193,Annex10_Gas_Table,'Annex 10-Gas'!$G$270),VLOOKUP($A193,Annex12_Gas_Table,'Annex 12-Gas'!$J$270)))</f>
        <v>14796.715337933314</v>
      </c>
      <c r="H193" s="1487">
        <f ca="1">IF($A193&lt;Startops2,0,IF(Assm!$F$29=0,VLOOKUP($A193,Annex10_Gas_Table,'Annex 10-Gas'!$P$270),VLOOKUP($A193,Annex12_Gas_Table,'Annex 12-Gas'!$V$270)))</f>
        <v>11113.183149211261</v>
      </c>
      <c r="I193" s="1486">
        <f t="shared" ca="1" si="18"/>
        <v>34129.272158752792</v>
      </c>
      <c r="J193" s="1486">
        <f t="shared" ca="1" si="19"/>
        <v>0</v>
      </c>
      <c r="K193" s="1480">
        <f ca="1">IF(Assm!$L$74=1,VLOOKUP($A193,Curves_Table,Escalation!$D$291),Exch)</f>
        <v>1.0649999999999999</v>
      </c>
      <c r="L193" s="335">
        <f t="shared" ca="1" si="20"/>
        <v>0</v>
      </c>
      <c r="M193" s="698" t="str">
        <f t="shared" ca="1" si="15"/>
        <v xml:space="preserve"> </v>
      </c>
    </row>
    <row r="194" spans="1:13">
      <c r="A194" s="672">
        <f t="shared" ca="1" si="16"/>
        <v>41791</v>
      </c>
      <c r="C194" s="691">
        <f ca="1">MAX('Plant Operations'!H194,'Plant Operations'!L194)</f>
        <v>0.92</v>
      </c>
      <c r="D194" s="820">
        <f t="shared" ca="1" si="17"/>
        <v>0.92</v>
      </c>
      <c r="E194" s="820">
        <f t="shared" ca="1" si="14"/>
        <v>0</v>
      </c>
      <c r="F194" s="1485">
        <f ca="1">IF(Assm!$F$29=0,'Annex 10-Plant'!G194,'Annex 12-Plant'!T194)</f>
        <v>8231.8409104282018</v>
      </c>
      <c r="G194" s="1486">
        <f ca="1">IF($A194&lt;Startops2,0,IF(Assm!$F$29=0,VLOOKUP($A194,Annex10_Gas_Table,'Annex 10-Gas'!$G$270),VLOOKUP($A194,Annex12_Gas_Table,'Annex 12-Gas'!$J$270)))</f>
        <v>14821.147607247027</v>
      </c>
      <c r="H194" s="1487">
        <f ca="1">IF($A194&lt;Startops2,0,IF(Assm!$F$29=0,VLOOKUP($A194,Annex10_Gas_Table,'Annex 10-Gas'!$P$270),VLOOKUP($A194,Annex12_Gas_Table,'Annex 12-Gas'!$V$270)))</f>
        <v>11131.533186867122</v>
      </c>
      <c r="I194" s="1486">
        <f t="shared" ca="1" si="18"/>
        <v>34184.521704542349</v>
      </c>
      <c r="J194" s="1486">
        <f t="shared" ca="1" si="19"/>
        <v>0</v>
      </c>
      <c r="K194" s="1480">
        <f ca="1">IF(Assm!$L$74=1,VLOOKUP($A194,Curves_Table,Escalation!$D$291),Exch)</f>
        <v>1.0649999999999999</v>
      </c>
      <c r="L194" s="335">
        <f t="shared" ca="1" si="20"/>
        <v>0</v>
      </c>
      <c r="M194" s="698" t="str">
        <f t="shared" ca="1" si="15"/>
        <v xml:space="preserve"> </v>
      </c>
    </row>
    <row r="195" spans="1:13">
      <c r="A195" s="672">
        <f t="shared" ca="1" si="16"/>
        <v>41821</v>
      </c>
      <c r="C195" s="691">
        <f ca="1">MAX('Plant Operations'!H195,'Plant Operations'!L195)</f>
        <v>0.92</v>
      </c>
      <c r="D195" s="820">
        <f t="shared" ca="1" si="17"/>
        <v>0.92</v>
      </c>
      <c r="E195" s="820">
        <f t="shared" ca="1" si="14"/>
        <v>0</v>
      </c>
      <c r="F195" s="1485">
        <f ca="1">IF(Assm!$F$29=0,'Annex 10-Plant'!G195,'Annex 12-Plant'!T195)</f>
        <v>8244.3287350964347</v>
      </c>
      <c r="G195" s="1486">
        <f ca="1">IF($A195&lt;Startops2,0,IF(Assm!$F$29=0,VLOOKUP($A195,Annex10_Gas_Table,'Annex 10-Gas'!$G$270),VLOOKUP($A195,Annex12_Gas_Table,'Annex 12-Gas'!$J$270)))</f>
        <v>14845.620219013113</v>
      </c>
      <c r="H195" s="1487">
        <f ca="1">IF($A195&lt;Startops2,0,IF(Assm!$F$29=0,VLOOKUP($A195,Annex10_Gas_Table,'Annex 10-Gas'!$P$270),VLOOKUP($A195,Annex12_Gas_Table,'Annex 12-Gas'!$V$270)))</f>
        <v>11149.913524022008</v>
      </c>
      <c r="I195" s="1486">
        <f t="shared" ca="1" si="18"/>
        <v>34239.862478131552</v>
      </c>
      <c r="J195" s="1486">
        <f t="shared" ca="1" si="19"/>
        <v>0</v>
      </c>
      <c r="K195" s="1480">
        <f ca="1">IF(Assm!$L$74=1,VLOOKUP($A195,Curves_Table,Escalation!$D$291),Exch)</f>
        <v>1.0649999999999999</v>
      </c>
      <c r="L195" s="335">
        <f t="shared" ca="1" si="20"/>
        <v>0</v>
      </c>
      <c r="M195" s="698" t="str">
        <f t="shared" ca="1" si="15"/>
        <v xml:space="preserve"> </v>
      </c>
    </row>
    <row r="196" spans="1:13">
      <c r="A196" s="672">
        <f t="shared" ca="1" si="16"/>
        <v>41852</v>
      </c>
      <c r="C196" s="691">
        <f ca="1">MAX('Plant Operations'!H196,'Plant Operations'!L196)</f>
        <v>0.92</v>
      </c>
      <c r="D196" s="820">
        <f t="shared" ca="1" si="17"/>
        <v>0.92</v>
      </c>
      <c r="E196" s="820">
        <f t="shared" ca="1" si="14"/>
        <v>0</v>
      </c>
      <c r="F196" s="1485">
        <f ca="1">IF(Assm!$F$29=0,'Annex 10-Plant'!G196,'Annex 12-Plant'!T196)</f>
        <v>8256.8371796041702</v>
      </c>
      <c r="G196" s="1486">
        <f ca="1">IF($A196&lt;Startops2,0,IF(Assm!$F$29=0,VLOOKUP($A196,Annex10_Gas_Table,'Annex 10-Gas'!$G$270),VLOOKUP($A196,Annex12_Gas_Table,'Annex 12-Gas'!$J$270)))</f>
        <v>14870.13323984485</v>
      </c>
      <c r="H196" s="1487">
        <f ca="1">IF($A196&lt;Startops2,0,IF(Assm!$F$29=0,VLOOKUP($A196,Annex10_Gas_Table,'Annex 10-Gas'!$P$270),VLOOKUP($A196,Annex12_Gas_Table,'Annex 12-Gas'!$V$270)))</f>
        <v>11168.324210706311</v>
      </c>
      <c r="I196" s="1486">
        <f t="shared" ca="1" si="18"/>
        <v>34295.294630155331</v>
      </c>
      <c r="J196" s="1486">
        <f t="shared" ca="1" si="19"/>
        <v>0</v>
      </c>
      <c r="K196" s="1480">
        <f ca="1">IF(Assm!$L$74=1,VLOOKUP($A196,Curves_Table,Escalation!$D$291),Exch)</f>
        <v>1.0649999999999999</v>
      </c>
      <c r="L196" s="335">
        <f t="shared" ca="1" si="20"/>
        <v>0</v>
      </c>
      <c r="M196" s="698" t="str">
        <f t="shared" ca="1" si="15"/>
        <v xml:space="preserve"> </v>
      </c>
    </row>
    <row r="197" spans="1:13">
      <c r="A197" s="672">
        <f t="shared" ca="1" si="16"/>
        <v>41883</v>
      </c>
      <c r="C197" s="691">
        <f ca="1">MAX('Plant Operations'!H197,'Plant Operations'!L197)</f>
        <v>0.92</v>
      </c>
      <c r="D197" s="820">
        <f t="shared" ca="1" si="17"/>
        <v>0.92</v>
      </c>
      <c r="E197" s="820">
        <f t="shared" ca="1" si="14"/>
        <v>0</v>
      </c>
      <c r="F197" s="1485">
        <f ca="1">IF(Assm!$F$29=0,'Annex 10-Plant'!G197,'Annex 12-Plant'!T197)</f>
        <v>8269.3662779987953</v>
      </c>
      <c r="G197" s="1486">
        <f ca="1">IF($A197&lt;Startops2,0,IF(Assm!$F$29=0,VLOOKUP($A197,Annex10_Gas_Table,'Annex 10-Gas'!$G$270),VLOOKUP($A197,Annex12_Gas_Table,'Annex 12-Gas'!$J$270)))</f>
        <v>14894.686736465503</v>
      </c>
      <c r="H197" s="1487">
        <f ca="1">IF($A197&lt;Startops2,0,IF(Assm!$F$29=0,VLOOKUP($A197,Annex10_Gas_Table,'Annex 10-Gas'!$P$270),VLOOKUP($A197,Annex12_Gas_Table,'Annex 12-Gas'!$V$270)))</f>
        <v>11186.765297033038</v>
      </c>
      <c r="I197" s="1486">
        <f t="shared" ca="1" si="18"/>
        <v>34350.818311497336</v>
      </c>
      <c r="J197" s="1486">
        <f t="shared" ca="1" si="19"/>
        <v>0</v>
      </c>
      <c r="K197" s="1480">
        <f ca="1">IF(Assm!$L$74=1,VLOOKUP($A197,Curves_Table,Escalation!$D$291),Exch)</f>
        <v>1.0649999999999999</v>
      </c>
      <c r="L197" s="335">
        <f t="shared" ca="1" si="20"/>
        <v>0</v>
      </c>
      <c r="M197" s="698" t="str">
        <f t="shared" ca="1" si="15"/>
        <v xml:space="preserve"> </v>
      </c>
    </row>
    <row r="198" spans="1:13">
      <c r="A198" s="672">
        <f t="shared" ca="1" si="16"/>
        <v>41913</v>
      </c>
      <c r="C198" s="691">
        <f ca="1">MAX('Plant Operations'!H198,'Plant Operations'!L198)</f>
        <v>0.92</v>
      </c>
      <c r="D198" s="820">
        <f t="shared" ca="1" si="17"/>
        <v>0.92</v>
      </c>
      <c r="E198" s="820">
        <f t="shared" ca="1" si="14"/>
        <v>0</v>
      </c>
      <c r="F198" s="1485">
        <f ca="1">IF(Assm!$F$29=0,'Annex 10-Plant'!G198,'Annex 12-Plant'!T198)</f>
        <v>8281.9160643839114</v>
      </c>
      <c r="G198" s="1486">
        <f ca="1">IF($A198&lt;Startops2,0,IF(Assm!$F$29=0,VLOOKUP($A198,Annex10_Gas_Table,'Annex 10-Gas'!$G$270),VLOOKUP($A198,Annex12_Gas_Table,'Annex 12-Gas'!$J$270)))</f>
        <v>14919.280775708508</v>
      </c>
      <c r="H198" s="1487">
        <f ca="1">IF($A198&lt;Startops2,0,IF(Assm!$F$29=0,VLOOKUP($A198,Annex10_Gas_Table,'Annex 10-Gas'!$P$270),VLOOKUP($A198,Annex12_Gas_Table,'Annex 12-Gas'!$V$270)))</f>
        <v>11205.236833197941</v>
      </c>
      <c r="I198" s="1486">
        <f t="shared" ca="1" si="18"/>
        <v>34406.433673290361</v>
      </c>
      <c r="J198" s="1486">
        <f t="shared" ca="1" si="19"/>
        <v>0</v>
      </c>
      <c r="K198" s="1480">
        <f ca="1">IF(Assm!$L$74=1,VLOOKUP($A198,Curves_Table,Escalation!$D$291),Exch)</f>
        <v>1.0649999999999999</v>
      </c>
      <c r="L198" s="335">
        <f t="shared" ca="1" si="20"/>
        <v>0</v>
      </c>
      <c r="M198" s="698" t="str">
        <f t="shared" ca="1" si="15"/>
        <v xml:space="preserve"> </v>
      </c>
    </row>
    <row r="199" spans="1:13">
      <c r="A199" s="672">
        <f t="shared" ca="1" si="16"/>
        <v>41944</v>
      </c>
      <c r="C199" s="691">
        <f ca="1">MAX('Plant Operations'!H199,'Plant Operations'!L199)</f>
        <v>0.92</v>
      </c>
      <c r="D199" s="820">
        <f t="shared" ca="1" si="17"/>
        <v>0.92</v>
      </c>
      <c r="E199" s="820">
        <f t="shared" ca="1" si="14"/>
        <v>0</v>
      </c>
      <c r="F199" s="1485">
        <f ca="1">IF(Assm!$F$29=0,'Annex 10-Plant'!G199,'Annex 12-Plant'!T199)</f>
        <v>8294.4865729194353</v>
      </c>
      <c r="G199" s="1486">
        <f ca="1">IF($A199&lt;Startops2,0,IF(Assm!$F$29=0,VLOOKUP($A199,Annex10_Gas_Table,'Annex 10-Gas'!$G$270),VLOOKUP($A199,Annex12_Gas_Table,'Annex 12-Gas'!$J$270)))</f>
        <v>14943.915424517661</v>
      </c>
      <c r="H199" s="1487">
        <f ca="1">IF($A199&lt;Startops2,0,IF(Assm!$F$29=0,VLOOKUP($A199,Annex10_Gas_Table,'Annex 10-Gas'!$P$270),VLOOKUP($A199,Annex12_Gas_Table,'Annex 12-Gas'!$V$270)))</f>
        <v>11223.738869479655</v>
      </c>
      <c r="I199" s="1486">
        <f t="shared" ca="1" si="18"/>
        <v>34462.14086691675</v>
      </c>
      <c r="J199" s="1486">
        <f t="shared" ca="1" si="19"/>
        <v>0</v>
      </c>
      <c r="K199" s="1480">
        <f ca="1">IF(Assm!$L$74=1,VLOOKUP($A199,Curves_Table,Escalation!$D$291),Exch)</f>
        <v>1.0649999999999999</v>
      </c>
      <c r="L199" s="335">
        <f t="shared" ca="1" si="20"/>
        <v>0</v>
      </c>
      <c r="M199" s="698" t="str">
        <f t="shared" ca="1" si="15"/>
        <v xml:space="preserve"> </v>
      </c>
    </row>
    <row r="200" spans="1:13">
      <c r="A200" s="672">
        <f t="shared" ca="1" si="16"/>
        <v>41974</v>
      </c>
      <c r="C200" s="691">
        <f ca="1">MAX('Plant Operations'!H200,'Plant Operations'!L200)</f>
        <v>0.92</v>
      </c>
      <c r="D200" s="820">
        <f t="shared" ca="1" si="17"/>
        <v>0.92</v>
      </c>
      <c r="E200" s="820">
        <f t="shared" ca="1" si="14"/>
        <v>0</v>
      </c>
      <c r="F200" s="1485">
        <f ca="1">IF(Assm!$F$29=0,'Annex 10-Plant'!G200,'Annex 12-Plant'!T200)</f>
        <v>8307.0778378216874</v>
      </c>
      <c r="G200" s="1486">
        <f ca="1">IF($A200&lt;Startops2,0,IF(Assm!$F$29=0,VLOOKUP($A200,Annex10_Gas_Table,'Annex 10-Gas'!$G$270),VLOOKUP($A200,Annex12_Gas_Table,'Annex 12-Gas'!$J$270)))</f>
        <v>14968.590749947285</v>
      </c>
      <c r="H200" s="1487">
        <f ca="1">IF($A200&lt;Startops2,0,IF(Assm!$F$29=0,VLOOKUP($A200,Annex10_Gas_Table,'Annex 10-Gas'!$P$270),VLOOKUP($A200,Annex12_Gas_Table,'Annex 12-Gas'!$V$270)))</f>
        <v>11242.271456239825</v>
      </c>
      <c r="I200" s="1486">
        <f t="shared" ca="1" si="18"/>
        <v>34517.940044008799</v>
      </c>
      <c r="J200" s="1486">
        <f t="shared" ca="1" si="19"/>
        <v>0</v>
      </c>
      <c r="K200" s="1480">
        <f ca="1">IF(Assm!$L$74=1,VLOOKUP($A200,Curves_Table,Escalation!$D$291),Exch)</f>
        <v>1.0649999999999999</v>
      </c>
      <c r="L200" s="335">
        <f t="shared" ca="1" si="20"/>
        <v>0</v>
      </c>
      <c r="M200" s="698">
        <f t="shared" ca="1" si="15"/>
        <v>0</v>
      </c>
    </row>
    <row r="201" spans="1:13">
      <c r="A201" s="672">
        <f t="shared" ca="1" si="16"/>
        <v>42005</v>
      </c>
      <c r="C201" s="691">
        <f ca="1">MAX('Plant Operations'!H201,'Plant Operations'!L201)</f>
        <v>0.92</v>
      </c>
      <c r="D201" s="820">
        <f t="shared" ca="1" si="17"/>
        <v>0.92</v>
      </c>
      <c r="E201" s="820">
        <f t="shared" ca="1" si="14"/>
        <v>0</v>
      </c>
      <c r="F201" s="1485">
        <f ca="1">IF(Assm!$F$29=0,'Annex 10-Plant'!G201,'Annex 12-Plant'!T201)</f>
        <v>8319.6750981653913</v>
      </c>
      <c r="G201" s="1486">
        <f ca="1">IF($A201&lt;Startops2,0,IF(Assm!$F$29=0,VLOOKUP($A201,Annex10_Gas_Table,'Annex 10-Gas'!$G$270),VLOOKUP($A201,Annex12_Gas_Table,'Annex 12-Gas'!$J$270)))</f>
        <v>14993.277824749997</v>
      </c>
      <c r="H201" s="1487">
        <f ca="1">IF($A201&lt;Startops2,0,IF(Assm!$F$29=0,VLOOKUP($A201,Annex10_Gas_Table,'Annex 10-Gas'!$P$270),VLOOKUP($A201,Annex12_Gas_Table,'Annex 12-Gas'!$V$270)))</f>
        <v>11260.812867454077</v>
      </c>
      <c r="I201" s="1486">
        <f t="shared" ca="1" si="18"/>
        <v>34573.765790369464</v>
      </c>
      <c r="J201" s="1486">
        <f t="shared" ca="1" si="19"/>
        <v>0</v>
      </c>
      <c r="K201" s="1480">
        <f ca="1">IF(Assm!$L$74=1,VLOOKUP($A201,Curves_Table,Escalation!$D$291),Exch)</f>
        <v>1.0649999999999999</v>
      </c>
      <c r="L201" s="335">
        <f t="shared" ca="1" si="20"/>
        <v>0</v>
      </c>
      <c r="M201" s="698" t="str">
        <f t="shared" ca="1" si="15"/>
        <v xml:space="preserve"> </v>
      </c>
    </row>
    <row r="202" spans="1:13">
      <c r="A202" s="672">
        <f t="shared" ca="1" si="16"/>
        <v>42036</v>
      </c>
      <c r="C202" s="691">
        <f ca="1">MAX('Plant Operations'!H202,'Plant Operations'!L202)</f>
        <v>0.92</v>
      </c>
      <c r="D202" s="820">
        <f t="shared" ca="1" si="17"/>
        <v>0.92</v>
      </c>
      <c r="E202" s="820">
        <f t="shared" ca="1" si="14"/>
        <v>0</v>
      </c>
      <c r="F202" s="1485">
        <f ca="1">IF(Assm!$F$29=0,'Annex 10-Plant'!G202,'Annex 12-Plant'!T202)</f>
        <v>8332.2931346471833</v>
      </c>
      <c r="G202" s="1486">
        <f ca="1">IF($A202&lt;Startops2,0,IF(Assm!$F$29=0,VLOOKUP($A202,Annex10_Gas_Table,'Annex 10-Gas'!$G$270),VLOOKUP($A202,Annex12_Gas_Table,'Annex 12-Gas'!$J$270)))</f>
        <v>15018.005614919475</v>
      </c>
      <c r="H202" s="1487">
        <f ca="1">IF($A202&lt;Startops2,0,IF(Assm!$F$29=0,VLOOKUP($A202,Annex10_Gas_Table,'Annex 10-Gas'!$P$270),VLOOKUP($A202,Annex12_Gas_Table,'Annex 12-Gas'!$V$270)))</f>
        <v>11279.384858247473</v>
      </c>
      <c r="I202" s="1486">
        <f t="shared" ca="1" si="18"/>
        <v>34629.683607814135</v>
      </c>
      <c r="J202" s="1486">
        <f t="shared" ca="1" si="19"/>
        <v>0</v>
      </c>
      <c r="K202" s="1480">
        <f ca="1">IF(Assm!$L$74=1,VLOOKUP($A202,Curves_Table,Escalation!$D$291),Exch)</f>
        <v>1.0649999999999999</v>
      </c>
      <c r="L202" s="335">
        <f t="shared" ca="1" si="20"/>
        <v>0</v>
      </c>
      <c r="M202" s="698" t="str">
        <f t="shared" ca="1" si="15"/>
        <v xml:space="preserve"> </v>
      </c>
    </row>
    <row r="203" spans="1:13">
      <c r="A203" s="672">
        <f t="shared" ca="1" si="16"/>
        <v>42064</v>
      </c>
      <c r="C203" s="691">
        <f ca="1">MAX('Plant Operations'!H203,'Plant Operations'!L203)</f>
        <v>0.92</v>
      </c>
      <c r="D203" s="820">
        <f t="shared" ca="1" si="17"/>
        <v>0.92</v>
      </c>
      <c r="E203" s="820">
        <f t="shared" ca="1" si="14"/>
        <v>0</v>
      </c>
      <c r="F203" s="1485">
        <f ca="1">IF(Assm!$F$29=0,'Annex 10-Plant'!G203,'Annex 12-Plant'!T203)</f>
        <v>8344.931981532287</v>
      </c>
      <c r="G203" s="1486">
        <f ca="1">IF($A203&lt;Startops2,0,IF(Assm!$F$29=0,VLOOKUP($A203,Annex10_Gas_Table,'Annex 10-Gas'!$G$270),VLOOKUP($A203,Annex12_Gas_Table,'Annex 12-Gas'!$J$270)))</f>
        <v>15042.774187605875</v>
      </c>
      <c r="H203" s="1487">
        <f ca="1">IF($A203&lt;Startops2,0,IF(Assm!$F$29=0,VLOOKUP($A203,Annex10_Gas_Table,'Annex 10-Gas'!$P$270),VLOOKUP($A203,Annex12_Gas_Table,'Annex 12-Gas'!$V$270)))</f>
        <v>11297.987479053652</v>
      </c>
      <c r="I203" s="1486">
        <f t="shared" ca="1" si="18"/>
        <v>34685.693648191809</v>
      </c>
      <c r="J203" s="1486">
        <f t="shared" ca="1" si="19"/>
        <v>0</v>
      </c>
      <c r="K203" s="1480">
        <f ca="1">IF(Assm!$L$74=1,VLOOKUP($A203,Curves_Table,Escalation!$D$291),Exch)</f>
        <v>1.0649999999999999</v>
      </c>
      <c r="L203" s="335">
        <f t="shared" ca="1" si="20"/>
        <v>0</v>
      </c>
      <c r="M203" s="698" t="str">
        <f t="shared" ca="1" si="15"/>
        <v xml:space="preserve"> </v>
      </c>
    </row>
    <row r="204" spans="1:13">
      <c r="A204" s="672">
        <f t="shared" ca="1" si="16"/>
        <v>42095</v>
      </c>
      <c r="C204" s="691">
        <f ca="1">MAX('Plant Operations'!H204,'Plant Operations'!L204)</f>
        <v>0.92</v>
      </c>
      <c r="D204" s="820">
        <f t="shared" ca="1" si="17"/>
        <v>0.92</v>
      </c>
      <c r="E204" s="820">
        <f t="shared" ref="E204:E266" ca="1" si="21">IF(D204&gt;E$10,0,E$10-D204)</f>
        <v>0</v>
      </c>
      <c r="F204" s="1485">
        <f ca="1">IF(Assm!$F$29=0,'Annex 10-Plant'!G204,'Annex 12-Plant'!T204)</f>
        <v>8357.591673142435</v>
      </c>
      <c r="G204" s="1486">
        <f ca="1">IF($A204&lt;Startops2,0,IF(Assm!$F$29=0,VLOOKUP($A204,Annex10_Gas_Table,'Annex 10-Gas'!$G$270),VLOOKUP($A204,Annex12_Gas_Table,'Annex 12-Gas'!$J$270)))</f>
        <v>15067.583610070113</v>
      </c>
      <c r="H204" s="1487">
        <f ca="1">IF($A204&lt;Startops2,0,IF(Assm!$F$29=0,VLOOKUP($A204,Annex10_Gas_Table,'Annex 10-Gas'!$P$270),VLOOKUP($A204,Annex12_Gas_Table,'Annex 12-Gas'!$V$270)))</f>
        <v>11316.620780389416</v>
      </c>
      <c r="I204" s="1486">
        <f t="shared" ca="1" si="18"/>
        <v>34741.796063601963</v>
      </c>
      <c r="J204" s="1486">
        <f t="shared" ca="1" si="19"/>
        <v>0</v>
      </c>
      <c r="K204" s="1480">
        <f ca="1">IF(Assm!$L$74=1,VLOOKUP($A204,Curves_Table,Escalation!$D$291),Exch)</f>
        <v>1.0649999999999999</v>
      </c>
      <c r="L204" s="335">
        <f t="shared" ca="1" si="20"/>
        <v>0</v>
      </c>
      <c r="M204" s="698" t="str">
        <f t="shared" ref="M204:M266" ca="1" si="22">IF(MONTH($A204)=12,SUM(L193:L204)," ")</f>
        <v xml:space="preserve"> </v>
      </c>
    </row>
    <row r="205" spans="1:13">
      <c r="A205" s="672">
        <f t="shared" ref="A205:A267" ca="1" si="23">EDATE(A204,1)</f>
        <v>42125</v>
      </c>
      <c r="C205" s="691">
        <f ca="1">MAX('Plant Operations'!H205,'Plant Operations'!L205)</f>
        <v>0.92</v>
      </c>
      <c r="D205" s="820">
        <f t="shared" ref="D205:D266" ca="1" si="24">IF($A205&gt;Endyr,0,AVERAGE(C193:C204))</f>
        <v>0.92</v>
      </c>
      <c r="E205" s="820">
        <f t="shared" ca="1" si="21"/>
        <v>0</v>
      </c>
      <c r="F205" s="1485">
        <f ca="1">IF(Assm!$F$29=0,'Annex 10-Plant'!G205,'Annex 12-Plant'!T205)</f>
        <v>4629.2421113945566</v>
      </c>
      <c r="G205" s="1486">
        <f ca="1">IF($A205&lt;Startops2,0,IF(Assm!$F$29=0,VLOOKUP($A205,Annex10_Gas_Table,'Annex 10-Gas'!$G$270),VLOOKUP($A205,Annex12_Gas_Table,'Annex 12-Gas'!$J$270)))</f>
        <v>15493.9024337767</v>
      </c>
      <c r="H205" s="1487">
        <f ca="1">IF($A205&lt;Startops2,0,IF(Assm!$F$29=0,VLOOKUP($A205,Annex10_Gas_Table,'Annex 10-Gas'!$P$270),VLOOKUP($A205,Annex12_Gas_Table,'Annex 12-Gas'!$V$270)))</f>
        <v>11608.861941944422</v>
      </c>
      <c r="I205" s="1486">
        <f t="shared" ref="I205:I266" ca="1" si="25">SUM(F205:H205)</f>
        <v>31732.006487115679</v>
      </c>
      <c r="J205" s="1486">
        <f t="shared" ref="J205:J266" ca="1" si="26">E205*I205</f>
        <v>0</v>
      </c>
      <c r="K205" s="1480">
        <f ca="1">IF(Assm!$L$74=1,VLOOKUP($A205,Curves_Table,Escalation!$D$291),Exch)</f>
        <v>1.0649999999999999</v>
      </c>
      <c r="L205" s="335">
        <f t="shared" ref="L205:L266" ca="1" si="27">J205/K205</f>
        <v>0</v>
      </c>
      <c r="M205" s="698" t="str">
        <f t="shared" ca="1" si="22"/>
        <v xml:space="preserve"> </v>
      </c>
    </row>
    <row r="206" spans="1:13">
      <c r="A206" s="672">
        <f t="shared" ca="1" si="23"/>
        <v>42156</v>
      </c>
      <c r="C206" s="691">
        <f ca="1">MAX('Plant Operations'!H206,'Plant Operations'!L206)</f>
        <v>0.92</v>
      </c>
      <c r="D206" s="820">
        <f t="shared" ca="1" si="24"/>
        <v>0.92</v>
      </c>
      <c r="E206" s="820">
        <f t="shared" ca="1" si="21"/>
        <v>0</v>
      </c>
      <c r="F206" s="1485">
        <f ca="1">IF(Assm!$F$29=0,'Annex 10-Plant'!G206,'Annex 12-Plant'!T206)</f>
        <v>4634.5736934997831</v>
      </c>
      <c r="G206" s="1486">
        <f ca="1">IF($A206&lt;Startops2,0,IF(Assm!$F$29=0,VLOOKUP($A206,Annex10_Gas_Table,'Annex 10-Gas'!$G$270),VLOOKUP($A206,Annex12_Gas_Table,'Annex 12-Gas'!$J$270)))</f>
        <v>15519.455883313685</v>
      </c>
      <c r="H206" s="1487">
        <f ca="1">IF($A206&lt;Startops2,0,IF(Assm!$F$29=0,VLOOKUP($A206,Annex10_Gas_Table,'Annex 10-Gas'!$P$270),VLOOKUP($A206,Annex12_Gas_Table,'Annex 12-Gas'!$V$270)))</f>
        <v>11628.007955615489</v>
      </c>
      <c r="I206" s="1486">
        <f t="shared" ca="1" si="25"/>
        <v>31782.037532428956</v>
      </c>
      <c r="J206" s="1486">
        <f t="shared" ca="1" si="26"/>
        <v>0</v>
      </c>
      <c r="K206" s="1480">
        <f ca="1">IF(Assm!$L$74=1,VLOOKUP($A206,Curves_Table,Escalation!$D$291),Exch)</f>
        <v>1.0649999999999999</v>
      </c>
      <c r="L206" s="335">
        <f t="shared" ca="1" si="27"/>
        <v>0</v>
      </c>
      <c r="M206" s="698" t="str">
        <f t="shared" ca="1" si="22"/>
        <v xml:space="preserve"> </v>
      </c>
    </row>
    <row r="207" spans="1:13">
      <c r="A207" s="672">
        <f t="shared" ca="1" si="23"/>
        <v>42186</v>
      </c>
      <c r="C207" s="691">
        <f ca="1">MAX('Plant Operations'!H207,'Plant Operations'!L207)</f>
        <v>0.92</v>
      </c>
      <c r="D207" s="820">
        <f t="shared" ca="1" si="24"/>
        <v>0.92</v>
      </c>
      <c r="E207" s="820">
        <f t="shared" ca="1" si="21"/>
        <v>0</v>
      </c>
      <c r="F207" s="1485">
        <f ca="1">IF(Assm!$F$29=0,'Annex 10-Plant'!G207,'Annex 12-Plant'!T207)</f>
        <v>4639.9140687618574</v>
      </c>
      <c r="G207" s="1486">
        <f ca="1">IF($A207&lt;Startops2,0,IF(Assm!$F$29=0,VLOOKUP($A207,Annex10_Gas_Table,'Annex 10-Gas'!$G$270),VLOOKUP($A207,Annex12_Gas_Table,'Annex 12-Gas'!$J$270)))</f>
        <v>15545.051477093286</v>
      </c>
      <c r="H207" s="1487">
        <f ca="1">IF($A207&lt;Startops2,0,IF(Assm!$F$29=0,VLOOKUP($A207,Annex10_Gas_Table,'Annex 10-Gas'!$P$270),VLOOKUP($A207,Annex12_Gas_Table,'Annex 12-Gas'!$V$270)))</f>
        <v>11647.18554601142</v>
      </c>
      <c r="I207" s="1486">
        <f t="shared" ca="1" si="25"/>
        <v>31832.151091866563</v>
      </c>
      <c r="J207" s="1486">
        <f t="shared" ca="1" si="26"/>
        <v>0</v>
      </c>
      <c r="K207" s="1480">
        <f ca="1">IF(Assm!$L$74=1,VLOOKUP($A207,Curves_Table,Escalation!$D$291),Exch)</f>
        <v>1.0649999999999999</v>
      </c>
      <c r="L207" s="335">
        <f t="shared" ca="1" si="27"/>
        <v>0</v>
      </c>
      <c r="M207" s="698" t="str">
        <f t="shared" ca="1" si="22"/>
        <v xml:space="preserve"> </v>
      </c>
    </row>
    <row r="208" spans="1:13">
      <c r="A208" s="672">
        <f t="shared" ca="1" si="23"/>
        <v>42217</v>
      </c>
      <c r="C208" s="691">
        <f ca="1">MAX('Plant Operations'!H208,'Plant Operations'!L208)</f>
        <v>0.92</v>
      </c>
      <c r="D208" s="820">
        <f t="shared" ca="1" si="24"/>
        <v>0.92</v>
      </c>
      <c r="E208" s="820">
        <f t="shared" ca="1" si="21"/>
        <v>0</v>
      </c>
      <c r="F208" s="1485">
        <f ca="1">IF(Assm!$F$29=0,'Annex 10-Plant'!G208,'Annex 12-Plant'!T208)</f>
        <v>4645.2632516829681</v>
      </c>
      <c r="G208" s="1486">
        <f ca="1">IF($A208&lt;Startops2,0,IF(Assm!$F$29=0,VLOOKUP($A208,Annex10_Gas_Table,'Annex 10-Gas'!$G$270),VLOOKUP($A208,Annex12_Gas_Table,'Annex 12-Gas'!$J$270)))</f>
        <v>15570.689284622254</v>
      </c>
      <c r="H208" s="1487">
        <f ca="1">IF($A208&lt;Startops2,0,IF(Assm!$F$29=0,VLOOKUP($A208,Annex10_Gas_Table,'Annex 10-Gas'!$P$270),VLOOKUP($A208,Annex12_Gas_Table,'Annex 12-Gas'!$V$270)))</f>
        <v>11666.394765210393</v>
      </c>
      <c r="I208" s="1486">
        <f t="shared" ca="1" si="25"/>
        <v>31882.347301515616</v>
      </c>
      <c r="J208" s="1486">
        <f t="shared" ca="1" si="26"/>
        <v>0</v>
      </c>
      <c r="K208" s="1480">
        <f ca="1">IF(Assm!$L$74=1,VLOOKUP($A208,Curves_Table,Escalation!$D$291),Exch)</f>
        <v>1.0649999999999999</v>
      </c>
      <c r="L208" s="335">
        <f t="shared" ca="1" si="27"/>
        <v>0</v>
      </c>
      <c r="M208" s="698" t="str">
        <f t="shared" ca="1" si="22"/>
        <v xml:space="preserve"> </v>
      </c>
    </row>
    <row r="209" spans="1:13">
      <c r="A209" s="672">
        <f t="shared" ca="1" si="23"/>
        <v>42248</v>
      </c>
      <c r="C209" s="691">
        <f ca="1">MAX('Plant Operations'!H209,'Plant Operations'!L209)</f>
        <v>0.92</v>
      </c>
      <c r="D209" s="820">
        <f t="shared" ca="1" si="24"/>
        <v>0.92</v>
      </c>
      <c r="E209" s="820">
        <f t="shared" ca="1" si="21"/>
        <v>0</v>
      </c>
      <c r="F209" s="1485">
        <f ca="1">IF(Assm!$F$29=0,'Annex 10-Plant'!G209,'Annex 12-Plant'!T209)</f>
        <v>4650.6212567892189</v>
      </c>
      <c r="G209" s="1486">
        <f ca="1">IF($A209&lt;Startops2,0,IF(Assm!$F$29=0,VLOOKUP($A209,Annex10_Gas_Table,'Annex 10-Gas'!$G$270),VLOOKUP($A209,Annex12_Gas_Table,'Annex 12-Gas'!$J$270)))</f>
        <v>15596.369375521967</v>
      </c>
      <c r="H209" s="1487">
        <f ca="1">IF($A209&lt;Startops2,0,IF(Assm!$F$29=0,VLOOKUP($A209,Annex10_Gas_Table,'Annex 10-Gas'!$P$270),VLOOKUP($A209,Annex12_Gas_Table,'Annex 12-Gas'!$V$270)))</f>
        <v>11685.63566537648</v>
      </c>
      <c r="I209" s="1486">
        <f t="shared" ca="1" si="25"/>
        <v>31932.626297687668</v>
      </c>
      <c r="J209" s="1486">
        <f t="shared" ca="1" si="26"/>
        <v>0</v>
      </c>
      <c r="K209" s="1480">
        <f ca="1">IF(Assm!$L$74=1,VLOOKUP($A209,Curves_Table,Escalation!$D$291),Exch)</f>
        <v>1.0649999999999999</v>
      </c>
      <c r="L209" s="335">
        <f t="shared" ca="1" si="27"/>
        <v>0</v>
      </c>
      <c r="M209" s="698" t="str">
        <f t="shared" ca="1" si="22"/>
        <v xml:space="preserve"> </v>
      </c>
    </row>
    <row r="210" spans="1:13">
      <c r="A210" s="672">
        <f t="shared" ca="1" si="23"/>
        <v>42278</v>
      </c>
      <c r="C210" s="691">
        <f ca="1">MAX('Plant Operations'!H210,'Plant Operations'!L210)</f>
        <v>0.92</v>
      </c>
      <c r="D210" s="820">
        <f t="shared" ca="1" si="24"/>
        <v>0.92</v>
      </c>
      <c r="E210" s="820">
        <f t="shared" ca="1" si="21"/>
        <v>0</v>
      </c>
      <c r="F210" s="1485">
        <f ca="1">IF(Assm!$F$29=0,'Annex 10-Plant'!G210,'Annex 12-Plant'!T210)</f>
        <v>4655.9880986306762</v>
      </c>
      <c r="G210" s="1486">
        <f ca="1">IF($A210&lt;Startops2,0,IF(Assm!$F$29=0,VLOOKUP($A210,Annex10_Gas_Table,'Annex 10-Gas'!$G$270),VLOOKUP($A210,Annex12_Gas_Table,'Annex 12-Gas'!$J$270)))</f>
        <v>15622.091819528632</v>
      </c>
      <c r="H210" s="1487">
        <f ca="1">IF($A210&lt;Startops2,0,IF(Assm!$F$29=0,VLOOKUP($A210,Annex10_Gas_Table,'Annex 10-Gas'!$P$270),VLOOKUP($A210,Annex12_Gas_Table,'Annex 12-Gas'!$V$270)))</f>
        <v>11704.908298759779</v>
      </c>
      <c r="I210" s="1486">
        <f t="shared" ca="1" si="25"/>
        <v>31982.98821691909</v>
      </c>
      <c r="J210" s="1486">
        <f t="shared" ca="1" si="26"/>
        <v>0</v>
      </c>
      <c r="K210" s="1480">
        <f ca="1">IF(Assm!$L$74=1,VLOOKUP($A210,Curves_Table,Escalation!$D$291),Exch)</f>
        <v>1.0649999999999999</v>
      </c>
      <c r="L210" s="335">
        <f t="shared" ca="1" si="27"/>
        <v>0</v>
      </c>
      <c r="M210" s="698" t="str">
        <f t="shared" ca="1" si="22"/>
        <v xml:space="preserve"> </v>
      </c>
    </row>
    <row r="211" spans="1:13">
      <c r="A211" s="672">
        <f t="shared" ca="1" si="23"/>
        <v>42309</v>
      </c>
      <c r="C211" s="691">
        <f ca="1">MAX('Plant Operations'!H211,'Plant Operations'!L211)</f>
        <v>0.92</v>
      </c>
      <c r="D211" s="820">
        <f t="shared" ca="1" si="24"/>
        <v>0.92</v>
      </c>
      <c r="E211" s="820">
        <f t="shared" ca="1" si="21"/>
        <v>0</v>
      </c>
      <c r="F211" s="1485">
        <f ca="1">IF(Assm!$F$29=0,'Annex 10-Plant'!G211,'Annex 12-Plant'!T211)</f>
        <v>4661.3637917813985</v>
      </c>
      <c r="G211" s="1486">
        <f ca="1">IF($A211&lt;Startops2,0,IF(Assm!$F$29=0,VLOOKUP($A211,Annex10_Gas_Table,'Annex 10-Gas'!$G$270),VLOOKUP($A211,Annex12_Gas_Table,'Annex 12-Gas'!$J$270)))</f>
        <v>15647.856686493475</v>
      </c>
      <c r="H211" s="1487">
        <f ca="1">IF($A211&lt;Startops2,0,IF(Assm!$F$29=0,VLOOKUP($A211,Annex10_Gas_Table,'Annex 10-Gas'!$P$270),VLOOKUP($A211,Annex12_Gas_Table,'Annex 12-Gas'!$V$270)))</f>
        <v>11724.212717696568</v>
      </c>
      <c r="I211" s="1486">
        <f t="shared" ca="1" si="25"/>
        <v>32033.43319597144</v>
      </c>
      <c r="J211" s="1486">
        <f t="shared" ca="1" si="26"/>
        <v>0</v>
      </c>
      <c r="K211" s="1480">
        <f ca="1">IF(Assm!$L$74=1,VLOOKUP($A211,Curves_Table,Escalation!$D$291),Exch)</f>
        <v>1.0649999999999999</v>
      </c>
      <c r="L211" s="335">
        <f t="shared" ca="1" si="27"/>
        <v>0</v>
      </c>
      <c r="M211" s="698" t="str">
        <f t="shared" ca="1" si="22"/>
        <v xml:space="preserve"> </v>
      </c>
    </row>
    <row r="212" spans="1:13">
      <c r="A212" s="672">
        <f t="shared" ca="1" si="23"/>
        <v>42339</v>
      </c>
      <c r="C212" s="691">
        <f ca="1">MAX('Plant Operations'!H212,'Plant Operations'!L212)</f>
        <v>0.92</v>
      </c>
      <c r="D212" s="820">
        <f t="shared" ca="1" si="24"/>
        <v>0.92</v>
      </c>
      <c r="E212" s="820">
        <f t="shared" ca="1" si="21"/>
        <v>0</v>
      </c>
      <c r="F212" s="1485">
        <f ca="1">IF(Assm!$F$29=0,'Annex 10-Plant'!G212,'Annex 12-Plant'!T212)</f>
        <v>4666.7483508394835</v>
      </c>
      <c r="G212" s="1486">
        <f ca="1">IF($A212&lt;Startops2,0,IF(Assm!$F$29=0,VLOOKUP($A212,Annex10_Gas_Table,'Annex 10-Gas'!$G$270),VLOOKUP($A212,Annex12_Gas_Table,'Annex 12-Gas'!$J$270)))</f>
        <v>15673.664046382914</v>
      </c>
      <c r="H212" s="1487">
        <f ca="1">IF($A212&lt;Startops2,0,IF(Assm!$F$29=0,VLOOKUP($A212,Annex10_Gas_Table,'Annex 10-Gas'!$P$270),VLOOKUP($A212,Annex12_Gas_Table,'Annex 12-Gas'!$V$270)))</f>
        <v>11743.548974609448</v>
      </c>
      <c r="I212" s="1486">
        <f t="shared" ca="1" si="25"/>
        <v>32083.961371831843</v>
      </c>
      <c r="J212" s="1486">
        <f t="shared" ca="1" si="26"/>
        <v>0</v>
      </c>
      <c r="K212" s="1480">
        <f ca="1">IF(Assm!$L$74=1,VLOOKUP($A212,Curves_Table,Escalation!$D$291),Exch)</f>
        <v>1.0649999999999999</v>
      </c>
      <c r="L212" s="335">
        <f t="shared" ca="1" si="27"/>
        <v>0</v>
      </c>
      <c r="M212" s="698">
        <f t="shared" ca="1" si="22"/>
        <v>0</v>
      </c>
    </row>
    <row r="213" spans="1:13">
      <c r="A213" s="672">
        <f t="shared" ca="1" si="23"/>
        <v>42370</v>
      </c>
      <c r="C213" s="691">
        <f ca="1">MAX('Plant Operations'!H213,'Plant Operations'!L213)</f>
        <v>0.92</v>
      </c>
      <c r="D213" s="820">
        <f t="shared" ca="1" si="24"/>
        <v>0.92</v>
      </c>
      <c r="E213" s="820">
        <f t="shared" ca="1" si="21"/>
        <v>0</v>
      </c>
      <c r="F213" s="1485">
        <f ca="1">IF(Assm!$F$29=0,'Annex 10-Plant'!G213,'Annex 12-Plant'!T213)</f>
        <v>4672.1516783824882</v>
      </c>
      <c r="G213" s="1486">
        <f ca="1">IF($A213&lt;Startops2,0,IF(Assm!$F$29=0,VLOOKUP($A213,Annex10_Gas_Table,'Annex 10-Gas'!$G$270),VLOOKUP($A213,Annex12_Gas_Table,'Annex 12-Gas'!$J$270)))</f>
        <v>15699.561360721675</v>
      </c>
      <c r="H213" s="1487">
        <f ca="1">IF($A213&lt;Startops2,0,IF(Assm!$F$29=0,VLOOKUP($A213,Annex10_Gas_Table,'Annex 10-Gas'!$P$270),VLOOKUP($A213,Annex12_Gas_Table,'Annex 12-Gas'!$V$270)))</f>
        <v>11762.952630215954</v>
      </c>
      <c r="I213" s="1486">
        <f t="shared" ca="1" si="25"/>
        <v>32134.665669320118</v>
      </c>
      <c r="J213" s="1486">
        <f t="shared" ca="1" si="26"/>
        <v>0</v>
      </c>
      <c r="K213" s="1480">
        <f ca="1">IF(Assm!$L$74=1,VLOOKUP($A213,Curves_Table,Escalation!$D$291),Exch)</f>
        <v>1.0649999999999999</v>
      </c>
      <c r="L213" s="335">
        <f t="shared" ca="1" si="27"/>
        <v>0</v>
      </c>
      <c r="M213" s="698" t="str">
        <f t="shared" ca="1" si="22"/>
        <v xml:space="preserve"> </v>
      </c>
    </row>
    <row r="214" spans="1:13">
      <c r="A214" s="672">
        <f t="shared" ca="1" si="23"/>
        <v>42401</v>
      </c>
      <c r="C214" s="691">
        <f ca="1">MAX('Plant Operations'!H214,'Plant Operations'!L214)</f>
        <v>0.92</v>
      </c>
      <c r="D214" s="820">
        <f t="shared" ca="1" si="24"/>
        <v>0.92</v>
      </c>
      <c r="E214" s="820">
        <f t="shared" ca="1" si="21"/>
        <v>0</v>
      </c>
      <c r="F214" s="1485">
        <f ca="1">IF(Assm!$F$29=0,'Annex 10-Plant'!G214,'Annex 12-Plant'!T214)</f>
        <v>4677.563933746801</v>
      </c>
      <c r="G214" s="1486">
        <f ca="1">IF($A214&lt;Startops2,0,IF(Assm!$F$29=0,VLOOKUP($A214,Annex10_Gas_Table,'Annex 10-Gas'!$G$270),VLOOKUP($A214,Annex12_Gas_Table,'Annex 12-Gas'!$J$270)))</f>
        <v>15725.501464729012</v>
      </c>
      <c r="H214" s="1487">
        <f ca="1">IF($A214&lt;Startops2,0,IF(Assm!$F$29=0,VLOOKUP($A214,Annex10_Gas_Table,'Annex 10-Gas'!$P$270),VLOOKUP($A214,Annex12_Gas_Table,'Annex 12-Gas'!$V$270)))</f>
        <v>11782.388346135036</v>
      </c>
      <c r="I214" s="1486">
        <f t="shared" ca="1" si="25"/>
        <v>32185.453744610852</v>
      </c>
      <c r="J214" s="1486">
        <f t="shared" ca="1" si="26"/>
        <v>0</v>
      </c>
      <c r="K214" s="1480">
        <f ca="1">IF(Assm!$L$74=1,VLOOKUP($A214,Curves_Table,Escalation!$D$291),Exch)</f>
        <v>1.0649999999999999</v>
      </c>
      <c r="L214" s="335">
        <f t="shared" ca="1" si="27"/>
        <v>0</v>
      </c>
      <c r="M214" s="698" t="str">
        <f t="shared" ca="1" si="22"/>
        <v xml:space="preserve"> </v>
      </c>
    </row>
    <row r="215" spans="1:13">
      <c r="A215" s="672">
        <f t="shared" ca="1" si="23"/>
        <v>42430</v>
      </c>
      <c r="C215" s="691">
        <f ca="1">MAX('Plant Operations'!H215,'Plant Operations'!L215)</f>
        <v>0.92</v>
      </c>
      <c r="D215" s="820">
        <f t="shared" ca="1" si="24"/>
        <v>0.92</v>
      </c>
      <c r="E215" s="820">
        <f t="shared" ca="1" si="21"/>
        <v>0</v>
      </c>
      <c r="F215" s="1485">
        <f ca="1">IF(Assm!$F$29=0,'Annex 10-Plant'!G215,'Annex 12-Plant'!T215)</f>
        <v>4682.9851316837021</v>
      </c>
      <c r="G215" s="1486">
        <f ca="1">IF($A215&lt;Startops2,0,IF(Assm!$F$29=0,VLOOKUP($A215,Annex10_Gas_Table,'Annex 10-Gas'!$G$270),VLOOKUP($A215,Annex12_Gas_Table,'Annex 12-Gas'!$J$270)))</f>
        <v>15751.484429105529</v>
      </c>
      <c r="H215" s="1487">
        <f ca="1">IF($A215&lt;Startops2,0,IF(Assm!$F$29=0,VLOOKUP($A215,Annex10_Gas_Table,'Annex 10-Gas'!$P$270),VLOOKUP($A215,Annex12_Gas_Table,'Annex 12-Gas'!$V$270)))</f>
        <v>11801.856175339375</v>
      </c>
      <c r="I215" s="1486">
        <f t="shared" ca="1" si="25"/>
        <v>32236.325736128609</v>
      </c>
      <c r="J215" s="1486">
        <f t="shared" ca="1" si="26"/>
        <v>0</v>
      </c>
      <c r="K215" s="1480">
        <f ca="1">IF(Assm!$L$74=1,VLOOKUP($A215,Curves_Table,Escalation!$D$291),Exch)</f>
        <v>1.0649999999999999</v>
      </c>
      <c r="L215" s="335">
        <f t="shared" ca="1" si="27"/>
        <v>0</v>
      </c>
      <c r="M215" s="698" t="str">
        <f t="shared" ca="1" si="22"/>
        <v xml:space="preserve"> </v>
      </c>
    </row>
    <row r="216" spans="1:13">
      <c r="A216" s="672">
        <f t="shared" ca="1" si="23"/>
        <v>42461</v>
      </c>
      <c r="C216" s="691">
        <f ca="1">MAX('Plant Operations'!H216,'Plant Operations'!L216)</f>
        <v>0.92</v>
      </c>
      <c r="D216" s="820">
        <f t="shared" ca="1" si="24"/>
        <v>0.92</v>
      </c>
      <c r="E216" s="820">
        <f t="shared" ca="1" si="21"/>
        <v>0</v>
      </c>
      <c r="F216" s="1485">
        <f ca="1">IF(Assm!$F$29=0,'Annex 10-Plant'!G216,'Annex 12-Plant'!T216)</f>
        <v>4688.4152869688423</v>
      </c>
      <c r="G216" s="1486">
        <f ca="1">IF($A216&lt;Startops2,0,IF(Assm!$F$29=0,VLOOKUP($A216,Annex10_Gas_Table,'Annex 10-Gas'!$G$270),VLOOKUP($A216,Annex12_Gas_Table,'Annex 12-Gas'!$J$270)))</f>
        <v>15777.51032466865</v>
      </c>
      <c r="H216" s="1487">
        <f ca="1">IF($A216&lt;Startops2,0,IF(Assm!$F$29=0,VLOOKUP($A216,Annex10_Gas_Table,'Annex 10-Gas'!$P$270),VLOOKUP($A216,Annex12_Gas_Table,'Annex 12-Gas'!$V$270)))</f>
        <v>11821.356170889176</v>
      </c>
      <c r="I216" s="1486">
        <f t="shared" ca="1" si="25"/>
        <v>32287.281782526668</v>
      </c>
      <c r="J216" s="1486">
        <f t="shared" ca="1" si="26"/>
        <v>0</v>
      </c>
      <c r="K216" s="1480">
        <f ca="1">IF(Assm!$L$74=1,VLOOKUP($A216,Curves_Table,Escalation!$D$291),Exch)</f>
        <v>1.0649999999999999</v>
      </c>
      <c r="L216" s="335">
        <f t="shared" ca="1" si="27"/>
        <v>0</v>
      </c>
      <c r="M216" s="698" t="str">
        <f t="shared" ca="1" si="22"/>
        <v xml:space="preserve"> </v>
      </c>
    </row>
    <row r="217" spans="1:13">
      <c r="A217" s="672">
        <f t="shared" ca="1" si="23"/>
        <v>42491</v>
      </c>
      <c r="C217" s="691">
        <f ca="1">MAX('Plant Operations'!H217,'Plant Operations'!L217)</f>
        <v>0.92</v>
      </c>
      <c r="D217" s="820">
        <f t="shared" ca="1" si="24"/>
        <v>0.92</v>
      </c>
      <c r="E217" s="820">
        <f t="shared" ca="1" si="21"/>
        <v>0</v>
      </c>
      <c r="F217" s="1485">
        <f ca="1">IF(Assm!$F$29=0,'Annex 10-Plant'!G217,'Annex 12-Plant'!T217)</f>
        <v>4876.1980887378304</v>
      </c>
      <c r="G217" s="1486">
        <f ca="1">IF($A217&lt;Startops2,0,IF(Assm!$F$29=0,VLOOKUP($A217,Annex10_Gas_Table,'Annex 10-Gas'!$G$270),VLOOKUP($A217,Annex12_Gas_Table,'Annex 12-Gas'!$J$270)))</f>
        <v>16222.688049063108</v>
      </c>
      <c r="H217" s="1487">
        <f ca="1">IF($A217&lt;Startops2,0,IF(Assm!$F$29=0,VLOOKUP($A217,Annex10_Gas_Table,'Annex 10-Gas'!$P$270),VLOOKUP($A217,Annex12_Gas_Table,'Annex 12-Gas'!$V$270)))</f>
        <v>12107.641726482781</v>
      </c>
      <c r="I217" s="1486">
        <f t="shared" ca="1" si="25"/>
        <v>33206.527864283722</v>
      </c>
      <c r="J217" s="1486">
        <f t="shared" ca="1" si="26"/>
        <v>0</v>
      </c>
      <c r="K217" s="1480">
        <f ca="1">IF(Assm!$L$74=1,VLOOKUP($A217,Curves_Table,Escalation!$D$291),Exch)</f>
        <v>1.0649999999999999</v>
      </c>
      <c r="L217" s="335">
        <f t="shared" ca="1" si="27"/>
        <v>0</v>
      </c>
      <c r="M217" s="698" t="str">
        <f t="shared" ca="1" si="22"/>
        <v xml:space="preserve"> </v>
      </c>
    </row>
    <row r="218" spans="1:13">
      <c r="A218" s="672">
        <f t="shared" ca="1" si="23"/>
        <v>42522</v>
      </c>
      <c r="C218" s="691">
        <f ca="1">MAX('Plant Operations'!H218,'Plant Operations'!L218)</f>
        <v>0.92</v>
      </c>
      <c r="D218" s="820">
        <f t="shared" ca="1" si="24"/>
        <v>0.92</v>
      </c>
      <c r="E218" s="820">
        <f t="shared" ca="1" si="21"/>
        <v>0</v>
      </c>
      <c r="F218" s="1485">
        <f ca="1">IF(Assm!$F$29=0,'Annex 10-Plant'!G218,'Annex 12-Plant'!T218)</f>
        <v>4881.7882717867587</v>
      </c>
      <c r="G218" s="1486">
        <f ca="1">IF($A218&lt;Startops2,0,IF(Assm!$F$29=0,VLOOKUP($A218,Annex10_Gas_Table,'Annex 10-Gas'!$G$270),VLOOKUP($A218,Annex12_Gas_Table,'Annex 12-Gas'!$J$270)))</f>
        <v>16249.492505926732</v>
      </c>
      <c r="H218" s="1487">
        <f ca="1">IF($A218&lt;Startops2,0,IF(Assm!$F$29=0,VLOOKUP($A218,Annex10_Gas_Table,'Annex 10-Gas'!$P$270),VLOOKUP($A218,Annex12_Gas_Table,'Annex 12-Gas'!$V$270)))</f>
        <v>12127.646966021148</v>
      </c>
      <c r="I218" s="1486">
        <f t="shared" ca="1" si="25"/>
        <v>33258.927743734639</v>
      </c>
      <c r="J218" s="1486">
        <f t="shared" ca="1" si="26"/>
        <v>0</v>
      </c>
      <c r="K218" s="1480">
        <f ca="1">IF(Assm!$L$74=1,VLOOKUP($A218,Curves_Table,Escalation!$D$291),Exch)</f>
        <v>1.0649999999999999</v>
      </c>
      <c r="L218" s="335">
        <f t="shared" ca="1" si="27"/>
        <v>0</v>
      </c>
      <c r="M218" s="698" t="str">
        <f t="shared" ca="1" si="22"/>
        <v xml:space="preserve"> </v>
      </c>
    </row>
    <row r="219" spans="1:13">
      <c r="A219" s="672">
        <f t="shared" ca="1" si="23"/>
        <v>42552</v>
      </c>
      <c r="C219" s="691">
        <f ca="1">MAX('Plant Operations'!H219,'Plant Operations'!L219)</f>
        <v>0.92</v>
      </c>
      <c r="D219" s="820">
        <f t="shared" ca="1" si="24"/>
        <v>0.92</v>
      </c>
      <c r="E219" s="820">
        <f t="shared" ca="1" si="21"/>
        <v>0</v>
      </c>
      <c r="F219" s="1485">
        <f ca="1">IF(Assm!$F$29=0,'Annex 10-Plant'!G219,'Annex 12-Plant'!T219)</f>
        <v>4887.3876913950007</v>
      </c>
      <c r="G219" s="1486">
        <f ca="1">IF($A219&lt;Startops2,0,IF(Assm!$F$29=0,VLOOKUP($A219,Annex10_Gas_Table,'Annex 10-Gas'!$G$270),VLOOKUP($A219,Annex12_Gas_Table,'Annex 12-Gas'!$J$270)))</f>
        <v>16276.341251314281</v>
      </c>
      <c r="H219" s="1487">
        <f ca="1">IF($A219&lt;Startops2,0,IF(Assm!$F$29=0,VLOOKUP($A219,Annex10_Gas_Table,'Annex 10-Gas'!$P$270),VLOOKUP($A219,Annex12_Gas_Table,'Annex 12-Gas'!$V$270)))</f>
        <v>12147.685259858448</v>
      </c>
      <c r="I219" s="1486">
        <f t="shared" ca="1" si="25"/>
        <v>33311.414202567728</v>
      </c>
      <c r="J219" s="1486">
        <f t="shared" ca="1" si="26"/>
        <v>0</v>
      </c>
      <c r="K219" s="1480">
        <f ca="1">IF(Assm!$L$74=1,VLOOKUP($A219,Curves_Table,Escalation!$D$291),Exch)</f>
        <v>1.0649999999999999</v>
      </c>
      <c r="L219" s="335">
        <f t="shared" ca="1" si="27"/>
        <v>0</v>
      </c>
      <c r="M219" s="698" t="str">
        <f t="shared" ca="1" si="22"/>
        <v xml:space="preserve"> </v>
      </c>
    </row>
    <row r="220" spans="1:13">
      <c r="A220" s="672">
        <f t="shared" ca="1" si="23"/>
        <v>42583</v>
      </c>
      <c r="C220" s="691">
        <f ca="1">MAX('Plant Operations'!H220,'Plant Operations'!L220)</f>
        <v>0.92</v>
      </c>
      <c r="D220" s="820">
        <f t="shared" ca="1" si="24"/>
        <v>0.92</v>
      </c>
      <c r="E220" s="820">
        <f t="shared" ca="1" si="21"/>
        <v>0</v>
      </c>
      <c r="F220" s="1485">
        <f ca="1">IF(Assm!$F$29=0,'Annex 10-Plant'!G220,'Annex 12-Plant'!T220)</f>
        <v>4892.9963628239575</v>
      </c>
      <c r="G220" s="1486">
        <f ca="1">IF($A220&lt;Startops2,0,IF(Assm!$F$29=0,VLOOKUP($A220,Annex10_Gas_Table,'Annex 10-Gas'!$G$270),VLOOKUP($A220,Annex12_Gas_Table,'Annex 12-Gas'!$J$270)))</f>
        <v>16303.234358402886</v>
      </c>
      <c r="H220" s="1487">
        <f ca="1">IF($A220&lt;Startops2,0,IF(Assm!$F$29=0,VLOOKUP($A220,Annex10_Gas_Table,'Annex 10-Gas'!$P$270),VLOOKUP($A220,Annex12_Gas_Table,'Annex 12-Gas'!$V$270)))</f>
        <v>12167.756662609705</v>
      </c>
      <c r="I220" s="1486">
        <f t="shared" ca="1" si="25"/>
        <v>33363.987383836546</v>
      </c>
      <c r="J220" s="1486">
        <f t="shared" ca="1" si="26"/>
        <v>0</v>
      </c>
      <c r="K220" s="1480">
        <f ca="1">IF(Assm!$L$74=1,VLOOKUP($A220,Curves_Table,Escalation!$D$291),Exch)</f>
        <v>1.0649999999999999</v>
      </c>
      <c r="L220" s="335">
        <f t="shared" ca="1" si="27"/>
        <v>0</v>
      </c>
      <c r="M220" s="698" t="str">
        <f t="shared" ca="1" si="22"/>
        <v xml:space="preserve"> </v>
      </c>
    </row>
    <row r="221" spans="1:13">
      <c r="A221" s="672">
        <f t="shared" ca="1" si="23"/>
        <v>42614</v>
      </c>
      <c r="C221" s="691">
        <f ca="1">MAX('Plant Operations'!H221,'Plant Operations'!L221)</f>
        <v>0.92</v>
      </c>
      <c r="D221" s="820">
        <f t="shared" ca="1" si="24"/>
        <v>0.92</v>
      </c>
      <c r="E221" s="820">
        <f t="shared" ca="1" si="21"/>
        <v>0</v>
      </c>
      <c r="F221" s="1485">
        <f ca="1">IF(Assm!$F$29=0,'Annex 10-Plant'!G221,'Annex 12-Plant'!T221)</f>
        <v>4898.6143013602477</v>
      </c>
      <c r="G221" s="1486">
        <f ca="1">IF($A221&lt;Startops2,0,IF(Assm!$F$29=0,VLOOKUP($A221,Annex10_Gas_Table,'Annex 10-Gas'!$G$270),VLOOKUP($A221,Annex12_Gas_Table,'Annex 12-Gas'!$J$270)))</f>
        <v>16330.17190049059</v>
      </c>
      <c r="H221" s="1487">
        <f ca="1">IF($A221&lt;Startops2,0,IF(Assm!$F$29=0,VLOOKUP($A221,Annex10_Gas_Table,'Annex 10-Gas'!$P$270),VLOOKUP($A221,Annex12_Gas_Table,'Annex 12-Gas'!$V$270)))</f>
        <v>12187.861228980188</v>
      </c>
      <c r="I221" s="1486">
        <f t="shared" ca="1" si="25"/>
        <v>33416.647430831028</v>
      </c>
      <c r="J221" s="1486">
        <f t="shared" ca="1" si="26"/>
        <v>0</v>
      </c>
      <c r="K221" s="1480">
        <f ca="1">IF(Assm!$L$74=1,VLOOKUP($A221,Curves_Table,Escalation!$D$291),Exch)</f>
        <v>1.0649999999999999</v>
      </c>
      <c r="L221" s="335">
        <f t="shared" ca="1" si="27"/>
        <v>0</v>
      </c>
      <c r="M221" s="698" t="str">
        <f t="shared" ca="1" si="22"/>
        <v xml:space="preserve"> </v>
      </c>
    </row>
    <row r="222" spans="1:13">
      <c r="A222" s="672">
        <f t="shared" ca="1" si="23"/>
        <v>42644</v>
      </c>
      <c r="C222" s="691">
        <f ca="1">MAX('Plant Operations'!H222,'Plant Operations'!L222)</f>
        <v>0.92</v>
      </c>
      <c r="D222" s="820">
        <f t="shared" ca="1" si="24"/>
        <v>0.92</v>
      </c>
      <c r="E222" s="820">
        <f t="shared" ca="1" si="21"/>
        <v>0</v>
      </c>
      <c r="F222" s="1485">
        <f ca="1">IF(Assm!$F$29=0,'Annex 10-Plant'!G222,'Annex 12-Plant'!T222)</f>
        <v>4904.2415223157459</v>
      </c>
      <c r="G222" s="1486">
        <f ca="1">IF($A222&lt;Startops2,0,IF(Assm!$F$29=0,VLOOKUP($A222,Annex10_Gas_Table,'Annex 10-Gas'!$G$270),VLOOKUP($A222,Annex12_Gas_Table,'Annex 12-Gas'!$J$270)))</f>
        <v>16357.153950996551</v>
      </c>
      <c r="H222" s="1487">
        <f ca="1">IF($A222&lt;Startops2,0,IF(Assm!$F$29=0,VLOOKUP($A222,Annex10_Gas_Table,'Annex 10-Gas'!$P$270),VLOOKUP($A222,Annex12_Gas_Table,'Annex 12-Gas'!$V$270)))</f>
        <v>12207.999013765544</v>
      </c>
      <c r="I222" s="1486">
        <f t="shared" ca="1" si="25"/>
        <v>33469.394487077836</v>
      </c>
      <c r="J222" s="1486">
        <f t="shared" ca="1" si="26"/>
        <v>0</v>
      </c>
      <c r="K222" s="1480">
        <f ca="1">IF(Assm!$L$74=1,VLOOKUP($A222,Curves_Table,Escalation!$D$291),Exch)</f>
        <v>1.0649999999999999</v>
      </c>
      <c r="L222" s="335">
        <f t="shared" ca="1" si="27"/>
        <v>0</v>
      </c>
      <c r="M222" s="698" t="str">
        <f t="shared" ca="1" si="22"/>
        <v xml:space="preserve"> </v>
      </c>
    </row>
    <row r="223" spans="1:13">
      <c r="A223" s="672">
        <f t="shared" ca="1" si="23"/>
        <v>42675</v>
      </c>
      <c r="C223" s="691">
        <f ca="1">MAX('Plant Operations'!H223,'Plant Operations'!L223)</f>
        <v>0.92</v>
      </c>
      <c r="D223" s="820">
        <f t="shared" ca="1" si="24"/>
        <v>0.92</v>
      </c>
      <c r="E223" s="820">
        <f t="shared" ca="1" si="21"/>
        <v>0</v>
      </c>
      <c r="F223" s="1485">
        <f ca="1">IF(Assm!$F$29=0,'Annex 10-Plant'!G223,'Annex 12-Plant'!T223)</f>
        <v>4909.8780410276286</v>
      </c>
      <c r="G223" s="1486">
        <f ca="1">IF($A223&lt;Startops2,0,IF(Assm!$F$29=0,VLOOKUP($A223,Annex10_Gas_Table,'Annex 10-Gas'!$G$270),VLOOKUP($A223,Annex12_Gas_Table,'Annex 12-Gas'!$J$270)))</f>
        <v>16384.180583461228</v>
      </c>
      <c r="H223" s="1487">
        <f ca="1">IF($A223&lt;Startops2,0,IF(Assm!$F$29=0,VLOOKUP($A223,Annex10_Gas_Table,'Annex 10-Gas'!$P$270),VLOOKUP($A223,Annex12_Gas_Table,'Annex 12-Gas'!$V$270)))</f>
        <v>12228.170071851973</v>
      </c>
      <c r="I223" s="1486">
        <f t="shared" ca="1" si="25"/>
        <v>33522.228696340826</v>
      </c>
      <c r="J223" s="1486">
        <f t="shared" ca="1" si="26"/>
        <v>0</v>
      </c>
      <c r="K223" s="1480">
        <f ca="1">IF(Assm!$L$74=1,VLOOKUP($A223,Curves_Table,Escalation!$D$291),Exch)</f>
        <v>1.0649999999999999</v>
      </c>
      <c r="L223" s="335">
        <f t="shared" ca="1" si="27"/>
        <v>0</v>
      </c>
      <c r="M223" s="698" t="str">
        <f t="shared" ca="1" si="22"/>
        <v xml:space="preserve"> </v>
      </c>
    </row>
    <row r="224" spans="1:13">
      <c r="A224" s="672">
        <f t="shared" ca="1" si="23"/>
        <v>42705</v>
      </c>
      <c r="C224" s="691">
        <f ca="1">MAX('Plant Operations'!H224,'Plant Operations'!L224)</f>
        <v>0.92</v>
      </c>
      <c r="D224" s="820">
        <f t="shared" ca="1" si="24"/>
        <v>0.92</v>
      </c>
      <c r="E224" s="820">
        <f t="shared" ca="1" si="21"/>
        <v>0</v>
      </c>
      <c r="F224" s="1485">
        <f ca="1">IF(Assm!$F$29=0,'Annex 10-Plant'!G224,'Annex 12-Plant'!T224)</f>
        <v>4915.5238728584063</v>
      </c>
      <c r="G224" s="1486">
        <f ca="1">IF($A224&lt;Startops2,0,IF(Assm!$F$29=0,VLOOKUP($A224,Annex10_Gas_Table,'Annex 10-Gas'!$G$270),VLOOKUP($A224,Annex12_Gas_Table,'Annex 12-Gas'!$J$270)))</f>
        <v>16411.251871546578</v>
      </c>
      <c r="H224" s="1487">
        <f ca="1">IF($A224&lt;Startops2,0,IF(Assm!$F$29=0,VLOOKUP($A224,Annex10_Gas_Table,'Annex 10-Gas'!$P$270),VLOOKUP($A224,Annex12_Gas_Table,'Annex 12-Gas'!$V$270)))</f>
        <v>12248.374458216334</v>
      </c>
      <c r="I224" s="1486">
        <f t="shared" ca="1" si="25"/>
        <v>33575.15020262132</v>
      </c>
      <c r="J224" s="1486">
        <f t="shared" ca="1" si="26"/>
        <v>0</v>
      </c>
      <c r="K224" s="1480">
        <f ca="1">IF(Assm!$L$74=1,VLOOKUP($A224,Curves_Table,Escalation!$D$291),Exch)</f>
        <v>1.0649999999999999</v>
      </c>
      <c r="L224" s="335">
        <f t="shared" ca="1" si="27"/>
        <v>0</v>
      </c>
      <c r="M224" s="698">
        <f t="shared" ca="1" si="22"/>
        <v>0</v>
      </c>
    </row>
    <row r="225" spans="1:13">
      <c r="A225" s="672">
        <f t="shared" ca="1" si="23"/>
        <v>42736</v>
      </c>
      <c r="C225" s="691">
        <f ca="1">MAX('Plant Operations'!H225,'Plant Operations'!L225)</f>
        <v>0.92</v>
      </c>
      <c r="D225" s="820">
        <f t="shared" ca="1" si="24"/>
        <v>0.92</v>
      </c>
      <c r="E225" s="820">
        <f t="shared" ca="1" si="21"/>
        <v>0</v>
      </c>
      <c r="F225" s="1485">
        <f ca="1">IF(Assm!$F$29=0,'Annex 10-Plant'!G225,'Annex 12-Plant'!T225)</f>
        <v>4921.1645892354345</v>
      </c>
      <c r="G225" s="1486">
        <f ca="1">IF($A225&lt;Startops2,0,IF(Assm!$F$29=0,VLOOKUP($A225,Annex10_Gas_Table,'Annex 10-Gas'!$G$270),VLOOKUP($A225,Annex12_Gas_Table,'Annex 12-Gas'!$J$270)))</f>
        <v>16438.298631462065</v>
      </c>
      <c r="H225" s="1487">
        <f ca="1">IF($A225&lt;Startops2,0,IF(Assm!$F$29=0,VLOOKUP($A225,Annex10_Gas_Table,'Annex 10-Gas'!$P$270),VLOOKUP($A225,Annex12_Gas_Table,'Annex 12-Gas'!$V$270)))</f>
        <v>12268.560538225305</v>
      </c>
      <c r="I225" s="1486">
        <f t="shared" ca="1" si="25"/>
        <v>33628.023758922805</v>
      </c>
      <c r="J225" s="1486">
        <f t="shared" ca="1" si="26"/>
        <v>0</v>
      </c>
      <c r="K225" s="1480">
        <f ca="1">IF(Assm!$L$74=1,VLOOKUP($A225,Curves_Table,Escalation!$D$291),Exch)</f>
        <v>1.0649999999999999</v>
      </c>
      <c r="L225" s="335">
        <f t="shared" ca="1" si="27"/>
        <v>0</v>
      </c>
      <c r="M225" s="698" t="str">
        <f t="shared" ca="1" si="22"/>
        <v xml:space="preserve"> </v>
      </c>
    </row>
    <row r="226" spans="1:13">
      <c r="A226" s="672">
        <f t="shared" ca="1" si="23"/>
        <v>42767</v>
      </c>
      <c r="C226" s="691">
        <f ca="1">MAX('Plant Operations'!H226,'Plant Operations'!L226)</f>
        <v>0.92</v>
      </c>
      <c r="D226" s="820">
        <f t="shared" ca="1" si="24"/>
        <v>0.92</v>
      </c>
      <c r="E226" s="820">
        <f t="shared" ca="1" si="21"/>
        <v>0</v>
      </c>
      <c r="F226" s="1485">
        <f ca="1">IF(Assm!$F$29=0,'Annex 10-Plant'!G226,'Annex 12-Plant'!T226)</f>
        <v>4926.8146018625475</v>
      </c>
      <c r="G226" s="1486">
        <f ca="1">IF($A226&lt;Startops2,0,IF(Assm!$F$29=0,VLOOKUP($A226,Annex10_Gas_Table,'Annex 10-Gas'!$G$270),VLOOKUP($A226,Annex12_Gas_Table,'Annex 12-Gas'!$J$270)))</f>
        <v>16465.389966113697</v>
      </c>
      <c r="H226" s="1487">
        <f ca="1">IF($A226&lt;Startops2,0,IF(Assm!$F$29=0,VLOOKUP($A226,Annex10_Gas_Table,'Annex 10-Gas'!$P$270),VLOOKUP($A226,Annex12_Gas_Table,'Annex 12-Gas'!$V$270)))</f>
        <v>12288.779886144846</v>
      </c>
      <c r="I226" s="1486">
        <f t="shared" ca="1" si="25"/>
        <v>33680.984454121091</v>
      </c>
      <c r="J226" s="1486">
        <f t="shared" ca="1" si="26"/>
        <v>0</v>
      </c>
      <c r="K226" s="1480">
        <f ca="1">IF(Assm!$L$74=1,VLOOKUP($A226,Curves_Table,Escalation!$D$291),Exch)</f>
        <v>1.0649999999999999</v>
      </c>
      <c r="L226" s="335">
        <f t="shared" ca="1" si="27"/>
        <v>0</v>
      </c>
      <c r="M226" s="698" t="str">
        <f t="shared" ca="1" si="22"/>
        <v xml:space="preserve"> </v>
      </c>
    </row>
    <row r="227" spans="1:13">
      <c r="A227" s="672">
        <f t="shared" ca="1" si="23"/>
        <v>42795</v>
      </c>
      <c r="C227" s="691">
        <f ca="1">MAX('Plant Operations'!H227,'Plant Operations'!L227)</f>
        <v>0.92</v>
      </c>
      <c r="D227" s="820">
        <f t="shared" ca="1" si="24"/>
        <v>0.92</v>
      </c>
      <c r="E227" s="820">
        <f t="shared" ca="1" si="21"/>
        <v>0</v>
      </c>
      <c r="F227" s="1485">
        <f ca="1">IF(Assm!$F$29=0,'Annex 10-Plant'!G227,'Annex 12-Plant'!T227)</f>
        <v>4932.4739260605402</v>
      </c>
      <c r="G227" s="1486">
        <f ca="1">IF($A227&lt;Startops2,0,IF(Assm!$F$29=0,VLOOKUP($A227,Annex10_Gas_Table,'Annex 10-Gas'!$G$270),VLOOKUP($A227,Annex12_Gas_Table,'Annex 12-Gas'!$J$270)))</f>
        <v>16492.525948963397</v>
      </c>
      <c r="H227" s="1487">
        <f ca="1">IF($A227&lt;Startops2,0,IF(Assm!$F$29=0,VLOOKUP($A227,Annex10_Gas_Table,'Annex 10-Gas'!$P$270),VLOOKUP($A227,Annex12_Gas_Table,'Annex 12-Gas'!$V$270)))</f>
        <v>12309.032556802535</v>
      </c>
      <c r="I227" s="1486">
        <f t="shared" ca="1" si="25"/>
        <v>33734.032431826476</v>
      </c>
      <c r="J227" s="1486">
        <f t="shared" ca="1" si="26"/>
        <v>0</v>
      </c>
      <c r="K227" s="1480">
        <f ca="1">IF(Assm!$L$74=1,VLOOKUP($A227,Curves_Table,Escalation!$D$291),Exch)</f>
        <v>1.0649999999999999</v>
      </c>
      <c r="L227" s="335">
        <f t="shared" ca="1" si="27"/>
        <v>0</v>
      </c>
      <c r="M227" s="698" t="str">
        <f t="shared" ca="1" si="22"/>
        <v xml:space="preserve"> </v>
      </c>
    </row>
    <row r="228" spans="1:13">
      <c r="A228" s="672">
        <f t="shared" ca="1" si="23"/>
        <v>42826</v>
      </c>
      <c r="C228" s="691">
        <f ca="1">MAX('Plant Operations'!H228,'Plant Operations'!L228)</f>
        <v>0.92</v>
      </c>
      <c r="D228" s="820">
        <f t="shared" ca="1" si="24"/>
        <v>0.92</v>
      </c>
      <c r="E228" s="820">
        <f t="shared" ca="1" si="21"/>
        <v>0</v>
      </c>
      <c r="F228" s="1485">
        <f ca="1">IF(Assm!$F$29=0,'Annex 10-Plant'!G228,'Annex 12-Plant'!T228)</f>
        <v>4938.1425771754621</v>
      </c>
      <c r="G228" s="1486">
        <f ca="1">IF($A228&lt;Startops2,0,IF(Assm!$F$29=0,VLOOKUP($A228,Annex10_Gas_Table,'Annex 10-Gas'!$G$270),VLOOKUP($A228,Annex12_Gas_Table,'Annex 12-Gas'!$J$270)))</f>
        <v>16519.706653594159</v>
      </c>
      <c r="H228" s="1487">
        <f ca="1">IF($A228&lt;Startops2,0,IF(Assm!$F$29=0,VLOOKUP($A228,Annex10_Gas_Table,'Annex 10-Gas'!$P$270),VLOOKUP($A228,Annex12_Gas_Table,'Annex 12-Gas'!$V$270)))</f>
        <v>12329.318605116312</v>
      </c>
      <c r="I228" s="1486">
        <f t="shared" ca="1" si="25"/>
        <v>33787.167835885935</v>
      </c>
      <c r="J228" s="1486">
        <f t="shared" ca="1" si="26"/>
        <v>0</v>
      </c>
      <c r="K228" s="1480">
        <f ca="1">IF(Assm!$L$74=1,VLOOKUP($A228,Curves_Table,Escalation!$D$291),Exch)</f>
        <v>1.0649999999999999</v>
      </c>
      <c r="L228" s="335">
        <f t="shared" ca="1" si="27"/>
        <v>0</v>
      </c>
      <c r="M228" s="698" t="str">
        <f t="shared" ca="1" si="22"/>
        <v xml:space="preserve"> </v>
      </c>
    </row>
    <row r="229" spans="1:13">
      <c r="A229" s="672">
        <f t="shared" ca="1" si="23"/>
        <v>42856</v>
      </c>
      <c r="C229" s="691">
        <f ca="1">MAX('Plant Operations'!H229,'Plant Operations'!L229)</f>
        <v>0.92</v>
      </c>
      <c r="D229" s="820">
        <f t="shared" ca="1" si="24"/>
        <v>0.92</v>
      </c>
      <c r="E229" s="820">
        <f t="shared" ca="1" si="21"/>
        <v>0</v>
      </c>
      <c r="F229" s="1485">
        <f ca="1">IF(Assm!$F$29=0,'Annex 10-Plant'!G229,'Annex 12-Plant'!T229)</f>
        <v>4674.2030887474775</v>
      </c>
      <c r="G229" s="1486">
        <f ca="1">IF($A229&lt;Startops2,0,IF(Assm!$F$29=0,VLOOKUP($A229,Annex10_Gas_Table,'Annex 10-Gas'!$G$270),VLOOKUP($A229,Annex12_Gas_Table,'Annex 12-Gas'!$J$270)))</f>
        <v>16954.365115227614</v>
      </c>
      <c r="H229" s="1487">
        <f ca="1">IF($A229&lt;Startops2,0,IF(Assm!$F$29=0,VLOOKUP($A229,Annex10_Gas_Table,'Annex 10-Gas'!$P$270),VLOOKUP($A229,Annex12_Gas_Table,'Annex 12-Gas'!$V$270)))</f>
        <v>12517.737681685889</v>
      </c>
      <c r="I229" s="1486">
        <f t="shared" ca="1" si="25"/>
        <v>34146.305885660979</v>
      </c>
      <c r="J229" s="1486">
        <f t="shared" ca="1" si="26"/>
        <v>0</v>
      </c>
      <c r="K229" s="1480">
        <f ca="1">IF(Assm!$L$74=1,VLOOKUP($A229,Curves_Table,Escalation!$D$291),Exch)</f>
        <v>1.0649999999999999</v>
      </c>
      <c r="L229" s="335">
        <f t="shared" ca="1" si="27"/>
        <v>0</v>
      </c>
      <c r="M229" s="698" t="str">
        <f t="shared" ca="1" si="22"/>
        <v xml:space="preserve"> </v>
      </c>
    </row>
    <row r="230" spans="1:13">
      <c r="A230" s="672">
        <f t="shared" ca="1" si="23"/>
        <v>42887</v>
      </c>
      <c r="C230" s="691">
        <f ca="1">MAX('Plant Operations'!H230,'Plant Operations'!L230)</f>
        <v>0.92</v>
      </c>
      <c r="D230" s="820">
        <f t="shared" ca="1" si="24"/>
        <v>0.92</v>
      </c>
      <c r="E230" s="820">
        <f t="shared" ca="1" si="21"/>
        <v>0</v>
      </c>
      <c r="F230" s="1485">
        <f ca="1">IF(Assm!$F$29=0,'Annex 10-Plant'!G230,'Annex 12-Plant'!T230)</f>
        <v>4679.1666427527925</v>
      </c>
      <c r="G230" s="1486">
        <f ca="1">IF($A230&lt;Startops2,0,IF(Assm!$F$29=0,VLOOKUP($A230,Annex10_Gas_Table,'Annex 10-Gas'!$G$270),VLOOKUP($A230,Annex12_Gas_Table,'Annex 12-Gas'!$J$270)))</f>
        <v>16982.30695941965</v>
      </c>
      <c r="H230" s="1487">
        <f ca="1">IF($A230&lt;Startops2,0,IF(Assm!$F$29=0,VLOOKUP($A230,Annex10_Gas_Table,'Annex 10-Gas'!$P$270),VLOOKUP($A230,Annex12_Gas_Table,'Annex 12-Gas'!$V$270)))</f>
        <v>12538.367688976716</v>
      </c>
      <c r="I230" s="1486">
        <f t="shared" ca="1" si="25"/>
        <v>34199.841291149161</v>
      </c>
      <c r="J230" s="1486">
        <f t="shared" ca="1" si="26"/>
        <v>0</v>
      </c>
      <c r="K230" s="1480">
        <f ca="1">IF(Assm!$L$74=1,VLOOKUP($A230,Curves_Table,Escalation!$D$291),Exch)</f>
        <v>1.0649999999999999</v>
      </c>
      <c r="L230" s="335">
        <f t="shared" ca="1" si="27"/>
        <v>0</v>
      </c>
      <c r="M230" s="698" t="str">
        <f t="shared" ca="1" si="22"/>
        <v xml:space="preserve"> </v>
      </c>
    </row>
    <row r="231" spans="1:13">
      <c r="A231" s="672">
        <f t="shared" ca="1" si="23"/>
        <v>42917</v>
      </c>
      <c r="C231" s="691">
        <f ca="1">MAX('Plant Operations'!H231,'Plant Operations'!L231)</f>
        <v>0.92</v>
      </c>
      <c r="D231" s="820">
        <f t="shared" ca="1" si="24"/>
        <v>0.92</v>
      </c>
      <c r="E231" s="820">
        <f t="shared" ca="1" si="21"/>
        <v>0</v>
      </c>
      <c r="F231" s="1485">
        <f ca="1">IF(Assm!$F$29=0,'Annex 10-Plant'!G231,'Annex 12-Plant'!T231)</f>
        <v>4684.1383770026487</v>
      </c>
      <c r="G231" s="1486">
        <f ca="1">IF($A231&lt;Startops2,0,IF(Assm!$F$29=0,VLOOKUP($A231,Annex10_Gas_Table,'Annex 10-Gas'!$G$270),VLOOKUP($A231,Annex12_Gas_Table,'Annex 12-Gas'!$J$270)))</f>
        <v>17010.294853502179</v>
      </c>
      <c r="H231" s="1487">
        <f ca="1">IF($A231&lt;Startops2,0,IF(Assm!$F$29=0,VLOOKUP($A231,Annex10_Gas_Table,'Annex 10-Gas'!$P$270),VLOOKUP($A231,Annex12_Gas_Table,'Annex 12-Gas'!$V$270)))</f>
        <v>12559.031695797783</v>
      </c>
      <c r="I231" s="1486">
        <f t="shared" ca="1" si="25"/>
        <v>34253.464926302608</v>
      </c>
      <c r="J231" s="1486">
        <f t="shared" ca="1" si="26"/>
        <v>0</v>
      </c>
      <c r="K231" s="1480">
        <f ca="1">IF(Assm!$L$74=1,VLOOKUP($A231,Curves_Table,Escalation!$D$291),Exch)</f>
        <v>1.0649999999999999</v>
      </c>
      <c r="L231" s="335">
        <f t="shared" ca="1" si="27"/>
        <v>0</v>
      </c>
      <c r="M231" s="698" t="str">
        <f t="shared" ca="1" si="22"/>
        <v xml:space="preserve"> </v>
      </c>
    </row>
    <row r="232" spans="1:13">
      <c r="A232" s="672">
        <f t="shared" ca="1" si="23"/>
        <v>42948</v>
      </c>
      <c r="C232" s="691">
        <f ca="1">MAX('Plant Operations'!H232,'Plant Operations'!L232)</f>
        <v>0.92</v>
      </c>
      <c r="D232" s="820">
        <f t="shared" ca="1" si="24"/>
        <v>0.92</v>
      </c>
      <c r="E232" s="820">
        <f t="shared" ca="1" si="21"/>
        <v>0</v>
      </c>
      <c r="F232" s="1485">
        <f ca="1">IF(Assm!$F$29=0,'Annex 10-Plant'!G232,'Annex 12-Plant'!T232)</f>
        <v>4689.1183049785941</v>
      </c>
      <c r="G232" s="1486">
        <f ca="1">IF($A232&lt;Startops2,0,IF(Assm!$F$29=0,VLOOKUP($A232,Annex10_Gas_Table,'Annex 10-Gas'!$G$270),VLOOKUP($A232,Annex12_Gas_Table,'Annex 12-Gas'!$J$270)))</f>
        <v>17038.328873368271</v>
      </c>
      <c r="H232" s="1487">
        <f ca="1">IF($A232&lt;Startops2,0,IF(Assm!$F$29=0,VLOOKUP($A232,Annex10_Gas_Table,'Annex 10-Gas'!$P$270),VLOOKUP($A232,Annex12_Gas_Table,'Annex 12-Gas'!$V$270)))</f>
        <v>12579.729758182419</v>
      </c>
      <c r="I232" s="1486">
        <f t="shared" ca="1" si="25"/>
        <v>34307.176936529286</v>
      </c>
      <c r="J232" s="1486">
        <f t="shared" ca="1" si="26"/>
        <v>0</v>
      </c>
      <c r="K232" s="1480">
        <f ca="1">IF(Assm!$L$74=1,VLOOKUP($A232,Curves_Table,Escalation!$D$291),Exch)</f>
        <v>1.0649999999999999</v>
      </c>
      <c r="L232" s="335">
        <f t="shared" ca="1" si="27"/>
        <v>0</v>
      </c>
      <c r="M232" s="698" t="str">
        <f t="shared" ca="1" si="22"/>
        <v xml:space="preserve"> </v>
      </c>
    </row>
    <row r="233" spans="1:13">
      <c r="A233" s="672">
        <f t="shared" ca="1" si="23"/>
        <v>42979</v>
      </c>
      <c r="C233" s="691">
        <f ca="1">MAX('Plant Operations'!H233,'Plant Operations'!L233)</f>
        <v>0.92</v>
      </c>
      <c r="D233" s="820">
        <f t="shared" ca="1" si="24"/>
        <v>0.92</v>
      </c>
      <c r="E233" s="820">
        <f t="shared" ca="1" si="21"/>
        <v>0</v>
      </c>
      <c r="F233" s="1485">
        <f ca="1">IF(Assm!$F$29=0,'Annex 10-Plant'!G233,'Annex 12-Plant'!T233)</f>
        <v>4694.1064401843978</v>
      </c>
      <c r="G233" s="1486">
        <f ca="1">IF($A233&lt;Startops2,0,IF(Assm!$F$29=0,VLOOKUP($A233,Annex10_Gas_Table,'Annex 10-Gas'!$G$270),VLOOKUP($A233,Annex12_Gas_Table,'Annex 12-Gas'!$J$270)))</f>
        <v>17066.40909503607</v>
      </c>
      <c r="H233" s="1487">
        <f ca="1">IF($A233&lt;Startops2,0,IF(Assm!$F$29=0,VLOOKUP($A233,Annex10_Gas_Table,'Annex 10-Gas'!$P$270),VLOOKUP($A233,Annex12_Gas_Table,'Annex 12-Gas'!$V$270)))</f>
        <v>12600.461932256305</v>
      </c>
      <c r="I233" s="1486">
        <f t="shared" ca="1" si="25"/>
        <v>34360.977467476769</v>
      </c>
      <c r="J233" s="1486">
        <f t="shared" ca="1" si="26"/>
        <v>0</v>
      </c>
      <c r="K233" s="1480">
        <f ca="1">IF(Assm!$L$74=1,VLOOKUP($A233,Curves_Table,Escalation!$D$291),Exch)</f>
        <v>1.0649999999999999</v>
      </c>
      <c r="L233" s="335">
        <f t="shared" ca="1" si="27"/>
        <v>0</v>
      </c>
      <c r="M233" s="698" t="str">
        <f t="shared" ca="1" si="22"/>
        <v xml:space="preserve"> </v>
      </c>
    </row>
    <row r="234" spans="1:13">
      <c r="A234" s="672">
        <f t="shared" ca="1" si="23"/>
        <v>43009</v>
      </c>
      <c r="C234" s="691">
        <f ca="1">MAX('Plant Operations'!H234,'Plant Operations'!L234)</f>
        <v>0.92</v>
      </c>
      <c r="D234" s="820">
        <f t="shared" ca="1" si="24"/>
        <v>0.92</v>
      </c>
      <c r="E234" s="820">
        <f t="shared" ca="1" si="21"/>
        <v>0</v>
      </c>
      <c r="F234" s="1485">
        <f ca="1">IF(Assm!$F$29=0,'Annex 10-Plant'!G234,'Annex 12-Plant'!T234)</f>
        <v>4699.1027961460813</v>
      </c>
      <c r="G234" s="1486">
        <f ca="1">IF($A234&lt;Startops2,0,IF(Assm!$F$29=0,VLOOKUP($A234,Annex10_Gas_Table,'Annex 10-Gas'!$G$270),VLOOKUP($A234,Annex12_Gas_Table,'Annex 12-Gas'!$J$270)))</f>
        <v>17094.535594649009</v>
      </c>
      <c r="H234" s="1487">
        <f ca="1">IF($A234&lt;Startops2,0,IF(Assm!$F$29=0,VLOOKUP($A234,Annex10_Gas_Table,'Annex 10-Gas'!$P$270),VLOOKUP($A234,Annex12_Gas_Table,'Annex 12-Gas'!$V$270)))</f>
        <v>12621.228274237617</v>
      </c>
      <c r="I234" s="1486">
        <f t="shared" ca="1" si="25"/>
        <v>34414.866665032707</v>
      </c>
      <c r="J234" s="1486">
        <f t="shared" ca="1" si="26"/>
        <v>0</v>
      </c>
      <c r="K234" s="1480">
        <f ca="1">IF(Assm!$L$74=1,VLOOKUP($A234,Curves_Table,Escalation!$D$291),Exch)</f>
        <v>1.0649999999999999</v>
      </c>
      <c r="L234" s="335">
        <f t="shared" ca="1" si="27"/>
        <v>0</v>
      </c>
      <c r="M234" s="698" t="str">
        <f t="shared" ca="1" si="22"/>
        <v xml:space="preserve"> </v>
      </c>
    </row>
    <row r="235" spans="1:13">
      <c r="A235" s="672">
        <f t="shared" ca="1" si="23"/>
        <v>43040</v>
      </c>
      <c r="C235" s="691">
        <f ca="1">MAX('Plant Operations'!H235,'Plant Operations'!L235)</f>
        <v>0.92</v>
      </c>
      <c r="D235" s="820">
        <f t="shared" ca="1" si="24"/>
        <v>0.92</v>
      </c>
      <c r="E235" s="820">
        <f t="shared" ca="1" si="21"/>
        <v>0</v>
      </c>
      <c r="F235" s="1485">
        <f ca="1">IF(Assm!$F$29=0,'Annex 10-Plant'!G235,'Annex 12-Plant'!T235)</f>
        <v>4704.1073864119608</v>
      </c>
      <c r="G235" s="1486">
        <f ca="1">IF($A235&lt;Startops2,0,IF(Assm!$F$29=0,VLOOKUP($A235,Annex10_Gas_Table,'Annex 10-Gas'!$G$270),VLOOKUP($A235,Annex12_Gas_Table,'Annex 12-Gas'!$J$270)))</f>
        <v>17122.708448476013</v>
      </c>
      <c r="H235" s="1487">
        <f ca="1">IF($A235&lt;Startops2,0,IF(Assm!$F$29=0,VLOOKUP($A235,Annex10_Gas_Table,'Annex 10-Gas'!$P$270),VLOOKUP($A235,Annex12_Gas_Table,'Annex 12-Gas'!$V$270)))</f>
        <v>12642.028840437186</v>
      </c>
      <c r="I235" s="1486">
        <f t="shared" ca="1" si="25"/>
        <v>34468.844675325163</v>
      </c>
      <c r="J235" s="1486">
        <f t="shared" ca="1" si="26"/>
        <v>0</v>
      </c>
      <c r="K235" s="1480">
        <f ca="1">IF(Assm!$L$74=1,VLOOKUP($A235,Curves_Table,Escalation!$D$291),Exch)</f>
        <v>1.0649999999999999</v>
      </c>
      <c r="L235" s="335">
        <f t="shared" ca="1" si="27"/>
        <v>0</v>
      </c>
      <c r="M235" s="698" t="str">
        <f t="shared" ca="1" si="22"/>
        <v xml:space="preserve"> </v>
      </c>
    </row>
    <row r="236" spans="1:13">
      <c r="A236" s="672">
        <f t="shared" ca="1" si="23"/>
        <v>43070</v>
      </c>
      <c r="C236" s="691">
        <f ca="1">MAX('Plant Operations'!H236,'Plant Operations'!L236)</f>
        <v>0.92</v>
      </c>
      <c r="D236" s="820">
        <f t="shared" ca="1" si="24"/>
        <v>0.92</v>
      </c>
      <c r="E236" s="820">
        <f t="shared" ca="1" si="21"/>
        <v>0</v>
      </c>
      <c r="F236" s="1485">
        <f ca="1">IF(Assm!$F$29=0,'Annex 10-Plant'!G236,'Annex 12-Plant'!T236)</f>
        <v>4709.1202245526838</v>
      </c>
      <c r="G236" s="1486">
        <f ca="1">IF($A236&lt;Startops2,0,IF(Assm!$F$29=0,VLOOKUP($A236,Annex10_Gas_Table,'Annex 10-Gas'!$G$270),VLOOKUP($A236,Annex12_Gas_Table,'Annex 12-Gas'!$J$270)))</f>
        <v>17150.927732911707</v>
      </c>
      <c r="H236" s="1487">
        <f ca="1">IF($A236&lt;Startops2,0,IF(Assm!$F$29=0,VLOOKUP($A236,Annex10_Gas_Table,'Annex 10-Gas'!$P$270),VLOOKUP($A236,Annex12_Gas_Table,'Annex 12-Gas'!$V$270)))</f>
        <v>12662.863687258645</v>
      </c>
      <c r="I236" s="1486">
        <f t="shared" ca="1" si="25"/>
        <v>34522.911644723034</v>
      </c>
      <c r="J236" s="1486">
        <f t="shared" ca="1" si="26"/>
        <v>0</v>
      </c>
      <c r="K236" s="1480">
        <f ca="1">IF(Assm!$L$74=1,VLOOKUP($A236,Curves_Table,Escalation!$D$291),Exch)</f>
        <v>1.0649999999999999</v>
      </c>
      <c r="L236" s="335">
        <f t="shared" ca="1" si="27"/>
        <v>0</v>
      </c>
      <c r="M236" s="698">
        <f t="shared" ca="1" si="22"/>
        <v>0</v>
      </c>
    </row>
    <row r="237" spans="1:13">
      <c r="A237" s="672">
        <f t="shared" ca="1" si="23"/>
        <v>43101</v>
      </c>
      <c r="C237" s="691">
        <f ca="1">MAX('Plant Operations'!H237,'Plant Operations'!L237)</f>
        <v>0.92</v>
      </c>
      <c r="D237" s="820">
        <f t="shared" ca="1" si="24"/>
        <v>0.92</v>
      </c>
      <c r="E237" s="820">
        <f t="shared" ca="1" si="21"/>
        <v>0</v>
      </c>
      <c r="F237" s="1485">
        <f ca="1">IF(Assm!$F$29=0,'Annex 10-Plant'!G237,'Annex 12-Plant'!T237)</f>
        <v>4714.1497367505081</v>
      </c>
      <c r="G237" s="1486">
        <f ca="1">IF($A237&lt;Startops2,0,IF(Assm!$F$29=0,VLOOKUP($A237,Annex10_Gas_Table,'Annex 10-Gas'!$G$270),VLOOKUP($A237,Annex12_Gas_Table,'Annex 12-Gas'!$J$270)))</f>
        <v>17179.240882329053</v>
      </c>
      <c r="H237" s="1487">
        <f ca="1">IF($A237&lt;Startops2,0,IF(Assm!$F$29=0,VLOOKUP($A237,Annex10_Gas_Table,'Annex 10-Gas'!$P$270),VLOOKUP($A237,Annex12_Gas_Table,'Annex 12-Gas'!$V$270)))</f>
        <v>12683.767836422589</v>
      </c>
      <c r="I237" s="1486">
        <f t="shared" ca="1" si="25"/>
        <v>34577.158455502147</v>
      </c>
      <c r="J237" s="1486">
        <f t="shared" ca="1" si="26"/>
        <v>0</v>
      </c>
      <c r="K237" s="1480">
        <f ca="1">IF(Assm!$L$74=1,VLOOKUP($A237,Curves_Table,Escalation!$D$291),Exch)</f>
        <v>1.0649999999999999</v>
      </c>
      <c r="L237" s="335">
        <f t="shared" ca="1" si="27"/>
        <v>0</v>
      </c>
      <c r="M237" s="698" t="str">
        <f t="shared" ca="1" si="22"/>
        <v xml:space="preserve"> </v>
      </c>
    </row>
    <row r="238" spans="1:13">
      <c r="A238" s="672">
        <f t="shared" ca="1" si="23"/>
        <v>43132</v>
      </c>
      <c r="C238" s="691">
        <f ca="1">MAX('Plant Operations'!H238,'Plant Operations'!L238)</f>
        <v>0.92</v>
      </c>
      <c r="D238" s="820">
        <f t="shared" ca="1" si="24"/>
        <v>0.92</v>
      </c>
      <c r="E238" s="820">
        <f t="shared" ca="1" si="21"/>
        <v>0</v>
      </c>
      <c r="F238" s="1485">
        <f ca="1">IF(Assm!$F$29=0,'Annex 10-Plant'!G238,'Annex 12-Plant'!T238)</f>
        <v>4719.187551783757</v>
      </c>
      <c r="G238" s="1486">
        <f ca="1">IF($A238&lt;Startops2,0,IF(Assm!$F$29=0,VLOOKUP($A238,Annex10_Gas_Table,'Annex 10-Gas'!$G$270),VLOOKUP($A238,Annex12_Gas_Table,'Annex 12-Gas'!$J$270)))</f>
        <v>17207.600771750345</v>
      </c>
      <c r="H238" s="1487">
        <f ca="1">IF($A238&lt;Startops2,0,IF(Assm!$F$29=0,VLOOKUP($A238,Annex10_Gas_Table,'Annex 10-Gas'!$P$270),VLOOKUP($A238,Annex12_Gas_Table,'Annex 12-Gas'!$V$270)))</f>
        <v>12704.706494640968</v>
      </c>
      <c r="I238" s="1486">
        <f t="shared" ca="1" si="25"/>
        <v>34631.494818175073</v>
      </c>
      <c r="J238" s="1486">
        <f t="shared" ca="1" si="26"/>
        <v>0</v>
      </c>
      <c r="K238" s="1480">
        <f ca="1">IF(Assm!$L$74=1,VLOOKUP($A238,Curves_Table,Escalation!$D$291),Exch)</f>
        <v>1.0649999999999999</v>
      </c>
      <c r="L238" s="335">
        <f t="shared" ca="1" si="27"/>
        <v>0</v>
      </c>
      <c r="M238" s="698" t="str">
        <f t="shared" ca="1" si="22"/>
        <v xml:space="preserve"> </v>
      </c>
    </row>
    <row r="239" spans="1:13">
      <c r="A239" s="672">
        <f t="shared" ca="1" si="23"/>
        <v>43160</v>
      </c>
      <c r="C239" s="691">
        <f ca="1">MAX('Plant Operations'!H239,'Plant Operations'!L239)</f>
        <v>0.92</v>
      </c>
      <c r="D239" s="820">
        <f t="shared" ca="1" si="24"/>
        <v>0.92</v>
      </c>
      <c r="E239" s="820">
        <f t="shared" ca="1" si="21"/>
        <v>0</v>
      </c>
      <c r="F239" s="1485">
        <f ca="1">IF(Assm!$F$29=0,'Annex 10-Plant'!G239,'Annex 12-Plant'!T239)</f>
        <v>4724.233683358947</v>
      </c>
      <c r="G239" s="1486">
        <f ca="1">IF($A239&lt;Startops2,0,IF(Assm!$F$29=0,VLOOKUP($A239,Annex10_Gas_Table,'Annex 10-Gas'!$G$270),VLOOKUP($A239,Annex12_Gas_Table,'Annex 12-Gas'!$J$270)))</f>
        <v>17236.007478335068</v>
      </c>
      <c r="H239" s="1487">
        <f ca="1">IF($A239&lt;Startops2,0,IF(Assm!$F$29=0,VLOOKUP($A239,Annex10_Gas_Table,'Annex 10-Gas'!$P$270),VLOOKUP($A239,Annex12_Gas_Table,'Annex 12-Gas'!$V$270)))</f>
        <v>12725.679718882131</v>
      </c>
      <c r="I239" s="1486">
        <f t="shared" ca="1" si="25"/>
        <v>34685.920880576145</v>
      </c>
      <c r="J239" s="1486">
        <f t="shared" ca="1" si="26"/>
        <v>0</v>
      </c>
      <c r="K239" s="1480">
        <f ca="1">IF(Assm!$L$74=1,VLOOKUP($A239,Curves_Table,Escalation!$D$291),Exch)</f>
        <v>1.0649999999999999</v>
      </c>
      <c r="L239" s="335">
        <f t="shared" ca="1" si="27"/>
        <v>0</v>
      </c>
      <c r="M239" s="698" t="str">
        <f t="shared" ca="1" si="22"/>
        <v xml:space="preserve"> </v>
      </c>
    </row>
    <row r="240" spans="1:13">
      <c r="A240" s="672">
        <f t="shared" ca="1" si="23"/>
        <v>43191</v>
      </c>
      <c r="C240" s="691">
        <f ca="1">MAX('Plant Operations'!H240,'Plant Operations'!L240)</f>
        <v>0.92</v>
      </c>
      <c r="D240" s="820">
        <f t="shared" ca="1" si="24"/>
        <v>0.92</v>
      </c>
      <c r="E240" s="820">
        <f t="shared" ca="1" si="21"/>
        <v>0</v>
      </c>
      <c r="F240" s="1485">
        <f ca="1">IF(Assm!$F$29=0,'Annex 10-Plant'!G240,'Annex 12-Plant'!T240)</f>
        <v>4729.2881452052125</v>
      </c>
      <c r="G240" s="1486">
        <f ca="1">IF($A240&lt;Startops2,0,IF(Assm!$F$29=0,VLOOKUP($A240,Annex10_Gas_Table,'Annex 10-Gas'!$G$270),VLOOKUP($A240,Annex12_Gas_Table,'Annex 12-Gas'!$J$270)))</f>
        <v>17264.461079370085</v>
      </c>
      <c r="H240" s="1487">
        <f ca="1">IF($A240&lt;Startops2,0,IF(Assm!$F$29=0,VLOOKUP($A240,Annex10_Gas_Table,'Annex 10-Gas'!$P$270),VLOOKUP($A240,Annex12_Gas_Table,'Annex 12-Gas'!$V$270)))</f>
        <v>12746.687566208466</v>
      </c>
      <c r="I240" s="1486">
        <f t="shared" ca="1" si="25"/>
        <v>34740.436790783766</v>
      </c>
      <c r="J240" s="1486">
        <f t="shared" ca="1" si="26"/>
        <v>0</v>
      </c>
      <c r="K240" s="1480">
        <f ca="1">IF(Assm!$L$74=1,VLOOKUP($A240,Curves_Table,Escalation!$D$291),Exch)</f>
        <v>1.0649999999999999</v>
      </c>
      <c r="L240" s="335">
        <f t="shared" ca="1" si="27"/>
        <v>0</v>
      </c>
      <c r="M240" s="698" t="str">
        <f t="shared" ca="1" si="22"/>
        <v xml:space="preserve"> </v>
      </c>
    </row>
    <row r="241" spans="1:13">
      <c r="A241" s="672">
        <f t="shared" ca="1" si="23"/>
        <v>43221</v>
      </c>
      <c r="C241" s="691">
        <f ca="1">MAX('Plant Operations'!H241,'Plant Operations'!L241)</f>
        <v>0.92</v>
      </c>
      <c r="D241" s="820">
        <f t="shared" ca="1" si="24"/>
        <v>0.92</v>
      </c>
      <c r="E241" s="820">
        <f t="shared" ca="1" si="21"/>
        <v>0</v>
      </c>
      <c r="F241" s="1485">
        <f ca="1">IF(Assm!$F$29=0,'Annex 10-Plant'!G241,'Annex 12-Plant'!T241)</f>
        <v>3036.374277284287</v>
      </c>
      <c r="G241" s="1486">
        <f ca="1">IF($A241&lt;Startops2,0,IF(Assm!$F$29=0,VLOOKUP($A241,Annex10_Gas_Table,'Annex 10-Gas'!$G$270),VLOOKUP($A241,Annex12_Gas_Table,'Annex 12-Gas'!$J$270)))</f>
        <v>17781.37033376253</v>
      </c>
      <c r="H241" s="1487">
        <f ca="1">IF($A241&lt;Startops2,0,IF(Assm!$F$29=0,VLOOKUP($A241,Annex10_Gas_Table,'Annex 10-Gas'!$P$270),VLOOKUP($A241,Annex12_Gas_Table,'Annex 12-Gas'!$V$270)))</f>
        <v>13106.86264617845</v>
      </c>
      <c r="I241" s="1486">
        <f t="shared" ca="1" si="25"/>
        <v>33924.607257225267</v>
      </c>
      <c r="J241" s="1486">
        <f t="shared" ca="1" si="26"/>
        <v>0</v>
      </c>
      <c r="K241" s="1480">
        <f ca="1">IF(Assm!$L$74=1,VLOOKUP($A241,Curves_Table,Escalation!$D$291),Exch)</f>
        <v>1.0649999999999999</v>
      </c>
      <c r="L241" s="335">
        <f t="shared" ca="1" si="27"/>
        <v>0</v>
      </c>
      <c r="M241" s="698" t="str">
        <f t="shared" ca="1" si="22"/>
        <v xml:space="preserve"> </v>
      </c>
    </row>
    <row r="242" spans="1:13">
      <c r="A242" s="672">
        <f t="shared" ca="1" si="23"/>
        <v>43252</v>
      </c>
      <c r="C242" s="691">
        <f ca="1">MAX('Plant Operations'!H242,'Plant Operations'!L242)</f>
        <v>0.92</v>
      </c>
      <c r="D242" s="820">
        <f t="shared" ca="1" si="24"/>
        <v>0.92</v>
      </c>
      <c r="E242" s="820">
        <f t="shared" ca="1" si="21"/>
        <v>0</v>
      </c>
      <c r="F242" s="1485">
        <f ca="1">IF(Assm!$F$29=0,'Annex 10-Plant'!G242,'Annex 12-Plant'!T242)</f>
        <v>3039.1287544212473</v>
      </c>
      <c r="G242" s="1486">
        <f ca="1">IF($A242&lt;Startops2,0,IF(Assm!$F$29=0,VLOOKUP($A242,Annex10_Gas_Table,'Annex 10-Gas'!$G$270),VLOOKUP($A242,Annex12_Gas_Table,'Annex 12-Gas'!$J$270)))</f>
        <v>17810.724232452158</v>
      </c>
      <c r="H242" s="1487">
        <f ca="1">IF($A242&lt;Startops2,0,IF(Assm!$F$29=0,VLOOKUP($A242,Annex10_Gas_Table,'Annex 10-Gas'!$P$270),VLOOKUP($A242,Annex12_Gas_Table,'Annex 12-Gas'!$V$270)))</f>
        <v>13128.499759124927</v>
      </c>
      <c r="I242" s="1486">
        <f t="shared" ca="1" si="25"/>
        <v>33978.352745998331</v>
      </c>
      <c r="J242" s="1486">
        <f t="shared" ca="1" si="26"/>
        <v>0</v>
      </c>
      <c r="K242" s="1480">
        <f ca="1">IF(Assm!$L$74=1,VLOOKUP($A242,Curves_Table,Escalation!$D$291),Exch)</f>
        <v>1.0649999999999999</v>
      </c>
      <c r="L242" s="335">
        <f t="shared" ca="1" si="27"/>
        <v>0</v>
      </c>
      <c r="M242" s="698" t="str">
        <f t="shared" ca="1" si="22"/>
        <v xml:space="preserve"> </v>
      </c>
    </row>
    <row r="243" spans="1:13">
      <c r="A243" s="672">
        <f t="shared" ca="1" si="23"/>
        <v>43282</v>
      </c>
      <c r="C243" s="691">
        <f ca="1">MAX('Plant Operations'!H243,'Plant Operations'!L243)</f>
        <v>0.92</v>
      </c>
      <c r="D243" s="820">
        <f t="shared" ca="1" si="24"/>
        <v>0.92</v>
      </c>
      <c r="E243" s="820">
        <f t="shared" ca="1" si="21"/>
        <v>0</v>
      </c>
      <c r="F243" s="1485">
        <f ca="1">IF(Assm!$F$29=0,'Annex 10-Plant'!G243,'Annex 12-Plant'!T243)</f>
        <v>3041.8877787129718</v>
      </c>
      <c r="G243" s="1486">
        <f ca="1">IF($A243&lt;Startops2,0,IF(Assm!$F$29=0,VLOOKUP($A243,Annex10_Gas_Table,'Annex 10-Gas'!$G$270),VLOOKUP($A243,Annex12_Gas_Table,'Annex 12-Gas'!$J$270)))</f>
        <v>17840.126589238778</v>
      </c>
      <c r="H243" s="1487">
        <f ca="1">IF($A243&lt;Startops2,0,IF(Assm!$F$29=0,VLOOKUP($A243,Annex10_Gas_Table,'Annex 10-Gas'!$P$270),VLOOKUP($A243,Annex12_Gas_Table,'Annex 12-Gas'!$V$270)))</f>
        <v>13150.172591119457</v>
      </c>
      <c r="I243" s="1486">
        <f t="shared" ca="1" si="25"/>
        <v>34032.186959071209</v>
      </c>
      <c r="J243" s="1486">
        <f t="shared" ca="1" si="26"/>
        <v>0</v>
      </c>
      <c r="K243" s="1480">
        <f ca="1">IF(Assm!$L$74=1,VLOOKUP($A243,Curves_Table,Escalation!$D$291),Exch)</f>
        <v>1.0649999999999999</v>
      </c>
      <c r="L243" s="335">
        <f t="shared" ca="1" si="27"/>
        <v>0</v>
      </c>
      <c r="M243" s="698" t="str">
        <f t="shared" ca="1" si="22"/>
        <v xml:space="preserve"> </v>
      </c>
    </row>
    <row r="244" spans="1:13">
      <c r="A244" s="672">
        <f t="shared" ca="1" si="23"/>
        <v>43313</v>
      </c>
      <c r="C244" s="691">
        <f ca="1">MAX('Plant Operations'!H244,'Plant Operations'!L244)</f>
        <v>0.92</v>
      </c>
      <c r="D244" s="820">
        <f t="shared" ca="1" si="24"/>
        <v>0.92</v>
      </c>
      <c r="E244" s="820">
        <f t="shared" ca="1" si="21"/>
        <v>0</v>
      </c>
      <c r="F244" s="1485">
        <f ca="1">IF(Assm!$F$29=0,'Annex 10-Plant'!G244,'Annex 12-Plant'!T244)</f>
        <v>3044.6513576660082</v>
      </c>
      <c r="G244" s="1486">
        <f ca="1">IF($A244&lt;Startops2,0,IF(Assm!$F$29=0,VLOOKUP($A244,Annex10_Gas_Table,'Annex 10-Gas'!$G$270),VLOOKUP($A244,Annex12_Gas_Table,'Annex 12-Gas'!$J$270)))</f>
        <v>17869.577484118134</v>
      </c>
      <c r="H244" s="1487">
        <f ca="1">IF($A244&lt;Startops2,0,IF(Assm!$F$29=0,VLOOKUP($A244,Annex10_Gas_Table,'Annex 10-Gas'!$P$270),VLOOKUP($A244,Annex12_Gas_Table,'Annex 12-Gas'!$V$270)))</f>
        <v>13171.88120112787</v>
      </c>
      <c r="I244" s="1486">
        <f t="shared" ca="1" si="25"/>
        <v>34086.110042912012</v>
      </c>
      <c r="J244" s="1486">
        <f t="shared" ca="1" si="26"/>
        <v>0</v>
      </c>
      <c r="K244" s="1480">
        <f ca="1">IF(Assm!$L$74=1,VLOOKUP($A244,Curves_Table,Escalation!$D$291),Exch)</f>
        <v>1.0649999999999999</v>
      </c>
      <c r="L244" s="335">
        <f t="shared" ca="1" si="27"/>
        <v>0</v>
      </c>
      <c r="M244" s="698" t="str">
        <f t="shared" ca="1" si="22"/>
        <v xml:space="preserve"> </v>
      </c>
    </row>
    <row r="245" spans="1:13">
      <c r="A245" s="672">
        <f t="shared" ca="1" si="23"/>
        <v>43344</v>
      </c>
      <c r="C245" s="691">
        <f ca="1">MAX('Plant Operations'!H245,'Plant Operations'!L245)</f>
        <v>0.92</v>
      </c>
      <c r="D245" s="820">
        <f t="shared" ca="1" si="24"/>
        <v>0.92</v>
      </c>
      <c r="E245" s="820">
        <f t="shared" ca="1" si="21"/>
        <v>0</v>
      </c>
      <c r="F245" s="1485">
        <f ca="1">IF(Assm!$F$29=0,'Annex 10-Plant'!G245,'Annex 12-Plant'!T245)</f>
        <v>3047.4194987992983</v>
      </c>
      <c r="G245" s="1486">
        <f ca="1">IF($A245&lt;Startops2,0,IF(Assm!$F$29=0,VLOOKUP($A245,Annex10_Gas_Table,'Annex 10-Gas'!$G$270),VLOOKUP($A245,Annex12_Gas_Table,'Annex 12-Gas'!$J$270)))</f>
        <v>17899.07699721805</v>
      </c>
      <c r="H245" s="1487">
        <f ca="1">IF($A245&lt;Startops2,0,IF(Assm!$F$29=0,VLOOKUP($A245,Annex10_Gas_Table,'Annex 10-Gas'!$P$270),VLOOKUP($A245,Annex12_Gas_Table,'Annex 12-Gas'!$V$270)))</f>
        <v>13193.625648213343</v>
      </c>
      <c r="I245" s="1486">
        <f t="shared" ca="1" si="25"/>
        <v>34140.122144230692</v>
      </c>
      <c r="J245" s="1486">
        <f t="shared" ca="1" si="26"/>
        <v>0</v>
      </c>
      <c r="K245" s="1480">
        <f ca="1">IF(Assm!$L$74=1,VLOOKUP($A245,Curves_Table,Escalation!$D$291),Exch)</f>
        <v>1.0649999999999999</v>
      </c>
      <c r="L245" s="335">
        <f t="shared" ca="1" si="27"/>
        <v>0</v>
      </c>
      <c r="M245" s="698" t="str">
        <f t="shared" ca="1" si="22"/>
        <v xml:space="preserve"> </v>
      </c>
    </row>
    <row r="246" spans="1:13">
      <c r="A246" s="672">
        <f t="shared" ca="1" si="23"/>
        <v>43374</v>
      </c>
      <c r="C246" s="691">
        <f ca="1">MAX('Plant Operations'!H246,'Plant Operations'!L246)</f>
        <v>0.92</v>
      </c>
      <c r="D246" s="820">
        <f t="shared" ca="1" si="24"/>
        <v>0.92</v>
      </c>
      <c r="E246" s="820">
        <f t="shared" ca="1" si="21"/>
        <v>0</v>
      </c>
      <c r="F246" s="1485">
        <f ca="1">IF(Assm!$F$29=0,'Annex 10-Plant'!G246,'Annex 12-Plant'!T246)</f>
        <v>3050.1922096441936</v>
      </c>
      <c r="G246" s="1486">
        <f ca="1">IF($A246&lt;Startops2,0,IF(Assm!$F$29=0,VLOOKUP($A246,Annex10_Gas_Table,'Annex 10-Gas'!$G$270),VLOOKUP($A246,Annex12_Gas_Table,'Annex 12-Gas'!$J$270)))</f>
        <v>17928.625208798603</v>
      </c>
      <c r="H246" s="1487">
        <f ca="1">IF($A246&lt;Startops2,0,IF(Assm!$F$29=0,VLOOKUP($A246,Annex10_Gas_Table,'Annex 10-Gas'!$P$270),VLOOKUP($A246,Annex12_Gas_Table,'Annex 12-Gas'!$V$270)))</f>
        <v>13215.405991536554</v>
      </c>
      <c r="I246" s="1486">
        <f t="shared" ca="1" si="25"/>
        <v>34194.22340997935</v>
      </c>
      <c r="J246" s="1486">
        <f t="shared" ca="1" si="26"/>
        <v>0</v>
      </c>
      <c r="K246" s="1480">
        <f ca="1">IF(Assm!$L$74=1,VLOOKUP($A246,Curves_Table,Escalation!$D$291),Exch)</f>
        <v>1.0649999999999999</v>
      </c>
      <c r="L246" s="335">
        <f t="shared" ca="1" si="27"/>
        <v>0</v>
      </c>
      <c r="M246" s="698" t="str">
        <f t="shared" ca="1" si="22"/>
        <v xml:space="preserve"> </v>
      </c>
    </row>
    <row r="247" spans="1:13">
      <c r="A247" s="672">
        <f t="shared" ca="1" si="23"/>
        <v>43405</v>
      </c>
      <c r="C247" s="691">
        <f ca="1">MAX('Plant Operations'!H247,'Plant Operations'!L247)</f>
        <v>0.92</v>
      </c>
      <c r="D247" s="820">
        <f t="shared" ca="1" si="24"/>
        <v>0.92</v>
      </c>
      <c r="E247" s="820">
        <f t="shared" ca="1" si="21"/>
        <v>0</v>
      </c>
      <c r="F247" s="1485">
        <f ca="1">IF(Assm!$F$29=0,'Annex 10-Plant'!G247,'Annex 12-Plant'!T247)</f>
        <v>3052.969497744481</v>
      </c>
      <c r="G247" s="1486">
        <f ca="1">IF($A247&lt;Startops2,0,IF(Assm!$F$29=0,VLOOKUP($A247,Annex10_Gas_Table,'Annex 10-Gas'!$G$270),VLOOKUP($A247,Annex12_Gas_Table,'Annex 12-Gas'!$J$270)))</f>
        <v>17958.22219925237</v>
      </c>
      <c r="H247" s="1487">
        <f ca="1">IF($A247&lt;Startops2,0,IF(Assm!$F$29=0,VLOOKUP($A247,Annex10_Gas_Table,'Annex 10-Gas'!$P$270),VLOOKUP($A247,Annex12_Gas_Table,'Annex 12-Gas'!$V$270)))</f>
        <v>13237.222290355845</v>
      </c>
      <c r="I247" s="1486">
        <f t="shared" ca="1" si="25"/>
        <v>34248.413987352695</v>
      </c>
      <c r="J247" s="1486">
        <f t="shared" ca="1" si="26"/>
        <v>0</v>
      </c>
      <c r="K247" s="1480">
        <f ca="1">IF(Assm!$L$74=1,VLOOKUP($A247,Curves_Table,Escalation!$D$291),Exch)</f>
        <v>1.0649999999999999</v>
      </c>
      <c r="L247" s="335">
        <f t="shared" ca="1" si="27"/>
        <v>0</v>
      </c>
      <c r="M247" s="698" t="str">
        <f t="shared" ca="1" si="22"/>
        <v xml:space="preserve"> </v>
      </c>
    </row>
    <row r="248" spans="1:13">
      <c r="A248" s="672">
        <f t="shared" ca="1" si="23"/>
        <v>43435</v>
      </c>
      <c r="C248" s="691">
        <f ca="1">MAX('Plant Operations'!H248,'Plant Operations'!L248)</f>
        <v>0.92</v>
      </c>
      <c r="D248" s="820">
        <f t="shared" ca="1" si="24"/>
        <v>0.92</v>
      </c>
      <c r="E248" s="820">
        <f t="shared" ca="1" si="21"/>
        <v>0</v>
      </c>
      <c r="F248" s="1485">
        <f ca="1">IF(Assm!$F$29=0,'Annex 10-Plant'!G248,'Annex 12-Plant'!T248)</f>
        <v>3055.7513706564014</v>
      </c>
      <c r="G248" s="1486">
        <f ca="1">IF($A248&lt;Startops2,0,IF(Assm!$F$29=0,VLOOKUP($A248,Annex10_Gas_Table,'Annex 10-Gas'!$G$270),VLOOKUP($A248,Annex12_Gas_Table,'Annex 12-Gas'!$J$270)))</f>
        <v>17987.868049104665</v>
      </c>
      <c r="H248" s="1487">
        <f ca="1">IF($A248&lt;Startops2,0,IF(Assm!$F$29=0,VLOOKUP($A248,Annex10_Gas_Table,'Annex 10-Gas'!$P$270),VLOOKUP($A248,Annex12_Gas_Table,'Annex 12-Gas'!$V$270)))</f>
        <v>13259.074604027384</v>
      </c>
      <c r="I248" s="1486">
        <f t="shared" ca="1" si="25"/>
        <v>34302.694023788456</v>
      </c>
      <c r="J248" s="1486">
        <f t="shared" ca="1" si="26"/>
        <v>0</v>
      </c>
      <c r="K248" s="1480">
        <f ca="1">IF(Assm!$L$74=1,VLOOKUP($A248,Curves_Table,Escalation!$D$291),Exch)</f>
        <v>1.0649999999999999</v>
      </c>
      <c r="L248" s="335">
        <f t="shared" ca="1" si="27"/>
        <v>0</v>
      </c>
      <c r="M248" s="698">
        <f t="shared" ca="1" si="22"/>
        <v>0</v>
      </c>
    </row>
    <row r="249" spans="1:13">
      <c r="A249" s="672">
        <f t="shared" ca="1" si="23"/>
        <v>43466</v>
      </c>
      <c r="C249" s="691">
        <f ca="1">MAX('Plant Operations'!H249,'Plant Operations'!L249)</f>
        <v>0.92</v>
      </c>
      <c r="D249" s="820">
        <f t="shared" ca="1" si="24"/>
        <v>0.92</v>
      </c>
      <c r="E249" s="820">
        <f t="shared" ca="1" si="21"/>
        <v>0</v>
      </c>
      <c r="F249" s="1485">
        <f ca="1">IF(Assm!$F$29=0,'Annex 10-Plant'!G249,'Annex 12-Plant'!T249)</f>
        <v>3058.5446058995749</v>
      </c>
      <c r="G249" s="1486">
        <f ca="1">IF($A249&lt;Startops2,0,IF(Assm!$F$29=0,VLOOKUP($A249,Annex10_Gas_Table,'Annex 10-Gas'!$G$270),VLOOKUP($A249,Annex12_Gas_Table,'Annex 12-Gas'!$J$270)))</f>
        <v>18017.634984993947</v>
      </c>
      <c r="H249" s="1487">
        <f ca="1">IF($A249&lt;Startops2,0,IF(Assm!$F$29=0,VLOOKUP($A249,Annex10_Gas_Table,'Annex 10-Gas'!$P$270),VLOOKUP($A249,Annex12_Gas_Table,'Annex 12-Gas'!$V$270)))</f>
        <v>13281.016171677977</v>
      </c>
      <c r="I249" s="1486">
        <f t="shared" ca="1" si="25"/>
        <v>34357.1957625715</v>
      </c>
      <c r="J249" s="1486">
        <f t="shared" ca="1" si="26"/>
        <v>0</v>
      </c>
      <c r="K249" s="1480">
        <f ca="1">IF(Assm!$L$74=1,VLOOKUP($A249,Curves_Table,Escalation!$D$291),Exch)</f>
        <v>1.0649999999999999</v>
      </c>
      <c r="L249" s="335">
        <f t="shared" ca="1" si="27"/>
        <v>0</v>
      </c>
      <c r="M249" s="698" t="str">
        <f t="shared" ca="1" si="22"/>
        <v xml:space="preserve"> </v>
      </c>
    </row>
    <row r="250" spans="1:13">
      <c r="A250" s="672">
        <f t="shared" ca="1" si="23"/>
        <v>43497</v>
      </c>
      <c r="C250" s="691">
        <f ca="1">MAX('Plant Operations'!H250,'Plant Operations'!L250)</f>
        <v>0.92</v>
      </c>
      <c r="D250" s="820">
        <f t="shared" ca="1" si="24"/>
        <v>0.92</v>
      </c>
      <c r="E250" s="820">
        <f t="shared" ca="1" si="21"/>
        <v>0</v>
      </c>
      <c r="F250" s="1485">
        <f ca="1">IF(Assm!$F$29=0,'Annex 10-Plant'!G250,'Annex 12-Plant'!T250)</f>
        <v>3061.3424634834378</v>
      </c>
      <c r="G250" s="1486">
        <f ca="1">IF($A250&lt;Startops2,0,IF(Assm!$F$29=0,VLOOKUP($A250,Annex10_Gas_Table,'Annex 10-Gas'!$G$270),VLOOKUP($A250,Annex12_Gas_Table,'Annex 12-Gas'!$J$270)))</f>
        <v>18047.451180221236</v>
      </c>
      <c r="H250" s="1487">
        <f ca="1">IF($A250&lt;Startops2,0,IF(Assm!$F$29=0,VLOOKUP($A250,Annex10_Gas_Table,'Annex 10-Gas'!$P$270),VLOOKUP($A250,Annex12_Gas_Table,'Annex 12-Gas'!$V$270)))</f>
        <v>13302.99404898104</v>
      </c>
      <c r="I250" s="1486">
        <f t="shared" ca="1" si="25"/>
        <v>34411.787692685713</v>
      </c>
      <c r="J250" s="1486">
        <f t="shared" ca="1" si="26"/>
        <v>0</v>
      </c>
      <c r="K250" s="1480">
        <f ca="1">IF(Assm!$L$74=1,VLOOKUP($A250,Curves_Table,Escalation!$D$291),Exch)</f>
        <v>1.0649999999999999</v>
      </c>
      <c r="L250" s="335">
        <f t="shared" ca="1" si="27"/>
        <v>0</v>
      </c>
      <c r="M250" s="698" t="str">
        <f t="shared" ca="1" si="22"/>
        <v xml:space="preserve"> </v>
      </c>
    </row>
    <row r="251" spans="1:13">
      <c r="A251" s="672">
        <f t="shared" ca="1" si="23"/>
        <v>43525</v>
      </c>
      <c r="C251" s="691">
        <f ca="1">MAX('Plant Operations'!H251,'Plant Operations'!L251)</f>
        <v>0.92</v>
      </c>
      <c r="D251" s="820">
        <f t="shared" ca="1" si="24"/>
        <v>0.92</v>
      </c>
      <c r="E251" s="820">
        <f t="shared" ca="1" si="21"/>
        <v>0</v>
      </c>
      <c r="F251" s="1485">
        <f ca="1">IF(Assm!$F$29=0,'Annex 10-Plant'!G251,'Annex 12-Plant'!T251)</f>
        <v>3064.1449510571974</v>
      </c>
      <c r="G251" s="1486">
        <f ca="1">IF($A251&lt;Startops2,0,IF(Assm!$F$29=0,VLOOKUP($A251,Annex10_Gas_Table,'Annex 10-Gas'!$G$270),VLOOKUP($A251,Annex12_Gas_Table,'Annex 12-Gas'!$J$270)))</f>
        <v>18077.316716302565</v>
      </c>
      <c r="H251" s="1487">
        <f ca="1">IF($A251&lt;Startops2,0,IF(Assm!$F$29=0,VLOOKUP($A251,Annex10_Gas_Table,'Annex 10-Gas'!$P$270),VLOOKUP($A251,Annex12_Gas_Table,'Annex 12-Gas'!$V$270)))</f>
        <v>13325.008296023021</v>
      </c>
      <c r="I251" s="1486">
        <f t="shared" ca="1" si="25"/>
        <v>34466.469963382784</v>
      </c>
      <c r="J251" s="1486">
        <f t="shared" ca="1" si="26"/>
        <v>0</v>
      </c>
      <c r="K251" s="1480">
        <f ca="1">IF(Assm!$L$74=1,VLOOKUP($A251,Curves_Table,Escalation!$D$291),Exch)</f>
        <v>1.0649999999999999</v>
      </c>
      <c r="L251" s="335">
        <f t="shared" ca="1" si="27"/>
        <v>0</v>
      </c>
      <c r="M251" s="698" t="str">
        <f t="shared" ca="1" si="22"/>
        <v xml:space="preserve"> </v>
      </c>
    </row>
    <row r="252" spans="1:13">
      <c r="A252" s="672">
        <f t="shared" ca="1" si="23"/>
        <v>43556</v>
      </c>
      <c r="C252" s="691">
        <f ca="1">MAX('Plant Operations'!H252,'Plant Operations'!L252)</f>
        <v>0.92</v>
      </c>
      <c r="D252" s="820">
        <f t="shared" ca="1" si="24"/>
        <v>0.92</v>
      </c>
      <c r="E252" s="820">
        <f t="shared" ca="1" si="21"/>
        <v>0</v>
      </c>
      <c r="F252" s="1485">
        <f ca="1">IF(Assm!$F$29=0,'Annex 10-Plant'!G252,'Annex 12-Plant'!T252)</f>
        <v>3066.9520762827183</v>
      </c>
      <c r="G252" s="1486">
        <f ca="1">IF($A252&lt;Startops2,0,IF(Assm!$F$29=0,VLOOKUP($A252,Annex10_Gas_Table,'Annex 10-Gas'!$G$270),VLOOKUP($A252,Annex12_Gas_Table,'Annex 12-Gas'!$J$270)))</f>
        <v>18107.231674888844</v>
      </c>
      <c r="H252" s="1487">
        <f ca="1">IF($A252&lt;Startops2,0,IF(Assm!$F$29=0,VLOOKUP($A252,Annex10_Gas_Table,'Annex 10-Gas'!$P$270),VLOOKUP($A252,Annex12_Gas_Table,'Annex 12-Gas'!$V$270)))</f>
        <v>13347.058972989802</v>
      </c>
      <c r="I252" s="1486">
        <f t="shared" ca="1" si="25"/>
        <v>34521.242724161362</v>
      </c>
      <c r="J252" s="1486">
        <f t="shared" ca="1" si="26"/>
        <v>0</v>
      </c>
      <c r="K252" s="1480">
        <f ca="1">IF(Assm!$L$74=1,VLOOKUP($A252,Curves_Table,Escalation!$D$291),Exch)</f>
        <v>1.0649999999999999</v>
      </c>
      <c r="L252" s="335">
        <f t="shared" ca="1" si="27"/>
        <v>0</v>
      </c>
      <c r="M252" s="698" t="str">
        <f t="shared" ca="1" si="22"/>
        <v xml:space="preserve"> </v>
      </c>
    </row>
    <row r="253" spans="1:13">
      <c r="A253" s="672">
        <f t="shared" ca="1" si="23"/>
        <v>43586</v>
      </c>
      <c r="C253" s="691">
        <f ca="1">MAX('Plant Operations'!H253,'Plant Operations'!L253)</f>
        <v>0</v>
      </c>
      <c r="D253" s="820">
        <f t="shared" ca="1" si="24"/>
        <v>0</v>
      </c>
      <c r="E253" s="820">
        <f t="shared" ca="1" si="21"/>
        <v>0.92</v>
      </c>
      <c r="F253" s="1485">
        <f ca="1">IF(Assm!$F$29=0,'Annex 10-Plant'!G253,'Annex 12-Plant'!T253)</f>
        <v>0</v>
      </c>
      <c r="G253" s="1486">
        <f ca="1">IF($A253&lt;Startops2,0,IF(Assm!$F$29=0,VLOOKUP($A253,Annex10_Gas_Table,'Annex 10-Gas'!$G$270),VLOOKUP($A253,Annex12_Gas_Table,'Annex 12-Gas'!$J$270)))</f>
        <v>0</v>
      </c>
      <c r="H253" s="1487">
        <f ca="1">IF($A253&lt;Startops2,0,IF(Assm!$F$29=0,VLOOKUP($A253,Annex10_Gas_Table,'Annex 10-Gas'!$P$270),VLOOKUP($A253,Annex12_Gas_Table,'Annex 12-Gas'!$V$270)))</f>
        <v>0</v>
      </c>
      <c r="I253" s="1486">
        <f t="shared" ca="1" si="25"/>
        <v>0</v>
      </c>
      <c r="J253" s="1486">
        <f t="shared" ca="1" si="26"/>
        <v>0</v>
      </c>
      <c r="K253" s="1480">
        <f ca="1">IF(Assm!$L$74=1,VLOOKUP($A253,Curves_Table,Escalation!$D$291),Exch)</f>
        <v>1.0649999999999999</v>
      </c>
      <c r="L253" s="335">
        <f t="shared" ca="1" si="27"/>
        <v>0</v>
      </c>
      <c r="M253" s="698" t="str">
        <f t="shared" ca="1" si="22"/>
        <v xml:space="preserve"> </v>
      </c>
    </row>
    <row r="254" spans="1:13">
      <c r="A254" s="672">
        <f t="shared" ca="1" si="23"/>
        <v>43617</v>
      </c>
      <c r="C254" s="691">
        <f ca="1">MAX('Plant Operations'!H254,'Plant Operations'!L254)</f>
        <v>0</v>
      </c>
      <c r="D254" s="820">
        <f t="shared" ca="1" si="24"/>
        <v>0</v>
      </c>
      <c r="E254" s="820">
        <f t="shared" ca="1" si="21"/>
        <v>0.92</v>
      </c>
      <c r="F254" s="1485">
        <f ca="1">IF(Assm!$F$29=0,'Annex 10-Plant'!G254,'Annex 12-Plant'!T254)</f>
        <v>0</v>
      </c>
      <c r="G254" s="1486">
        <f ca="1">IF($A254&lt;Startops2,0,IF(Assm!$F$29=0,VLOOKUP($A254,Annex10_Gas_Table,'Annex 10-Gas'!$G$270),VLOOKUP($A254,Annex12_Gas_Table,'Annex 12-Gas'!$J$270)))</f>
        <v>0</v>
      </c>
      <c r="H254" s="1487">
        <f ca="1">IF($A254&lt;Startops2,0,IF(Assm!$F$29=0,VLOOKUP($A254,Annex10_Gas_Table,'Annex 10-Gas'!$P$270),VLOOKUP($A254,Annex12_Gas_Table,'Annex 12-Gas'!$V$270)))</f>
        <v>0</v>
      </c>
      <c r="I254" s="1486">
        <f t="shared" ca="1" si="25"/>
        <v>0</v>
      </c>
      <c r="J254" s="1486">
        <f t="shared" ca="1" si="26"/>
        <v>0</v>
      </c>
      <c r="K254" s="1480">
        <f ca="1">IF(Assm!$L$74=1,VLOOKUP($A254,Curves_Table,Escalation!$D$291),Exch)</f>
        <v>1.0649999999999999</v>
      </c>
      <c r="L254" s="335">
        <f t="shared" ca="1" si="27"/>
        <v>0</v>
      </c>
      <c r="M254" s="698" t="str">
        <f t="shared" ca="1" si="22"/>
        <v xml:space="preserve"> </v>
      </c>
    </row>
    <row r="255" spans="1:13">
      <c r="A255" s="672">
        <f t="shared" ca="1" si="23"/>
        <v>43647</v>
      </c>
      <c r="C255" s="691">
        <f ca="1">MAX('Plant Operations'!H255,'Plant Operations'!L255)</f>
        <v>0</v>
      </c>
      <c r="D255" s="820">
        <f t="shared" ca="1" si="24"/>
        <v>0</v>
      </c>
      <c r="E255" s="820">
        <f t="shared" ca="1" si="21"/>
        <v>0.92</v>
      </c>
      <c r="F255" s="1485">
        <f ca="1">IF(Assm!$F$29=0,'Annex 10-Plant'!G255,'Annex 12-Plant'!T255)</f>
        <v>0</v>
      </c>
      <c r="G255" s="1486">
        <f ca="1">IF($A255&lt;Startops2,0,IF(Assm!$F$29=0,VLOOKUP($A255,Annex10_Gas_Table,'Annex 10-Gas'!$G$270),VLOOKUP($A255,Annex12_Gas_Table,'Annex 12-Gas'!$J$270)))</f>
        <v>0</v>
      </c>
      <c r="H255" s="1487">
        <f ca="1">IF($A255&lt;Startops2,0,IF(Assm!$F$29=0,VLOOKUP($A255,Annex10_Gas_Table,'Annex 10-Gas'!$P$270),VLOOKUP($A255,Annex12_Gas_Table,'Annex 12-Gas'!$V$270)))</f>
        <v>0</v>
      </c>
      <c r="I255" s="1486">
        <f t="shared" ca="1" si="25"/>
        <v>0</v>
      </c>
      <c r="J255" s="1486">
        <f t="shared" ca="1" si="26"/>
        <v>0</v>
      </c>
      <c r="K255" s="1480">
        <f ca="1">IF(Assm!$L$74=1,VLOOKUP($A255,Curves_Table,Escalation!$D$291),Exch)</f>
        <v>1.0649999999999999</v>
      </c>
      <c r="L255" s="335">
        <f t="shared" ca="1" si="27"/>
        <v>0</v>
      </c>
      <c r="M255" s="698" t="str">
        <f t="shared" ca="1" si="22"/>
        <v xml:space="preserve"> </v>
      </c>
    </row>
    <row r="256" spans="1:13">
      <c r="A256" s="672">
        <f t="shared" ca="1" si="23"/>
        <v>43678</v>
      </c>
      <c r="C256" s="691">
        <f ca="1">MAX('Plant Operations'!H256,'Plant Operations'!L256)</f>
        <v>0</v>
      </c>
      <c r="D256" s="820">
        <f t="shared" ca="1" si="24"/>
        <v>0</v>
      </c>
      <c r="E256" s="820">
        <f t="shared" ca="1" si="21"/>
        <v>0.92</v>
      </c>
      <c r="F256" s="1485">
        <f ca="1">IF(Assm!$F$29=0,'Annex 10-Plant'!G256,'Annex 12-Plant'!T256)</f>
        <v>0</v>
      </c>
      <c r="G256" s="1486">
        <f ca="1">IF($A256&lt;Startops2,0,IF(Assm!$F$29=0,VLOOKUP($A256,Annex10_Gas_Table,'Annex 10-Gas'!$G$270),VLOOKUP($A256,Annex12_Gas_Table,'Annex 12-Gas'!$J$270)))</f>
        <v>0</v>
      </c>
      <c r="H256" s="1487">
        <f ca="1">IF($A256&lt;Startops2,0,IF(Assm!$F$29=0,VLOOKUP($A256,Annex10_Gas_Table,'Annex 10-Gas'!$P$270),VLOOKUP($A256,Annex12_Gas_Table,'Annex 12-Gas'!$V$270)))</f>
        <v>0</v>
      </c>
      <c r="I256" s="1486">
        <f t="shared" ca="1" si="25"/>
        <v>0</v>
      </c>
      <c r="J256" s="1486">
        <f t="shared" ca="1" si="26"/>
        <v>0</v>
      </c>
      <c r="K256" s="1480">
        <f ca="1">IF(Assm!$L$74=1,VLOOKUP($A256,Curves_Table,Escalation!$D$291),Exch)</f>
        <v>1.0649999999999999</v>
      </c>
      <c r="L256" s="335">
        <f t="shared" ca="1" si="27"/>
        <v>0</v>
      </c>
      <c r="M256" s="698" t="str">
        <f t="shared" ca="1" si="22"/>
        <v xml:space="preserve"> </v>
      </c>
    </row>
    <row r="257" spans="1:13">
      <c r="A257" s="672">
        <f t="shared" ca="1" si="23"/>
        <v>43709</v>
      </c>
      <c r="C257" s="691">
        <f ca="1">MAX('Plant Operations'!H257,'Plant Operations'!L257)</f>
        <v>0</v>
      </c>
      <c r="D257" s="820">
        <f t="shared" ca="1" si="24"/>
        <v>0</v>
      </c>
      <c r="E257" s="820">
        <f t="shared" ca="1" si="21"/>
        <v>0.92</v>
      </c>
      <c r="F257" s="1485">
        <f ca="1">IF(Assm!$F$29=0,'Annex 10-Plant'!G257,'Annex 12-Plant'!T257)</f>
        <v>0</v>
      </c>
      <c r="G257" s="1486">
        <f ca="1">IF($A257&lt;Startops2,0,IF(Assm!$F$29=0,VLOOKUP($A257,Annex10_Gas_Table,'Annex 10-Gas'!$G$270),VLOOKUP($A257,Annex12_Gas_Table,'Annex 12-Gas'!$J$270)))</f>
        <v>0</v>
      </c>
      <c r="H257" s="1487">
        <f ca="1">IF($A257&lt;Startops2,0,IF(Assm!$F$29=0,VLOOKUP($A257,Annex10_Gas_Table,'Annex 10-Gas'!$P$270),VLOOKUP($A257,Annex12_Gas_Table,'Annex 12-Gas'!$V$270)))</f>
        <v>0</v>
      </c>
      <c r="I257" s="1486">
        <f t="shared" ca="1" si="25"/>
        <v>0</v>
      </c>
      <c r="J257" s="1486">
        <f t="shared" ca="1" si="26"/>
        <v>0</v>
      </c>
      <c r="K257" s="1480">
        <f ca="1">IF(Assm!$L$74=1,VLOOKUP($A257,Curves_Table,Escalation!$D$291),Exch)</f>
        <v>1.0649999999999999</v>
      </c>
      <c r="L257" s="335">
        <f t="shared" ca="1" si="27"/>
        <v>0</v>
      </c>
      <c r="M257" s="698" t="str">
        <f t="shared" ca="1" si="22"/>
        <v xml:space="preserve"> </v>
      </c>
    </row>
    <row r="258" spans="1:13">
      <c r="A258" s="672">
        <f t="shared" ca="1" si="23"/>
        <v>43739</v>
      </c>
      <c r="C258" s="691">
        <f ca="1">MAX('Plant Operations'!H258,'Plant Operations'!L258)</f>
        <v>0</v>
      </c>
      <c r="D258" s="820">
        <f t="shared" ca="1" si="24"/>
        <v>0</v>
      </c>
      <c r="E258" s="820">
        <f t="shared" ca="1" si="21"/>
        <v>0.92</v>
      </c>
      <c r="F258" s="1485">
        <f ca="1">IF(Assm!$F$29=0,'Annex 10-Plant'!G258,'Annex 12-Plant'!T258)</f>
        <v>0</v>
      </c>
      <c r="G258" s="1486">
        <f ca="1">IF($A258&lt;Startops2,0,IF(Assm!$F$29=0,VLOOKUP($A258,Annex10_Gas_Table,'Annex 10-Gas'!$G$270),VLOOKUP($A258,Annex12_Gas_Table,'Annex 12-Gas'!$J$270)))</f>
        <v>0</v>
      </c>
      <c r="H258" s="1487">
        <f ca="1">IF($A258&lt;Startops2,0,IF(Assm!$F$29=0,VLOOKUP($A258,Annex10_Gas_Table,'Annex 10-Gas'!$P$270),VLOOKUP($A258,Annex12_Gas_Table,'Annex 12-Gas'!$V$270)))</f>
        <v>0</v>
      </c>
      <c r="I258" s="1486">
        <f t="shared" ca="1" si="25"/>
        <v>0</v>
      </c>
      <c r="J258" s="1486">
        <f t="shared" ca="1" si="26"/>
        <v>0</v>
      </c>
      <c r="K258" s="1480">
        <f ca="1">IF(Assm!$L$74=1,VLOOKUP($A258,Curves_Table,Escalation!$D$291),Exch)</f>
        <v>1.0649999999999999</v>
      </c>
      <c r="L258" s="335">
        <f t="shared" ca="1" si="27"/>
        <v>0</v>
      </c>
      <c r="M258" s="698" t="str">
        <f t="shared" ca="1" si="22"/>
        <v xml:space="preserve"> </v>
      </c>
    </row>
    <row r="259" spans="1:13">
      <c r="A259" s="672">
        <f t="shared" ca="1" si="23"/>
        <v>43770</v>
      </c>
      <c r="C259" s="691">
        <f ca="1">MAX('Plant Operations'!H259,'Plant Operations'!L259)</f>
        <v>0</v>
      </c>
      <c r="D259" s="820">
        <f t="shared" ca="1" si="24"/>
        <v>0</v>
      </c>
      <c r="E259" s="820">
        <f t="shared" ca="1" si="21"/>
        <v>0.92</v>
      </c>
      <c r="F259" s="1485">
        <f ca="1">IF(Assm!$F$29=0,'Annex 10-Plant'!G259,'Annex 12-Plant'!T259)</f>
        <v>0</v>
      </c>
      <c r="G259" s="1486">
        <f ca="1">IF($A259&lt;Startops2,0,IF(Assm!$F$29=0,VLOOKUP($A259,Annex10_Gas_Table,'Annex 10-Gas'!$G$270),VLOOKUP($A259,Annex12_Gas_Table,'Annex 12-Gas'!$J$270)))</f>
        <v>0</v>
      </c>
      <c r="H259" s="1487">
        <f ca="1">IF($A259&lt;Startops2,0,IF(Assm!$F$29=0,VLOOKUP($A259,Annex10_Gas_Table,'Annex 10-Gas'!$P$270),VLOOKUP($A259,Annex12_Gas_Table,'Annex 12-Gas'!$V$270)))</f>
        <v>0</v>
      </c>
      <c r="I259" s="1486">
        <f t="shared" ca="1" si="25"/>
        <v>0</v>
      </c>
      <c r="J259" s="1486">
        <f t="shared" ca="1" si="26"/>
        <v>0</v>
      </c>
      <c r="K259" s="1480">
        <f ca="1">IF(Assm!$L$74=1,VLOOKUP($A259,Curves_Table,Escalation!$D$291),Exch)</f>
        <v>1.0649999999999999</v>
      </c>
      <c r="L259" s="335">
        <f t="shared" ca="1" si="27"/>
        <v>0</v>
      </c>
      <c r="M259" s="698" t="str">
        <f t="shared" ca="1" si="22"/>
        <v xml:space="preserve"> </v>
      </c>
    </row>
    <row r="260" spans="1:13">
      <c r="A260" s="672">
        <f t="shared" ca="1" si="23"/>
        <v>43800</v>
      </c>
      <c r="C260" s="691">
        <f ca="1">MAX('Plant Operations'!H260,'Plant Operations'!L260)</f>
        <v>0</v>
      </c>
      <c r="D260" s="820">
        <f t="shared" ca="1" si="24"/>
        <v>0</v>
      </c>
      <c r="E260" s="820">
        <f t="shared" ca="1" si="21"/>
        <v>0.92</v>
      </c>
      <c r="F260" s="1485">
        <f ca="1">IF(Assm!$F$29=0,'Annex 10-Plant'!G260,'Annex 12-Plant'!T260)</f>
        <v>0</v>
      </c>
      <c r="G260" s="1486">
        <f ca="1">IF($A260&lt;Startops2,0,IF(Assm!$F$29=0,VLOOKUP($A260,Annex10_Gas_Table,'Annex 10-Gas'!$G$270),VLOOKUP($A260,Annex12_Gas_Table,'Annex 12-Gas'!$J$270)))</f>
        <v>0</v>
      </c>
      <c r="H260" s="1487">
        <f ca="1">IF($A260&lt;Startops2,0,IF(Assm!$F$29=0,VLOOKUP($A260,Annex10_Gas_Table,'Annex 10-Gas'!$P$270),VLOOKUP($A260,Annex12_Gas_Table,'Annex 12-Gas'!$V$270)))</f>
        <v>0</v>
      </c>
      <c r="I260" s="1486">
        <f t="shared" ca="1" si="25"/>
        <v>0</v>
      </c>
      <c r="J260" s="1486">
        <f t="shared" ca="1" si="26"/>
        <v>0</v>
      </c>
      <c r="K260" s="1480">
        <f ca="1">IF(Assm!$L$74=1,VLOOKUP($A260,Curves_Table,Escalation!$D$291),Exch)</f>
        <v>1.0649999999999999</v>
      </c>
      <c r="L260" s="335">
        <f t="shared" ca="1" si="27"/>
        <v>0</v>
      </c>
      <c r="M260" s="698">
        <f t="shared" ca="1" si="22"/>
        <v>0</v>
      </c>
    </row>
    <row r="261" spans="1:13">
      <c r="A261" s="672">
        <f t="shared" ca="1" si="23"/>
        <v>43831</v>
      </c>
      <c r="C261" s="691">
        <f ca="1">MAX('Plant Operations'!H261,'Plant Operations'!L261)</f>
        <v>0</v>
      </c>
      <c r="D261" s="820">
        <f t="shared" ca="1" si="24"/>
        <v>0</v>
      </c>
      <c r="E261" s="820">
        <f t="shared" ca="1" si="21"/>
        <v>0.92</v>
      </c>
      <c r="F261" s="1485">
        <f ca="1">IF(Assm!$F$29=0,'Annex 10-Plant'!G261,'Annex 12-Plant'!T261)</f>
        <v>0</v>
      </c>
      <c r="G261" s="1486">
        <f ca="1">IF($A261&lt;Startops2,0,IF(Assm!$F$29=0,VLOOKUP($A261,Annex10_Gas_Table,'Annex 10-Gas'!$G$270),VLOOKUP($A261,Annex12_Gas_Table,'Annex 12-Gas'!$J$270)))</f>
        <v>0</v>
      </c>
      <c r="H261" s="1487">
        <f ca="1">IF($A261&lt;Startops2,0,IF(Assm!$F$29=0,VLOOKUP($A261,Annex10_Gas_Table,'Annex 10-Gas'!$P$270),VLOOKUP($A261,Annex12_Gas_Table,'Annex 12-Gas'!$V$270)))</f>
        <v>0</v>
      </c>
      <c r="I261" s="1486">
        <f t="shared" ca="1" si="25"/>
        <v>0</v>
      </c>
      <c r="J261" s="1486">
        <f t="shared" ca="1" si="26"/>
        <v>0</v>
      </c>
      <c r="K261" s="1480">
        <f ca="1">IF(Assm!$L$74=1,VLOOKUP($A261,Curves_Table,Escalation!$D$291),Exch)</f>
        <v>1.0649999999999999</v>
      </c>
      <c r="L261" s="335">
        <f t="shared" ca="1" si="27"/>
        <v>0</v>
      </c>
      <c r="M261" s="698" t="str">
        <f t="shared" ca="1" si="22"/>
        <v xml:space="preserve"> </v>
      </c>
    </row>
    <row r="262" spans="1:13">
      <c r="A262" s="672">
        <f t="shared" ca="1" si="23"/>
        <v>43862</v>
      </c>
      <c r="C262" s="691">
        <f ca="1">MAX('Plant Operations'!H262,'Plant Operations'!L262)</f>
        <v>0</v>
      </c>
      <c r="D262" s="820">
        <f t="shared" ca="1" si="24"/>
        <v>0</v>
      </c>
      <c r="E262" s="820">
        <f t="shared" ca="1" si="21"/>
        <v>0.92</v>
      </c>
      <c r="F262" s="1485">
        <f ca="1">IF(Assm!$F$29=0,'Annex 10-Plant'!G262,'Annex 12-Plant'!T262)</f>
        <v>0</v>
      </c>
      <c r="G262" s="1486">
        <f ca="1">IF($A262&lt;Startops2,0,IF(Assm!$F$29=0,VLOOKUP($A262,Annex10_Gas_Table,'Annex 10-Gas'!$G$270),VLOOKUP($A262,Annex12_Gas_Table,'Annex 12-Gas'!$J$270)))</f>
        <v>0</v>
      </c>
      <c r="H262" s="1487">
        <f ca="1">IF($A262&lt;Startops2,0,IF(Assm!$F$29=0,VLOOKUP($A262,Annex10_Gas_Table,'Annex 10-Gas'!$P$270),VLOOKUP($A262,Annex12_Gas_Table,'Annex 12-Gas'!$V$270)))</f>
        <v>0</v>
      </c>
      <c r="I262" s="1486">
        <f t="shared" ca="1" si="25"/>
        <v>0</v>
      </c>
      <c r="J262" s="1486">
        <f t="shared" ca="1" si="26"/>
        <v>0</v>
      </c>
      <c r="K262" s="1480">
        <f ca="1">IF(Assm!$L$74=1,VLOOKUP($A262,Curves_Table,Escalation!$D$291),Exch)</f>
        <v>1.0649999999999999</v>
      </c>
      <c r="L262" s="335">
        <f t="shared" ca="1" si="27"/>
        <v>0</v>
      </c>
      <c r="M262" s="698" t="str">
        <f t="shared" ca="1" si="22"/>
        <v xml:space="preserve"> </v>
      </c>
    </row>
    <row r="263" spans="1:13">
      <c r="A263" s="672">
        <f t="shared" ca="1" si="23"/>
        <v>43891</v>
      </c>
      <c r="C263" s="691">
        <f ca="1">MAX('Plant Operations'!H263,'Plant Operations'!L263)</f>
        <v>0</v>
      </c>
      <c r="D263" s="820">
        <f t="shared" ca="1" si="24"/>
        <v>0</v>
      </c>
      <c r="E263" s="820">
        <f t="shared" ca="1" si="21"/>
        <v>0.92</v>
      </c>
      <c r="F263" s="1485">
        <f ca="1">IF(Assm!$F$29=0,'Annex 10-Plant'!G263,'Annex 12-Plant'!T263)</f>
        <v>0</v>
      </c>
      <c r="G263" s="1486">
        <f ca="1">IF($A263&lt;Startops2,0,IF(Assm!$F$29=0,VLOOKUP($A263,Annex10_Gas_Table,'Annex 10-Gas'!$G$270),VLOOKUP($A263,Annex12_Gas_Table,'Annex 12-Gas'!$J$270)))</f>
        <v>0</v>
      </c>
      <c r="H263" s="1487">
        <f ca="1">IF($A263&lt;Startops2,0,IF(Assm!$F$29=0,VLOOKUP($A263,Annex10_Gas_Table,'Annex 10-Gas'!$P$270),VLOOKUP($A263,Annex12_Gas_Table,'Annex 12-Gas'!$V$270)))</f>
        <v>0</v>
      </c>
      <c r="I263" s="1486">
        <f t="shared" ca="1" si="25"/>
        <v>0</v>
      </c>
      <c r="J263" s="1486">
        <f t="shared" ca="1" si="26"/>
        <v>0</v>
      </c>
      <c r="K263" s="1480">
        <f ca="1">IF(Assm!$L$74=1,VLOOKUP($A263,Curves_Table,Escalation!$D$291),Exch)</f>
        <v>1.0649999999999999</v>
      </c>
      <c r="L263" s="335">
        <f t="shared" ca="1" si="27"/>
        <v>0</v>
      </c>
      <c r="M263" s="698" t="str">
        <f t="shared" ca="1" si="22"/>
        <v xml:space="preserve"> </v>
      </c>
    </row>
    <row r="264" spans="1:13">
      <c r="A264" s="672">
        <f t="shared" ca="1" si="23"/>
        <v>43922</v>
      </c>
      <c r="C264" s="691">
        <f ca="1">MAX('Plant Operations'!H264,'Plant Operations'!L264)</f>
        <v>0</v>
      </c>
      <c r="D264" s="820">
        <f t="shared" ca="1" si="24"/>
        <v>0</v>
      </c>
      <c r="E264" s="820">
        <f t="shared" ca="1" si="21"/>
        <v>0.92</v>
      </c>
      <c r="F264" s="1485">
        <f ca="1">IF(Assm!$F$29=0,'Annex 10-Plant'!G264,'Annex 12-Plant'!T264)</f>
        <v>0</v>
      </c>
      <c r="G264" s="1486">
        <f ca="1">IF($A264&lt;Startops2,0,IF(Assm!$F$29=0,VLOOKUP($A264,Annex10_Gas_Table,'Annex 10-Gas'!$G$270),VLOOKUP($A264,Annex12_Gas_Table,'Annex 12-Gas'!$J$270)))</f>
        <v>0</v>
      </c>
      <c r="H264" s="1487">
        <f ca="1">IF($A264&lt;Startops2,0,IF(Assm!$F$29=0,VLOOKUP($A264,Annex10_Gas_Table,'Annex 10-Gas'!$P$270),VLOOKUP($A264,Annex12_Gas_Table,'Annex 12-Gas'!$V$270)))</f>
        <v>0</v>
      </c>
      <c r="I264" s="1486">
        <f t="shared" ca="1" si="25"/>
        <v>0</v>
      </c>
      <c r="J264" s="1486">
        <f t="shared" ca="1" si="26"/>
        <v>0</v>
      </c>
      <c r="K264" s="1480">
        <f ca="1">IF(Assm!$L$74=1,VLOOKUP($A264,Curves_Table,Escalation!$D$291),Exch)</f>
        <v>1.0649999999999999</v>
      </c>
      <c r="L264" s="335">
        <f t="shared" ca="1" si="27"/>
        <v>0</v>
      </c>
      <c r="M264" s="698" t="str">
        <f t="shared" ca="1" si="22"/>
        <v xml:space="preserve"> </v>
      </c>
    </row>
    <row r="265" spans="1:13">
      <c r="A265" s="672">
        <f t="shared" ca="1" si="23"/>
        <v>43952</v>
      </c>
      <c r="C265" s="691">
        <f ca="1">MAX('Plant Operations'!H265,'Plant Operations'!L265)</f>
        <v>0</v>
      </c>
      <c r="D265" s="820">
        <f t="shared" ca="1" si="24"/>
        <v>0</v>
      </c>
      <c r="E265" s="820">
        <f t="shared" ca="1" si="21"/>
        <v>0.92</v>
      </c>
      <c r="F265" s="1485">
        <f ca="1">IF(Assm!$F$29=0,'Annex 10-Plant'!G265,'Annex 12-Plant'!T265)</f>
        <v>0</v>
      </c>
      <c r="G265" s="1486">
        <f ca="1">IF($A265&lt;Startops2,0,IF(Assm!$F$29=0,VLOOKUP($A265,Annex10_Gas_Table,'Annex 10-Gas'!$G$270),VLOOKUP($A265,Annex12_Gas_Table,'Annex 12-Gas'!$J$270)))</f>
        <v>0</v>
      </c>
      <c r="H265" s="1487">
        <f ca="1">IF($A265&lt;Startops2,0,IF(Assm!$F$29=0,VLOOKUP($A265,Annex10_Gas_Table,'Annex 10-Gas'!$P$270),VLOOKUP($A265,Annex12_Gas_Table,'Annex 12-Gas'!$V$270)))</f>
        <v>0</v>
      </c>
      <c r="I265" s="1486">
        <f t="shared" ca="1" si="25"/>
        <v>0</v>
      </c>
      <c r="J265" s="1486">
        <f t="shared" ca="1" si="26"/>
        <v>0</v>
      </c>
      <c r="K265" s="1480">
        <f ca="1">IF(Assm!$L$74=1,VLOOKUP($A265,Curves_Table,Escalation!$D$291),Exch)</f>
        <v>1.0649999999999999</v>
      </c>
      <c r="L265" s="335">
        <f t="shared" ca="1" si="27"/>
        <v>0</v>
      </c>
      <c r="M265" s="698" t="str">
        <f t="shared" ca="1" si="22"/>
        <v xml:space="preserve"> </v>
      </c>
    </row>
    <row r="266" spans="1:13">
      <c r="A266" s="672">
        <f t="shared" ca="1" si="23"/>
        <v>43983</v>
      </c>
      <c r="C266" s="691">
        <f ca="1">MAX('Plant Operations'!H266,'Plant Operations'!L266)</f>
        <v>0</v>
      </c>
      <c r="D266" s="820">
        <f t="shared" ca="1" si="24"/>
        <v>0</v>
      </c>
      <c r="E266" s="820">
        <f t="shared" ca="1" si="21"/>
        <v>0.92</v>
      </c>
      <c r="F266" s="1485">
        <f ca="1">IF(Assm!$F$29=0,'Annex 10-Plant'!G266,'Annex 12-Plant'!T266)</f>
        <v>0</v>
      </c>
      <c r="G266" s="1486">
        <f ca="1">IF($A266&lt;Startops2,0,IF(Assm!$F$29=0,VLOOKUP($A266,Annex10_Gas_Table,'Annex 10-Gas'!$G$270),VLOOKUP($A266,Annex12_Gas_Table,'Annex 12-Gas'!$J$270)))</f>
        <v>0</v>
      </c>
      <c r="H266" s="1487">
        <f ca="1">IF($A266&lt;Startops2,0,IF(Assm!$F$29=0,VLOOKUP($A266,Annex10_Gas_Table,'Annex 10-Gas'!$P$270),VLOOKUP($A266,Annex12_Gas_Table,'Annex 12-Gas'!$V$270)))</f>
        <v>0</v>
      </c>
      <c r="I266" s="1486">
        <f t="shared" ca="1" si="25"/>
        <v>0</v>
      </c>
      <c r="J266" s="1486">
        <f t="shared" ca="1" si="26"/>
        <v>0</v>
      </c>
      <c r="K266" s="1480">
        <f ca="1">IF(Assm!$L$74=1,VLOOKUP($A266,Curves_Table,Escalation!$D$291),Exch)</f>
        <v>1.0649999999999999</v>
      </c>
      <c r="L266" s="335">
        <f t="shared" ca="1" si="27"/>
        <v>0</v>
      </c>
      <c r="M266" s="698" t="str">
        <f t="shared" ca="1" si="22"/>
        <v xml:space="preserve"> </v>
      </c>
    </row>
    <row r="267" spans="1:13" ht="13.5" thickBot="1">
      <c r="A267" s="955">
        <f t="shared" ca="1" si="23"/>
        <v>44013</v>
      </c>
      <c r="C267" s="398"/>
      <c r="D267" s="1"/>
      <c r="E267" s="1"/>
      <c r="F267" s="1207"/>
      <c r="G267" s="268"/>
      <c r="H267" s="1208"/>
      <c r="I267" s="1"/>
      <c r="J267" s="1"/>
      <c r="K267" s="1"/>
      <c r="L267" s="1"/>
      <c r="M267" s="1111"/>
    </row>
    <row r="268" spans="1:13" ht="13.5" thickBot="1">
      <c r="A268" s="673"/>
      <c r="C268" s="684"/>
      <c r="D268" s="685"/>
      <c r="E268" s="685"/>
      <c r="F268" s="685"/>
      <c r="G268" s="685"/>
      <c r="H268" s="685"/>
      <c r="I268" s="685"/>
      <c r="J268" s="685"/>
      <c r="K268" s="685"/>
      <c r="L268" s="685"/>
      <c r="M268" s="1112">
        <f ca="1">SUM(M12:M266)</f>
        <v>-6.6582497936314239E-13</v>
      </c>
    </row>
    <row r="270" spans="1:13">
      <c r="A270" s="357">
        <v>1</v>
      </c>
      <c r="B270" s="357">
        <f t="shared" ref="B270:M270" si="28">A270+1</f>
        <v>2</v>
      </c>
      <c r="C270" s="357">
        <f t="shared" si="28"/>
        <v>3</v>
      </c>
      <c r="D270" s="357">
        <f t="shared" si="28"/>
        <v>4</v>
      </c>
      <c r="E270" s="357">
        <f t="shared" si="28"/>
        <v>5</v>
      </c>
      <c r="F270" s="357">
        <f t="shared" si="28"/>
        <v>6</v>
      </c>
      <c r="G270" s="357">
        <f t="shared" si="28"/>
        <v>7</v>
      </c>
      <c r="H270" s="357">
        <f t="shared" si="28"/>
        <v>8</v>
      </c>
      <c r="I270" s="357">
        <f t="shared" si="28"/>
        <v>9</v>
      </c>
      <c r="J270" s="357">
        <f t="shared" si="28"/>
        <v>10</v>
      </c>
      <c r="K270" s="357">
        <f t="shared" si="28"/>
        <v>11</v>
      </c>
      <c r="L270" s="357">
        <f t="shared" si="28"/>
        <v>12</v>
      </c>
      <c r="M270" s="357">
        <f t="shared" si="28"/>
        <v>13</v>
      </c>
    </row>
  </sheetData>
  <printOptions horizontalCentered="1"/>
  <pageMargins left="0.25" right="0.25" top="0.5" bottom="0.5" header="0.25" footer="0.25"/>
  <pageSetup scale="48" fitToHeight="4" orientation="landscape" horizontalDpi="4294967294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autoPageBreaks="0" fitToPage="1"/>
  </sheetPr>
  <dimension ref="A1:AI270"/>
  <sheetViews>
    <sheetView showGridLines="0" topLeftCell="A8" zoomScale="90" workbookViewId="0">
      <pane ySplit="915" topLeftCell="A25" activePane="bottomLeft"/>
      <selection activeCell="L8" sqref="L8"/>
      <selection pane="bottomLeft" activeCell="N45" sqref="N45"/>
    </sheetView>
  </sheetViews>
  <sheetFormatPr defaultRowHeight="12.75"/>
  <cols>
    <col min="2" max="2" width="2.7109375" customWidth="1"/>
    <col min="3" max="3" width="13.7109375" customWidth="1"/>
    <col min="4" max="4" width="2.7109375" customWidth="1"/>
    <col min="5" max="5" width="10.7109375" customWidth="1"/>
    <col min="6" max="6" width="13.7109375" customWidth="1"/>
    <col min="7" max="7" width="10.7109375" customWidth="1"/>
    <col min="8" max="8" width="13.7109375" customWidth="1"/>
    <col min="9" max="10" width="10.7109375" customWidth="1"/>
    <col min="11" max="11" width="13.7109375" customWidth="1"/>
    <col min="12" max="12" width="2.7109375" customWidth="1"/>
    <col min="13" max="13" width="10.7109375" customWidth="1"/>
    <col min="14" max="14" width="13.7109375" customWidth="1"/>
    <col min="15" max="15" width="10.7109375" customWidth="1"/>
    <col min="16" max="16" width="13.7109375" customWidth="1"/>
    <col min="17" max="17" width="2.7109375" customWidth="1"/>
    <col min="18" max="18" width="13.7109375" customWidth="1"/>
    <col min="19" max="22" width="10.7109375" customWidth="1"/>
    <col min="23" max="23" width="12.7109375" customWidth="1"/>
    <col min="24" max="24" width="2.7109375" customWidth="1"/>
    <col min="25" max="25" width="10.7109375" customWidth="1"/>
    <col min="26" max="26" width="10.7109375" style="1" customWidth="1"/>
    <col min="27" max="31" width="10.7109375" customWidth="1"/>
    <col min="32" max="32" width="12.7109375" customWidth="1"/>
  </cols>
  <sheetData>
    <row r="1" spans="1:35" s="1" customFormat="1" ht="15.75">
      <c r="A1" s="1137" t="str">
        <f>CONCATENATE(TOC!B2," ",TOC!B6)</f>
        <v>EMPRESSA PRODUTORA DE ENERGÍA LTDA (EPE) *** DRAFT COPY ***</v>
      </c>
      <c r="B1" s="117"/>
      <c r="D1" s="117"/>
      <c r="L1" s="117"/>
      <c r="Q1" s="117"/>
      <c r="X1" s="117"/>
    </row>
    <row r="2" spans="1:35" s="1" customFormat="1" ht="15.75">
      <c r="A2" s="1137" t="str">
        <f>TOC!B3</f>
        <v>480 MW POWER PLANT (CUIABA, BRAZIL)</v>
      </c>
      <c r="B2" s="117"/>
      <c r="D2" s="117"/>
      <c r="L2" s="117"/>
      <c r="Q2" s="117"/>
      <c r="X2" s="117"/>
    </row>
    <row r="3" spans="1:35" s="1" customFormat="1" ht="15">
      <c r="A3" s="118" t="str">
        <f>TOC!B4</f>
        <v>ENRON INTERNATIONAL</v>
      </c>
      <c r="B3" s="118"/>
      <c r="D3" s="118"/>
      <c r="L3" s="118"/>
      <c r="Q3" s="118"/>
      <c r="X3" s="118"/>
    </row>
    <row r="4" spans="1:35" s="1" customFormat="1" ht="15">
      <c r="A4" s="932" t="s">
        <v>1790</v>
      </c>
      <c r="B4" s="932"/>
      <c r="C4" s="933"/>
      <c r="D4" s="932"/>
      <c r="E4" s="933"/>
      <c r="F4" s="933"/>
      <c r="L4" s="214"/>
      <c r="Q4" s="214"/>
      <c r="X4" s="214"/>
    </row>
    <row r="5" spans="1:35" s="288" customFormat="1">
      <c r="F5" s="1"/>
      <c r="G5" s="1"/>
      <c r="H5" s="1"/>
      <c r="K5" s="1"/>
      <c r="M5" s="1"/>
      <c r="N5" s="1"/>
      <c r="O5" s="1"/>
      <c r="P5" s="1"/>
      <c r="R5" s="1"/>
      <c r="S5" s="1"/>
      <c r="T5" s="1"/>
      <c r="U5" s="1"/>
      <c r="V5" s="1"/>
      <c r="W5" s="1"/>
      <c r="AA5" s="1"/>
      <c r="AB5" s="1"/>
      <c r="AC5" s="1"/>
      <c r="AD5" s="1"/>
      <c r="AE5" s="1"/>
      <c r="AF5" s="1"/>
      <c r="AG5" s="1"/>
      <c r="AI5" s="1"/>
    </row>
    <row r="6" spans="1:35">
      <c r="C6" s="666" t="s">
        <v>1389</v>
      </c>
      <c r="D6" s="694"/>
      <c r="E6" s="694"/>
      <c r="F6" s="694"/>
      <c r="G6" s="694"/>
      <c r="H6" s="694"/>
      <c r="I6" s="694"/>
      <c r="J6" s="694"/>
      <c r="K6" s="694"/>
      <c r="L6" s="694"/>
      <c r="M6" s="694"/>
      <c r="N6" s="694"/>
      <c r="O6" s="694"/>
      <c r="P6" s="694"/>
      <c r="Q6" s="694"/>
      <c r="R6" s="694"/>
      <c r="S6" s="694"/>
      <c r="T6" s="694"/>
      <c r="U6" s="694"/>
      <c r="V6" s="694"/>
      <c r="W6" s="695"/>
      <c r="Y6" s="666" t="s">
        <v>1390</v>
      </c>
      <c r="Z6" s="694"/>
      <c r="AA6" s="694"/>
      <c r="AB6" s="667"/>
      <c r="AC6" s="694"/>
      <c r="AD6" s="694"/>
      <c r="AE6" s="667"/>
      <c r="AF6" s="695"/>
    </row>
    <row r="7" spans="1:35" ht="13.5" thickBot="1"/>
    <row r="8" spans="1:35">
      <c r="A8" s="670"/>
      <c r="C8" s="670"/>
      <c r="E8" s="416"/>
      <c r="F8" s="675" t="s">
        <v>1210</v>
      </c>
      <c r="G8" s="675"/>
      <c r="H8" s="675" t="s">
        <v>1435</v>
      </c>
      <c r="I8" s="675" t="s">
        <v>1215</v>
      </c>
      <c r="J8" s="675" t="s">
        <v>1216</v>
      </c>
      <c r="K8" s="677" t="s">
        <v>1211</v>
      </c>
      <c r="M8" s="416"/>
      <c r="N8" s="675" t="s">
        <v>1210</v>
      </c>
      <c r="O8" s="675"/>
      <c r="P8" s="677" t="s">
        <v>1435</v>
      </c>
      <c r="R8" s="674" t="s">
        <v>1211</v>
      </c>
      <c r="S8" s="675" t="s">
        <v>1488</v>
      </c>
      <c r="T8" s="675" t="s">
        <v>1489</v>
      </c>
      <c r="U8" s="675" t="s">
        <v>1216</v>
      </c>
      <c r="V8" s="675" t="s">
        <v>1489</v>
      </c>
      <c r="W8" s="677" t="s">
        <v>1484</v>
      </c>
      <c r="Y8" s="416"/>
      <c r="Z8" s="675"/>
      <c r="AA8" s="675" t="s">
        <v>1435</v>
      </c>
      <c r="AB8" s="675" t="s">
        <v>1424</v>
      </c>
      <c r="AC8" s="675" t="s">
        <v>1489</v>
      </c>
      <c r="AD8" s="675" t="s">
        <v>1216</v>
      </c>
      <c r="AE8" s="675" t="s">
        <v>1489</v>
      </c>
      <c r="AF8" s="677" t="s">
        <v>1484</v>
      </c>
    </row>
    <row r="9" spans="1:35">
      <c r="A9" s="426"/>
      <c r="C9" s="690" t="s">
        <v>1281</v>
      </c>
      <c r="E9" s="678" t="s">
        <v>1433</v>
      </c>
      <c r="F9" s="113" t="s">
        <v>1209</v>
      </c>
      <c r="G9" s="62" t="str">
        <f ca="1">Escalation!$M$14</f>
        <v>US</v>
      </c>
      <c r="H9" s="113" t="s">
        <v>1209</v>
      </c>
      <c r="I9" s="55" t="s">
        <v>689</v>
      </c>
      <c r="J9" s="55" t="s">
        <v>1504</v>
      </c>
      <c r="K9" s="399" t="s">
        <v>1209</v>
      </c>
      <c r="M9" s="678" t="s">
        <v>1439</v>
      </c>
      <c r="N9" s="113" t="s">
        <v>1212</v>
      </c>
      <c r="O9" s="62" t="str">
        <f ca="1">Escalation!$Q$14</f>
        <v>Brazil</v>
      </c>
      <c r="P9" s="399" t="s">
        <v>1212</v>
      </c>
      <c r="R9" s="678" t="s">
        <v>981</v>
      </c>
      <c r="S9" s="113" t="s">
        <v>333</v>
      </c>
      <c r="T9" s="113" t="s">
        <v>800</v>
      </c>
      <c r="U9" s="55" t="s">
        <v>689</v>
      </c>
      <c r="V9" s="113" t="s">
        <v>800</v>
      </c>
      <c r="W9" s="399" t="s">
        <v>800</v>
      </c>
      <c r="Y9" s="139" t="s">
        <v>1327</v>
      </c>
      <c r="Z9" s="62" t="str">
        <f ca="1">Escalation!$Q$14</f>
        <v>Brazil</v>
      </c>
      <c r="AA9" s="113" t="s">
        <v>1327</v>
      </c>
      <c r="AB9" s="113" t="s">
        <v>333</v>
      </c>
      <c r="AC9" s="113" t="s">
        <v>800</v>
      </c>
      <c r="AD9" s="55" t="s">
        <v>689</v>
      </c>
      <c r="AE9" s="113" t="s">
        <v>800</v>
      </c>
      <c r="AF9" s="399" t="s">
        <v>800</v>
      </c>
    </row>
    <row r="10" spans="1:35">
      <c r="A10" s="671" t="s">
        <v>1436</v>
      </c>
      <c r="C10" s="671" t="s">
        <v>1283</v>
      </c>
      <c r="E10" s="679" t="s">
        <v>1434</v>
      </c>
      <c r="F10" s="93" t="s">
        <v>1283</v>
      </c>
      <c r="G10" s="93" t="str">
        <f ca="1">Escalation!$N$14</f>
        <v>CPI</v>
      </c>
      <c r="H10" s="93" t="s">
        <v>1283</v>
      </c>
      <c r="I10" s="93" t="s">
        <v>1284</v>
      </c>
      <c r="J10" s="93" t="s">
        <v>1284</v>
      </c>
      <c r="K10" s="680" t="s">
        <v>1283</v>
      </c>
      <c r="M10" s="679" t="s">
        <v>1434</v>
      </c>
      <c r="N10" s="93" t="s">
        <v>1283</v>
      </c>
      <c r="O10" s="93" t="str">
        <f ca="1">Escalation!$R$14</f>
        <v>IGP-DI</v>
      </c>
      <c r="P10" s="680" t="s">
        <v>1283</v>
      </c>
      <c r="R10" s="679" t="s">
        <v>1283</v>
      </c>
      <c r="S10" s="93" t="s">
        <v>332</v>
      </c>
      <c r="T10" s="93" t="s">
        <v>1213</v>
      </c>
      <c r="U10" s="93" t="s">
        <v>1284</v>
      </c>
      <c r="V10" s="93" t="s">
        <v>1490</v>
      </c>
      <c r="W10" s="680" t="s">
        <v>1490</v>
      </c>
      <c r="Y10" s="679" t="s">
        <v>1300</v>
      </c>
      <c r="Z10" s="93" t="str">
        <f ca="1">Escalation!$R$14</f>
        <v>IGP-DI</v>
      </c>
      <c r="AA10" s="93" t="s">
        <v>1300</v>
      </c>
      <c r="AB10" s="93" t="s">
        <v>1491</v>
      </c>
      <c r="AC10" s="93" t="s">
        <v>1213</v>
      </c>
      <c r="AD10" s="93" t="s">
        <v>1284</v>
      </c>
      <c r="AE10" s="93" t="s">
        <v>1490</v>
      </c>
      <c r="AF10" s="680" t="s">
        <v>1490</v>
      </c>
    </row>
    <row r="11" spans="1:35">
      <c r="A11" s="426"/>
      <c r="C11" s="426"/>
      <c r="E11" s="398"/>
      <c r="F11" s="1"/>
      <c r="G11" s="1"/>
      <c r="H11" s="1"/>
      <c r="I11" s="1"/>
      <c r="J11" s="1"/>
      <c r="K11" s="401"/>
      <c r="M11" s="398"/>
      <c r="N11" s="1"/>
      <c r="O11" s="1"/>
      <c r="P11" s="401"/>
      <c r="R11" s="398"/>
      <c r="S11" s="1"/>
      <c r="T11" s="1"/>
      <c r="U11" s="1"/>
      <c r="V11" s="1"/>
      <c r="W11" s="401"/>
      <c r="Y11" s="398"/>
      <c r="AA11" s="1"/>
      <c r="AB11" s="1"/>
      <c r="AC11" s="1"/>
      <c r="AD11" s="1"/>
      <c r="AE11" s="1"/>
      <c r="AF11" s="401"/>
    </row>
    <row r="12" spans="1:35">
      <c r="A12" s="672">
        <f ca="1">'Plant Operations'!A12</f>
        <v>36251</v>
      </c>
      <c r="C12" s="1503">
        <f ca="1">IF($A12&gt;Endyr,0,VLOOKUP($A12,Tariff_Table,Tariff!$D$33))</f>
        <v>9586.8761904761886</v>
      </c>
      <c r="E12" s="691">
        <f ca="1">VLOOKUP($A12,Tariff_Table,Tariff!$E$33)</f>
        <v>0.52500038334256949</v>
      </c>
      <c r="F12" s="1481">
        <f ca="1">$C12*E12</f>
        <v>5033.1136750577516</v>
      </c>
      <c r="G12" s="1480">
        <f ca="1">VLOOKUP($A12,Curves_Table,Escalation!$N$291)</f>
        <v>1.0143570536828965</v>
      </c>
      <c r="H12" s="1481">
        <f ca="1">F12*G12</f>
        <v>5105.3743582826764</v>
      </c>
      <c r="I12" s="1504">
        <f ca="1">IF(Assm!$L$74=0,VLOOKUP($A12,Curves_Table,Escalation!$D$291),VLOOKUP($A12,Curves_Table,Escalation!$E$291))</f>
        <v>1.665</v>
      </c>
      <c r="J12" s="1504">
        <f ca="1">IF($A12&lt;EE_Date,VLOOKUP($A12,Curves_Table,Escalation!$D$291),Exch)</f>
        <v>1.665</v>
      </c>
      <c r="K12" s="1505">
        <f ca="1">H12*I12/J12</f>
        <v>5105.3743582826764</v>
      </c>
      <c r="M12" s="691">
        <f ca="1">VLOOKUP($A12,Tariff_Table,Tariff!$F$33)</f>
        <v>0.47499961665743051</v>
      </c>
      <c r="N12" s="1481">
        <f ca="1">$C12*M12</f>
        <v>4553.762515418437</v>
      </c>
      <c r="O12" s="1480">
        <f ca="1">VLOOKUP($A12,Curves_Table,Escalation!$R$291)</f>
        <v>1.0458060039912167</v>
      </c>
      <c r="P12" s="1505">
        <f ca="1">N12*O12</f>
        <v>4762.3521793747468</v>
      </c>
      <c r="R12" s="1506">
        <f ca="1">SUM(K12,P12)</f>
        <v>9867.7265376574233</v>
      </c>
      <c r="S12" s="330">
        <f ca="1">'Plant Operations'!C12</f>
        <v>150</v>
      </c>
      <c r="T12" s="1481">
        <f ca="1">R12*S12/1000</f>
        <v>1480.1589806486136</v>
      </c>
      <c r="U12" s="1504">
        <f ca="1">$I12</f>
        <v>1.665</v>
      </c>
      <c r="V12" s="384">
        <f ca="1">T12/U12</f>
        <v>888.9843727619301</v>
      </c>
      <c r="W12" s="692" t="str">
        <f t="shared" ref="W12:W75" ca="1" si="0">IF(MONTH($A12)=12,SUM(V1:V12)," ")</f>
        <v xml:space="preserve"> </v>
      </c>
      <c r="Y12" s="1507">
        <f ca="1">IF($A12&gt;Endyr,0,VLOOKUP($A12,Tariff_Table,Tariff!$J$33))</f>
        <v>0.17</v>
      </c>
      <c r="Z12" s="1504">
        <f ca="1">VLOOKUP($A12,Curves_Table,Escalation!$AH$291)</f>
        <v>1.0458060039912167</v>
      </c>
      <c r="AA12" s="1504">
        <f ca="1">Y12*Z12</f>
        <v>0.17778702067850685</v>
      </c>
      <c r="AB12" s="334">
        <f ca="1">'Plant Operations'!$I12+'Plant Operations'!$M12</f>
        <v>9360</v>
      </c>
      <c r="AC12" s="1481">
        <f t="shared" ref="AC12:AC75" ca="1" si="1">AA12*AB12/1000</f>
        <v>1.664086513550824</v>
      </c>
      <c r="AD12" s="1504">
        <f t="shared" ref="AD12:AD75" ca="1" si="2">$I12</f>
        <v>1.665</v>
      </c>
      <c r="AE12" s="335">
        <f ca="1">AC12/AD12</f>
        <v>0.99945135948998443</v>
      </c>
      <c r="AF12" s="698" t="str">
        <f t="shared" ref="AF12:AF75" ca="1" si="3">IF(MONTH($A12)=12,SUM(AE1:AE12)," ")</f>
        <v xml:space="preserve"> </v>
      </c>
    </row>
    <row r="13" spans="1:35">
      <c r="A13" s="672">
        <f ca="1">'Plant Operations'!A13</f>
        <v>36281</v>
      </c>
      <c r="C13" s="1503">
        <f ca="1">IF($A13&gt;Endyr,0,VLOOKUP($A13,Tariff_Table,Tariff!$D$33))</f>
        <v>9586.8761904761886</v>
      </c>
      <c r="E13" s="691">
        <f ca="1">VLOOKUP($A13,Tariff_Table,Tariff!$E$33)</f>
        <v>0.52500038334256949</v>
      </c>
      <c r="F13" s="1481">
        <f t="shared" ref="F13:F76" ca="1" si="4">$C13*E13</f>
        <v>5033.1136750577516</v>
      </c>
      <c r="G13" s="1480">
        <f ca="1">VLOOKUP($A13,Curves_Table,Escalation!$N$291)</f>
        <v>1.0374531835205993</v>
      </c>
      <c r="H13" s="1481">
        <f t="shared" ref="H13:H76" ca="1" si="5">F13*G13</f>
        <v>5221.6198052097279</v>
      </c>
      <c r="I13" s="1504">
        <f ca="1">IF(Assm!$L$74=0,VLOOKUP($A13,Curves_Table,Escalation!$D$291),VLOOKUP($A13,Curves_Table,Escalation!$E$291))</f>
        <v>1.7210000000000001</v>
      </c>
      <c r="J13" s="1504">
        <f ca="1">IF($A13&lt;EE_Date,VLOOKUP($A13,Curves_Table,Escalation!$D$291),Exch)</f>
        <v>1.7210000000000001</v>
      </c>
      <c r="K13" s="1505">
        <f t="shared" ref="K13:K76" ca="1" si="6">H13*I13/J13</f>
        <v>5221.6198052097279</v>
      </c>
      <c r="M13" s="691">
        <f ca="1">VLOOKUP($A13,Tariff_Table,Tariff!$F$33)</f>
        <v>0.47499961665743051</v>
      </c>
      <c r="N13" s="1481">
        <f t="shared" ref="N13:N76" ca="1" si="7">$C13*M13</f>
        <v>4553.762515418437</v>
      </c>
      <c r="O13" s="1480">
        <f ca="1">VLOOKUP($A13,Curves_Table,Escalation!$R$291)</f>
        <v>1.1347786591515447</v>
      </c>
      <c r="P13" s="1505">
        <f t="shared" ref="P13:P76" ca="1" si="8">N13*O13</f>
        <v>5167.5125213410993</v>
      </c>
      <c r="R13" s="1506">
        <f t="shared" ref="R13:R76" ca="1" si="9">SUM(K13,P13)</f>
        <v>10389.132326550827</v>
      </c>
      <c r="S13" s="330">
        <f ca="1">'Plant Operations'!C13</f>
        <v>150</v>
      </c>
      <c r="T13" s="1481">
        <f t="shared" ref="T13:T76" ca="1" si="10">R13*S13/1000</f>
        <v>1558.369848982624</v>
      </c>
      <c r="U13" s="1504">
        <f t="shared" ref="U13:U76" ca="1" si="11">$I13</f>
        <v>1.7210000000000001</v>
      </c>
      <c r="V13" s="384">
        <f t="shared" ref="V13:V76" ca="1" si="12">T13/U13</f>
        <v>905.50252700907845</v>
      </c>
      <c r="W13" s="692" t="str">
        <f t="shared" ca="1" si="0"/>
        <v xml:space="preserve"> </v>
      </c>
      <c r="Y13" s="1507">
        <f ca="1">IF($A13&gt;Endyr,0,VLOOKUP($A13,Tariff_Table,Tariff!$J$33))</f>
        <v>0.17</v>
      </c>
      <c r="Z13" s="1504">
        <f ca="1">VLOOKUP($A13,Curves_Table,Escalation!$AH$291)</f>
        <v>1.1347786591515447</v>
      </c>
      <c r="AA13" s="1504">
        <f t="shared" ref="AA13:AA76" ca="1" si="13">Y13*Z13</f>
        <v>0.19291237205576262</v>
      </c>
      <c r="AB13" s="334">
        <f ca="1">'Plant Operations'!$I13+'Plant Operations'!$M13</f>
        <v>9360</v>
      </c>
      <c r="AC13" s="1481">
        <f t="shared" ca="1" si="1"/>
        <v>1.8056598024419381</v>
      </c>
      <c r="AD13" s="1504">
        <f t="shared" ca="1" si="2"/>
        <v>1.7210000000000001</v>
      </c>
      <c r="AE13" s="335">
        <f t="shared" ref="AE13:AE76" ca="1" si="14">AC13/AD13</f>
        <v>1.0491922152480755</v>
      </c>
      <c r="AF13" s="698" t="str">
        <f t="shared" ca="1" si="3"/>
        <v xml:space="preserve"> </v>
      </c>
    </row>
    <row r="14" spans="1:35">
      <c r="A14" s="672">
        <f ca="1">'Plant Operations'!A14</f>
        <v>36312</v>
      </c>
      <c r="C14" s="1503">
        <f ca="1">IF($A14&gt;Endyr,0,VLOOKUP($A14,Tariff_Table,Tariff!$D$33))</f>
        <v>9586.8761904761886</v>
      </c>
      <c r="E14" s="691">
        <f ca="1">VLOOKUP($A14,Tariff_Table,Tariff!$E$33)</f>
        <v>0.52500038334256949</v>
      </c>
      <c r="F14" s="1481">
        <f t="shared" ca="1" si="4"/>
        <v>5033.1136750577516</v>
      </c>
      <c r="G14" s="1480">
        <f ca="1">VLOOKUP($A14,Curves_Table,Escalation!$N$291)</f>
        <v>1.0374531835205993</v>
      </c>
      <c r="H14" s="1481">
        <f t="shared" ca="1" si="5"/>
        <v>5221.6198052097279</v>
      </c>
      <c r="I14" s="1504">
        <f ca="1">IF(Assm!$L$74=0,VLOOKUP($A14,Curves_Table,Escalation!$D$291),VLOOKUP($A14,Curves_Table,Escalation!$E$291))</f>
        <v>1.7524999999999999</v>
      </c>
      <c r="J14" s="1504">
        <f ca="1">IF($A14&lt;EE_Date,VLOOKUP($A14,Curves_Table,Escalation!$D$291),Exch)</f>
        <v>1.7524999999999999</v>
      </c>
      <c r="K14" s="1505">
        <f t="shared" ca="1" si="6"/>
        <v>5221.6198052097279</v>
      </c>
      <c r="M14" s="691">
        <f ca="1">VLOOKUP($A14,Tariff_Table,Tariff!$F$33)</f>
        <v>0.47499961665743051</v>
      </c>
      <c r="N14" s="1481">
        <f t="shared" ca="1" si="7"/>
        <v>4553.762515418437</v>
      </c>
      <c r="O14" s="1480">
        <f ca="1">VLOOKUP($A14,Curves_Table,Escalation!$R$291)</f>
        <v>1.1347786591515447</v>
      </c>
      <c r="P14" s="1505">
        <f t="shared" ca="1" si="8"/>
        <v>5167.5125213410993</v>
      </c>
      <c r="R14" s="1506">
        <f t="shared" ca="1" si="9"/>
        <v>10389.132326550827</v>
      </c>
      <c r="S14" s="330">
        <f ca="1">'Plant Operations'!C14</f>
        <v>150</v>
      </c>
      <c r="T14" s="1481">
        <f t="shared" ca="1" si="10"/>
        <v>1558.369848982624</v>
      </c>
      <c r="U14" s="1504">
        <f t="shared" ca="1" si="11"/>
        <v>1.7524999999999999</v>
      </c>
      <c r="V14" s="384">
        <f t="shared" ca="1" si="12"/>
        <v>889.22673265770277</v>
      </c>
      <c r="W14" s="692" t="str">
        <f t="shared" ca="1" si="0"/>
        <v xml:space="preserve"> </v>
      </c>
      <c r="Y14" s="1507">
        <f ca="1">IF($A14&gt;Endyr,0,VLOOKUP($A14,Tariff_Table,Tariff!$J$33))</f>
        <v>0.17</v>
      </c>
      <c r="Z14" s="1504">
        <f ca="1">VLOOKUP($A14,Curves_Table,Escalation!$AH$291)</f>
        <v>1.1347786591515447</v>
      </c>
      <c r="AA14" s="1504">
        <f t="shared" ca="1" si="13"/>
        <v>0.19291237205576262</v>
      </c>
      <c r="AB14" s="334">
        <f ca="1">'Plant Operations'!$I14+'Plant Operations'!$M14</f>
        <v>11700</v>
      </c>
      <c r="AC14" s="1481">
        <f t="shared" ca="1" si="1"/>
        <v>2.2570747530524229</v>
      </c>
      <c r="AD14" s="1504">
        <f t="shared" ca="1" si="2"/>
        <v>1.7524999999999999</v>
      </c>
      <c r="AE14" s="335">
        <f t="shared" ca="1" si="14"/>
        <v>1.287917120144036</v>
      </c>
      <c r="AF14" s="698" t="str">
        <f t="shared" ca="1" si="3"/>
        <v xml:space="preserve"> </v>
      </c>
    </row>
    <row r="15" spans="1:35">
      <c r="A15" s="672">
        <f ca="1">'Plant Operations'!A15</f>
        <v>36342</v>
      </c>
      <c r="C15" s="1503">
        <f ca="1">IF($A15&gt;Endyr,0,VLOOKUP($A15,Tariff_Table,Tariff!$D$33))</f>
        <v>9586.8761904761886</v>
      </c>
      <c r="E15" s="691">
        <f ca="1">VLOOKUP($A15,Tariff_Table,Tariff!$E$33)</f>
        <v>0.52500038334256949</v>
      </c>
      <c r="F15" s="1481">
        <f t="shared" ca="1" si="4"/>
        <v>5033.1136750577516</v>
      </c>
      <c r="G15" s="1480">
        <f ca="1">VLOOKUP($A15,Curves_Table,Escalation!$N$291)</f>
        <v>1.0374531835205993</v>
      </c>
      <c r="H15" s="1481">
        <f t="shared" ca="1" si="5"/>
        <v>5221.6198052097279</v>
      </c>
      <c r="I15" s="1504">
        <f ca="1">IF(Assm!$L$74=0,VLOOKUP($A15,Curves_Table,Escalation!$D$291),VLOOKUP($A15,Curves_Table,Escalation!$E$291))</f>
        <v>1.8009999999999999</v>
      </c>
      <c r="J15" s="1504">
        <f ca="1">IF($A15&lt;EE_Date,VLOOKUP($A15,Curves_Table,Escalation!$D$291),Exch)</f>
        <v>1.8009999999999999</v>
      </c>
      <c r="K15" s="1505">
        <f t="shared" ca="1" si="6"/>
        <v>5221.6198052097279</v>
      </c>
      <c r="M15" s="691">
        <f ca="1">VLOOKUP($A15,Tariff_Table,Tariff!$F$33)</f>
        <v>0.47499961665743051</v>
      </c>
      <c r="N15" s="1481">
        <f t="shared" ca="1" si="7"/>
        <v>4553.762515418437</v>
      </c>
      <c r="O15" s="1480">
        <f ca="1">VLOOKUP($A15,Curves_Table,Escalation!$R$291)</f>
        <v>1.1347786591515447</v>
      </c>
      <c r="P15" s="1505">
        <f t="shared" ca="1" si="8"/>
        <v>5167.5125213410993</v>
      </c>
      <c r="R15" s="1506">
        <f t="shared" ca="1" si="9"/>
        <v>10389.132326550827</v>
      </c>
      <c r="S15" s="330">
        <f ca="1">'Plant Operations'!C15</f>
        <v>150</v>
      </c>
      <c r="T15" s="1481">
        <f t="shared" ca="1" si="10"/>
        <v>1558.369848982624</v>
      </c>
      <c r="U15" s="1504">
        <f t="shared" ca="1" si="11"/>
        <v>1.8009999999999999</v>
      </c>
      <c r="V15" s="384">
        <f t="shared" ca="1" si="12"/>
        <v>865.28031592594346</v>
      </c>
      <c r="W15" s="692" t="str">
        <f t="shared" ca="1" si="0"/>
        <v xml:space="preserve"> </v>
      </c>
      <c r="Y15" s="1507">
        <f ca="1">IF($A15&gt;Endyr,0,VLOOKUP($A15,Tariff_Table,Tariff!$J$33))</f>
        <v>0.17</v>
      </c>
      <c r="Z15" s="1504">
        <f ca="1">VLOOKUP($A15,Curves_Table,Escalation!$AH$291)</f>
        <v>1.1347786591515447</v>
      </c>
      <c r="AA15" s="1504">
        <f t="shared" ca="1" si="13"/>
        <v>0.19291237205576262</v>
      </c>
      <c r="AB15" s="334">
        <f ca="1">'Plant Operations'!$I15+'Plant Operations'!$M15</f>
        <v>11700</v>
      </c>
      <c r="AC15" s="1481">
        <f t="shared" ca="1" si="1"/>
        <v>2.2570747530524229</v>
      </c>
      <c r="AD15" s="1504">
        <f t="shared" ca="1" si="2"/>
        <v>1.8009999999999999</v>
      </c>
      <c r="AE15" s="335">
        <f t="shared" ca="1" si="14"/>
        <v>1.2532341771529278</v>
      </c>
      <c r="AF15" s="698" t="str">
        <f t="shared" ca="1" si="3"/>
        <v xml:space="preserve"> </v>
      </c>
    </row>
    <row r="16" spans="1:35">
      <c r="A16" s="672">
        <f ca="1">'Plant Operations'!A16</f>
        <v>36373</v>
      </c>
      <c r="C16" s="1503">
        <f ca="1">IF($A16&gt;Endyr,0,VLOOKUP($A16,Tariff_Table,Tariff!$D$33))</f>
        <v>9586.8761904761886</v>
      </c>
      <c r="E16" s="691">
        <f ca="1">VLOOKUP($A16,Tariff_Table,Tariff!$E$33)</f>
        <v>0.52500038334256949</v>
      </c>
      <c r="F16" s="1481">
        <f t="shared" ca="1" si="4"/>
        <v>5033.1136750577516</v>
      </c>
      <c r="G16" s="1480">
        <f ca="1">VLOOKUP($A16,Curves_Table,Escalation!$N$291)</f>
        <v>1.0374531835205993</v>
      </c>
      <c r="H16" s="1481">
        <f t="shared" ca="1" si="5"/>
        <v>5221.6198052097279</v>
      </c>
      <c r="I16" s="1504">
        <f ca="1">IF(Assm!$L$74=0,VLOOKUP($A16,Curves_Table,Escalation!$D$291),VLOOKUP($A16,Curves_Table,Escalation!$E$291))</f>
        <v>1.919</v>
      </c>
      <c r="J16" s="1504">
        <f ca="1">IF($A16&lt;EE_Date,VLOOKUP($A16,Curves_Table,Escalation!$D$291),Exch)</f>
        <v>1.919</v>
      </c>
      <c r="K16" s="1505">
        <f t="shared" ca="1" si="6"/>
        <v>5221.6198052097279</v>
      </c>
      <c r="M16" s="691">
        <f ca="1">VLOOKUP($A16,Tariff_Table,Tariff!$F$33)</f>
        <v>0.47499961665743051</v>
      </c>
      <c r="N16" s="1481">
        <f t="shared" ca="1" si="7"/>
        <v>4553.762515418437</v>
      </c>
      <c r="O16" s="1480">
        <f ca="1">VLOOKUP($A16,Curves_Table,Escalation!$R$291)</f>
        <v>1.1347786591515447</v>
      </c>
      <c r="P16" s="1505">
        <f t="shared" ca="1" si="8"/>
        <v>5167.5125213410993</v>
      </c>
      <c r="R16" s="1506">
        <f t="shared" ca="1" si="9"/>
        <v>10389.132326550827</v>
      </c>
      <c r="S16" s="330">
        <f ca="1">'Plant Operations'!C16</f>
        <v>150</v>
      </c>
      <c r="T16" s="1481">
        <f t="shared" ca="1" si="10"/>
        <v>1558.369848982624</v>
      </c>
      <c r="U16" s="1504">
        <f t="shared" ca="1" si="11"/>
        <v>1.919</v>
      </c>
      <c r="V16" s="384">
        <f t="shared" ca="1" si="12"/>
        <v>812.07391817750079</v>
      </c>
      <c r="W16" s="692" t="str">
        <f t="shared" ca="1" si="0"/>
        <v xml:space="preserve"> </v>
      </c>
      <c r="Y16" s="1507">
        <f ca="1">IF($A16&gt;Endyr,0,VLOOKUP($A16,Tariff_Table,Tariff!$J$33))</f>
        <v>0.17</v>
      </c>
      <c r="Z16" s="1504">
        <f ca="1">VLOOKUP($A16,Curves_Table,Escalation!$AH$291)</f>
        <v>1.1347786591515447</v>
      </c>
      <c r="AA16" s="1504">
        <f t="shared" ca="1" si="13"/>
        <v>0.19291237205576262</v>
      </c>
      <c r="AB16" s="334">
        <f ca="1">'Plant Operations'!$I16+'Plant Operations'!$M16</f>
        <v>14040</v>
      </c>
      <c r="AC16" s="1481">
        <f t="shared" ca="1" si="1"/>
        <v>2.7084897036629072</v>
      </c>
      <c r="AD16" s="1504">
        <f t="shared" ca="1" si="2"/>
        <v>1.919</v>
      </c>
      <c r="AE16" s="335">
        <f t="shared" ca="1" si="14"/>
        <v>1.4114068283808792</v>
      </c>
      <c r="AF16" s="698" t="str">
        <f t="shared" ca="1" si="3"/>
        <v xml:space="preserve"> </v>
      </c>
    </row>
    <row r="17" spans="1:32">
      <c r="A17" s="672">
        <f ca="1">'Plant Operations'!A17</f>
        <v>36404</v>
      </c>
      <c r="C17" s="1503">
        <f ca="1">IF($A17&gt;Endyr,0,VLOOKUP($A17,Tariff_Table,Tariff!$D$33))</f>
        <v>9586.8761904761886</v>
      </c>
      <c r="E17" s="691">
        <f ca="1">VLOOKUP($A17,Tariff_Table,Tariff!$E$33)</f>
        <v>0.52500038334256949</v>
      </c>
      <c r="F17" s="1481">
        <f t="shared" ca="1" si="4"/>
        <v>5033.1136750577516</v>
      </c>
      <c r="G17" s="1480">
        <f ca="1">VLOOKUP($A17,Curves_Table,Escalation!$N$291)</f>
        <v>1.0374531835205993</v>
      </c>
      <c r="H17" s="1481">
        <f t="shared" ca="1" si="5"/>
        <v>5221.6198052097279</v>
      </c>
      <c r="I17" s="1504">
        <f ca="1">IF(Assm!$L$74=0,VLOOKUP($A17,Curves_Table,Escalation!$D$291),VLOOKUP($A17,Curves_Table,Escalation!$E$291))</f>
        <v>1.9375</v>
      </c>
      <c r="J17" s="1504">
        <f ca="1">IF($A17&lt;EE_Date,VLOOKUP($A17,Curves_Table,Escalation!$D$291),Exch)</f>
        <v>1.0649999999999999</v>
      </c>
      <c r="K17" s="1505">
        <f t="shared" ca="1" si="6"/>
        <v>9499.4257019660563</v>
      </c>
      <c r="M17" s="691">
        <f ca="1">VLOOKUP($A17,Tariff_Table,Tariff!$F$33)</f>
        <v>0.47499961665743051</v>
      </c>
      <c r="N17" s="1481">
        <f t="shared" ca="1" si="7"/>
        <v>4553.762515418437</v>
      </c>
      <c r="O17" s="1480">
        <f ca="1">VLOOKUP($A17,Curves_Table,Escalation!$R$291)</f>
        <v>1.1347786591515447</v>
      </c>
      <c r="P17" s="1505">
        <f t="shared" ca="1" si="8"/>
        <v>5167.5125213410993</v>
      </c>
      <c r="R17" s="1506">
        <f t="shared" ca="1" si="9"/>
        <v>14666.938223307156</v>
      </c>
      <c r="S17" s="330">
        <f ca="1">'Plant Operations'!C17</f>
        <v>150</v>
      </c>
      <c r="T17" s="1481">
        <f t="shared" ca="1" si="10"/>
        <v>2200.0407334960732</v>
      </c>
      <c r="U17" s="1504">
        <f t="shared" ca="1" si="11"/>
        <v>1.9375</v>
      </c>
      <c r="V17" s="384">
        <f t="shared" ca="1" si="12"/>
        <v>1135.5048947076507</v>
      </c>
      <c r="W17" s="692" t="str">
        <f t="shared" ca="1" si="0"/>
        <v xml:space="preserve"> </v>
      </c>
      <c r="Y17" s="1507">
        <f ca="1">IF($A17&gt;Endyr,0,VLOOKUP($A17,Tariff_Table,Tariff!$J$33))</f>
        <v>0.17</v>
      </c>
      <c r="Z17" s="1504">
        <f ca="1">VLOOKUP($A17,Curves_Table,Escalation!$AH$291)</f>
        <v>1.1347786591515447</v>
      </c>
      <c r="AA17" s="1504">
        <f t="shared" ca="1" si="13"/>
        <v>0.19291237205576262</v>
      </c>
      <c r="AB17" s="334">
        <f ca="1">'Plant Operations'!$I17+'Plant Operations'!$M17</f>
        <v>16640</v>
      </c>
      <c r="AC17" s="1481">
        <f t="shared" ca="1" si="1"/>
        <v>3.2100618710078899</v>
      </c>
      <c r="AD17" s="1504">
        <f t="shared" ca="1" si="2"/>
        <v>1.9375</v>
      </c>
      <c r="AE17" s="335">
        <f t="shared" ca="1" si="14"/>
        <v>1.6568061269718142</v>
      </c>
      <c r="AF17" s="698" t="str">
        <f t="shared" ca="1" si="3"/>
        <v xml:space="preserve"> </v>
      </c>
    </row>
    <row r="18" spans="1:32">
      <c r="A18" s="672">
        <f ca="1">'Plant Operations'!A18</f>
        <v>36434</v>
      </c>
      <c r="C18" s="1503">
        <f ca="1">IF($A18&gt;Endyr,0,VLOOKUP($A18,Tariff_Table,Tariff!$D$33))</f>
        <v>9586.8761904761886</v>
      </c>
      <c r="E18" s="691">
        <f ca="1">VLOOKUP($A18,Tariff_Table,Tariff!$E$33)</f>
        <v>0.52500038334256949</v>
      </c>
      <c r="F18" s="1481">
        <f t="shared" ca="1" si="4"/>
        <v>5033.1136750577516</v>
      </c>
      <c r="G18" s="1480">
        <f ca="1">VLOOKUP($A18,Curves_Table,Escalation!$N$291)</f>
        <v>1.0374531835205993</v>
      </c>
      <c r="H18" s="1481">
        <f t="shared" ca="1" si="5"/>
        <v>5221.6198052097279</v>
      </c>
      <c r="I18" s="1504">
        <f ca="1">IF(Assm!$L$74=0,VLOOKUP($A18,Curves_Table,Escalation!$D$291),VLOOKUP($A18,Curves_Table,Escalation!$E$291))</f>
        <v>1.9490000000000001</v>
      </c>
      <c r="J18" s="1504">
        <f ca="1">IF($A18&lt;EE_Date,VLOOKUP($A18,Curves_Table,Escalation!$D$291),Exch)</f>
        <v>1.0649999999999999</v>
      </c>
      <c r="K18" s="1505">
        <f t="shared" ca="1" si="6"/>
        <v>9555.809390003531</v>
      </c>
      <c r="M18" s="691">
        <f ca="1">VLOOKUP($A18,Tariff_Table,Tariff!$F$33)</f>
        <v>0.47499961665743051</v>
      </c>
      <c r="N18" s="1481">
        <f t="shared" ca="1" si="7"/>
        <v>4553.762515418437</v>
      </c>
      <c r="O18" s="1480">
        <f ca="1">VLOOKUP($A18,Curves_Table,Escalation!$R$291)</f>
        <v>1.1347786591515447</v>
      </c>
      <c r="P18" s="1505">
        <f t="shared" ca="1" si="8"/>
        <v>5167.5125213410993</v>
      </c>
      <c r="R18" s="1506">
        <f t="shared" ca="1" si="9"/>
        <v>14723.32191134463</v>
      </c>
      <c r="S18" s="330">
        <f ca="1">'Plant Operations'!C18</f>
        <v>150</v>
      </c>
      <c r="T18" s="1481">
        <f t="shared" ca="1" si="10"/>
        <v>2208.4982867016947</v>
      </c>
      <c r="U18" s="1504">
        <f t="shared" ca="1" si="11"/>
        <v>1.9490000000000001</v>
      </c>
      <c r="V18" s="384">
        <f t="shared" ca="1" si="12"/>
        <v>1133.1443236027167</v>
      </c>
      <c r="W18" s="692" t="str">
        <f t="shared" ca="1" si="0"/>
        <v xml:space="preserve"> </v>
      </c>
      <c r="Y18" s="1507">
        <f ca="1">IF($A18&gt;Endyr,0,VLOOKUP($A18,Tariff_Table,Tariff!$J$33))</f>
        <v>0.17</v>
      </c>
      <c r="Z18" s="1504">
        <f ca="1">VLOOKUP($A18,Curves_Table,Escalation!$AH$291)</f>
        <v>1.1347786591515447</v>
      </c>
      <c r="AA18" s="1504">
        <f t="shared" ca="1" si="13"/>
        <v>0.19291237205576262</v>
      </c>
      <c r="AB18" s="334">
        <f ca="1">'Plant Operations'!$I18+'Plant Operations'!$M18</f>
        <v>14040</v>
      </c>
      <c r="AC18" s="1481">
        <f t="shared" ca="1" si="1"/>
        <v>2.7084897036629072</v>
      </c>
      <c r="AD18" s="1504">
        <f t="shared" ca="1" si="2"/>
        <v>1.9490000000000001</v>
      </c>
      <c r="AE18" s="335">
        <f t="shared" ca="1" si="14"/>
        <v>1.3896817361020559</v>
      </c>
      <c r="AF18" s="698" t="str">
        <f t="shared" ca="1" si="3"/>
        <v xml:space="preserve"> </v>
      </c>
    </row>
    <row r="19" spans="1:32">
      <c r="A19" s="672">
        <f ca="1">'Plant Operations'!A19</f>
        <v>36465</v>
      </c>
      <c r="C19" s="1503">
        <f ca="1">IF($A19&gt;Endyr,0,VLOOKUP($A19,Tariff_Table,Tariff!$D$33))</f>
        <v>9586.8761904761886</v>
      </c>
      <c r="E19" s="691">
        <f ca="1">VLOOKUP($A19,Tariff_Table,Tariff!$E$33)</f>
        <v>0.52500038334256949</v>
      </c>
      <c r="F19" s="1481">
        <f t="shared" ca="1" si="4"/>
        <v>5033.1136750577516</v>
      </c>
      <c r="G19" s="1480">
        <f ca="1">VLOOKUP($A19,Curves_Table,Escalation!$N$291)</f>
        <v>1.0374531835205993</v>
      </c>
      <c r="H19" s="1481">
        <f t="shared" ca="1" si="5"/>
        <v>5221.6198052097279</v>
      </c>
      <c r="I19" s="1504">
        <f ca="1">IF(Assm!$L$74=0,VLOOKUP($A19,Curves_Table,Escalation!$D$291),VLOOKUP($A19,Curves_Table,Escalation!$E$291))</f>
        <v>1.923</v>
      </c>
      <c r="J19" s="1504">
        <f ca="1">IF($A19&lt;EE_Date,VLOOKUP($A19,Curves_Table,Escalation!$D$291),Exch)</f>
        <v>1.0649999999999999</v>
      </c>
      <c r="K19" s="1505">
        <f t="shared" ca="1" si="6"/>
        <v>9428.333225744891</v>
      </c>
      <c r="M19" s="691">
        <f ca="1">VLOOKUP($A19,Tariff_Table,Tariff!$F$33)</f>
        <v>0.47499961665743051</v>
      </c>
      <c r="N19" s="1481">
        <f t="shared" ca="1" si="7"/>
        <v>4553.762515418437</v>
      </c>
      <c r="O19" s="1480">
        <f ca="1">VLOOKUP($A19,Curves_Table,Escalation!$R$291)</f>
        <v>1.1347786591515447</v>
      </c>
      <c r="P19" s="1505">
        <f t="shared" ca="1" si="8"/>
        <v>5167.5125213410993</v>
      </c>
      <c r="R19" s="1506">
        <f t="shared" ca="1" si="9"/>
        <v>14595.84574708599</v>
      </c>
      <c r="S19" s="330">
        <f ca="1">'Plant Operations'!C19</f>
        <v>150</v>
      </c>
      <c r="T19" s="1481">
        <f t="shared" ca="1" si="10"/>
        <v>2189.3768620628985</v>
      </c>
      <c r="U19" s="1504">
        <f t="shared" ca="1" si="11"/>
        <v>1.923</v>
      </c>
      <c r="V19" s="384">
        <f t="shared" ca="1" si="12"/>
        <v>1138.5215091330724</v>
      </c>
      <c r="W19" s="692" t="str">
        <f t="shared" ca="1" si="0"/>
        <v xml:space="preserve"> </v>
      </c>
      <c r="Y19" s="1507">
        <f ca="1">IF($A19&gt;Endyr,0,VLOOKUP($A19,Tariff_Table,Tariff!$J$33))</f>
        <v>0.17</v>
      </c>
      <c r="Z19" s="1504">
        <f ca="1">VLOOKUP($A19,Curves_Table,Escalation!$AH$291)</f>
        <v>1.1347786591515447</v>
      </c>
      <c r="AA19" s="1504">
        <f t="shared" ca="1" si="13"/>
        <v>0.19291237205576262</v>
      </c>
      <c r="AB19" s="334">
        <f ca="1">'Plant Operations'!$I19+'Plant Operations'!$M19</f>
        <v>11700</v>
      </c>
      <c r="AC19" s="1481">
        <f t="shared" ca="1" si="1"/>
        <v>2.2570747530524229</v>
      </c>
      <c r="AD19" s="1504">
        <f t="shared" ca="1" si="2"/>
        <v>1.923</v>
      </c>
      <c r="AE19" s="335">
        <f t="shared" ca="1" si="14"/>
        <v>1.1737258206200847</v>
      </c>
      <c r="AF19" s="698" t="str">
        <f t="shared" ca="1" si="3"/>
        <v xml:space="preserve"> </v>
      </c>
    </row>
    <row r="20" spans="1:32">
      <c r="A20" s="672">
        <f ca="1">'Plant Operations'!A20</f>
        <v>36495</v>
      </c>
      <c r="C20" s="1503">
        <f ca="1">IF($A20&gt;Endyr,0,VLOOKUP($A20,Tariff_Table,Tariff!$D$33))</f>
        <v>9586.8761904761886</v>
      </c>
      <c r="E20" s="691">
        <f ca="1">VLOOKUP($A20,Tariff_Table,Tariff!$E$33)</f>
        <v>0.52500038334256949</v>
      </c>
      <c r="F20" s="1481">
        <f t="shared" ca="1" si="4"/>
        <v>5033.1136750577516</v>
      </c>
      <c r="G20" s="1480">
        <f ca="1">VLOOKUP($A20,Curves_Table,Escalation!$N$291)</f>
        <v>1.0374531835205993</v>
      </c>
      <c r="H20" s="1481">
        <f t="shared" ca="1" si="5"/>
        <v>5221.6198052097279</v>
      </c>
      <c r="I20" s="1504">
        <f ca="1">IF(Assm!$L$74=0,VLOOKUP($A20,Curves_Table,Escalation!$D$291),VLOOKUP($A20,Curves_Table,Escalation!$E$291))</f>
        <v>1.7989999999999999</v>
      </c>
      <c r="J20" s="1504">
        <f ca="1">IF($A20&lt;EE_Date,VLOOKUP($A20,Curves_Table,Escalation!$D$291),Exch)</f>
        <v>1.0649999999999999</v>
      </c>
      <c r="K20" s="1505">
        <f t="shared" ca="1" si="6"/>
        <v>8820.3699808190613</v>
      </c>
      <c r="M20" s="691">
        <f ca="1">VLOOKUP($A20,Tariff_Table,Tariff!$F$33)</f>
        <v>0.47499961665743051</v>
      </c>
      <c r="N20" s="1481">
        <f t="shared" ca="1" si="7"/>
        <v>4553.762515418437</v>
      </c>
      <c r="O20" s="1480">
        <f ca="1">VLOOKUP($A20,Curves_Table,Escalation!$R$291)</f>
        <v>1.1347786591515447</v>
      </c>
      <c r="P20" s="1505">
        <f t="shared" ca="1" si="8"/>
        <v>5167.5125213410993</v>
      </c>
      <c r="R20" s="1506">
        <f t="shared" ca="1" si="9"/>
        <v>13987.882502160161</v>
      </c>
      <c r="S20" s="330">
        <f ca="1">'Plant Operations'!C20</f>
        <v>150</v>
      </c>
      <c r="T20" s="1481">
        <f t="shared" ca="1" si="10"/>
        <v>2098.1823753240237</v>
      </c>
      <c r="U20" s="1504">
        <f t="shared" ca="1" si="11"/>
        <v>1.7989999999999999</v>
      </c>
      <c r="V20" s="384">
        <f t="shared" ca="1" si="12"/>
        <v>1166.3048223035153</v>
      </c>
      <c r="W20" s="692">
        <f t="shared" ca="1" si="0"/>
        <v>8934.5434162791098</v>
      </c>
      <c r="Y20" s="1507">
        <f ca="1">IF($A20&gt;Endyr,0,VLOOKUP($A20,Tariff_Table,Tariff!$J$33))</f>
        <v>0.17</v>
      </c>
      <c r="Z20" s="1504">
        <f ca="1">VLOOKUP($A20,Curves_Table,Escalation!$AH$291)</f>
        <v>1.1347786591515447</v>
      </c>
      <c r="AA20" s="1504">
        <f t="shared" ca="1" si="13"/>
        <v>0.19291237205576262</v>
      </c>
      <c r="AB20" s="334">
        <f ca="1">'Plant Operations'!$I20+'Plant Operations'!$M20</f>
        <v>9360</v>
      </c>
      <c r="AC20" s="1481">
        <f t="shared" ca="1" si="1"/>
        <v>1.8056598024419381</v>
      </c>
      <c r="AD20" s="1504">
        <f t="shared" ca="1" si="2"/>
        <v>1.7989999999999999</v>
      </c>
      <c r="AE20" s="335">
        <f t="shared" ca="1" si="14"/>
        <v>1.0037019468826782</v>
      </c>
      <c r="AF20" s="698">
        <f t="shared" ca="1" si="3"/>
        <v>11.225117330992536</v>
      </c>
    </row>
    <row r="21" spans="1:32">
      <c r="A21" s="672">
        <f ca="1">'Plant Operations'!A21</f>
        <v>36526</v>
      </c>
      <c r="C21" s="1503">
        <f ca="1">IF($A21&gt;Endyr,0,VLOOKUP($A21,Tariff_Table,Tariff!$D$33))</f>
        <v>9586.8761904761886</v>
      </c>
      <c r="E21" s="691">
        <f ca="1">VLOOKUP($A21,Tariff_Table,Tariff!$E$33)</f>
        <v>0.52500038334256949</v>
      </c>
      <c r="F21" s="1481">
        <f t="shared" ca="1" si="4"/>
        <v>5033.1136750577516</v>
      </c>
      <c r="G21" s="1480">
        <f ca="1">VLOOKUP($A21,Curves_Table,Escalation!$N$291)</f>
        <v>1.0374531835205993</v>
      </c>
      <c r="H21" s="1481">
        <f t="shared" ca="1" si="5"/>
        <v>5221.6198052097279</v>
      </c>
      <c r="I21" s="1504">
        <f ca="1">IF(Assm!$L$74=0,VLOOKUP($A21,Curves_Table,Escalation!$D$291),VLOOKUP($A21,Curves_Table,Escalation!$E$291))</f>
        <v>1.7947506486897897</v>
      </c>
      <c r="J21" s="1504">
        <f ca="1">IF($A21&lt;EE_Date,VLOOKUP($A21,Curves_Table,Escalation!$D$291),Exch)</f>
        <v>1.0649999999999999</v>
      </c>
      <c r="K21" s="1505">
        <f t="shared" ca="1" si="6"/>
        <v>8799.5357113724058</v>
      </c>
      <c r="M21" s="691">
        <f ca="1">VLOOKUP($A21,Tariff_Table,Tariff!$F$33)</f>
        <v>0.47499961665743051</v>
      </c>
      <c r="N21" s="1481">
        <f t="shared" ca="1" si="7"/>
        <v>4553.762515418437</v>
      </c>
      <c r="O21" s="1480">
        <f ca="1">VLOOKUP($A21,Curves_Table,Escalation!$R$291)</f>
        <v>1.1347786591515447</v>
      </c>
      <c r="P21" s="1505">
        <f t="shared" ca="1" si="8"/>
        <v>5167.5125213410993</v>
      </c>
      <c r="R21" s="1506">
        <f t="shared" ca="1" si="9"/>
        <v>13967.048232713505</v>
      </c>
      <c r="S21" s="330">
        <f ca="1">'Plant Operations'!C21</f>
        <v>150</v>
      </c>
      <c r="T21" s="1481">
        <f t="shared" ca="1" si="10"/>
        <v>2095.0572349070258</v>
      </c>
      <c r="U21" s="1504">
        <f t="shared" ca="1" si="11"/>
        <v>1.7947506486897897</v>
      </c>
      <c r="V21" s="384">
        <f t="shared" ca="1" si="12"/>
        <v>1167.3249631844217</v>
      </c>
      <c r="W21" s="692" t="str">
        <f t="shared" ca="1" si="0"/>
        <v xml:space="preserve"> </v>
      </c>
      <c r="Y21" s="1507">
        <f ca="1">IF($A21&gt;Endyr,0,VLOOKUP($A21,Tariff_Table,Tariff!$J$33))</f>
        <v>0.17</v>
      </c>
      <c r="Z21" s="1504">
        <f ca="1">VLOOKUP($A21,Curves_Table,Escalation!$AH$291)</f>
        <v>1.1347786591515447</v>
      </c>
      <c r="AA21" s="1504">
        <f t="shared" ca="1" si="13"/>
        <v>0.19291237205576262</v>
      </c>
      <c r="AB21" s="334">
        <f ca="1">'Plant Operations'!$I21+'Plant Operations'!$M21</f>
        <v>9360</v>
      </c>
      <c r="AC21" s="1481">
        <f t="shared" ca="1" si="1"/>
        <v>1.8056598024419381</v>
      </c>
      <c r="AD21" s="1504">
        <f t="shared" ca="1" si="2"/>
        <v>1.7947506486897897</v>
      </c>
      <c r="AE21" s="335">
        <f t="shared" ca="1" si="14"/>
        <v>1.0060783673543243</v>
      </c>
      <c r="AF21" s="698" t="str">
        <f t="shared" ca="1" si="3"/>
        <v xml:space="preserve"> </v>
      </c>
    </row>
    <row r="22" spans="1:32">
      <c r="A22" s="672">
        <f ca="1">'Plant Operations'!A22</f>
        <v>36557</v>
      </c>
      <c r="C22" s="1503">
        <f ca="1">IF($A22&gt;Endyr,0,VLOOKUP($A22,Tariff_Table,Tariff!$D$33))</f>
        <v>9586.8761904761886</v>
      </c>
      <c r="E22" s="691">
        <f ca="1">VLOOKUP($A22,Tariff_Table,Tariff!$E$33)</f>
        <v>0.52500038334256949</v>
      </c>
      <c r="F22" s="1481">
        <f t="shared" ca="1" si="4"/>
        <v>5033.1136750577516</v>
      </c>
      <c r="G22" s="1480">
        <f ca="1">VLOOKUP($A22,Curves_Table,Escalation!$N$291)</f>
        <v>1.0374531835205993</v>
      </c>
      <c r="H22" s="1481">
        <f t="shared" ca="1" si="5"/>
        <v>5221.6198052097279</v>
      </c>
      <c r="I22" s="1504">
        <f ca="1">IF(Assm!$L$74=0,VLOOKUP($A22,Curves_Table,Escalation!$D$291),VLOOKUP($A22,Curves_Table,Escalation!$E$291))</f>
        <v>1.7905113346150201</v>
      </c>
      <c r="J22" s="1504">
        <f ca="1">IF($A22&lt;EE_Date,VLOOKUP($A22,Curves_Table,Escalation!$D$291),Exch)</f>
        <v>1.0649999999999999</v>
      </c>
      <c r="K22" s="1505">
        <f t="shared" ca="1" si="6"/>
        <v>8778.7506537824338</v>
      </c>
      <c r="M22" s="691">
        <f ca="1">VLOOKUP($A22,Tariff_Table,Tariff!$F$33)</f>
        <v>0.47499961665743051</v>
      </c>
      <c r="N22" s="1481">
        <f t="shared" ca="1" si="7"/>
        <v>4553.762515418437</v>
      </c>
      <c r="O22" s="1480">
        <f ca="1">VLOOKUP($A22,Curves_Table,Escalation!$R$291)</f>
        <v>1.1347786591515447</v>
      </c>
      <c r="P22" s="1505">
        <f t="shared" ca="1" si="8"/>
        <v>5167.5125213410993</v>
      </c>
      <c r="R22" s="1506">
        <f t="shared" ca="1" si="9"/>
        <v>13946.263175123533</v>
      </c>
      <c r="S22" s="330">
        <f ca="1">'Plant Operations'!C22</f>
        <v>150</v>
      </c>
      <c r="T22" s="1481">
        <f t="shared" ca="1" si="10"/>
        <v>2091.9394762685297</v>
      </c>
      <c r="U22" s="1504">
        <f t="shared" ca="1" si="11"/>
        <v>1.7905113346150201</v>
      </c>
      <c r="V22" s="384">
        <f t="shared" ca="1" si="12"/>
        <v>1168.3475194075329</v>
      </c>
      <c r="W22" s="692" t="str">
        <f t="shared" ca="1" si="0"/>
        <v xml:space="preserve"> </v>
      </c>
      <c r="Y22" s="1507">
        <f ca="1">IF($A22&gt;Endyr,0,VLOOKUP($A22,Tariff_Table,Tariff!$J$33))</f>
        <v>0.17</v>
      </c>
      <c r="Z22" s="1504">
        <f ca="1">VLOOKUP($A22,Curves_Table,Escalation!$AH$291)</f>
        <v>1.1347786591515447</v>
      </c>
      <c r="AA22" s="1504">
        <f t="shared" ca="1" si="13"/>
        <v>0.19291237205576262</v>
      </c>
      <c r="AB22" s="334">
        <f ca="1">'Plant Operations'!$I22+'Plant Operations'!$M22</f>
        <v>9360</v>
      </c>
      <c r="AC22" s="1481">
        <f t="shared" ca="1" si="1"/>
        <v>1.8056598024419381</v>
      </c>
      <c r="AD22" s="1504">
        <f t="shared" ca="1" si="2"/>
        <v>1.7905113346150201</v>
      </c>
      <c r="AE22" s="335">
        <f t="shared" ca="1" si="14"/>
        <v>1.0084604143710574</v>
      </c>
      <c r="AF22" s="698" t="str">
        <f t="shared" ca="1" si="3"/>
        <v xml:space="preserve"> </v>
      </c>
    </row>
    <row r="23" spans="1:32">
      <c r="A23" s="672">
        <f ca="1">'Plant Operations'!A23</f>
        <v>36586</v>
      </c>
      <c r="C23" s="1503">
        <f ca="1">IF($A23&gt;Endyr,0,VLOOKUP($A23,Tariff_Table,Tariff!$D$33))</f>
        <v>9586.8761904761886</v>
      </c>
      <c r="E23" s="691">
        <f ca="1">VLOOKUP($A23,Tariff_Table,Tariff!$E$33)</f>
        <v>0.52500038334256949</v>
      </c>
      <c r="F23" s="1481">
        <f t="shared" ca="1" si="4"/>
        <v>5033.1136750577516</v>
      </c>
      <c r="G23" s="1480">
        <f ca="1">VLOOKUP($A23,Curves_Table,Escalation!$N$291)</f>
        <v>1.0374531835205993</v>
      </c>
      <c r="H23" s="1481">
        <f t="shared" ca="1" si="5"/>
        <v>5221.6198052097279</v>
      </c>
      <c r="I23" s="1504">
        <f ca="1">IF(Assm!$L$74=0,VLOOKUP($A23,Curves_Table,Escalation!$D$291),VLOOKUP($A23,Curves_Table,Escalation!$E$291))</f>
        <v>1.7862820340671086</v>
      </c>
      <c r="J23" s="1504">
        <f ca="1">IF($A23&lt;EE_Date,VLOOKUP($A23,Curves_Table,Escalation!$D$291),Exch)</f>
        <v>1.0649999999999999</v>
      </c>
      <c r="K23" s="1505">
        <f t="shared" ca="1" si="6"/>
        <v>8758.0146918076352</v>
      </c>
      <c r="M23" s="691">
        <f ca="1">VLOOKUP($A23,Tariff_Table,Tariff!$F$33)</f>
        <v>0.47499961665743051</v>
      </c>
      <c r="N23" s="1481">
        <f t="shared" ca="1" si="7"/>
        <v>4553.762515418437</v>
      </c>
      <c r="O23" s="1480">
        <f ca="1">VLOOKUP($A23,Curves_Table,Escalation!$R$291)</f>
        <v>1.1347786591515447</v>
      </c>
      <c r="P23" s="1505">
        <f t="shared" ca="1" si="8"/>
        <v>5167.5125213410993</v>
      </c>
      <c r="R23" s="1506">
        <f t="shared" ca="1" si="9"/>
        <v>13925.527213148735</v>
      </c>
      <c r="S23" s="330">
        <f ca="1">'Plant Operations'!C23</f>
        <v>150</v>
      </c>
      <c r="T23" s="1481">
        <f t="shared" ca="1" si="10"/>
        <v>2088.8290819723102</v>
      </c>
      <c r="U23" s="1504">
        <f t="shared" ca="1" si="11"/>
        <v>1.7862820340671086</v>
      </c>
      <c r="V23" s="384">
        <f t="shared" ca="1" si="12"/>
        <v>1169.3724966915472</v>
      </c>
      <c r="W23" s="692" t="str">
        <f t="shared" ca="1" si="0"/>
        <v xml:space="preserve"> </v>
      </c>
      <c r="Y23" s="1507">
        <f ca="1">IF($A23&gt;Endyr,0,VLOOKUP($A23,Tariff_Table,Tariff!$J$33))</f>
        <v>0.17</v>
      </c>
      <c r="Z23" s="1504">
        <f ca="1">VLOOKUP($A23,Curves_Table,Escalation!$AH$291)</f>
        <v>1.1347786591515447</v>
      </c>
      <c r="AA23" s="1504">
        <f t="shared" ca="1" si="13"/>
        <v>0.19291237205576262</v>
      </c>
      <c r="AB23" s="334">
        <f ca="1">'Plant Operations'!$I23+'Plant Operations'!$M23</f>
        <v>9360</v>
      </c>
      <c r="AC23" s="1481">
        <f t="shared" ca="1" si="1"/>
        <v>1.8056598024419381</v>
      </c>
      <c r="AD23" s="1504">
        <f t="shared" ca="1" si="2"/>
        <v>1.7862820340671086</v>
      </c>
      <c r="AE23" s="335">
        <f t="shared" ca="1" si="14"/>
        <v>1.0108481012545982</v>
      </c>
      <c r="AF23" s="698" t="str">
        <f t="shared" ca="1" si="3"/>
        <v xml:space="preserve"> </v>
      </c>
    </row>
    <row r="24" spans="1:32">
      <c r="A24" s="672">
        <f ca="1">'Plant Operations'!A24</f>
        <v>36617</v>
      </c>
      <c r="C24" s="1503">
        <f ca="1">IF($A24&gt;Endyr,0,VLOOKUP($A24,Tariff_Table,Tariff!$D$33))</f>
        <v>9586.8761904761886</v>
      </c>
      <c r="E24" s="691">
        <f ca="1">VLOOKUP($A24,Tariff_Table,Tariff!$E$33)</f>
        <v>0.52500038334256949</v>
      </c>
      <c r="F24" s="1481">
        <f t="shared" ca="1" si="4"/>
        <v>5033.1136750577516</v>
      </c>
      <c r="G24" s="1480">
        <f ca="1">VLOOKUP($A24,Curves_Table,Escalation!$N$291)</f>
        <v>1.0374531835205993</v>
      </c>
      <c r="H24" s="1481">
        <f t="shared" ca="1" si="5"/>
        <v>5221.6198052097279</v>
      </c>
      <c r="I24" s="1504">
        <f ca="1">IF(Assm!$L$74=0,VLOOKUP($A24,Curves_Table,Escalation!$D$291),VLOOKUP($A24,Curves_Table,Escalation!$E$291))</f>
        <v>1.7820627233934743</v>
      </c>
      <c r="J24" s="1504">
        <f ca="1">IF($A24&lt;EE_Date,VLOOKUP($A24,Curves_Table,Escalation!$D$291),Exch)</f>
        <v>1.0649999999999999</v>
      </c>
      <c r="K24" s="1505">
        <f t="shared" ca="1" si="6"/>
        <v>8737.3277094810819</v>
      </c>
      <c r="M24" s="691">
        <f ca="1">VLOOKUP($A24,Tariff_Table,Tariff!$F$33)</f>
        <v>0.47499961665743051</v>
      </c>
      <c r="N24" s="1481">
        <f t="shared" ca="1" si="7"/>
        <v>4553.762515418437</v>
      </c>
      <c r="O24" s="1480">
        <f ca="1">VLOOKUP($A24,Curves_Table,Escalation!$R$291)</f>
        <v>1.1347786591515447</v>
      </c>
      <c r="P24" s="1505">
        <f t="shared" ca="1" si="8"/>
        <v>5167.5125213410993</v>
      </c>
      <c r="R24" s="1506">
        <f t="shared" ca="1" si="9"/>
        <v>13904.840230822181</v>
      </c>
      <c r="S24" s="330">
        <f ca="1">'Plant Operations'!C24</f>
        <v>150</v>
      </c>
      <c r="T24" s="1481">
        <f t="shared" ca="1" si="10"/>
        <v>2085.726034623327</v>
      </c>
      <c r="U24" s="1504">
        <f t="shared" ca="1" si="11"/>
        <v>1.7820627233934743</v>
      </c>
      <c r="V24" s="384">
        <f t="shared" ca="1" si="12"/>
        <v>1170.399900768703</v>
      </c>
      <c r="W24" s="692" t="str">
        <f t="shared" ca="1" si="0"/>
        <v xml:space="preserve"> </v>
      </c>
      <c r="Y24" s="1507">
        <f ca="1">IF($A24&gt;Endyr,0,VLOOKUP($A24,Tariff_Table,Tariff!$J$33))</f>
        <v>0.17</v>
      </c>
      <c r="Z24" s="1504">
        <f ca="1">VLOOKUP($A24,Curves_Table,Escalation!$AH$291)</f>
        <v>1.1347786591515447</v>
      </c>
      <c r="AA24" s="1504">
        <f t="shared" ca="1" si="13"/>
        <v>0.19291237205576262</v>
      </c>
      <c r="AB24" s="334">
        <f ca="1">'Plant Operations'!$I24+'Plant Operations'!$M24</f>
        <v>9360</v>
      </c>
      <c r="AC24" s="1481">
        <f t="shared" ca="1" si="1"/>
        <v>1.8056598024419381</v>
      </c>
      <c r="AD24" s="1504">
        <f t="shared" ca="1" si="2"/>
        <v>1.7820627233934743</v>
      </c>
      <c r="AE24" s="335">
        <f t="shared" ca="1" si="14"/>
        <v>1.0132414413582085</v>
      </c>
      <c r="AF24" s="698" t="str">
        <f t="shared" ca="1" si="3"/>
        <v xml:space="preserve"> </v>
      </c>
    </row>
    <row r="25" spans="1:32">
      <c r="A25" s="672">
        <f ca="1">'Plant Operations'!A25</f>
        <v>36647</v>
      </c>
      <c r="C25" s="1503">
        <f ca="1">IF($A25&gt;Endyr,0,VLOOKUP($A25,Tariff_Table,Tariff!$D$33))</f>
        <v>9586.8761904761886</v>
      </c>
      <c r="E25" s="691">
        <f ca="1">VLOOKUP($A25,Tariff_Table,Tariff!$E$33)</f>
        <v>0.52500038334256949</v>
      </c>
      <c r="F25" s="1481">
        <f t="shared" ca="1" si="4"/>
        <v>5033.1136750577516</v>
      </c>
      <c r="G25" s="1480">
        <f ca="1">VLOOKUP($A25,Curves_Table,Escalation!$N$291)</f>
        <v>1.0620799950339679</v>
      </c>
      <c r="H25" s="1481">
        <f t="shared" ca="1" si="5"/>
        <v>5345.5693470107326</v>
      </c>
      <c r="I25" s="1504">
        <f ca="1">IF(Assm!$L$74=0,VLOOKUP($A25,Curves_Table,Escalation!$D$291),VLOOKUP($A25,Curves_Table,Escalation!$E$291))</f>
        <v>1.7778533789974047</v>
      </c>
      <c r="J25" s="1504">
        <f ca="1">IF($A25&lt;EE_Date,VLOOKUP($A25,Curves_Table,Escalation!$D$291),Exch)</f>
        <v>1.0649999999999999</v>
      </c>
      <c r="K25" s="1505">
        <f t="shared" ca="1" si="6"/>
        <v>8923.6042499981049</v>
      </c>
      <c r="M25" s="691">
        <f ca="1">VLOOKUP($A25,Tariff_Table,Tariff!$F$33)</f>
        <v>0.47499961665743051</v>
      </c>
      <c r="N25" s="1481">
        <f t="shared" ca="1" si="7"/>
        <v>4553.762515418437</v>
      </c>
      <c r="O25" s="1480">
        <f ca="1">VLOOKUP($A25,Curves_Table,Escalation!$R$291)</f>
        <v>1.3015048368339124</v>
      </c>
      <c r="P25" s="1505">
        <f t="shared" ca="1" si="8"/>
        <v>5926.743939610059</v>
      </c>
      <c r="R25" s="1506">
        <f t="shared" ca="1" si="9"/>
        <v>14850.348189608165</v>
      </c>
      <c r="S25" s="330">
        <f ca="1">'Plant Operations'!C25</f>
        <v>150</v>
      </c>
      <c r="T25" s="1481">
        <f t="shared" ca="1" si="10"/>
        <v>2227.552228441225</v>
      </c>
      <c r="U25" s="1504">
        <f t="shared" ca="1" si="11"/>
        <v>1.7778533789974047</v>
      </c>
      <c r="V25" s="384">
        <f t="shared" ca="1" si="12"/>
        <v>1252.9448461590357</v>
      </c>
      <c r="W25" s="692" t="str">
        <f t="shared" ca="1" si="0"/>
        <v xml:space="preserve"> </v>
      </c>
      <c r="Y25" s="1507">
        <f ca="1">IF($A25&gt;Endyr,0,VLOOKUP($A25,Tariff_Table,Tariff!$J$33))</f>
        <v>0.17</v>
      </c>
      <c r="Z25" s="1504">
        <f ca="1">VLOOKUP($A25,Curves_Table,Escalation!$AH$291)</f>
        <v>1.3015048368339124</v>
      </c>
      <c r="AA25" s="1504">
        <f t="shared" ca="1" si="13"/>
        <v>0.22125582226176513</v>
      </c>
      <c r="AB25" s="334">
        <f ca="1">'Plant Operations'!$I25+'Plant Operations'!$M25</f>
        <v>9360</v>
      </c>
      <c r="AC25" s="1481">
        <f t="shared" ca="1" si="1"/>
        <v>2.0709544963701214</v>
      </c>
      <c r="AD25" s="1504">
        <f t="shared" ca="1" si="2"/>
        <v>1.7778533789974047</v>
      </c>
      <c r="AE25" s="335">
        <f t="shared" ca="1" si="14"/>
        <v>1.1648623676368672</v>
      </c>
      <c r="AF25" s="698" t="str">
        <f t="shared" ca="1" si="3"/>
        <v xml:space="preserve"> </v>
      </c>
    </row>
    <row r="26" spans="1:32">
      <c r="A26" s="672">
        <f ca="1">'Plant Operations'!A26</f>
        <v>36678</v>
      </c>
      <c r="C26" s="1503">
        <f ca="1">IF($A26&gt;Endyr,0,VLOOKUP($A26,Tariff_Table,Tariff!$D$33))</f>
        <v>9586.8761904761886</v>
      </c>
      <c r="E26" s="691">
        <f ca="1">VLOOKUP($A26,Tariff_Table,Tariff!$E$33)</f>
        <v>0.52500038334256949</v>
      </c>
      <c r="F26" s="1481">
        <f t="shared" ca="1" si="4"/>
        <v>5033.1136750577516</v>
      </c>
      <c r="G26" s="1480">
        <f ca="1">VLOOKUP($A26,Curves_Table,Escalation!$N$291)</f>
        <v>1.0620799950339679</v>
      </c>
      <c r="H26" s="1481">
        <f t="shared" ca="1" si="5"/>
        <v>5345.5693470107326</v>
      </c>
      <c r="I26" s="1504">
        <f ca="1">IF(Assm!$L$74=0,VLOOKUP($A26,Curves_Table,Escalation!$D$291),VLOOKUP($A26,Curves_Table,Escalation!$E$291))</f>
        <v>1.7736539773379247</v>
      </c>
      <c r="J26" s="1504">
        <f ca="1">IF($A26&lt;EE_Date,VLOOKUP($A26,Curves_Table,Escalation!$D$291),Exch)</f>
        <v>1.0649999999999999</v>
      </c>
      <c r="K26" s="1505">
        <f t="shared" ca="1" si="6"/>
        <v>8902.5261347054275</v>
      </c>
      <c r="M26" s="691">
        <f ca="1">VLOOKUP($A26,Tariff_Table,Tariff!$F$33)</f>
        <v>0.47499961665743051</v>
      </c>
      <c r="N26" s="1481">
        <f t="shared" ca="1" si="7"/>
        <v>4553.762515418437</v>
      </c>
      <c r="O26" s="1480">
        <f ca="1">VLOOKUP($A26,Curves_Table,Escalation!$R$291)</f>
        <v>1.3015048368339124</v>
      </c>
      <c r="P26" s="1505">
        <f t="shared" ca="1" si="8"/>
        <v>5926.743939610059</v>
      </c>
      <c r="R26" s="1506">
        <f t="shared" ca="1" si="9"/>
        <v>14829.270074315486</v>
      </c>
      <c r="S26" s="330">
        <f ca="1">'Plant Operations'!C26</f>
        <v>150</v>
      </c>
      <c r="T26" s="1481">
        <f t="shared" ca="1" si="10"/>
        <v>2224.3905111473232</v>
      </c>
      <c r="U26" s="1504">
        <f t="shared" ca="1" si="11"/>
        <v>1.7736539773379247</v>
      </c>
      <c r="V26" s="384">
        <f t="shared" ca="1" si="12"/>
        <v>1254.1287869948051</v>
      </c>
      <c r="W26" s="692" t="str">
        <f t="shared" ca="1" si="0"/>
        <v xml:space="preserve"> </v>
      </c>
      <c r="Y26" s="1507">
        <f ca="1">IF($A26&gt;Endyr,0,VLOOKUP($A26,Tariff_Table,Tariff!$J$33))</f>
        <v>0.17</v>
      </c>
      <c r="Z26" s="1504">
        <f ca="1">VLOOKUP($A26,Curves_Table,Escalation!$AH$291)</f>
        <v>1.3015048368339124</v>
      </c>
      <c r="AA26" s="1504">
        <f t="shared" ca="1" si="13"/>
        <v>0.22125582226176513</v>
      </c>
      <c r="AB26" s="334">
        <f ca="1">'Plant Operations'!$I26+'Plant Operations'!$M26</f>
        <v>90417.600000000006</v>
      </c>
      <c r="AC26" s="1481">
        <f t="shared" ca="1" si="1"/>
        <v>20.005420434935374</v>
      </c>
      <c r="AD26" s="1504">
        <f t="shared" ca="1" si="2"/>
        <v>1.7736539773379247</v>
      </c>
      <c r="AE26" s="335">
        <f t="shared" ca="1" si="14"/>
        <v>11.279212682149812</v>
      </c>
      <c r="AF26" s="698" t="str">
        <f t="shared" ca="1" si="3"/>
        <v xml:space="preserve"> </v>
      </c>
    </row>
    <row r="27" spans="1:32">
      <c r="A27" s="672">
        <f ca="1">'Plant Operations'!A27</f>
        <v>36708</v>
      </c>
      <c r="C27" s="1503">
        <f ca="1">IF($A27&gt;Endyr,0,VLOOKUP($A27,Tariff_Table,Tariff!$D$33))</f>
        <v>9586.8761904761886</v>
      </c>
      <c r="E27" s="691">
        <f ca="1">VLOOKUP($A27,Tariff_Table,Tariff!$E$33)</f>
        <v>0.52500038334256949</v>
      </c>
      <c r="F27" s="1481">
        <f t="shared" ca="1" si="4"/>
        <v>5033.1136750577516</v>
      </c>
      <c r="G27" s="1480">
        <f ca="1">VLOOKUP($A27,Curves_Table,Escalation!$N$291)</f>
        <v>1.0620799950339679</v>
      </c>
      <c r="H27" s="1481">
        <f t="shared" ca="1" si="5"/>
        <v>5345.5693470107326</v>
      </c>
      <c r="I27" s="1504">
        <f ca="1">IF(Assm!$L$74=0,VLOOKUP($A27,Curves_Table,Escalation!$D$291),VLOOKUP($A27,Curves_Table,Escalation!$E$291))</f>
        <v>1.7694644949296643</v>
      </c>
      <c r="J27" s="1504">
        <f ca="1">IF($A27&lt;EE_Date,VLOOKUP($A27,Curves_Table,Escalation!$D$291),Exch)</f>
        <v>1.0649999999999999</v>
      </c>
      <c r="K27" s="1505">
        <f t="shared" ca="1" si="6"/>
        <v>8881.4978072486774</v>
      </c>
      <c r="M27" s="691">
        <f ca="1">VLOOKUP($A27,Tariff_Table,Tariff!$F$33)</f>
        <v>0.47499961665743051</v>
      </c>
      <c r="N27" s="1481">
        <f t="shared" ca="1" si="7"/>
        <v>4553.762515418437</v>
      </c>
      <c r="O27" s="1480">
        <f ca="1">VLOOKUP($A27,Curves_Table,Escalation!$R$291)</f>
        <v>1.3015048368339124</v>
      </c>
      <c r="P27" s="1505">
        <f t="shared" ca="1" si="8"/>
        <v>5926.743939610059</v>
      </c>
      <c r="R27" s="1506">
        <f t="shared" ca="1" si="9"/>
        <v>14808.241746858737</v>
      </c>
      <c r="S27" s="330">
        <f ca="1">'Plant Operations'!C27</f>
        <v>150</v>
      </c>
      <c r="T27" s="1481">
        <f t="shared" ca="1" si="10"/>
        <v>2221.2362620288104</v>
      </c>
      <c r="U27" s="1504">
        <f t="shared" ca="1" si="11"/>
        <v>1.7694644949296643</v>
      </c>
      <c r="V27" s="384">
        <f t="shared" ca="1" si="12"/>
        <v>1255.3155309946492</v>
      </c>
      <c r="W27" s="692" t="str">
        <f t="shared" ca="1" si="0"/>
        <v xml:space="preserve"> </v>
      </c>
      <c r="Y27" s="1507">
        <f ca="1">IF($A27&gt;Endyr,0,VLOOKUP($A27,Tariff_Table,Tariff!$J$33))</f>
        <v>0.17</v>
      </c>
      <c r="Z27" s="1504">
        <f ca="1">VLOOKUP($A27,Curves_Table,Escalation!$AH$291)</f>
        <v>1.3015048368339124</v>
      </c>
      <c r="AA27" s="1504">
        <f t="shared" ca="1" si="13"/>
        <v>0.22125582226176513</v>
      </c>
      <c r="AB27" s="334">
        <f ca="1">'Plant Operations'!$I27+'Plant Operations'!$M27</f>
        <v>93431.52</v>
      </c>
      <c r="AC27" s="1481">
        <f t="shared" ca="1" si="1"/>
        <v>20.672267782766554</v>
      </c>
      <c r="AD27" s="1504">
        <f t="shared" ca="1" si="2"/>
        <v>1.7694644949296643</v>
      </c>
      <c r="AE27" s="335">
        <f t="shared" ca="1" si="14"/>
        <v>11.682781904922184</v>
      </c>
      <c r="AF27" s="698" t="str">
        <f t="shared" ca="1" si="3"/>
        <v xml:space="preserve"> </v>
      </c>
    </row>
    <row r="28" spans="1:32">
      <c r="A28" s="672">
        <f ca="1">'Plant Operations'!A28</f>
        <v>36739</v>
      </c>
      <c r="C28" s="1503">
        <f ca="1">IF($A28&gt;Endyr,0,VLOOKUP($A28,Tariff_Table,Tariff!$D$33))</f>
        <v>9586.8761904761886</v>
      </c>
      <c r="E28" s="691">
        <f ca="1">VLOOKUP($A28,Tariff_Table,Tariff!$E$33)</f>
        <v>0.52500038334256949</v>
      </c>
      <c r="F28" s="1481">
        <f t="shared" ca="1" si="4"/>
        <v>5033.1136750577516</v>
      </c>
      <c r="G28" s="1480">
        <f ca="1">VLOOKUP($A28,Curves_Table,Escalation!$N$291)</f>
        <v>1.0620799950339679</v>
      </c>
      <c r="H28" s="1481">
        <f t="shared" ca="1" si="5"/>
        <v>5345.5693470107326</v>
      </c>
      <c r="I28" s="1504">
        <f ca="1">IF(Assm!$L$74=0,VLOOKUP($A28,Curves_Table,Escalation!$D$291),VLOOKUP($A28,Curves_Table,Escalation!$E$291))</f>
        <v>1.7652849083427271</v>
      </c>
      <c r="J28" s="1504">
        <f ca="1">IF($A28&lt;EE_Date,VLOOKUP($A28,Curves_Table,Escalation!$D$291),Exch)</f>
        <v>1.0649999999999999</v>
      </c>
      <c r="K28" s="1505">
        <f t="shared" ca="1" si="6"/>
        <v>8860.5191500258534</v>
      </c>
      <c r="M28" s="691">
        <f ca="1">VLOOKUP($A28,Tariff_Table,Tariff!$F$33)</f>
        <v>0.47499961665743051</v>
      </c>
      <c r="N28" s="1481">
        <f t="shared" ca="1" si="7"/>
        <v>4553.762515418437</v>
      </c>
      <c r="O28" s="1480">
        <f ca="1">VLOOKUP($A28,Curves_Table,Escalation!$R$291)</f>
        <v>1.3015048368339124</v>
      </c>
      <c r="P28" s="1505">
        <f t="shared" ca="1" si="8"/>
        <v>5926.743939610059</v>
      </c>
      <c r="R28" s="1506">
        <f t="shared" ca="1" si="9"/>
        <v>14787.263089635911</v>
      </c>
      <c r="S28" s="330">
        <f ca="1">'Plant Operations'!C28</f>
        <v>150</v>
      </c>
      <c r="T28" s="1481">
        <f t="shared" ca="1" si="10"/>
        <v>2218.0894634453866</v>
      </c>
      <c r="U28" s="1504">
        <f t="shared" ca="1" si="11"/>
        <v>1.7652849083427271</v>
      </c>
      <c r="V28" s="384">
        <f t="shared" ca="1" si="12"/>
        <v>1256.5050847954953</v>
      </c>
      <c r="W28" s="692" t="str">
        <f t="shared" ca="1" si="0"/>
        <v xml:space="preserve"> </v>
      </c>
      <c r="Y28" s="1507">
        <f ca="1">IF($A28&gt;Endyr,0,VLOOKUP($A28,Tariff_Table,Tariff!$J$33))</f>
        <v>0.17</v>
      </c>
      <c r="Z28" s="1504">
        <f ca="1">VLOOKUP($A28,Curves_Table,Escalation!$AH$291)</f>
        <v>1.3015048368339124</v>
      </c>
      <c r="AA28" s="1504">
        <f t="shared" ca="1" si="13"/>
        <v>0.22125582226176513</v>
      </c>
      <c r="AB28" s="334">
        <f ca="1">'Plant Operations'!$I28+'Plant Operations'!$M28</f>
        <v>93431.52</v>
      </c>
      <c r="AC28" s="1481">
        <f t="shared" ca="1" si="1"/>
        <v>20.672267782766554</v>
      </c>
      <c r="AD28" s="1504">
        <f t="shared" ca="1" si="2"/>
        <v>1.7652849083427271</v>
      </c>
      <c r="AE28" s="335">
        <f t="shared" ca="1" si="14"/>
        <v>11.710442708182416</v>
      </c>
      <c r="AF28" s="698" t="str">
        <f t="shared" ca="1" si="3"/>
        <v xml:space="preserve"> </v>
      </c>
    </row>
    <row r="29" spans="1:32">
      <c r="A29" s="672">
        <f ca="1">'Plant Operations'!A29</f>
        <v>36770</v>
      </c>
      <c r="C29" s="1503">
        <f ca="1">IF($A29&gt;Endyr,0,VLOOKUP($A29,Tariff_Table,Tariff!$D$33))</f>
        <v>9586.8761904761886</v>
      </c>
      <c r="E29" s="691">
        <f ca="1">VLOOKUP($A29,Tariff_Table,Tariff!$E$33)</f>
        <v>0.52500038334256949</v>
      </c>
      <c r="F29" s="1481">
        <f t="shared" ca="1" si="4"/>
        <v>5033.1136750577516</v>
      </c>
      <c r="G29" s="1480">
        <f ca="1">VLOOKUP($A29,Curves_Table,Escalation!$N$291)</f>
        <v>1.0620799950339679</v>
      </c>
      <c r="H29" s="1481">
        <f t="shared" ca="1" si="5"/>
        <v>5345.5693470107326</v>
      </c>
      <c r="I29" s="1504">
        <f ca="1">IF(Assm!$L$74=0,VLOOKUP($A29,Curves_Table,Escalation!$D$291),VLOOKUP($A29,Curves_Table,Escalation!$E$291))</f>
        <v>1.76111519420256</v>
      </c>
      <c r="J29" s="1504">
        <f ca="1">IF($A29&lt;EE_Date,VLOOKUP($A29,Curves_Table,Escalation!$D$291),Exch)</f>
        <v>1.0649999999999999</v>
      </c>
      <c r="K29" s="1505">
        <f t="shared" ca="1" si="6"/>
        <v>8839.5900457127318</v>
      </c>
      <c r="M29" s="691">
        <f ca="1">VLOOKUP($A29,Tariff_Table,Tariff!$F$33)</f>
        <v>0.47499961665743051</v>
      </c>
      <c r="N29" s="1481">
        <f t="shared" ca="1" si="7"/>
        <v>4553.762515418437</v>
      </c>
      <c r="O29" s="1480">
        <f ca="1">VLOOKUP($A29,Curves_Table,Escalation!$R$291)</f>
        <v>1.3015048368339124</v>
      </c>
      <c r="P29" s="1505">
        <f t="shared" ca="1" si="8"/>
        <v>5926.743939610059</v>
      </c>
      <c r="R29" s="1506">
        <f t="shared" ca="1" si="9"/>
        <v>14766.333985322792</v>
      </c>
      <c r="S29" s="330">
        <f ca="1">'Plant Operations'!C29</f>
        <v>150</v>
      </c>
      <c r="T29" s="1481">
        <f t="shared" ca="1" si="10"/>
        <v>2214.9500977984189</v>
      </c>
      <c r="U29" s="1504">
        <f t="shared" ca="1" si="11"/>
        <v>1.76111519420256</v>
      </c>
      <c r="V29" s="384">
        <f t="shared" ca="1" si="12"/>
        <v>1257.6974550499845</v>
      </c>
      <c r="W29" s="692" t="str">
        <f t="shared" ca="1" si="0"/>
        <v xml:space="preserve"> </v>
      </c>
      <c r="Y29" s="1507">
        <f ca="1">IF($A29&gt;Endyr,0,VLOOKUP($A29,Tariff_Table,Tariff!$J$33))</f>
        <v>0.17</v>
      </c>
      <c r="Z29" s="1504">
        <f ca="1">VLOOKUP($A29,Curves_Table,Escalation!$AH$291)</f>
        <v>1.3015048368339124</v>
      </c>
      <c r="AA29" s="1504">
        <f t="shared" ca="1" si="13"/>
        <v>0.22125582226176513</v>
      </c>
      <c r="AB29" s="334">
        <f ca="1">'Plant Operations'!$I29+'Plant Operations'!$M29</f>
        <v>90417.600000000006</v>
      </c>
      <c r="AC29" s="1481">
        <f t="shared" ca="1" si="1"/>
        <v>20.005420434935374</v>
      </c>
      <c r="AD29" s="1504">
        <f t="shared" ca="1" si="2"/>
        <v>1.76111519420256</v>
      </c>
      <c r="AE29" s="335">
        <f t="shared" ca="1" si="14"/>
        <v>11.35951838970642</v>
      </c>
      <c r="AF29" s="698" t="str">
        <f t="shared" ca="1" si="3"/>
        <v xml:space="preserve"> </v>
      </c>
    </row>
    <row r="30" spans="1:32">
      <c r="A30" s="672">
        <f ca="1">'Plant Operations'!A30</f>
        <v>36800</v>
      </c>
      <c r="C30" s="1503">
        <f ca="1">IF($A30&gt;Endyr,0,VLOOKUP($A30,Tariff_Table,Tariff!$D$33))</f>
        <v>9586.8761904761886</v>
      </c>
      <c r="E30" s="691">
        <f ca="1">VLOOKUP($A30,Tariff_Table,Tariff!$E$33)</f>
        <v>0.52500038334256949</v>
      </c>
      <c r="F30" s="1481">
        <f t="shared" ca="1" si="4"/>
        <v>5033.1136750577516</v>
      </c>
      <c r="G30" s="1480">
        <f ca="1">VLOOKUP($A30,Curves_Table,Escalation!$N$291)</f>
        <v>1.0620799950339679</v>
      </c>
      <c r="H30" s="1481">
        <f t="shared" ca="1" si="5"/>
        <v>5345.5693470107326</v>
      </c>
      <c r="I30" s="1504">
        <f ca="1">IF(Assm!$L$74=0,VLOOKUP($A30,Curves_Table,Escalation!$D$291),VLOOKUP($A30,Curves_Table,Escalation!$E$291))</f>
        <v>1.7569553291898219</v>
      </c>
      <c r="J30" s="1504">
        <f ca="1">IF($A30&lt;EE_Date,VLOOKUP($A30,Curves_Table,Escalation!$D$291),Exch)</f>
        <v>1.0649999999999999</v>
      </c>
      <c r="K30" s="1505">
        <f t="shared" ca="1" si="6"/>
        <v>8818.7103772622195</v>
      </c>
      <c r="M30" s="691">
        <f ca="1">VLOOKUP($A30,Tariff_Table,Tariff!$F$33)</f>
        <v>0.47499961665743051</v>
      </c>
      <c r="N30" s="1481">
        <f t="shared" ca="1" si="7"/>
        <v>4553.762515418437</v>
      </c>
      <c r="O30" s="1480">
        <f ca="1">VLOOKUP($A30,Curves_Table,Escalation!$R$291)</f>
        <v>1.3015048368339124</v>
      </c>
      <c r="P30" s="1505">
        <f t="shared" ca="1" si="8"/>
        <v>5926.743939610059</v>
      </c>
      <c r="R30" s="1506">
        <f t="shared" ca="1" si="9"/>
        <v>14745.454316872278</v>
      </c>
      <c r="S30" s="330">
        <f ca="1">'Plant Operations'!C30</f>
        <v>150</v>
      </c>
      <c r="T30" s="1481">
        <f t="shared" ca="1" si="10"/>
        <v>2211.8181475308415</v>
      </c>
      <c r="U30" s="1504">
        <f t="shared" ca="1" si="11"/>
        <v>1.7569553291898219</v>
      </c>
      <c r="V30" s="384">
        <f t="shared" ca="1" si="12"/>
        <v>1258.8926484265078</v>
      </c>
      <c r="W30" s="692" t="str">
        <f t="shared" ca="1" si="0"/>
        <v xml:space="preserve"> </v>
      </c>
      <c r="Y30" s="1507">
        <f ca="1">IF($A30&gt;Endyr,0,VLOOKUP($A30,Tariff_Table,Tariff!$J$33))</f>
        <v>0.17</v>
      </c>
      <c r="Z30" s="1504">
        <f ca="1">VLOOKUP($A30,Curves_Table,Escalation!$AH$291)</f>
        <v>1.3015048368339124</v>
      </c>
      <c r="AA30" s="1504">
        <f t="shared" ca="1" si="13"/>
        <v>0.22125582226176513</v>
      </c>
      <c r="AB30" s="334">
        <f ca="1">'Plant Operations'!$I30+'Plant Operations'!$M30</f>
        <v>93431.52</v>
      </c>
      <c r="AC30" s="1481">
        <f t="shared" ca="1" si="1"/>
        <v>20.672267782766554</v>
      </c>
      <c r="AD30" s="1504">
        <f t="shared" ca="1" si="2"/>
        <v>1.7569553291898219</v>
      </c>
      <c r="AE30" s="335">
        <f t="shared" ca="1" si="14"/>
        <v>11.765960943525569</v>
      </c>
      <c r="AF30" s="698" t="str">
        <f t="shared" ca="1" si="3"/>
        <v xml:space="preserve"> </v>
      </c>
    </row>
    <row r="31" spans="1:32">
      <c r="A31" s="672">
        <f ca="1">'Plant Operations'!A31</f>
        <v>36831</v>
      </c>
      <c r="C31" s="1503">
        <f ca="1">IF($A31&gt;Endyr,0,VLOOKUP($A31,Tariff_Table,Tariff!$D$33))</f>
        <v>9586.8761904761886</v>
      </c>
      <c r="E31" s="691">
        <f ca="1">VLOOKUP($A31,Tariff_Table,Tariff!$E$33)</f>
        <v>0.52500038334256949</v>
      </c>
      <c r="F31" s="1481">
        <f t="shared" ca="1" si="4"/>
        <v>5033.1136750577516</v>
      </c>
      <c r="G31" s="1480">
        <f ca="1">VLOOKUP($A31,Curves_Table,Escalation!$N$291)</f>
        <v>1.0620799950339679</v>
      </c>
      <c r="H31" s="1481">
        <f t="shared" ca="1" si="5"/>
        <v>5345.5693470107326</v>
      </c>
      <c r="I31" s="1504">
        <f ca="1">IF(Assm!$L$74=0,VLOOKUP($A31,Curves_Table,Escalation!$D$291),VLOOKUP($A31,Curves_Table,Escalation!$E$291))</f>
        <v>1.7528052900402533</v>
      </c>
      <c r="J31" s="1504">
        <f ca="1">IF($A31&lt;EE_Date,VLOOKUP($A31,Curves_Table,Escalation!$D$291),Exch)</f>
        <v>1.0649999999999999</v>
      </c>
      <c r="K31" s="1505">
        <f t="shared" ca="1" si="6"/>
        <v>8797.880027903695</v>
      </c>
      <c r="M31" s="691">
        <f ca="1">VLOOKUP($A31,Tariff_Table,Tariff!$F$33)</f>
        <v>0.47499961665743051</v>
      </c>
      <c r="N31" s="1481">
        <f t="shared" ca="1" si="7"/>
        <v>4553.762515418437</v>
      </c>
      <c r="O31" s="1480">
        <f ca="1">VLOOKUP($A31,Curves_Table,Escalation!$R$291)</f>
        <v>1.3015048368339124</v>
      </c>
      <c r="P31" s="1505">
        <f t="shared" ca="1" si="8"/>
        <v>5926.743939610059</v>
      </c>
      <c r="R31" s="1506">
        <f t="shared" ca="1" si="9"/>
        <v>14724.623967513755</v>
      </c>
      <c r="S31" s="330">
        <f ca="1">'Plant Operations'!C31</f>
        <v>150</v>
      </c>
      <c r="T31" s="1481">
        <f t="shared" ca="1" si="10"/>
        <v>2208.6935951270634</v>
      </c>
      <c r="U31" s="1504">
        <f t="shared" ca="1" si="11"/>
        <v>1.7528052900402533</v>
      </c>
      <c r="V31" s="384">
        <f t="shared" ca="1" si="12"/>
        <v>1260.0906716092468</v>
      </c>
      <c r="W31" s="692" t="str">
        <f t="shared" ca="1" si="0"/>
        <v xml:space="preserve"> </v>
      </c>
      <c r="Y31" s="1507">
        <f ca="1">IF($A31&gt;Endyr,0,VLOOKUP($A31,Tariff_Table,Tariff!$J$33))</f>
        <v>0.17</v>
      </c>
      <c r="Z31" s="1504">
        <f ca="1">VLOOKUP($A31,Curves_Table,Escalation!$AH$291)</f>
        <v>1.3015048368339124</v>
      </c>
      <c r="AA31" s="1504">
        <f t="shared" ca="1" si="13"/>
        <v>0.22125582226176513</v>
      </c>
      <c r="AB31" s="334">
        <f ca="1">'Plant Operations'!$I31+'Plant Operations'!$M31</f>
        <v>90417.600000000006</v>
      </c>
      <c r="AC31" s="1481">
        <f t="shared" ca="1" si="1"/>
        <v>20.005420434935374</v>
      </c>
      <c r="AD31" s="1504">
        <f t="shared" ca="1" si="2"/>
        <v>1.7528052900402533</v>
      </c>
      <c r="AE31" s="335">
        <f t="shared" ca="1" si="14"/>
        <v>11.413372922029433</v>
      </c>
      <c r="AF31" s="698" t="str">
        <f t="shared" ca="1" si="3"/>
        <v xml:space="preserve"> </v>
      </c>
    </row>
    <row r="32" spans="1:32">
      <c r="A32" s="672">
        <f ca="1">'Plant Operations'!A32</f>
        <v>36861</v>
      </c>
      <c r="C32" s="1503">
        <f ca="1">IF($A32&gt;Endyr,0,VLOOKUP($A32,Tariff_Table,Tariff!$D$33))</f>
        <v>9586.8761904761886</v>
      </c>
      <c r="E32" s="691">
        <f ca="1">VLOOKUP($A32,Tariff_Table,Tariff!$E$33)</f>
        <v>0.52500038334256949</v>
      </c>
      <c r="F32" s="1481">
        <f t="shared" ca="1" si="4"/>
        <v>5033.1136750577516</v>
      </c>
      <c r="G32" s="1480">
        <f ca="1">VLOOKUP($A32,Curves_Table,Escalation!$N$291)</f>
        <v>1.0620799950339679</v>
      </c>
      <c r="H32" s="1481">
        <f t="shared" ca="1" si="5"/>
        <v>5345.5693470107326</v>
      </c>
      <c r="I32" s="1504">
        <f ca="1">IF(Assm!$L$74=0,VLOOKUP($A32,Curves_Table,Escalation!$D$291),VLOOKUP($A32,Curves_Table,Escalation!$E$291))</f>
        <v>1.8038677232680336</v>
      </c>
      <c r="J32" s="1504">
        <f ca="1">IF($A32&lt;EE_Date,VLOOKUP($A32,Curves_Table,Escalation!$D$291),Exch)</f>
        <v>1.0649999999999999</v>
      </c>
      <c r="K32" s="1505">
        <f t="shared" ca="1" si="6"/>
        <v>9054.1784108578777</v>
      </c>
      <c r="M32" s="691">
        <f ca="1">VLOOKUP($A32,Tariff_Table,Tariff!$F$33)</f>
        <v>0.47499961665743051</v>
      </c>
      <c r="N32" s="1481">
        <f t="shared" ca="1" si="7"/>
        <v>4553.762515418437</v>
      </c>
      <c r="O32" s="1480">
        <f ca="1">VLOOKUP($A32,Curves_Table,Escalation!$R$291)</f>
        <v>1.3015048368339124</v>
      </c>
      <c r="P32" s="1505">
        <f t="shared" ca="1" si="8"/>
        <v>5926.743939610059</v>
      </c>
      <c r="R32" s="1506">
        <f t="shared" ca="1" si="9"/>
        <v>14980.922350467936</v>
      </c>
      <c r="S32" s="330">
        <f ca="1">'Plant Operations'!C32</f>
        <v>150</v>
      </c>
      <c r="T32" s="1481">
        <f t="shared" ca="1" si="10"/>
        <v>2247.1383525701904</v>
      </c>
      <c r="U32" s="1504">
        <f t="shared" ca="1" si="11"/>
        <v>1.8038677232680336</v>
      </c>
      <c r="V32" s="384">
        <f t="shared" ca="1" si="12"/>
        <v>1245.733444633674</v>
      </c>
      <c r="W32" s="692">
        <f t="shared" ca="1" si="0"/>
        <v>14716.753348715603</v>
      </c>
      <c r="Y32" s="1507">
        <f ca="1">IF($A32&gt;Endyr,0,VLOOKUP($A32,Tariff_Table,Tariff!$J$33))</f>
        <v>0.17</v>
      </c>
      <c r="Z32" s="1504">
        <f ca="1">VLOOKUP($A32,Curves_Table,Escalation!$AH$291)</f>
        <v>1.3015048368339124</v>
      </c>
      <c r="AA32" s="1504">
        <f t="shared" ca="1" si="13"/>
        <v>0.22125582226176513</v>
      </c>
      <c r="AB32" s="334">
        <f ca="1">'Plant Operations'!$I32+'Plant Operations'!$M32</f>
        <v>93431.52</v>
      </c>
      <c r="AC32" s="1481">
        <f t="shared" ca="1" si="1"/>
        <v>20.672267782766554</v>
      </c>
      <c r="AD32" s="1504">
        <f t="shared" ca="1" si="2"/>
        <v>1.8038677232680336</v>
      </c>
      <c r="AE32" s="335">
        <f t="shared" ca="1" si="14"/>
        <v>11.459968774935998</v>
      </c>
      <c r="AF32" s="698">
        <f t="shared" ca="1" si="3"/>
        <v>85.874749017426893</v>
      </c>
    </row>
    <row r="33" spans="1:32">
      <c r="A33" s="672">
        <f ca="1">'Plant Operations'!A33</f>
        <v>36892</v>
      </c>
      <c r="C33" s="1503">
        <f ca="1">IF($A33&gt;Endyr,0,VLOOKUP($A33,Tariff_Table,Tariff!$D$33))</f>
        <v>9586.8761904761886</v>
      </c>
      <c r="E33" s="691">
        <f ca="1">VLOOKUP($A33,Tariff_Table,Tariff!$E$33)</f>
        <v>0.52500038334256949</v>
      </c>
      <c r="F33" s="1481">
        <f t="shared" ca="1" si="4"/>
        <v>5033.1136750577516</v>
      </c>
      <c r="G33" s="1480">
        <f ca="1">VLOOKUP($A33,Curves_Table,Escalation!$N$291)</f>
        <v>1.0620799950339679</v>
      </c>
      <c r="H33" s="1481">
        <f t="shared" ca="1" si="5"/>
        <v>5345.5693470107326</v>
      </c>
      <c r="I33" s="1504">
        <f ca="1">IF(Assm!$L$74=0,VLOOKUP($A33,Curves_Table,Escalation!$D$291),VLOOKUP($A33,Curves_Table,Escalation!$E$291))</f>
        <v>1.8188212690525873</v>
      </c>
      <c r="J33" s="1504">
        <f ca="1">IF($A33&lt;EE_Date,VLOOKUP($A33,Curves_Table,Escalation!$D$291),Exch)</f>
        <v>1.0649999999999999</v>
      </c>
      <c r="K33" s="1505">
        <f t="shared" ca="1" si="6"/>
        <v>9129.2349516795039</v>
      </c>
      <c r="M33" s="691">
        <f ca="1">VLOOKUP($A33,Tariff_Table,Tariff!$F$33)</f>
        <v>0.47499961665743051</v>
      </c>
      <c r="N33" s="1481">
        <f t="shared" ca="1" si="7"/>
        <v>4553.762515418437</v>
      </c>
      <c r="O33" s="1480">
        <f ca="1">VLOOKUP($A33,Curves_Table,Escalation!$R$291)</f>
        <v>1.3015048368339124</v>
      </c>
      <c r="P33" s="1505">
        <f t="shared" ca="1" si="8"/>
        <v>5926.743939610059</v>
      </c>
      <c r="R33" s="1506">
        <f t="shared" ca="1" si="9"/>
        <v>15055.978891289564</v>
      </c>
      <c r="S33" s="330">
        <f ca="1">'Plant Operations'!C33</f>
        <v>150</v>
      </c>
      <c r="T33" s="1481">
        <f t="shared" ca="1" si="10"/>
        <v>2258.3968336934345</v>
      </c>
      <c r="U33" s="1504">
        <f t="shared" ca="1" si="11"/>
        <v>1.8188212690525873</v>
      </c>
      <c r="V33" s="384">
        <f t="shared" ca="1" si="12"/>
        <v>1241.6815616356957</v>
      </c>
      <c r="W33" s="692" t="str">
        <f t="shared" ca="1" si="0"/>
        <v xml:space="preserve"> </v>
      </c>
      <c r="Y33" s="1507">
        <f ca="1">IF($A33&gt;Endyr,0,VLOOKUP($A33,Tariff_Table,Tariff!$J$33))</f>
        <v>0.17</v>
      </c>
      <c r="Z33" s="1504">
        <f ca="1">VLOOKUP($A33,Curves_Table,Escalation!$AH$291)</f>
        <v>1.3015048368339124</v>
      </c>
      <c r="AA33" s="1504">
        <f t="shared" ca="1" si="13"/>
        <v>0.22125582226176513</v>
      </c>
      <c r="AB33" s="334">
        <f ca="1">'Plant Operations'!$I33+'Plant Operations'!$M33</f>
        <v>93431.52</v>
      </c>
      <c r="AC33" s="1481">
        <f t="shared" ca="1" si="1"/>
        <v>20.672267782766554</v>
      </c>
      <c r="AD33" s="1504">
        <f t="shared" ca="1" si="2"/>
        <v>1.8188212690525873</v>
      </c>
      <c r="AE33" s="335">
        <f t="shared" ca="1" si="14"/>
        <v>11.365749969228482</v>
      </c>
      <c r="AF33" s="698" t="str">
        <f t="shared" ca="1" si="3"/>
        <v xml:space="preserve"> </v>
      </c>
    </row>
    <row r="34" spans="1:32">
      <c r="A34" s="672">
        <f ca="1">'Plant Operations'!A34</f>
        <v>36923</v>
      </c>
      <c r="C34" s="1503">
        <f ca="1">IF($A34&gt;Endyr,0,VLOOKUP($A34,Tariff_Table,Tariff!$D$33))</f>
        <v>9586.8761904761886</v>
      </c>
      <c r="E34" s="691">
        <f ca="1">VLOOKUP($A34,Tariff_Table,Tariff!$E$33)</f>
        <v>0.52500038334256949</v>
      </c>
      <c r="F34" s="1481">
        <f t="shared" ca="1" si="4"/>
        <v>5033.1136750577516</v>
      </c>
      <c r="G34" s="1480">
        <f ca="1">VLOOKUP($A34,Curves_Table,Escalation!$N$291)</f>
        <v>1.0620799950339679</v>
      </c>
      <c r="H34" s="1481">
        <f t="shared" ca="1" si="5"/>
        <v>5345.5693470107326</v>
      </c>
      <c r="I34" s="1504">
        <f ca="1">IF(Assm!$L$74=0,VLOOKUP($A34,Curves_Table,Escalation!$D$291),VLOOKUP($A34,Curves_Table,Escalation!$E$291))</f>
        <v>1.8338987754405969</v>
      </c>
      <c r="J34" s="1504">
        <f ca="1">IF($A34&lt;EE_Date,VLOOKUP($A34,Curves_Table,Escalation!$D$291),Exch)</f>
        <v>1.0649999999999999</v>
      </c>
      <c r="K34" s="1505">
        <f t="shared" ca="1" si="6"/>
        <v>9204.9136896861728</v>
      </c>
      <c r="M34" s="691">
        <f ca="1">VLOOKUP($A34,Tariff_Table,Tariff!$F$33)</f>
        <v>0.47499961665743051</v>
      </c>
      <c r="N34" s="1481">
        <f t="shared" ca="1" si="7"/>
        <v>4553.762515418437</v>
      </c>
      <c r="O34" s="1480">
        <f ca="1">VLOOKUP($A34,Curves_Table,Escalation!$R$291)</f>
        <v>1.3015048368339124</v>
      </c>
      <c r="P34" s="1505">
        <f t="shared" ca="1" si="8"/>
        <v>5926.743939610059</v>
      </c>
      <c r="R34" s="1506">
        <f t="shared" ca="1" si="9"/>
        <v>15131.657629296231</v>
      </c>
      <c r="S34" s="330">
        <f ca="1">'Plant Operations'!C34</f>
        <v>150</v>
      </c>
      <c r="T34" s="1481">
        <f t="shared" ca="1" si="10"/>
        <v>2269.7486443944345</v>
      </c>
      <c r="U34" s="1504">
        <f t="shared" ca="1" si="11"/>
        <v>1.8338987754405969</v>
      </c>
      <c r="V34" s="384">
        <f t="shared" ca="1" si="12"/>
        <v>1237.6629914315331</v>
      </c>
      <c r="W34" s="692" t="str">
        <f t="shared" ca="1" si="0"/>
        <v xml:space="preserve"> </v>
      </c>
      <c r="Y34" s="1507">
        <f ca="1">IF($A34&gt;Endyr,0,VLOOKUP($A34,Tariff_Table,Tariff!$J$33))</f>
        <v>0.17</v>
      </c>
      <c r="Z34" s="1504">
        <f ca="1">VLOOKUP($A34,Curves_Table,Escalation!$AH$291)</f>
        <v>1.3015048368339124</v>
      </c>
      <c r="AA34" s="1504">
        <f t="shared" ca="1" si="13"/>
        <v>0.22125582226176513</v>
      </c>
      <c r="AB34" s="334">
        <f ca="1">'Plant Operations'!$I34+'Plant Operations'!$M34</f>
        <v>84389.759999999995</v>
      </c>
      <c r="AC34" s="1481">
        <f t="shared" ca="1" si="1"/>
        <v>18.671725739273015</v>
      </c>
      <c r="AD34" s="1504">
        <f t="shared" ca="1" si="2"/>
        <v>1.8338987754405969</v>
      </c>
      <c r="AE34" s="335">
        <f t="shared" ca="1" si="14"/>
        <v>10.181437486803002</v>
      </c>
      <c r="AF34" s="698" t="str">
        <f t="shared" ca="1" si="3"/>
        <v xml:space="preserve"> </v>
      </c>
    </row>
    <row r="35" spans="1:32">
      <c r="A35" s="672">
        <f ca="1">'Plant Operations'!A35</f>
        <v>36951</v>
      </c>
      <c r="C35" s="1503">
        <f ca="1">IF($A35&gt;Endyr,0,VLOOKUP($A35,Tariff_Table,Tariff!$D$33))</f>
        <v>9984.454545454546</v>
      </c>
      <c r="E35" s="691">
        <f ca="1">VLOOKUP($A35,Tariff_Table,Tariff!$E$33)</f>
        <v>0.99000046207829151</v>
      </c>
      <c r="F35" s="1481">
        <f t="shared" ca="1" si="4"/>
        <v>9884.6146135996987</v>
      </c>
      <c r="G35" s="1480">
        <f ca="1">VLOOKUP($A35,Curves_Table,Escalation!$N$291)</f>
        <v>1.0620799950339679</v>
      </c>
      <c r="H35" s="1481">
        <f t="shared" ca="1" si="5"/>
        <v>10498.251439724654</v>
      </c>
      <c r="I35" s="1504">
        <f ca="1">IF(Assm!$L$74=0,VLOOKUP($A35,Curves_Table,Escalation!$D$291),VLOOKUP($A35,Curves_Table,Escalation!$E$291))</f>
        <v>1.849101270029893</v>
      </c>
      <c r="J35" s="1504">
        <f ca="1">IF($A35&lt;EE_Date,VLOOKUP($A35,Curves_Table,Escalation!$D$291),Exch)</f>
        <v>1.0649999999999999</v>
      </c>
      <c r="K35" s="1505">
        <f t="shared" ca="1" si="6"/>
        <v>18227.539972101422</v>
      </c>
      <c r="M35" s="691">
        <f ca="1">VLOOKUP($A35,Tariff_Table,Tariff!$F$33)</f>
        <v>9.9995379217084901E-3</v>
      </c>
      <c r="N35" s="1481">
        <f t="shared" ca="1" si="7"/>
        <v>99.839931854847435</v>
      </c>
      <c r="O35" s="1480">
        <f ca="1">VLOOKUP($A35,Curves_Table,Escalation!$R$291)</f>
        <v>1.3015048368339124</v>
      </c>
      <c r="P35" s="1505">
        <f t="shared" ca="1" si="8"/>
        <v>129.94215421825214</v>
      </c>
      <c r="R35" s="1506">
        <f t="shared" ca="1" si="9"/>
        <v>18357.482126319675</v>
      </c>
      <c r="S35" s="330">
        <f ca="1">'Plant Operations'!C35</f>
        <v>150</v>
      </c>
      <c r="T35" s="1481">
        <f t="shared" ca="1" si="10"/>
        <v>2753.6223189479515</v>
      </c>
      <c r="U35" s="1504">
        <f t="shared" ca="1" si="11"/>
        <v>1.849101270029893</v>
      </c>
      <c r="V35" s="384">
        <f t="shared" ca="1" si="12"/>
        <v>1489.1679344871338</v>
      </c>
      <c r="W35" s="692" t="str">
        <f t="shared" ca="1" si="0"/>
        <v xml:space="preserve"> </v>
      </c>
      <c r="Y35" s="1507">
        <f ca="1">IF($A35&gt;Endyr,0,VLOOKUP($A35,Tariff_Table,Tariff!$J$33))</f>
        <v>7.4550000000000005E-2</v>
      </c>
      <c r="Z35" s="1504">
        <f ca="1">VLOOKUP($A35,Curves_Table,Escalation!$AH$291)</f>
        <v>1.3015048368339124</v>
      </c>
      <c r="AA35" s="1504">
        <f t="shared" ca="1" si="13"/>
        <v>9.7027185585968179E-2</v>
      </c>
      <c r="AB35" s="334">
        <f ca="1">'Plant Operations'!$I35+'Plant Operations'!$M35</f>
        <v>12600</v>
      </c>
      <c r="AC35" s="1481">
        <f t="shared" ca="1" si="1"/>
        <v>1.2225425383831992</v>
      </c>
      <c r="AD35" s="1504">
        <f t="shared" ca="1" si="2"/>
        <v>1.849101270029893</v>
      </c>
      <c r="AE35" s="335">
        <f t="shared" ca="1" si="14"/>
        <v>0.66115499361667474</v>
      </c>
      <c r="AF35" s="698" t="str">
        <f t="shared" ca="1" si="3"/>
        <v xml:space="preserve"> </v>
      </c>
    </row>
    <row r="36" spans="1:32">
      <c r="A36" s="672">
        <f ca="1">'Plant Operations'!A36</f>
        <v>36982</v>
      </c>
      <c r="C36" s="1503">
        <f ca="1">IF($A36&gt;Endyr,0,VLOOKUP($A36,Tariff_Table,Tariff!$D$33))</f>
        <v>9984.454545454546</v>
      </c>
      <c r="E36" s="691">
        <f ca="1">VLOOKUP($A36,Tariff_Table,Tariff!$E$33)</f>
        <v>0.99000046207829151</v>
      </c>
      <c r="F36" s="1481">
        <f t="shared" ca="1" si="4"/>
        <v>9884.6146135996987</v>
      </c>
      <c r="G36" s="1480">
        <f ca="1">VLOOKUP($A36,Curves_Table,Escalation!$N$291)</f>
        <v>1.0620799950339679</v>
      </c>
      <c r="H36" s="1481">
        <f t="shared" ca="1" si="5"/>
        <v>10498.251439724654</v>
      </c>
      <c r="I36" s="1504">
        <f ca="1">IF(Assm!$L$74=0,VLOOKUP($A36,Curves_Table,Escalation!$D$291),VLOOKUP($A36,Curves_Table,Escalation!$E$291))</f>
        <v>1.8644297889367973</v>
      </c>
      <c r="J36" s="1504">
        <f ca="1">IF($A36&lt;EE_Date,VLOOKUP($A36,Curves_Table,Escalation!$D$291),Exch)</f>
        <v>1.0649999999999999</v>
      </c>
      <c r="K36" s="1505">
        <f t="shared" ca="1" si="6"/>
        <v>18378.641047860347</v>
      </c>
      <c r="M36" s="691">
        <f ca="1">VLOOKUP($A36,Tariff_Table,Tariff!$F$33)</f>
        <v>9.9995379217084901E-3</v>
      </c>
      <c r="N36" s="1481">
        <f t="shared" ca="1" si="7"/>
        <v>99.839931854847435</v>
      </c>
      <c r="O36" s="1480">
        <f ca="1">VLOOKUP($A36,Curves_Table,Escalation!$R$291)</f>
        <v>1.3015048368339124</v>
      </c>
      <c r="P36" s="1505">
        <f t="shared" ca="1" si="8"/>
        <v>129.94215421825214</v>
      </c>
      <c r="R36" s="1506">
        <f t="shared" ca="1" si="9"/>
        <v>18508.5832020786</v>
      </c>
      <c r="S36" s="330">
        <f ca="1">'Plant Operations'!C36</f>
        <v>237.77937158469945</v>
      </c>
      <c r="T36" s="1481">
        <f t="shared" ca="1" si="10"/>
        <v>4400.9592827133738</v>
      </c>
      <c r="U36" s="1504">
        <f t="shared" ca="1" si="11"/>
        <v>1.8644297889367973</v>
      </c>
      <c r="V36" s="384">
        <f t="shared" ca="1" si="12"/>
        <v>2360.4853928144153</v>
      </c>
      <c r="W36" s="692" t="str">
        <f t="shared" ca="1" si="0"/>
        <v xml:space="preserve"> </v>
      </c>
      <c r="Y36" s="1507">
        <f ca="1">IF($A36&gt;Endyr,0,VLOOKUP($A36,Tariff_Table,Tariff!$J$33))</f>
        <v>7.4550000000000005E-2</v>
      </c>
      <c r="Z36" s="1504">
        <f ca="1">VLOOKUP($A36,Curves_Table,Escalation!$AH$291)</f>
        <v>1.3015048368339124</v>
      </c>
      <c r="AA36" s="1504">
        <f t="shared" ca="1" si="13"/>
        <v>9.7027185585968179E-2</v>
      </c>
      <c r="AB36" s="334">
        <f ca="1">'Plant Operations'!$I36+'Plant Operations'!$M36</f>
        <v>70200</v>
      </c>
      <c r="AC36" s="1481">
        <f t="shared" ca="1" si="1"/>
        <v>6.811308428134967</v>
      </c>
      <c r="AD36" s="1504">
        <f t="shared" ca="1" si="2"/>
        <v>1.8644297889367973</v>
      </c>
      <c r="AE36" s="335">
        <f t="shared" ca="1" si="14"/>
        <v>3.6532930703811366</v>
      </c>
      <c r="AF36" s="698" t="str">
        <f t="shared" ca="1" si="3"/>
        <v xml:space="preserve"> </v>
      </c>
    </row>
    <row r="37" spans="1:32">
      <c r="A37" s="672">
        <f ca="1">'Plant Operations'!A37</f>
        <v>37012</v>
      </c>
      <c r="C37" s="1503">
        <f ca="1">IF($A37&gt;Endyr,0,VLOOKUP($A37,Tariff_Table,Tariff!$D$33))</f>
        <v>9984.454545454546</v>
      </c>
      <c r="E37" s="691">
        <f ca="1">VLOOKUP($A37,Tariff_Table,Tariff!$E$33)</f>
        <v>0.99000046207829151</v>
      </c>
      <c r="F37" s="1481">
        <f t="shared" ca="1" si="4"/>
        <v>9884.6146135996987</v>
      </c>
      <c r="G37" s="1480">
        <f ca="1">VLOOKUP($A37,Curves_Table,Escalation!$N$291)</f>
        <v>1.097180617479341</v>
      </c>
      <c r="H37" s="1481">
        <f t="shared" ca="1" si="5"/>
        <v>10845.207565294635</v>
      </c>
      <c r="I37" s="1504">
        <f ca="1">IF(Assm!$L$74=0,VLOOKUP($A37,Curves_Table,Escalation!$D$291),VLOOKUP($A37,Curves_Table,Escalation!$E$291))</f>
        <v>1.8798853768667387</v>
      </c>
      <c r="J37" s="1504">
        <f ca="1">IF($A37&lt;EE_Date,VLOOKUP($A37,Curves_Table,Escalation!$D$291),Exch)</f>
        <v>1.0649999999999999</v>
      </c>
      <c r="K37" s="1505">
        <f t="shared" ca="1" si="6"/>
        <v>19143.424517447802</v>
      </c>
      <c r="M37" s="691">
        <f ca="1">VLOOKUP($A37,Tariff_Table,Tariff!$F$33)</f>
        <v>9.9995379217084901E-3</v>
      </c>
      <c r="N37" s="1481">
        <f t="shared" ca="1" si="7"/>
        <v>99.839931854847435</v>
      </c>
      <c r="O37" s="1480">
        <f ca="1">VLOOKUP($A37,Curves_Table,Escalation!$R$291)</f>
        <v>1.4211614171077698</v>
      </c>
      <c r="P37" s="1505">
        <f t="shared" ca="1" si="8"/>
        <v>141.88865903877814</v>
      </c>
      <c r="R37" s="1506">
        <f t="shared" ca="1" si="9"/>
        <v>19285.313176486579</v>
      </c>
      <c r="S37" s="330">
        <f ca="1">'Plant Operations'!C37</f>
        <v>237.77937158469945</v>
      </c>
      <c r="T37" s="1481">
        <f t="shared" ca="1" si="10"/>
        <v>4585.6496479191028</v>
      </c>
      <c r="U37" s="1504">
        <f t="shared" ca="1" si="11"/>
        <v>1.8798853768667387</v>
      </c>
      <c r="V37" s="384">
        <f t="shared" ca="1" si="12"/>
        <v>2439.3240696207458</v>
      </c>
      <c r="W37" s="692" t="str">
        <f t="shared" ca="1" si="0"/>
        <v xml:space="preserve"> </v>
      </c>
      <c r="Y37" s="1507">
        <f ca="1">IF($A37&gt;Endyr,0,VLOOKUP($A37,Tariff_Table,Tariff!$J$33))</f>
        <v>7.4550000000000005E-2</v>
      </c>
      <c r="Z37" s="1504">
        <f ca="1">VLOOKUP($A37,Curves_Table,Escalation!$AH$291)</f>
        <v>1.4211614171077698</v>
      </c>
      <c r="AA37" s="1504">
        <f t="shared" ca="1" si="13"/>
        <v>0.10594758364538424</v>
      </c>
      <c r="AB37" s="334">
        <f ca="1">'Plant Operations'!$I37+'Plant Operations'!$M37</f>
        <v>146880</v>
      </c>
      <c r="AC37" s="1481">
        <f t="shared" ca="1" si="1"/>
        <v>15.561581085834037</v>
      </c>
      <c r="AD37" s="1504">
        <f t="shared" ca="1" si="2"/>
        <v>1.8798853768667387</v>
      </c>
      <c r="AE37" s="335">
        <f t="shared" ca="1" si="14"/>
        <v>8.2779414518192542</v>
      </c>
      <c r="AF37" s="698" t="str">
        <f t="shared" ca="1" si="3"/>
        <v xml:space="preserve"> </v>
      </c>
    </row>
    <row r="38" spans="1:32">
      <c r="A38" s="672">
        <f ca="1">'Plant Operations'!A38</f>
        <v>37043</v>
      </c>
      <c r="C38" s="1503">
        <f ca="1">IF($A38&gt;Endyr,0,VLOOKUP($A38,Tariff_Table,Tariff!$D$33))</f>
        <v>9984.454545454546</v>
      </c>
      <c r="E38" s="691">
        <f ca="1">VLOOKUP($A38,Tariff_Table,Tariff!$E$33)</f>
        <v>0.99000046207829151</v>
      </c>
      <c r="F38" s="1481">
        <f t="shared" ca="1" si="4"/>
        <v>9884.6146135996987</v>
      </c>
      <c r="G38" s="1480">
        <f ca="1">VLOOKUP($A38,Curves_Table,Escalation!$N$291)</f>
        <v>1.097180617479341</v>
      </c>
      <c r="H38" s="1481">
        <f t="shared" ca="1" si="5"/>
        <v>10845.207565294635</v>
      </c>
      <c r="I38" s="1504">
        <f ca="1">IF(Assm!$L$74=0,VLOOKUP($A38,Curves_Table,Escalation!$D$291),VLOOKUP($A38,Curves_Table,Escalation!$E$291))</f>
        <v>1.8954690871854543</v>
      </c>
      <c r="J38" s="1504">
        <f ca="1">IF($A38&lt;EE_Date,VLOOKUP($A38,Curves_Table,Escalation!$D$291),Exch)</f>
        <v>1.0649999999999999</v>
      </c>
      <c r="K38" s="1505">
        <f t="shared" ca="1" si="6"/>
        <v>19302.118013263669</v>
      </c>
      <c r="M38" s="691">
        <f ca="1">VLOOKUP($A38,Tariff_Table,Tariff!$F$33)</f>
        <v>9.9995379217084901E-3</v>
      </c>
      <c r="N38" s="1481">
        <f t="shared" ca="1" si="7"/>
        <v>99.839931854847435</v>
      </c>
      <c r="O38" s="1480">
        <f ca="1">VLOOKUP($A38,Curves_Table,Escalation!$R$291)</f>
        <v>1.4211614171077698</v>
      </c>
      <c r="P38" s="1505">
        <f t="shared" ca="1" si="8"/>
        <v>141.88865903877814</v>
      </c>
      <c r="R38" s="1506">
        <f t="shared" ca="1" si="9"/>
        <v>19444.006672302447</v>
      </c>
      <c r="S38" s="330">
        <f ca="1">'Plant Operations'!C38</f>
        <v>237.77937158469945</v>
      </c>
      <c r="T38" s="1481">
        <f t="shared" ca="1" si="10"/>
        <v>4623.3836876287787</v>
      </c>
      <c r="U38" s="1504">
        <f t="shared" ca="1" si="11"/>
        <v>1.8954690871854543</v>
      </c>
      <c r="V38" s="384">
        <f t="shared" ca="1" si="12"/>
        <v>2439.1765177737361</v>
      </c>
      <c r="W38" s="692" t="str">
        <f t="shared" ca="1" si="0"/>
        <v xml:space="preserve"> </v>
      </c>
      <c r="Y38" s="1507">
        <f ca="1">IF($A38&gt;Endyr,0,VLOOKUP($A38,Tariff_Table,Tariff!$J$33))</f>
        <v>7.4550000000000005E-2</v>
      </c>
      <c r="Z38" s="1504">
        <f ca="1">VLOOKUP($A38,Curves_Table,Escalation!$AH$291)</f>
        <v>1.4211614171077698</v>
      </c>
      <c r="AA38" s="1504">
        <f t="shared" ca="1" si="13"/>
        <v>0.10594758364538424</v>
      </c>
      <c r="AB38" s="334">
        <f ca="1">'Plant Operations'!$I38+'Plant Operations'!$M38</f>
        <v>232128</v>
      </c>
      <c r="AC38" s="1481">
        <f t="shared" ca="1" si="1"/>
        <v>24.593400696435754</v>
      </c>
      <c r="AD38" s="1504">
        <f t="shared" ca="1" si="2"/>
        <v>1.8954690871854543</v>
      </c>
      <c r="AE38" s="335">
        <f t="shared" ca="1" si="14"/>
        <v>12.97483607762447</v>
      </c>
      <c r="AF38" s="698" t="str">
        <f t="shared" ca="1" si="3"/>
        <v xml:space="preserve"> </v>
      </c>
    </row>
    <row r="39" spans="1:32">
      <c r="A39" s="672">
        <f ca="1">'Plant Operations'!A39</f>
        <v>37073</v>
      </c>
      <c r="C39" s="1503">
        <f ca="1">IF($A39&gt;Endyr,0,VLOOKUP($A39,Tariff_Table,Tariff!$D$33))</f>
        <v>9984.454545454546</v>
      </c>
      <c r="E39" s="691">
        <f ca="1">VLOOKUP($A39,Tariff_Table,Tariff!$E$33)</f>
        <v>0.99000046207829151</v>
      </c>
      <c r="F39" s="1481">
        <f t="shared" ca="1" si="4"/>
        <v>9884.6146135996987</v>
      </c>
      <c r="G39" s="1480">
        <f ca="1">VLOOKUP($A39,Curves_Table,Escalation!$N$291)</f>
        <v>1.097180617479341</v>
      </c>
      <c r="H39" s="1481">
        <f t="shared" ca="1" si="5"/>
        <v>10845.207565294635</v>
      </c>
      <c r="I39" s="1504">
        <f ca="1">IF(Assm!$L$74=0,VLOOKUP($A39,Curves_Table,Escalation!$D$291),VLOOKUP($A39,Curves_Table,Escalation!$E$291))</f>
        <v>1.9111819819907805</v>
      </c>
      <c r="J39" s="1504">
        <f ca="1">IF($A39&lt;EE_Date,VLOOKUP($A39,Curves_Table,Escalation!$D$291),Exch)</f>
        <v>1.0649999999999999</v>
      </c>
      <c r="K39" s="1505">
        <f t="shared" ca="1" si="6"/>
        <v>19462.127032620851</v>
      </c>
      <c r="M39" s="691">
        <f ca="1">VLOOKUP($A39,Tariff_Table,Tariff!$F$33)</f>
        <v>9.9995379217084901E-3</v>
      </c>
      <c r="N39" s="1481">
        <f t="shared" ca="1" si="7"/>
        <v>99.839931854847435</v>
      </c>
      <c r="O39" s="1480">
        <f ca="1">VLOOKUP($A39,Curves_Table,Escalation!$R$291)</f>
        <v>1.4211614171077698</v>
      </c>
      <c r="P39" s="1505">
        <f t="shared" ca="1" si="8"/>
        <v>141.88865903877814</v>
      </c>
      <c r="R39" s="1506">
        <f t="shared" ca="1" si="9"/>
        <v>19604.015691659628</v>
      </c>
      <c r="S39" s="330">
        <f ca="1">'Plant Operations'!C39</f>
        <v>237.77937158469945</v>
      </c>
      <c r="T39" s="1481">
        <f t="shared" ca="1" si="10"/>
        <v>4661.4305316994132</v>
      </c>
      <c r="U39" s="1504">
        <f t="shared" ca="1" si="11"/>
        <v>1.9111819819907805</v>
      </c>
      <c r="V39" s="384">
        <f t="shared" ca="1" si="12"/>
        <v>2439.0301790328931</v>
      </c>
      <c r="W39" s="692" t="str">
        <f t="shared" ca="1" si="0"/>
        <v xml:space="preserve"> </v>
      </c>
      <c r="Y39" s="1507">
        <f ca="1">IF($A39&gt;Endyr,0,VLOOKUP($A39,Tariff_Table,Tariff!$J$33))</f>
        <v>7.4550000000000005E-2</v>
      </c>
      <c r="Z39" s="1504">
        <f ca="1">VLOOKUP($A39,Curves_Table,Escalation!$AH$291)</f>
        <v>1.4211614171077698</v>
      </c>
      <c r="AA39" s="1504">
        <f t="shared" ca="1" si="13"/>
        <v>0.10594758364538424</v>
      </c>
      <c r="AB39" s="334">
        <f ca="1">'Plant Operations'!$I39+'Plant Operations'!$M39</f>
        <v>234410</v>
      </c>
      <c r="AC39" s="1481">
        <f t="shared" ca="1" si="1"/>
        <v>24.835173082314519</v>
      </c>
      <c r="AD39" s="1504">
        <f t="shared" ca="1" si="2"/>
        <v>1.9111819819907805</v>
      </c>
      <c r="AE39" s="335">
        <f t="shared" ca="1" si="14"/>
        <v>12.994666816838128</v>
      </c>
      <c r="AF39" s="698" t="str">
        <f t="shared" ca="1" si="3"/>
        <v xml:space="preserve"> </v>
      </c>
    </row>
    <row r="40" spans="1:32">
      <c r="A40" s="672">
        <f ca="1">'Plant Operations'!A40</f>
        <v>37104</v>
      </c>
      <c r="C40" s="1503">
        <f ca="1">IF($A40&gt;Endyr,0,VLOOKUP($A40,Tariff_Table,Tariff!$D$33))</f>
        <v>8415.2278409090904</v>
      </c>
      <c r="E40" s="691">
        <f ca="1">VLOOKUP($A40,Tariff_Table,Tariff!$E$33)</f>
        <v>0.99000046207829151</v>
      </c>
      <c r="F40" s="1481">
        <f t="shared" ca="1" si="4"/>
        <v>8331.0794509941024</v>
      </c>
      <c r="G40" s="1480">
        <f ca="1">VLOOKUP($A40,Curves_Table,Escalation!$N$291)</f>
        <v>1.097180617479341</v>
      </c>
      <c r="H40" s="1481">
        <f t="shared" ca="1" si="5"/>
        <v>9140.698896311158</v>
      </c>
      <c r="I40" s="1504">
        <f ca="1">IF(Assm!$L$74=0,VLOOKUP($A40,Curves_Table,Escalation!$D$291),VLOOKUP($A40,Curves_Table,Escalation!$E$291))</f>
        <v>1.9270251321850405</v>
      </c>
      <c r="J40" s="1504">
        <f ca="1">IF($A40&lt;EE_Date,VLOOKUP($A40,Curves_Table,Escalation!$D$291),Exch)</f>
        <v>1.0649999999999999</v>
      </c>
      <c r="K40" s="1505">
        <f t="shared" ca="1" si="6"/>
        <v>16539.301876927384</v>
      </c>
      <c r="M40" s="691">
        <f ca="1">VLOOKUP($A40,Tariff_Table,Tariff!$F$33)</f>
        <v>9.9995379217084901E-3</v>
      </c>
      <c r="N40" s="1481">
        <f t="shared" ca="1" si="7"/>
        <v>84.148389914987504</v>
      </c>
      <c r="O40" s="1480">
        <f ca="1">VLOOKUP($A40,Curves_Table,Escalation!$R$291)</f>
        <v>1.4211614171077698</v>
      </c>
      <c r="P40" s="1505">
        <f t="shared" ca="1" si="8"/>
        <v>119.5884450589208</v>
      </c>
      <c r="R40" s="1506">
        <f t="shared" ca="1" si="9"/>
        <v>16658.890321986306</v>
      </c>
      <c r="S40" s="330">
        <f ca="1">'Plant Operations'!C40</f>
        <v>480</v>
      </c>
      <c r="T40" s="1481">
        <f t="shared" ca="1" si="10"/>
        <v>7996.2673545534262</v>
      </c>
      <c r="U40" s="1504">
        <f t="shared" ca="1" si="11"/>
        <v>1.9270251321850405</v>
      </c>
      <c r="V40" s="384">
        <f t="shared" ca="1" si="12"/>
        <v>4149.5397340700556</v>
      </c>
      <c r="W40" s="692" t="str">
        <f t="shared" ca="1" si="0"/>
        <v xml:space="preserve"> </v>
      </c>
      <c r="Y40" s="1507">
        <f ca="1">IF($A40&gt;Endyr,0,VLOOKUP($A40,Tariff_Table,Tariff!$J$33))</f>
        <v>7.4550000000000005E-2</v>
      </c>
      <c r="Z40" s="1504">
        <f ca="1">VLOOKUP($A40,Curves_Table,Escalation!$AH$291)</f>
        <v>1.4211614171077698</v>
      </c>
      <c r="AA40" s="1504">
        <f t="shared" ca="1" si="13"/>
        <v>0.10594758364538424</v>
      </c>
      <c r="AB40" s="334">
        <f ca="1">'Plant Operations'!$I40+'Plant Operations'!$M40</f>
        <v>298980.864</v>
      </c>
      <c r="AC40" s="1481">
        <f t="shared" ca="1" si="1"/>
        <v>31.67630009700925</v>
      </c>
      <c r="AD40" s="1504">
        <f t="shared" ca="1" si="2"/>
        <v>1.9270251321850405</v>
      </c>
      <c r="AE40" s="335">
        <f t="shared" ca="1" si="14"/>
        <v>16.437927854678112</v>
      </c>
      <c r="AF40" s="698" t="str">
        <f t="shared" ca="1" si="3"/>
        <v xml:space="preserve"> </v>
      </c>
    </row>
    <row r="41" spans="1:32">
      <c r="A41" s="672">
        <f ca="1">'Plant Operations'!A41</f>
        <v>37135</v>
      </c>
      <c r="C41" s="1503">
        <f ca="1">IF($A41&gt;Endyr,0,VLOOKUP($A41,Tariff_Table,Tariff!$D$33))</f>
        <v>9237.4240837696343</v>
      </c>
      <c r="E41" s="691">
        <f ca="1">VLOOKUP($A41,Tariff_Table,Tariff!$E$33)</f>
        <v>0.95499946805505553</v>
      </c>
      <c r="F41" s="1481">
        <f t="shared" ca="1" si="4"/>
        <v>8821.7350861989598</v>
      </c>
      <c r="G41" s="1480">
        <f ca="1">VLOOKUP($A41,Curves_Table,Escalation!$N$291)</f>
        <v>1.097180617479341</v>
      </c>
      <c r="H41" s="1481">
        <f t="shared" ca="1" si="5"/>
        <v>9679.0367491149427</v>
      </c>
      <c r="I41" s="1504">
        <f ca="1">IF(Assm!$L$74=0,VLOOKUP($A41,Curves_Table,Escalation!$D$291),VLOOKUP($A41,Curves_Table,Escalation!$E$291))</f>
        <v>1.9429996175480302</v>
      </c>
      <c r="J41" s="1504">
        <f ca="1">IF($A41&lt;EE_Date,VLOOKUP($A41,Curves_Table,Escalation!$D$291),Exch)</f>
        <v>1.0649999999999999</v>
      </c>
      <c r="K41" s="1505">
        <f t="shared" ca="1" si="6"/>
        <v>17658.558405411892</v>
      </c>
      <c r="M41" s="691">
        <f ca="1">VLOOKUP($A41,Tariff_Table,Tariff!$F$33)</f>
        <v>4.5000531944944466E-2</v>
      </c>
      <c r="N41" s="1481">
        <f t="shared" ca="1" si="7"/>
        <v>415.68899757067481</v>
      </c>
      <c r="O41" s="1480">
        <f ca="1">VLOOKUP($A41,Curves_Table,Escalation!$R$291)</f>
        <v>1.4211614171077698</v>
      </c>
      <c r="P41" s="1505">
        <f t="shared" ca="1" si="8"/>
        <v>590.76116486364845</v>
      </c>
      <c r="R41" s="1506">
        <f t="shared" ca="1" si="9"/>
        <v>18249.31957027554</v>
      </c>
      <c r="S41" s="330">
        <f ca="1">'Plant Operations'!C41</f>
        <v>480</v>
      </c>
      <c r="T41" s="1481">
        <f t="shared" ca="1" si="10"/>
        <v>8759.6733937322588</v>
      </c>
      <c r="U41" s="1504">
        <f t="shared" ca="1" si="11"/>
        <v>1.9429996175480302</v>
      </c>
      <c r="V41" s="384">
        <f t="shared" ca="1" si="12"/>
        <v>4508.3248162377586</v>
      </c>
      <c r="W41" s="692" t="str">
        <f t="shared" ca="1" si="0"/>
        <v xml:space="preserve"> </v>
      </c>
      <c r="Y41" s="1507">
        <f ca="1">IF($A41&gt;Endyr,0,VLOOKUP($A41,Tariff_Table,Tariff!$J$33))</f>
        <v>0.19</v>
      </c>
      <c r="Z41" s="1504">
        <f ca="1">VLOOKUP($A41,Curves_Table,Escalation!$AH$291)</f>
        <v>1.4211614171077698</v>
      </c>
      <c r="AA41" s="1504">
        <f t="shared" ca="1" si="13"/>
        <v>0.27002066925047624</v>
      </c>
      <c r="AB41" s="334">
        <f ca="1">'Plant Operations'!$I41+'Plant Operations'!$M41</f>
        <v>289336.32000000001</v>
      </c>
      <c r="AC41" s="1481">
        <f t="shared" ca="1" si="1"/>
        <v>78.126786764869962</v>
      </c>
      <c r="AD41" s="1504">
        <f t="shared" ca="1" si="2"/>
        <v>1.9429996175480302</v>
      </c>
      <c r="AE41" s="335">
        <f t="shared" ca="1" si="14"/>
        <v>40.209368061256811</v>
      </c>
      <c r="AF41" s="698" t="str">
        <f t="shared" ca="1" si="3"/>
        <v xml:space="preserve"> </v>
      </c>
    </row>
    <row r="42" spans="1:32">
      <c r="A42" s="672">
        <f ca="1">'Plant Operations'!A42</f>
        <v>37165</v>
      </c>
      <c r="C42" s="1503">
        <f ca="1">IF($A42&gt;Endyr,0,VLOOKUP($A42,Tariff_Table,Tariff!$D$33))</f>
        <v>9237.4240837696343</v>
      </c>
      <c r="E42" s="691">
        <f ca="1">VLOOKUP($A42,Tariff_Table,Tariff!$E$33)</f>
        <v>0.95499946805505553</v>
      </c>
      <c r="F42" s="1481">
        <f t="shared" ca="1" si="4"/>
        <v>8821.7350861989598</v>
      </c>
      <c r="G42" s="1480">
        <f ca="1">VLOOKUP($A42,Curves_Table,Escalation!$N$291)</f>
        <v>1.097180617479341</v>
      </c>
      <c r="H42" s="1481">
        <f t="shared" ca="1" si="5"/>
        <v>9679.0367491149427</v>
      </c>
      <c r="I42" s="1504">
        <f ca="1">IF(Assm!$L$74=0,VLOOKUP($A42,Curves_Table,Escalation!$D$291),VLOOKUP($A42,Curves_Table,Escalation!$E$291))</f>
        <v>1.95910652681061</v>
      </c>
      <c r="J42" s="1504">
        <f ca="1">IF($A42&lt;EE_Date,VLOOKUP($A42,Curves_Table,Escalation!$D$291),Exch)</f>
        <v>1.0649999999999999</v>
      </c>
      <c r="K42" s="1505">
        <f t="shared" ca="1" si="6"/>
        <v>17804.942787258999</v>
      </c>
      <c r="M42" s="691">
        <f ca="1">VLOOKUP($A42,Tariff_Table,Tariff!$F$33)</f>
        <v>4.5000531944944466E-2</v>
      </c>
      <c r="N42" s="1481">
        <f t="shared" ca="1" si="7"/>
        <v>415.68899757067481</v>
      </c>
      <c r="O42" s="1480">
        <f ca="1">VLOOKUP($A42,Curves_Table,Escalation!$R$291)</f>
        <v>1.4211614171077698</v>
      </c>
      <c r="P42" s="1505">
        <f t="shared" ca="1" si="8"/>
        <v>590.76116486364845</v>
      </c>
      <c r="R42" s="1506">
        <f t="shared" ca="1" si="9"/>
        <v>18395.703952122647</v>
      </c>
      <c r="S42" s="330">
        <f ca="1">'Plant Operations'!C42</f>
        <v>480</v>
      </c>
      <c r="T42" s="1481">
        <f t="shared" ca="1" si="10"/>
        <v>8829.93789701887</v>
      </c>
      <c r="U42" s="1504">
        <f t="shared" ca="1" si="11"/>
        <v>1.95910652681061</v>
      </c>
      <c r="V42" s="384">
        <f t="shared" ca="1" si="12"/>
        <v>4507.1249450604655</v>
      </c>
      <c r="W42" s="692" t="str">
        <f t="shared" ca="1" si="0"/>
        <v xml:space="preserve"> </v>
      </c>
      <c r="Y42" s="1507">
        <f ca="1">IF($A42&gt;Endyr,0,VLOOKUP($A42,Tariff_Table,Tariff!$J$33))</f>
        <v>0.19</v>
      </c>
      <c r="Z42" s="1504">
        <f ca="1">VLOOKUP($A42,Curves_Table,Escalation!$AH$291)</f>
        <v>1.4211614171077698</v>
      </c>
      <c r="AA42" s="1504">
        <f t="shared" ca="1" si="13"/>
        <v>0.27002066925047624</v>
      </c>
      <c r="AB42" s="334">
        <f ca="1">'Plant Operations'!$I42+'Plant Operations'!$M42</f>
        <v>298980.864</v>
      </c>
      <c r="AC42" s="1481">
        <f t="shared" ca="1" si="1"/>
        <v>80.731012990365613</v>
      </c>
      <c r="AD42" s="1504">
        <f t="shared" ca="1" si="2"/>
        <v>1.95910652681061</v>
      </c>
      <c r="AE42" s="335">
        <f t="shared" ca="1" si="14"/>
        <v>41.208077195166226</v>
      </c>
      <c r="AF42" s="698" t="str">
        <f t="shared" ca="1" si="3"/>
        <v xml:space="preserve"> </v>
      </c>
    </row>
    <row r="43" spans="1:32">
      <c r="A43" s="672">
        <f ca="1">'Plant Operations'!A43</f>
        <v>37196</v>
      </c>
      <c r="C43" s="1503">
        <f ca="1">IF($A43&gt;Endyr,0,VLOOKUP($A43,Tariff_Table,Tariff!$D$33))</f>
        <v>9237.4240837696343</v>
      </c>
      <c r="E43" s="691">
        <f ca="1">VLOOKUP($A43,Tariff_Table,Tariff!$E$33)</f>
        <v>0.95499946805505553</v>
      </c>
      <c r="F43" s="1481">
        <f t="shared" ca="1" si="4"/>
        <v>8821.7350861989598</v>
      </c>
      <c r="G43" s="1480">
        <f ca="1">VLOOKUP($A43,Curves_Table,Escalation!$N$291)</f>
        <v>1.097180617479341</v>
      </c>
      <c r="H43" s="1481">
        <f t="shared" ca="1" si="5"/>
        <v>9679.0367491149427</v>
      </c>
      <c r="I43" s="1504">
        <f ca="1">IF(Assm!$L$74=0,VLOOKUP($A43,Curves_Table,Escalation!$D$291),VLOOKUP($A43,Curves_Table,Escalation!$E$291))</f>
        <v>1.9753469577289071</v>
      </c>
      <c r="J43" s="1504">
        <f ca="1">IF($A43&lt;EE_Date,VLOOKUP($A43,Curves_Table,Escalation!$D$291),Exch)</f>
        <v>1.0649999999999999</v>
      </c>
      <c r="K43" s="1505">
        <f t="shared" ca="1" si="6"/>
        <v>17952.540653624877</v>
      </c>
      <c r="M43" s="691">
        <f ca="1">VLOOKUP($A43,Tariff_Table,Tariff!$F$33)</f>
        <v>4.5000531944944466E-2</v>
      </c>
      <c r="N43" s="1481">
        <f t="shared" ca="1" si="7"/>
        <v>415.68899757067481</v>
      </c>
      <c r="O43" s="1480">
        <f ca="1">VLOOKUP($A43,Curves_Table,Escalation!$R$291)</f>
        <v>1.4211614171077698</v>
      </c>
      <c r="P43" s="1505">
        <f t="shared" ca="1" si="8"/>
        <v>590.76116486364845</v>
      </c>
      <c r="R43" s="1506">
        <f t="shared" ca="1" si="9"/>
        <v>18543.301818488526</v>
      </c>
      <c r="S43" s="330">
        <f ca="1">'Plant Operations'!C43</f>
        <v>480</v>
      </c>
      <c r="T43" s="1481">
        <f t="shared" ca="1" si="10"/>
        <v>8900.7848728744921</v>
      </c>
      <c r="U43" s="1504">
        <f t="shared" ca="1" si="11"/>
        <v>1.9753469577289071</v>
      </c>
      <c r="V43" s="384">
        <f t="shared" ca="1" si="12"/>
        <v>4505.9349386944605</v>
      </c>
      <c r="W43" s="692" t="str">
        <f t="shared" ca="1" si="0"/>
        <v xml:space="preserve"> </v>
      </c>
      <c r="Y43" s="1507">
        <f ca="1">IF($A43&gt;Endyr,0,VLOOKUP($A43,Tariff_Table,Tariff!$J$33))</f>
        <v>0.19</v>
      </c>
      <c r="Z43" s="1504">
        <f ca="1">VLOOKUP($A43,Curves_Table,Escalation!$AH$291)</f>
        <v>1.4211614171077698</v>
      </c>
      <c r="AA43" s="1504">
        <f t="shared" ca="1" si="13"/>
        <v>0.27002066925047624</v>
      </c>
      <c r="AB43" s="334">
        <f ca="1">'Plant Operations'!$I43+'Plant Operations'!$M43</f>
        <v>289336.32000000001</v>
      </c>
      <c r="AC43" s="1481">
        <f t="shared" ca="1" si="1"/>
        <v>78.126786764869962</v>
      </c>
      <c r="AD43" s="1504">
        <f t="shared" ca="1" si="2"/>
        <v>1.9753469577289071</v>
      </c>
      <c r="AE43" s="335">
        <f t="shared" ca="1" si="14"/>
        <v>39.550918616693934</v>
      </c>
      <c r="AF43" s="698" t="str">
        <f t="shared" ca="1" si="3"/>
        <v xml:space="preserve"> </v>
      </c>
    </row>
    <row r="44" spans="1:32">
      <c r="A44" s="672">
        <f ca="1">'Plant Operations'!A44</f>
        <v>37226</v>
      </c>
      <c r="C44" s="1503">
        <f ca="1">IF($A44&gt;Endyr,0,VLOOKUP($A44,Tariff_Table,Tariff!$D$33))</f>
        <v>9237.4240837696343</v>
      </c>
      <c r="E44" s="691">
        <f ca="1">VLOOKUP($A44,Tariff_Table,Tariff!$E$33)</f>
        <v>0.95499946805505553</v>
      </c>
      <c r="F44" s="1481">
        <f t="shared" ca="1" si="4"/>
        <v>8821.7350861989598</v>
      </c>
      <c r="G44" s="1480">
        <f ca="1">VLOOKUP($A44,Curves_Table,Escalation!$N$291)</f>
        <v>1.097180617479341</v>
      </c>
      <c r="H44" s="1481">
        <f t="shared" ca="1" si="5"/>
        <v>9679.0367491149427</v>
      </c>
      <c r="I44" s="1504">
        <f ca="1">IF(Assm!$L$74=0,VLOOKUP($A44,Curves_Table,Escalation!$D$291),VLOOKUP($A44,Curves_Table,Escalation!$E$291))</f>
        <v>1.9917220171591306</v>
      </c>
      <c r="J44" s="1504">
        <f ca="1">IF($A44&lt;EE_Date,VLOOKUP($A44,Curves_Table,Escalation!$D$291),Exch)</f>
        <v>1.0649999999999999</v>
      </c>
      <c r="K44" s="1505">
        <f t="shared" ca="1" si="6"/>
        <v>18101.362063947949</v>
      </c>
      <c r="M44" s="691">
        <f ca="1">VLOOKUP($A44,Tariff_Table,Tariff!$F$33)</f>
        <v>4.5000531944944466E-2</v>
      </c>
      <c r="N44" s="1481">
        <f t="shared" ca="1" si="7"/>
        <v>415.68899757067481</v>
      </c>
      <c r="O44" s="1480">
        <f ca="1">VLOOKUP($A44,Curves_Table,Escalation!$R$291)</f>
        <v>1.4211614171077698</v>
      </c>
      <c r="P44" s="1505">
        <f t="shared" ca="1" si="8"/>
        <v>590.76116486364845</v>
      </c>
      <c r="R44" s="1506">
        <f t="shared" ca="1" si="9"/>
        <v>18692.123228811597</v>
      </c>
      <c r="S44" s="330">
        <f ca="1">'Plant Operations'!C44</f>
        <v>480</v>
      </c>
      <c r="T44" s="1481">
        <f t="shared" ca="1" si="10"/>
        <v>8972.219149829567</v>
      </c>
      <c r="U44" s="1504">
        <f t="shared" ca="1" si="11"/>
        <v>1.9917220171591306</v>
      </c>
      <c r="V44" s="384">
        <f t="shared" ca="1" si="12"/>
        <v>4504.754716035618</v>
      </c>
      <c r="W44" s="692">
        <f t="shared" ca="1" si="0"/>
        <v>35822.207796894509</v>
      </c>
      <c r="Y44" s="1507">
        <f ca="1">IF($A44&gt;Endyr,0,VLOOKUP($A44,Tariff_Table,Tariff!$J$33))</f>
        <v>0.19</v>
      </c>
      <c r="Z44" s="1504">
        <f ca="1">VLOOKUP($A44,Curves_Table,Escalation!$AH$291)</f>
        <v>1.4211614171077698</v>
      </c>
      <c r="AA44" s="1504">
        <f t="shared" ca="1" si="13"/>
        <v>0.27002066925047624</v>
      </c>
      <c r="AB44" s="334">
        <f ca="1">'Plant Operations'!$I44+'Plant Operations'!$M44</f>
        <v>298980.864</v>
      </c>
      <c r="AC44" s="1481">
        <f t="shared" ca="1" si="1"/>
        <v>80.731012990365613</v>
      </c>
      <c r="AD44" s="1504">
        <f t="shared" ca="1" si="2"/>
        <v>1.9917220171591306</v>
      </c>
      <c r="AE44" s="335">
        <f t="shared" ca="1" si="14"/>
        <v>40.533273365886345</v>
      </c>
      <c r="AF44" s="698">
        <f t="shared" ca="1" si="3"/>
        <v>238.04864495999257</v>
      </c>
    </row>
    <row r="45" spans="1:32">
      <c r="A45" s="672">
        <f ca="1">'Plant Operations'!A45</f>
        <v>37257</v>
      </c>
      <c r="C45" s="1503">
        <f ca="1">IF($A45&gt;Endyr,0,VLOOKUP($A45,Tariff_Table,Tariff!$D$33))</f>
        <v>9237.4240837696343</v>
      </c>
      <c r="E45" s="691">
        <f ca="1">VLOOKUP($A45,Tariff_Table,Tariff!$E$33)</f>
        <v>0.95499946805505553</v>
      </c>
      <c r="F45" s="1481">
        <f ca="1">$C45*E45</f>
        <v>8821.7350861989598</v>
      </c>
      <c r="G45" s="1480">
        <f ca="1">VLOOKUP($A45,Curves_Table,Escalation!$N$291)</f>
        <v>1.097180617479341</v>
      </c>
      <c r="H45" s="1872">
        <f ca="1">F45*G45</f>
        <v>9679.0367491149427</v>
      </c>
      <c r="I45" s="1504">
        <f ca="1">IF(Assm!$L$74=0,VLOOKUP($A45,Curves_Table,Escalation!$D$291),VLOOKUP($A45,Curves_Table,Escalation!$E$291))</f>
        <v>2.0024865610216462</v>
      </c>
      <c r="J45" s="1504">
        <f ca="1">IF($A45&lt;EE_Date,VLOOKUP($A45,Curves_Table,Escalation!$D$291),Exch)</f>
        <v>1.0649999999999999</v>
      </c>
      <c r="K45" s="1875">
        <f ca="1">H45*I45/J45</f>
        <v>18199.193440128936</v>
      </c>
      <c r="M45" s="691">
        <f ca="1">VLOOKUP($A45,Tariff_Table,Tariff!$F$33)</f>
        <v>4.5000531944944466E-2</v>
      </c>
      <c r="N45" s="1481">
        <f ca="1">$C45*M45</f>
        <v>415.68899757067481</v>
      </c>
      <c r="O45" s="1480">
        <f ca="1">VLOOKUP($A45,Curves_Table,Escalation!$R$291)</f>
        <v>1.4211614171077698</v>
      </c>
      <c r="P45" s="1875">
        <f ca="1">N45*O45</f>
        <v>590.76116486364845</v>
      </c>
      <c r="R45" s="1874">
        <f ca="1">SUM(K45,P45)</f>
        <v>18789.954604992585</v>
      </c>
      <c r="S45" s="330">
        <f ca="1">'Plant Operations'!C45</f>
        <v>480</v>
      </c>
      <c r="T45" s="1873">
        <f ca="1">R45*S45/1000</f>
        <v>9019.1782103964415</v>
      </c>
      <c r="U45" s="1504">
        <f t="shared" ca="1" si="11"/>
        <v>2.0024865610216462</v>
      </c>
      <c r="V45" s="1871">
        <f ca="1">T45/U45</f>
        <v>4503.989382977411</v>
      </c>
      <c r="W45" s="692" t="str">
        <f t="shared" ca="1" si="0"/>
        <v xml:space="preserve"> </v>
      </c>
      <c r="Y45" s="1507">
        <f ca="1">IF($A45&gt;Endyr,0,VLOOKUP($A45,Tariff_Table,Tariff!$J$33))</f>
        <v>0.19</v>
      </c>
      <c r="Z45" s="1504">
        <f ca="1">VLOOKUP($A45,Curves_Table,Escalation!$AH$291)</f>
        <v>1.4211614171077698</v>
      </c>
      <c r="AA45" s="1504">
        <f t="shared" ca="1" si="13"/>
        <v>0.27002066925047624</v>
      </c>
      <c r="AB45" s="334">
        <f ca="1">'Plant Operations'!$I45+'Plant Operations'!$M45</f>
        <v>298980.864</v>
      </c>
      <c r="AC45" s="1481">
        <f t="shared" ca="1" si="1"/>
        <v>80.731012990365613</v>
      </c>
      <c r="AD45" s="1504">
        <f t="shared" ca="1" si="2"/>
        <v>2.0024865610216462</v>
      </c>
      <c r="AE45" s="335">
        <f t="shared" ca="1" si="14"/>
        <v>40.31538316500739</v>
      </c>
      <c r="AF45" s="698" t="str">
        <f t="shared" ca="1" si="3"/>
        <v xml:space="preserve"> </v>
      </c>
    </row>
    <row r="46" spans="1:32">
      <c r="A46" s="672">
        <f ca="1">'Plant Operations'!A46</f>
        <v>37288</v>
      </c>
      <c r="C46" s="1503">
        <f ca="1">IF($A46&gt;Endyr,0,VLOOKUP($A46,Tariff_Table,Tariff!$D$33))</f>
        <v>9237.4240837696343</v>
      </c>
      <c r="E46" s="691">
        <f ca="1">VLOOKUP($A46,Tariff_Table,Tariff!$E$33)</f>
        <v>0.95499946805505553</v>
      </c>
      <c r="F46" s="1481">
        <f t="shared" ca="1" si="4"/>
        <v>8821.7350861989598</v>
      </c>
      <c r="G46" s="1480">
        <f ca="1">VLOOKUP($A46,Curves_Table,Escalation!$N$291)</f>
        <v>1.097180617479341</v>
      </c>
      <c r="H46" s="1481">
        <f t="shared" ca="1" si="5"/>
        <v>9679.0367491149427</v>
      </c>
      <c r="I46" s="1504">
        <f ca="1">IF(Assm!$L$74=0,VLOOKUP($A46,Curves_Table,Escalation!$D$291),VLOOKUP($A46,Curves_Table,Escalation!$E$291))</f>
        <v>2.0133092833867692</v>
      </c>
      <c r="J46" s="1504">
        <f ca="1">IF($A46&lt;EE_Date,VLOOKUP($A46,Curves_Table,Escalation!$D$291),Exch)</f>
        <v>1.0649999999999999</v>
      </c>
      <c r="K46" s="1505">
        <f t="shared" ca="1" si="6"/>
        <v>18297.553559844891</v>
      </c>
      <c r="M46" s="691">
        <f ca="1">VLOOKUP($A46,Tariff_Table,Tariff!$F$33)</f>
        <v>4.5000531944944466E-2</v>
      </c>
      <c r="N46" s="1481">
        <f t="shared" ca="1" si="7"/>
        <v>415.68899757067481</v>
      </c>
      <c r="O46" s="1480">
        <f ca="1">VLOOKUP($A46,Curves_Table,Escalation!$R$291)</f>
        <v>1.4211614171077698</v>
      </c>
      <c r="P46" s="1505">
        <f t="shared" ca="1" si="8"/>
        <v>590.76116486364845</v>
      </c>
      <c r="R46" s="1506">
        <f t="shared" ca="1" si="9"/>
        <v>18888.31472470854</v>
      </c>
      <c r="S46" s="330">
        <f ca="1">'Plant Operations'!C46</f>
        <v>480</v>
      </c>
      <c r="T46" s="1481">
        <f t="shared" ca="1" si="10"/>
        <v>9066.3910678600987</v>
      </c>
      <c r="U46" s="1504">
        <f t="shared" ca="1" si="11"/>
        <v>2.0133092833867692</v>
      </c>
      <c r="V46" s="384">
        <f t="shared" ca="1" si="12"/>
        <v>4503.2281640348392</v>
      </c>
      <c r="W46" s="692" t="str">
        <f t="shared" ca="1" si="0"/>
        <v xml:space="preserve"> </v>
      </c>
      <c r="Y46" s="1507">
        <f ca="1">IF($A46&gt;Endyr,0,VLOOKUP($A46,Tariff_Table,Tariff!$J$33))</f>
        <v>0.19</v>
      </c>
      <c r="Z46" s="1504">
        <f ca="1">VLOOKUP($A46,Curves_Table,Escalation!$AH$291)</f>
        <v>1.4211614171077698</v>
      </c>
      <c r="AA46" s="1504">
        <f t="shared" ca="1" si="13"/>
        <v>0.27002066925047624</v>
      </c>
      <c r="AB46" s="334">
        <f ca="1">'Plant Operations'!$I46+'Plant Operations'!$M46</f>
        <v>270047.23200000002</v>
      </c>
      <c r="AC46" s="1481">
        <f t="shared" ca="1" si="1"/>
        <v>72.918334313878631</v>
      </c>
      <c r="AD46" s="1504">
        <f t="shared" ca="1" si="2"/>
        <v>2.0133092833867692</v>
      </c>
      <c r="AE46" s="335">
        <f t="shared" ca="1" si="14"/>
        <v>36.218148356826788</v>
      </c>
      <c r="AF46" s="698" t="str">
        <f t="shared" ca="1" si="3"/>
        <v xml:space="preserve"> </v>
      </c>
    </row>
    <row r="47" spans="1:32">
      <c r="A47" s="672">
        <f ca="1">'Plant Operations'!A47</f>
        <v>37316</v>
      </c>
      <c r="C47" s="1503">
        <f ca="1">IF($A47&gt;Endyr,0,VLOOKUP($A47,Tariff_Table,Tariff!$D$33))</f>
        <v>9237.4240837696343</v>
      </c>
      <c r="E47" s="691">
        <f ca="1">VLOOKUP($A47,Tariff_Table,Tariff!$E$33)</f>
        <v>0.95499946805505553</v>
      </c>
      <c r="F47" s="1481">
        <f t="shared" ca="1" si="4"/>
        <v>8821.7350861989598</v>
      </c>
      <c r="G47" s="1480">
        <f ca="1">VLOOKUP($A47,Curves_Table,Escalation!$N$291)</f>
        <v>1.097180617479341</v>
      </c>
      <c r="H47" s="1481">
        <f t="shared" ca="1" si="5"/>
        <v>9679.0367491149427</v>
      </c>
      <c r="I47" s="1504">
        <f ca="1">IF(Assm!$L$74=0,VLOOKUP($A47,Curves_Table,Escalation!$D$291),VLOOKUP($A47,Curves_Table,Escalation!$E$291))</f>
        <v>2.0241904986884602</v>
      </c>
      <c r="J47" s="1504">
        <f ca="1">IF($A47&lt;EE_Date,VLOOKUP($A47,Curves_Table,Escalation!$D$291),Exch)</f>
        <v>1.0649999999999999</v>
      </c>
      <c r="K47" s="1505">
        <f t="shared" ca="1" si="6"/>
        <v>18396.445280765172</v>
      </c>
      <c r="M47" s="691">
        <f ca="1">VLOOKUP($A47,Tariff_Table,Tariff!$F$33)</f>
        <v>4.5000531944944466E-2</v>
      </c>
      <c r="N47" s="1481">
        <f t="shared" ca="1" si="7"/>
        <v>415.68899757067481</v>
      </c>
      <c r="O47" s="1480">
        <f ca="1">VLOOKUP($A47,Curves_Table,Escalation!$R$291)</f>
        <v>1.4211614171077698</v>
      </c>
      <c r="P47" s="1505">
        <f t="shared" ca="1" si="8"/>
        <v>590.76116486364845</v>
      </c>
      <c r="R47" s="1506">
        <f t="shared" ca="1" si="9"/>
        <v>18987.206445628821</v>
      </c>
      <c r="S47" s="330">
        <f ca="1">'Plant Operations'!C47</f>
        <v>480</v>
      </c>
      <c r="T47" s="1481">
        <f t="shared" ca="1" si="10"/>
        <v>9113.8590939018341</v>
      </c>
      <c r="U47" s="1504">
        <f t="shared" ca="1" si="11"/>
        <v>2.0241904986884602</v>
      </c>
      <c r="V47" s="384">
        <f t="shared" ca="1" si="12"/>
        <v>4502.4710370921139</v>
      </c>
      <c r="W47" s="692" t="str">
        <f t="shared" ca="1" si="0"/>
        <v xml:space="preserve"> </v>
      </c>
      <c r="Y47" s="1507">
        <f ca="1">IF($A47&gt;Endyr,0,VLOOKUP($A47,Tariff_Table,Tariff!$J$33))</f>
        <v>0.19</v>
      </c>
      <c r="Z47" s="1504">
        <f ca="1">VLOOKUP($A47,Curves_Table,Escalation!$AH$291)</f>
        <v>1.4211614171077698</v>
      </c>
      <c r="AA47" s="1504">
        <f t="shared" ca="1" si="13"/>
        <v>0.27002066925047624</v>
      </c>
      <c r="AB47" s="334">
        <f ca="1">'Plant Operations'!$I47+'Plant Operations'!$M47</f>
        <v>298980.864</v>
      </c>
      <c r="AC47" s="1481">
        <f t="shared" ca="1" si="1"/>
        <v>80.731012990365613</v>
      </c>
      <c r="AD47" s="1504">
        <f t="shared" ca="1" si="2"/>
        <v>2.0241904986884602</v>
      </c>
      <c r="AE47" s="335">
        <f t="shared" ca="1" si="14"/>
        <v>39.883110331104653</v>
      </c>
      <c r="AF47" s="698" t="str">
        <f t="shared" ca="1" si="3"/>
        <v xml:space="preserve"> </v>
      </c>
    </row>
    <row r="48" spans="1:32">
      <c r="A48" s="672">
        <f ca="1">'Plant Operations'!A48</f>
        <v>37347</v>
      </c>
      <c r="C48" s="1503">
        <f ca="1">IF($A48&gt;Endyr,0,VLOOKUP($A48,Tariff_Table,Tariff!$D$33))</f>
        <v>9237.4240837696343</v>
      </c>
      <c r="E48" s="691">
        <f ca="1">VLOOKUP($A48,Tariff_Table,Tariff!$E$33)</f>
        <v>0.95499946805505553</v>
      </c>
      <c r="F48" s="1481">
        <f t="shared" ca="1" si="4"/>
        <v>8821.7350861989598</v>
      </c>
      <c r="G48" s="1480">
        <f ca="1">VLOOKUP($A48,Curves_Table,Escalation!$N$291)</f>
        <v>1.097180617479341</v>
      </c>
      <c r="H48" s="1481">
        <f t="shared" ca="1" si="5"/>
        <v>9679.0367491149427</v>
      </c>
      <c r="I48" s="1504">
        <f ca="1">IF(Assm!$L$74=0,VLOOKUP($A48,Curves_Table,Escalation!$D$291),VLOOKUP($A48,Curves_Table,Escalation!$E$291))</f>
        <v>2.0351305230600838</v>
      </c>
      <c r="J48" s="1504">
        <f ca="1">IF($A48&lt;EE_Date,VLOOKUP($A48,Curves_Table,Escalation!$D$291),Exch)</f>
        <v>1.0649999999999999</v>
      </c>
      <c r="K48" s="1505">
        <f t="shared" ca="1" si="6"/>
        <v>18495.87147600382</v>
      </c>
      <c r="M48" s="691">
        <f ca="1">VLOOKUP($A48,Tariff_Table,Tariff!$F$33)</f>
        <v>4.5000531944944466E-2</v>
      </c>
      <c r="N48" s="1481">
        <f t="shared" ca="1" si="7"/>
        <v>415.68899757067481</v>
      </c>
      <c r="O48" s="1480">
        <f ca="1">VLOOKUP($A48,Curves_Table,Escalation!$R$291)</f>
        <v>1.4211614171077698</v>
      </c>
      <c r="P48" s="1505">
        <f t="shared" ca="1" si="8"/>
        <v>590.76116486364845</v>
      </c>
      <c r="R48" s="1506">
        <f t="shared" ca="1" si="9"/>
        <v>19086.632640867469</v>
      </c>
      <c r="S48" s="330">
        <f ca="1">'Plant Operations'!C48</f>
        <v>480</v>
      </c>
      <c r="T48" s="1481">
        <f t="shared" ca="1" si="10"/>
        <v>9161.5836676163835</v>
      </c>
      <c r="U48" s="1504">
        <f t="shared" ca="1" si="11"/>
        <v>2.0351305230600838</v>
      </c>
      <c r="V48" s="384">
        <f t="shared" ca="1" si="12"/>
        <v>4501.7179801523243</v>
      </c>
      <c r="W48" s="692" t="str">
        <f t="shared" ca="1" si="0"/>
        <v xml:space="preserve"> </v>
      </c>
      <c r="Y48" s="1507">
        <f ca="1">IF($A48&gt;Endyr,0,VLOOKUP($A48,Tariff_Table,Tariff!$J$33))</f>
        <v>0.19</v>
      </c>
      <c r="Z48" s="1504">
        <f ca="1">VLOOKUP($A48,Curves_Table,Escalation!$AH$291)</f>
        <v>1.4211614171077698</v>
      </c>
      <c r="AA48" s="1504">
        <f t="shared" ca="1" si="13"/>
        <v>0.27002066925047624</v>
      </c>
      <c r="AB48" s="334">
        <f ca="1">'Plant Operations'!$I48+'Plant Operations'!$M48</f>
        <v>289336.32000000001</v>
      </c>
      <c r="AC48" s="1481">
        <f t="shared" ca="1" si="1"/>
        <v>78.126786764869962</v>
      </c>
      <c r="AD48" s="1504">
        <f t="shared" ca="1" si="2"/>
        <v>2.0351305230600838</v>
      </c>
      <c r="AE48" s="335">
        <f t="shared" ca="1" si="14"/>
        <v>38.389079166969672</v>
      </c>
      <c r="AF48" s="698" t="str">
        <f t="shared" ca="1" si="3"/>
        <v xml:space="preserve"> </v>
      </c>
    </row>
    <row r="49" spans="1:32">
      <c r="A49" s="672">
        <f ca="1">'Plant Operations'!A49</f>
        <v>37377</v>
      </c>
      <c r="C49" s="1503">
        <f ca="1">IF($A49&gt;Endyr,0,VLOOKUP($A49,Tariff_Table,Tariff!$D$33))</f>
        <v>9179.8860103626939</v>
      </c>
      <c r="E49" s="691">
        <f ca="1">VLOOKUP($A49,Tariff_Table,Tariff!$E$33)</f>
        <v>0.96499955456715103</v>
      </c>
      <c r="F49" s="1481">
        <f t="shared" ca="1" si="4"/>
        <v>8858.5859109772209</v>
      </c>
      <c r="G49" s="1480">
        <f ca="1">VLOOKUP($A49,Curves_Table,Escalation!$N$291)</f>
        <v>1.1321906668383659</v>
      </c>
      <c r="H49" s="1481">
        <f t="shared" ca="1" si="5"/>
        <v>10029.608289794252</v>
      </c>
      <c r="I49" s="1504">
        <f ca="1">IF(Assm!$L$74=0,VLOOKUP($A49,Curves_Table,Escalation!$D$291),VLOOKUP($A49,Curves_Table,Escalation!$E$291))</f>
        <v>2.0461296743435908</v>
      </c>
      <c r="J49" s="1504">
        <f ca="1">IF($A49&lt;EE_Date,VLOOKUP($A49,Curves_Table,Escalation!$D$291),Exch)</f>
        <v>1.0649999999999999</v>
      </c>
      <c r="K49" s="1505">
        <f t="shared" ca="1" si="6"/>
        <v>19269.370088066189</v>
      </c>
      <c r="M49" s="691">
        <f ca="1">VLOOKUP($A49,Tariff_Table,Tariff!$F$33)</f>
        <v>3.500044543284897E-2</v>
      </c>
      <c r="N49" s="1481">
        <f t="shared" ca="1" si="7"/>
        <v>321.30009938547312</v>
      </c>
      <c r="O49" s="1480">
        <f ca="1">VLOOKUP($A49,Curves_Table,Escalation!$R$291)</f>
        <v>1.5466937113114996</v>
      </c>
      <c r="P49" s="1505">
        <f t="shared" ca="1" si="8"/>
        <v>496.9528431632711</v>
      </c>
      <c r="R49" s="1506">
        <f t="shared" ca="1" si="9"/>
        <v>19766.322931229461</v>
      </c>
      <c r="S49" s="330">
        <f ca="1">'Plant Operations'!C49</f>
        <v>480</v>
      </c>
      <c r="T49" s="1481">
        <f t="shared" ca="1" si="10"/>
        <v>9487.8350069901408</v>
      </c>
      <c r="U49" s="1504">
        <f t="shared" ca="1" si="11"/>
        <v>2.0461296743435908</v>
      </c>
      <c r="V49" s="384">
        <f t="shared" ca="1" si="12"/>
        <v>4636.9666233563075</v>
      </c>
      <c r="W49" s="692" t="str">
        <f t="shared" ca="1" si="0"/>
        <v xml:space="preserve"> </v>
      </c>
      <c r="Y49" s="1507">
        <f ca="1">IF($A49&gt;Endyr,0,VLOOKUP($A49,Tariff_Table,Tariff!$J$33))</f>
        <v>0.19</v>
      </c>
      <c r="Z49" s="1504">
        <f ca="1">VLOOKUP($A49,Curves_Table,Escalation!$AH$291)</f>
        <v>1.5466937113114996</v>
      </c>
      <c r="AA49" s="1504">
        <f t="shared" ca="1" si="13"/>
        <v>0.29387180514918493</v>
      </c>
      <c r="AB49" s="334">
        <f ca="1">'Plant Operations'!$I49+'Plant Operations'!$M49</f>
        <v>298980.864</v>
      </c>
      <c r="AC49" s="1481">
        <f t="shared" ca="1" si="1"/>
        <v>87.862046208742967</v>
      </c>
      <c r="AD49" s="1504">
        <f t="shared" ca="1" si="2"/>
        <v>2.0461296743435908</v>
      </c>
      <c r="AE49" s="335">
        <f t="shared" ca="1" si="14"/>
        <v>42.940605041041486</v>
      </c>
      <c r="AF49" s="698" t="str">
        <f t="shared" ca="1" si="3"/>
        <v xml:space="preserve"> </v>
      </c>
    </row>
    <row r="50" spans="1:32">
      <c r="A50" s="672">
        <f ca="1">'Plant Operations'!A50</f>
        <v>37408</v>
      </c>
      <c r="C50" s="1503">
        <f ca="1">IF($A50&gt;Endyr,0,VLOOKUP($A50,Tariff_Table,Tariff!$D$33))</f>
        <v>9179.8860103626939</v>
      </c>
      <c r="E50" s="691">
        <f ca="1">VLOOKUP($A50,Tariff_Table,Tariff!$E$33)</f>
        <v>0.96499955456715103</v>
      </c>
      <c r="F50" s="1481">
        <f t="shared" ca="1" si="4"/>
        <v>8858.5859109772209</v>
      </c>
      <c r="G50" s="1480">
        <f ca="1">VLOOKUP($A50,Curves_Table,Escalation!$N$291)</f>
        <v>1.1321906668383659</v>
      </c>
      <c r="H50" s="1481">
        <f t="shared" ca="1" si="5"/>
        <v>10029.608289794252</v>
      </c>
      <c r="I50" s="1504">
        <f ca="1">IF(Assm!$L$74=0,VLOOKUP($A50,Curves_Table,Escalation!$D$291),VLOOKUP($A50,Curves_Table,Escalation!$E$291))</f>
        <v>2.0571882720987551</v>
      </c>
      <c r="J50" s="1504">
        <f ca="1">IF($A50&lt;EE_Date,VLOOKUP($A50,Curves_Table,Escalation!$D$291),Exch)</f>
        <v>1.0649999999999999</v>
      </c>
      <c r="K50" s="1505">
        <f t="shared" ca="1" si="6"/>
        <v>19373.514129116607</v>
      </c>
      <c r="M50" s="691">
        <f ca="1">VLOOKUP($A50,Tariff_Table,Tariff!$F$33)</f>
        <v>3.500044543284897E-2</v>
      </c>
      <c r="N50" s="1481">
        <f t="shared" ca="1" si="7"/>
        <v>321.30009938547312</v>
      </c>
      <c r="O50" s="1480">
        <f ca="1">VLOOKUP($A50,Curves_Table,Escalation!$R$291)</f>
        <v>1.5466937113114996</v>
      </c>
      <c r="P50" s="1505">
        <f t="shared" ca="1" si="8"/>
        <v>496.9528431632711</v>
      </c>
      <c r="R50" s="1506">
        <f t="shared" ca="1" si="9"/>
        <v>19870.466972279879</v>
      </c>
      <c r="S50" s="330">
        <f ca="1">'Plant Operations'!C50</f>
        <v>480</v>
      </c>
      <c r="T50" s="1481">
        <f t="shared" ca="1" si="10"/>
        <v>9537.8241466943418</v>
      </c>
      <c r="U50" s="1504">
        <f t="shared" ca="1" si="11"/>
        <v>2.0571882720987551</v>
      </c>
      <c r="V50" s="384">
        <f t="shared" ca="1" si="12"/>
        <v>4636.339938378027</v>
      </c>
      <c r="W50" s="692" t="str">
        <f t="shared" ca="1" si="0"/>
        <v xml:space="preserve"> </v>
      </c>
      <c r="Y50" s="1507">
        <f ca="1">IF($A50&gt;Endyr,0,VLOOKUP($A50,Tariff_Table,Tariff!$J$33))</f>
        <v>0.19</v>
      </c>
      <c r="Z50" s="1504">
        <f ca="1">VLOOKUP($A50,Curves_Table,Escalation!$AH$291)</f>
        <v>1.5466937113114996</v>
      </c>
      <c r="AA50" s="1504">
        <f t="shared" ca="1" si="13"/>
        <v>0.29387180514918493</v>
      </c>
      <c r="AB50" s="334">
        <f ca="1">'Plant Operations'!$I50+'Plant Operations'!$M50</f>
        <v>289336.32000000001</v>
      </c>
      <c r="AC50" s="1481">
        <f t="shared" ca="1" si="1"/>
        <v>85.027786653622215</v>
      </c>
      <c r="AD50" s="1504">
        <f t="shared" ca="1" si="2"/>
        <v>2.0571882720987551</v>
      </c>
      <c r="AE50" s="335">
        <f t="shared" ca="1" si="14"/>
        <v>41.332039369870792</v>
      </c>
      <c r="AF50" s="698" t="str">
        <f t="shared" ca="1" si="3"/>
        <v xml:space="preserve"> </v>
      </c>
    </row>
    <row r="51" spans="1:32">
      <c r="A51" s="672">
        <f ca="1">'Plant Operations'!A51</f>
        <v>37438</v>
      </c>
      <c r="C51" s="1503">
        <f ca="1">IF($A51&gt;Endyr,0,VLOOKUP($A51,Tariff_Table,Tariff!$D$33))</f>
        <v>9179.8860103626939</v>
      </c>
      <c r="E51" s="691">
        <f ca="1">VLOOKUP($A51,Tariff_Table,Tariff!$E$33)</f>
        <v>0.96499955456715103</v>
      </c>
      <c r="F51" s="1481">
        <f t="shared" ca="1" si="4"/>
        <v>8858.5859109772209</v>
      </c>
      <c r="G51" s="1480">
        <f ca="1">VLOOKUP($A51,Curves_Table,Escalation!$N$291)</f>
        <v>1.1321906668383659</v>
      </c>
      <c r="H51" s="1481">
        <f t="shared" ca="1" si="5"/>
        <v>10029.608289794252</v>
      </c>
      <c r="I51" s="1504">
        <f ca="1">IF(Assm!$L$74=0,VLOOKUP($A51,Curves_Table,Escalation!$D$291),VLOOKUP($A51,Curves_Table,Escalation!$E$291))</f>
        <v>2.0683066376124559</v>
      </c>
      <c r="J51" s="1504">
        <f ca="1">IF($A51&lt;EE_Date,VLOOKUP($A51,Curves_Table,Escalation!$D$291),Exch)</f>
        <v>1.0649999999999999</v>
      </c>
      <c r="K51" s="1505">
        <f t="shared" ca="1" si="6"/>
        <v>19478.221031393768</v>
      </c>
      <c r="M51" s="691">
        <f ca="1">VLOOKUP($A51,Tariff_Table,Tariff!$F$33)</f>
        <v>3.500044543284897E-2</v>
      </c>
      <c r="N51" s="1481">
        <f t="shared" ca="1" si="7"/>
        <v>321.30009938547312</v>
      </c>
      <c r="O51" s="1480">
        <f ca="1">VLOOKUP($A51,Curves_Table,Escalation!$R$291)</f>
        <v>1.5466937113114996</v>
      </c>
      <c r="P51" s="1505">
        <f t="shared" ca="1" si="8"/>
        <v>496.9528431632711</v>
      </c>
      <c r="R51" s="1506">
        <f t="shared" ca="1" si="9"/>
        <v>19975.17387455704</v>
      </c>
      <c r="S51" s="330">
        <f ca="1">'Plant Operations'!C51</f>
        <v>480</v>
      </c>
      <c r="T51" s="1481">
        <f t="shared" ca="1" si="10"/>
        <v>9588.08345978738</v>
      </c>
      <c r="U51" s="1504">
        <f t="shared" ca="1" si="11"/>
        <v>2.0683066376124559</v>
      </c>
      <c r="V51" s="384">
        <f t="shared" ca="1" si="12"/>
        <v>4635.7166222003516</v>
      </c>
      <c r="W51" s="692" t="str">
        <f t="shared" ca="1" si="0"/>
        <v xml:space="preserve"> </v>
      </c>
      <c r="Y51" s="1507">
        <f ca="1">IF($A51&gt;Endyr,0,VLOOKUP($A51,Tariff_Table,Tariff!$J$33))</f>
        <v>0.19</v>
      </c>
      <c r="Z51" s="1504">
        <f ca="1">VLOOKUP($A51,Curves_Table,Escalation!$AH$291)</f>
        <v>1.5466937113114996</v>
      </c>
      <c r="AA51" s="1504">
        <f t="shared" ca="1" si="13"/>
        <v>0.29387180514918493</v>
      </c>
      <c r="AB51" s="334">
        <f ca="1">'Plant Operations'!$I51+'Plant Operations'!$M51</f>
        <v>298980.864</v>
      </c>
      <c r="AC51" s="1481">
        <f t="shared" ca="1" si="1"/>
        <v>87.862046208742967</v>
      </c>
      <c r="AD51" s="1504">
        <f t="shared" ca="1" si="2"/>
        <v>2.0683066376124559</v>
      </c>
      <c r="AE51" s="335">
        <f t="shared" ca="1" si="14"/>
        <v>42.480183842646404</v>
      </c>
      <c r="AF51" s="698" t="str">
        <f t="shared" ca="1" si="3"/>
        <v xml:space="preserve"> </v>
      </c>
    </row>
    <row r="52" spans="1:32">
      <c r="A52" s="672">
        <f ca="1">'Plant Operations'!A52</f>
        <v>37469</v>
      </c>
      <c r="C52" s="1503">
        <f ca="1">IF($A52&gt;Endyr,0,VLOOKUP($A52,Tariff_Table,Tariff!$D$33))</f>
        <v>9179.8860103626939</v>
      </c>
      <c r="E52" s="691">
        <f ca="1">VLOOKUP($A52,Tariff_Table,Tariff!$E$33)</f>
        <v>0.96499955456715103</v>
      </c>
      <c r="F52" s="1481">
        <f t="shared" ca="1" si="4"/>
        <v>8858.5859109772209</v>
      </c>
      <c r="G52" s="1480">
        <f ca="1">VLOOKUP($A52,Curves_Table,Escalation!$N$291)</f>
        <v>1.1321906668383659</v>
      </c>
      <c r="H52" s="1481">
        <f t="shared" ca="1" si="5"/>
        <v>10029.608289794252</v>
      </c>
      <c r="I52" s="1504">
        <f ca="1">IF(Assm!$L$74=0,VLOOKUP($A52,Curves_Table,Escalation!$D$291),VLOOKUP($A52,Curves_Table,Escalation!$E$291))</f>
        <v>2.0794850939080129</v>
      </c>
      <c r="J52" s="1504">
        <f ca="1">IF($A52&lt;EE_Date,VLOOKUP($A52,Curves_Table,Escalation!$D$291),Exch)</f>
        <v>1.0649999999999999</v>
      </c>
      <c r="K52" s="1505">
        <f t="shared" ca="1" si="6"/>
        <v>19583.493836960926</v>
      </c>
      <c r="M52" s="691">
        <f ca="1">VLOOKUP($A52,Tariff_Table,Tariff!$F$33)</f>
        <v>3.500044543284897E-2</v>
      </c>
      <c r="N52" s="1481">
        <f t="shared" ca="1" si="7"/>
        <v>321.30009938547312</v>
      </c>
      <c r="O52" s="1480">
        <f ca="1">VLOOKUP($A52,Curves_Table,Escalation!$R$291)</f>
        <v>1.5466937113114996</v>
      </c>
      <c r="P52" s="1505">
        <f t="shared" ca="1" si="8"/>
        <v>496.9528431632711</v>
      </c>
      <c r="R52" s="1506">
        <f t="shared" ca="1" si="9"/>
        <v>20080.446680124198</v>
      </c>
      <c r="S52" s="330">
        <f ca="1">'Plant Operations'!C52</f>
        <v>480</v>
      </c>
      <c r="T52" s="1481">
        <f t="shared" ca="1" si="10"/>
        <v>9638.6144064596137</v>
      </c>
      <c r="U52" s="1504">
        <f t="shared" ca="1" si="11"/>
        <v>2.0794850939080129</v>
      </c>
      <c r="V52" s="384">
        <f t="shared" ca="1" si="12"/>
        <v>4635.0966567139922</v>
      </c>
      <c r="W52" s="692" t="str">
        <f t="shared" ca="1" si="0"/>
        <v xml:space="preserve"> </v>
      </c>
      <c r="Y52" s="1507">
        <f ca="1">IF($A52&gt;Endyr,0,VLOOKUP($A52,Tariff_Table,Tariff!$J$33))</f>
        <v>0.19</v>
      </c>
      <c r="Z52" s="1504">
        <f ca="1">VLOOKUP($A52,Curves_Table,Escalation!$AH$291)</f>
        <v>1.5466937113114996</v>
      </c>
      <c r="AA52" s="1504">
        <f t="shared" ca="1" si="13"/>
        <v>0.29387180514918493</v>
      </c>
      <c r="AB52" s="334">
        <f ca="1">'Plant Operations'!$I52+'Plant Operations'!$M52</f>
        <v>298980.864</v>
      </c>
      <c r="AC52" s="1481">
        <f t="shared" ca="1" si="1"/>
        <v>87.862046208742967</v>
      </c>
      <c r="AD52" s="1504">
        <f t="shared" ca="1" si="2"/>
        <v>2.0794850939080129</v>
      </c>
      <c r="AE52" s="335">
        <f t="shared" ca="1" si="14"/>
        <v>42.251827852068068</v>
      </c>
      <c r="AF52" s="698" t="str">
        <f t="shared" ca="1" si="3"/>
        <v xml:space="preserve"> </v>
      </c>
    </row>
    <row r="53" spans="1:32">
      <c r="A53" s="672">
        <f ca="1">'Plant Operations'!A53</f>
        <v>37500</v>
      </c>
      <c r="C53" s="1503">
        <f ca="1">IF($A53&gt;Endyr,0,VLOOKUP($A53,Tariff_Table,Tariff!$D$33))</f>
        <v>9179.8860103626939</v>
      </c>
      <c r="E53" s="691">
        <f ca="1">VLOOKUP($A53,Tariff_Table,Tariff!$E$33)</f>
        <v>0.96499955456715103</v>
      </c>
      <c r="F53" s="1481">
        <f t="shared" ca="1" si="4"/>
        <v>8858.5859109772209</v>
      </c>
      <c r="G53" s="1480">
        <f ca="1">VLOOKUP($A53,Curves_Table,Escalation!$N$291)</f>
        <v>1.1321906668383659</v>
      </c>
      <c r="H53" s="1481">
        <f t="shared" ca="1" si="5"/>
        <v>10029.608289794252</v>
      </c>
      <c r="I53" s="1504">
        <f ca="1">IF(Assm!$L$74=0,VLOOKUP($A53,Curves_Table,Escalation!$D$291),VLOOKUP($A53,Curves_Table,Escalation!$E$291))</f>
        <v>2.0907239657545715</v>
      </c>
      <c r="J53" s="1504">
        <f ca="1">IF($A53&lt;EE_Date,VLOOKUP($A53,Curves_Table,Escalation!$D$291),Exch)</f>
        <v>1.0649999999999999</v>
      </c>
      <c r="K53" s="1505">
        <f t="shared" ca="1" si="6"/>
        <v>19689.335604322598</v>
      </c>
      <c r="M53" s="691">
        <f ca="1">VLOOKUP($A53,Tariff_Table,Tariff!$F$33)</f>
        <v>3.500044543284897E-2</v>
      </c>
      <c r="N53" s="1481">
        <f t="shared" ca="1" si="7"/>
        <v>321.30009938547312</v>
      </c>
      <c r="O53" s="1480">
        <f ca="1">VLOOKUP($A53,Curves_Table,Escalation!$R$291)</f>
        <v>1.5466937113114996</v>
      </c>
      <c r="P53" s="1505">
        <f t="shared" ca="1" si="8"/>
        <v>496.9528431632711</v>
      </c>
      <c r="R53" s="1506">
        <f t="shared" ca="1" si="9"/>
        <v>20186.288447485869</v>
      </c>
      <c r="S53" s="330">
        <f ca="1">'Plant Operations'!C53</f>
        <v>480</v>
      </c>
      <c r="T53" s="1481">
        <f t="shared" ca="1" si="10"/>
        <v>9689.4184547932164</v>
      </c>
      <c r="U53" s="1504">
        <f t="shared" ca="1" si="11"/>
        <v>2.0907239657545715</v>
      </c>
      <c r="V53" s="384">
        <f t="shared" ca="1" si="12"/>
        <v>4634.4800239070155</v>
      </c>
      <c r="W53" s="692" t="str">
        <f t="shared" ca="1" si="0"/>
        <v xml:space="preserve"> </v>
      </c>
      <c r="Y53" s="1507">
        <f ca="1">IF($A53&gt;Endyr,0,VLOOKUP($A53,Tariff_Table,Tariff!$J$33))</f>
        <v>0.19</v>
      </c>
      <c r="Z53" s="1504">
        <f ca="1">VLOOKUP($A53,Curves_Table,Escalation!$AH$291)</f>
        <v>1.5466937113114996</v>
      </c>
      <c r="AA53" s="1504">
        <f t="shared" ca="1" si="13"/>
        <v>0.29387180514918493</v>
      </c>
      <c r="AB53" s="334">
        <f ca="1">'Plant Operations'!$I53+'Plant Operations'!$M53</f>
        <v>289336.32000000001</v>
      </c>
      <c r="AC53" s="1481">
        <f t="shared" ca="1" si="1"/>
        <v>85.027786653622215</v>
      </c>
      <c r="AD53" s="1504">
        <f t="shared" ca="1" si="2"/>
        <v>2.0907239657545715</v>
      </c>
      <c r="AE53" s="335">
        <f t="shared" ca="1" si="14"/>
        <v>40.669063944524353</v>
      </c>
      <c r="AF53" s="698" t="str">
        <f t="shared" ca="1" si="3"/>
        <v xml:space="preserve"> </v>
      </c>
    </row>
    <row r="54" spans="1:32">
      <c r="A54" s="672">
        <f ca="1">'Plant Operations'!A54</f>
        <v>37530</v>
      </c>
      <c r="C54" s="1503">
        <f ca="1">IF($A54&gt;Endyr,0,VLOOKUP($A54,Tariff_Table,Tariff!$D$33))</f>
        <v>9179.8860103626939</v>
      </c>
      <c r="E54" s="691">
        <f ca="1">VLOOKUP($A54,Tariff_Table,Tariff!$E$33)</f>
        <v>0.96499955456715103</v>
      </c>
      <c r="F54" s="1481">
        <f t="shared" ca="1" si="4"/>
        <v>8858.5859109772209</v>
      </c>
      <c r="G54" s="1480">
        <f ca="1">VLOOKUP($A54,Curves_Table,Escalation!$N$291)</f>
        <v>1.1321906668383659</v>
      </c>
      <c r="H54" s="1481">
        <f t="shared" ca="1" si="5"/>
        <v>10029.608289794252</v>
      </c>
      <c r="I54" s="1504">
        <f ca="1">IF(Assm!$L$74=0,VLOOKUP($A54,Curves_Table,Escalation!$D$291),VLOOKUP($A54,Curves_Table,Escalation!$E$291))</f>
        <v>2.1020235796765379</v>
      </c>
      <c r="J54" s="1504">
        <f ca="1">IF($A54&lt;EE_Date,VLOOKUP($A54,Curves_Table,Escalation!$D$291),Exch)</f>
        <v>1.0649999999999999</v>
      </c>
      <c r="K54" s="1505">
        <f t="shared" ca="1" si="6"/>
        <v>19795.74940851342</v>
      </c>
      <c r="M54" s="691">
        <f ca="1">VLOOKUP($A54,Tariff_Table,Tariff!$F$33)</f>
        <v>3.500044543284897E-2</v>
      </c>
      <c r="N54" s="1481">
        <f t="shared" ca="1" si="7"/>
        <v>321.30009938547312</v>
      </c>
      <c r="O54" s="1480">
        <f ca="1">VLOOKUP($A54,Curves_Table,Escalation!$R$291)</f>
        <v>1.5466937113114996</v>
      </c>
      <c r="P54" s="1505">
        <f t="shared" ca="1" si="8"/>
        <v>496.9528431632711</v>
      </c>
      <c r="R54" s="1506">
        <f t="shared" ca="1" si="9"/>
        <v>20292.702251676692</v>
      </c>
      <c r="S54" s="330">
        <f ca="1">'Plant Operations'!C54</f>
        <v>480</v>
      </c>
      <c r="T54" s="1481">
        <f t="shared" ca="1" si="10"/>
        <v>9740.497080804811</v>
      </c>
      <c r="U54" s="1504">
        <f t="shared" ca="1" si="11"/>
        <v>2.1020235796765379</v>
      </c>
      <c r="V54" s="384">
        <f t="shared" ca="1" si="12"/>
        <v>4633.8667058643041</v>
      </c>
      <c r="W54" s="692" t="str">
        <f t="shared" ca="1" si="0"/>
        <v xml:space="preserve"> </v>
      </c>
      <c r="Y54" s="1507">
        <f ca="1">IF($A54&gt;Endyr,0,VLOOKUP($A54,Tariff_Table,Tariff!$J$33))</f>
        <v>0.19</v>
      </c>
      <c r="Z54" s="1504">
        <f ca="1">VLOOKUP($A54,Curves_Table,Escalation!$AH$291)</f>
        <v>1.5466937113114996</v>
      </c>
      <c r="AA54" s="1504">
        <f t="shared" ca="1" si="13"/>
        <v>0.29387180514918493</v>
      </c>
      <c r="AB54" s="334">
        <f ca="1">'Plant Operations'!$I54+'Plant Operations'!$M54</f>
        <v>298980.864</v>
      </c>
      <c r="AC54" s="1481">
        <f t="shared" ca="1" si="1"/>
        <v>87.862046208742967</v>
      </c>
      <c r="AD54" s="1504">
        <f t="shared" ca="1" si="2"/>
        <v>2.1020235796765379</v>
      </c>
      <c r="AE54" s="335">
        <f t="shared" ca="1" si="14"/>
        <v>41.798791915675508</v>
      </c>
      <c r="AF54" s="698" t="str">
        <f t="shared" ca="1" si="3"/>
        <v xml:space="preserve"> </v>
      </c>
    </row>
    <row r="55" spans="1:32">
      <c r="A55" s="672">
        <f ca="1">'Plant Operations'!A55</f>
        <v>37561</v>
      </c>
      <c r="C55" s="1503">
        <f ca="1">IF($A55&gt;Endyr,0,VLOOKUP($A55,Tariff_Table,Tariff!$D$33))</f>
        <v>9179.8860103626939</v>
      </c>
      <c r="E55" s="691">
        <f ca="1">VLOOKUP($A55,Tariff_Table,Tariff!$E$33)</f>
        <v>0.96499955456715103</v>
      </c>
      <c r="F55" s="1481">
        <f t="shared" ca="1" si="4"/>
        <v>8858.5859109772209</v>
      </c>
      <c r="G55" s="1480">
        <f ca="1">VLOOKUP($A55,Curves_Table,Escalation!$N$291)</f>
        <v>1.1321906668383659</v>
      </c>
      <c r="H55" s="1481">
        <f t="shared" ca="1" si="5"/>
        <v>10029.608289794252</v>
      </c>
      <c r="I55" s="1504">
        <f ca="1">IF(Assm!$L$74=0,VLOOKUP($A55,Curves_Table,Escalation!$D$291),VLOOKUP($A55,Curves_Table,Escalation!$E$291))</f>
        <v>2.1133842639630656</v>
      </c>
      <c r="J55" s="1504">
        <f ca="1">IF($A55&lt;EE_Date,VLOOKUP($A55,Curves_Table,Escalation!$D$291),Exch)</f>
        <v>1.0649999999999999</v>
      </c>
      <c r="K55" s="1505">
        <f t="shared" ca="1" si="6"/>
        <v>19902.738341187502</v>
      </c>
      <c r="M55" s="691">
        <f ca="1">VLOOKUP($A55,Tariff_Table,Tariff!$F$33)</f>
        <v>3.500044543284897E-2</v>
      </c>
      <c r="N55" s="1481">
        <f t="shared" ca="1" si="7"/>
        <v>321.30009938547312</v>
      </c>
      <c r="O55" s="1480">
        <f ca="1">VLOOKUP($A55,Curves_Table,Escalation!$R$291)</f>
        <v>1.5466937113114996</v>
      </c>
      <c r="P55" s="1505">
        <f t="shared" ca="1" si="8"/>
        <v>496.9528431632711</v>
      </c>
      <c r="R55" s="1506">
        <f t="shared" ca="1" si="9"/>
        <v>20399.691184350773</v>
      </c>
      <c r="S55" s="330">
        <f ca="1">'Plant Operations'!C55</f>
        <v>480</v>
      </c>
      <c r="T55" s="1481">
        <f t="shared" ca="1" si="10"/>
        <v>9791.8517684883718</v>
      </c>
      <c r="U55" s="1504">
        <f t="shared" ca="1" si="11"/>
        <v>2.1133842639630656</v>
      </c>
      <c r="V55" s="384">
        <f t="shared" ca="1" si="12"/>
        <v>4633.2566847670532</v>
      </c>
      <c r="W55" s="692" t="str">
        <f t="shared" ca="1" si="0"/>
        <v xml:space="preserve"> </v>
      </c>
      <c r="Y55" s="1507">
        <f ca="1">IF($A55&gt;Endyr,0,VLOOKUP($A55,Tariff_Table,Tariff!$J$33))</f>
        <v>0.19</v>
      </c>
      <c r="Z55" s="1504">
        <f ca="1">VLOOKUP($A55,Curves_Table,Escalation!$AH$291)</f>
        <v>1.5466937113114996</v>
      </c>
      <c r="AA55" s="1504">
        <f t="shared" ca="1" si="13"/>
        <v>0.29387180514918493</v>
      </c>
      <c r="AB55" s="334">
        <f ca="1">'Plant Operations'!$I55+'Plant Operations'!$M55</f>
        <v>289336.32000000001</v>
      </c>
      <c r="AC55" s="1481">
        <f t="shared" ca="1" si="1"/>
        <v>85.027786653622215</v>
      </c>
      <c r="AD55" s="1504">
        <f t="shared" ca="1" si="2"/>
        <v>2.1133842639630656</v>
      </c>
      <c r="AE55" s="335">
        <f t="shared" ca="1" si="14"/>
        <v>40.232998846208972</v>
      </c>
      <c r="AF55" s="698" t="str">
        <f t="shared" ca="1" si="3"/>
        <v xml:space="preserve"> </v>
      </c>
    </row>
    <row r="56" spans="1:32">
      <c r="A56" s="672">
        <f ca="1">'Plant Operations'!A56</f>
        <v>37591</v>
      </c>
      <c r="C56" s="1503">
        <f ca="1">IF($A56&gt;Endyr,0,VLOOKUP($A56,Tariff_Table,Tariff!$D$33))</f>
        <v>9179.8860103626939</v>
      </c>
      <c r="E56" s="691">
        <f ca="1">VLOOKUP($A56,Tariff_Table,Tariff!$E$33)</f>
        <v>0.96499955456715103</v>
      </c>
      <c r="F56" s="1481">
        <f t="shared" ca="1" si="4"/>
        <v>8858.5859109772209</v>
      </c>
      <c r="G56" s="1480">
        <f ca="1">VLOOKUP($A56,Curves_Table,Escalation!$N$291)</f>
        <v>1.1321906668383659</v>
      </c>
      <c r="H56" s="1481">
        <f t="shared" ca="1" si="5"/>
        <v>10029.608289794252</v>
      </c>
      <c r="I56" s="1504">
        <f ca="1">IF(Assm!$L$74=0,VLOOKUP($A56,Curves_Table,Escalation!$D$291),VLOOKUP($A56,Curves_Table,Escalation!$E$291))</f>
        <v>2.1248063486775925</v>
      </c>
      <c r="J56" s="1504">
        <f ca="1">IF($A56&lt;EE_Date,VLOOKUP($A56,Curves_Table,Escalation!$D$291),Exch)</f>
        <v>1.0649999999999999</v>
      </c>
      <c r="K56" s="1505">
        <f t="shared" ca="1" si="6"/>
        <v>20010.305510708204</v>
      </c>
      <c r="M56" s="691">
        <f ca="1">VLOOKUP($A56,Tariff_Table,Tariff!$F$33)</f>
        <v>3.500044543284897E-2</v>
      </c>
      <c r="N56" s="1481">
        <f t="shared" ca="1" si="7"/>
        <v>321.30009938547312</v>
      </c>
      <c r="O56" s="1480">
        <f ca="1">VLOOKUP($A56,Curves_Table,Escalation!$R$291)</f>
        <v>1.5466937113114996</v>
      </c>
      <c r="P56" s="1505">
        <f t="shared" ca="1" si="8"/>
        <v>496.9528431632711</v>
      </c>
      <c r="R56" s="1506">
        <f t="shared" ca="1" si="9"/>
        <v>20507.258353871475</v>
      </c>
      <c r="S56" s="330">
        <f ca="1">'Plant Operations'!C56</f>
        <v>480</v>
      </c>
      <c r="T56" s="1481">
        <f t="shared" ca="1" si="10"/>
        <v>9843.4840098583081</v>
      </c>
      <c r="U56" s="1504">
        <f t="shared" ca="1" si="11"/>
        <v>2.1248063486775925</v>
      </c>
      <c r="V56" s="384">
        <f t="shared" ca="1" si="12"/>
        <v>4632.6499428922352</v>
      </c>
      <c r="W56" s="1870">
        <f ca="1">IF(MONTH($A56)=12,SUM(V45:V56)," ")</f>
        <v>55089.779762335973</v>
      </c>
      <c r="Y56" s="1507">
        <f ca="1">IF($A56&gt;Endyr,0,VLOOKUP($A56,Tariff_Table,Tariff!$J$33))</f>
        <v>0.19</v>
      </c>
      <c r="Z56" s="1504">
        <f ca="1">VLOOKUP($A56,Curves_Table,Escalation!$AH$291)</f>
        <v>1.5466937113114996</v>
      </c>
      <c r="AA56" s="1504">
        <f t="shared" ca="1" si="13"/>
        <v>0.29387180514918493</v>
      </c>
      <c r="AB56" s="334">
        <f ca="1">'Plant Operations'!$I56+'Plant Operations'!$M56</f>
        <v>298980.864</v>
      </c>
      <c r="AC56" s="1481">
        <f t="shared" ca="1" si="1"/>
        <v>87.862046208742967</v>
      </c>
      <c r="AD56" s="1504">
        <f t="shared" ca="1" si="2"/>
        <v>2.1248063486775925</v>
      </c>
      <c r="AE56" s="335">
        <f t="shared" ca="1" si="14"/>
        <v>41.350613557525058</v>
      </c>
      <c r="AF56" s="698">
        <f t="shared" ca="1" si="3"/>
        <v>487.86184538946912</v>
      </c>
    </row>
    <row r="57" spans="1:32">
      <c r="A57" s="672">
        <f ca="1">'Plant Operations'!A57</f>
        <v>37622</v>
      </c>
      <c r="C57" s="1503">
        <f ca="1">IF($A57&gt;Endyr,0,VLOOKUP($A57,Tariff_Table,Tariff!$D$33))</f>
        <v>9179.8860103626939</v>
      </c>
      <c r="E57" s="691">
        <f ca="1">VLOOKUP($A57,Tariff_Table,Tariff!$E$33)</f>
        <v>0.96499955456715103</v>
      </c>
      <c r="F57" s="1481">
        <f t="shared" ca="1" si="4"/>
        <v>8858.5859109772209</v>
      </c>
      <c r="G57" s="1480">
        <f ca="1">VLOOKUP($A57,Curves_Table,Escalation!$N$291)</f>
        <v>1.1321906668383659</v>
      </c>
      <c r="H57" s="1481">
        <f t="shared" ca="1" si="5"/>
        <v>10029.608289794252</v>
      </c>
      <c r="I57" s="1504">
        <f ca="1">IF(Assm!$L$74=0,VLOOKUP($A57,Curves_Table,Escalation!$D$291),VLOOKUP($A57,Curves_Table,Escalation!$E$291))</f>
        <v>2.1308778783404252</v>
      </c>
      <c r="J57" s="1504">
        <f ca="1">IF($A57&lt;EE_Date,VLOOKUP($A57,Curves_Table,Escalation!$D$291),Exch)</f>
        <v>1.0649999999999999</v>
      </c>
      <c r="K57" s="1505">
        <f t="shared" ca="1" si="6"/>
        <v>20067.48397478152</v>
      </c>
      <c r="M57" s="691">
        <f ca="1">VLOOKUP($A57,Tariff_Table,Tariff!$F$33)</f>
        <v>3.500044543284897E-2</v>
      </c>
      <c r="N57" s="1481">
        <f t="shared" ca="1" si="7"/>
        <v>321.30009938547312</v>
      </c>
      <c r="O57" s="1480">
        <f ca="1">VLOOKUP($A57,Curves_Table,Escalation!$R$291)</f>
        <v>1.5466937113114996</v>
      </c>
      <c r="P57" s="1505">
        <f t="shared" ca="1" si="8"/>
        <v>496.9528431632711</v>
      </c>
      <c r="R57" s="1506">
        <f t="shared" ca="1" si="9"/>
        <v>20564.436817944792</v>
      </c>
      <c r="S57" s="330">
        <f ca="1">'Plant Operations'!C57</f>
        <v>480</v>
      </c>
      <c r="T57" s="1481">
        <f t="shared" ca="1" si="10"/>
        <v>9870.9296726134999</v>
      </c>
      <c r="U57" s="1504">
        <f t="shared" ca="1" si="11"/>
        <v>2.1308778783404252</v>
      </c>
      <c r="V57" s="384">
        <f t="shared" ca="1" si="12"/>
        <v>4632.3300706003847</v>
      </c>
      <c r="W57" s="692" t="str">
        <f t="shared" ca="1" si="0"/>
        <v xml:space="preserve"> </v>
      </c>
      <c r="Y57" s="1507">
        <f ca="1">IF($A57&gt;Endyr,0,VLOOKUP($A57,Tariff_Table,Tariff!$J$33))</f>
        <v>0.19</v>
      </c>
      <c r="Z57" s="1504">
        <f ca="1">VLOOKUP($A57,Curves_Table,Escalation!$AH$291)</f>
        <v>1.5466937113114996</v>
      </c>
      <c r="AA57" s="1504">
        <f t="shared" ca="1" si="13"/>
        <v>0.29387180514918493</v>
      </c>
      <c r="AB57" s="334">
        <f ca="1">'Plant Operations'!$I57+'Plant Operations'!$M57</f>
        <v>298980.864</v>
      </c>
      <c r="AC57" s="1481">
        <f t="shared" ca="1" si="1"/>
        <v>87.862046208742967</v>
      </c>
      <c r="AD57" s="1504">
        <f t="shared" ca="1" si="2"/>
        <v>2.1308778783404252</v>
      </c>
      <c r="AE57" s="335">
        <f t="shared" ca="1" si="14"/>
        <v>41.232792879323462</v>
      </c>
      <c r="AF57" s="698" t="str">
        <f t="shared" ca="1" si="3"/>
        <v xml:space="preserve"> </v>
      </c>
    </row>
    <row r="58" spans="1:32">
      <c r="A58" s="672">
        <f ca="1">'Plant Operations'!A58</f>
        <v>37653</v>
      </c>
      <c r="C58" s="1503">
        <f ca="1">IF($A58&gt;Endyr,0,VLOOKUP($A58,Tariff_Table,Tariff!$D$33))</f>
        <v>9179.8860103626939</v>
      </c>
      <c r="E58" s="691">
        <f ca="1">VLOOKUP($A58,Tariff_Table,Tariff!$E$33)</f>
        <v>0.96499955456715103</v>
      </c>
      <c r="F58" s="1481">
        <f t="shared" ca="1" si="4"/>
        <v>8858.5859109772209</v>
      </c>
      <c r="G58" s="1480">
        <f ca="1">VLOOKUP($A58,Curves_Table,Escalation!$N$291)</f>
        <v>1.1321906668383659</v>
      </c>
      <c r="H58" s="1481">
        <f t="shared" ca="1" si="5"/>
        <v>10029.608289794252</v>
      </c>
      <c r="I58" s="1504">
        <f ca="1">IF(Assm!$L$74=0,VLOOKUP($A58,Curves_Table,Escalation!$D$291),VLOOKUP($A58,Curves_Table,Escalation!$E$291))</f>
        <v>2.1369667571007271</v>
      </c>
      <c r="J58" s="1504">
        <f ca="1">IF($A58&lt;EE_Date,VLOOKUP($A58,Curves_Table,Escalation!$D$291),Exch)</f>
        <v>1.0649999999999999</v>
      </c>
      <c r="K58" s="1505">
        <f t="shared" ca="1" si="6"/>
        <v>20124.825823504409</v>
      </c>
      <c r="M58" s="691">
        <f ca="1">VLOOKUP($A58,Tariff_Table,Tariff!$F$33)</f>
        <v>3.500044543284897E-2</v>
      </c>
      <c r="N58" s="1481">
        <f t="shared" ca="1" si="7"/>
        <v>321.30009938547312</v>
      </c>
      <c r="O58" s="1480">
        <f ca="1">VLOOKUP($A58,Curves_Table,Escalation!$R$291)</f>
        <v>1.5466937113114996</v>
      </c>
      <c r="P58" s="1505">
        <f t="shared" ca="1" si="8"/>
        <v>496.9528431632711</v>
      </c>
      <c r="R58" s="1506">
        <f t="shared" ca="1" si="9"/>
        <v>20621.77866666768</v>
      </c>
      <c r="S58" s="330">
        <f ca="1">'Plant Operations'!C58</f>
        <v>480</v>
      </c>
      <c r="T58" s="1481">
        <f t="shared" ca="1" si="10"/>
        <v>9898.453760000486</v>
      </c>
      <c r="U58" s="1504">
        <f t="shared" ca="1" si="11"/>
        <v>2.1369667571007271</v>
      </c>
      <c r="V58" s="384">
        <f t="shared" ca="1" si="12"/>
        <v>4632.0111097235549</v>
      </c>
      <c r="W58" s="692" t="str">
        <f t="shared" ca="1" si="0"/>
        <v xml:space="preserve"> </v>
      </c>
      <c r="Y58" s="1507">
        <f ca="1">IF($A58&gt;Endyr,0,VLOOKUP($A58,Tariff_Table,Tariff!$J$33))</f>
        <v>0.19</v>
      </c>
      <c r="Z58" s="1504">
        <f ca="1">VLOOKUP($A58,Curves_Table,Escalation!$AH$291)</f>
        <v>1.5466937113114996</v>
      </c>
      <c r="AA58" s="1504">
        <f t="shared" ca="1" si="13"/>
        <v>0.29387180514918493</v>
      </c>
      <c r="AB58" s="334">
        <f ca="1">'Plant Operations'!$I58+'Plant Operations'!$M58</f>
        <v>270047.23200000002</v>
      </c>
      <c r="AC58" s="1481">
        <f t="shared" ca="1" si="1"/>
        <v>79.359267543380739</v>
      </c>
      <c r="AD58" s="1504">
        <f t="shared" ca="1" si="2"/>
        <v>2.1369667571007271</v>
      </c>
      <c r="AE58" s="335">
        <f t="shared" ca="1" si="14"/>
        <v>37.136407143295628</v>
      </c>
      <c r="AF58" s="698" t="str">
        <f t="shared" ca="1" si="3"/>
        <v xml:space="preserve"> </v>
      </c>
    </row>
    <row r="59" spans="1:32">
      <c r="A59" s="672">
        <f ca="1">'Plant Operations'!A59</f>
        <v>37681</v>
      </c>
      <c r="C59" s="1503">
        <f ca="1">IF($A59&gt;Endyr,0,VLOOKUP($A59,Tariff_Table,Tariff!$D$33))</f>
        <v>9179.8860103626939</v>
      </c>
      <c r="E59" s="691">
        <f ca="1">VLOOKUP($A59,Tariff_Table,Tariff!$E$33)</f>
        <v>0.96499955456715103</v>
      </c>
      <c r="F59" s="1481">
        <f t="shared" ca="1" si="4"/>
        <v>8858.5859109772209</v>
      </c>
      <c r="G59" s="1480">
        <f ca="1">VLOOKUP($A59,Curves_Table,Escalation!$N$291)</f>
        <v>1.1321906668383659</v>
      </c>
      <c r="H59" s="1481">
        <f t="shared" ca="1" si="5"/>
        <v>10029.608289794252</v>
      </c>
      <c r="I59" s="1504">
        <f ca="1">IF(Assm!$L$74=0,VLOOKUP($A59,Curves_Table,Escalation!$D$291),VLOOKUP($A59,Curves_Table,Escalation!$E$291))</f>
        <v>2.1430730345326912</v>
      </c>
      <c r="J59" s="1504">
        <f ca="1">IF($A59&lt;EE_Date,VLOOKUP($A59,Curves_Table,Escalation!$D$291),Exch)</f>
        <v>1.0649999999999999</v>
      </c>
      <c r="K59" s="1505">
        <f t="shared" ca="1" si="6"/>
        <v>20182.331523740471</v>
      </c>
      <c r="M59" s="691">
        <f ca="1">VLOOKUP($A59,Tariff_Table,Tariff!$F$33)</f>
        <v>3.500044543284897E-2</v>
      </c>
      <c r="N59" s="1481">
        <f t="shared" ca="1" si="7"/>
        <v>321.30009938547312</v>
      </c>
      <c r="O59" s="1480">
        <f ca="1">VLOOKUP($A59,Curves_Table,Escalation!$R$291)</f>
        <v>1.5466937113114996</v>
      </c>
      <c r="P59" s="1505">
        <f t="shared" ca="1" si="8"/>
        <v>496.9528431632711</v>
      </c>
      <c r="R59" s="1506">
        <f t="shared" ca="1" si="9"/>
        <v>20679.284366903743</v>
      </c>
      <c r="S59" s="330">
        <f ca="1">'Plant Operations'!C59</f>
        <v>480</v>
      </c>
      <c r="T59" s="1481">
        <f t="shared" ca="1" si="10"/>
        <v>9926.0564961137952</v>
      </c>
      <c r="U59" s="1504">
        <f t="shared" ca="1" si="11"/>
        <v>2.1430730345326912</v>
      </c>
      <c r="V59" s="384">
        <f t="shared" ca="1" si="12"/>
        <v>4631.6930576648438</v>
      </c>
      <c r="W59" s="692" t="str">
        <f t="shared" ca="1" si="0"/>
        <v xml:space="preserve"> </v>
      </c>
      <c r="Y59" s="1507">
        <f ca="1">IF($A59&gt;Endyr,0,VLOOKUP($A59,Tariff_Table,Tariff!$J$33))</f>
        <v>0.19</v>
      </c>
      <c r="Z59" s="1504">
        <f ca="1">VLOOKUP($A59,Curves_Table,Escalation!$AH$291)</f>
        <v>1.5466937113114996</v>
      </c>
      <c r="AA59" s="1504">
        <f t="shared" ca="1" si="13"/>
        <v>0.29387180514918493</v>
      </c>
      <c r="AB59" s="334">
        <f ca="1">'Plant Operations'!$I59+'Plant Operations'!$M59</f>
        <v>298980.864</v>
      </c>
      <c r="AC59" s="1481">
        <f t="shared" ca="1" si="1"/>
        <v>87.862046208742967</v>
      </c>
      <c r="AD59" s="1504">
        <f t="shared" ca="1" si="2"/>
        <v>2.1430730345326912</v>
      </c>
      <c r="AE59" s="335">
        <f t="shared" ca="1" si="14"/>
        <v>40.99815768896638</v>
      </c>
      <c r="AF59" s="698" t="str">
        <f t="shared" ca="1" si="3"/>
        <v xml:space="preserve"> </v>
      </c>
    </row>
    <row r="60" spans="1:32">
      <c r="A60" s="672">
        <f ca="1">'Plant Operations'!A60</f>
        <v>37712</v>
      </c>
      <c r="C60" s="1503">
        <f ca="1">IF($A60&gt;Endyr,0,VLOOKUP($A60,Tariff_Table,Tariff!$D$33))</f>
        <v>9179.8860103626939</v>
      </c>
      <c r="E60" s="691">
        <f ca="1">VLOOKUP($A60,Tariff_Table,Tariff!$E$33)</f>
        <v>0.96499955456715103</v>
      </c>
      <c r="F60" s="1481">
        <f t="shared" ca="1" si="4"/>
        <v>8858.5859109772209</v>
      </c>
      <c r="G60" s="1480">
        <f ca="1">VLOOKUP($A60,Curves_Table,Escalation!$N$291)</f>
        <v>1.1321906668383659</v>
      </c>
      <c r="H60" s="1481">
        <f t="shared" ca="1" si="5"/>
        <v>10029.608289794252</v>
      </c>
      <c r="I60" s="1504">
        <f ca="1">IF(Assm!$L$74=0,VLOOKUP($A60,Curves_Table,Escalation!$D$291),VLOOKUP($A60,Curves_Table,Escalation!$E$291))</f>
        <v>2.1491967603521664</v>
      </c>
      <c r="J60" s="1504">
        <f ca="1">IF($A60&lt;EE_Date,VLOOKUP($A60,Curves_Table,Escalation!$D$291),Exch)</f>
        <v>1.0649999999999999</v>
      </c>
      <c r="K60" s="1505">
        <f t="shared" ca="1" si="6"/>
        <v>20240.001543687362</v>
      </c>
      <c r="M60" s="691">
        <f ca="1">VLOOKUP($A60,Tariff_Table,Tariff!$F$33)</f>
        <v>3.500044543284897E-2</v>
      </c>
      <c r="N60" s="1481">
        <f t="shared" ca="1" si="7"/>
        <v>321.30009938547312</v>
      </c>
      <c r="O60" s="1480">
        <f ca="1">VLOOKUP($A60,Curves_Table,Escalation!$R$291)</f>
        <v>1.5466937113114996</v>
      </c>
      <c r="P60" s="1505">
        <f t="shared" ca="1" si="8"/>
        <v>496.9528431632711</v>
      </c>
      <c r="R60" s="1506">
        <f t="shared" ca="1" si="9"/>
        <v>20736.954386850633</v>
      </c>
      <c r="S60" s="330">
        <f ca="1">'Plant Operations'!C60</f>
        <v>480</v>
      </c>
      <c r="T60" s="1481">
        <f t="shared" ca="1" si="10"/>
        <v>9953.7381056883041</v>
      </c>
      <c r="U60" s="1504">
        <f t="shared" ca="1" si="11"/>
        <v>2.1491967603521664</v>
      </c>
      <c r="V60" s="384">
        <f t="shared" ca="1" si="12"/>
        <v>4631.3759118347498</v>
      </c>
      <c r="W60" s="692" t="str">
        <f t="shared" ca="1" si="0"/>
        <v xml:space="preserve"> </v>
      </c>
      <c r="Y60" s="1507">
        <f ca="1">IF($A60&gt;Endyr,0,VLOOKUP($A60,Tariff_Table,Tariff!$J$33))</f>
        <v>0.19</v>
      </c>
      <c r="Z60" s="1504">
        <f ca="1">VLOOKUP($A60,Curves_Table,Escalation!$AH$291)</f>
        <v>1.5466937113114996</v>
      </c>
      <c r="AA60" s="1504">
        <f t="shared" ca="1" si="13"/>
        <v>0.29387180514918493</v>
      </c>
      <c r="AB60" s="334">
        <f ca="1">'Plant Operations'!$I60+'Plant Operations'!$M60</f>
        <v>289336.32000000001</v>
      </c>
      <c r="AC60" s="1481">
        <f t="shared" ca="1" si="1"/>
        <v>85.027786653622215</v>
      </c>
      <c r="AD60" s="1504">
        <f t="shared" ca="1" si="2"/>
        <v>2.1491967603521664</v>
      </c>
      <c r="AE60" s="335">
        <f t="shared" ca="1" si="14"/>
        <v>39.562588322387754</v>
      </c>
      <c r="AF60" s="698" t="str">
        <f t="shared" ca="1" si="3"/>
        <v xml:space="preserve"> </v>
      </c>
    </row>
    <row r="61" spans="1:32">
      <c r="A61" s="672">
        <f ca="1">'Plant Operations'!A61</f>
        <v>37742</v>
      </c>
      <c r="C61" s="1503">
        <f ca="1">IF($A61&gt;Endyr,0,VLOOKUP($A61,Tariff_Table,Tariff!$D$33))</f>
        <v>9798.4359454443475</v>
      </c>
      <c r="E61" s="691">
        <f ca="1">VLOOKUP($A61,Tariff_Table,Tariff!$E$33)</f>
        <v>0.97445500038735278</v>
      </c>
      <c r="F61" s="1481">
        <f t="shared" ca="1" si="4"/>
        <v>9548.1349030134224</v>
      </c>
      <c r="G61" s="1480">
        <f ca="1">VLOOKUP($A61,Curves_Table,Escalation!$N$291)</f>
        <v>1.166287045927733</v>
      </c>
      <c r="H61" s="1481">
        <f t="shared" ca="1" si="5"/>
        <v>11135.866050155006</v>
      </c>
      <c r="I61" s="1504">
        <f ca="1">IF(Assm!$L$74=0,VLOOKUP($A61,Curves_Table,Escalation!$D$291),VLOOKUP($A61,Curves_Table,Escalation!$E$291))</f>
        <v>2.1553379844170619</v>
      </c>
      <c r="J61" s="1504">
        <f ca="1">IF($A61&lt;EE_Date,VLOOKUP($A61,Curves_Table,Escalation!$D$291),Exch)</f>
        <v>1.0649999999999999</v>
      </c>
      <c r="K61" s="1505">
        <f t="shared" ca="1" si="6"/>
        <v>22536.67144345491</v>
      </c>
      <c r="M61" s="691">
        <f ca="1">VLOOKUP($A61,Tariff_Table,Tariff!$F$33)</f>
        <v>2.5544999612647223E-2</v>
      </c>
      <c r="N61" s="1481">
        <f t="shared" ca="1" si="7"/>
        <v>250.3010424309245</v>
      </c>
      <c r="O61" s="1480">
        <f ca="1">VLOOKUP($A61,Curves_Table,Escalation!$R$291)</f>
        <v>1.6755808839625042</v>
      </c>
      <c r="P61" s="1505">
        <f t="shared" ca="1" si="8"/>
        <v>419.39964193314472</v>
      </c>
      <c r="R61" s="1506">
        <f t="shared" ca="1" si="9"/>
        <v>22956.071085388056</v>
      </c>
      <c r="S61" s="330">
        <f ca="1">'Plant Operations'!C61</f>
        <v>480</v>
      </c>
      <c r="T61" s="1481">
        <f t="shared" ca="1" si="10"/>
        <v>11018.914120986266</v>
      </c>
      <c r="U61" s="1504">
        <f t="shared" ca="1" si="11"/>
        <v>2.1553379844170619</v>
      </c>
      <c r="V61" s="384">
        <f t="shared" ca="1" si="12"/>
        <v>5112.3833944616672</v>
      </c>
      <c r="W61" s="692" t="str">
        <f t="shared" ca="1" si="0"/>
        <v xml:space="preserve"> </v>
      </c>
      <c r="Y61" s="1507">
        <f ca="1">IF($A61&gt;Endyr,0,VLOOKUP($A61,Tariff_Table,Tariff!$J$33))</f>
        <v>0.19</v>
      </c>
      <c r="Z61" s="1504">
        <f ca="1">VLOOKUP($A61,Curves_Table,Escalation!$AH$291)</f>
        <v>1.6755808839625042</v>
      </c>
      <c r="AA61" s="1504">
        <f t="shared" ca="1" si="13"/>
        <v>0.31836036795287581</v>
      </c>
      <c r="AB61" s="334">
        <f ca="1">'Plant Operations'!$I61+'Plant Operations'!$M61</f>
        <v>298980.864</v>
      </c>
      <c r="AC61" s="1481">
        <f t="shared" ca="1" si="1"/>
        <v>95.183657873908729</v>
      </c>
      <c r="AD61" s="1504">
        <f t="shared" ca="1" si="2"/>
        <v>2.1553379844170619</v>
      </c>
      <c r="AE61" s="335">
        <f t="shared" ca="1" si="14"/>
        <v>44.161824531502582</v>
      </c>
      <c r="AF61" s="698" t="str">
        <f t="shared" ca="1" si="3"/>
        <v xml:space="preserve"> </v>
      </c>
    </row>
    <row r="62" spans="1:32">
      <c r="A62" s="672">
        <f ca="1">'Plant Operations'!A62</f>
        <v>37773</v>
      </c>
      <c r="C62" s="1503">
        <f ca="1">IF($A62&gt;Endyr,0,VLOOKUP($A62,Tariff_Table,Tariff!$D$33))</f>
        <v>9798.4359454443475</v>
      </c>
      <c r="E62" s="691">
        <f ca="1">VLOOKUP($A62,Tariff_Table,Tariff!$E$33)</f>
        <v>0.97445500038735278</v>
      </c>
      <c r="F62" s="1481">
        <f t="shared" ca="1" si="4"/>
        <v>9548.1349030134224</v>
      </c>
      <c r="G62" s="1480">
        <f ca="1">VLOOKUP($A62,Curves_Table,Escalation!$N$291)</f>
        <v>1.166287045927733</v>
      </c>
      <c r="H62" s="1481">
        <f t="shared" ca="1" si="5"/>
        <v>11135.866050155006</v>
      </c>
      <c r="I62" s="1504">
        <f ca="1">IF(Assm!$L$74=0,VLOOKUP($A62,Curves_Table,Escalation!$D$291),VLOOKUP($A62,Curves_Table,Escalation!$E$291))</f>
        <v>2.1614967567277539</v>
      </c>
      <c r="J62" s="1504">
        <f ca="1">IF($A62&lt;EE_Date,VLOOKUP($A62,Curves_Table,Escalation!$D$291),Exch)</f>
        <v>1.0649999999999999</v>
      </c>
      <c r="K62" s="1505">
        <f t="shared" ca="1" si="6"/>
        <v>22601.068873957513</v>
      </c>
      <c r="M62" s="691">
        <f ca="1">VLOOKUP($A62,Tariff_Table,Tariff!$F$33)</f>
        <v>2.5544999612647223E-2</v>
      </c>
      <c r="N62" s="1481">
        <f t="shared" ca="1" si="7"/>
        <v>250.3010424309245</v>
      </c>
      <c r="O62" s="1480">
        <f ca="1">VLOOKUP($A62,Curves_Table,Escalation!$R$291)</f>
        <v>1.6755808839625042</v>
      </c>
      <c r="P62" s="1505">
        <f t="shared" ca="1" si="8"/>
        <v>419.39964193314472</v>
      </c>
      <c r="R62" s="1506">
        <f t="shared" ca="1" si="9"/>
        <v>23020.468515890658</v>
      </c>
      <c r="S62" s="330">
        <f ca="1">'Plant Operations'!C62</f>
        <v>480</v>
      </c>
      <c r="T62" s="1481">
        <f t="shared" ca="1" si="10"/>
        <v>11049.824887627516</v>
      </c>
      <c r="U62" s="1504">
        <f t="shared" ca="1" si="11"/>
        <v>2.1614967567277539</v>
      </c>
      <c r="V62" s="384">
        <f t="shared" ca="1" si="12"/>
        <v>5112.1172646845062</v>
      </c>
      <c r="W62" s="692" t="str">
        <f t="shared" ca="1" si="0"/>
        <v xml:space="preserve"> </v>
      </c>
      <c r="Y62" s="1507">
        <f ca="1">IF($A62&gt;Endyr,0,VLOOKUP($A62,Tariff_Table,Tariff!$J$33))</f>
        <v>0.19</v>
      </c>
      <c r="Z62" s="1504">
        <f ca="1">VLOOKUP($A62,Curves_Table,Escalation!$AH$291)</f>
        <v>1.6755808839625042</v>
      </c>
      <c r="AA62" s="1504">
        <f t="shared" ca="1" si="13"/>
        <v>0.31836036795287581</v>
      </c>
      <c r="AB62" s="334">
        <f ca="1">'Plant Operations'!$I62+'Plant Operations'!$M62</f>
        <v>289336.32000000001</v>
      </c>
      <c r="AC62" s="1481">
        <f t="shared" ca="1" si="1"/>
        <v>92.113217297331019</v>
      </c>
      <c r="AD62" s="1504">
        <f t="shared" ca="1" si="2"/>
        <v>2.1614967567277539</v>
      </c>
      <c r="AE62" s="335">
        <f t="shared" ca="1" si="14"/>
        <v>42.615477913915242</v>
      </c>
      <c r="AF62" s="698" t="str">
        <f t="shared" ca="1" si="3"/>
        <v xml:space="preserve"> </v>
      </c>
    </row>
    <row r="63" spans="1:32">
      <c r="A63" s="672">
        <f ca="1">'Plant Operations'!A63</f>
        <v>37803</v>
      </c>
      <c r="C63" s="1503">
        <f ca="1">IF($A63&gt;Endyr,0,VLOOKUP($A63,Tariff_Table,Tariff!$D$33))</f>
        <v>9798.4359454443475</v>
      </c>
      <c r="E63" s="691">
        <f ca="1">VLOOKUP($A63,Tariff_Table,Tariff!$E$33)</f>
        <v>0.97445500038735278</v>
      </c>
      <c r="F63" s="1481">
        <f t="shared" ca="1" si="4"/>
        <v>9548.1349030134224</v>
      </c>
      <c r="G63" s="1480">
        <f ca="1">VLOOKUP($A63,Curves_Table,Escalation!$N$291)</f>
        <v>1.166287045927733</v>
      </c>
      <c r="H63" s="1481">
        <f t="shared" ca="1" si="5"/>
        <v>11135.866050155006</v>
      </c>
      <c r="I63" s="1504">
        <f ca="1">IF(Assm!$L$74=0,VLOOKUP($A63,Curves_Table,Escalation!$D$291),VLOOKUP($A63,Curves_Table,Escalation!$E$291))</f>
        <v>2.1676731274274914</v>
      </c>
      <c r="J63" s="1504">
        <f ca="1">IF($A63&lt;EE_Date,VLOOKUP($A63,Curves_Table,Escalation!$D$291),Exch)</f>
        <v>1.0649999999999999</v>
      </c>
      <c r="K63" s="1505">
        <f t="shared" ca="1" si="6"/>
        <v>22665.650316951294</v>
      </c>
      <c r="M63" s="691">
        <f ca="1">VLOOKUP($A63,Tariff_Table,Tariff!$F$33)</f>
        <v>2.5544999612647223E-2</v>
      </c>
      <c r="N63" s="1481">
        <f t="shared" ca="1" si="7"/>
        <v>250.3010424309245</v>
      </c>
      <c r="O63" s="1480">
        <f ca="1">VLOOKUP($A63,Curves_Table,Escalation!$R$291)</f>
        <v>1.6755808839625042</v>
      </c>
      <c r="P63" s="1505">
        <f t="shared" ca="1" si="8"/>
        <v>419.39964193314472</v>
      </c>
      <c r="R63" s="1506">
        <f t="shared" ca="1" si="9"/>
        <v>23085.04995888444</v>
      </c>
      <c r="S63" s="330">
        <f ca="1">'Plant Operations'!C63</f>
        <v>480</v>
      </c>
      <c r="T63" s="1481">
        <f t="shared" ca="1" si="10"/>
        <v>11080.823980264531</v>
      </c>
      <c r="U63" s="1504">
        <f t="shared" ca="1" si="11"/>
        <v>2.1676731274274914</v>
      </c>
      <c r="V63" s="384">
        <f t="shared" ca="1" si="12"/>
        <v>5111.8518931933313</v>
      </c>
      <c r="W63" s="692" t="str">
        <f t="shared" ca="1" si="0"/>
        <v xml:space="preserve"> </v>
      </c>
      <c r="Y63" s="1507">
        <f ca="1">IF($A63&gt;Endyr,0,VLOOKUP($A63,Tariff_Table,Tariff!$J$33))</f>
        <v>0.19</v>
      </c>
      <c r="Z63" s="1504">
        <f ca="1">VLOOKUP($A63,Curves_Table,Escalation!$AH$291)</f>
        <v>1.6755808839625042</v>
      </c>
      <c r="AA63" s="1504">
        <f t="shared" ca="1" si="13"/>
        <v>0.31836036795287581</v>
      </c>
      <c r="AB63" s="334">
        <f ca="1">'Plant Operations'!$I63+'Plant Operations'!$M63</f>
        <v>298980.864</v>
      </c>
      <c r="AC63" s="1481">
        <f t="shared" ca="1" si="1"/>
        <v>95.183657873908729</v>
      </c>
      <c r="AD63" s="1504">
        <f t="shared" ca="1" si="2"/>
        <v>2.1676731274274914</v>
      </c>
      <c r="AE63" s="335">
        <f t="shared" ca="1" si="14"/>
        <v>43.910521687773524</v>
      </c>
      <c r="AF63" s="698" t="str">
        <f t="shared" ca="1" si="3"/>
        <v xml:space="preserve"> </v>
      </c>
    </row>
    <row r="64" spans="1:32">
      <c r="A64" s="672">
        <f ca="1">'Plant Operations'!A64</f>
        <v>37834</v>
      </c>
      <c r="C64" s="1503">
        <f ca="1">IF($A64&gt;Endyr,0,VLOOKUP($A64,Tariff_Table,Tariff!$D$33))</f>
        <v>9798.4359454443475</v>
      </c>
      <c r="E64" s="691">
        <f ca="1">VLOOKUP($A64,Tariff_Table,Tariff!$E$33)</f>
        <v>0.97445500038735278</v>
      </c>
      <c r="F64" s="1481">
        <f t="shared" ca="1" si="4"/>
        <v>9548.1349030134224</v>
      </c>
      <c r="G64" s="1480">
        <f ca="1">VLOOKUP($A64,Curves_Table,Escalation!$N$291)</f>
        <v>1.166287045927733</v>
      </c>
      <c r="H64" s="1481">
        <f t="shared" ca="1" si="5"/>
        <v>11135.866050155006</v>
      </c>
      <c r="I64" s="1504">
        <f ca="1">IF(Assm!$L$74=0,VLOOKUP($A64,Curves_Table,Escalation!$D$291),VLOOKUP($A64,Curves_Table,Escalation!$E$291))</f>
        <v>2.1738671468028063</v>
      </c>
      <c r="J64" s="1504">
        <f ca="1">IF($A64&lt;EE_Date,VLOOKUP($A64,Curves_Table,Escalation!$D$291),Exch)</f>
        <v>1.0649999999999999</v>
      </c>
      <c r="K64" s="1505">
        <f t="shared" ca="1" si="6"/>
        <v>22730.416298242912</v>
      </c>
      <c r="M64" s="691">
        <f ca="1">VLOOKUP($A64,Tariff_Table,Tariff!$F$33)</f>
        <v>2.5544999612647223E-2</v>
      </c>
      <c r="N64" s="1481">
        <f t="shared" ca="1" si="7"/>
        <v>250.3010424309245</v>
      </c>
      <c r="O64" s="1480">
        <f ca="1">VLOOKUP($A64,Curves_Table,Escalation!$R$291)</f>
        <v>1.6755808839625042</v>
      </c>
      <c r="P64" s="1505">
        <f t="shared" ca="1" si="8"/>
        <v>419.39964193314472</v>
      </c>
      <c r="R64" s="1506">
        <f t="shared" ca="1" si="9"/>
        <v>23149.815940176057</v>
      </c>
      <c r="S64" s="330">
        <f ca="1">'Plant Operations'!C64</f>
        <v>480</v>
      </c>
      <c r="T64" s="1481">
        <f t="shared" ca="1" si="10"/>
        <v>11111.911651284507</v>
      </c>
      <c r="U64" s="1504">
        <f t="shared" ca="1" si="11"/>
        <v>2.1738671468028063</v>
      </c>
      <c r="V64" s="384">
        <f t="shared" ca="1" si="12"/>
        <v>5111.5872778275534</v>
      </c>
      <c r="W64" s="692" t="str">
        <f t="shared" ca="1" si="0"/>
        <v xml:space="preserve"> </v>
      </c>
      <c r="Y64" s="1507">
        <f ca="1">IF($A64&gt;Endyr,0,VLOOKUP($A64,Tariff_Table,Tariff!$J$33))</f>
        <v>0.19</v>
      </c>
      <c r="Z64" s="1504">
        <f ca="1">VLOOKUP($A64,Curves_Table,Escalation!$AH$291)</f>
        <v>1.6755808839625042</v>
      </c>
      <c r="AA64" s="1504">
        <f t="shared" ca="1" si="13"/>
        <v>0.31836036795287581</v>
      </c>
      <c r="AB64" s="334">
        <f ca="1">'Plant Operations'!$I64+'Plant Operations'!$M64</f>
        <v>298980.864</v>
      </c>
      <c r="AC64" s="1481">
        <f t="shared" ca="1" si="1"/>
        <v>95.183657873908729</v>
      </c>
      <c r="AD64" s="1504">
        <f t="shared" ca="1" si="2"/>
        <v>2.1738671468028063</v>
      </c>
      <c r="AE64" s="335">
        <f t="shared" ca="1" si="14"/>
        <v>43.785407040121633</v>
      </c>
      <c r="AF64" s="698" t="str">
        <f t="shared" ca="1" si="3"/>
        <v xml:space="preserve"> </v>
      </c>
    </row>
    <row r="65" spans="1:32">
      <c r="A65" s="672">
        <f ca="1">'Plant Operations'!A65</f>
        <v>37865</v>
      </c>
      <c r="C65" s="1503">
        <f ca="1">IF($A65&gt;Endyr,0,VLOOKUP($A65,Tariff_Table,Tariff!$D$33))</f>
        <v>9798.4359454443475</v>
      </c>
      <c r="E65" s="691">
        <f ca="1">VLOOKUP($A65,Tariff_Table,Tariff!$E$33)</f>
        <v>0.97445500038735278</v>
      </c>
      <c r="F65" s="1481">
        <f t="shared" ca="1" si="4"/>
        <v>9548.1349030134224</v>
      </c>
      <c r="G65" s="1480">
        <f ca="1">VLOOKUP($A65,Curves_Table,Escalation!$N$291)</f>
        <v>1.166287045927733</v>
      </c>
      <c r="H65" s="1481">
        <f t="shared" ca="1" si="5"/>
        <v>11135.866050155006</v>
      </c>
      <c r="I65" s="1504">
        <f ca="1">IF(Assm!$L$74=0,VLOOKUP($A65,Curves_Table,Escalation!$D$291),VLOOKUP($A65,Curves_Table,Escalation!$E$291))</f>
        <v>2.1800788652839209</v>
      </c>
      <c r="J65" s="1504">
        <f ca="1">IF($A65&lt;EE_Date,VLOOKUP($A65,Curves_Table,Escalation!$D$291),Exch)</f>
        <v>1.0649999999999999</v>
      </c>
      <c r="K65" s="1505">
        <f t="shared" ca="1" si="6"/>
        <v>22795.367345141469</v>
      </c>
      <c r="M65" s="691">
        <f ca="1">VLOOKUP($A65,Tariff_Table,Tariff!$F$33)</f>
        <v>2.5544999612647223E-2</v>
      </c>
      <c r="N65" s="1481">
        <f t="shared" ca="1" si="7"/>
        <v>250.3010424309245</v>
      </c>
      <c r="O65" s="1480">
        <f ca="1">VLOOKUP($A65,Curves_Table,Escalation!$R$291)</f>
        <v>1.6755808839625042</v>
      </c>
      <c r="P65" s="1505">
        <f t="shared" ca="1" si="8"/>
        <v>419.39964193314472</v>
      </c>
      <c r="R65" s="1506">
        <f t="shared" ca="1" si="9"/>
        <v>23214.766987074614</v>
      </c>
      <c r="S65" s="330">
        <f ca="1">'Plant Operations'!C65</f>
        <v>480</v>
      </c>
      <c r="T65" s="1481">
        <f t="shared" ca="1" si="10"/>
        <v>11143.088153795814</v>
      </c>
      <c r="U65" s="1504">
        <f t="shared" ca="1" si="11"/>
        <v>2.1800788652839209</v>
      </c>
      <c r="V65" s="384">
        <f t="shared" ca="1" si="12"/>
        <v>5111.3234164327359</v>
      </c>
      <c r="W65" s="692" t="str">
        <f t="shared" ca="1" si="0"/>
        <v xml:space="preserve"> </v>
      </c>
      <c r="Y65" s="1507">
        <f ca="1">IF($A65&gt;Endyr,0,VLOOKUP($A65,Tariff_Table,Tariff!$J$33))</f>
        <v>0.19</v>
      </c>
      <c r="Z65" s="1504">
        <f ca="1">VLOOKUP($A65,Curves_Table,Escalation!$AH$291)</f>
        <v>1.6755808839625042</v>
      </c>
      <c r="AA65" s="1504">
        <f t="shared" ca="1" si="13"/>
        <v>0.31836036795287581</v>
      </c>
      <c r="AB65" s="334">
        <f ca="1">'Plant Operations'!$I65+'Plant Operations'!$M65</f>
        <v>289336.32000000001</v>
      </c>
      <c r="AC65" s="1481">
        <f t="shared" ca="1" si="1"/>
        <v>92.113217297331019</v>
      </c>
      <c r="AD65" s="1504">
        <f t="shared" ca="1" si="2"/>
        <v>2.1800788652839209</v>
      </c>
      <c r="AE65" s="335">
        <f t="shared" ca="1" si="14"/>
        <v>42.252240854293461</v>
      </c>
      <c r="AF65" s="698" t="str">
        <f t="shared" ca="1" si="3"/>
        <v xml:space="preserve"> </v>
      </c>
    </row>
    <row r="66" spans="1:32">
      <c r="A66" s="672">
        <f ca="1">'Plant Operations'!A66</f>
        <v>37895</v>
      </c>
      <c r="C66" s="1503">
        <f ca="1">IF($A66&gt;Endyr,0,VLOOKUP($A66,Tariff_Table,Tariff!$D$33))</f>
        <v>9798.4359454443475</v>
      </c>
      <c r="E66" s="691">
        <f ca="1">VLOOKUP($A66,Tariff_Table,Tariff!$E$33)</f>
        <v>0.97445500038735278</v>
      </c>
      <c r="F66" s="1481">
        <f t="shared" ca="1" si="4"/>
        <v>9548.1349030134224</v>
      </c>
      <c r="G66" s="1480">
        <f ca="1">VLOOKUP($A66,Curves_Table,Escalation!$N$291)</f>
        <v>1.166287045927733</v>
      </c>
      <c r="H66" s="1481">
        <f t="shared" ca="1" si="5"/>
        <v>11135.866050155006</v>
      </c>
      <c r="I66" s="1504">
        <f ca="1">IF(Assm!$L$74=0,VLOOKUP($A66,Curves_Table,Escalation!$D$291),VLOOKUP($A66,Curves_Table,Escalation!$E$291))</f>
        <v>2.1863083334451598</v>
      </c>
      <c r="J66" s="1504">
        <f ca="1">IF($A66&lt;EE_Date,VLOOKUP($A66,Curves_Table,Escalation!$D$291),Exch)</f>
        <v>1.0649999999999999</v>
      </c>
      <c r="K66" s="1505">
        <f t="shared" ca="1" si="6"/>
        <v>22860.503986462842</v>
      </c>
      <c r="M66" s="691">
        <f ca="1">VLOOKUP($A66,Tariff_Table,Tariff!$F$33)</f>
        <v>2.5544999612647223E-2</v>
      </c>
      <c r="N66" s="1481">
        <f t="shared" ca="1" si="7"/>
        <v>250.3010424309245</v>
      </c>
      <c r="O66" s="1480">
        <f ca="1">VLOOKUP($A66,Curves_Table,Escalation!$R$291)</f>
        <v>1.6755808839625042</v>
      </c>
      <c r="P66" s="1505">
        <f t="shared" ca="1" si="8"/>
        <v>419.39964193314472</v>
      </c>
      <c r="R66" s="1506">
        <f t="shared" ca="1" si="9"/>
        <v>23279.903628395987</v>
      </c>
      <c r="S66" s="330">
        <f ca="1">'Plant Operations'!C66</f>
        <v>480</v>
      </c>
      <c r="T66" s="1481">
        <f t="shared" ca="1" si="10"/>
        <v>11174.353741630073</v>
      </c>
      <c r="U66" s="1504">
        <f t="shared" ca="1" si="11"/>
        <v>2.1863083334451598</v>
      </c>
      <c r="V66" s="384">
        <f t="shared" ca="1" si="12"/>
        <v>5111.0603068605851</v>
      </c>
      <c r="W66" s="692" t="str">
        <f t="shared" ca="1" si="0"/>
        <v xml:space="preserve"> </v>
      </c>
      <c r="Y66" s="1507">
        <f ca="1">IF($A66&gt;Endyr,0,VLOOKUP($A66,Tariff_Table,Tariff!$J$33))</f>
        <v>0.19</v>
      </c>
      <c r="Z66" s="1504">
        <f ca="1">VLOOKUP($A66,Curves_Table,Escalation!$AH$291)</f>
        <v>1.6755808839625042</v>
      </c>
      <c r="AA66" s="1504">
        <f t="shared" ca="1" si="13"/>
        <v>0.31836036795287581</v>
      </c>
      <c r="AB66" s="334">
        <f ca="1">'Plant Operations'!$I66+'Plant Operations'!$M66</f>
        <v>298980.864</v>
      </c>
      <c r="AC66" s="1481">
        <f t="shared" ca="1" si="1"/>
        <v>95.183657873908729</v>
      </c>
      <c r="AD66" s="1504">
        <f t="shared" ca="1" si="2"/>
        <v>2.1863083334451598</v>
      </c>
      <c r="AE66" s="335">
        <f t="shared" ca="1" si="14"/>
        <v>43.536246199967323</v>
      </c>
      <c r="AF66" s="698" t="str">
        <f t="shared" ca="1" si="3"/>
        <v xml:space="preserve"> </v>
      </c>
    </row>
    <row r="67" spans="1:32">
      <c r="A67" s="672">
        <f ca="1">'Plant Operations'!A67</f>
        <v>37926</v>
      </c>
      <c r="C67" s="1503">
        <f ca="1">IF($A67&gt;Endyr,0,VLOOKUP($A67,Tariff_Table,Tariff!$D$33))</f>
        <v>9798.4359454443475</v>
      </c>
      <c r="E67" s="691">
        <f ca="1">VLOOKUP($A67,Tariff_Table,Tariff!$E$33)</f>
        <v>0.97445500038735278</v>
      </c>
      <c r="F67" s="1481">
        <f t="shared" ca="1" si="4"/>
        <v>9548.1349030134224</v>
      </c>
      <c r="G67" s="1480">
        <f ca="1">VLOOKUP($A67,Curves_Table,Escalation!$N$291)</f>
        <v>1.166287045927733</v>
      </c>
      <c r="H67" s="1481">
        <f t="shared" ca="1" si="5"/>
        <v>11135.866050155006</v>
      </c>
      <c r="I67" s="1504">
        <f ca="1">IF(Assm!$L$74=0,VLOOKUP($A67,Curves_Table,Escalation!$D$291),VLOOKUP($A67,Curves_Table,Escalation!$E$291))</f>
        <v>2.1925556020053616</v>
      </c>
      <c r="J67" s="1504">
        <f ca="1">IF($A67&lt;EE_Date,VLOOKUP($A67,Curves_Table,Escalation!$D$291),Exch)</f>
        <v>1.0649999999999999</v>
      </c>
      <c r="K67" s="1505">
        <f t="shared" ca="1" si="6"/>
        <v>22925.826752533969</v>
      </c>
      <c r="M67" s="691">
        <f ca="1">VLOOKUP($A67,Tariff_Table,Tariff!$F$33)</f>
        <v>2.5544999612647223E-2</v>
      </c>
      <c r="N67" s="1481">
        <f t="shared" ca="1" si="7"/>
        <v>250.3010424309245</v>
      </c>
      <c r="O67" s="1480">
        <f ca="1">VLOOKUP($A67,Curves_Table,Escalation!$R$291)</f>
        <v>1.6755808839625042</v>
      </c>
      <c r="P67" s="1505">
        <f t="shared" ca="1" si="8"/>
        <v>419.39964193314472</v>
      </c>
      <c r="R67" s="1506">
        <f t="shared" ca="1" si="9"/>
        <v>23345.226394467114</v>
      </c>
      <c r="S67" s="330">
        <f ca="1">'Plant Operations'!C67</f>
        <v>480</v>
      </c>
      <c r="T67" s="1481">
        <f t="shared" ca="1" si="10"/>
        <v>11205.708669344214</v>
      </c>
      <c r="U67" s="1504">
        <f t="shared" ca="1" si="11"/>
        <v>2.1925556020053616</v>
      </c>
      <c r="V67" s="384">
        <f t="shared" ca="1" si="12"/>
        <v>5110.7979469689235</v>
      </c>
      <c r="W67" s="692" t="str">
        <f t="shared" ca="1" si="0"/>
        <v xml:space="preserve"> </v>
      </c>
      <c r="Y67" s="1507">
        <f ca="1">IF($A67&gt;Endyr,0,VLOOKUP($A67,Tariff_Table,Tariff!$J$33))</f>
        <v>0.19</v>
      </c>
      <c r="Z67" s="1504">
        <f ca="1">VLOOKUP($A67,Curves_Table,Escalation!$AH$291)</f>
        <v>1.6755808839625042</v>
      </c>
      <c r="AA67" s="1504">
        <f t="shared" ca="1" si="13"/>
        <v>0.31836036795287581</v>
      </c>
      <c r="AB67" s="334">
        <f ca="1">'Plant Operations'!$I67+'Plant Operations'!$M67</f>
        <v>289336.32000000001</v>
      </c>
      <c r="AC67" s="1481">
        <f t="shared" ca="1" si="1"/>
        <v>92.113217297331019</v>
      </c>
      <c r="AD67" s="1504">
        <f t="shared" ca="1" si="2"/>
        <v>2.1925556020053616</v>
      </c>
      <c r="AE67" s="335">
        <f t="shared" ca="1" si="14"/>
        <v>42.011804495668052</v>
      </c>
      <c r="AF67" s="698" t="str">
        <f t="shared" ca="1" si="3"/>
        <v xml:space="preserve"> </v>
      </c>
    </row>
    <row r="68" spans="1:32">
      <c r="A68" s="672">
        <f ca="1">'Plant Operations'!A68</f>
        <v>37956</v>
      </c>
      <c r="C68" s="1503">
        <f ca="1">IF($A68&gt;Endyr,0,VLOOKUP($A68,Tariff_Table,Tariff!$D$33))</f>
        <v>9798.4359454443475</v>
      </c>
      <c r="E68" s="691">
        <f ca="1">VLOOKUP($A68,Tariff_Table,Tariff!$E$33)</f>
        <v>0.97445500038735278</v>
      </c>
      <c r="F68" s="1481">
        <f t="shared" ca="1" si="4"/>
        <v>9548.1349030134224</v>
      </c>
      <c r="G68" s="1480">
        <f ca="1">VLOOKUP($A68,Curves_Table,Escalation!$N$291)</f>
        <v>1.166287045927733</v>
      </c>
      <c r="H68" s="1481">
        <f t="shared" ca="1" si="5"/>
        <v>11135.866050155006</v>
      </c>
      <c r="I68" s="1504">
        <f ca="1">IF(Assm!$L$74=0,VLOOKUP($A68,Curves_Table,Escalation!$D$291),VLOOKUP($A68,Curves_Table,Escalation!$E$291))</f>
        <v>2.1988207218282909</v>
      </c>
      <c r="J68" s="1504">
        <f ca="1">IF($A68&lt;EE_Date,VLOOKUP($A68,Curves_Table,Escalation!$D$291),Exch)</f>
        <v>1.0649999999999999</v>
      </c>
      <c r="K68" s="1505">
        <f t="shared" ca="1" si="6"/>
        <v>22991.336175197175</v>
      </c>
      <c r="M68" s="691">
        <f ca="1">VLOOKUP($A68,Tariff_Table,Tariff!$F$33)</f>
        <v>2.5544999612647223E-2</v>
      </c>
      <c r="N68" s="1481">
        <f t="shared" ca="1" si="7"/>
        <v>250.3010424309245</v>
      </c>
      <c r="O68" s="1480">
        <f ca="1">VLOOKUP($A68,Curves_Table,Escalation!$R$291)</f>
        <v>1.6755808839625042</v>
      </c>
      <c r="P68" s="1505">
        <f t="shared" ca="1" si="8"/>
        <v>419.39964193314472</v>
      </c>
      <c r="R68" s="1506">
        <f t="shared" ca="1" si="9"/>
        <v>23410.73581713032</v>
      </c>
      <c r="S68" s="330">
        <f ca="1">'Plant Operations'!C68</f>
        <v>480</v>
      </c>
      <c r="T68" s="1481">
        <f t="shared" ca="1" si="10"/>
        <v>11237.153192222555</v>
      </c>
      <c r="U68" s="1504">
        <f t="shared" ca="1" si="11"/>
        <v>2.1988207218282909</v>
      </c>
      <c r="V68" s="384">
        <f t="shared" ca="1" si="12"/>
        <v>5110.5363346216818</v>
      </c>
      <c r="W68" s="692">
        <f t="shared" ca="1" si="0"/>
        <v>59419.067984874513</v>
      </c>
      <c r="Y68" s="1507">
        <f ca="1">IF($A68&gt;Endyr,0,VLOOKUP($A68,Tariff_Table,Tariff!$J$33))</f>
        <v>0.19</v>
      </c>
      <c r="Z68" s="1504">
        <f ca="1">VLOOKUP($A68,Curves_Table,Escalation!$AH$291)</f>
        <v>1.6755808839625042</v>
      </c>
      <c r="AA68" s="1504">
        <f t="shared" ca="1" si="13"/>
        <v>0.31836036795287581</v>
      </c>
      <c r="AB68" s="334">
        <f ca="1">'Plant Operations'!$I68+'Plant Operations'!$M68</f>
        <v>298980.864</v>
      </c>
      <c r="AC68" s="1481">
        <f t="shared" ca="1" si="1"/>
        <v>95.183657873908729</v>
      </c>
      <c r="AD68" s="1504">
        <f t="shared" ca="1" si="2"/>
        <v>2.1988207218282909</v>
      </c>
      <c r="AE68" s="335">
        <f t="shared" ca="1" si="14"/>
        <v>43.288503209468004</v>
      </c>
      <c r="AF68" s="698">
        <f t="shared" ca="1" si="3"/>
        <v>504.49197196668308</v>
      </c>
    </row>
    <row r="69" spans="1:32">
      <c r="A69" s="672">
        <f ca="1">'Plant Operations'!A69</f>
        <v>37987</v>
      </c>
      <c r="C69" s="1503">
        <f ca="1">IF($A69&gt;Endyr,0,VLOOKUP($A69,Tariff_Table,Tariff!$D$33))</f>
        <v>9798.4359454443475</v>
      </c>
      <c r="E69" s="691">
        <f ca="1">VLOOKUP($A69,Tariff_Table,Tariff!$E$33)</f>
        <v>0.97445500038735278</v>
      </c>
      <c r="F69" s="1481">
        <f t="shared" ca="1" si="4"/>
        <v>9548.1349030134224</v>
      </c>
      <c r="G69" s="1480">
        <f ca="1">VLOOKUP($A69,Curves_Table,Escalation!$N$291)</f>
        <v>1.166287045927733</v>
      </c>
      <c r="H69" s="1481">
        <f t="shared" ca="1" si="5"/>
        <v>11135.866050155006</v>
      </c>
      <c r="I69" s="1504">
        <f ca="1">IF(Assm!$L$74=0,VLOOKUP($A69,Curves_Table,Escalation!$D$291),VLOOKUP($A69,Curves_Table,Escalation!$E$291))</f>
        <v>2.2045030649335842</v>
      </c>
      <c r="J69" s="1504">
        <f ca="1">IF($A69&lt;EE_Date,VLOOKUP($A69,Curves_Table,Escalation!$D$291),Exch)</f>
        <v>1.0649999999999999</v>
      </c>
      <c r="K69" s="1505">
        <f t="shared" ca="1" si="6"/>
        <v>23050.751960804278</v>
      </c>
      <c r="M69" s="691">
        <f ca="1">VLOOKUP($A69,Tariff_Table,Tariff!$F$33)</f>
        <v>2.5544999612647223E-2</v>
      </c>
      <c r="N69" s="1481">
        <f t="shared" ca="1" si="7"/>
        <v>250.3010424309245</v>
      </c>
      <c r="O69" s="1480">
        <f ca="1">VLOOKUP($A69,Curves_Table,Escalation!$R$291)</f>
        <v>1.6755808839625042</v>
      </c>
      <c r="P69" s="1505">
        <f t="shared" ca="1" si="8"/>
        <v>419.39964193314472</v>
      </c>
      <c r="R69" s="1506">
        <f t="shared" ca="1" si="9"/>
        <v>23470.151602737424</v>
      </c>
      <c r="S69" s="330">
        <f ca="1">'Plant Operations'!C69</f>
        <v>480</v>
      </c>
      <c r="T69" s="1481">
        <f t="shared" ca="1" si="10"/>
        <v>11265.672769313964</v>
      </c>
      <c r="U69" s="1504">
        <f t="shared" ca="1" si="11"/>
        <v>2.2045030649335842</v>
      </c>
      <c r="V69" s="384">
        <f t="shared" ca="1" si="12"/>
        <v>5110.300343199282</v>
      </c>
      <c r="W69" s="692" t="str">
        <f t="shared" ca="1" si="0"/>
        <v xml:space="preserve"> </v>
      </c>
      <c r="Y69" s="1507">
        <f ca="1">IF($A69&gt;Endyr,0,VLOOKUP($A69,Tariff_Table,Tariff!$J$33))</f>
        <v>0.19</v>
      </c>
      <c r="Z69" s="1504">
        <f ca="1">VLOOKUP($A69,Curves_Table,Escalation!$AH$291)</f>
        <v>1.6755808839625042</v>
      </c>
      <c r="AA69" s="1504">
        <f t="shared" ca="1" si="13"/>
        <v>0.31836036795287581</v>
      </c>
      <c r="AB69" s="334">
        <f ca="1">'Plant Operations'!$I69+'Plant Operations'!$M69</f>
        <v>298980.864</v>
      </c>
      <c r="AC69" s="1481">
        <f t="shared" ca="1" si="1"/>
        <v>95.183657873908729</v>
      </c>
      <c r="AD69" s="1504">
        <f t="shared" ca="1" si="2"/>
        <v>2.2045030649335842</v>
      </c>
      <c r="AE69" s="335">
        <f t="shared" ca="1" si="14"/>
        <v>43.176922449312343</v>
      </c>
      <c r="AF69" s="698" t="str">
        <f t="shared" ca="1" si="3"/>
        <v xml:space="preserve"> </v>
      </c>
    </row>
    <row r="70" spans="1:32">
      <c r="A70" s="672">
        <f ca="1">'Plant Operations'!A70</f>
        <v>38018</v>
      </c>
      <c r="C70" s="1503">
        <f ca="1">IF($A70&gt;Endyr,0,VLOOKUP($A70,Tariff_Table,Tariff!$D$33))</f>
        <v>9798.4359454443475</v>
      </c>
      <c r="E70" s="691">
        <f ca="1">VLOOKUP($A70,Tariff_Table,Tariff!$E$33)</f>
        <v>0.97445500038735278</v>
      </c>
      <c r="F70" s="1481">
        <f t="shared" ca="1" si="4"/>
        <v>9548.1349030134224</v>
      </c>
      <c r="G70" s="1480">
        <f ca="1">VLOOKUP($A70,Curves_Table,Escalation!$N$291)</f>
        <v>1.166287045927733</v>
      </c>
      <c r="H70" s="1481">
        <f t="shared" ca="1" si="5"/>
        <v>11135.866050155006</v>
      </c>
      <c r="I70" s="1504">
        <f ca="1">IF(Assm!$L$74=0,VLOOKUP($A70,Curves_Table,Escalation!$D$291),VLOOKUP($A70,Curves_Table,Escalation!$E$291))</f>
        <v>2.2102000927391106</v>
      </c>
      <c r="J70" s="1504">
        <f ca="1">IF($A70&lt;EE_Date,VLOOKUP($A70,Curves_Table,Escalation!$D$291),Exch)</f>
        <v>1.0649999999999999</v>
      </c>
      <c r="K70" s="1505">
        <f t="shared" ca="1" si="6"/>
        <v>23110.321292753906</v>
      </c>
      <c r="M70" s="691">
        <f ca="1">VLOOKUP($A70,Tariff_Table,Tariff!$F$33)</f>
        <v>2.5544999612647223E-2</v>
      </c>
      <c r="N70" s="1481">
        <f t="shared" ca="1" si="7"/>
        <v>250.3010424309245</v>
      </c>
      <c r="O70" s="1480">
        <f ca="1">VLOOKUP($A70,Curves_Table,Escalation!$R$291)</f>
        <v>1.6755808839625042</v>
      </c>
      <c r="P70" s="1505">
        <f t="shared" ca="1" si="8"/>
        <v>419.39964193314472</v>
      </c>
      <c r="R70" s="1506">
        <f t="shared" ca="1" si="9"/>
        <v>23529.720934687051</v>
      </c>
      <c r="S70" s="330">
        <f ca="1">'Plant Operations'!C70</f>
        <v>480</v>
      </c>
      <c r="T70" s="1481">
        <f t="shared" ca="1" si="10"/>
        <v>11294.266048649784</v>
      </c>
      <c r="U70" s="1504">
        <f t="shared" ca="1" si="11"/>
        <v>2.2102000927391106</v>
      </c>
      <c r="V70" s="384">
        <f t="shared" ca="1" si="12"/>
        <v>5110.0649600700863</v>
      </c>
      <c r="W70" s="692" t="str">
        <f t="shared" ca="1" si="0"/>
        <v xml:space="preserve"> </v>
      </c>
      <c r="Y70" s="1507">
        <f ca="1">IF($A70&gt;Endyr,0,VLOOKUP($A70,Tariff_Table,Tariff!$J$33))</f>
        <v>0.19</v>
      </c>
      <c r="Z70" s="1504">
        <f ca="1">VLOOKUP($A70,Curves_Table,Escalation!$AH$291)</f>
        <v>1.6755808839625042</v>
      </c>
      <c r="AA70" s="1504">
        <f t="shared" ca="1" si="13"/>
        <v>0.31836036795287581</v>
      </c>
      <c r="AB70" s="334">
        <f ca="1">'Plant Operations'!$I70+'Plant Operations'!$M70</f>
        <v>279691.77600000001</v>
      </c>
      <c r="AC70" s="1481">
        <f t="shared" ca="1" si="1"/>
        <v>89.042776720753324</v>
      </c>
      <c r="AD70" s="1504">
        <f t="shared" ca="1" si="2"/>
        <v>2.2102000927391106</v>
      </c>
      <c r="AE70" s="335">
        <f t="shared" ca="1" si="14"/>
        <v>40.287201603725492</v>
      </c>
      <c r="AF70" s="698" t="str">
        <f t="shared" ca="1" si="3"/>
        <v xml:space="preserve"> </v>
      </c>
    </row>
    <row r="71" spans="1:32">
      <c r="A71" s="672">
        <f ca="1">'Plant Operations'!A71</f>
        <v>38047</v>
      </c>
      <c r="C71" s="1503">
        <f ca="1">IF($A71&gt;Endyr,0,VLOOKUP($A71,Tariff_Table,Tariff!$D$33))</f>
        <v>9798.4359454443475</v>
      </c>
      <c r="E71" s="691">
        <f ca="1">VLOOKUP($A71,Tariff_Table,Tariff!$E$33)</f>
        <v>0.97445500038735278</v>
      </c>
      <c r="F71" s="1481">
        <f t="shared" ca="1" si="4"/>
        <v>9548.1349030134224</v>
      </c>
      <c r="G71" s="1480">
        <f ca="1">VLOOKUP($A71,Curves_Table,Escalation!$N$291)</f>
        <v>1.166287045927733</v>
      </c>
      <c r="H71" s="1481">
        <f t="shared" ca="1" si="5"/>
        <v>11135.866050155006</v>
      </c>
      <c r="I71" s="1504">
        <f ca="1">IF(Assm!$L$74=0,VLOOKUP($A71,Curves_Table,Escalation!$D$291),VLOOKUP($A71,Curves_Table,Escalation!$E$291))</f>
        <v>2.2159118431940779</v>
      </c>
      <c r="J71" s="1504">
        <f ca="1">IF($A71&lt;EE_Date,VLOOKUP($A71,Curves_Table,Escalation!$D$291),Exch)</f>
        <v>1.0649999999999999</v>
      </c>
      <c r="K71" s="1505">
        <f t="shared" ca="1" si="6"/>
        <v>23170.044567851019</v>
      </c>
      <c r="M71" s="691">
        <f ca="1">VLOOKUP($A71,Tariff_Table,Tariff!$F$33)</f>
        <v>2.5544999612647223E-2</v>
      </c>
      <c r="N71" s="1481">
        <f t="shared" ca="1" si="7"/>
        <v>250.3010424309245</v>
      </c>
      <c r="O71" s="1480">
        <f ca="1">VLOOKUP($A71,Curves_Table,Escalation!$R$291)</f>
        <v>1.6755808839625042</v>
      </c>
      <c r="P71" s="1505">
        <f t="shared" ca="1" si="8"/>
        <v>419.39964193314472</v>
      </c>
      <c r="R71" s="1506">
        <f t="shared" ca="1" si="9"/>
        <v>23589.444209784164</v>
      </c>
      <c r="S71" s="330">
        <f ca="1">'Plant Operations'!C71</f>
        <v>480</v>
      </c>
      <c r="T71" s="1481">
        <f t="shared" ca="1" si="10"/>
        <v>11322.933220696399</v>
      </c>
      <c r="U71" s="1504">
        <f t="shared" ca="1" si="11"/>
        <v>2.2159118431940779</v>
      </c>
      <c r="V71" s="384">
        <f t="shared" ca="1" si="12"/>
        <v>5109.8301836661531</v>
      </c>
      <c r="W71" s="692" t="str">
        <f t="shared" ca="1" si="0"/>
        <v xml:space="preserve"> </v>
      </c>
      <c r="Y71" s="1507">
        <f ca="1">IF($A71&gt;Endyr,0,VLOOKUP($A71,Tariff_Table,Tariff!$J$33))</f>
        <v>0.19</v>
      </c>
      <c r="Z71" s="1504">
        <f ca="1">VLOOKUP($A71,Curves_Table,Escalation!$AH$291)</f>
        <v>1.6755808839625042</v>
      </c>
      <c r="AA71" s="1504">
        <f t="shared" ca="1" si="13"/>
        <v>0.31836036795287581</v>
      </c>
      <c r="AB71" s="334">
        <f ca="1">'Plant Operations'!$I71+'Plant Operations'!$M71</f>
        <v>298980.864</v>
      </c>
      <c r="AC71" s="1481">
        <f t="shared" ca="1" si="1"/>
        <v>95.183657873908729</v>
      </c>
      <c r="AD71" s="1504">
        <f t="shared" ca="1" si="2"/>
        <v>2.2159118431940779</v>
      </c>
      <c r="AE71" s="335">
        <f t="shared" ca="1" si="14"/>
        <v>42.954623021784258</v>
      </c>
      <c r="AF71" s="698" t="str">
        <f t="shared" ca="1" si="3"/>
        <v xml:space="preserve"> </v>
      </c>
    </row>
    <row r="72" spans="1:32">
      <c r="A72" s="672">
        <f ca="1">'Plant Operations'!A72</f>
        <v>38078</v>
      </c>
      <c r="C72" s="1503">
        <f ca="1">IF($A72&gt;Endyr,0,VLOOKUP($A72,Tariff_Table,Tariff!$D$33))</f>
        <v>9798.4359454443475</v>
      </c>
      <c r="E72" s="691">
        <f ca="1">VLOOKUP($A72,Tariff_Table,Tariff!$E$33)</f>
        <v>0.97445500038735278</v>
      </c>
      <c r="F72" s="1481">
        <f t="shared" ca="1" si="4"/>
        <v>9548.1349030134224</v>
      </c>
      <c r="G72" s="1480">
        <f ca="1">VLOOKUP($A72,Curves_Table,Escalation!$N$291)</f>
        <v>1.166287045927733</v>
      </c>
      <c r="H72" s="1481">
        <f t="shared" ca="1" si="5"/>
        <v>11135.866050155006</v>
      </c>
      <c r="I72" s="1504">
        <f ca="1">IF(Assm!$L$74=0,VLOOKUP($A72,Curves_Table,Escalation!$D$291),VLOOKUP($A72,Curves_Table,Escalation!$E$291))</f>
        <v>2.2216383543457656</v>
      </c>
      <c r="J72" s="1504">
        <f ca="1">IF($A72&lt;EE_Date,VLOOKUP($A72,Curves_Table,Escalation!$D$291),Exch)</f>
        <v>1.0649999999999999</v>
      </c>
      <c r="K72" s="1505">
        <f t="shared" ca="1" si="6"/>
        <v>23229.922183926054</v>
      </c>
      <c r="M72" s="691">
        <f ca="1">VLOOKUP($A72,Tariff_Table,Tariff!$F$33)</f>
        <v>2.5544999612647223E-2</v>
      </c>
      <c r="N72" s="1481">
        <f t="shared" ca="1" si="7"/>
        <v>250.3010424309245</v>
      </c>
      <c r="O72" s="1480">
        <f ca="1">VLOOKUP($A72,Curves_Table,Escalation!$R$291)</f>
        <v>1.6755808839625042</v>
      </c>
      <c r="P72" s="1505">
        <f t="shared" ca="1" si="8"/>
        <v>419.39964193314472</v>
      </c>
      <c r="R72" s="1506">
        <f t="shared" ca="1" si="9"/>
        <v>23649.321825859199</v>
      </c>
      <c r="S72" s="330">
        <f ca="1">'Plant Operations'!C72</f>
        <v>480</v>
      </c>
      <c r="T72" s="1481">
        <f t="shared" ca="1" si="10"/>
        <v>11351.674476412416</v>
      </c>
      <c r="U72" s="1504">
        <f t="shared" ca="1" si="11"/>
        <v>2.2216383543457656</v>
      </c>
      <c r="V72" s="384">
        <f t="shared" ca="1" si="12"/>
        <v>5109.5960124235835</v>
      </c>
      <c r="W72" s="692" t="str">
        <f t="shared" ca="1" si="0"/>
        <v xml:space="preserve"> </v>
      </c>
      <c r="Y72" s="1507">
        <f ca="1">IF($A72&gt;Endyr,0,VLOOKUP($A72,Tariff_Table,Tariff!$J$33))</f>
        <v>0.19</v>
      </c>
      <c r="Z72" s="1504">
        <f ca="1">VLOOKUP($A72,Curves_Table,Escalation!$AH$291)</f>
        <v>1.6755808839625042</v>
      </c>
      <c r="AA72" s="1504">
        <f t="shared" ca="1" si="13"/>
        <v>0.31836036795287581</v>
      </c>
      <c r="AB72" s="334">
        <f ca="1">'Plant Operations'!$I72+'Plant Operations'!$M72</f>
        <v>289336.32000000001</v>
      </c>
      <c r="AC72" s="1481">
        <f t="shared" ca="1" si="1"/>
        <v>92.113217297331019</v>
      </c>
      <c r="AD72" s="1504">
        <f t="shared" ca="1" si="2"/>
        <v>2.2216383543457656</v>
      </c>
      <c r="AE72" s="335">
        <f t="shared" ca="1" si="14"/>
        <v>41.46184149060425</v>
      </c>
      <c r="AF72" s="698" t="str">
        <f t="shared" ca="1" si="3"/>
        <v xml:space="preserve"> </v>
      </c>
    </row>
    <row r="73" spans="1:32">
      <c r="A73" s="672">
        <f ca="1">'Plant Operations'!A73</f>
        <v>38108</v>
      </c>
      <c r="C73" s="1503">
        <f ca="1">IF($A73&gt;Endyr,0,VLOOKUP($A73,Tariff_Table,Tariff!$D$33))</f>
        <v>9794.8934010152279</v>
      </c>
      <c r="E73" s="691">
        <f ca="1">VLOOKUP($A73,Tariff_Table,Tariff!$E$33)</f>
        <v>0.98500009049603354</v>
      </c>
      <c r="F73" s="1481">
        <f t="shared" ca="1" si="4"/>
        <v>9647.9708863990018</v>
      </c>
      <c r="G73" s="1480">
        <f ca="1">VLOOKUP($A73,Curves_Table,Escalation!$N$291)</f>
        <v>1.2003493342906499</v>
      </c>
      <c r="H73" s="1481">
        <f t="shared" ca="1" si="5"/>
        <v>11580.935430744614</v>
      </c>
      <c r="I73" s="1504">
        <f ca="1">IF(Assm!$L$74=0,VLOOKUP($A73,Curves_Table,Escalation!$D$291),VLOOKUP($A73,Curves_Table,Escalation!$E$291))</f>
        <v>2.227379664339777</v>
      </c>
      <c r="J73" s="1504">
        <f ca="1">IF($A73&lt;EE_Date,VLOOKUP($A73,Curves_Table,Escalation!$D$291),Exch)</f>
        <v>1.0649999999999999</v>
      </c>
      <c r="K73" s="1505">
        <f t="shared" ca="1" si="6"/>
        <v>24220.788800443726</v>
      </c>
      <c r="M73" s="691">
        <f ca="1">VLOOKUP($A73,Tariff_Table,Tariff!$F$33)</f>
        <v>1.4999909503966458E-2</v>
      </c>
      <c r="N73" s="1481">
        <f t="shared" ca="1" si="7"/>
        <v>146.92251461622666</v>
      </c>
      <c r="O73" s="1480">
        <f ca="1">VLOOKUP($A73,Curves_Table,Escalation!$R$291)</f>
        <v>1.8096273546795039</v>
      </c>
      <c r="P73" s="1505">
        <f t="shared" ca="1" si="8"/>
        <v>265.87500146782298</v>
      </c>
      <c r="R73" s="1506">
        <f t="shared" ca="1" si="9"/>
        <v>24486.663801911549</v>
      </c>
      <c r="S73" s="330">
        <f ca="1">'Plant Operations'!C73</f>
        <v>480</v>
      </c>
      <c r="T73" s="1481">
        <f t="shared" ca="1" si="10"/>
        <v>11753.598624917544</v>
      </c>
      <c r="U73" s="1504">
        <f t="shared" ca="1" si="11"/>
        <v>2.227379664339777</v>
      </c>
      <c r="V73" s="384">
        <f t="shared" ca="1" si="12"/>
        <v>5276.8725570642473</v>
      </c>
      <c r="W73" s="692" t="str">
        <f t="shared" ca="1" si="0"/>
        <v xml:space="preserve"> </v>
      </c>
      <c r="Y73" s="1507">
        <f ca="1">IF($A73&gt;Endyr,0,VLOOKUP($A73,Tariff_Table,Tariff!$J$33))</f>
        <v>0.19</v>
      </c>
      <c r="Z73" s="1504">
        <f ca="1">VLOOKUP($A73,Curves_Table,Escalation!$AH$291)</f>
        <v>1.8096273546795039</v>
      </c>
      <c r="AA73" s="1504">
        <f t="shared" ca="1" si="13"/>
        <v>0.34382919738910572</v>
      </c>
      <c r="AB73" s="334">
        <f ca="1">'Plant Operations'!$I73+'Plant Operations'!$M73</f>
        <v>298980.864</v>
      </c>
      <c r="AC73" s="1481">
        <f t="shared" ca="1" si="1"/>
        <v>102.79835050382138</v>
      </c>
      <c r="AD73" s="1504">
        <f t="shared" ca="1" si="2"/>
        <v>2.227379664339777</v>
      </c>
      <c r="AE73" s="335">
        <f t="shared" ca="1" si="14"/>
        <v>46.152145568004052</v>
      </c>
      <c r="AF73" s="698" t="str">
        <f t="shared" ca="1" si="3"/>
        <v xml:space="preserve"> </v>
      </c>
    </row>
    <row r="74" spans="1:32">
      <c r="A74" s="672">
        <f ca="1">'Plant Operations'!A74</f>
        <v>38139</v>
      </c>
      <c r="C74" s="1503">
        <f ca="1">IF($A74&gt;Endyr,0,VLOOKUP($A74,Tariff_Table,Tariff!$D$33))</f>
        <v>9794.8934010152279</v>
      </c>
      <c r="E74" s="691">
        <f ca="1">VLOOKUP($A74,Tariff_Table,Tariff!$E$33)</f>
        <v>0.98500009049603354</v>
      </c>
      <c r="F74" s="1481">
        <f t="shared" ca="1" si="4"/>
        <v>9647.9708863990018</v>
      </c>
      <c r="G74" s="1480">
        <f ca="1">VLOOKUP($A74,Curves_Table,Escalation!$N$291)</f>
        <v>1.2003493342906499</v>
      </c>
      <c r="H74" s="1481">
        <f t="shared" ca="1" si="5"/>
        <v>11580.935430744614</v>
      </c>
      <c r="I74" s="1504">
        <f ca="1">IF(Assm!$L$74=0,VLOOKUP($A74,Curves_Table,Escalation!$D$291),VLOOKUP($A74,Curves_Table,Escalation!$E$291))</f>
        <v>2.2331358114202935</v>
      </c>
      <c r="J74" s="1504">
        <f ca="1">IF($A74&lt;EE_Date,VLOOKUP($A74,Curves_Table,Escalation!$D$291),Exch)</f>
        <v>1.0649999999999999</v>
      </c>
      <c r="K74" s="1505">
        <f t="shared" ca="1" si="6"/>
        <v>24283.381821729487</v>
      </c>
      <c r="M74" s="691">
        <f ca="1">VLOOKUP($A74,Tariff_Table,Tariff!$F$33)</f>
        <v>1.4999909503966458E-2</v>
      </c>
      <c r="N74" s="1481">
        <f t="shared" ca="1" si="7"/>
        <v>146.92251461622666</v>
      </c>
      <c r="O74" s="1480">
        <f ca="1">VLOOKUP($A74,Curves_Table,Escalation!$R$291)</f>
        <v>1.8096273546795039</v>
      </c>
      <c r="P74" s="1505">
        <f t="shared" ca="1" si="8"/>
        <v>265.87500146782298</v>
      </c>
      <c r="R74" s="1506">
        <f t="shared" ca="1" si="9"/>
        <v>24549.256823197309</v>
      </c>
      <c r="S74" s="330">
        <f ca="1">'Plant Operations'!C74</f>
        <v>480</v>
      </c>
      <c r="T74" s="1481">
        <f t="shared" ca="1" si="10"/>
        <v>11783.643275134709</v>
      </c>
      <c r="U74" s="1504">
        <f t="shared" ca="1" si="11"/>
        <v>2.2331358114202935</v>
      </c>
      <c r="V74" s="384">
        <f t="shared" ca="1" si="12"/>
        <v>5276.7248704144922</v>
      </c>
      <c r="W74" s="692" t="str">
        <f t="shared" ca="1" si="0"/>
        <v xml:space="preserve"> </v>
      </c>
      <c r="Y74" s="1507">
        <f ca="1">IF($A74&gt;Endyr,0,VLOOKUP($A74,Tariff_Table,Tariff!$J$33))</f>
        <v>0.19</v>
      </c>
      <c r="Z74" s="1504">
        <f ca="1">VLOOKUP($A74,Curves_Table,Escalation!$AH$291)</f>
        <v>1.8096273546795039</v>
      </c>
      <c r="AA74" s="1504">
        <f t="shared" ca="1" si="13"/>
        <v>0.34382919738910572</v>
      </c>
      <c r="AB74" s="334">
        <f ca="1">'Plant Operations'!$I74+'Plant Operations'!$M74</f>
        <v>289336.32000000001</v>
      </c>
      <c r="AC74" s="1481">
        <f t="shared" ca="1" si="1"/>
        <v>99.48227468111746</v>
      </c>
      <c r="AD74" s="1504">
        <f t="shared" ca="1" si="2"/>
        <v>2.2331358114202935</v>
      </c>
      <c r="AE74" s="335">
        <f t="shared" ca="1" si="14"/>
        <v>44.548242060497827</v>
      </c>
      <c r="AF74" s="698" t="str">
        <f t="shared" ca="1" si="3"/>
        <v xml:space="preserve"> </v>
      </c>
    </row>
    <row r="75" spans="1:32">
      <c r="A75" s="672">
        <f ca="1">'Plant Operations'!A75</f>
        <v>38169</v>
      </c>
      <c r="C75" s="1503">
        <f ca="1">IF($A75&gt;Endyr,0,VLOOKUP($A75,Tariff_Table,Tariff!$D$33))</f>
        <v>9794.8934010152279</v>
      </c>
      <c r="E75" s="691">
        <f ca="1">VLOOKUP($A75,Tariff_Table,Tariff!$E$33)</f>
        <v>0.98500009049603354</v>
      </c>
      <c r="F75" s="1481">
        <f t="shared" ca="1" si="4"/>
        <v>9647.9708863990018</v>
      </c>
      <c r="G75" s="1480">
        <f ca="1">VLOOKUP($A75,Curves_Table,Escalation!$N$291)</f>
        <v>1.2003493342906499</v>
      </c>
      <c r="H75" s="1481">
        <f t="shared" ca="1" si="5"/>
        <v>11580.935430744614</v>
      </c>
      <c r="I75" s="1504">
        <f ca="1">IF(Assm!$L$74=0,VLOOKUP($A75,Curves_Table,Escalation!$D$291),VLOOKUP($A75,Curves_Table,Escalation!$E$291))</f>
        <v>2.2389068339303306</v>
      </c>
      <c r="J75" s="1504">
        <f ca="1">IF($A75&lt;EE_Date,VLOOKUP($A75,Curves_Table,Escalation!$D$291),Exch)</f>
        <v>1.0649999999999999</v>
      </c>
      <c r="K75" s="1505">
        <f t="shared" ca="1" si="6"/>
        <v>24346.136600187805</v>
      </c>
      <c r="M75" s="691">
        <f ca="1">VLOOKUP($A75,Tariff_Table,Tariff!$F$33)</f>
        <v>1.4999909503966458E-2</v>
      </c>
      <c r="N75" s="1481">
        <f t="shared" ca="1" si="7"/>
        <v>146.92251461622666</v>
      </c>
      <c r="O75" s="1480">
        <f ca="1">VLOOKUP($A75,Curves_Table,Escalation!$R$291)</f>
        <v>1.8096273546795039</v>
      </c>
      <c r="P75" s="1505">
        <f t="shared" ca="1" si="8"/>
        <v>265.87500146782298</v>
      </c>
      <c r="R75" s="1506">
        <f t="shared" ca="1" si="9"/>
        <v>24612.011601655628</v>
      </c>
      <c r="S75" s="330">
        <f ca="1">'Plant Operations'!C75</f>
        <v>480</v>
      </c>
      <c r="T75" s="1481">
        <f t="shared" ca="1" si="10"/>
        <v>11813.765568794701</v>
      </c>
      <c r="U75" s="1504">
        <f t="shared" ca="1" si="11"/>
        <v>2.2389068339303306</v>
      </c>
      <c r="V75" s="384">
        <f t="shared" ca="1" si="12"/>
        <v>5276.5775644429141</v>
      </c>
      <c r="W75" s="692" t="str">
        <f t="shared" ca="1" si="0"/>
        <v xml:space="preserve"> </v>
      </c>
      <c r="Y75" s="1507">
        <f ca="1">IF($A75&gt;Endyr,0,VLOOKUP($A75,Tariff_Table,Tariff!$J$33))</f>
        <v>0.19</v>
      </c>
      <c r="Z75" s="1504">
        <f ca="1">VLOOKUP($A75,Curves_Table,Escalation!$AH$291)</f>
        <v>1.8096273546795039</v>
      </c>
      <c r="AA75" s="1504">
        <f t="shared" ca="1" si="13"/>
        <v>0.34382919738910572</v>
      </c>
      <c r="AB75" s="334">
        <f ca="1">'Plant Operations'!$I75+'Plant Operations'!$M75</f>
        <v>298980.864</v>
      </c>
      <c r="AC75" s="1481">
        <f t="shared" ca="1" si="1"/>
        <v>102.79835050382138</v>
      </c>
      <c r="AD75" s="1504">
        <f t="shared" ca="1" si="2"/>
        <v>2.2389068339303306</v>
      </c>
      <c r="AE75" s="335">
        <f t="shared" ca="1" si="14"/>
        <v>45.914527994611596</v>
      </c>
      <c r="AF75" s="698" t="str">
        <f t="shared" ca="1" si="3"/>
        <v xml:space="preserve"> </v>
      </c>
    </row>
    <row r="76" spans="1:32">
      <c r="A76" s="672">
        <f ca="1">'Plant Operations'!A76</f>
        <v>38200</v>
      </c>
      <c r="C76" s="1503">
        <f ca="1">IF($A76&gt;Endyr,0,VLOOKUP($A76,Tariff_Table,Tariff!$D$33))</f>
        <v>9794.8934010152279</v>
      </c>
      <c r="E76" s="691">
        <f ca="1">VLOOKUP($A76,Tariff_Table,Tariff!$E$33)</f>
        <v>0.98500009049603354</v>
      </c>
      <c r="F76" s="1481">
        <f t="shared" ca="1" si="4"/>
        <v>9647.9708863990018</v>
      </c>
      <c r="G76" s="1480">
        <f ca="1">VLOOKUP($A76,Curves_Table,Escalation!$N$291)</f>
        <v>1.2003493342906499</v>
      </c>
      <c r="H76" s="1481">
        <f t="shared" ca="1" si="5"/>
        <v>11580.935430744614</v>
      </c>
      <c r="I76" s="1504">
        <f ca="1">IF(Assm!$L$74=0,VLOOKUP($A76,Curves_Table,Escalation!$D$291),VLOOKUP($A76,Curves_Table,Escalation!$E$291))</f>
        <v>2.2446927703119925</v>
      </c>
      <c r="J76" s="1504">
        <f ca="1">IF($A76&lt;EE_Date,VLOOKUP($A76,Curves_Table,Escalation!$D$291),Exch)</f>
        <v>1.0649999999999999</v>
      </c>
      <c r="K76" s="1505">
        <f t="shared" ca="1" si="6"/>
        <v>24409.053553842663</v>
      </c>
      <c r="M76" s="691">
        <f ca="1">VLOOKUP($A76,Tariff_Table,Tariff!$F$33)</f>
        <v>1.4999909503966458E-2</v>
      </c>
      <c r="N76" s="1481">
        <f t="shared" ca="1" si="7"/>
        <v>146.92251461622666</v>
      </c>
      <c r="O76" s="1480">
        <f ca="1">VLOOKUP($A76,Curves_Table,Escalation!$R$291)</f>
        <v>1.8096273546795039</v>
      </c>
      <c r="P76" s="1505">
        <f t="shared" ca="1" si="8"/>
        <v>265.87500146782298</v>
      </c>
      <c r="R76" s="1506">
        <f t="shared" ca="1" si="9"/>
        <v>24674.928555310486</v>
      </c>
      <c r="S76" s="330">
        <f ca="1">'Plant Operations'!C76</f>
        <v>480</v>
      </c>
      <c r="T76" s="1481">
        <f t="shared" ca="1" si="10"/>
        <v>11843.965706549034</v>
      </c>
      <c r="U76" s="1504">
        <f t="shared" ca="1" si="11"/>
        <v>2.2446927703119925</v>
      </c>
      <c r="V76" s="384">
        <f t="shared" ca="1" si="12"/>
        <v>5276.4306381682809</v>
      </c>
      <c r="W76" s="692" t="str">
        <f t="shared" ref="W76:W139" ca="1" si="15">IF(MONTH($A76)=12,SUM(V65:V76)," ")</f>
        <v xml:space="preserve"> </v>
      </c>
      <c r="Y76" s="1507">
        <f ca="1">IF($A76&gt;Endyr,0,VLOOKUP($A76,Tariff_Table,Tariff!$J$33))</f>
        <v>0.19</v>
      </c>
      <c r="Z76" s="1504">
        <f ca="1">VLOOKUP($A76,Curves_Table,Escalation!$AH$291)</f>
        <v>1.8096273546795039</v>
      </c>
      <c r="AA76" s="1504">
        <f t="shared" ca="1" si="13"/>
        <v>0.34382919738910572</v>
      </c>
      <c r="AB76" s="334">
        <f ca="1">'Plant Operations'!$I76+'Plant Operations'!$M76</f>
        <v>298980.864</v>
      </c>
      <c r="AC76" s="1481">
        <f t="shared" ref="AC76:AC139" ca="1" si="16">AA76*AB76/1000</f>
        <v>102.79835050382138</v>
      </c>
      <c r="AD76" s="1504">
        <f t="shared" ref="AD76:AD139" ca="1" si="17">$I76</f>
        <v>2.2446927703119925</v>
      </c>
      <c r="AE76" s="335">
        <f t="shared" ca="1" si="14"/>
        <v>45.79617837390429</v>
      </c>
      <c r="AF76" s="698" t="str">
        <f t="shared" ref="AF76:AF139" ca="1" si="18">IF(MONTH($A76)=12,SUM(AE65:AE76)," ")</f>
        <v xml:space="preserve"> </v>
      </c>
    </row>
    <row r="77" spans="1:32">
      <c r="A77" s="672">
        <f ca="1">'Plant Operations'!A77</f>
        <v>38231</v>
      </c>
      <c r="C77" s="1503">
        <f ca="1">IF($A77&gt;Endyr,0,VLOOKUP($A77,Tariff_Table,Tariff!$D$33))</f>
        <v>9794.8934010152279</v>
      </c>
      <c r="E77" s="691">
        <f ca="1">VLOOKUP($A77,Tariff_Table,Tariff!$E$33)</f>
        <v>0.98500009049603354</v>
      </c>
      <c r="F77" s="1481">
        <f t="shared" ref="F77:F140" ca="1" si="19">$C77*E77</f>
        <v>9647.9708863990018</v>
      </c>
      <c r="G77" s="1480">
        <f ca="1">VLOOKUP($A77,Curves_Table,Escalation!$N$291)</f>
        <v>1.2003493342906499</v>
      </c>
      <c r="H77" s="1481">
        <f t="shared" ref="H77:H140" ca="1" si="20">F77*G77</f>
        <v>11580.935430744614</v>
      </c>
      <c r="I77" s="1504">
        <f ca="1">IF(Assm!$L$74=0,VLOOKUP($A77,Curves_Table,Escalation!$D$291),VLOOKUP($A77,Curves_Table,Escalation!$E$291))</f>
        <v>2.2504936591067271</v>
      </c>
      <c r="J77" s="1504">
        <f ca="1">IF($A77&lt;EE_Date,VLOOKUP($A77,Curves_Table,Escalation!$D$291),Exch)</f>
        <v>1.0649999999999999</v>
      </c>
      <c r="K77" s="1505">
        <f t="shared" ref="K77:K140" ca="1" si="21">H77*I77/J77</f>
        <v>24472.133101798296</v>
      </c>
      <c r="M77" s="691">
        <f ca="1">VLOOKUP($A77,Tariff_Table,Tariff!$F$33)</f>
        <v>1.4999909503966458E-2</v>
      </c>
      <c r="N77" s="1481">
        <f t="shared" ref="N77:N140" ca="1" si="22">$C77*M77</f>
        <v>146.92251461622666</v>
      </c>
      <c r="O77" s="1480">
        <f ca="1">VLOOKUP($A77,Curves_Table,Escalation!$R$291)</f>
        <v>1.8096273546795039</v>
      </c>
      <c r="P77" s="1505">
        <f t="shared" ref="P77:P140" ca="1" si="23">N77*O77</f>
        <v>265.87500146782298</v>
      </c>
      <c r="R77" s="1506">
        <f t="shared" ref="R77:R140" ca="1" si="24">SUM(K77,P77)</f>
        <v>24738.008103266118</v>
      </c>
      <c r="S77" s="330">
        <f ca="1">'Plant Operations'!C77</f>
        <v>480</v>
      </c>
      <c r="T77" s="1481">
        <f t="shared" ref="T77:T140" ca="1" si="25">R77*S77/1000</f>
        <v>11874.243889567737</v>
      </c>
      <c r="U77" s="1504">
        <f t="shared" ref="U77:U140" ca="1" si="26">$I77</f>
        <v>2.2504936591067271</v>
      </c>
      <c r="V77" s="384">
        <f t="shared" ref="V77:V140" ca="1" si="27">T77/U77</f>
        <v>5276.284090611879</v>
      </c>
      <c r="W77" s="692" t="str">
        <f t="shared" ca="1" si="15"/>
        <v xml:space="preserve"> </v>
      </c>
      <c r="Y77" s="1507">
        <f ca="1">IF($A77&gt;Endyr,0,VLOOKUP($A77,Tariff_Table,Tariff!$J$33))</f>
        <v>0.19</v>
      </c>
      <c r="Z77" s="1504">
        <f ca="1">VLOOKUP($A77,Curves_Table,Escalation!$AH$291)</f>
        <v>1.8096273546795039</v>
      </c>
      <c r="AA77" s="1504">
        <f t="shared" ref="AA77:AA140" ca="1" si="28">Y77*Z77</f>
        <v>0.34382919738910572</v>
      </c>
      <c r="AB77" s="334">
        <f ca="1">'Plant Operations'!$I77+'Plant Operations'!$M77</f>
        <v>289336.32000000001</v>
      </c>
      <c r="AC77" s="1481">
        <f t="shared" ca="1" si="16"/>
        <v>99.48227468111746</v>
      </c>
      <c r="AD77" s="1504">
        <f t="shared" ca="1" si="17"/>
        <v>2.2504936591067271</v>
      </c>
      <c r="AE77" s="335">
        <f t="shared" ref="AE77:AE140" ca="1" si="29">AC77/AD77</f>
        <v>44.20464562455345</v>
      </c>
      <c r="AF77" s="698" t="str">
        <f t="shared" ca="1" si="18"/>
        <v xml:space="preserve"> </v>
      </c>
    </row>
    <row r="78" spans="1:32">
      <c r="A78" s="672">
        <f ca="1">'Plant Operations'!A78</f>
        <v>38261</v>
      </c>
      <c r="C78" s="1503">
        <f ca="1">IF($A78&gt;Endyr,0,VLOOKUP($A78,Tariff_Table,Tariff!$D$33))</f>
        <v>9794.8934010152279</v>
      </c>
      <c r="E78" s="691">
        <f ca="1">VLOOKUP($A78,Tariff_Table,Tariff!$E$33)</f>
        <v>0.98500009049603354</v>
      </c>
      <c r="F78" s="1481">
        <f t="shared" ca="1" si="19"/>
        <v>9647.9708863990018</v>
      </c>
      <c r="G78" s="1480">
        <f ca="1">VLOOKUP($A78,Curves_Table,Escalation!$N$291)</f>
        <v>1.2003493342906499</v>
      </c>
      <c r="H78" s="1481">
        <f t="shared" ca="1" si="20"/>
        <v>11580.935430744614</v>
      </c>
      <c r="I78" s="1504">
        <f ca="1">IF(Assm!$L$74=0,VLOOKUP($A78,Curves_Table,Escalation!$D$291),VLOOKUP($A78,Curves_Table,Escalation!$E$291))</f>
        <v>2.2563095389555845</v>
      </c>
      <c r="J78" s="1504">
        <f ca="1">IF($A78&lt;EE_Date,VLOOKUP($A78,Curves_Table,Escalation!$D$291),Exch)</f>
        <v>1.0649999999999999</v>
      </c>
      <c r="K78" s="1505">
        <f t="shared" ca="1" si="21"/>
        <v>24535.375664242041</v>
      </c>
      <c r="M78" s="691">
        <f ca="1">VLOOKUP($A78,Tariff_Table,Tariff!$F$33)</f>
        <v>1.4999909503966458E-2</v>
      </c>
      <c r="N78" s="1481">
        <f t="shared" ca="1" si="22"/>
        <v>146.92251461622666</v>
      </c>
      <c r="O78" s="1480">
        <f ca="1">VLOOKUP($A78,Curves_Table,Escalation!$R$291)</f>
        <v>1.8096273546795039</v>
      </c>
      <c r="P78" s="1505">
        <f t="shared" ca="1" si="23"/>
        <v>265.87500146782298</v>
      </c>
      <c r="R78" s="1506">
        <f t="shared" ca="1" si="24"/>
        <v>24801.250665709864</v>
      </c>
      <c r="S78" s="330">
        <f ca="1">'Plant Operations'!C78</f>
        <v>480</v>
      </c>
      <c r="T78" s="1481">
        <f t="shared" ca="1" si="25"/>
        <v>11904.600319540736</v>
      </c>
      <c r="U78" s="1504">
        <f t="shared" ca="1" si="26"/>
        <v>2.2563095389555845</v>
      </c>
      <c r="V78" s="384">
        <f t="shared" ca="1" si="27"/>
        <v>5276.1379207975233</v>
      </c>
      <c r="W78" s="692" t="str">
        <f t="shared" ca="1" si="15"/>
        <v xml:space="preserve"> </v>
      </c>
      <c r="Y78" s="1507">
        <f ca="1">IF($A78&gt;Endyr,0,VLOOKUP($A78,Tariff_Table,Tariff!$J$33))</f>
        <v>0.19</v>
      </c>
      <c r="Z78" s="1504">
        <f ca="1">VLOOKUP($A78,Curves_Table,Escalation!$AH$291)</f>
        <v>1.8096273546795039</v>
      </c>
      <c r="AA78" s="1504">
        <f t="shared" ca="1" si="28"/>
        <v>0.34382919738910572</v>
      </c>
      <c r="AB78" s="334">
        <f ca="1">'Plant Operations'!$I78+'Plant Operations'!$M78</f>
        <v>298980.864</v>
      </c>
      <c r="AC78" s="1481">
        <f t="shared" ca="1" si="16"/>
        <v>102.79835050382138</v>
      </c>
      <c r="AD78" s="1504">
        <f t="shared" ca="1" si="17"/>
        <v>2.2563095389555845</v>
      </c>
      <c r="AE78" s="335">
        <f t="shared" ca="1" si="29"/>
        <v>45.560393522692529</v>
      </c>
      <c r="AF78" s="698" t="str">
        <f t="shared" ca="1" si="18"/>
        <v xml:space="preserve"> </v>
      </c>
    </row>
    <row r="79" spans="1:32">
      <c r="A79" s="672">
        <f ca="1">'Plant Operations'!A79</f>
        <v>38292</v>
      </c>
      <c r="C79" s="1503">
        <f ca="1">IF($A79&gt;Endyr,0,VLOOKUP($A79,Tariff_Table,Tariff!$D$33))</f>
        <v>9794.8934010152279</v>
      </c>
      <c r="E79" s="691">
        <f ca="1">VLOOKUP($A79,Tariff_Table,Tariff!$E$33)</f>
        <v>0.98500009049603354</v>
      </c>
      <c r="F79" s="1481">
        <f t="shared" ca="1" si="19"/>
        <v>9647.9708863990018</v>
      </c>
      <c r="G79" s="1480">
        <f ca="1">VLOOKUP($A79,Curves_Table,Escalation!$N$291)</f>
        <v>1.2003493342906499</v>
      </c>
      <c r="H79" s="1481">
        <f t="shared" ca="1" si="20"/>
        <v>11580.935430744614</v>
      </c>
      <c r="I79" s="1504">
        <f ca="1">IF(Assm!$L$74=0,VLOOKUP($A79,Curves_Table,Escalation!$D$291),VLOOKUP($A79,Curves_Table,Escalation!$E$291))</f>
        <v>2.2621404485994736</v>
      </c>
      <c r="J79" s="1504">
        <f ca="1">IF($A79&lt;EE_Date,VLOOKUP($A79,Curves_Table,Escalation!$D$291),Exch)</f>
        <v>1.0649999999999999</v>
      </c>
      <c r="K79" s="1505">
        <f t="shared" ca="1" si="21"/>
        <v>24598.781662447098</v>
      </c>
      <c r="M79" s="691">
        <f ca="1">VLOOKUP($A79,Tariff_Table,Tariff!$F$33)</f>
        <v>1.4999909503966458E-2</v>
      </c>
      <c r="N79" s="1481">
        <f t="shared" ca="1" si="22"/>
        <v>146.92251461622666</v>
      </c>
      <c r="O79" s="1480">
        <f ca="1">VLOOKUP($A79,Curves_Table,Escalation!$R$291)</f>
        <v>1.8096273546795039</v>
      </c>
      <c r="P79" s="1505">
        <f t="shared" ca="1" si="23"/>
        <v>265.87500146782298</v>
      </c>
      <c r="R79" s="1506">
        <f t="shared" ca="1" si="24"/>
        <v>24864.656663914921</v>
      </c>
      <c r="S79" s="330">
        <f ca="1">'Plant Operations'!C79</f>
        <v>480</v>
      </c>
      <c r="T79" s="1481">
        <f t="shared" ca="1" si="25"/>
        <v>11935.035198679163</v>
      </c>
      <c r="U79" s="1504">
        <f t="shared" ca="1" si="26"/>
        <v>2.2621404485994736</v>
      </c>
      <c r="V79" s="384">
        <f t="shared" ca="1" si="27"/>
        <v>5275.9921277515414</v>
      </c>
      <c r="W79" s="692" t="str">
        <f t="shared" ca="1" si="15"/>
        <v xml:space="preserve"> </v>
      </c>
      <c r="Y79" s="1507">
        <f ca="1">IF($A79&gt;Endyr,0,VLOOKUP($A79,Tariff_Table,Tariff!$J$33))</f>
        <v>0.19</v>
      </c>
      <c r="Z79" s="1504">
        <f ca="1">VLOOKUP($A79,Curves_Table,Escalation!$AH$291)</f>
        <v>1.8096273546795039</v>
      </c>
      <c r="AA79" s="1504">
        <f t="shared" ca="1" si="28"/>
        <v>0.34382919738910572</v>
      </c>
      <c r="AB79" s="334">
        <f ca="1">'Plant Operations'!$I79+'Plant Operations'!$M79</f>
        <v>289336.32000000001</v>
      </c>
      <c r="AC79" s="1481">
        <f t="shared" ca="1" si="16"/>
        <v>99.48227468111746</v>
      </c>
      <c r="AD79" s="1504">
        <f t="shared" ca="1" si="17"/>
        <v>2.2621404485994736</v>
      </c>
      <c r="AE79" s="335">
        <f t="shared" ca="1" si="29"/>
        <v>43.977054891843025</v>
      </c>
      <c r="AF79" s="698" t="str">
        <f t="shared" ca="1" si="18"/>
        <v xml:space="preserve"> </v>
      </c>
    </row>
    <row r="80" spans="1:32">
      <c r="A80" s="672">
        <f ca="1">'Plant Operations'!A80</f>
        <v>38322</v>
      </c>
      <c r="C80" s="1503">
        <f ca="1">IF($A80&gt;Endyr,0,VLOOKUP($A80,Tariff_Table,Tariff!$D$33))</f>
        <v>9794.8934010152279</v>
      </c>
      <c r="E80" s="691">
        <f ca="1">VLOOKUP($A80,Tariff_Table,Tariff!$E$33)</f>
        <v>0.98500009049603354</v>
      </c>
      <c r="F80" s="1481">
        <f t="shared" ca="1" si="19"/>
        <v>9647.9708863990018</v>
      </c>
      <c r="G80" s="1480">
        <f ca="1">VLOOKUP($A80,Curves_Table,Escalation!$N$291)</f>
        <v>1.2003493342906499</v>
      </c>
      <c r="H80" s="1481">
        <f t="shared" ca="1" si="20"/>
        <v>11580.935430744614</v>
      </c>
      <c r="I80" s="1504">
        <f ca="1">IF(Assm!$L$74=0,VLOOKUP($A80,Curves_Table,Escalation!$D$291),VLOOKUP($A80,Curves_Table,Escalation!$E$291))</f>
        <v>2.2679864268794208</v>
      </c>
      <c r="J80" s="1504">
        <f ca="1">IF($A80&lt;EE_Date,VLOOKUP($A80,Curves_Table,Escalation!$D$291),Exch)</f>
        <v>1.0649999999999999</v>
      </c>
      <c r="K80" s="1505">
        <f t="shared" ca="1" si="21"/>
        <v>24662.351518775366</v>
      </c>
      <c r="M80" s="691">
        <f ca="1">VLOOKUP($A80,Tariff_Table,Tariff!$F$33)</f>
        <v>1.4999909503966458E-2</v>
      </c>
      <c r="N80" s="1481">
        <f t="shared" ca="1" si="22"/>
        <v>146.92251461622666</v>
      </c>
      <c r="O80" s="1480">
        <f ca="1">VLOOKUP($A80,Curves_Table,Escalation!$R$291)</f>
        <v>1.8096273546795039</v>
      </c>
      <c r="P80" s="1505">
        <f t="shared" ca="1" si="23"/>
        <v>265.87500146782298</v>
      </c>
      <c r="R80" s="1506">
        <f t="shared" ca="1" si="24"/>
        <v>24928.226520243188</v>
      </c>
      <c r="S80" s="330">
        <f ca="1">'Plant Operations'!C80</f>
        <v>480</v>
      </c>
      <c r="T80" s="1481">
        <f t="shared" ca="1" si="25"/>
        <v>11965.548729716729</v>
      </c>
      <c r="U80" s="1504">
        <f t="shared" ca="1" si="26"/>
        <v>2.2679864268794208</v>
      </c>
      <c r="V80" s="384">
        <f t="shared" ca="1" si="27"/>
        <v>5275.846710502773</v>
      </c>
      <c r="W80" s="692">
        <f t="shared" ca="1" si="15"/>
        <v>62650.657979112759</v>
      </c>
      <c r="Y80" s="1507">
        <f ca="1">IF($A80&gt;Endyr,0,VLOOKUP($A80,Tariff_Table,Tariff!$J$33))</f>
        <v>0.19</v>
      </c>
      <c r="Z80" s="1504">
        <f ca="1">VLOOKUP($A80,Curves_Table,Escalation!$AH$291)</f>
        <v>1.8096273546795039</v>
      </c>
      <c r="AA80" s="1504">
        <f t="shared" ca="1" si="28"/>
        <v>0.34382919738910572</v>
      </c>
      <c r="AB80" s="334">
        <f ca="1">'Plant Operations'!$I80+'Plant Operations'!$M80</f>
        <v>298980.864</v>
      </c>
      <c r="AC80" s="1481">
        <f t="shared" ca="1" si="16"/>
        <v>102.79835050382138</v>
      </c>
      <c r="AD80" s="1504">
        <f t="shared" ca="1" si="17"/>
        <v>2.2679864268794208</v>
      </c>
      <c r="AE80" s="335">
        <f t="shared" ca="1" si="29"/>
        <v>45.3258226264009</v>
      </c>
      <c r="AF80" s="698">
        <f t="shared" ca="1" si="18"/>
        <v>529.35959922793404</v>
      </c>
    </row>
    <row r="81" spans="1:32">
      <c r="A81" s="672">
        <f ca="1">'Plant Operations'!A81</f>
        <v>38353</v>
      </c>
      <c r="C81" s="1503">
        <f ca="1">IF($A81&gt;Endyr,0,VLOOKUP($A81,Tariff_Table,Tariff!$D$33))</f>
        <v>9794.8934010152279</v>
      </c>
      <c r="E81" s="691">
        <f ca="1">VLOOKUP($A81,Tariff_Table,Tariff!$E$33)</f>
        <v>0.98500009049603354</v>
      </c>
      <c r="F81" s="1481">
        <f t="shared" ca="1" si="19"/>
        <v>9647.9708863990018</v>
      </c>
      <c r="G81" s="1480">
        <f ca="1">VLOOKUP($A81,Curves_Table,Escalation!$N$291)</f>
        <v>1.2003493342906499</v>
      </c>
      <c r="H81" s="1481">
        <f t="shared" ca="1" si="20"/>
        <v>11580.935430744614</v>
      </c>
      <c r="I81" s="1504">
        <f ca="1">IF(Assm!$L$74=0,VLOOKUP($A81,Curves_Table,Escalation!$D$291),VLOOKUP($A81,Curves_Table,Escalation!$E$291))</f>
        <v>2.2732944230483629</v>
      </c>
      <c r="J81" s="1504">
        <f ca="1">IF($A81&lt;EE_Date,VLOOKUP($A81,Curves_Table,Escalation!$D$291),Exch)</f>
        <v>1.0649999999999999</v>
      </c>
      <c r="K81" s="1505">
        <f t="shared" ca="1" si="21"/>
        <v>24720.071294267535</v>
      </c>
      <c r="M81" s="691">
        <f ca="1">VLOOKUP($A81,Tariff_Table,Tariff!$F$33)</f>
        <v>1.4999909503966458E-2</v>
      </c>
      <c r="N81" s="1481">
        <f t="shared" ca="1" si="22"/>
        <v>146.92251461622666</v>
      </c>
      <c r="O81" s="1480">
        <f ca="1">VLOOKUP($A81,Curves_Table,Escalation!$R$291)</f>
        <v>1.8096273546795039</v>
      </c>
      <c r="P81" s="1505">
        <f t="shared" ca="1" si="23"/>
        <v>265.87500146782298</v>
      </c>
      <c r="R81" s="1506">
        <f t="shared" ca="1" si="24"/>
        <v>24985.946295735357</v>
      </c>
      <c r="S81" s="330">
        <f ca="1">'Plant Operations'!C81</f>
        <v>480</v>
      </c>
      <c r="T81" s="1481">
        <f t="shared" ca="1" si="25"/>
        <v>11993.254221952971</v>
      </c>
      <c r="U81" s="1504">
        <f t="shared" ca="1" si="26"/>
        <v>2.2732944230483629</v>
      </c>
      <c r="V81" s="384">
        <f t="shared" ca="1" si="27"/>
        <v>5275.7153232578985</v>
      </c>
      <c r="W81" s="692" t="str">
        <f t="shared" ca="1" si="15"/>
        <v xml:space="preserve"> </v>
      </c>
      <c r="Y81" s="1507">
        <f ca="1">IF($A81&gt;Endyr,0,VLOOKUP($A81,Tariff_Table,Tariff!$J$33))</f>
        <v>0.19</v>
      </c>
      <c r="Z81" s="1504">
        <f ca="1">VLOOKUP($A81,Curves_Table,Escalation!$AH$291)</f>
        <v>1.8096273546795039</v>
      </c>
      <c r="AA81" s="1504">
        <f t="shared" ca="1" si="28"/>
        <v>0.34382919738910572</v>
      </c>
      <c r="AB81" s="334">
        <f ca="1">'Plant Operations'!$I81+'Plant Operations'!$M81</f>
        <v>298980.864</v>
      </c>
      <c r="AC81" s="1481">
        <f t="shared" ca="1" si="16"/>
        <v>102.79835050382138</v>
      </c>
      <c r="AD81" s="1504">
        <f t="shared" ca="1" si="17"/>
        <v>2.2732944230483629</v>
      </c>
      <c r="AE81" s="335">
        <f t="shared" ca="1" si="29"/>
        <v>45.219989747731155</v>
      </c>
      <c r="AF81" s="698" t="str">
        <f t="shared" ca="1" si="18"/>
        <v xml:space="preserve"> </v>
      </c>
    </row>
    <row r="82" spans="1:32">
      <c r="A82" s="672">
        <f ca="1">'Plant Operations'!A82</f>
        <v>38384</v>
      </c>
      <c r="C82" s="1503">
        <f ca="1">IF($A82&gt;Endyr,0,VLOOKUP($A82,Tariff_Table,Tariff!$D$33))</f>
        <v>9794.8934010152279</v>
      </c>
      <c r="E82" s="691">
        <f ca="1">VLOOKUP($A82,Tariff_Table,Tariff!$E$33)</f>
        <v>0.98500009049603354</v>
      </c>
      <c r="F82" s="1481">
        <f t="shared" ca="1" si="19"/>
        <v>9647.9708863990018</v>
      </c>
      <c r="G82" s="1480">
        <f ca="1">VLOOKUP($A82,Curves_Table,Escalation!$N$291)</f>
        <v>1.2003493342906499</v>
      </c>
      <c r="H82" s="1481">
        <f t="shared" ca="1" si="20"/>
        <v>11580.935430744614</v>
      </c>
      <c r="I82" s="1504">
        <f ca="1">IF(Assm!$L$74=0,VLOOKUP($A82,Curves_Table,Escalation!$D$291),VLOOKUP($A82,Curves_Table,Escalation!$E$291))</f>
        <v>2.2786148420532601</v>
      </c>
      <c r="J82" s="1504">
        <f ca="1">IF($A82&lt;EE_Date,VLOOKUP($A82,Curves_Table,Escalation!$D$291),Exch)</f>
        <v>1.0649999999999999</v>
      </c>
      <c r="K82" s="1505">
        <f t="shared" ca="1" si="21"/>
        <v>24777.926157140981</v>
      </c>
      <c r="M82" s="691">
        <f ca="1">VLOOKUP($A82,Tariff_Table,Tariff!$F$33)</f>
        <v>1.4999909503966458E-2</v>
      </c>
      <c r="N82" s="1481">
        <f t="shared" ca="1" si="22"/>
        <v>146.92251461622666</v>
      </c>
      <c r="O82" s="1480">
        <f ca="1">VLOOKUP($A82,Curves_Table,Escalation!$R$291)</f>
        <v>1.8096273546795039</v>
      </c>
      <c r="P82" s="1505">
        <f t="shared" ca="1" si="23"/>
        <v>265.87500146782298</v>
      </c>
      <c r="R82" s="1506">
        <f t="shared" ca="1" si="24"/>
        <v>25043.801158608803</v>
      </c>
      <c r="S82" s="330">
        <f ca="1">'Plant Operations'!C82</f>
        <v>480</v>
      </c>
      <c r="T82" s="1481">
        <f t="shared" ca="1" si="25"/>
        <v>12021.024556132224</v>
      </c>
      <c r="U82" s="1504">
        <f t="shared" ca="1" si="26"/>
        <v>2.2786148420532601</v>
      </c>
      <c r="V82" s="384">
        <f t="shared" ca="1" si="27"/>
        <v>5275.5842427937832</v>
      </c>
      <c r="W82" s="692" t="str">
        <f t="shared" ca="1" si="15"/>
        <v xml:space="preserve"> </v>
      </c>
      <c r="Y82" s="1507">
        <f ca="1">IF($A82&gt;Endyr,0,VLOOKUP($A82,Tariff_Table,Tariff!$J$33))</f>
        <v>0.19</v>
      </c>
      <c r="Z82" s="1504">
        <f ca="1">VLOOKUP($A82,Curves_Table,Escalation!$AH$291)</f>
        <v>1.8096273546795039</v>
      </c>
      <c r="AA82" s="1504">
        <f t="shared" ca="1" si="28"/>
        <v>0.34382919738910572</v>
      </c>
      <c r="AB82" s="334">
        <f ca="1">'Plant Operations'!$I82+'Plant Operations'!$M82</f>
        <v>270047.23200000002</v>
      </c>
      <c r="AC82" s="1481">
        <f t="shared" ca="1" si="16"/>
        <v>92.850123035709629</v>
      </c>
      <c r="AD82" s="1504">
        <f t="shared" ca="1" si="17"/>
        <v>2.2786148420532601</v>
      </c>
      <c r="AE82" s="335">
        <f t="shared" ca="1" si="29"/>
        <v>40.748493919245419</v>
      </c>
      <c r="AF82" s="698" t="str">
        <f t="shared" ca="1" si="18"/>
        <v xml:space="preserve"> </v>
      </c>
    </row>
    <row r="83" spans="1:32">
      <c r="A83" s="672">
        <f ca="1">'Plant Operations'!A83</f>
        <v>38412</v>
      </c>
      <c r="C83" s="1503">
        <f ca="1">IF($A83&gt;Endyr,0,VLOOKUP($A83,Tariff_Table,Tariff!$D$33))</f>
        <v>9794.8934010152279</v>
      </c>
      <c r="E83" s="691">
        <f ca="1">VLOOKUP($A83,Tariff_Table,Tariff!$E$33)</f>
        <v>0.98500009049603354</v>
      </c>
      <c r="F83" s="1481">
        <f t="shared" ca="1" si="19"/>
        <v>9647.9708863990018</v>
      </c>
      <c r="G83" s="1480">
        <f ca="1">VLOOKUP($A83,Curves_Table,Escalation!$N$291)</f>
        <v>1.2003493342906499</v>
      </c>
      <c r="H83" s="1481">
        <f t="shared" ca="1" si="20"/>
        <v>11580.935430744614</v>
      </c>
      <c r="I83" s="1504">
        <f ca="1">IF(Assm!$L$74=0,VLOOKUP($A83,Curves_Table,Escalation!$D$291),VLOOKUP($A83,Curves_Table,Escalation!$E$291))</f>
        <v>2.2839477129685219</v>
      </c>
      <c r="J83" s="1504">
        <f ca="1">IF($A83&lt;EE_Date,VLOOKUP($A83,Curves_Table,Escalation!$D$291),Exch)</f>
        <v>1.0649999999999999</v>
      </c>
      <c r="K83" s="1505">
        <f t="shared" ca="1" si="21"/>
        <v>24835.916423554259</v>
      </c>
      <c r="M83" s="691">
        <f ca="1">VLOOKUP($A83,Tariff_Table,Tariff!$F$33)</f>
        <v>1.4999909503966458E-2</v>
      </c>
      <c r="N83" s="1481">
        <f t="shared" ca="1" si="22"/>
        <v>146.92251461622666</v>
      </c>
      <c r="O83" s="1480">
        <f ca="1">VLOOKUP($A83,Curves_Table,Escalation!$R$291)</f>
        <v>1.8096273546795039</v>
      </c>
      <c r="P83" s="1505">
        <f t="shared" ca="1" si="23"/>
        <v>265.87500146782298</v>
      </c>
      <c r="R83" s="1506">
        <f t="shared" ca="1" si="24"/>
        <v>25101.791425022082</v>
      </c>
      <c r="S83" s="330">
        <f ca="1">'Plant Operations'!C83</f>
        <v>480</v>
      </c>
      <c r="T83" s="1481">
        <f t="shared" ca="1" si="25"/>
        <v>12048.859884010601</v>
      </c>
      <c r="U83" s="1504">
        <f t="shared" ca="1" si="26"/>
        <v>2.2839477129685219</v>
      </c>
      <c r="V83" s="384">
        <f t="shared" ca="1" si="27"/>
        <v>5275.4534683941174</v>
      </c>
      <c r="W83" s="692" t="str">
        <f t="shared" ca="1" si="15"/>
        <v xml:space="preserve"> </v>
      </c>
      <c r="Y83" s="1507">
        <f ca="1">IF($A83&gt;Endyr,0,VLOOKUP($A83,Tariff_Table,Tariff!$J$33))</f>
        <v>0.19</v>
      </c>
      <c r="Z83" s="1504">
        <f ca="1">VLOOKUP($A83,Curves_Table,Escalation!$AH$291)</f>
        <v>1.8096273546795039</v>
      </c>
      <c r="AA83" s="1504">
        <f t="shared" ca="1" si="28"/>
        <v>0.34382919738910572</v>
      </c>
      <c r="AB83" s="334">
        <f ca="1">'Plant Operations'!$I83+'Plant Operations'!$M83</f>
        <v>298980.864</v>
      </c>
      <c r="AC83" s="1481">
        <f t="shared" ca="1" si="16"/>
        <v>102.79835050382138</v>
      </c>
      <c r="AD83" s="1504">
        <f t="shared" ca="1" si="17"/>
        <v>2.2839477129685219</v>
      </c>
      <c r="AE83" s="335">
        <f t="shared" ca="1" si="29"/>
        <v>45.00906475227972</v>
      </c>
      <c r="AF83" s="698" t="str">
        <f t="shared" ca="1" si="18"/>
        <v xml:space="preserve"> </v>
      </c>
    </row>
    <row r="84" spans="1:32">
      <c r="A84" s="672">
        <f ca="1">'Plant Operations'!A84</f>
        <v>38443</v>
      </c>
      <c r="C84" s="1503">
        <f ca="1">IF($A84&gt;Endyr,0,VLOOKUP($A84,Tariff_Table,Tariff!$D$33))</f>
        <v>9794.8934010152279</v>
      </c>
      <c r="E84" s="691">
        <f ca="1">VLOOKUP($A84,Tariff_Table,Tariff!$E$33)</f>
        <v>0.98500009049603354</v>
      </c>
      <c r="F84" s="1481">
        <f t="shared" ca="1" si="19"/>
        <v>9647.9708863990018</v>
      </c>
      <c r="G84" s="1480">
        <f ca="1">VLOOKUP($A84,Curves_Table,Escalation!$N$291)</f>
        <v>1.2003493342906499</v>
      </c>
      <c r="H84" s="1481">
        <f t="shared" ca="1" si="20"/>
        <v>11580.935430744614</v>
      </c>
      <c r="I84" s="1504">
        <f ca="1">IF(Assm!$L$74=0,VLOOKUP($A84,Curves_Table,Escalation!$D$291),VLOOKUP($A84,Curves_Table,Escalation!$E$291))</f>
        <v>2.289293064936603</v>
      </c>
      <c r="J84" s="1504">
        <f ca="1">IF($A84&lt;EE_Date,VLOOKUP($A84,Curves_Table,Escalation!$D$291),Exch)</f>
        <v>1.0649999999999999</v>
      </c>
      <c r="K84" s="1505">
        <f t="shared" ca="1" si="21"/>
        <v>24894.042410405858</v>
      </c>
      <c r="M84" s="691">
        <f ca="1">VLOOKUP($A84,Tariff_Table,Tariff!$F$33)</f>
        <v>1.4999909503966458E-2</v>
      </c>
      <c r="N84" s="1481">
        <f t="shared" ca="1" si="22"/>
        <v>146.92251461622666</v>
      </c>
      <c r="O84" s="1480">
        <f ca="1">VLOOKUP($A84,Curves_Table,Escalation!$R$291)</f>
        <v>1.8096273546795039</v>
      </c>
      <c r="P84" s="1505">
        <f t="shared" ca="1" si="23"/>
        <v>265.87500146782298</v>
      </c>
      <c r="R84" s="1506">
        <f t="shared" ca="1" si="24"/>
        <v>25159.917411873681</v>
      </c>
      <c r="S84" s="330">
        <f ca="1">'Plant Operations'!C84</f>
        <v>480</v>
      </c>
      <c r="T84" s="1481">
        <f t="shared" ca="1" si="25"/>
        <v>12076.760357699366</v>
      </c>
      <c r="U84" s="1504">
        <f t="shared" ca="1" si="26"/>
        <v>2.289293064936603</v>
      </c>
      <c r="V84" s="384">
        <f t="shared" ca="1" si="27"/>
        <v>5275.3229993442565</v>
      </c>
      <c r="W84" s="692" t="str">
        <f t="shared" ca="1" si="15"/>
        <v xml:space="preserve"> </v>
      </c>
      <c r="Y84" s="1507">
        <f ca="1">IF($A84&gt;Endyr,0,VLOOKUP($A84,Tariff_Table,Tariff!$J$33))</f>
        <v>0.19</v>
      </c>
      <c r="Z84" s="1504">
        <f ca="1">VLOOKUP($A84,Curves_Table,Escalation!$AH$291)</f>
        <v>1.8096273546795039</v>
      </c>
      <c r="AA84" s="1504">
        <f t="shared" ca="1" si="28"/>
        <v>0.34382919738910572</v>
      </c>
      <c r="AB84" s="334">
        <f ca="1">'Plant Operations'!$I84+'Plant Operations'!$M84</f>
        <v>289336.32000000001</v>
      </c>
      <c r="AC84" s="1481">
        <f t="shared" ca="1" si="16"/>
        <v>99.48227468111746</v>
      </c>
      <c r="AD84" s="1504">
        <f t="shared" ca="1" si="17"/>
        <v>2.289293064936603</v>
      </c>
      <c r="AE84" s="335">
        <f t="shared" ca="1" si="29"/>
        <v>43.455456273735059</v>
      </c>
      <c r="AF84" s="698" t="str">
        <f t="shared" ca="1" si="18"/>
        <v xml:space="preserve"> </v>
      </c>
    </row>
    <row r="85" spans="1:32">
      <c r="A85" s="672">
        <f ca="1">'Plant Operations'!A85</f>
        <v>38473</v>
      </c>
      <c r="C85" s="1503">
        <f ca="1">IF($A85&gt;Endyr,0,VLOOKUP($A85,Tariff_Table,Tariff!$D$33))</f>
        <v>9710.486815415823</v>
      </c>
      <c r="E85" s="691">
        <f ca="1">VLOOKUP($A85,Tariff_Table,Tariff!$E$33)</f>
        <v>0.98599954696882786</v>
      </c>
      <c r="F85" s="1481">
        <f t="shared" ca="1" si="19"/>
        <v>9574.535600846777</v>
      </c>
      <c r="G85" s="1480">
        <f ca="1">VLOOKUP($A85,Curves_Table,Escalation!$N$291)</f>
        <v>1.2346229437596627</v>
      </c>
      <c r="H85" s="1481">
        <f t="shared" ca="1" si="20"/>
        <v>11820.94132864914</v>
      </c>
      <c r="I85" s="1504">
        <f ca="1">IF(Assm!$L$74=0,VLOOKUP($A85,Curves_Table,Escalation!$D$291),VLOOKUP($A85,Curves_Table,Escalation!$E$291))</f>
        <v>2.2946509271681639</v>
      </c>
      <c r="J85" s="1504">
        <f ca="1">IF($A85&lt;EE_Date,VLOOKUP($A85,Curves_Table,Escalation!$D$291),Exch)</f>
        <v>1.0649999999999999</v>
      </c>
      <c r="K85" s="1505">
        <f t="shared" ca="1" si="21"/>
        <v>25469.421577263114</v>
      </c>
      <c r="M85" s="691">
        <f ca="1">VLOOKUP($A85,Tariff_Table,Tariff!$F$33)</f>
        <v>1.4000453031172144E-2</v>
      </c>
      <c r="N85" s="1481">
        <f t="shared" ca="1" si="22"/>
        <v>135.95121456904559</v>
      </c>
      <c r="O85" s="1480">
        <f ca="1">VLOOKUP($A85,Curves_Table,Escalation!$R$291)</f>
        <v>1.9513768310631414</v>
      </c>
      <c r="P85" s="1505">
        <f t="shared" ca="1" si="23"/>
        <v>265.29205026492934</v>
      </c>
      <c r="R85" s="1506">
        <f t="shared" ca="1" si="24"/>
        <v>25734.713627528043</v>
      </c>
      <c r="S85" s="330">
        <f ca="1">'Plant Operations'!C85</f>
        <v>480</v>
      </c>
      <c r="T85" s="1481">
        <f t="shared" ca="1" si="25"/>
        <v>12352.66254121346</v>
      </c>
      <c r="U85" s="1504">
        <f t="shared" ca="1" si="26"/>
        <v>2.2946509271681639</v>
      </c>
      <c r="V85" s="384">
        <f t="shared" ca="1" si="27"/>
        <v>5383.2425642439312</v>
      </c>
      <c r="W85" s="692" t="str">
        <f t="shared" ca="1" si="15"/>
        <v xml:space="preserve"> </v>
      </c>
      <c r="Y85" s="1507">
        <f ca="1">IF($A85&gt;Endyr,0,VLOOKUP($A85,Tariff_Table,Tariff!$J$33))</f>
        <v>0.19</v>
      </c>
      <c r="Z85" s="1504">
        <f ca="1">VLOOKUP($A85,Curves_Table,Escalation!$AH$291)</f>
        <v>1.9513768310631414</v>
      </c>
      <c r="AA85" s="1504">
        <f t="shared" ca="1" si="28"/>
        <v>0.37076159790199686</v>
      </c>
      <c r="AB85" s="334">
        <f ca="1">'Plant Operations'!$I85+'Plant Operations'!$M85</f>
        <v>298980.864</v>
      </c>
      <c r="AC85" s="1481">
        <f t="shared" ca="1" si="16"/>
        <v>110.85062287875961</v>
      </c>
      <c r="AD85" s="1504">
        <f t="shared" ca="1" si="17"/>
        <v>2.2946509271681639</v>
      </c>
      <c r="AE85" s="335">
        <f t="shared" ca="1" si="29"/>
        <v>48.308272760057982</v>
      </c>
      <c r="AF85" s="698" t="str">
        <f t="shared" ca="1" si="18"/>
        <v xml:space="preserve"> </v>
      </c>
    </row>
    <row r="86" spans="1:32">
      <c r="A86" s="672">
        <f ca="1">'Plant Operations'!A86</f>
        <v>38504</v>
      </c>
      <c r="C86" s="1503">
        <f ca="1">IF($A86&gt;Endyr,0,VLOOKUP($A86,Tariff_Table,Tariff!$D$33))</f>
        <v>9710.486815415823</v>
      </c>
      <c r="E86" s="691">
        <f ca="1">VLOOKUP($A86,Tariff_Table,Tariff!$E$33)</f>
        <v>0.98599954696882786</v>
      </c>
      <c r="F86" s="1481">
        <f t="shared" ca="1" si="19"/>
        <v>9574.535600846777</v>
      </c>
      <c r="G86" s="1480">
        <f ca="1">VLOOKUP($A86,Curves_Table,Escalation!$N$291)</f>
        <v>1.2346229437596627</v>
      </c>
      <c r="H86" s="1481">
        <f t="shared" ca="1" si="20"/>
        <v>11820.94132864914</v>
      </c>
      <c r="I86" s="1504">
        <f ca="1">IF(Assm!$L$74=0,VLOOKUP($A86,Curves_Table,Escalation!$D$291),VLOOKUP($A86,Curves_Table,Escalation!$E$291))</f>
        <v>2.3000213289422287</v>
      </c>
      <c r="J86" s="1504">
        <f ca="1">IF($A86&lt;EE_Date,VLOOKUP($A86,Curves_Table,Escalation!$D$291),Exch)</f>
        <v>1.0649999999999999</v>
      </c>
      <c r="K86" s="1505">
        <f t="shared" ca="1" si="21"/>
        <v>25529.030219781886</v>
      </c>
      <c r="M86" s="691">
        <f ca="1">VLOOKUP($A86,Tariff_Table,Tariff!$F$33)</f>
        <v>1.4000453031172144E-2</v>
      </c>
      <c r="N86" s="1481">
        <f t="shared" ca="1" si="22"/>
        <v>135.95121456904559</v>
      </c>
      <c r="O86" s="1480">
        <f ca="1">VLOOKUP($A86,Curves_Table,Escalation!$R$291)</f>
        <v>1.9513768310631414</v>
      </c>
      <c r="P86" s="1505">
        <f t="shared" ca="1" si="23"/>
        <v>265.29205026492934</v>
      </c>
      <c r="R86" s="1506">
        <f t="shared" ca="1" si="24"/>
        <v>25794.322270046814</v>
      </c>
      <c r="S86" s="330">
        <f ca="1">'Plant Operations'!C86</f>
        <v>480</v>
      </c>
      <c r="T86" s="1481">
        <f t="shared" ca="1" si="25"/>
        <v>12381.274689622471</v>
      </c>
      <c r="U86" s="1504">
        <f t="shared" ca="1" si="26"/>
        <v>2.3000213289422287</v>
      </c>
      <c r="V86" s="384">
        <f t="shared" ca="1" si="27"/>
        <v>5383.1129884854472</v>
      </c>
      <c r="W86" s="692" t="str">
        <f t="shared" ca="1" si="15"/>
        <v xml:space="preserve"> </v>
      </c>
      <c r="Y86" s="1507">
        <f ca="1">IF($A86&gt;Endyr,0,VLOOKUP($A86,Tariff_Table,Tariff!$J$33))</f>
        <v>0.19</v>
      </c>
      <c r="Z86" s="1504">
        <f ca="1">VLOOKUP($A86,Curves_Table,Escalation!$AH$291)</f>
        <v>1.9513768310631414</v>
      </c>
      <c r="AA86" s="1504">
        <f t="shared" ca="1" si="28"/>
        <v>0.37076159790199686</v>
      </c>
      <c r="AB86" s="334">
        <f ca="1">'Plant Operations'!$I86+'Plant Operations'!$M86</f>
        <v>289336.32000000001</v>
      </c>
      <c r="AC86" s="1481">
        <f t="shared" ca="1" si="16"/>
        <v>107.27479633428349</v>
      </c>
      <c r="AD86" s="1504">
        <f t="shared" ca="1" si="17"/>
        <v>2.3000213289422287</v>
      </c>
      <c r="AE86" s="335">
        <f t="shared" ca="1" si="29"/>
        <v>46.640783276396299</v>
      </c>
      <c r="AF86" s="698" t="str">
        <f t="shared" ca="1" si="18"/>
        <v xml:space="preserve"> </v>
      </c>
    </row>
    <row r="87" spans="1:32">
      <c r="A87" s="672">
        <f ca="1">'Plant Operations'!A87</f>
        <v>38534</v>
      </c>
      <c r="C87" s="1503">
        <f ca="1">IF($A87&gt;Endyr,0,VLOOKUP($A87,Tariff_Table,Tariff!$D$33))</f>
        <v>9710.486815415823</v>
      </c>
      <c r="E87" s="691">
        <f ca="1">VLOOKUP($A87,Tariff_Table,Tariff!$E$33)</f>
        <v>0.98599954696882786</v>
      </c>
      <c r="F87" s="1481">
        <f t="shared" ca="1" si="19"/>
        <v>9574.535600846777</v>
      </c>
      <c r="G87" s="1480">
        <f ca="1">VLOOKUP($A87,Curves_Table,Escalation!$N$291)</f>
        <v>1.2346229437596627</v>
      </c>
      <c r="H87" s="1481">
        <f t="shared" ca="1" si="20"/>
        <v>11820.94132864914</v>
      </c>
      <c r="I87" s="1504">
        <f ca="1">IF(Assm!$L$74=0,VLOOKUP($A87,Curves_Table,Escalation!$D$291),VLOOKUP($A87,Curves_Table,Escalation!$E$291))</f>
        <v>2.3054042996063471</v>
      </c>
      <c r="J87" s="1504">
        <f ca="1">IF($A87&lt;EE_Date,VLOOKUP($A87,Curves_Table,Escalation!$D$291),Exch)</f>
        <v>1.0649999999999999</v>
      </c>
      <c r="K87" s="1505">
        <f t="shared" ca="1" si="21"/>
        <v>25588.778370386943</v>
      </c>
      <c r="M87" s="691">
        <f ca="1">VLOOKUP($A87,Tariff_Table,Tariff!$F$33)</f>
        <v>1.4000453031172144E-2</v>
      </c>
      <c r="N87" s="1481">
        <f t="shared" ca="1" si="22"/>
        <v>135.95121456904559</v>
      </c>
      <c r="O87" s="1480">
        <f ca="1">VLOOKUP($A87,Curves_Table,Escalation!$R$291)</f>
        <v>1.9513768310631414</v>
      </c>
      <c r="P87" s="1505">
        <f t="shared" ca="1" si="23"/>
        <v>265.29205026492934</v>
      </c>
      <c r="R87" s="1506">
        <f t="shared" ca="1" si="24"/>
        <v>25854.070420651871</v>
      </c>
      <c r="S87" s="330">
        <f ca="1">'Plant Operations'!C87</f>
        <v>480</v>
      </c>
      <c r="T87" s="1481">
        <f t="shared" ca="1" si="25"/>
        <v>12409.953801912898</v>
      </c>
      <c r="U87" s="1504">
        <f t="shared" ca="1" si="26"/>
        <v>2.3054042996063471</v>
      </c>
      <c r="V87" s="384">
        <f t="shared" ca="1" si="27"/>
        <v>5382.983715278021</v>
      </c>
      <c r="W87" s="692" t="str">
        <f t="shared" ca="1" si="15"/>
        <v xml:space="preserve"> </v>
      </c>
      <c r="Y87" s="1507">
        <f ca="1">IF($A87&gt;Endyr,0,VLOOKUP($A87,Tariff_Table,Tariff!$J$33))</f>
        <v>0.19</v>
      </c>
      <c r="Z87" s="1504">
        <f ca="1">VLOOKUP($A87,Curves_Table,Escalation!$AH$291)</f>
        <v>1.9513768310631414</v>
      </c>
      <c r="AA87" s="1504">
        <f t="shared" ca="1" si="28"/>
        <v>0.37076159790199686</v>
      </c>
      <c r="AB87" s="334">
        <f ca="1">'Plant Operations'!$I87+'Plant Operations'!$M87</f>
        <v>298980.864</v>
      </c>
      <c r="AC87" s="1481">
        <f t="shared" ca="1" si="16"/>
        <v>110.85062287875961</v>
      </c>
      <c r="AD87" s="1504">
        <f t="shared" ca="1" si="17"/>
        <v>2.3054042996063471</v>
      </c>
      <c r="AE87" s="335">
        <f t="shared" ca="1" si="29"/>
        <v>48.082942717547461</v>
      </c>
      <c r="AF87" s="698" t="str">
        <f t="shared" ca="1" si="18"/>
        <v xml:space="preserve"> </v>
      </c>
    </row>
    <row r="88" spans="1:32">
      <c r="A88" s="672">
        <f ca="1">'Plant Operations'!A88</f>
        <v>38565</v>
      </c>
      <c r="C88" s="1503">
        <f ca="1">IF($A88&gt;Endyr,0,VLOOKUP($A88,Tariff_Table,Tariff!$D$33))</f>
        <v>9710.486815415823</v>
      </c>
      <c r="E88" s="691">
        <f ca="1">VLOOKUP($A88,Tariff_Table,Tariff!$E$33)</f>
        <v>0.98599954696882786</v>
      </c>
      <c r="F88" s="1481">
        <f t="shared" ca="1" si="19"/>
        <v>9574.535600846777</v>
      </c>
      <c r="G88" s="1480">
        <f ca="1">VLOOKUP($A88,Curves_Table,Escalation!$N$291)</f>
        <v>1.2346229437596627</v>
      </c>
      <c r="H88" s="1481">
        <f t="shared" ca="1" si="20"/>
        <v>11820.94132864914</v>
      </c>
      <c r="I88" s="1504">
        <f ca="1">IF(Assm!$L$74=0,VLOOKUP($A88,Curves_Table,Escalation!$D$291),VLOOKUP($A88,Curves_Table,Escalation!$E$291))</f>
        <v>2.3107998685767535</v>
      </c>
      <c r="J88" s="1504">
        <f ca="1">IF($A88&lt;EE_Date,VLOOKUP($A88,Curves_Table,Escalation!$D$291),Exch)</f>
        <v>1.0649999999999999</v>
      </c>
      <c r="K88" s="1505">
        <f t="shared" ca="1" si="21"/>
        <v>25648.666355583049</v>
      </c>
      <c r="M88" s="691">
        <f ca="1">VLOOKUP($A88,Tariff_Table,Tariff!$F$33)</f>
        <v>1.4000453031172144E-2</v>
      </c>
      <c r="N88" s="1481">
        <f t="shared" ca="1" si="22"/>
        <v>135.95121456904559</v>
      </c>
      <c r="O88" s="1480">
        <f ca="1">VLOOKUP($A88,Curves_Table,Escalation!$R$291)</f>
        <v>1.9513768310631414</v>
      </c>
      <c r="P88" s="1505">
        <f t="shared" ca="1" si="23"/>
        <v>265.29205026492934</v>
      </c>
      <c r="R88" s="1506">
        <f t="shared" ca="1" si="24"/>
        <v>25913.958405847978</v>
      </c>
      <c r="S88" s="330">
        <f ca="1">'Plant Operations'!C88</f>
        <v>480</v>
      </c>
      <c r="T88" s="1481">
        <f t="shared" ca="1" si="25"/>
        <v>12438.700034807031</v>
      </c>
      <c r="U88" s="1504">
        <f t="shared" ca="1" si="26"/>
        <v>2.3107998685767535</v>
      </c>
      <c r="V88" s="384">
        <f t="shared" ca="1" si="27"/>
        <v>5382.8547439152144</v>
      </c>
      <c r="W88" s="692" t="str">
        <f t="shared" ca="1" si="15"/>
        <v xml:space="preserve"> </v>
      </c>
      <c r="Y88" s="1507">
        <f ca="1">IF($A88&gt;Endyr,0,VLOOKUP($A88,Tariff_Table,Tariff!$J$33))</f>
        <v>0.19</v>
      </c>
      <c r="Z88" s="1504">
        <f ca="1">VLOOKUP($A88,Curves_Table,Escalation!$AH$291)</f>
        <v>1.9513768310631414</v>
      </c>
      <c r="AA88" s="1504">
        <f t="shared" ca="1" si="28"/>
        <v>0.37076159790199686</v>
      </c>
      <c r="AB88" s="334">
        <f ca="1">'Plant Operations'!$I88+'Plant Operations'!$M88</f>
        <v>298980.864</v>
      </c>
      <c r="AC88" s="1481">
        <f t="shared" ca="1" si="16"/>
        <v>110.85062287875961</v>
      </c>
      <c r="AD88" s="1504">
        <f t="shared" ca="1" si="17"/>
        <v>2.3107998685767535</v>
      </c>
      <c r="AE88" s="335">
        <f t="shared" ca="1" si="29"/>
        <v>47.970672140912704</v>
      </c>
      <c r="AF88" s="698" t="str">
        <f t="shared" ca="1" si="18"/>
        <v xml:space="preserve"> </v>
      </c>
    </row>
    <row r="89" spans="1:32">
      <c r="A89" s="672">
        <f ca="1">'Plant Operations'!A89</f>
        <v>38596</v>
      </c>
      <c r="C89" s="1503">
        <f ca="1">IF($A89&gt;Endyr,0,VLOOKUP($A89,Tariff_Table,Tariff!$D$33))</f>
        <v>9710.486815415823</v>
      </c>
      <c r="E89" s="691">
        <f ca="1">VLOOKUP($A89,Tariff_Table,Tariff!$E$33)</f>
        <v>0.98599954696882786</v>
      </c>
      <c r="F89" s="1481">
        <f t="shared" ca="1" si="19"/>
        <v>9574.535600846777</v>
      </c>
      <c r="G89" s="1480">
        <f ca="1">VLOOKUP($A89,Curves_Table,Escalation!$N$291)</f>
        <v>1.2346229437596627</v>
      </c>
      <c r="H89" s="1481">
        <f t="shared" ca="1" si="20"/>
        <v>11820.94132864914</v>
      </c>
      <c r="I89" s="1504">
        <f ca="1">IF(Assm!$L$74=0,VLOOKUP($A89,Curves_Table,Escalation!$D$291),VLOOKUP($A89,Curves_Table,Escalation!$E$291))</f>
        <v>2.316208065338528</v>
      </c>
      <c r="J89" s="1504">
        <f ca="1">IF($A89&lt;EE_Date,VLOOKUP($A89,Curves_Table,Escalation!$D$291),Exch)</f>
        <v>1.0649999999999999</v>
      </c>
      <c r="K89" s="1505">
        <f t="shared" ca="1" si="21"/>
        <v>25708.694502639133</v>
      </c>
      <c r="M89" s="691">
        <f ca="1">VLOOKUP($A89,Tariff_Table,Tariff!$F$33)</f>
        <v>1.4000453031172144E-2</v>
      </c>
      <c r="N89" s="1481">
        <f t="shared" ca="1" si="22"/>
        <v>135.95121456904559</v>
      </c>
      <c r="O89" s="1480">
        <f ca="1">VLOOKUP($A89,Curves_Table,Escalation!$R$291)</f>
        <v>1.9513768310631414</v>
      </c>
      <c r="P89" s="1505">
        <f t="shared" ca="1" si="23"/>
        <v>265.29205026492934</v>
      </c>
      <c r="R89" s="1506">
        <f t="shared" ca="1" si="24"/>
        <v>25973.986552904062</v>
      </c>
      <c r="S89" s="330">
        <f ca="1">'Plant Operations'!C89</f>
        <v>480</v>
      </c>
      <c r="T89" s="1481">
        <f t="shared" ca="1" si="25"/>
        <v>12467.513545393949</v>
      </c>
      <c r="U89" s="1504">
        <f t="shared" ca="1" si="26"/>
        <v>2.316208065338528</v>
      </c>
      <c r="V89" s="384">
        <f t="shared" ca="1" si="27"/>
        <v>5382.7260736922381</v>
      </c>
      <c r="W89" s="692" t="str">
        <f t="shared" ca="1" si="15"/>
        <v xml:space="preserve"> </v>
      </c>
      <c r="Y89" s="1507">
        <f ca="1">IF($A89&gt;Endyr,0,VLOOKUP($A89,Tariff_Table,Tariff!$J$33))</f>
        <v>0.19</v>
      </c>
      <c r="Z89" s="1504">
        <f ca="1">VLOOKUP($A89,Curves_Table,Escalation!$AH$291)</f>
        <v>1.9513768310631414</v>
      </c>
      <c r="AA89" s="1504">
        <f t="shared" ca="1" si="28"/>
        <v>0.37076159790199686</v>
      </c>
      <c r="AB89" s="334">
        <f ca="1">'Plant Operations'!$I89+'Plant Operations'!$M89</f>
        <v>289336.32000000001</v>
      </c>
      <c r="AC89" s="1481">
        <f t="shared" ca="1" si="16"/>
        <v>107.27479633428349</v>
      </c>
      <c r="AD89" s="1504">
        <f t="shared" ca="1" si="17"/>
        <v>2.316208065338528</v>
      </c>
      <c r="AE89" s="335">
        <f t="shared" ca="1" si="29"/>
        <v>46.31483584727291</v>
      </c>
      <c r="AF89" s="698" t="str">
        <f t="shared" ca="1" si="18"/>
        <v xml:space="preserve"> </v>
      </c>
    </row>
    <row r="90" spans="1:32">
      <c r="A90" s="672">
        <f ca="1">'Plant Operations'!A90</f>
        <v>38626</v>
      </c>
      <c r="C90" s="1503">
        <f ca="1">IF($A90&gt;Endyr,0,VLOOKUP($A90,Tariff_Table,Tariff!$D$33))</f>
        <v>9710.486815415823</v>
      </c>
      <c r="E90" s="691">
        <f ca="1">VLOOKUP($A90,Tariff_Table,Tariff!$E$33)</f>
        <v>0.98599954696882786</v>
      </c>
      <c r="F90" s="1481">
        <f t="shared" ca="1" si="19"/>
        <v>9574.535600846777</v>
      </c>
      <c r="G90" s="1480">
        <f ca="1">VLOOKUP($A90,Curves_Table,Escalation!$N$291)</f>
        <v>1.2346229437596627</v>
      </c>
      <c r="H90" s="1481">
        <f t="shared" ca="1" si="20"/>
        <v>11820.94132864914</v>
      </c>
      <c r="I90" s="1504">
        <f ca="1">IF(Assm!$L$74=0,VLOOKUP($A90,Curves_Table,Escalation!$D$291),VLOOKUP($A90,Curves_Table,Escalation!$E$291))</f>
        <v>2.3216289194457573</v>
      </c>
      <c r="J90" s="1504">
        <f ca="1">IF($A90&lt;EE_Date,VLOOKUP($A90,Curves_Table,Escalation!$D$291),Exch)</f>
        <v>1.0649999999999999</v>
      </c>
      <c r="K90" s="1505">
        <f t="shared" ca="1" si="21"/>
        <v>25768.863139590048</v>
      </c>
      <c r="M90" s="691">
        <f ca="1">VLOOKUP($A90,Tariff_Table,Tariff!$F$33)</f>
        <v>1.4000453031172144E-2</v>
      </c>
      <c r="N90" s="1481">
        <f t="shared" ca="1" si="22"/>
        <v>135.95121456904559</v>
      </c>
      <c r="O90" s="1480">
        <f ca="1">VLOOKUP($A90,Curves_Table,Escalation!$R$291)</f>
        <v>1.9513768310631414</v>
      </c>
      <c r="P90" s="1505">
        <f t="shared" ca="1" si="23"/>
        <v>265.29205026492934</v>
      </c>
      <c r="R90" s="1506">
        <f t="shared" ca="1" si="24"/>
        <v>26034.155189854977</v>
      </c>
      <c r="S90" s="330">
        <f ca="1">'Plant Operations'!C90</f>
        <v>480</v>
      </c>
      <c r="T90" s="1481">
        <f t="shared" ca="1" si="25"/>
        <v>12496.39449113039</v>
      </c>
      <c r="U90" s="1504">
        <f t="shared" ca="1" si="26"/>
        <v>2.3216289194457573</v>
      </c>
      <c r="V90" s="384">
        <f t="shared" ca="1" si="27"/>
        <v>5382.5977039059517</v>
      </c>
      <c r="W90" s="692" t="str">
        <f t="shared" ca="1" si="15"/>
        <v xml:space="preserve"> </v>
      </c>
      <c r="Y90" s="1507">
        <f ca="1">IF($A90&gt;Endyr,0,VLOOKUP($A90,Tariff_Table,Tariff!$J$33))</f>
        <v>0.19</v>
      </c>
      <c r="Z90" s="1504">
        <f ca="1">VLOOKUP($A90,Curves_Table,Escalation!$AH$291)</f>
        <v>1.9513768310631414</v>
      </c>
      <c r="AA90" s="1504">
        <f t="shared" ca="1" si="28"/>
        <v>0.37076159790199686</v>
      </c>
      <c r="AB90" s="334">
        <f ca="1">'Plant Operations'!$I90+'Plant Operations'!$M90</f>
        <v>298980.864</v>
      </c>
      <c r="AC90" s="1481">
        <f t="shared" ca="1" si="16"/>
        <v>110.85062287875961</v>
      </c>
      <c r="AD90" s="1504">
        <f t="shared" ca="1" si="17"/>
        <v>2.3216289194457573</v>
      </c>
      <c r="AE90" s="335">
        <f t="shared" ca="1" si="29"/>
        <v>47.746916809264675</v>
      </c>
      <c r="AF90" s="698" t="str">
        <f t="shared" ca="1" si="18"/>
        <v xml:space="preserve"> </v>
      </c>
    </row>
    <row r="91" spans="1:32">
      <c r="A91" s="672">
        <f ca="1">'Plant Operations'!A91</f>
        <v>38657</v>
      </c>
      <c r="C91" s="1503">
        <f ca="1">IF($A91&gt;Endyr,0,VLOOKUP($A91,Tariff_Table,Tariff!$D$33))</f>
        <v>9710.486815415823</v>
      </c>
      <c r="E91" s="691">
        <f ca="1">VLOOKUP($A91,Tariff_Table,Tariff!$E$33)</f>
        <v>0.98599954696882786</v>
      </c>
      <c r="F91" s="1481">
        <f t="shared" ca="1" si="19"/>
        <v>9574.535600846777</v>
      </c>
      <c r="G91" s="1480">
        <f ca="1">VLOOKUP($A91,Curves_Table,Escalation!$N$291)</f>
        <v>1.2346229437596627</v>
      </c>
      <c r="H91" s="1481">
        <f t="shared" ca="1" si="20"/>
        <v>11820.94132864914</v>
      </c>
      <c r="I91" s="1504">
        <f ca="1">IF(Assm!$L$74=0,VLOOKUP($A91,Curves_Table,Escalation!$D$291),VLOOKUP($A91,Curves_Table,Escalation!$E$291))</f>
        <v>2.3270624605216974</v>
      </c>
      <c r="J91" s="1504">
        <f ca="1">IF($A91&lt;EE_Date,VLOOKUP($A91,Curves_Table,Escalation!$D$291),Exch)</f>
        <v>1.0649999999999999</v>
      </c>
      <c r="K91" s="1505">
        <f t="shared" ca="1" si="21"/>
        <v>25829.172595238397</v>
      </c>
      <c r="M91" s="691">
        <f ca="1">VLOOKUP($A91,Tariff_Table,Tariff!$F$33)</f>
        <v>1.4000453031172144E-2</v>
      </c>
      <c r="N91" s="1481">
        <f t="shared" ca="1" si="22"/>
        <v>135.95121456904559</v>
      </c>
      <c r="O91" s="1480">
        <f ca="1">VLOOKUP($A91,Curves_Table,Escalation!$R$291)</f>
        <v>1.9513768310631414</v>
      </c>
      <c r="P91" s="1505">
        <f t="shared" ca="1" si="23"/>
        <v>265.29205026492934</v>
      </c>
      <c r="R91" s="1506">
        <f t="shared" ca="1" si="24"/>
        <v>26094.464645503325</v>
      </c>
      <c r="S91" s="330">
        <f ca="1">'Plant Operations'!C91</f>
        <v>480</v>
      </c>
      <c r="T91" s="1481">
        <f t="shared" ca="1" si="25"/>
        <v>12525.343029841597</v>
      </c>
      <c r="U91" s="1504">
        <f t="shared" ca="1" si="26"/>
        <v>2.3270624605216974</v>
      </c>
      <c r="V91" s="384">
        <f t="shared" ca="1" si="27"/>
        <v>5382.4696338548547</v>
      </c>
      <c r="W91" s="692" t="str">
        <f t="shared" ca="1" si="15"/>
        <v xml:space="preserve"> </v>
      </c>
      <c r="Y91" s="1507">
        <f ca="1">IF($A91&gt;Endyr,0,VLOOKUP($A91,Tariff_Table,Tariff!$J$33))</f>
        <v>0.19</v>
      </c>
      <c r="Z91" s="1504">
        <f ca="1">VLOOKUP($A91,Curves_Table,Escalation!$AH$291)</f>
        <v>1.9513768310631414</v>
      </c>
      <c r="AA91" s="1504">
        <f t="shared" ca="1" si="28"/>
        <v>0.37076159790199686</v>
      </c>
      <c r="AB91" s="334">
        <f ca="1">'Plant Operations'!$I91+'Plant Operations'!$M91</f>
        <v>289336.32000000001</v>
      </c>
      <c r="AC91" s="1481">
        <f t="shared" ca="1" si="16"/>
        <v>107.27479633428349</v>
      </c>
      <c r="AD91" s="1504">
        <f t="shared" ca="1" si="17"/>
        <v>2.3270624605216974</v>
      </c>
      <c r="AE91" s="335">
        <f t="shared" ca="1" si="29"/>
        <v>46.09880403048308</v>
      </c>
      <c r="AF91" s="698" t="str">
        <f t="shared" ca="1" si="18"/>
        <v xml:space="preserve"> </v>
      </c>
    </row>
    <row r="92" spans="1:32">
      <c r="A92" s="672">
        <f ca="1">'Plant Operations'!A92</f>
        <v>38687</v>
      </c>
      <c r="C92" s="1503">
        <f ca="1">IF($A92&gt;Endyr,0,VLOOKUP($A92,Tariff_Table,Tariff!$D$33))</f>
        <v>9710.486815415823</v>
      </c>
      <c r="E92" s="691">
        <f ca="1">VLOOKUP($A92,Tariff_Table,Tariff!$E$33)</f>
        <v>0.98599954696882786</v>
      </c>
      <c r="F92" s="1481">
        <f t="shared" ca="1" si="19"/>
        <v>9574.535600846777</v>
      </c>
      <c r="G92" s="1480">
        <f ca="1">VLOOKUP($A92,Curves_Table,Escalation!$N$291)</f>
        <v>1.2346229437596627</v>
      </c>
      <c r="H92" s="1481">
        <f t="shared" ca="1" si="20"/>
        <v>11820.94132864914</v>
      </c>
      <c r="I92" s="1504">
        <f ca="1">IF(Assm!$L$74=0,VLOOKUP($A92,Curves_Table,Escalation!$D$291),VLOOKUP($A92,Curves_Table,Escalation!$E$291))</f>
        <v>2.3325087182589361</v>
      </c>
      <c r="J92" s="1504">
        <f ca="1">IF($A92&lt;EE_Date,VLOOKUP($A92,Curves_Table,Escalation!$D$291),Exch)</f>
        <v>1.0649999999999999</v>
      </c>
      <c r="K92" s="1505">
        <f t="shared" ca="1" si="21"/>
        <v>25889.623199156333</v>
      </c>
      <c r="M92" s="691">
        <f ca="1">VLOOKUP($A92,Tariff_Table,Tariff!$F$33)</f>
        <v>1.4000453031172144E-2</v>
      </c>
      <c r="N92" s="1481">
        <f t="shared" ca="1" si="22"/>
        <v>135.95121456904559</v>
      </c>
      <c r="O92" s="1480">
        <f ca="1">VLOOKUP($A92,Curves_Table,Escalation!$R$291)</f>
        <v>1.9513768310631414</v>
      </c>
      <c r="P92" s="1505">
        <f t="shared" ca="1" si="23"/>
        <v>265.29205026492934</v>
      </c>
      <c r="R92" s="1506">
        <f t="shared" ca="1" si="24"/>
        <v>26154.915249421261</v>
      </c>
      <c r="S92" s="330">
        <f ca="1">'Plant Operations'!C92</f>
        <v>480</v>
      </c>
      <c r="T92" s="1481">
        <f t="shared" ca="1" si="25"/>
        <v>12554.359319722205</v>
      </c>
      <c r="U92" s="1504">
        <f t="shared" ca="1" si="26"/>
        <v>2.3325087182589361</v>
      </c>
      <c r="V92" s="384">
        <f t="shared" ca="1" si="27"/>
        <v>5382.3418628390837</v>
      </c>
      <c r="W92" s="692">
        <f t="shared" ca="1" si="15"/>
        <v>64164.405320004807</v>
      </c>
      <c r="Y92" s="1507">
        <f ca="1">IF($A92&gt;Endyr,0,VLOOKUP($A92,Tariff_Table,Tariff!$J$33))</f>
        <v>0.19</v>
      </c>
      <c r="Z92" s="1504">
        <f ca="1">VLOOKUP($A92,Curves_Table,Escalation!$AH$291)</f>
        <v>1.9513768310631414</v>
      </c>
      <c r="AA92" s="1504">
        <f t="shared" ca="1" si="28"/>
        <v>0.37076159790199686</v>
      </c>
      <c r="AB92" s="334">
        <f ca="1">'Plant Operations'!$I92+'Plant Operations'!$M92</f>
        <v>298980.864</v>
      </c>
      <c r="AC92" s="1481">
        <f t="shared" ca="1" si="16"/>
        <v>110.85062287875961</v>
      </c>
      <c r="AD92" s="1504">
        <f t="shared" ca="1" si="17"/>
        <v>2.3325087182589361</v>
      </c>
      <c r="AE92" s="335">
        <f t="shared" ca="1" si="29"/>
        <v>47.524205166316499</v>
      </c>
      <c r="AF92" s="698">
        <f t="shared" ca="1" si="18"/>
        <v>553.12043744124298</v>
      </c>
    </row>
    <row r="93" spans="1:32">
      <c r="A93" s="672">
        <f ca="1">'Plant Operations'!A93</f>
        <v>38718</v>
      </c>
      <c r="C93" s="1503">
        <f ca="1">IF($A93&gt;Endyr,0,VLOOKUP($A93,Tariff_Table,Tariff!$D$33))</f>
        <v>9710.486815415823</v>
      </c>
      <c r="E93" s="691">
        <f ca="1">VLOOKUP($A93,Tariff_Table,Tariff!$E$33)</f>
        <v>0.98599954696882786</v>
      </c>
      <c r="F93" s="1481">
        <f t="shared" ca="1" si="19"/>
        <v>9574.535600846777</v>
      </c>
      <c r="G93" s="1480">
        <f ca="1">VLOOKUP($A93,Curves_Table,Escalation!$N$291)</f>
        <v>1.2346229437596627</v>
      </c>
      <c r="H93" s="1481">
        <f t="shared" ca="1" si="20"/>
        <v>11820.94132864914</v>
      </c>
      <c r="I93" s="1504">
        <f ca="1">IF(Assm!$L$74=0,VLOOKUP($A93,Curves_Table,Escalation!$D$291),VLOOKUP($A93,Curves_Table,Escalation!$E$291))</f>
        <v>2.3378826174225127</v>
      </c>
      <c r="J93" s="1504">
        <f ca="1">IF($A93&lt;EE_Date,VLOOKUP($A93,Curves_Table,Escalation!$D$291),Exch)</f>
        <v>1.0649999999999999</v>
      </c>
      <c r="K93" s="1505">
        <f t="shared" ca="1" si="21"/>
        <v>25949.270660864044</v>
      </c>
      <c r="M93" s="691">
        <f ca="1">VLOOKUP($A93,Tariff_Table,Tariff!$F$33)</f>
        <v>1.4000453031172144E-2</v>
      </c>
      <c r="N93" s="1481">
        <f t="shared" ca="1" si="22"/>
        <v>135.95121456904559</v>
      </c>
      <c r="O93" s="1480">
        <f ca="1">VLOOKUP($A93,Curves_Table,Escalation!$R$291)</f>
        <v>1.9513768310631414</v>
      </c>
      <c r="P93" s="1505">
        <f t="shared" ca="1" si="23"/>
        <v>265.29205026492934</v>
      </c>
      <c r="R93" s="1506">
        <f t="shared" ca="1" si="24"/>
        <v>26214.562711128972</v>
      </c>
      <c r="S93" s="330">
        <f ca="1">'Plant Operations'!C93</f>
        <v>480</v>
      </c>
      <c r="T93" s="1481">
        <f t="shared" ca="1" si="25"/>
        <v>12582.990101341908</v>
      </c>
      <c r="U93" s="1504">
        <f t="shared" ca="1" si="26"/>
        <v>2.3378826174225127</v>
      </c>
      <c r="V93" s="384">
        <f t="shared" ca="1" si="27"/>
        <v>5382.2163728709793</v>
      </c>
      <c r="W93" s="692" t="str">
        <f t="shared" ca="1" si="15"/>
        <v xml:space="preserve"> </v>
      </c>
      <c r="Y93" s="1507">
        <f ca="1">IF($A93&gt;Endyr,0,VLOOKUP($A93,Tariff_Table,Tariff!$J$33))</f>
        <v>0.19</v>
      </c>
      <c r="Z93" s="1504">
        <f ca="1">VLOOKUP($A93,Curves_Table,Escalation!$AH$291)</f>
        <v>1.9513768310631414</v>
      </c>
      <c r="AA93" s="1504">
        <f t="shared" ca="1" si="28"/>
        <v>0.37076159790199686</v>
      </c>
      <c r="AB93" s="334">
        <f ca="1">'Plant Operations'!$I93+'Plant Operations'!$M93</f>
        <v>298980.864</v>
      </c>
      <c r="AC93" s="1481">
        <f t="shared" ca="1" si="16"/>
        <v>110.85062287875961</v>
      </c>
      <c r="AD93" s="1504">
        <f t="shared" ca="1" si="17"/>
        <v>2.3378826174225127</v>
      </c>
      <c r="AE93" s="335">
        <f t="shared" ca="1" si="29"/>
        <v>47.414965170907976</v>
      </c>
      <c r="AF93" s="698" t="str">
        <f t="shared" ca="1" si="18"/>
        <v xml:space="preserve"> </v>
      </c>
    </row>
    <row r="94" spans="1:32">
      <c r="A94" s="672">
        <f ca="1">'Plant Operations'!A94</f>
        <v>38749</v>
      </c>
      <c r="C94" s="1503">
        <f ca="1">IF($A94&gt;Endyr,0,VLOOKUP($A94,Tariff_Table,Tariff!$D$33))</f>
        <v>9710.486815415823</v>
      </c>
      <c r="E94" s="691">
        <f ca="1">VLOOKUP($A94,Tariff_Table,Tariff!$E$33)</f>
        <v>0.98599954696882786</v>
      </c>
      <c r="F94" s="1481">
        <f t="shared" ca="1" si="19"/>
        <v>9574.535600846777</v>
      </c>
      <c r="G94" s="1480">
        <f ca="1">VLOOKUP($A94,Curves_Table,Escalation!$N$291)</f>
        <v>1.2346229437596627</v>
      </c>
      <c r="H94" s="1481">
        <f t="shared" ca="1" si="20"/>
        <v>11820.94132864914</v>
      </c>
      <c r="I94" s="1504">
        <f ca="1">IF(Assm!$L$74=0,VLOOKUP($A94,Curves_Table,Escalation!$D$291),VLOOKUP($A94,Curves_Table,Escalation!$E$291))</f>
        <v>2.3432688975868521</v>
      </c>
      <c r="J94" s="1504">
        <f ca="1">IF($A94&lt;EE_Date,VLOOKUP($A94,Curves_Table,Escalation!$D$291),Exch)</f>
        <v>1.0649999999999999</v>
      </c>
      <c r="K94" s="1505">
        <f t="shared" ca="1" si="21"/>
        <v>26009.055545185474</v>
      </c>
      <c r="M94" s="691">
        <f ca="1">VLOOKUP($A94,Tariff_Table,Tariff!$F$33)</f>
        <v>1.4000453031172144E-2</v>
      </c>
      <c r="N94" s="1481">
        <f t="shared" ca="1" si="22"/>
        <v>135.95121456904559</v>
      </c>
      <c r="O94" s="1480">
        <f ca="1">VLOOKUP($A94,Curves_Table,Escalation!$R$291)</f>
        <v>1.9513768310631414</v>
      </c>
      <c r="P94" s="1505">
        <f t="shared" ca="1" si="23"/>
        <v>265.29205026492934</v>
      </c>
      <c r="R94" s="1506">
        <f t="shared" ca="1" si="24"/>
        <v>26274.347595450403</v>
      </c>
      <c r="S94" s="330">
        <f ca="1">'Plant Operations'!C94</f>
        <v>480</v>
      </c>
      <c r="T94" s="1481">
        <f t="shared" ca="1" si="25"/>
        <v>12611.686845816193</v>
      </c>
      <c r="U94" s="1504">
        <f t="shared" ca="1" si="26"/>
        <v>2.3432688975868521</v>
      </c>
      <c r="V94" s="384">
        <f t="shared" ca="1" si="27"/>
        <v>5382.0911713563801</v>
      </c>
      <c r="W94" s="692" t="str">
        <f t="shared" ca="1" si="15"/>
        <v xml:space="preserve"> </v>
      </c>
      <c r="Y94" s="1507">
        <f ca="1">IF($A94&gt;Endyr,0,VLOOKUP($A94,Tariff_Table,Tariff!$J$33))</f>
        <v>0.19</v>
      </c>
      <c r="Z94" s="1504">
        <f ca="1">VLOOKUP($A94,Curves_Table,Escalation!$AH$291)</f>
        <v>1.9513768310631414</v>
      </c>
      <c r="AA94" s="1504">
        <f t="shared" ca="1" si="28"/>
        <v>0.37076159790199686</v>
      </c>
      <c r="AB94" s="334">
        <f ca="1">'Plant Operations'!$I94+'Plant Operations'!$M94</f>
        <v>270047.23200000002</v>
      </c>
      <c r="AC94" s="1481">
        <f t="shared" ca="1" si="16"/>
        <v>100.12314324533128</v>
      </c>
      <c r="AD94" s="1504">
        <f t="shared" ca="1" si="17"/>
        <v>2.3432688975868521</v>
      </c>
      <c r="AE94" s="335">
        <f t="shared" ca="1" si="29"/>
        <v>42.72797857234405</v>
      </c>
      <c r="AF94" s="698" t="str">
        <f t="shared" ca="1" si="18"/>
        <v xml:space="preserve"> </v>
      </c>
    </row>
    <row r="95" spans="1:32">
      <c r="A95" s="672">
        <f ca="1">'Plant Operations'!A95</f>
        <v>38777</v>
      </c>
      <c r="C95" s="1503">
        <f ca="1">IF($A95&gt;Endyr,0,VLOOKUP($A95,Tariff_Table,Tariff!$D$33))</f>
        <v>9710.486815415823</v>
      </c>
      <c r="E95" s="691">
        <f ca="1">VLOOKUP($A95,Tariff_Table,Tariff!$E$33)</f>
        <v>0.98599954696882786</v>
      </c>
      <c r="F95" s="1481">
        <f t="shared" ca="1" si="19"/>
        <v>9574.535600846777</v>
      </c>
      <c r="G95" s="1480">
        <f ca="1">VLOOKUP($A95,Curves_Table,Escalation!$N$291)</f>
        <v>1.2346229437596627</v>
      </c>
      <c r="H95" s="1481">
        <f t="shared" ca="1" si="20"/>
        <v>11820.94132864914</v>
      </c>
      <c r="I95" s="1504">
        <f ca="1">IF(Assm!$L$74=0,VLOOKUP($A95,Curves_Table,Escalation!$D$291),VLOOKUP($A95,Curves_Table,Escalation!$E$291))</f>
        <v>2.3486675872767138</v>
      </c>
      <c r="J95" s="1504">
        <f ca="1">IF($A95&lt;EE_Date,VLOOKUP($A95,Curves_Table,Escalation!$D$291),Exch)</f>
        <v>1.0649999999999999</v>
      </c>
      <c r="K95" s="1505">
        <f t="shared" ca="1" si="21"/>
        <v>26068.978168730486</v>
      </c>
      <c r="M95" s="691">
        <f ca="1">VLOOKUP($A95,Tariff_Table,Tariff!$F$33)</f>
        <v>1.4000453031172144E-2</v>
      </c>
      <c r="N95" s="1481">
        <f t="shared" ca="1" si="22"/>
        <v>135.95121456904559</v>
      </c>
      <c r="O95" s="1480">
        <f ca="1">VLOOKUP($A95,Curves_Table,Escalation!$R$291)</f>
        <v>1.9513768310631414</v>
      </c>
      <c r="P95" s="1505">
        <f t="shared" ca="1" si="23"/>
        <v>265.29205026492934</v>
      </c>
      <c r="R95" s="1506">
        <f t="shared" ca="1" si="24"/>
        <v>26334.270218995414</v>
      </c>
      <c r="S95" s="330">
        <f ca="1">'Plant Operations'!C95</f>
        <v>480</v>
      </c>
      <c r="T95" s="1481">
        <f t="shared" ca="1" si="25"/>
        <v>12640.449705117799</v>
      </c>
      <c r="U95" s="1504">
        <f t="shared" ca="1" si="26"/>
        <v>2.3486675872767138</v>
      </c>
      <c r="V95" s="384">
        <f t="shared" ca="1" si="27"/>
        <v>5381.9662576322407</v>
      </c>
      <c r="W95" s="692" t="str">
        <f t="shared" ca="1" si="15"/>
        <v xml:space="preserve"> </v>
      </c>
      <c r="Y95" s="1507">
        <f ca="1">IF($A95&gt;Endyr,0,VLOOKUP($A95,Tariff_Table,Tariff!$J$33))</f>
        <v>0.19</v>
      </c>
      <c r="Z95" s="1504">
        <f ca="1">VLOOKUP($A95,Curves_Table,Escalation!$AH$291)</f>
        <v>1.9513768310631414</v>
      </c>
      <c r="AA95" s="1504">
        <f t="shared" ca="1" si="28"/>
        <v>0.37076159790199686</v>
      </c>
      <c r="AB95" s="334">
        <f ca="1">'Plant Operations'!$I95+'Plant Operations'!$M95</f>
        <v>298980.864</v>
      </c>
      <c r="AC95" s="1481">
        <f t="shared" ca="1" si="16"/>
        <v>110.85062287875961</v>
      </c>
      <c r="AD95" s="1504">
        <f t="shared" ca="1" si="17"/>
        <v>2.3486675872767138</v>
      </c>
      <c r="AE95" s="335">
        <f t="shared" ca="1" si="29"/>
        <v>47.197237905978511</v>
      </c>
      <c r="AF95" s="698" t="str">
        <f t="shared" ca="1" si="18"/>
        <v xml:space="preserve"> </v>
      </c>
    </row>
    <row r="96" spans="1:32">
      <c r="A96" s="672">
        <f ca="1">'Plant Operations'!A96</f>
        <v>38808</v>
      </c>
      <c r="C96" s="1503">
        <f ca="1">IF($A96&gt;Endyr,0,VLOOKUP($A96,Tariff_Table,Tariff!$D$33))</f>
        <v>9710.486815415823</v>
      </c>
      <c r="E96" s="691">
        <f ca="1">VLOOKUP($A96,Tariff_Table,Tariff!$E$33)</f>
        <v>0.98599954696882786</v>
      </c>
      <c r="F96" s="1481">
        <f t="shared" ca="1" si="19"/>
        <v>9574.535600846777</v>
      </c>
      <c r="G96" s="1480">
        <f ca="1">VLOOKUP($A96,Curves_Table,Escalation!$N$291)</f>
        <v>1.2346229437596627</v>
      </c>
      <c r="H96" s="1481">
        <f t="shared" ca="1" si="20"/>
        <v>11820.94132864914</v>
      </c>
      <c r="I96" s="1504">
        <f ca="1">IF(Assm!$L$74=0,VLOOKUP($A96,Curves_Table,Escalation!$D$291),VLOOKUP($A96,Curves_Table,Escalation!$E$291))</f>
        <v>2.3540787150825753</v>
      </c>
      <c r="J96" s="1504">
        <f ca="1">IF($A96&lt;EE_Date,VLOOKUP($A96,Curves_Table,Escalation!$D$291),Exch)</f>
        <v>1.0649999999999999</v>
      </c>
      <c r="K96" s="1505">
        <f t="shared" ca="1" si="21"/>
        <v>26129.038848838383</v>
      </c>
      <c r="M96" s="691">
        <f ca="1">VLOOKUP($A96,Tariff_Table,Tariff!$F$33)</f>
        <v>1.4000453031172144E-2</v>
      </c>
      <c r="N96" s="1481">
        <f t="shared" ca="1" si="22"/>
        <v>135.95121456904559</v>
      </c>
      <c r="O96" s="1480">
        <f ca="1">VLOOKUP($A96,Curves_Table,Escalation!$R$291)</f>
        <v>1.9513768310631414</v>
      </c>
      <c r="P96" s="1505">
        <f t="shared" ca="1" si="23"/>
        <v>265.29205026492934</v>
      </c>
      <c r="R96" s="1506">
        <f t="shared" ca="1" si="24"/>
        <v>26394.330899103312</v>
      </c>
      <c r="S96" s="330">
        <f ca="1">'Plant Operations'!C96</f>
        <v>480</v>
      </c>
      <c r="T96" s="1481">
        <f t="shared" ca="1" si="25"/>
        <v>12669.278831569589</v>
      </c>
      <c r="U96" s="1504">
        <f t="shared" ca="1" si="26"/>
        <v>2.3540787150825753</v>
      </c>
      <c r="V96" s="384">
        <f t="shared" ca="1" si="27"/>
        <v>5381.8416310370412</v>
      </c>
      <c r="W96" s="692" t="str">
        <f t="shared" ca="1" si="15"/>
        <v xml:space="preserve"> </v>
      </c>
      <c r="Y96" s="1507">
        <f ca="1">IF($A96&gt;Endyr,0,VLOOKUP($A96,Tariff_Table,Tariff!$J$33))</f>
        <v>0.19</v>
      </c>
      <c r="Z96" s="1504">
        <f ca="1">VLOOKUP($A96,Curves_Table,Escalation!$AH$291)</f>
        <v>1.9513768310631414</v>
      </c>
      <c r="AA96" s="1504">
        <f t="shared" ca="1" si="28"/>
        <v>0.37076159790199686</v>
      </c>
      <c r="AB96" s="334">
        <f ca="1">'Plant Operations'!$I96+'Plant Operations'!$M96</f>
        <v>289336.32000000001</v>
      </c>
      <c r="AC96" s="1481">
        <f t="shared" ca="1" si="16"/>
        <v>107.27479633428349</v>
      </c>
      <c r="AD96" s="1504">
        <f t="shared" ca="1" si="17"/>
        <v>2.3540787150825753</v>
      </c>
      <c r="AE96" s="335">
        <f t="shared" ca="1" si="29"/>
        <v>45.569757564593822</v>
      </c>
      <c r="AF96" s="698" t="str">
        <f t="shared" ca="1" si="18"/>
        <v xml:space="preserve"> </v>
      </c>
    </row>
    <row r="97" spans="1:32">
      <c r="A97" s="672">
        <f ca="1">'Plant Operations'!A97</f>
        <v>38838</v>
      </c>
      <c r="C97" s="1503">
        <f ca="1">IF($A97&gt;Endyr,0,VLOOKUP($A97,Tariff_Table,Tariff!$D$33))</f>
        <v>9508.3383991894625</v>
      </c>
      <c r="E97" s="691">
        <f ca="1">VLOOKUP($A97,Tariff_Table,Tariff!$E$33)</f>
        <v>0.98700028098365578</v>
      </c>
      <c r="F97" s="1481">
        <f t="shared" ca="1" si="19"/>
        <v>9384.7326716876833</v>
      </c>
      <c r="G97" s="1480">
        <f ca="1">VLOOKUP($A97,Curves_Table,Escalation!$N$291)</f>
        <v>1.2691909562879884</v>
      </c>
      <c r="H97" s="1481">
        <f t="shared" ca="1" si="20"/>
        <v>11911.017834086419</v>
      </c>
      <c r="I97" s="1504">
        <f ca="1">IF(Assm!$L$74=0,VLOOKUP($A97,Curves_Table,Escalation!$D$291),VLOOKUP($A97,Curves_Table,Escalation!$E$291))</f>
        <v>2.3595023096607846</v>
      </c>
      <c r="J97" s="1504">
        <f ca="1">IF($A97&lt;EE_Date,VLOOKUP($A97,Curves_Table,Escalation!$D$291),Exch)</f>
        <v>1.0649999999999999</v>
      </c>
      <c r="K97" s="1505">
        <f t="shared" ca="1" si="21"/>
        <v>26388.801962382819</v>
      </c>
      <c r="M97" s="691">
        <f ca="1">VLOOKUP($A97,Tariff_Table,Tariff!$F$33)</f>
        <v>1.2999719016344224E-2</v>
      </c>
      <c r="N97" s="1481">
        <f t="shared" ca="1" si="22"/>
        <v>123.60572750177926</v>
      </c>
      <c r="O97" s="1480">
        <f ca="1">VLOOKUP($A97,Curves_Table,Escalation!$R$291)</f>
        <v>2.0977300933928777</v>
      </c>
      <c r="P97" s="1505">
        <f t="shared" ca="1" si="23"/>
        <v>259.29145429620201</v>
      </c>
      <c r="R97" s="1506">
        <f t="shared" ca="1" si="24"/>
        <v>26648.093416679021</v>
      </c>
      <c r="S97" s="330">
        <f ca="1">'Plant Operations'!C97</f>
        <v>480</v>
      </c>
      <c r="T97" s="1481">
        <f t="shared" ca="1" si="25"/>
        <v>12791.084840005931</v>
      </c>
      <c r="U97" s="1504">
        <f t="shared" ca="1" si="26"/>
        <v>2.3595023096607846</v>
      </c>
      <c r="V97" s="384">
        <f t="shared" ca="1" si="27"/>
        <v>5421.0944348873518</v>
      </c>
      <c r="W97" s="692" t="str">
        <f t="shared" ca="1" si="15"/>
        <v xml:space="preserve"> </v>
      </c>
      <c r="Y97" s="1507">
        <f ca="1">IF($A97&gt;Endyr,0,VLOOKUP($A97,Tariff_Table,Tariff!$J$33))</f>
        <v>0.19</v>
      </c>
      <c r="Z97" s="1504">
        <f ca="1">VLOOKUP($A97,Curves_Table,Escalation!$AH$291)</f>
        <v>2.0977300933928777</v>
      </c>
      <c r="AA97" s="1504">
        <f t="shared" ca="1" si="28"/>
        <v>0.39856871774464675</v>
      </c>
      <c r="AB97" s="334">
        <f ca="1">'Plant Operations'!$I97+'Plant Operations'!$M97</f>
        <v>298980.864</v>
      </c>
      <c r="AC97" s="1481">
        <f t="shared" ca="1" si="16"/>
        <v>119.16441959466661</v>
      </c>
      <c r="AD97" s="1504">
        <f t="shared" ca="1" si="17"/>
        <v>2.3595023096607846</v>
      </c>
      <c r="AE97" s="335">
        <f t="shared" ca="1" si="29"/>
        <v>50.504048716866215</v>
      </c>
      <c r="AF97" s="698" t="str">
        <f t="shared" ca="1" si="18"/>
        <v xml:space="preserve"> </v>
      </c>
    </row>
    <row r="98" spans="1:32">
      <c r="A98" s="672">
        <f ca="1">'Plant Operations'!A98</f>
        <v>38869</v>
      </c>
      <c r="C98" s="1503">
        <f ca="1">IF($A98&gt;Endyr,0,VLOOKUP($A98,Tariff_Table,Tariff!$D$33))</f>
        <v>9508.3383991894625</v>
      </c>
      <c r="E98" s="691">
        <f ca="1">VLOOKUP($A98,Tariff_Table,Tariff!$E$33)</f>
        <v>0.98700028098365578</v>
      </c>
      <c r="F98" s="1481">
        <f t="shared" ca="1" si="19"/>
        <v>9384.7326716876833</v>
      </c>
      <c r="G98" s="1480">
        <f ca="1">VLOOKUP($A98,Curves_Table,Escalation!$N$291)</f>
        <v>1.2691909562879884</v>
      </c>
      <c r="H98" s="1481">
        <f t="shared" ca="1" si="20"/>
        <v>11911.017834086419</v>
      </c>
      <c r="I98" s="1504">
        <f ca="1">IF(Assm!$L$74=0,VLOOKUP($A98,Curves_Table,Escalation!$D$291),VLOOKUP($A98,Curves_Table,Escalation!$E$291))</f>
        <v>2.3649383997337114</v>
      </c>
      <c r="J98" s="1504">
        <f ca="1">IF($A98&lt;EE_Date,VLOOKUP($A98,Curves_Table,Escalation!$D$291),Exch)</f>
        <v>1.0649999999999999</v>
      </c>
      <c r="K98" s="1505">
        <f t="shared" ca="1" si="21"/>
        <v>26449.599488961536</v>
      </c>
      <c r="M98" s="691">
        <f ca="1">VLOOKUP($A98,Tariff_Table,Tariff!$F$33)</f>
        <v>1.2999719016344224E-2</v>
      </c>
      <c r="N98" s="1481">
        <f t="shared" ca="1" si="22"/>
        <v>123.60572750177926</v>
      </c>
      <c r="O98" s="1480">
        <f ca="1">VLOOKUP($A98,Curves_Table,Escalation!$R$291)</f>
        <v>2.0977300933928777</v>
      </c>
      <c r="P98" s="1505">
        <f t="shared" ca="1" si="23"/>
        <v>259.29145429620201</v>
      </c>
      <c r="R98" s="1506">
        <f t="shared" ca="1" si="24"/>
        <v>26708.890943257738</v>
      </c>
      <c r="S98" s="330">
        <f ca="1">'Plant Operations'!C98</f>
        <v>480</v>
      </c>
      <c r="T98" s="1481">
        <f t="shared" ca="1" si="25"/>
        <v>12820.267652763716</v>
      </c>
      <c r="U98" s="1504">
        <f t="shared" ca="1" si="26"/>
        <v>2.3649383997337114</v>
      </c>
      <c r="V98" s="384">
        <f t="shared" ca="1" si="27"/>
        <v>5420.9731865351159</v>
      </c>
      <c r="W98" s="692" t="str">
        <f t="shared" ca="1" si="15"/>
        <v xml:space="preserve"> </v>
      </c>
      <c r="Y98" s="1507">
        <f ca="1">IF($A98&gt;Endyr,0,VLOOKUP($A98,Tariff_Table,Tariff!$J$33))</f>
        <v>0.19</v>
      </c>
      <c r="Z98" s="1504">
        <f ca="1">VLOOKUP($A98,Curves_Table,Escalation!$AH$291)</f>
        <v>2.0977300933928777</v>
      </c>
      <c r="AA98" s="1504">
        <f t="shared" ca="1" si="28"/>
        <v>0.39856871774464675</v>
      </c>
      <c r="AB98" s="334">
        <f ca="1">'Plant Operations'!$I98+'Plant Operations'!$M98</f>
        <v>289336.32000000001</v>
      </c>
      <c r="AC98" s="1481">
        <f t="shared" ca="1" si="16"/>
        <v>115.3204060593548</v>
      </c>
      <c r="AD98" s="1504">
        <f t="shared" ca="1" si="17"/>
        <v>2.3649383997337114</v>
      </c>
      <c r="AE98" s="335">
        <f t="shared" ca="1" si="29"/>
        <v>48.762541160623762</v>
      </c>
      <c r="AF98" s="698" t="str">
        <f t="shared" ca="1" si="18"/>
        <v xml:space="preserve"> </v>
      </c>
    </row>
    <row r="99" spans="1:32">
      <c r="A99" s="672">
        <f ca="1">'Plant Operations'!A99</f>
        <v>38899</v>
      </c>
      <c r="C99" s="1503">
        <f ca="1">IF($A99&gt;Endyr,0,VLOOKUP($A99,Tariff_Table,Tariff!$D$33))</f>
        <v>9508.3383991894625</v>
      </c>
      <c r="E99" s="691">
        <f ca="1">VLOOKUP($A99,Tariff_Table,Tariff!$E$33)</f>
        <v>0.98700028098365578</v>
      </c>
      <c r="F99" s="1481">
        <f t="shared" ca="1" si="19"/>
        <v>9384.7326716876833</v>
      </c>
      <c r="G99" s="1480">
        <f ca="1">VLOOKUP($A99,Curves_Table,Escalation!$N$291)</f>
        <v>1.2691909562879884</v>
      </c>
      <c r="H99" s="1481">
        <f t="shared" ca="1" si="20"/>
        <v>11911.017834086419</v>
      </c>
      <c r="I99" s="1504">
        <f ca="1">IF(Assm!$L$74=0,VLOOKUP($A99,Curves_Table,Escalation!$D$291),VLOOKUP($A99,Curves_Table,Escalation!$E$291))</f>
        <v>2.370387014089899</v>
      </c>
      <c r="J99" s="1504">
        <f ca="1">IF($A99&lt;EE_Date,VLOOKUP($A99,Curves_Table,Escalation!$D$291),Exch)</f>
        <v>1.0649999999999999</v>
      </c>
      <c r="K99" s="1505">
        <f t="shared" ca="1" si="21"/>
        <v>26510.537087804361</v>
      </c>
      <c r="M99" s="691">
        <f ca="1">VLOOKUP($A99,Tariff_Table,Tariff!$F$33)</f>
        <v>1.2999719016344224E-2</v>
      </c>
      <c r="N99" s="1481">
        <f t="shared" ca="1" si="22"/>
        <v>123.60572750177926</v>
      </c>
      <c r="O99" s="1480">
        <f ca="1">VLOOKUP($A99,Curves_Table,Escalation!$R$291)</f>
        <v>2.0977300933928777</v>
      </c>
      <c r="P99" s="1505">
        <f t="shared" ca="1" si="23"/>
        <v>259.29145429620201</v>
      </c>
      <c r="R99" s="1506">
        <f t="shared" ca="1" si="24"/>
        <v>26769.828542100564</v>
      </c>
      <c r="S99" s="330">
        <f ca="1">'Plant Operations'!C99</f>
        <v>480</v>
      </c>
      <c r="T99" s="1481">
        <f t="shared" ca="1" si="25"/>
        <v>12849.517700208271</v>
      </c>
      <c r="U99" s="1504">
        <f t="shared" ca="1" si="26"/>
        <v>2.370387014089899</v>
      </c>
      <c r="V99" s="384">
        <f t="shared" ca="1" si="27"/>
        <v>5420.8522168865293</v>
      </c>
      <c r="W99" s="692" t="str">
        <f t="shared" ca="1" si="15"/>
        <v xml:space="preserve"> </v>
      </c>
      <c r="Y99" s="1507">
        <f ca="1">IF($A99&gt;Endyr,0,VLOOKUP($A99,Tariff_Table,Tariff!$J$33))</f>
        <v>0.19</v>
      </c>
      <c r="Z99" s="1504">
        <f ca="1">VLOOKUP($A99,Curves_Table,Escalation!$AH$291)</f>
        <v>2.0977300933928777</v>
      </c>
      <c r="AA99" s="1504">
        <f t="shared" ca="1" si="28"/>
        <v>0.39856871774464675</v>
      </c>
      <c r="AB99" s="334">
        <f ca="1">'Plant Operations'!$I99+'Plant Operations'!$M99</f>
        <v>298980.864</v>
      </c>
      <c r="AC99" s="1481">
        <f t="shared" ca="1" si="16"/>
        <v>119.16441959466661</v>
      </c>
      <c r="AD99" s="1504">
        <f t="shared" ca="1" si="17"/>
        <v>2.370387014089899</v>
      </c>
      <c r="AE99" s="335">
        <f t="shared" ca="1" si="29"/>
        <v>50.272136527215714</v>
      </c>
      <c r="AF99" s="698" t="str">
        <f t="shared" ca="1" si="18"/>
        <v xml:space="preserve"> </v>
      </c>
    </row>
    <row r="100" spans="1:32">
      <c r="A100" s="672">
        <f ca="1">'Plant Operations'!A100</f>
        <v>38930</v>
      </c>
      <c r="C100" s="1503">
        <f ca="1">IF($A100&gt;Endyr,0,VLOOKUP($A100,Tariff_Table,Tariff!$D$33))</f>
        <v>9508.3383991894625</v>
      </c>
      <c r="E100" s="691">
        <f ca="1">VLOOKUP($A100,Tariff_Table,Tariff!$E$33)</f>
        <v>0.98700028098365578</v>
      </c>
      <c r="F100" s="1481">
        <f t="shared" ca="1" si="19"/>
        <v>9384.7326716876833</v>
      </c>
      <c r="G100" s="1480">
        <f ca="1">VLOOKUP($A100,Curves_Table,Escalation!$N$291)</f>
        <v>1.2691909562879884</v>
      </c>
      <c r="H100" s="1481">
        <f t="shared" ca="1" si="20"/>
        <v>11911.017834086419</v>
      </c>
      <c r="I100" s="1504">
        <f ca="1">IF(Assm!$L$74=0,VLOOKUP($A100,Curves_Table,Escalation!$D$291),VLOOKUP($A100,Curves_Table,Escalation!$E$291))</f>
        <v>2.3758481815842174</v>
      </c>
      <c r="J100" s="1504">
        <f ca="1">IF($A100&lt;EE_Date,VLOOKUP($A100,Curves_Table,Escalation!$D$291),Exch)</f>
        <v>1.0649999999999999</v>
      </c>
      <c r="K100" s="1505">
        <f t="shared" ca="1" si="21"/>
        <v>26571.615081625732</v>
      </c>
      <c r="M100" s="691">
        <f ca="1">VLOOKUP($A100,Tariff_Table,Tariff!$F$33)</f>
        <v>1.2999719016344224E-2</v>
      </c>
      <c r="N100" s="1481">
        <f t="shared" ca="1" si="22"/>
        <v>123.60572750177926</v>
      </c>
      <c r="O100" s="1480">
        <f ca="1">VLOOKUP($A100,Curves_Table,Escalation!$R$291)</f>
        <v>2.0977300933928777</v>
      </c>
      <c r="P100" s="1505">
        <f t="shared" ca="1" si="23"/>
        <v>259.29145429620201</v>
      </c>
      <c r="R100" s="1506">
        <f t="shared" ca="1" si="24"/>
        <v>26830.906535921935</v>
      </c>
      <c r="S100" s="330">
        <f ca="1">'Plant Operations'!C100</f>
        <v>480</v>
      </c>
      <c r="T100" s="1481">
        <f t="shared" ca="1" si="25"/>
        <v>12878.83513724253</v>
      </c>
      <c r="U100" s="1504">
        <f t="shared" ca="1" si="26"/>
        <v>2.3758481815842174</v>
      </c>
      <c r="V100" s="384">
        <f t="shared" ca="1" si="27"/>
        <v>5420.731525300961</v>
      </c>
      <c r="W100" s="692" t="str">
        <f t="shared" ca="1" si="15"/>
        <v xml:space="preserve"> </v>
      </c>
      <c r="Y100" s="1507">
        <f ca="1">IF($A100&gt;Endyr,0,VLOOKUP($A100,Tariff_Table,Tariff!$J$33))</f>
        <v>0.19</v>
      </c>
      <c r="Z100" s="1504">
        <f ca="1">VLOOKUP($A100,Curves_Table,Escalation!$AH$291)</f>
        <v>2.0977300933928777</v>
      </c>
      <c r="AA100" s="1504">
        <f t="shared" ca="1" si="28"/>
        <v>0.39856871774464675</v>
      </c>
      <c r="AB100" s="334">
        <f ca="1">'Plant Operations'!$I100+'Plant Operations'!$M100</f>
        <v>298980.864</v>
      </c>
      <c r="AC100" s="1481">
        <f t="shared" ca="1" si="16"/>
        <v>119.16441959466661</v>
      </c>
      <c r="AD100" s="1504">
        <f t="shared" ca="1" si="17"/>
        <v>2.3758481815842174</v>
      </c>
      <c r="AE100" s="335">
        <f t="shared" ca="1" si="29"/>
        <v>50.156580087203928</v>
      </c>
      <c r="AF100" s="698" t="str">
        <f t="shared" ca="1" si="18"/>
        <v xml:space="preserve"> </v>
      </c>
    </row>
    <row r="101" spans="1:32">
      <c r="A101" s="672">
        <f ca="1">'Plant Operations'!A101</f>
        <v>38961</v>
      </c>
      <c r="C101" s="1503">
        <f ca="1">IF($A101&gt;Endyr,0,VLOOKUP($A101,Tariff_Table,Tariff!$D$33))</f>
        <v>9508.3383991894625</v>
      </c>
      <c r="E101" s="691">
        <f ca="1">VLOOKUP($A101,Tariff_Table,Tariff!$E$33)</f>
        <v>0.98700028098365578</v>
      </c>
      <c r="F101" s="1481">
        <f t="shared" ca="1" si="19"/>
        <v>9384.7326716876833</v>
      </c>
      <c r="G101" s="1480">
        <f ca="1">VLOOKUP($A101,Curves_Table,Escalation!$N$291)</f>
        <v>1.2691909562879884</v>
      </c>
      <c r="H101" s="1481">
        <f t="shared" ca="1" si="20"/>
        <v>11911.017834086419</v>
      </c>
      <c r="I101" s="1504">
        <f ca="1">IF(Assm!$L$74=0,VLOOKUP($A101,Curves_Table,Escalation!$D$291),VLOOKUP($A101,Curves_Table,Escalation!$E$291))</f>
        <v>2.3813219311380154</v>
      </c>
      <c r="J101" s="1504">
        <f ca="1">IF($A101&lt;EE_Date,VLOOKUP($A101,Curves_Table,Escalation!$D$291),Exch)</f>
        <v>1.0649999999999999</v>
      </c>
      <c r="K101" s="1505">
        <f t="shared" ca="1" si="21"/>
        <v>26632.833793883583</v>
      </c>
      <c r="M101" s="691">
        <f ca="1">VLOOKUP($A101,Tariff_Table,Tariff!$F$33)</f>
        <v>1.2999719016344224E-2</v>
      </c>
      <c r="N101" s="1481">
        <f t="shared" ca="1" si="22"/>
        <v>123.60572750177926</v>
      </c>
      <c r="O101" s="1480">
        <f ca="1">VLOOKUP($A101,Curves_Table,Escalation!$R$291)</f>
        <v>2.0977300933928777</v>
      </c>
      <c r="P101" s="1505">
        <f t="shared" ca="1" si="23"/>
        <v>259.29145429620201</v>
      </c>
      <c r="R101" s="1506">
        <f t="shared" ca="1" si="24"/>
        <v>26892.125248179786</v>
      </c>
      <c r="S101" s="330">
        <f ca="1">'Plant Operations'!C101</f>
        <v>480</v>
      </c>
      <c r="T101" s="1481">
        <f t="shared" ca="1" si="25"/>
        <v>12908.220119126298</v>
      </c>
      <c r="U101" s="1504">
        <f t="shared" ca="1" si="26"/>
        <v>2.3813219311380154</v>
      </c>
      <c r="V101" s="384">
        <f t="shared" ca="1" si="27"/>
        <v>5420.6111111392484</v>
      </c>
      <c r="W101" s="692" t="str">
        <f t="shared" ca="1" si="15"/>
        <v xml:space="preserve"> </v>
      </c>
      <c r="Y101" s="1507">
        <f ca="1">IF($A101&gt;Endyr,0,VLOOKUP($A101,Tariff_Table,Tariff!$J$33))</f>
        <v>0.19</v>
      </c>
      <c r="Z101" s="1504">
        <f ca="1">VLOOKUP($A101,Curves_Table,Escalation!$AH$291)</f>
        <v>2.0977300933928777</v>
      </c>
      <c r="AA101" s="1504">
        <f t="shared" ca="1" si="28"/>
        <v>0.39856871774464675</v>
      </c>
      <c r="AB101" s="334">
        <f ca="1">'Plant Operations'!$I101+'Plant Operations'!$M101</f>
        <v>289336.32000000001</v>
      </c>
      <c r="AC101" s="1481">
        <f t="shared" ca="1" si="16"/>
        <v>115.3204060593548</v>
      </c>
      <c r="AD101" s="1504">
        <f t="shared" ca="1" si="17"/>
        <v>2.3813219311380154</v>
      </c>
      <c r="AE101" s="335">
        <f t="shared" ca="1" si="29"/>
        <v>48.427054129654813</v>
      </c>
      <c r="AF101" s="698" t="str">
        <f t="shared" ca="1" si="18"/>
        <v xml:space="preserve"> </v>
      </c>
    </row>
    <row r="102" spans="1:32">
      <c r="A102" s="672">
        <f ca="1">'Plant Operations'!A102</f>
        <v>38991</v>
      </c>
      <c r="C102" s="1503">
        <f ca="1">IF($A102&gt;Endyr,0,VLOOKUP($A102,Tariff_Table,Tariff!$D$33))</f>
        <v>9508.3383991894625</v>
      </c>
      <c r="E102" s="691">
        <f ca="1">VLOOKUP($A102,Tariff_Table,Tariff!$E$33)</f>
        <v>0.98700028098365578</v>
      </c>
      <c r="F102" s="1481">
        <f t="shared" ca="1" si="19"/>
        <v>9384.7326716876833</v>
      </c>
      <c r="G102" s="1480">
        <f ca="1">VLOOKUP($A102,Curves_Table,Escalation!$N$291)</f>
        <v>1.2691909562879884</v>
      </c>
      <c r="H102" s="1481">
        <f t="shared" ca="1" si="20"/>
        <v>11911.017834086419</v>
      </c>
      <c r="I102" s="1504">
        <f ca="1">IF(Assm!$L$74=0,VLOOKUP($A102,Curves_Table,Escalation!$D$291),VLOOKUP($A102,Curves_Table,Escalation!$E$291))</f>
        <v>2.3868082917392743</v>
      </c>
      <c r="J102" s="1504">
        <f ca="1">IF($A102&lt;EE_Date,VLOOKUP($A102,Curves_Table,Escalation!$D$291),Exch)</f>
        <v>1.0649999999999999</v>
      </c>
      <c r="K102" s="1505">
        <f t="shared" ca="1" si="21"/>
        <v>26694.19354878107</v>
      </c>
      <c r="M102" s="691">
        <f ca="1">VLOOKUP($A102,Tariff_Table,Tariff!$F$33)</f>
        <v>1.2999719016344224E-2</v>
      </c>
      <c r="N102" s="1481">
        <f t="shared" ca="1" si="22"/>
        <v>123.60572750177926</v>
      </c>
      <c r="O102" s="1480">
        <f ca="1">VLOOKUP($A102,Curves_Table,Escalation!$R$291)</f>
        <v>2.0977300933928777</v>
      </c>
      <c r="P102" s="1505">
        <f t="shared" ca="1" si="23"/>
        <v>259.29145429620201</v>
      </c>
      <c r="R102" s="1506">
        <f t="shared" ca="1" si="24"/>
        <v>26953.485003077272</v>
      </c>
      <c r="S102" s="330">
        <f ca="1">'Plant Operations'!C102</f>
        <v>480</v>
      </c>
      <c r="T102" s="1481">
        <f t="shared" ca="1" si="25"/>
        <v>12937.672801477091</v>
      </c>
      <c r="U102" s="1504">
        <f t="shared" ca="1" si="26"/>
        <v>2.3868082917392743</v>
      </c>
      <c r="V102" s="384">
        <f t="shared" ca="1" si="27"/>
        <v>5420.490973763699</v>
      </c>
      <c r="W102" s="692" t="str">
        <f t="shared" ca="1" si="15"/>
        <v xml:space="preserve"> </v>
      </c>
      <c r="Y102" s="1507">
        <f ca="1">IF($A102&gt;Endyr,0,VLOOKUP($A102,Tariff_Table,Tariff!$J$33))</f>
        <v>0.19</v>
      </c>
      <c r="Z102" s="1504">
        <f ca="1">VLOOKUP($A102,Curves_Table,Escalation!$AH$291)</f>
        <v>2.0977300933928777</v>
      </c>
      <c r="AA102" s="1504">
        <f t="shared" ca="1" si="28"/>
        <v>0.39856871774464675</v>
      </c>
      <c r="AB102" s="334">
        <f ca="1">'Plant Operations'!$I102+'Plant Operations'!$M102</f>
        <v>298980.864</v>
      </c>
      <c r="AC102" s="1481">
        <f t="shared" ca="1" si="16"/>
        <v>119.16441959466661</v>
      </c>
      <c r="AD102" s="1504">
        <f t="shared" ca="1" si="17"/>
        <v>2.3868082917392743</v>
      </c>
      <c r="AE102" s="335">
        <f t="shared" ca="1" si="29"/>
        <v>49.926263456974645</v>
      </c>
      <c r="AF102" s="698" t="str">
        <f t="shared" ca="1" si="18"/>
        <v xml:space="preserve"> </v>
      </c>
    </row>
    <row r="103" spans="1:32">
      <c r="A103" s="672">
        <f ca="1">'Plant Operations'!A103</f>
        <v>39022</v>
      </c>
      <c r="C103" s="1503">
        <f ca="1">IF($A103&gt;Endyr,0,VLOOKUP($A103,Tariff_Table,Tariff!$D$33))</f>
        <v>9508.3383991894625</v>
      </c>
      <c r="E103" s="691">
        <f ca="1">VLOOKUP($A103,Tariff_Table,Tariff!$E$33)</f>
        <v>0.98700028098365578</v>
      </c>
      <c r="F103" s="1481">
        <f t="shared" ca="1" si="19"/>
        <v>9384.7326716876833</v>
      </c>
      <c r="G103" s="1480">
        <f ca="1">VLOOKUP($A103,Curves_Table,Escalation!$N$291)</f>
        <v>1.2691909562879884</v>
      </c>
      <c r="H103" s="1481">
        <f t="shared" ca="1" si="20"/>
        <v>11911.017834086419</v>
      </c>
      <c r="I103" s="1504">
        <f ca="1">IF(Assm!$L$74=0,VLOOKUP($A103,Curves_Table,Escalation!$D$291),VLOOKUP($A103,Curves_Table,Escalation!$E$291))</f>
        <v>2.3923072924427613</v>
      </c>
      <c r="J103" s="1504">
        <f ca="1">IF($A103&lt;EE_Date,VLOOKUP($A103,Curves_Table,Escalation!$D$291),Exch)</f>
        <v>1.0649999999999999</v>
      </c>
      <c r="K103" s="1505">
        <f t="shared" ca="1" si="21"/>
        <v>26755.694671268287</v>
      </c>
      <c r="M103" s="691">
        <f ca="1">VLOOKUP($A103,Tariff_Table,Tariff!$F$33)</f>
        <v>1.2999719016344224E-2</v>
      </c>
      <c r="N103" s="1481">
        <f t="shared" ca="1" si="22"/>
        <v>123.60572750177926</v>
      </c>
      <c r="O103" s="1480">
        <f ca="1">VLOOKUP($A103,Curves_Table,Escalation!$R$291)</f>
        <v>2.0977300933928777</v>
      </c>
      <c r="P103" s="1505">
        <f t="shared" ca="1" si="23"/>
        <v>259.29145429620201</v>
      </c>
      <c r="R103" s="1506">
        <f t="shared" ca="1" si="24"/>
        <v>27014.98612556449</v>
      </c>
      <c r="S103" s="330">
        <f ca="1">'Plant Operations'!C103</f>
        <v>480</v>
      </c>
      <c r="T103" s="1481">
        <f t="shared" ca="1" si="25"/>
        <v>12967.193340270955</v>
      </c>
      <c r="U103" s="1504">
        <f t="shared" ca="1" si="26"/>
        <v>2.3923072924427613</v>
      </c>
      <c r="V103" s="384">
        <f t="shared" ca="1" si="27"/>
        <v>5420.3711125380896</v>
      </c>
      <c r="W103" s="692" t="str">
        <f t="shared" ca="1" si="15"/>
        <v xml:space="preserve"> </v>
      </c>
      <c r="Y103" s="1507">
        <f ca="1">IF($A103&gt;Endyr,0,VLOOKUP($A103,Tariff_Table,Tariff!$J$33))</f>
        <v>0.19</v>
      </c>
      <c r="Z103" s="1504">
        <f ca="1">VLOOKUP($A103,Curves_Table,Escalation!$AH$291)</f>
        <v>2.0977300933928777</v>
      </c>
      <c r="AA103" s="1504">
        <f t="shared" ca="1" si="28"/>
        <v>0.39856871774464675</v>
      </c>
      <c r="AB103" s="334">
        <f ca="1">'Plant Operations'!$I103+'Plant Operations'!$M103</f>
        <v>289336.32000000001</v>
      </c>
      <c r="AC103" s="1481">
        <f t="shared" ca="1" si="16"/>
        <v>115.3204060593548</v>
      </c>
      <c r="AD103" s="1504">
        <f t="shared" ca="1" si="17"/>
        <v>2.3923072924427613</v>
      </c>
      <c r="AE103" s="335">
        <f t="shared" ca="1" si="29"/>
        <v>48.204679400363432</v>
      </c>
      <c r="AF103" s="698" t="str">
        <f t="shared" ca="1" si="18"/>
        <v xml:space="preserve"> </v>
      </c>
    </row>
    <row r="104" spans="1:32">
      <c r="A104" s="672">
        <f ca="1">'Plant Operations'!A104</f>
        <v>39052</v>
      </c>
      <c r="C104" s="1503">
        <f ca="1">IF($A104&gt;Endyr,0,VLOOKUP($A104,Tariff_Table,Tariff!$D$33))</f>
        <v>9508.3383991894625</v>
      </c>
      <c r="E104" s="691">
        <f ca="1">VLOOKUP($A104,Tariff_Table,Tariff!$E$33)</f>
        <v>0.98700028098365578</v>
      </c>
      <c r="F104" s="1481">
        <f t="shared" ca="1" si="19"/>
        <v>9384.7326716876833</v>
      </c>
      <c r="G104" s="1480">
        <f ca="1">VLOOKUP($A104,Curves_Table,Escalation!$N$291)</f>
        <v>1.2691909562879884</v>
      </c>
      <c r="H104" s="1481">
        <f t="shared" ca="1" si="20"/>
        <v>11911.017834086419</v>
      </c>
      <c r="I104" s="1504">
        <f ca="1">IF(Assm!$L$74=0,VLOOKUP($A104,Curves_Table,Escalation!$D$291),VLOOKUP($A104,Curves_Table,Escalation!$E$291))</f>
        <v>2.39781896237018</v>
      </c>
      <c r="J104" s="1504">
        <f ca="1">IF($A104&lt;EE_Date,VLOOKUP($A104,Curves_Table,Escalation!$D$291),Exch)</f>
        <v>1.0649999999999999</v>
      </c>
      <c r="K104" s="1505">
        <f t="shared" ca="1" si="21"/>
        <v>26817.337487043947</v>
      </c>
      <c r="M104" s="691">
        <f ca="1">VLOOKUP($A104,Tariff_Table,Tariff!$F$33)</f>
        <v>1.2999719016344224E-2</v>
      </c>
      <c r="N104" s="1481">
        <f t="shared" ca="1" si="22"/>
        <v>123.60572750177926</v>
      </c>
      <c r="O104" s="1480">
        <f ca="1">VLOOKUP($A104,Curves_Table,Escalation!$R$291)</f>
        <v>2.0977300933928777</v>
      </c>
      <c r="P104" s="1505">
        <f t="shared" ca="1" si="23"/>
        <v>259.29145429620201</v>
      </c>
      <c r="R104" s="1506">
        <f t="shared" ca="1" si="24"/>
        <v>27076.62894134015</v>
      </c>
      <c r="S104" s="330">
        <f ca="1">'Plant Operations'!C104</f>
        <v>480</v>
      </c>
      <c r="T104" s="1481">
        <f t="shared" ca="1" si="25"/>
        <v>12996.781891843273</v>
      </c>
      <c r="U104" s="1504">
        <f t="shared" ca="1" si="26"/>
        <v>2.39781896237018</v>
      </c>
      <c r="V104" s="384">
        <f t="shared" ca="1" si="27"/>
        <v>5420.2515268276557</v>
      </c>
      <c r="W104" s="692">
        <f t="shared" ca="1" si="15"/>
        <v>64893.491520775286</v>
      </c>
      <c r="Y104" s="1507">
        <f ca="1">IF($A104&gt;Endyr,0,VLOOKUP($A104,Tariff_Table,Tariff!$J$33))</f>
        <v>0.19</v>
      </c>
      <c r="Z104" s="1504">
        <f ca="1">VLOOKUP($A104,Curves_Table,Escalation!$AH$291)</f>
        <v>2.0977300933928777</v>
      </c>
      <c r="AA104" s="1504">
        <f t="shared" ca="1" si="28"/>
        <v>0.39856871774464675</v>
      </c>
      <c r="AB104" s="334">
        <f ca="1">'Plant Operations'!$I104+'Plant Operations'!$M104</f>
        <v>298980.864</v>
      </c>
      <c r="AC104" s="1481">
        <f t="shared" ca="1" si="16"/>
        <v>119.16441959466661</v>
      </c>
      <c r="AD104" s="1504">
        <f t="shared" ca="1" si="17"/>
        <v>2.39781896237018</v>
      </c>
      <c r="AE104" s="335">
        <f t="shared" ca="1" si="29"/>
        <v>49.697004429757186</v>
      </c>
      <c r="AF104" s="698">
        <f t="shared" ca="1" si="18"/>
        <v>578.86024712248411</v>
      </c>
    </row>
    <row r="105" spans="1:32">
      <c r="A105" s="672">
        <f ca="1">'Plant Operations'!A105</f>
        <v>39083</v>
      </c>
      <c r="C105" s="1503">
        <f ca="1">IF($A105&gt;Endyr,0,VLOOKUP($A105,Tariff_Table,Tariff!$D$33))</f>
        <v>9508.3383991894625</v>
      </c>
      <c r="E105" s="691">
        <f ca="1">VLOOKUP($A105,Tariff_Table,Tariff!$E$33)</f>
        <v>0.98700028098365578</v>
      </c>
      <c r="F105" s="1481">
        <f t="shared" ca="1" si="19"/>
        <v>9384.7326716876833</v>
      </c>
      <c r="G105" s="1480">
        <f ca="1">VLOOKUP($A105,Curves_Table,Escalation!$N$291)</f>
        <v>1.2691909562879884</v>
      </c>
      <c r="H105" s="1481">
        <f t="shared" ca="1" si="20"/>
        <v>11911.017834086419</v>
      </c>
      <c r="I105" s="1504">
        <f ca="1">IF(Assm!$L$74=0,VLOOKUP($A105,Curves_Table,Escalation!$D$291),VLOOKUP($A105,Curves_Table,Escalation!$E$291))</f>
        <v>2.4031820782557931</v>
      </c>
      <c r="J105" s="1504">
        <f ca="1">IF($A105&lt;EE_Date,VLOOKUP($A105,Curves_Table,Escalation!$D$291),Exch)</f>
        <v>1.0649999999999999</v>
      </c>
      <c r="K105" s="1505">
        <f t="shared" ca="1" si="21"/>
        <v>26877.318866348935</v>
      </c>
      <c r="M105" s="691">
        <f ca="1">VLOOKUP($A105,Tariff_Table,Tariff!$F$33)</f>
        <v>1.2999719016344224E-2</v>
      </c>
      <c r="N105" s="1481">
        <f t="shared" ca="1" si="22"/>
        <v>123.60572750177926</v>
      </c>
      <c r="O105" s="1480">
        <f ca="1">VLOOKUP($A105,Curves_Table,Escalation!$R$291)</f>
        <v>2.0977300933928777</v>
      </c>
      <c r="P105" s="1505">
        <f t="shared" ca="1" si="23"/>
        <v>259.29145429620201</v>
      </c>
      <c r="R105" s="1506">
        <f t="shared" ca="1" si="24"/>
        <v>27136.610320645137</v>
      </c>
      <c r="S105" s="330">
        <f ca="1">'Plant Operations'!C105</f>
        <v>480</v>
      </c>
      <c r="T105" s="1481">
        <f t="shared" ca="1" si="25"/>
        <v>13025.572953909665</v>
      </c>
      <c r="U105" s="1504">
        <f t="shared" ca="1" si="26"/>
        <v>2.4031820782557931</v>
      </c>
      <c r="V105" s="384">
        <f t="shared" ca="1" si="27"/>
        <v>5420.1356908268481</v>
      </c>
      <c r="W105" s="692" t="str">
        <f t="shared" ca="1" si="15"/>
        <v xml:space="preserve"> </v>
      </c>
      <c r="Y105" s="1507">
        <f ca="1">IF($A105&gt;Endyr,0,VLOOKUP($A105,Tariff_Table,Tariff!$J$33))</f>
        <v>0.19</v>
      </c>
      <c r="Z105" s="1504">
        <f ca="1">VLOOKUP($A105,Curves_Table,Escalation!$AH$291)</f>
        <v>2.0977300933928777</v>
      </c>
      <c r="AA105" s="1504">
        <f t="shared" ca="1" si="28"/>
        <v>0.39856871774464675</v>
      </c>
      <c r="AB105" s="334">
        <f ca="1">'Plant Operations'!$I105+'Plant Operations'!$M105</f>
        <v>298980.864</v>
      </c>
      <c r="AC105" s="1481">
        <f t="shared" ca="1" si="16"/>
        <v>119.16441959466661</v>
      </c>
      <c r="AD105" s="1504">
        <f t="shared" ca="1" si="17"/>
        <v>2.4031820782557931</v>
      </c>
      <c r="AE105" s="335">
        <f t="shared" ca="1" si="29"/>
        <v>49.586096980697782</v>
      </c>
      <c r="AF105" s="698" t="str">
        <f t="shared" ca="1" si="18"/>
        <v xml:space="preserve"> </v>
      </c>
    </row>
    <row r="106" spans="1:32">
      <c r="A106" s="672">
        <f ca="1">'Plant Operations'!A106</f>
        <v>39114</v>
      </c>
      <c r="C106" s="1503">
        <f ca="1">IF($A106&gt;Endyr,0,VLOOKUP($A106,Tariff_Table,Tariff!$D$33))</f>
        <v>9508.3383991894625</v>
      </c>
      <c r="E106" s="691">
        <f ca="1">VLOOKUP($A106,Tariff_Table,Tariff!$E$33)</f>
        <v>0.98700028098365578</v>
      </c>
      <c r="F106" s="1481">
        <f t="shared" ca="1" si="19"/>
        <v>9384.7326716876833</v>
      </c>
      <c r="G106" s="1480">
        <f ca="1">VLOOKUP($A106,Curves_Table,Escalation!$N$291)</f>
        <v>1.2691909562879884</v>
      </c>
      <c r="H106" s="1481">
        <f t="shared" ca="1" si="20"/>
        <v>11911.017834086419</v>
      </c>
      <c r="I106" s="1504">
        <f ca="1">IF(Assm!$L$74=0,VLOOKUP($A106,Curves_Table,Escalation!$D$291),VLOOKUP($A106,Curves_Table,Escalation!$E$291))</f>
        <v>2.4085571896308298</v>
      </c>
      <c r="J106" s="1504">
        <f ca="1">IF($A106&lt;EE_Date,VLOOKUP($A106,Curves_Table,Escalation!$D$291),Exch)</f>
        <v>1.0649999999999999</v>
      </c>
      <c r="K106" s="1505">
        <f t="shared" ca="1" si="21"/>
        <v>26937.434403859043</v>
      </c>
      <c r="M106" s="691">
        <f ca="1">VLOOKUP($A106,Tariff_Table,Tariff!$F$33)</f>
        <v>1.2999719016344224E-2</v>
      </c>
      <c r="N106" s="1481">
        <f t="shared" ca="1" si="22"/>
        <v>123.60572750177926</v>
      </c>
      <c r="O106" s="1480">
        <f ca="1">VLOOKUP($A106,Curves_Table,Escalation!$R$291)</f>
        <v>2.0977300933928777</v>
      </c>
      <c r="P106" s="1505">
        <f t="shared" ca="1" si="23"/>
        <v>259.29145429620201</v>
      </c>
      <c r="R106" s="1506">
        <f t="shared" ca="1" si="24"/>
        <v>27196.725858155245</v>
      </c>
      <c r="S106" s="330">
        <f ca="1">'Plant Operations'!C106</f>
        <v>480</v>
      </c>
      <c r="T106" s="1481">
        <f t="shared" ca="1" si="25"/>
        <v>13054.428411914518</v>
      </c>
      <c r="U106" s="1504">
        <f t="shared" ca="1" si="26"/>
        <v>2.4085571896308298</v>
      </c>
      <c r="V106" s="384">
        <f t="shared" ca="1" si="27"/>
        <v>5420.0201133340861</v>
      </c>
      <c r="W106" s="692" t="str">
        <f t="shared" ca="1" si="15"/>
        <v xml:space="preserve"> </v>
      </c>
      <c r="Y106" s="1507">
        <f ca="1">IF($A106&gt;Endyr,0,VLOOKUP($A106,Tariff_Table,Tariff!$J$33))</f>
        <v>0.19</v>
      </c>
      <c r="Z106" s="1504">
        <f ca="1">VLOOKUP($A106,Curves_Table,Escalation!$AH$291)</f>
        <v>2.0977300933928777</v>
      </c>
      <c r="AA106" s="1504">
        <f t="shared" ca="1" si="28"/>
        <v>0.39856871774464675</v>
      </c>
      <c r="AB106" s="334">
        <f ca="1">'Plant Operations'!$I106+'Plant Operations'!$M106</f>
        <v>270047.23200000002</v>
      </c>
      <c r="AC106" s="1481">
        <f t="shared" ca="1" si="16"/>
        <v>107.63237898873115</v>
      </c>
      <c r="AD106" s="1504">
        <f t="shared" ca="1" si="17"/>
        <v>2.4085571896308298</v>
      </c>
      <c r="AE106" s="335">
        <f t="shared" ca="1" si="29"/>
        <v>44.687491520692703</v>
      </c>
      <c r="AF106" s="698" t="str">
        <f t="shared" ca="1" si="18"/>
        <v xml:space="preserve"> </v>
      </c>
    </row>
    <row r="107" spans="1:32">
      <c r="A107" s="672">
        <f ca="1">'Plant Operations'!A107</f>
        <v>39142</v>
      </c>
      <c r="C107" s="1503">
        <f ca="1">IF($A107&gt;Endyr,0,VLOOKUP($A107,Tariff_Table,Tariff!$D$33))</f>
        <v>9508.3383991894625</v>
      </c>
      <c r="E107" s="691">
        <f ca="1">VLOOKUP($A107,Tariff_Table,Tariff!$E$33)</f>
        <v>0.98700028098365578</v>
      </c>
      <c r="F107" s="1481">
        <f t="shared" ca="1" si="19"/>
        <v>9384.7326716876833</v>
      </c>
      <c r="G107" s="1480">
        <f ca="1">VLOOKUP($A107,Curves_Table,Escalation!$N$291)</f>
        <v>1.2691909562879884</v>
      </c>
      <c r="H107" s="1481">
        <f t="shared" ca="1" si="20"/>
        <v>11911.017834086419</v>
      </c>
      <c r="I107" s="1504">
        <f ca="1">IF(Assm!$L$74=0,VLOOKUP($A107,Curves_Table,Escalation!$D$291),VLOOKUP($A107,Curves_Table,Escalation!$E$291))</f>
        <v>2.4139443233251718</v>
      </c>
      <c r="J107" s="1504">
        <f ca="1">IF($A107&lt;EE_Date,VLOOKUP($A107,Curves_Table,Escalation!$D$291),Exch)</f>
        <v>1.0649999999999999</v>
      </c>
      <c r="K107" s="1505">
        <f t="shared" ca="1" si="21"/>
        <v>26997.684399641123</v>
      </c>
      <c r="M107" s="691">
        <f ca="1">VLOOKUP($A107,Tariff_Table,Tariff!$F$33)</f>
        <v>1.2999719016344224E-2</v>
      </c>
      <c r="N107" s="1481">
        <f t="shared" ca="1" si="22"/>
        <v>123.60572750177926</v>
      </c>
      <c r="O107" s="1480">
        <f ca="1">VLOOKUP($A107,Curves_Table,Escalation!$R$291)</f>
        <v>2.0977300933928777</v>
      </c>
      <c r="P107" s="1505">
        <f t="shared" ca="1" si="23"/>
        <v>259.29145429620201</v>
      </c>
      <c r="R107" s="1506">
        <f t="shared" ca="1" si="24"/>
        <v>27256.975853937325</v>
      </c>
      <c r="S107" s="330">
        <f ca="1">'Plant Operations'!C107</f>
        <v>480</v>
      </c>
      <c r="T107" s="1481">
        <f t="shared" ca="1" si="25"/>
        <v>13083.348409889915</v>
      </c>
      <c r="U107" s="1504">
        <f t="shared" ca="1" si="26"/>
        <v>2.4139443233251718</v>
      </c>
      <c r="V107" s="384">
        <f t="shared" ca="1" si="27"/>
        <v>5419.9047937724599</v>
      </c>
      <c r="W107" s="692" t="str">
        <f t="shared" ca="1" si="15"/>
        <v xml:space="preserve"> </v>
      </c>
      <c r="Y107" s="1507">
        <f ca="1">IF($A107&gt;Endyr,0,VLOOKUP($A107,Tariff_Table,Tariff!$J$33))</f>
        <v>0.19</v>
      </c>
      <c r="Z107" s="1504">
        <f ca="1">VLOOKUP($A107,Curves_Table,Escalation!$AH$291)</f>
        <v>2.0977300933928777</v>
      </c>
      <c r="AA107" s="1504">
        <f t="shared" ca="1" si="28"/>
        <v>0.39856871774464675</v>
      </c>
      <c r="AB107" s="334">
        <f ca="1">'Plant Operations'!$I107+'Plant Operations'!$M107</f>
        <v>298980.864</v>
      </c>
      <c r="AC107" s="1481">
        <f t="shared" ca="1" si="16"/>
        <v>119.16441959466661</v>
      </c>
      <c r="AD107" s="1504">
        <f t="shared" ca="1" si="17"/>
        <v>2.4139443233251718</v>
      </c>
      <c r="AE107" s="335">
        <f t="shared" ca="1" si="29"/>
        <v>49.365024057605197</v>
      </c>
      <c r="AF107" s="698" t="str">
        <f t="shared" ca="1" si="18"/>
        <v xml:space="preserve"> </v>
      </c>
    </row>
    <row r="108" spans="1:32">
      <c r="A108" s="672">
        <f ca="1">'Plant Operations'!A108</f>
        <v>39173</v>
      </c>
      <c r="C108" s="1503">
        <f ca="1">IF($A108&gt;Endyr,0,VLOOKUP($A108,Tariff_Table,Tariff!$D$33))</f>
        <v>9508.3383991894625</v>
      </c>
      <c r="E108" s="691">
        <f ca="1">VLOOKUP($A108,Tariff_Table,Tariff!$E$33)</f>
        <v>0.98700028098365578</v>
      </c>
      <c r="F108" s="1481">
        <f t="shared" ca="1" si="19"/>
        <v>9384.7326716876833</v>
      </c>
      <c r="G108" s="1480">
        <f ca="1">VLOOKUP($A108,Curves_Table,Escalation!$N$291)</f>
        <v>1.2691909562879884</v>
      </c>
      <c r="H108" s="1481">
        <f t="shared" ca="1" si="20"/>
        <v>11911.017834086419</v>
      </c>
      <c r="I108" s="1504">
        <f ca="1">IF(Assm!$L$74=0,VLOOKUP($A108,Curves_Table,Escalation!$D$291),VLOOKUP($A108,Curves_Table,Escalation!$E$291))</f>
        <v>2.419343506228711</v>
      </c>
      <c r="J108" s="1504">
        <f ca="1">IF($A108&lt;EE_Date,VLOOKUP($A108,Curves_Table,Escalation!$D$291),Exch)</f>
        <v>1.0649999999999999</v>
      </c>
      <c r="K108" s="1505">
        <f t="shared" ca="1" si="21"/>
        <v>27058.069154433186</v>
      </c>
      <c r="M108" s="691">
        <f ca="1">VLOOKUP($A108,Tariff_Table,Tariff!$F$33)</f>
        <v>1.2999719016344224E-2</v>
      </c>
      <c r="N108" s="1481">
        <f t="shared" ca="1" si="22"/>
        <v>123.60572750177926</v>
      </c>
      <c r="O108" s="1480">
        <f ca="1">VLOOKUP($A108,Curves_Table,Escalation!$R$291)</f>
        <v>2.0977300933928777</v>
      </c>
      <c r="P108" s="1505">
        <f t="shared" ca="1" si="23"/>
        <v>259.29145429620201</v>
      </c>
      <c r="R108" s="1506">
        <f t="shared" ca="1" si="24"/>
        <v>27317.360608729388</v>
      </c>
      <c r="S108" s="330">
        <f ca="1">'Plant Operations'!C108</f>
        <v>480</v>
      </c>
      <c r="T108" s="1481">
        <f t="shared" ca="1" si="25"/>
        <v>13112.333092190105</v>
      </c>
      <c r="U108" s="1504">
        <f t="shared" ca="1" si="26"/>
        <v>2.419343506228711</v>
      </c>
      <c r="V108" s="384">
        <f t="shared" ca="1" si="27"/>
        <v>5419.7897315663531</v>
      </c>
      <c r="W108" s="692" t="str">
        <f t="shared" ca="1" si="15"/>
        <v xml:space="preserve"> </v>
      </c>
      <c r="Y108" s="1507">
        <f ca="1">IF($A108&gt;Endyr,0,VLOOKUP($A108,Tariff_Table,Tariff!$J$33))</f>
        <v>0.19</v>
      </c>
      <c r="Z108" s="1504">
        <f ca="1">VLOOKUP($A108,Curves_Table,Escalation!$AH$291)</f>
        <v>2.0977300933928777</v>
      </c>
      <c r="AA108" s="1504">
        <f t="shared" ca="1" si="28"/>
        <v>0.39856871774464675</v>
      </c>
      <c r="AB108" s="334">
        <f ca="1">'Plant Operations'!$I108+'Plant Operations'!$M108</f>
        <v>289336.32000000001</v>
      </c>
      <c r="AC108" s="1481">
        <f t="shared" ca="1" si="16"/>
        <v>115.3204060593548</v>
      </c>
      <c r="AD108" s="1504">
        <f t="shared" ca="1" si="17"/>
        <v>2.419343506228711</v>
      </c>
      <c r="AE108" s="335">
        <f t="shared" ca="1" si="29"/>
        <v>47.665991109760611</v>
      </c>
      <c r="AF108" s="698" t="str">
        <f t="shared" ca="1" si="18"/>
        <v xml:space="preserve"> </v>
      </c>
    </row>
    <row r="109" spans="1:32">
      <c r="A109" s="672">
        <f ca="1">'Plant Operations'!A109</f>
        <v>39203</v>
      </c>
      <c r="C109" s="1503">
        <f ca="1">IF($A109&gt;Endyr,0,VLOOKUP($A109,Tariff_Table,Tariff!$D$33))</f>
        <v>8615.7128412537932</v>
      </c>
      <c r="E109" s="691">
        <f ca="1">VLOOKUP($A109,Tariff_Table,Tariff!$E$33)</f>
        <v>0.988999816557668</v>
      </c>
      <c r="F109" s="1481">
        <f t="shared" ca="1" si="19"/>
        <v>8520.9384195135463</v>
      </c>
      <c r="G109" s="1480">
        <f ca="1">VLOOKUP($A109,Curves_Table,Escalation!$N$291)</f>
        <v>1.3038965761068158</v>
      </c>
      <c r="H109" s="1481">
        <f t="shared" ca="1" si="20"/>
        <v>11110.422430420735</v>
      </c>
      <c r="I109" s="1504">
        <f ca="1">IF(Assm!$L$74=0,VLOOKUP($A109,Curves_Table,Escalation!$D$291),VLOOKUP($A109,Curves_Table,Escalation!$E$291))</f>
        <v>2.4247547652914823</v>
      </c>
      <c r="J109" s="1504">
        <f ca="1">IF($A109&lt;EE_Date,VLOOKUP($A109,Curves_Table,Escalation!$D$291),Exch)</f>
        <v>1.0649999999999999</v>
      </c>
      <c r="K109" s="1505">
        <f t="shared" ca="1" si="21"/>
        <v>25295.821345130564</v>
      </c>
      <c r="M109" s="691">
        <f ca="1">VLOOKUP($A109,Tariff_Table,Tariff!$F$33)</f>
        <v>1.1000183442332001E-2</v>
      </c>
      <c r="N109" s="1481">
        <f t="shared" ca="1" si="22"/>
        <v>94.774421740247178</v>
      </c>
      <c r="O109" s="1480">
        <f ca="1">VLOOKUP($A109,Curves_Table,Escalation!$R$291)</f>
        <v>2.2550598503973429</v>
      </c>
      <c r="P109" s="1505">
        <f t="shared" ca="1" si="23"/>
        <v>213.72199331105648</v>
      </c>
      <c r="R109" s="1506">
        <f t="shared" ca="1" si="24"/>
        <v>25509.543338441621</v>
      </c>
      <c r="S109" s="330">
        <f ca="1">'Plant Operations'!C109</f>
        <v>480</v>
      </c>
      <c r="T109" s="1481">
        <f t="shared" ca="1" si="25"/>
        <v>12244.580802451977</v>
      </c>
      <c r="U109" s="1504">
        <f t="shared" ca="1" si="26"/>
        <v>2.4247547652914823</v>
      </c>
      <c r="V109" s="384">
        <f t="shared" ca="1" si="27"/>
        <v>5049.8223481086934</v>
      </c>
      <c r="W109" s="692" t="str">
        <f t="shared" ca="1" si="15"/>
        <v xml:space="preserve"> </v>
      </c>
      <c r="Y109" s="1507">
        <f ca="1">IF($A109&gt;Endyr,0,VLOOKUP($A109,Tariff_Table,Tariff!$J$33))</f>
        <v>0.19</v>
      </c>
      <c r="Z109" s="1504">
        <f ca="1">VLOOKUP($A109,Curves_Table,Escalation!$AH$291)</f>
        <v>2.2550598503973429</v>
      </c>
      <c r="AA109" s="1504">
        <f t="shared" ca="1" si="28"/>
        <v>0.42846137157549513</v>
      </c>
      <c r="AB109" s="334">
        <f ca="1">'Plant Operations'!$I109+'Plant Operations'!$M109</f>
        <v>298980.864</v>
      </c>
      <c r="AC109" s="1481">
        <f t="shared" ca="1" si="16"/>
        <v>128.10175106426658</v>
      </c>
      <c r="AD109" s="1504">
        <f t="shared" ca="1" si="17"/>
        <v>2.4247547652914823</v>
      </c>
      <c r="AE109" s="335">
        <f t="shared" ca="1" si="29"/>
        <v>52.830807015185862</v>
      </c>
      <c r="AF109" s="698" t="str">
        <f t="shared" ca="1" si="18"/>
        <v xml:space="preserve"> </v>
      </c>
    </row>
    <row r="110" spans="1:32">
      <c r="A110" s="672">
        <f ca="1">'Plant Operations'!A110</f>
        <v>39234</v>
      </c>
      <c r="C110" s="1503">
        <f ca="1">IF($A110&gt;Endyr,0,VLOOKUP($A110,Tariff_Table,Tariff!$D$33))</f>
        <v>8615.7128412537932</v>
      </c>
      <c r="E110" s="691">
        <f ca="1">VLOOKUP($A110,Tariff_Table,Tariff!$E$33)</f>
        <v>0.988999816557668</v>
      </c>
      <c r="F110" s="1481">
        <f t="shared" ca="1" si="19"/>
        <v>8520.9384195135463</v>
      </c>
      <c r="G110" s="1480">
        <f ca="1">VLOOKUP($A110,Curves_Table,Escalation!$N$291)</f>
        <v>1.3038965761068158</v>
      </c>
      <c r="H110" s="1481">
        <f t="shared" ca="1" si="20"/>
        <v>11110.422430420735</v>
      </c>
      <c r="I110" s="1504">
        <f ca="1">IF(Assm!$L$74=0,VLOOKUP($A110,Curves_Table,Escalation!$D$291),VLOOKUP($A110,Curves_Table,Escalation!$E$291))</f>
        <v>2.4301781275237988</v>
      </c>
      <c r="J110" s="1504">
        <f ca="1">IF($A110&lt;EE_Date,VLOOKUP($A110,Curves_Table,Escalation!$D$291),Exch)</f>
        <v>1.0649999999999999</v>
      </c>
      <c r="K110" s="1505">
        <f t="shared" ca="1" si="21"/>
        <v>25352.399603716691</v>
      </c>
      <c r="M110" s="691">
        <f ca="1">VLOOKUP($A110,Tariff_Table,Tariff!$F$33)</f>
        <v>1.1000183442332001E-2</v>
      </c>
      <c r="N110" s="1481">
        <f t="shared" ca="1" si="22"/>
        <v>94.774421740247178</v>
      </c>
      <c r="O110" s="1480">
        <f ca="1">VLOOKUP($A110,Curves_Table,Escalation!$R$291)</f>
        <v>2.2550598503973429</v>
      </c>
      <c r="P110" s="1505">
        <f t="shared" ca="1" si="23"/>
        <v>213.72199331105648</v>
      </c>
      <c r="R110" s="1506">
        <f t="shared" ca="1" si="24"/>
        <v>25566.121597027748</v>
      </c>
      <c r="S110" s="330">
        <f ca="1">'Plant Operations'!C110</f>
        <v>480</v>
      </c>
      <c r="T110" s="1481">
        <f t="shared" ca="1" si="25"/>
        <v>12271.73836657332</v>
      </c>
      <c r="U110" s="1504">
        <f t="shared" ca="1" si="26"/>
        <v>2.4301781275237988</v>
      </c>
      <c r="V110" s="384">
        <f t="shared" ca="1" si="27"/>
        <v>5049.7279304696331</v>
      </c>
      <c r="W110" s="692" t="str">
        <f t="shared" ca="1" si="15"/>
        <v xml:space="preserve"> </v>
      </c>
      <c r="Y110" s="1507">
        <f ca="1">IF($A110&gt;Endyr,0,VLOOKUP($A110,Tariff_Table,Tariff!$J$33))</f>
        <v>0.19</v>
      </c>
      <c r="Z110" s="1504">
        <f ca="1">VLOOKUP($A110,Curves_Table,Escalation!$AH$291)</f>
        <v>2.2550598503973429</v>
      </c>
      <c r="AA110" s="1504">
        <f t="shared" ca="1" si="28"/>
        <v>0.42846137157549513</v>
      </c>
      <c r="AB110" s="334">
        <f ca="1">'Plant Operations'!$I110+'Plant Operations'!$M110</f>
        <v>289336.32000000001</v>
      </c>
      <c r="AC110" s="1481">
        <f t="shared" ca="1" si="16"/>
        <v>123.96943651380637</v>
      </c>
      <c r="AD110" s="1504">
        <f t="shared" ca="1" si="17"/>
        <v>2.4301781275237988</v>
      </c>
      <c r="AE110" s="335">
        <f t="shared" ca="1" si="29"/>
        <v>51.012489623599549</v>
      </c>
      <c r="AF110" s="698" t="str">
        <f t="shared" ca="1" si="18"/>
        <v xml:space="preserve"> </v>
      </c>
    </row>
    <row r="111" spans="1:32">
      <c r="A111" s="672">
        <f ca="1">'Plant Operations'!A111</f>
        <v>39264</v>
      </c>
      <c r="C111" s="1503">
        <f ca="1">IF($A111&gt;Endyr,0,VLOOKUP($A111,Tariff_Table,Tariff!$D$33))</f>
        <v>8615.7128412537932</v>
      </c>
      <c r="E111" s="691">
        <f ca="1">VLOOKUP($A111,Tariff_Table,Tariff!$E$33)</f>
        <v>0.988999816557668</v>
      </c>
      <c r="F111" s="1481">
        <f t="shared" ca="1" si="19"/>
        <v>8520.9384195135463</v>
      </c>
      <c r="G111" s="1480">
        <f ca="1">VLOOKUP($A111,Curves_Table,Escalation!$N$291)</f>
        <v>1.3038965761068158</v>
      </c>
      <c r="H111" s="1481">
        <f t="shared" ca="1" si="20"/>
        <v>11110.422430420735</v>
      </c>
      <c r="I111" s="1504">
        <f ca="1">IF(Assm!$L$74=0,VLOOKUP($A111,Curves_Table,Escalation!$D$291),VLOOKUP($A111,Curves_Table,Escalation!$E$291))</f>
        <v>2.4356136199963871</v>
      </c>
      <c r="J111" s="1504">
        <f ca="1">IF($A111&lt;EE_Date,VLOOKUP($A111,Curves_Table,Escalation!$D$291),Exch)</f>
        <v>1.0649999999999999</v>
      </c>
      <c r="K111" s="1505">
        <f t="shared" ca="1" si="21"/>
        <v>25409.104408869582</v>
      </c>
      <c r="M111" s="691">
        <f ca="1">VLOOKUP($A111,Tariff_Table,Tariff!$F$33)</f>
        <v>1.1000183442332001E-2</v>
      </c>
      <c r="N111" s="1481">
        <f t="shared" ca="1" si="22"/>
        <v>94.774421740247178</v>
      </c>
      <c r="O111" s="1480">
        <f ca="1">VLOOKUP($A111,Curves_Table,Escalation!$R$291)</f>
        <v>2.2550598503973429</v>
      </c>
      <c r="P111" s="1505">
        <f t="shared" ca="1" si="23"/>
        <v>213.72199331105648</v>
      </c>
      <c r="R111" s="1506">
        <f t="shared" ca="1" si="24"/>
        <v>25622.826402180639</v>
      </c>
      <c r="S111" s="330">
        <f ca="1">'Plant Operations'!C111</f>
        <v>480</v>
      </c>
      <c r="T111" s="1481">
        <f t="shared" ca="1" si="25"/>
        <v>12298.956673046707</v>
      </c>
      <c r="U111" s="1504">
        <f t="shared" ca="1" si="26"/>
        <v>2.4356136199963871</v>
      </c>
      <c r="V111" s="384">
        <f t="shared" ca="1" si="27"/>
        <v>5049.6337235398405</v>
      </c>
      <c r="W111" s="692" t="str">
        <f t="shared" ca="1" si="15"/>
        <v xml:space="preserve"> </v>
      </c>
      <c r="Y111" s="1507">
        <f ca="1">IF($A111&gt;Endyr,0,VLOOKUP($A111,Tariff_Table,Tariff!$J$33))</f>
        <v>0.19</v>
      </c>
      <c r="Z111" s="1504">
        <f ca="1">VLOOKUP($A111,Curves_Table,Escalation!$AH$291)</f>
        <v>2.2550598503973429</v>
      </c>
      <c r="AA111" s="1504">
        <f t="shared" ca="1" si="28"/>
        <v>0.42846137157549513</v>
      </c>
      <c r="AB111" s="334">
        <f ca="1">'Plant Operations'!$I111+'Plant Operations'!$M111</f>
        <v>298980.864</v>
      </c>
      <c r="AC111" s="1481">
        <f t="shared" ca="1" si="16"/>
        <v>128.10175106426658</v>
      </c>
      <c r="AD111" s="1504">
        <f t="shared" ca="1" si="17"/>
        <v>2.4356136199963871</v>
      </c>
      <c r="AE111" s="335">
        <f t="shared" ca="1" si="29"/>
        <v>52.595267990189924</v>
      </c>
      <c r="AF111" s="698" t="str">
        <f t="shared" ca="1" si="18"/>
        <v xml:space="preserve"> </v>
      </c>
    </row>
    <row r="112" spans="1:32">
      <c r="A112" s="672">
        <f ca="1">'Plant Operations'!A112</f>
        <v>39295</v>
      </c>
      <c r="C112" s="1503">
        <f ca="1">IF($A112&gt;Endyr,0,VLOOKUP($A112,Tariff_Table,Tariff!$D$33))</f>
        <v>8615.7128412537932</v>
      </c>
      <c r="E112" s="691">
        <f ca="1">VLOOKUP($A112,Tariff_Table,Tariff!$E$33)</f>
        <v>0.988999816557668</v>
      </c>
      <c r="F112" s="1481">
        <f t="shared" ca="1" si="19"/>
        <v>8520.9384195135463</v>
      </c>
      <c r="G112" s="1480">
        <f ca="1">VLOOKUP($A112,Curves_Table,Escalation!$N$291)</f>
        <v>1.3038965761068158</v>
      </c>
      <c r="H112" s="1481">
        <f t="shared" ca="1" si="20"/>
        <v>11110.422430420735</v>
      </c>
      <c r="I112" s="1504">
        <f ca="1">IF(Assm!$L$74=0,VLOOKUP($A112,Curves_Table,Escalation!$D$291),VLOOKUP($A112,Curves_Table,Escalation!$E$291))</f>
        <v>2.4410612698405219</v>
      </c>
      <c r="J112" s="1504">
        <f ca="1">IF($A112&lt;EE_Date,VLOOKUP($A112,Curves_Table,Escalation!$D$291),Exch)</f>
        <v>1.0649999999999999</v>
      </c>
      <c r="K112" s="1505">
        <f t="shared" ca="1" si="21"/>
        <v>25465.936043631413</v>
      </c>
      <c r="M112" s="691">
        <f ca="1">VLOOKUP($A112,Tariff_Table,Tariff!$F$33)</f>
        <v>1.1000183442332001E-2</v>
      </c>
      <c r="N112" s="1481">
        <f t="shared" ca="1" si="22"/>
        <v>94.774421740247178</v>
      </c>
      <c r="O112" s="1480">
        <f ca="1">VLOOKUP($A112,Curves_Table,Escalation!$R$291)</f>
        <v>2.2550598503973429</v>
      </c>
      <c r="P112" s="1505">
        <f t="shared" ca="1" si="23"/>
        <v>213.72199331105648</v>
      </c>
      <c r="R112" s="1506">
        <f t="shared" ca="1" si="24"/>
        <v>25679.65803694247</v>
      </c>
      <c r="S112" s="330">
        <f ca="1">'Plant Operations'!C112</f>
        <v>480</v>
      </c>
      <c r="T112" s="1481">
        <f t="shared" ca="1" si="25"/>
        <v>12326.235857732385</v>
      </c>
      <c r="U112" s="1504">
        <f t="shared" ca="1" si="26"/>
        <v>2.4410612698405219</v>
      </c>
      <c r="V112" s="384">
        <f t="shared" ca="1" si="27"/>
        <v>5049.5397268490833</v>
      </c>
      <c r="W112" s="692" t="str">
        <f t="shared" ca="1" si="15"/>
        <v xml:space="preserve"> </v>
      </c>
      <c r="Y112" s="1507">
        <f ca="1">IF($A112&gt;Endyr,0,VLOOKUP($A112,Tariff_Table,Tariff!$J$33))</f>
        <v>0.19</v>
      </c>
      <c r="Z112" s="1504">
        <f ca="1">VLOOKUP($A112,Curves_Table,Escalation!$AH$291)</f>
        <v>2.2550598503973429</v>
      </c>
      <c r="AA112" s="1504">
        <f t="shared" ca="1" si="28"/>
        <v>0.42846137157549513</v>
      </c>
      <c r="AB112" s="334">
        <f ca="1">'Plant Operations'!$I112+'Plant Operations'!$M112</f>
        <v>298980.864</v>
      </c>
      <c r="AC112" s="1481">
        <f t="shared" ca="1" si="16"/>
        <v>128.10175106426658</v>
      </c>
      <c r="AD112" s="1504">
        <f t="shared" ca="1" si="17"/>
        <v>2.4410612698405219</v>
      </c>
      <c r="AE112" s="335">
        <f t="shared" ca="1" si="29"/>
        <v>52.477892565406869</v>
      </c>
      <c r="AF112" s="698" t="str">
        <f t="shared" ca="1" si="18"/>
        <v xml:space="preserve"> </v>
      </c>
    </row>
    <row r="113" spans="1:32">
      <c r="A113" s="672">
        <f ca="1">'Plant Operations'!A113</f>
        <v>39326</v>
      </c>
      <c r="C113" s="1503">
        <f ca="1">IF($A113&gt;Endyr,0,VLOOKUP($A113,Tariff_Table,Tariff!$D$33))</f>
        <v>8615.7128412537932</v>
      </c>
      <c r="E113" s="691">
        <f ca="1">VLOOKUP($A113,Tariff_Table,Tariff!$E$33)</f>
        <v>0.988999816557668</v>
      </c>
      <c r="F113" s="1481">
        <f t="shared" ca="1" si="19"/>
        <v>8520.9384195135463</v>
      </c>
      <c r="G113" s="1480">
        <f ca="1">VLOOKUP($A113,Curves_Table,Escalation!$N$291)</f>
        <v>1.3038965761068158</v>
      </c>
      <c r="H113" s="1481">
        <f t="shared" ca="1" si="20"/>
        <v>11110.422430420735</v>
      </c>
      <c r="I113" s="1504">
        <f ca="1">IF(Assm!$L$74=0,VLOOKUP($A113,Curves_Table,Escalation!$D$291),VLOOKUP($A113,Curves_Table,Escalation!$E$291))</f>
        <v>2.4465211042481605</v>
      </c>
      <c r="J113" s="1504">
        <f ca="1">IF($A113&lt;EE_Date,VLOOKUP($A113,Curves_Table,Escalation!$D$291),Exch)</f>
        <v>1.0649999999999999</v>
      </c>
      <c r="K113" s="1505">
        <f t="shared" ca="1" si="21"/>
        <v>25522.894791677438</v>
      </c>
      <c r="M113" s="691">
        <f ca="1">VLOOKUP($A113,Tariff_Table,Tariff!$F$33)</f>
        <v>1.1000183442332001E-2</v>
      </c>
      <c r="N113" s="1481">
        <f t="shared" ca="1" si="22"/>
        <v>94.774421740247178</v>
      </c>
      <c r="O113" s="1480">
        <f ca="1">VLOOKUP($A113,Curves_Table,Escalation!$R$291)</f>
        <v>2.2550598503973429</v>
      </c>
      <c r="P113" s="1505">
        <f t="shared" ca="1" si="23"/>
        <v>213.72199331105648</v>
      </c>
      <c r="R113" s="1506">
        <f t="shared" ca="1" si="24"/>
        <v>25736.616784988495</v>
      </c>
      <c r="S113" s="330">
        <f ca="1">'Plant Operations'!C113</f>
        <v>480</v>
      </c>
      <c r="T113" s="1481">
        <f t="shared" ca="1" si="25"/>
        <v>12353.576056794478</v>
      </c>
      <c r="U113" s="1504">
        <f t="shared" ca="1" si="26"/>
        <v>2.4465211042481605</v>
      </c>
      <c r="V113" s="384">
        <f t="shared" ca="1" si="27"/>
        <v>5049.4459399281786</v>
      </c>
      <c r="W113" s="692" t="str">
        <f t="shared" ca="1" si="15"/>
        <v xml:space="preserve"> </v>
      </c>
      <c r="Y113" s="1507">
        <f ca="1">IF($A113&gt;Endyr,0,VLOOKUP($A113,Tariff_Table,Tariff!$J$33))</f>
        <v>0.19</v>
      </c>
      <c r="Z113" s="1504">
        <f ca="1">VLOOKUP($A113,Curves_Table,Escalation!$AH$291)</f>
        <v>2.2550598503973429</v>
      </c>
      <c r="AA113" s="1504">
        <f t="shared" ca="1" si="28"/>
        <v>0.42846137157549513</v>
      </c>
      <c r="AB113" s="334">
        <f ca="1">'Plant Operations'!$I113+'Plant Operations'!$M113</f>
        <v>289336.32000000001</v>
      </c>
      <c r="AC113" s="1481">
        <f t="shared" ca="1" si="16"/>
        <v>123.96943651380637</v>
      </c>
      <c r="AD113" s="1504">
        <f t="shared" ca="1" si="17"/>
        <v>2.4465211042481605</v>
      </c>
      <c r="AE113" s="335">
        <f t="shared" ca="1" si="29"/>
        <v>50.671721694345806</v>
      </c>
      <c r="AF113" s="698" t="str">
        <f t="shared" ca="1" si="18"/>
        <v xml:space="preserve"> </v>
      </c>
    </row>
    <row r="114" spans="1:32">
      <c r="A114" s="672">
        <f ca="1">'Plant Operations'!A114</f>
        <v>39356</v>
      </c>
      <c r="C114" s="1503">
        <f ca="1">IF($A114&gt;Endyr,0,VLOOKUP($A114,Tariff_Table,Tariff!$D$33))</f>
        <v>8615.7128412537932</v>
      </c>
      <c r="E114" s="691">
        <f ca="1">VLOOKUP($A114,Tariff_Table,Tariff!$E$33)</f>
        <v>0.988999816557668</v>
      </c>
      <c r="F114" s="1481">
        <f t="shared" ca="1" si="19"/>
        <v>8520.9384195135463</v>
      </c>
      <c r="G114" s="1480">
        <f ca="1">VLOOKUP($A114,Curves_Table,Escalation!$N$291)</f>
        <v>1.3038965761068158</v>
      </c>
      <c r="H114" s="1481">
        <f t="shared" ca="1" si="20"/>
        <v>11110.422430420735</v>
      </c>
      <c r="I114" s="1504">
        <f ca="1">IF(Assm!$L$74=0,VLOOKUP($A114,Curves_Table,Escalation!$D$291),VLOOKUP($A114,Curves_Table,Escalation!$E$291))</f>
        <v>2.4519931504720804</v>
      </c>
      <c r="J114" s="1504">
        <f ca="1">IF($A114&lt;EE_Date,VLOOKUP($A114,Curves_Table,Escalation!$D$291),Exch)</f>
        <v>1.0649999999999999</v>
      </c>
      <c r="K114" s="1505">
        <f t="shared" ca="1" si="21"/>
        <v>25579.980937317378</v>
      </c>
      <c r="M114" s="691">
        <f ca="1">VLOOKUP($A114,Tariff_Table,Tariff!$F$33)</f>
        <v>1.1000183442332001E-2</v>
      </c>
      <c r="N114" s="1481">
        <f t="shared" ca="1" si="22"/>
        <v>94.774421740247178</v>
      </c>
      <c r="O114" s="1480">
        <f ca="1">VLOOKUP($A114,Curves_Table,Escalation!$R$291)</f>
        <v>2.2550598503973429</v>
      </c>
      <c r="P114" s="1505">
        <f t="shared" ca="1" si="23"/>
        <v>213.72199331105648</v>
      </c>
      <c r="R114" s="1506">
        <f t="shared" ca="1" si="24"/>
        <v>25793.702930628435</v>
      </c>
      <c r="S114" s="330">
        <f ca="1">'Plant Operations'!C114</f>
        <v>480</v>
      </c>
      <c r="T114" s="1481">
        <f t="shared" ca="1" si="25"/>
        <v>12380.977406701648</v>
      </c>
      <c r="U114" s="1504">
        <f t="shared" ca="1" si="26"/>
        <v>2.4519931504720804</v>
      </c>
      <c r="V114" s="384">
        <f t="shared" ca="1" si="27"/>
        <v>5049.3523623089841</v>
      </c>
      <c r="W114" s="692" t="str">
        <f t="shared" ca="1" si="15"/>
        <v xml:space="preserve"> </v>
      </c>
      <c r="Y114" s="1507">
        <f ca="1">IF($A114&gt;Endyr,0,VLOOKUP($A114,Tariff_Table,Tariff!$J$33))</f>
        <v>0.19</v>
      </c>
      <c r="Z114" s="1504">
        <f ca="1">VLOOKUP($A114,Curves_Table,Escalation!$AH$291)</f>
        <v>2.2550598503973429</v>
      </c>
      <c r="AA114" s="1504">
        <f t="shared" ca="1" si="28"/>
        <v>0.42846137157549513</v>
      </c>
      <c r="AB114" s="334">
        <f ca="1">'Plant Operations'!$I114+'Plant Operations'!$M114</f>
        <v>298980.864</v>
      </c>
      <c r="AC114" s="1481">
        <f t="shared" ca="1" si="16"/>
        <v>128.10175106426658</v>
      </c>
      <c r="AD114" s="1504">
        <f t="shared" ca="1" si="17"/>
        <v>2.4519931504720804</v>
      </c>
      <c r="AE114" s="335">
        <f t="shared" ca="1" si="29"/>
        <v>52.243926961869057</v>
      </c>
      <c r="AF114" s="698" t="str">
        <f t="shared" ca="1" si="18"/>
        <v xml:space="preserve"> </v>
      </c>
    </row>
    <row r="115" spans="1:32">
      <c r="A115" s="672">
        <f ca="1">'Plant Operations'!A115</f>
        <v>39387</v>
      </c>
      <c r="C115" s="1503">
        <f ca="1">IF($A115&gt;Endyr,0,VLOOKUP($A115,Tariff_Table,Tariff!$D$33))</f>
        <v>8615.7128412537932</v>
      </c>
      <c r="E115" s="691">
        <f ca="1">VLOOKUP($A115,Tariff_Table,Tariff!$E$33)</f>
        <v>0.988999816557668</v>
      </c>
      <c r="F115" s="1481">
        <f t="shared" ca="1" si="19"/>
        <v>8520.9384195135463</v>
      </c>
      <c r="G115" s="1480">
        <f ca="1">VLOOKUP($A115,Curves_Table,Escalation!$N$291)</f>
        <v>1.3038965761068158</v>
      </c>
      <c r="H115" s="1481">
        <f t="shared" ca="1" si="20"/>
        <v>11110.422430420735</v>
      </c>
      <c r="I115" s="1504">
        <f ca="1">IF(Assm!$L$74=0,VLOOKUP($A115,Curves_Table,Escalation!$D$291),VLOOKUP($A115,Curves_Table,Escalation!$E$291))</f>
        <v>2.4574774358260143</v>
      </c>
      <c r="J115" s="1504">
        <f ca="1">IF($A115&lt;EE_Date,VLOOKUP($A115,Curves_Table,Escalation!$D$291),Exch)</f>
        <v>1.0649999999999999</v>
      </c>
      <c r="K115" s="1505">
        <f t="shared" ca="1" si="21"/>
        <v>25637.194765496886</v>
      </c>
      <c r="M115" s="691">
        <f ca="1">VLOOKUP($A115,Tariff_Table,Tariff!$F$33)</f>
        <v>1.1000183442332001E-2</v>
      </c>
      <c r="N115" s="1481">
        <f t="shared" ca="1" si="22"/>
        <v>94.774421740247178</v>
      </c>
      <c r="O115" s="1480">
        <f ca="1">VLOOKUP($A115,Curves_Table,Escalation!$R$291)</f>
        <v>2.2550598503973429</v>
      </c>
      <c r="P115" s="1505">
        <f t="shared" ca="1" si="23"/>
        <v>213.72199331105648</v>
      </c>
      <c r="R115" s="1506">
        <f t="shared" ca="1" si="24"/>
        <v>25850.916758807944</v>
      </c>
      <c r="S115" s="330">
        <f ca="1">'Plant Operations'!C115</f>
        <v>480</v>
      </c>
      <c r="T115" s="1481">
        <f t="shared" ca="1" si="25"/>
        <v>12408.440044227813</v>
      </c>
      <c r="U115" s="1504">
        <f t="shared" ca="1" si="26"/>
        <v>2.4574774358260143</v>
      </c>
      <c r="V115" s="384">
        <f t="shared" ca="1" si="27"/>
        <v>5049.2589935244114</v>
      </c>
      <c r="W115" s="692" t="str">
        <f t="shared" ca="1" si="15"/>
        <v xml:space="preserve"> </v>
      </c>
      <c r="Y115" s="1507">
        <f ca="1">IF($A115&gt;Endyr,0,VLOOKUP($A115,Tariff_Table,Tariff!$J$33))</f>
        <v>0.19</v>
      </c>
      <c r="Z115" s="1504">
        <f ca="1">VLOOKUP($A115,Curves_Table,Escalation!$AH$291)</f>
        <v>2.2550598503973429</v>
      </c>
      <c r="AA115" s="1504">
        <f t="shared" ca="1" si="28"/>
        <v>0.42846137157549513</v>
      </c>
      <c r="AB115" s="334">
        <f ca="1">'Plant Operations'!$I115+'Plant Operations'!$M115</f>
        <v>289336.32000000001</v>
      </c>
      <c r="AC115" s="1481">
        <f t="shared" ca="1" si="16"/>
        <v>123.96943651380637</v>
      </c>
      <c r="AD115" s="1504">
        <f t="shared" ca="1" si="17"/>
        <v>2.4574774358260143</v>
      </c>
      <c r="AE115" s="335">
        <f t="shared" ca="1" si="29"/>
        <v>50.445808659942962</v>
      </c>
      <c r="AF115" s="698" t="str">
        <f t="shared" ca="1" si="18"/>
        <v xml:space="preserve"> </v>
      </c>
    </row>
    <row r="116" spans="1:32">
      <c r="A116" s="672">
        <f ca="1">'Plant Operations'!A116</f>
        <v>39417</v>
      </c>
      <c r="C116" s="1503">
        <f ca="1">IF($A116&gt;Endyr,0,VLOOKUP($A116,Tariff_Table,Tariff!$D$33))</f>
        <v>8615.7128412537932</v>
      </c>
      <c r="E116" s="691">
        <f ca="1">VLOOKUP($A116,Tariff_Table,Tariff!$E$33)</f>
        <v>0.988999816557668</v>
      </c>
      <c r="F116" s="1481">
        <f t="shared" ca="1" si="19"/>
        <v>8520.9384195135463</v>
      </c>
      <c r="G116" s="1480">
        <f ca="1">VLOOKUP($A116,Curves_Table,Escalation!$N$291)</f>
        <v>1.3038965761068158</v>
      </c>
      <c r="H116" s="1481">
        <f t="shared" ca="1" si="20"/>
        <v>11110.422430420735</v>
      </c>
      <c r="I116" s="1504">
        <f ca="1">IF(Assm!$L$74=0,VLOOKUP($A116,Curves_Table,Escalation!$D$291),VLOOKUP($A116,Curves_Table,Escalation!$E$291))</f>
        <v>2.4629739876847867</v>
      </c>
      <c r="J116" s="1504">
        <f ca="1">IF($A116&lt;EE_Date,VLOOKUP($A116,Curves_Table,Escalation!$D$291),Exch)</f>
        <v>1.0649999999999999</v>
      </c>
      <c r="K116" s="1505">
        <f t="shared" ca="1" si="21"/>
        <v>25694.536561798926</v>
      </c>
      <c r="M116" s="691">
        <f ca="1">VLOOKUP($A116,Tariff_Table,Tariff!$F$33)</f>
        <v>1.1000183442332001E-2</v>
      </c>
      <c r="N116" s="1481">
        <f t="shared" ca="1" si="22"/>
        <v>94.774421740247178</v>
      </c>
      <c r="O116" s="1480">
        <f ca="1">VLOOKUP($A116,Curves_Table,Escalation!$R$291)</f>
        <v>2.2550598503973429</v>
      </c>
      <c r="P116" s="1505">
        <f t="shared" ca="1" si="23"/>
        <v>213.72199331105648</v>
      </c>
      <c r="R116" s="1506">
        <f t="shared" ca="1" si="24"/>
        <v>25908.258555109984</v>
      </c>
      <c r="S116" s="330">
        <f ca="1">'Plant Operations'!C116</f>
        <v>480</v>
      </c>
      <c r="T116" s="1481">
        <f t="shared" ca="1" si="25"/>
        <v>12435.964106452793</v>
      </c>
      <c r="U116" s="1504">
        <f t="shared" ca="1" si="26"/>
        <v>2.4629739876847867</v>
      </c>
      <c r="V116" s="384">
        <f t="shared" ca="1" si="27"/>
        <v>5049.1658331084082</v>
      </c>
      <c r="W116" s="692">
        <f t="shared" ca="1" si="15"/>
        <v>62075.797187336982</v>
      </c>
      <c r="Y116" s="1507">
        <f ca="1">IF($A116&gt;Endyr,0,VLOOKUP($A116,Tariff_Table,Tariff!$J$33))</f>
        <v>0.19</v>
      </c>
      <c r="Z116" s="1504">
        <f ca="1">VLOOKUP($A116,Curves_Table,Escalation!$AH$291)</f>
        <v>2.2550598503973429</v>
      </c>
      <c r="AA116" s="1504">
        <f t="shared" ca="1" si="28"/>
        <v>0.42846137157549513</v>
      </c>
      <c r="AB116" s="334">
        <f ca="1">'Plant Operations'!$I116+'Plant Operations'!$M116</f>
        <v>298980.864</v>
      </c>
      <c r="AC116" s="1481">
        <f t="shared" ca="1" si="16"/>
        <v>128.10175106426658</v>
      </c>
      <c r="AD116" s="1504">
        <f t="shared" ca="1" si="17"/>
        <v>2.4629739876847867</v>
      </c>
      <c r="AE116" s="335">
        <f t="shared" ca="1" si="29"/>
        <v>52.011004462407314</v>
      </c>
      <c r="AF116" s="698">
        <f t="shared" ca="1" si="18"/>
        <v>605.59352264170366</v>
      </c>
    </row>
    <row r="117" spans="1:32">
      <c r="A117" s="672">
        <f ca="1">'Plant Operations'!A117</f>
        <v>39448</v>
      </c>
      <c r="C117" s="1503">
        <f ca="1">IF($A117&gt;Endyr,0,VLOOKUP($A117,Tariff_Table,Tariff!$D$33))</f>
        <v>8615.7128412537932</v>
      </c>
      <c r="E117" s="691">
        <f ca="1">VLOOKUP($A117,Tariff_Table,Tariff!$E$33)</f>
        <v>0.988999816557668</v>
      </c>
      <c r="F117" s="1481">
        <f t="shared" ca="1" si="19"/>
        <v>8520.9384195135463</v>
      </c>
      <c r="G117" s="1480">
        <f ca="1">VLOOKUP($A117,Curves_Table,Escalation!$N$291)</f>
        <v>1.3038965761068158</v>
      </c>
      <c r="H117" s="1481">
        <f t="shared" ca="1" si="20"/>
        <v>11110.422430420735</v>
      </c>
      <c r="I117" s="1504">
        <f ca="1">IF(Assm!$L$74=0,VLOOKUP($A117,Curves_Table,Escalation!$D$291),VLOOKUP($A117,Curves_Table,Escalation!$E$291))</f>
        <v>2.4681826378384035</v>
      </c>
      <c r="J117" s="1504">
        <f ca="1">IF($A117&lt;EE_Date,VLOOKUP($A117,Curves_Table,Escalation!$D$291),Exch)</f>
        <v>1.0649999999999999</v>
      </c>
      <c r="K117" s="1505">
        <f t="shared" ca="1" si="21"/>
        <v>25748.874874943489</v>
      </c>
      <c r="M117" s="691">
        <f ca="1">VLOOKUP($A117,Tariff_Table,Tariff!$F$33)</f>
        <v>1.1000183442332001E-2</v>
      </c>
      <c r="N117" s="1481">
        <f t="shared" ca="1" si="22"/>
        <v>94.774421740247178</v>
      </c>
      <c r="O117" s="1480">
        <f ca="1">VLOOKUP($A117,Curves_Table,Escalation!$R$291)</f>
        <v>2.2550598503973429</v>
      </c>
      <c r="P117" s="1505">
        <f t="shared" ca="1" si="23"/>
        <v>213.72199331105648</v>
      </c>
      <c r="R117" s="1506">
        <f t="shared" ca="1" si="24"/>
        <v>25962.596868254546</v>
      </c>
      <c r="S117" s="330">
        <f ca="1">'Plant Operations'!C117</f>
        <v>480</v>
      </c>
      <c r="T117" s="1481">
        <f t="shared" ca="1" si="25"/>
        <v>12462.046496762183</v>
      </c>
      <c r="U117" s="1504">
        <f t="shared" ca="1" si="26"/>
        <v>2.4681826378384035</v>
      </c>
      <c r="V117" s="384">
        <f t="shared" ca="1" si="27"/>
        <v>5049.0779352034706</v>
      </c>
      <c r="W117" s="692" t="str">
        <f t="shared" ca="1" si="15"/>
        <v xml:space="preserve"> </v>
      </c>
      <c r="Y117" s="1507">
        <f ca="1">IF($A117&gt;Endyr,0,VLOOKUP($A117,Tariff_Table,Tariff!$J$33))</f>
        <v>0.19</v>
      </c>
      <c r="Z117" s="1504">
        <f ca="1">VLOOKUP($A117,Curves_Table,Escalation!$AH$291)</f>
        <v>2.2550598503973429</v>
      </c>
      <c r="AA117" s="1504">
        <f t="shared" ca="1" si="28"/>
        <v>0.42846137157549513</v>
      </c>
      <c r="AB117" s="334">
        <f ca="1">'Plant Operations'!$I117+'Plant Operations'!$M117</f>
        <v>298980.864</v>
      </c>
      <c r="AC117" s="1481">
        <f t="shared" ca="1" si="16"/>
        <v>128.10175106426658</v>
      </c>
      <c r="AD117" s="1504">
        <f t="shared" ca="1" si="17"/>
        <v>2.4681826378384035</v>
      </c>
      <c r="AE117" s="335">
        <f t="shared" ca="1" si="29"/>
        <v>51.901244705479385</v>
      </c>
      <c r="AF117" s="698" t="str">
        <f t="shared" ca="1" si="18"/>
        <v xml:space="preserve"> </v>
      </c>
    </row>
    <row r="118" spans="1:32">
      <c r="A118" s="672">
        <f ca="1">'Plant Operations'!A118</f>
        <v>39479</v>
      </c>
      <c r="C118" s="1503">
        <f ca="1">IF($A118&gt;Endyr,0,VLOOKUP($A118,Tariff_Table,Tariff!$D$33))</f>
        <v>8615.7128412537932</v>
      </c>
      <c r="E118" s="691">
        <f ca="1">VLOOKUP($A118,Tariff_Table,Tariff!$E$33)</f>
        <v>0.988999816557668</v>
      </c>
      <c r="F118" s="1481">
        <f t="shared" ca="1" si="19"/>
        <v>8520.9384195135463</v>
      </c>
      <c r="G118" s="1480">
        <f ca="1">VLOOKUP($A118,Curves_Table,Escalation!$N$291)</f>
        <v>1.3038965761068158</v>
      </c>
      <c r="H118" s="1481">
        <f t="shared" ca="1" si="20"/>
        <v>11110.422430420735</v>
      </c>
      <c r="I118" s="1504">
        <f ca="1">IF(Assm!$L$74=0,VLOOKUP($A118,Curves_Table,Escalation!$D$291),VLOOKUP($A118,Curves_Table,Escalation!$E$291))</f>
        <v>2.4734023031454724</v>
      </c>
      <c r="J118" s="1504">
        <f ca="1">IF($A118&lt;EE_Date,VLOOKUP($A118,Curves_Table,Escalation!$D$291),Exch)</f>
        <v>1.0649999999999999</v>
      </c>
      <c r="K118" s="1505">
        <f t="shared" ca="1" si="21"/>
        <v>25803.328101710576</v>
      </c>
      <c r="M118" s="691">
        <f ca="1">VLOOKUP($A118,Tariff_Table,Tariff!$F$33)</f>
        <v>1.1000183442332001E-2</v>
      </c>
      <c r="N118" s="1481">
        <f t="shared" ca="1" si="22"/>
        <v>94.774421740247178</v>
      </c>
      <c r="O118" s="1480">
        <f ca="1">VLOOKUP($A118,Curves_Table,Escalation!$R$291)</f>
        <v>2.2550598503973429</v>
      </c>
      <c r="P118" s="1505">
        <f t="shared" ca="1" si="23"/>
        <v>213.72199331105648</v>
      </c>
      <c r="R118" s="1506">
        <f t="shared" ca="1" si="24"/>
        <v>26017.050095021634</v>
      </c>
      <c r="S118" s="330">
        <f ca="1">'Plant Operations'!C118</f>
        <v>480</v>
      </c>
      <c r="T118" s="1481">
        <f t="shared" ca="1" si="25"/>
        <v>12488.184045610386</v>
      </c>
      <c r="U118" s="1504">
        <f t="shared" ca="1" si="26"/>
        <v>2.4734023031454724</v>
      </c>
      <c r="V118" s="384">
        <f t="shared" ca="1" si="27"/>
        <v>5048.9902227910625</v>
      </c>
      <c r="W118" s="692" t="str">
        <f t="shared" ca="1" si="15"/>
        <v xml:space="preserve"> </v>
      </c>
      <c r="Y118" s="1507">
        <f ca="1">IF($A118&gt;Endyr,0,VLOOKUP($A118,Tariff_Table,Tariff!$J$33))</f>
        <v>0.19</v>
      </c>
      <c r="Z118" s="1504">
        <f ca="1">VLOOKUP($A118,Curves_Table,Escalation!$AH$291)</f>
        <v>2.2550598503973429</v>
      </c>
      <c r="AA118" s="1504">
        <f t="shared" ca="1" si="28"/>
        <v>0.42846137157549513</v>
      </c>
      <c r="AB118" s="334">
        <f ca="1">'Plant Operations'!$I118+'Plant Operations'!$M118</f>
        <v>279691.77600000001</v>
      </c>
      <c r="AC118" s="1481">
        <f t="shared" ca="1" si="16"/>
        <v>119.83712196334616</v>
      </c>
      <c r="AD118" s="1504">
        <f t="shared" ca="1" si="17"/>
        <v>2.4734023031454724</v>
      </c>
      <c r="AE118" s="335">
        <f t="shared" ca="1" si="29"/>
        <v>48.450315507083921</v>
      </c>
      <c r="AF118" s="698" t="str">
        <f t="shared" ca="1" si="18"/>
        <v xml:space="preserve"> </v>
      </c>
    </row>
    <row r="119" spans="1:32">
      <c r="A119" s="672">
        <f ca="1">'Plant Operations'!A119</f>
        <v>39508</v>
      </c>
      <c r="C119" s="1503">
        <f ca="1">IF($A119&gt;Endyr,0,VLOOKUP($A119,Tariff_Table,Tariff!$D$33))</f>
        <v>8615.7128412537932</v>
      </c>
      <c r="E119" s="691">
        <f ca="1">VLOOKUP($A119,Tariff_Table,Tariff!$E$33)</f>
        <v>0.988999816557668</v>
      </c>
      <c r="F119" s="1481">
        <f t="shared" ca="1" si="19"/>
        <v>8520.9384195135463</v>
      </c>
      <c r="G119" s="1480">
        <f ca="1">VLOOKUP($A119,Curves_Table,Escalation!$N$291)</f>
        <v>1.3038965761068158</v>
      </c>
      <c r="H119" s="1481">
        <f t="shared" ca="1" si="20"/>
        <v>11110.422430420735</v>
      </c>
      <c r="I119" s="1504">
        <f ca="1">IF(Assm!$L$74=0,VLOOKUP($A119,Curves_Table,Escalation!$D$291),VLOOKUP($A119,Curves_Table,Escalation!$E$291))</f>
        <v>2.4786330069006288</v>
      </c>
      <c r="J119" s="1504">
        <f ca="1">IF($A119&lt;EE_Date,VLOOKUP($A119,Curves_Table,Escalation!$D$291),Exch)</f>
        <v>1.0649999999999999</v>
      </c>
      <c r="K119" s="1505">
        <f t="shared" ca="1" si="21"/>
        <v>25857.896485117311</v>
      </c>
      <c r="M119" s="691">
        <f ca="1">VLOOKUP($A119,Tariff_Table,Tariff!$F$33)</f>
        <v>1.1000183442332001E-2</v>
      </c>
      <c r="N119" s="1481">
        <f t="shared" ca="1" si="22"/>
        <v>94.774421740247178</v>
      </c>
      <c r="O119" s="1480">
        <f ca="1">VLOOKUP($A119,Curves_Table,Escalation!$R$291)</f>
        <v>2.2550598503973429</v>
      </c>
      <c r="P119" s="1505">
        <f t="shared" ca="1" si="23"/>
        <v>213.72199331105648</v>
      </c>
      <c r="R119" s="1506">
        <f t="shared" ca="1" si="24"/>
        <v>26071.618478428369</v>
      </c>
      <c r="S119" s="330">
        <f ca="1">'Plant Operations'!C119</f>
        <v>480</v>
      </c>
      <c r="T119" s="1481">
        <f t="shared" ca="1" si="25"/>
        <v>12514.376869645617</v>
      </c>
      <c r="U119" s="1504">
        <f t="shared" ca="1" si="26"/>
        <v>2.4786330069006288</v>
      </c>
      <c r="V119" s="384">
        <f t="shared" ca="1" si="27"/>
        <v>5048.9026954797318</v>
      </c>
      <c r="W119" s="692" t="str">
        <f t="shared" ca="1" si="15"/>
        <v xml:space="preserve"> </v>
      </c>
      <c r="Y119" s="1507">
        <f ca="1">IF($A119&gt;Endyr,0,VLOOKUP($A119,Tariff_Table,Tariff!$J$33))</f>
        <v>0.19</v>
      </c>
      <c r="Z119" s="1504">
        <f ca="1">VLOOKUP($A119,Curves_Table,Escalation!$AH$291)</f>
        <v>2.2550598503973429</v>
      </c>
      <c r="AA119" s="1504">
        <f t="shared" ca="1" si="28"/>
        <v>0.42846137157549513</v>
      </c>
      <c r="AB119" s="334">
        <f ca="1">'Plant Operations'!$I119+'Plant Operations'!$M119</f>
        <v>298980.864</v>
      </c>
      <c r="AC119" s="1481">
        <f t="shared" ca="1" si="16"/>
        <v>128.10175106426658</v>
      </c>
      <c r="AD119" s="1504">
        <f t="shared" ca="1" si="17"/>
        <v>2.4786330069006288</v>
      </c>
      <c r="AE119" s="335">
        <f t="shared" ca="1" si="29"/>
        <v>51.682419586774401</v>
      </c>
      <c r="AF119" s="698" t="str">
        <f t="shared" ca="1" si="18"/>
        <v xml:space="preserve"> </v>
      </c>
    </row>
    <row r="120" spans="1:32">
      <c r="A120" s="672">
        <f ca="1">'Plant Operations'!A120</f>
        <v>39539</v>
      </c>
      <c r="C120" s="1503">
        <f ca="1">IF($A120&gt;Endyr,0,VLOOKUP($A120,Tariff_Table,Tariff!$D$33))</f>
        <v>8615.7128412537932</v>
      </c>
      <c r="E120" s="691">
        <f ca="1">VLOOKUP($A120,Tariff_Table,Tariff!$E$33)</f>
        <v>0.988999816557668</v>
      </c>
      <c r="F120" s="1481">
        <f t="shared" ca="1" si="19"/>
        <v>8520.9384195135463</v>
      </c>
      <c r="G120" s="1480">
        <f ca="1">VLOOKUP($A120,Curves_Table,Escalation!$N$291)</f>
        <v>1.3038965761068158</v>
      </c>
      <c r="H120" s="1481">
        <f t="shared" ca="1" si="20"/>
        <v>11110.422430420735</v>
      </c>
      <c r="I120" s="1504">
        <f ca="1">IF(Assm!$L$74=0,VLOOKUP($A120,Curves_Table,Escalation!$D$291),VLOOKUP($A120,Curves_Table,Escalation!$E$291))</f>
        <v>2.4838747724477708</v>
      </c>
      <c r="J120" s="1504">
        <f ca="1">IF($A120&lt;EE_Date,VLOOKUP($A120,Curves_Table,Escalation!$D$291),Exch)</f>
        <v>1.0649999999999999</v>
      </c>
      <c r="K120" s="1505">
        <f t="shared" ca="1" si="21"/>
        <v>25912.580268694754</v>
      </c>
      <c r="M120" s="691">
        <f ca="1">VLOOKUP($A120,Tariff_Table,Tariff!$F$33)</f>
        <v>1.1000183442332001E-2</v>
      </c>
      <c r="N120" s="1481">
        <f t="shared" ca="1" si="22"/>
        <v>94.774421740247178</v>
      </c>
      <c r="O120" s="1480">
        <f ca="1">VLOOKUP($A120,Curves_Table,Escalation!$R$291)</f>
        <v>2.2550598503973429</v>
      </c>
      <c r="P120" s="1505">
        <f t="shared" ca="1" si="23"/>
        <v>213.72199331105648</v>
      </c>
      <c r="R120" s="1506">
        <f t="shared" ca="1" si="24"/>
        <v>26126.302262005811</v>
      </c>
      <c r="S120" s="330">
        <f ca="1">'Plant Operations'!C120</f>
        <v>480</v>
      </c>
      <c r="T120" s="1481">
        <f t="shared" ca="1" si="25"/>
        <v>12540.625085762789</v>
      </c>
      <c r="U120" s="1504">
        <f t="shared" ca="1" si="26"/>
        <v>2.4838747724477708</v>
      </c>
      <c r="V120" s="384">
        <f t="shared" ca="1" si="27"/>
        <v>5048.8153528788598</v>
      </c>
      <c r="W120" s="692" t="str">
        <f t="shared" ca="1" si="15"/>
        <v xml:space="preserve"> </v>
      </c>
      <c r="Y120" s="1507">
        <f ca="1">IF($A120&gt;Endyr,0,VLOOKUP($A120,Tariff_Table,Tariff!$J$33))</f>
        <v>0.19</v>
      </c>
      <c r="Z120" s="1504">
        <f ca="1">VLOOKUP($A120,Curves_Table,Escalation!$AH$291)</f>
        <v>2.2550598503973429</v>
      </c>
      <c r="AA120" s="1504">
        <f t="shared" ca="1" si="28"/>
        <v>0.42846137157549513</v>
      </c>
      <c r="AB120" s="334">
        <f ca="1">'Plant Operations'!$I120+'Plant Operations'!$M120</f>
        <v>289336.32000000001</v>
      </c>
      <c r="AC120" s="1481">
        <f t="shared" ca="1" si="16"/>
        <v>123.96943651380637</v>
      </c>
      <c r="AD120" s="1504">
        <f t="shared" ca="1" si="17"/>
        <v>2.4838747724477708</v>
      </c>
      <c r="AE120" s="335">
        <f t="shared" ca="1" si="29"/>
        <v>49.909696692011117</v>
      </c>
      <c r="AF120" s="698" t="str">
        <f t="shared" ca="1" si="18"/>
        <v xml:space="preserve"> </v>
      </c>
    </row>
    <row r="121" spans="1:32">
      <c r="A121" s="672">
        <f ca="1">'Plant Operations'!A121</f>
        <v>39569</v>
      </c>
      <c r="C121" s="1503">
        <f ca="1">IF($A121&gt;Endyr,0,VLOOKUP($A121,Tariff_Table,Tariff!$D$33))</f>
        <v>7894.5932028836251</v>
      </c>
      <c r="E121" s="691">
        <f ca="1">VLOOKUP($A121,Tariff_Table,Tariff!$E$33)</f>
        <v>0.97883561856235435</v>
      </c>
      <c r="F121" s="1481">
        <f t="shared" ca="1" si="19"/>
        <v>7727.5090210427516</v>
      </c>
      <c r="G121" s="1480">
        <f ca="1">VLOOKUP($A121,Curves_Table,Escalation!$N$291)</f>
        <v>1.3387797805891259</v>
      </c>
      <c r="H121" s="1481">
        <f t="shared" ca="1" si="20"/>
        <v>10345.432831692106</v>
      </c>
      <c r="I121" s="1504">
        <f ca="1">IF(Assm!$L$74=0,VLOOKUP($A121,Curves_Table,Escalation!$D$291),VLOOKUP($A121,Curves_Table,Escalation!$E$291))</f>
        <v>2.4891276231801638</v>
      </c>
      <c r="J121" s="1504">
        <f ca="1">IF($A121&lt;EE_Date,VLOOKUP($A121,Curves_Table,Escalation!$D$291),Exch)</f>
        <v>1.0649999999999999</v>
      </c>
      <c r="K121" s="1505">
        <f t="shared" ca="1" si="21"/>
        <v>24179.439094009205</v>
      </c>
      <c r="M121" s="691">
        <f ca="1">VLOOKUP($A121,Tariff_Table,Tariff!$F$33)</f>
        <v>2.1164381437645652E-2</v>
      </c>
      <c r="N121" s="1481">
        <f t="shared" ca="1" si="22"/>
        <v>167.08418184087373</v>
      </c>
      <c r="O121" s="1480">
        <f ca="1">VLOOKUP($A121,Curves_Table,Escalation!$R$291)</f>
        <v>2.4241893391771434</v>
      </c>
      <c r="P121" s="1505">
        <f t="shared" ca="1" si="23"/>
        <v>405.04369236378136</v>
      </c>
      <c r="R121" s="1506">
        <f t="shared" ca="1" si="24"/>
        <v>24584.482786372988</v>
      </c>
      <c r="S121" s="330">
        <f ca="1">'Plant Operations'!C121</f>
        <v>480</v>
      </c>
      <c r="T121" s="1481">
        <f t="shared" ca="1" si="25"/>
        <v>11800.551737459034</v>
      </c>
      <c r="U121" s="1504">
        <f t="shared" ca="1" si="26"/>
        <v>2.4891276231801638</v>
      </c>
      <c r="V121" s="384">
        <f t="shared" ca="1" si="27"/>
        <v>4740.8383674527677</v>
      </c>
      <c r="W121" s="692" t="str">
        <f t="shared" ca="1" si="15"/>
        <v xml:space="preserve"> </v>
      </c>
      <c r="Y121" s="1507">
        <f ca="1">IF($A121&gt;Endyr,0,VLOOKUP($A121,Tariff_Table,Tariff!$J$33))</f>
        <v>0.19</v>
      </c>
      <c r="Z121" s="1504">
        <f ca="1">VLOOKUP($A121,Curves_Table,Escalation!$AH$291)</f>
        <v>2.4241893391771434</v>
      </c>
      <c r="AA121" s="1504">
        <f t="shared" ca="1" si="28"/>
        <v>0.46059597444365724</v>
      </c>
      <c r="AB121" s="334">
        <f ca="1">'Plant Operations'!$I121+'Plant Operations'!$M121</f>
        <v>298980.864</v>
      </c>
      <c r="AC121" s="1481">
        <f t="shared" ca="1" si="16"/>
        <v>137.70938239408656</v>
      </c>
      <c r="AD121" s="1504">
        <f t="shared" ca="1" si="17"/>
        <v>2.4891276231801638</v>
      </c>
      <c r="AE121" s="335">
        <f t="shared" ca="1" si="29"/>
        <v>55.324355855304056</v>
      </c>
      <c r="AF121" s="698" t="str">
        <f t="shared" ca="1" si="18"/>
        <v xml:space="preserve"> </v>
      </c>
    </row>
    <row r="122" spans="1:32">
      <c r="A122" s="672">
        <f ca="1">'Plant Operations'!A122</f>
        <v>39600</v>
      </c>
      <c r="C122" s="1503">
        <f ca="1">IF($A122&gt;Endyr,0,VLOOKUP($A122,Tariff_Table,Tariff!$D$33))</f>
        <v>7894.5932028836251</v>
      </c>
      <c r="E122" s="691">
        <f ca="1">VLOOKUP($A122,Tariff_Table,Tariff!$E$33)</f>
        <v>0.97883561856235435</v>
      </c>
      <c r="F122" s="1481">
        <f t="shared" ca="1" si="19"/>
        <v>7727.5090210427516</v>
      </c>
      <c r="G122" s="1480">
        <f ca="1">VLOOKUP($A122,Curves_Table,Escalation!$N$291)</f>
        <v>1.3387797805891259</v>
      </c>
      <c r="H122" s="1481">
        <f t="shared" ca="1" si="20"/>
        <v>10345.432831692106</v>
      </c>
      <c r="I122" s="1504">
        <f ca="1">IF(Assm!$L$74=0,VLOOKUP($A122,Curves_Table,Escalation!$D$291),VLOOKUP($A122,Curves_Table,Escalation!$E$291))</f>
        <v>2.4943915825405454</v>
      </c>
      <c r="J122" s="1504">
        <f ca="1">IF($A122&lt;EE_Date,VLOOKUP($A122,Curves_Table,Escalation!$D$291),Exch)</f>
        <v>1.0649999999999999</v>
      </c>
      <c r="K122" s="1505">
        <f t="shared" ca="1" si="21"/>
        <v>24230.573308085812</v>
      </c>
      <c r="M122" s="691">
        <f ca="1">VLOOKUP($A122,Tariff_Table,Tariff!$F$33)</f>
        <v>2.1164381437645652E-2</v>
      </c>
      <c r="N122" s="1481">
        <f t="shared" ca="1" si="22"/>
        <v>167.08418184087373</v>
      </c>
      <c r="O122" s="1480">
        <f ca="1">VLOOKUP($A122,Curves_Table,Escalation!$R$291)</f>
        <v>2.4241893391771434</v>
      </c>
      <c r="P122" s="1505">
        <f t="shared" ca="1" si="23"/>
        <v>405.04369236378136</v>
      </c>
      <c r="R122" s="1506">
        <f t="shared" ca="1" si="24"/>
        <v>24635.617000449594</v>
      </c>
      <c r="S122" s="330">
        <f ca="1">'Plant Operations'!C122</f>
        <v>480</v>
      </c>
      <c r="T122" s="1481">
        <f t="shared" ca="1" si="25"/>
        <v>11825.096160215806</v>
      </c>
      <c r="U122" s="1504">
        <f t="shared" ca="1" si="26"/>
        <v>2.4943915825405454</v>
      </c>
      <c r="V122" s="384">
        <f t="shared" ca="1" si="27"/>
        <v>4740.6735345746756</v>
      </c>
      <c r="W122" s="692" t="str">
        <f t="shared" ca="1" si="15"/>
        <v xml:space="preserve"> </v>
      </c>
      <c r="Y122" s="1507">
        <f ca="1">IF($A122&gt;Endyr,0,VLOOKUP($A122,Tariff_Table,Tariff!$J$33))</f>
        <v>0.19</v>
      </c>
      <c r="Z122" s="1504">
        <f ca="1">VLOOKUP($A122,Curves_Table,Escalation!$AH$291)</f>
        <v>2.4241893391771434</v>
      </c>
      <c r="AA122" s="1504">
        <f t="shared" ca="1" si="28"/>
        <v>0.46059597444365724</v>
      </c>
      <c r="AB122" s="334">
        <f ca="1">'Plant Operations'!$I122+'Plant Operations'!$M122</f>
        <v>289336.32000000001</v>
      </c>
      <c r="AC122" s="1481">
        <f t="shared" ca="1" si="16"/>
        <v>133.26714425234184</v>
      </c>
      <c r="AD122" s="1504">
        <f t="shared" ca="1" si="17"/>
        <v>2.4943915825405454</v>
      </c>
      <c r="AE122" s="335">
        <f t="shared" ca="1" si="29"/>
        <v>53.426713425888344</v>
      </c>
      <c r="AF122" s="698" t="str">
        <f t="shared" ca="1" si="18"/>
        <v xml:space="preserve"> </v>
      </c>
    </row>
    <row r="123" spans="1:32">
      <c r="A123" s="672">
        <f ca="1">'Plant Operations'!A123</f>
        <v>39630</v>
      </c>
      <c r="C123" s="1503">
        <f ca="1">IF($A123&gt;Endyr,0,VLOOKUP($A123,Tariff_Table,Tariff!$D$33))</f>
        <v>7894.5932028836251</v>
      </c>
      <c r="E123" s="691">
        <f ca="1">VLOOKUP($A123,Tariff_Table,Tariff!$E$33)</f>
        <v>0.97883561856235435</v>
      </c>
      <c r="F123" s="1481">
        <f t="shared" ca="1" si="19"/>
        <v>7727.5090210427516</v>
      </c>
      <c r="G123" s="1480">
        <f ca="1">VLOOKUP($A123,Curves_Table,Escalation!$N$291)</f>
        <v>1.3387797805891259</v>
      </c>
      <c r="H123" s="1481">
        <f t="shared" ca="1" si="20"/>
        <v>10345.432831692106</v>
      </c>
      <c r="I123" s="1504">
        <f ca="1">IF(Assm!$L$74=0,VLOOKUP($A123,Curves_Table,Escalation!$D$291),VLOOKUP($A123,Curves_Table,Escalation!$E$291))</f>
        <v>2.4996666740212286</v>
      </c>
      <c r="J123" s="1504">
        <f ca="1">IF($A123&lt;EE_Date,VLOOKUP($A123,Curves_Table,Escalation!$D$291),Exch)</f>
        <v>1.0649999999999999</v>
      </c>
      <c r="K123" s="1505">
        <f t="shared" ca="1" si="21"/>
        <v>24281.815659817676</v>
      </c>
      <c r="M123" s="691">
        <f ca="1">VLOOKUP($A123,Tariff_Table,Tariff!$F$33)</f>
        <v>2.1164381437645652E-2</v>
      </c>
      <c r="N123" s="1481">
        <f t="shared" ca="1" si="22"/>
        <v>167.08418184087373</v>
      </c>
      <c r="O123" s="1480">
        <f ca="1">VLOOKUP($A123,Curves_Table,Escalation!$R$291)</f>
        <v>2.4241893391771434</v>
      </c>
      <c r="P123" s="1505">
        <f t="shared" ca="1" si="23"/>
        <v>405.04369236378136</v>
      </c>
      <c r="R123" s="1506">
        <f t="shared" ca="1" si="24"/>
        <v>24686.859352181458</v>
      </c>
      <c r="S123" s="330">
        <f ca="1">'Plant Operations'!C123</f>
        <v>480</v>
      </c>
      <c r="T123" s="1481">
        <f t="shared" ca="1" si="25"/>
        <v>11849.6924890471</v>
      </c>
      <c r="U123" s="1504">
        <f t="shared" ca="1" si="26"/>
        <v>2.4996666740212286</v>
      </c>
      <c r="V123" s="384">
        <f t="shared" ca="1" si="27"/>
        <v>4740.5090495463664</v>
      </c>
      <c r="W123" s="692" t="str">
        <f t="shared" ca="1" si="15"/>
        <v xml:space="preserve"> </v>
      </c>
      <c r="Y123" s="1507">
        <f ca="1">IF($A123&gt;Endyr,0,VLOOKUP($A123,Tariff_Table,Tariff!$J$33))</f>
        <v>0.19</v>
      </c>
      <c r="Z123" s="1504">
        <f ca="1">VLOOKUP($A123,Curves_Table,Escalation!$AH$291)</f>
        <v>2.4241893391771434</v>
      </c>
      <c r="AA123" s="1504">
        <f t="shared" ca="1" si="28"/>
        <v>0.46059597444365724</v>
      </c>
      <c r="AB123" s="334">
        <f ca="1">'Plant Operations'!$I123+'Plant Operations'!$M123</f>
        <v>298980.864</v>
      </c>
      <c r="AC123" s="1481">
        <f t="shared" ca="1" si="16"/>
        <v>137.70938239408656</v>
      </c>
      <c r="AD123" s="1504">
        <f t="shared" ca="1" si="17"/>
        <v>2.4996666740212286</v>
      </c>
      <c r="AE123" s="335">
        <f t="shared" ca="1" si="29"/>
        <v>55.091098275336314</v>
      </c>
      <c r="AF123" s="698" t="str">
        <f t="shared" ca="1" si="18"/>
        <v xml:space="preserve"> </v>
      </c>
    </row>
    <row r="124" spans="1:32">
      <c r="A124" s="672">
        <f ca="1">'Plant Operations'!A124</f>
        <v>39661</v>
      </c>
      <c r="C124" s="1503">
        <f ca="1">IF($A124&gt;Endyr,0,VLOOKUP($A124,Tariff_Table,Tariff!$D$33))</f>
        <v>7894.5932028836251</v>
      </c>
      <c r="E124" s="691">
        <f ca="1">VLOOKUP($A124,Tariff_Table,Tariff!$E$33)</f>
        <v>0.97883561856235435</v>
      </c>
      <c r="F124" s="1481">
        <f t="shared" ca="1" si="19"/>
        <v>7727.5090210427516</v>
      </c>
      <c r="G124" s="1480">
        <f ca="1">VLOOKUP($A124,Curves_Table,Escalation!$N$291)</f>
        <v>1.3387797805891259</v>
      </c>
      <c r="H124" s="1481">
        <f t="shared" ca="1" si="20"/>
        <v>10345.432831692106</v>
      </c>
      <c r="I124" s="1504">
        <f ca="1">IF(Assm!$L$74=0,VLOOKUP($A124,Curves_Table,Escalation!$D$291),VLOOKUP($A124,Curves_Table,Escalation!$E$291))</f>
        <v>2.5049529211642083</v>
      </c>
      <c r="J124" s="1504">
        <f ca="1">IF($A124&lt;EE_Date,VLOOKUP($A124,Curves_Table,Escalation!$D$291),Exch)</f>
        <v>1.0649999999999999</v>
      </c>
      <c r="K124" s="1505">
        <f t="shared" ca="1" si="21"/>
        <v>24333.166377892252</v>
      </c>
      <c r="M124" s="691">
        <f ca="1">VLOOKUP($A124,Tariff_Table,Tariff!$F$33)</f>
        <v>2.1164381437645652E-2</v>
      </c>
      <c r="N124" s="1481">
        <f t="shared" ca="1" si="22"/>
        <v>167.08418184087373</v>
      </c>
      <c r="O124" s="1480">
        <f ca="1">VLOOKUP($A124,Curves_Table,Escalation!$R$291)</f>
        <v>2.4241893391771434</v>
      </c>
      <c r="P124" s="1505">
        <f t="shared" ca="1" si="23"/>
        <v>405.04369236378136</v>
      </c>
      <c r="R124" s="1506">
        <f t="shared" ca="1" si="24"/>
        <v>24738.210070256035</v>
      </c>
      <c r="S124" s="330">
        <f ca="1">'Plant Operations'!C124</f>
        <v>480</v>
      </c>
      <c r="T124" s="1481">
        <f t="shared" ca="1" si="25"/>
        <v>11874.340833722898</v>
      </c>
      <c r="U124" s="1504">
        <f t="shared" ca="1" si="26"/>
        <v>2.5049529211642083</v>
      </c>
      <c r="V124" s="384">
        <f t="shared" ca="1" si="27"/>
        <v>4740.3449116337679</v>
      </c>
      <c r="W124" s="692" t="str">
        <f t="shared" ca="1" si="15"/>
        <v xml:space="preserve"> </v>
      </c>
      <c r="Y124" s="1507">
        <f ca="1">IF($A124&gt;Endyr,0,VLOOKUP($A124,Tariff_Table,Tariff!$J$33))</f>
        <v>0.19</v>
      </c>
      <c r="Z124" s="1504">
        <f ca="1">VLOOKUP($A124,Curves_Table,Escalation!$AH$291)</f>
        <v>2.4241893391771434</v>
      </c>
      <c r="AA124" s="1504">
        <f t="shared" ca="1" si="28"/>
        <v>0.46059597444365724</v>
      </c>
      <c r="AB124" s="334">
        <f ca="1">'Plant Operations'!$I124+'Plant Operations'!$M124</f>
        <v>298980.864</v>
      </c>
      <c r="AC124" s="1481">
        <f t="shared" ca="1" si="16"/>
        <v>137.70938239408656</v>
      </c>
      <c r="AD124" s="1504">
        <f t="shared" ca="1" si="17"/>
        <v>2.5049529211642083</v>
      </c>
      <c r="AE124" s="335">
        <f t="shared" ca="1" si="29"/>
        <v>54.974838541110941</v>
      </c>
      <c r="AF124" s="698" t="str">
        <f t="shared" ca="1" si="18"/>
        <v xml:space="preserve"> </v>
      </c>
    </row>
    <row r="125" spans="1:32">
      <c r="A125" s="672">
        <f ca="1">'Plant Operations'!A125</f>
        <v>39692</v>
      </c>
      <c r="C125" s="1503">
        <f ca="1">IF($A125&gt;Endyr,0,VLOOKUP($A125,Tariff_Table,Tariff!$D$33))</f>
        <v>7894.5932028836251</v>
      </c>
      <c r="E125" s="691">
        <f ca="1">VLOOKUP($A125,Tariff_Table,Tariff!$E$33)</f>
        <v>0.97883561856235435</v>
      </c>
      <c r="F125" s="1481">
        <f t="shared" ca="1" si="19"/>
        <v>7727.5090210427516</v>
      </c>
      <c r="G125" s="1480">
        <f ca="1">VLOOKUP($A125,Curves_Table,Escalation!$N$291)</f>
        <v>1.3387797805891259</v>
      </c>
      <c r="H125" s="1481">
        <f t="shared" ca="1" si="20"/>
        <v>10345.432831692106</v>
      </c>
      <c r="I125" s="1504">
        <f ca="1">IF(Assm!$L$74=0,VLOOKUP($A125,Curves_Table,Escalation!$D$291),VLOOKUP($A125,Curves_Table,Escalation!$E$291))</f>
        <v>2.5102503475612647</v>
      </c>
      <c r="J125" s="1504">
        <f ca="1">IF($A125&lt;EE_Date,VLOOKUP($A125,Curves_Table,Escalation!$D$291),Exch)</f>
        <v>1.0649999999999999</v>
      </c>
      <c r="K125" s="1505">
        <f t="shared" ca="1" si="21"/>
        <v>24384.625691480593</v>
      </c>
      <c r="M125" s="691">
        <f ca="1">VLOOKUP($A125,Tariff_Table,Tariff!$F$33)</f>
        <v>2.1164381437645652E-2</v>
      </c>
      <c r="N125" s="1481">
        <f t="shared" ca="1" si="22"/>
        <v>167.08418184087373</v>
      </c>
      <c r="O125" s="1480">
        <f ca="1">VLOOKUP($A125,Curves_Table,Escalation!$R$291)</f>
        <v>2.4241893391771434</v>
      </c>
      <c r="P125" s="1505">
        <f t="shared" ca="1" si="23"/>
        <v>405.04369236378136</v>
      </c>
      <c r="R125" s="1506">
        <f t="shared" ca="1" si="24"/>
        <v>24789.669383844375</v>
      </c>
      <c r="S125" s="330">
        <f ca="1">'Plant Operations'!C125</f>
        <v>480</v>
      </c>
      <c r="T125" s="1481">
        <f t="shared" ca="1" si="25"/>
        <v>11899.0413042453</v>
      </c>
      <c r="U125" s="1504">
        <f t="shared" ca="1" si="26"/>
        <v>2.5102503475612647</v>
      </c>
      <c r="V125" s="384">
        <f t="shared" ca="1" si="27"/>
        <v>4740.1811201043538</v>
      </c>
      <c r="W125" s="692" t="str">
        <f t="shared" ca="1" si="15"/>
        <v xml:space="preserve"> </v>
      </c>
      <c r="Y125" s="1507">
        <f ca="1">IF($A125&gt;Endyr,0,VLOOKUP($A125,Tariff_Table,Tariff!$J$33))</f>
        <v>0.19</v>
      </c>
      <c r="Z125" s="1504">
        <f ca="1">VLOOKUP($A125,Curves_Table,Escalation!$AH$291)</f>
        <v>2.4241893391771434</v>
      </c>
      <c r="AA125" s="1504">
        <f t="shared" ca="1" si="28"/>
        <v>0.46059597444365724</v>
      </c>
      <c r="AB125" s="334">
        <f ca="1">'Plant Operations'!$I125+'Plant Operations'!$M125</f>
        <v>289336.32000000001</v>
      </c>
      <c r="AC125" s="1481">
        <f t="shared" ca="1" si="16"/>
        <v>133.26714425234184</v>
      </c>
      <c r="AD125" s="1504">
        <f t="shared" ca="1" si="17"/>
        <v>2.5102503475612647</v>
      </c>
      <c r="AE125" s="335">
        <f t="shared" ca="1" si="29"/>
        <v>53.089184663120278</v>
      </c>
      <c r="AF125" s="698" t="str">
        <f t="shared" ca="1" si="18"/>
        <v xml:space="preserve"> </v>
      </c>
    </row>
    <row r="126" spans="1:32">
      <c r="A126" s="672">
        <f ca="1">'Plant Operations'!A126</f>
        <v>39722</v>
      </c>
      <c r="C126" s="1503">
        <f ca="1">IF($A126&gt;Endyr,0,VLOOKUP($A126,Tariff_Table,Tariff!$D$33))</f>
        <v>7894.5932028836251</v>
      </c>
      <c r="E126" s="691">
        <f ca="1">VLOOKUP($A126,Tariff_Table,Tariff!$E$33)</f>
        <v>0.97883561856235435</v>
      </c>
      <c r="F126" s="1481">
        <f t="shared" ca="1" si="19"/>
        <v>7727.5090210427516</v>
      </c>
      <c r="G126" s="1480">
        <f ca="1">VLOOKUP($A126,Curves_Table,Escalation!$N$291)</f>
        <v>1.3387797805891259</v>
      </c>
      <c r="H126" s="1481">
        <f t="shared" ca="1" si="20"/>
        <v>10345.432831692106</v>
      </c>
      <c r="I126" s="1504">
        <f ca="1">IF(Assm!$L$74=0,VLOOKUP($A126,Curves_Table,Escalation!$D$291),VLOOKUP($A126,Curves_Table,Escalation!$E$291))</f>
        <v>2.5155589768540705</v>
      </c>
      <c r="J126" s="1504">
        <f ca="1">IF($A126&lt;EE_Date,VLOOKUP($A126,Curves_Table,Escalation!$D$291),Exch)</f>
        <v>1.0649999999999999</v>
      </c>
      <c r="K126" s="1505">
        <f t="shared" ca="1" si="21"/>
        <v>24436.193830238408</v>
      </c>
      <c r="M126" s="691">
        <f ca="1">VLOOKUP($A126,Tariff_Table,Tariff!$F$33)</f>
        <v>2.1164381437645652E-2</v>
      </c>
      <c r="N126" s="1481">
        <f t="shared" ca="1" si="22"/>
        <v>167.08418184087373</v>
      </c>
      <c r="O126" s="1480">
        <f ca="1">VLOOKUP($A126,Curves_Table,Escalation!$R$291)</f>
        <v>2.4241893391771434</v>
      </c>
      <c r="P126" s="1505">
        <f t="shared" ca="1" si="23"/>
        <v>405.04369236378136</v>
      </c>
      <c r="R126" s="1506">
        <f t="shared" ca="1" si="24"/>
        <v>24841.23752260219</v>
      </c>
      <c r="S126" s="330">
        <f ca="1">'Plant Operations'!C126</f>
        <v>480</v>
      </c>
      <c r="T126" s="1481">
        <f t="shared" ca="1" si="25"/>
        <v>11923.794010849051</v>
      </c>
      <c r="U126" s="1504">
        <f t="shared" ca="1" si="26"/>
        <v>2.5155589768540705</v>
      </c>
      <c r="V126" s="384">
        <f t="shared" ca="1" si="27"/>
        <v>4740.017674227146</v>
      </c>
      <c r="W126" s="692" t="str">
        <f t="shared" ca="1" si="15"/>
        <v xml:space="preserve"> </v>
      </c>
      <c r="Y126" s="1507">
        <f ca="1">IF($A126&gt;Endyr,0,VLOOKUP($A126,Tariff_Table,Tariff!$J$33))</f>
        <v>0.19</v>
      </c>
      <c r="Z126" s="1504">
        <f ca="1">VLOOKUP($A126,Curves_Table,Escalation!$AH$291)</f>
        <v>2.4241893391771434</v>
      </c>
      <c r="AA126" s="1504">
        <f t="shared" ca="1" si="28"/>
        <v>0.46059597444365724</v>
      </c>
      <c r="AB126" s="334">
        <f ca="1">'Plant Operations'!$I126+'Plant Operations'!$M126</f>
        <v>298980.864</v>
      </c>
      <c r="AC126" s="1481">
        <f t="shared" ca="1" si="16"/>
        <v>137.70938239408656</v>
      </c>
      <c r="AD126" s="1504">
        <f t="shared" ca="1" si="17"/>
        <v>2.5155589768540705</v>
      </c>
      <c r="AE126" s="335">
        <f t="shared" ca="1" si="29"/>
        <v>54.743054589920348</v>
      </c>
      <c r="AF126" s="698" t="str">
        <f t="shared" ca="1" si="18"/>
        <v xml:space="preserve"> </v>
      </c>
    </row>
    <row r="127" spans="1:32">
      <c r="A127" s="672">
        <f ca="1">'Plant Operations'!A127</f>
        <v>39753</v>
      </c>
      <c r="C127" s="1503">
        <f ca="1">IF($A127&gt;Endyr,0,VLOOKUP($A127,Tariff_Table,Tariff!$D$33))</f>
        <v>7894.5932028836251</v>
      </c>
      <c r="E127" s="691">
        <f ca="1">VLOOKUP($A127,Tariff_Table,Tariff!$E$33)</f>
        <v>0.97883561856235435</v>
      </c>
      <c r="F127" s="1481">
        <f t="shared" ca="1" si="19"/>
        <v>7727.5090210427516</v>
      </c>
      <c r="G127" s="1480">
        <f ca="1">VLOOKUP($A127,Curves_Table,Escalation!$N$291)</f>
        <v>1.3387797805891259</v>
      </c>
      <c r="H127" s="1481">
        <f t="shared" ca="1" si="20"/>
        <v>10345.432831692106</v>
      </c>
      <c r="I127" s="1504">
        <f ca="1">IF(Assm!$L$74=0,VLOOKUP($A127,Curves_Table,Escalation!$D$291),VLOOKUP($A127,Curves_Table,Escalation!$E$291))</f>
        <v>2.5208788327342946</v>
      </c>
      <c r="J127" s="1504">
        <f ca="1">IF($A127&lt;EE_Date,VLOOKUP($A127,Curves_Table,Escalation!$D$291),Exch)</f>
        <v>1.0649999999999999</v>
      </c>
      <c r="K127" s="1505">
        <f t="shared" ca="1" si="21"/>
        <v>24487.871024307082</v>
      </c>
      <c r="M127" s="691">
        <f ca="1">VLOOKUP($A127,Tariff_Table,Tariff!$F$33)</f>
        <v>2.1164381437645652E-2</v>
      </c>
      <c r="N127" s="1481">
        <f t="shared" ca="1" si="22"/>
        <v>167.08418184087373</v>
      </c>
      <c r="O127" s="1480">
        <f ca="1">VLOOKUP($A127,Curves_Table,Escalation!$R$291)</f>
        <v>2.4241893391771434</v>
      </c>
      <c r="P127" s="1505">
        <f t="shared" ca="1" si="23"/>
        <v>405.04369236378136</v>
      </c>
      <c r="R127" s="1506">
        <f t="shared" ca="1" si="24"/>
        <v>24892.914716670864</v>
      </c>
      <c r="S127" s="330">
        <f ca="1">'Plant Operations'!C127</f>
        <v>480</v>
      </c>
      <c r="T127" s="1481">
        <f t="shared" ca="1" si="25"/>
        <v>11948.599064002015</v>
      </c>
      <c r="U127" s="1504">
        <f t="shared" ca="1" si="26"/>
        <v>2.5208788327342946</v>
      </c>
      <c r="V127" s="384">
        <f t="shared" ca="1" si="27"/>
        <v>4739.8545732727089</v>
      </c>
      <c r="W127" s="692" t="str">
        <f t="shared" ca="1" si="15"/>
        <v xml:space="preserve"> </v>
      </c>
      <c r="Y127" s="1507">
        <f ca="1">IF($A127&gt;Endyr,0,VLOOKUP($A127,Tariff_Table,Tariff!$J$33))</f>
        <v>0.19</v>
      </c>
      <c r="Z127" s="1504">
        <f ca="1">VLOOKUP($A127,Curves_Table,Escalation!$AH$291)</f>
        <v>2.4241893391771434</v>
      </c>
      <c r="AA127" s="1504">
        <f t="shared" ca="1" si="28"/>
        <v>0.46059597444365724</v>
      </c>
      <c r="AB127" s="334">
        <f ca="1">'Plant Operations'!$I127+'Plant Operations'!$M127</f>
        <v>289336.32000000001</v>
      </c>
      <c r="AC127" s="1481">
        <f t="shared" ca="1" si="16"/>
        <v>133.26714425234184</v>
      </c>
      <c r="AD127" s="1504">
        <f t="shared" ca="1" si="17"/>
        <v>2.5208788327342946</v>
      </c>
      <c r="AE127" s="335">
        <f t="shared" ca="1" si="29"/>
        <v>52.865350972776582</v>
      </c>
      <c r="AF127" s="698" t="str">
        <f t="shared" ca="1" si="18"/>
        <v xml:space="preserve"> </v>
      </c>
    </row>
    <row r="128" spans="1:32">
      <c r="A128" s="672">
        <f ca="1">'Plant Operations'!A128</f>
        <v>39783</v>
      </c>
      <c r="C128" s="1503">
        <f ca="1">IF($A128&gt;Endyr,0,VLOOKUP($A128,Tariff_Table,Tariff!$D$33))</f>
        <v>7894.5932028836251</v>
      </c>
      <c r="E128" s="691">
        <f ca="1">VLOOKUP($A128,Tariff_Table,Tariff!$E$33)</f>
        <v>0.97883561856235435</v>
      </c>
      <c r="F128" s="1481">
        <f t="shared" ca="1" si="19"/>
        <v>7727.5090210427516</v>
      </c>
      <c r="G128" s="1480">
        <f ca="1">VLOOKUP($A128,Curves_Table,Escalation!$N$291)</f>
        <v>1.3387797805891259</v>
      </c>
      <c r="H128" s="1481">
        <f t="shared" ca="1" si="20"/>
        <v>10345.432831692106</v>
      </c>
      <c r="I128" s="1504">
        <f ca="1">IF(Assm!$L$74=0,VLOOKUP($A128,Curves_Table,Escalation!$D$291),VLOOKUP($A128,Curves_Table,Escalation!$E$291))</f>
        <v>2.5262099389437069</v>
      </c>
      <c r="J128" s="1504">
        <f ca="1">IF($A128&lt;EE_Date,VLOOKUP($A128,Curves_Table,Escalation!$D$291),Exch)</f>
        <v>1.0649999999999999</v>
      </c>
      <c r="K128" s="1505">
        <f t="shared" ca="1" si="21"/>
        <v>24539.657504314684</v>
      </c>
      <c r="M128" s="691">
        <f ca="1">VLOOKUP($A128,Tariff_Table,Tariff!$F$33)</f>
        <v>2.1164381437645652E-2</v>
      </c>
      <c r="N128" s="1481">
        <f t="shared" ca="1" si="22"/>
        <v>167.08418184087373</v>
      </c>
      <c r="O128" s="1480">
        <f ca="1">VLOOKUP($A128,Curves_Table,Escalation!$R$291)</f>
        <v>2.4241893391771434</v>
      </c>
      <c r="P128" s="1505">
        <f t="shared" ca="1" si="23"/>
        <v>405.04369236378136</v>
      </c>
      <c r="R128" s="1506">
        <f t="shared" ca="1" si="24"/>
        <v>24944.701196678467</v>
      </c>
      <c r="S128" s="330">
        <f ca="1">'Plant Operations'!C128</f>
        <v>480</v>
      </c>
      <c r="T128" s="1481">
        <f t="shared" ca="1" si="25"/>
        <v>11973.456574405665</v>
      </c>
      <c r="U128" s="1504">
        <f t="shared" ca="1" si="26"/>
        <v>2.5262099389437069</v>
      </c>
      <c r="V128" s="384">
        <f t="shared" ca="1" si="27"/>
        <v>4739.6918165131474</v>
      </c>
      <c r="W128" s="692">
        <f t="shared" ca="1" si="15"/>
        <v>58117.897253678049</v>
      </c>
      <c r="Y128" s="1507">
        <f ca="1">IF($A128&gt;Endyr,0,VLOOKUP($A128,Tariff_Table,Tariff!$J$33))</f>
        <v>0.19</v>
      </c>
      <c r="Z128" s="1504">
        <f ca="1">VLOOKUP($A128,Curves_Table,Escalation!$AH$291)</f>
        <v>2.4241893391771434</v>
      </c>
      <c r="AA128" s="1504">
        <f t="shared" ca="1" si="28"/>
        <v>0.46059597444365724</v>
      </c>
      <c r="AB128" s="334">
        <f ca="1">'Plant Operations'!$I128+'Plant Operations'!$M128</f>
        <v>298980.864</v>
      </c>
      <c r="AC128" s="1481">
        <f t="shared" ca="1" si="16"/>
        <v>137.70938239408656</v>
      </c>
      <c r="AD128" s="1504">
        <f t="shared" ca="1" si="17"/>
        <v>2.5262099389437069</v>
      </c>
      <c r="AE128" s="335">
        <f t="shared" ca="1" si="29"/>
        <v>54.512247882164324</v>
      </c>
      <c r="AF128" s="698">
        <f t="shared" ca="1" si="18"/>
        <v>635.97052069696997</v>
      </c>
    </row>
    <row r="129" spans="1:32">
      <c r="A129" s="672">
        <f ca="1">'Plant Operations'!A129</f>
        <v>39814</v>
      </c>
      <c r="C129" s="1503">
        <f ca="1">IF($A129&gt;Endyr,0,VLOOKUP($A129,Tariff_Table,Tariff!$D$33))</f>
        <v>7894.5932028836251</v>
      </c>
      <c r="E129" s="691">
        <f ca="1">VLOOKUP($A129,Tariff_Table,Tariff!$E$33)</f>
        <v>0.97883561856235435</v>
      </c>
      <c r="F129" s="1481">
        <f t="shared" ca="1" si="19"/>
        <v>7727.5090210427516</v>
      </c>
      <c r="G129" s="1480">
        <f ca="1">VLOOKUP($A129,Curves_Table,Escalation!$N$291)</f>
        <v>1.3387797805891259</v>
      </c>
      <c r="H129" s="1481">
        <f t="shared" ca="1" si="20"/>
        <v>10345.432831692106</v>
      </c>
      <c r="I129" s="1504">
        <f ca="1">IF(Assm!$L$74=0,VLOOKUP($A129,Curves_Table,Escalation!$D$291),VLOOKUP($A129,Curves_Table,Escalation!$E$291))</f>
        <v>2.5314135178011798</v>
      </c>
      <c r="J129" s="1504">
        <f ca="1">IF($A129&lt;EE_Date,VLOOKUP($A129,Curves_Table,Escalation!$D$291),Exch)</f>
        <v>1.0649999999999999</v>
      </c>
      <c r="K129" s="1505">
        <f t="shared" ca="1" si="21"/>
        <v>24590.205180891582</v>
      </c>
      <c r="M129" s="691">
        <f ca="1">VLOOKUP($A129,Tariff_Table,Tariff!$F$33)</f>
        <v>2.1164381437645652E-2</v>
      </c>
      <c r="N129" s="1481">
        <f t="shared" ca="1" si="22"/>
        <v>167.08418184087373</v>
      </c>
      <c r="O129" s="1480">
        <f ca="1">VLOOKUP($A129,Curves_Table,Escalation!$R$291)</f>
        <v>2.4241893391771434</v>
      </c>
      <c r="P129" s="1505">
        <f t="shared" ca="1" si="23"/>
        <v>405.04369236378136</v>
      </c>
      <c r="R129" s="1506">
        <f t="shared" ca="1" si="24"/>
        <v>24995.248873255365</v>
      </c>
      <c r="S129" s="330">
        <f ca="1">'Plant Operations'!C129</f>
        <v>480</v>
      </c>
      <c r="T129" s="1481">
        <f t="shared" ca="1" si="25"/>
        <v>11997.719459162574</v>
      </c>
      <c r="U129" s="1504">
        <f t="shared" ca="1" si="26"/>
        <v>2.5314135178011798</v>
      </c>
      <c r="V129" s="384">
        <f t="shared" ca="1" si="27"/>
        <v>4739.5336142409305</v>
      </c>
      <c r="W129" s="692" t="str">
        <f t="shared" ca="1" si="15"/>
        <v xml:space="preserve"> </v>
      </c>
      <c r="Y129" s="1507">
        <f ca="1">IF($A129&gt;Endyr,0,VLOOKUP($A129,Tariff_Table,Tariff!$J$33))</f>
        <v>0.19</v>
      </c>
      <c r="Z129" s="1504">
        <f ca="1">VLOOKUP($A129,Curves_Table,Escalation!$AH$291)</f>
        <v>2.4241893391771434</v>
      </c>
      <c r="AA129" s="1504">
        <f t="shared" ca="1" si="28"/>
        <v>0.46059597444365724</v>
      </c>
      <c r="AB129" s="334">
        <f ca="1">'Plant Operations'!$I129+'Plant Operations'!$M129</f>
        <v>298980.864</v>
      </c>
      <c r="AC129" s="1481">
        <f t="shared" ca="1" si="16"/>
        <v>137.70938239408656</v>
      </c>
      <c r="AD129" s="1504">
        <f t="shared" ca="1" si="17"/>
        <v>2.5314135178011798</v>
      </c>
      <c r="AE129" s="335">
        <f t="shared" ca="1" si="29"/>
        <v>54.400192392787254</v>
      </c>
      <c r="AF129" s="698" t="str">
        <f t="shared" ca="1" si="18"/>
        <v xml:space="preserve"> </v>
      </c>
    </row>
    <row r="130" spans="1:32">
      <c r="A130" s="672">
        <f ca="1">'Plant Operations'!A130</f>
        <v>39845</v>
      </c>
      <c r="C130" s="1503">
        <f ca="1">IF($A130&gt;Endyr,0,VLOOKUP($A130,Tariff_Table,Tariff!$D$33))</f>
        <v>7894.5932028836251</v>
      </c>
      <c r="E130" s="691">
        <f ca="1">VLOOKUP($A130,Tariff_Table,Tariff!$E$33)</f>
        <v>0.97883561856235435</v>
      </c>
      <c r="F130" s="1481">
        <f t="shared" ca="1" si="19"/>
        <v>7727.5090210427516</v>
      </c>
      <c r="G130" s="1480">
        <f ca="1">VLOOKUP($A130,Curves_Table,Escalation!$N$291)</f>
        <v>1.3387797805891259</v>
      </c>
      <c r="H130" s="1481">
        <f t="shared" ca="1" si="20"/>
        <v>10345.432831692106</v>
      </c>
      <c r="I130" s="1504">
        <f ca="1">IF(Assm!$L$74=0,VLOOKUP($A130,Curves_Table,Escalation!$D$291),VLOOKUP($A130,Curves_Table,Escalation!$E$291))</f>
        <v>2.5366278151791164</v>
      </c>
      <c r="J130" s="1504">
        <f ca="1">IF($A130&lt;EE_Date,VLOOKUP($A130,Curves_Table,Escalation!$D$291),Exch)</f>
        <v>1.0649999999999999</v>
      </c>
      <c r="K130" s="1505">
        <f t="shared" ca="1" si="21"/>
        <v>24640.856977406052</v>
      </c>
      <c r="M130" s="691">
        <f ca="1">VLOOKUP($A130,Tariff_Table,Tariff!$F$33)</f>
        <v>2.1164381437645652E-2</v>
      </c>
      <c r="N130" s="1481">
        <f t="shared" ca="1" si="22"/>
        <v>167.08418184087373</v>
      </c>
      <c r="O130" s="1480">
        <f ca="1">VLOOKUP($A130,Curves_Table,Escalation!$R$291)</f>
        <v>2.4241893391771434</v>
      </c>
      <c r="P130" s="1505">
        <f t="shared" ca="1" si="23"/>
        <v>405.04369236378136</v>
      </c>
      <c r="R130" s="1506">
        <f t="shared" ca="1" si="24"/>
        <v>25045.900669769835</v>
      </c>
      <c r="S130" s="330">
        <f ca="1">'Plant Operations'!C130</f>
        <v>480</v>
      </c>
      <c r="T130" s="1481">
        <f t="shared" ca="1" si="25"/>
        <v>12022.03232148952</v>
      </c>
      <c r="U130" s="1504">
        <f t="shared" ca="1" si="26"/>
        <v>2.5366278151791164</v>
      </c>
      <c r="V130" s="384">
        <f t="shared" ca="1" si="27"/>
        <v>4739.3757371696329</v>
      </c>
      <c r="W130" s="692" t="str">
        <f t="shared" ca="1" si="15"/>
        <v xml:space="preserve"> </v>
      </c>
      <c r="Y130" s="1507">
        <f ca="1">IF($A130&gt;Endyr,0,VLOOKUP($A130,Tariff_Table,Tariff!$J$33))</f>
        <v>0.19</v>
      </c>
      <c r="Z130" s="1504">
        <f ca="1">VLOOKUP($A130,Curves_Table,Escalation!$AH$291)</f>
        <v>2.4241893391771434</v>
      </c>
      <c r="AA130" s="1504">
        <f t="shared" ca="1" si="28"/>
        <v>0.46059597444365724</v>
      </c>
      <c r="AB130" s="334">
        <f ca="1">'Plant Operations'!$I130+'Plant Operations'!$M130</f>
        <v>270047.23200000002</v>
      </c>
      <c r="AC130" s="1481">
        <f t="shared" ca="1" si="16"/>
        <v>124.38266796885239</v>
      </c>
      <c r="AD130" s="1504">
        <f t="shared" ca="1" si="17"/>
        <v>2.5366278151791164</v>
      </c>
      <c r="AE130" s="335">
        <f t="shared" ca="1" si="29"/>
        <v>49.034654285721246</v>
      </c>
      <c r="AF130" s="698" t="str">
        <f t="shared" ca="1" si="18"/>
        <v xml:space="preserve"> </v>
      </c>
    </row>
    <row r="131" spans="1:32">
      <c r="A131" s="672">
        <f ca="1">'Plant Operations'!A131</f>
        <v>39873</v>
      </c>
      <c r="C131" s="1503">
        <f ca="1">IF($A131&gt;Endyr,0,VLOOKUP($A131,Tariff_Table,Tariff!$D$33))</f>
        <v>7894.5932028836251</v>
      </c>
      <c r="E131" s="691">
        <f ca="1">VLOOKUP($A131,Tariff_Table,Tariff!$E$33)</f>
        <v>0.97883561856235435</v>
      </c>
      <c r="F131" s="1481">
        <f t="shared" ca="1" si="19"/>
        <v>7727.5090210427516</v>
      </c>
      <c r="G131" s="1480">
        <f ca="1">VLOOKUP($A131,Curves_Table,Escalation!$N$291)</f>
        <v>1.3387797805891259</v>
      </c>
      <c r="H131" s="1481">
        <f t="shared" ca="1" si="20"/>
        <v>10345.432831692106</v>
      </c>
      <c r="I131" s="1504">
        <f ca="1">IF(Assm!$L$74=0,VLOOKUP($A131,Curves_Table,Escalation!$D$291),VLOOKUP($A131,Curves_Table,Escalation!$E$291))</f>
        <v>2.5418528531559139</v>
      </c>
      <c r="J131" s="1504">
        <f ca="1">IF($A131&lt;EE_Date,VLOOKUP($A131,Curves_Table,Escalation!$D$291),Exch)</f>
        <v>1.0649999999999999</v>
      </c>
      <c r="K131" s="1505">
        <f t="shared" ca="1" si="21"/>
        <v>24691.613108328118</v>
      </c>
      <c r="M131" s="691">
        <f ca="1">VLOOKUP($A131,Tariff_Table,Tariff!$F$33)</f>
        <v>2.1164381437645652E-2</v>
      </c>
      <c r="N131" s="1481">
        <f t="shared" ca="1" si="22"/>
        <v>167.08418184087373</v>
      </c>
      <c r="O131" s="1480">
        <f ca="1">VLOOKUP($A131,Curves_Table,Escalation!$R$291)</f>
        <v>2.4241893391771434</v>
      </c>
      <c r="P131" s="1505">
        <f t="shared" ca="1" si="23"/>
        <v>405.04369236378136</v>
      </c>
      <c r="R131" s="1506">
        <f t="shared" ca="1" si="24"/>
        <v>25096.656800691901</v>
      </c>
      <c r="S131" s="330">
        <f ca="1">'Plant Operations'!C131</f>
        <v>480</v>
      </c>
      <c r="T131" s="1481">
        <f t="shared" ca="1" si="25"/>
        <v>12046.395264332112</v>
      </c>
      <c r="U131" s="1504">
        <f t="shared" ca="1" si="26"/>
        <v>2.5418528531559139</v>
      </c>
      <c r="V131" s="384">
        <f t="shared" ca="1" si="27"/>
        <v>4739.2181846307694</v>
      </c>
      <c r="W131" s="692" t="str">
        <f t="shared" ca="1" si="15"/>
        <v xml:space="preserve"> </v>
      </c>
      <c r="Y131" s="1507">
        <f ca="1">IF($A131&gt;Endyr,0,VLOOKUP($A131,Tariff_Table,Tariff!$J$33))</f>
        <v>0.19</v>
      </c>
      <c r="Z131" s="1504">
        <f ca="1">VLOOKUP($A131,Curves_Table,Escalation!$AH$291)</f>
        <v>2.4241893391771434</v>
      </c>
      <c r="AA131" s="1504">
        <f t="shared" ca="1" si="28"/>
        <v>0.46059597444365724</v>
      </c>
      <c r="AB131" s="334">
        <f ca="1">'Plant Operations'!$I131+'Plant Operations'!$M131</f>
        <v>298980.864</v>
      </c>
      <c r="AC131" s="1481">
        <f t="shared" ca="1" si="16"/>
        <v>137.70938239408656</v>
      </c>
      <c r="AD131" s="1504">
        <f t="shared" ca="1" si="17"/>
        <v>2.5418528531559139</v>
      </c>
      <c r="AE131" s="335">
        <f t="shared" ca="1" si="29"/>
        <v>54.176771965029104</v>
      </c>
      <c r="AF131" s="698" t="str">
        <f t="shared" ca="1" si="18"/>
        <v xml:space="preserve"> </v>
      </c>
    </row>
    <row r="132" spans="1:32">
      <c r="A132" s="672">
        <f ca="1">'Plant Operations'!A132</f>
        <v>39904</v>
      </c>
      <c r="C132" s="1503">
        <f ca="1">IF($A132&gt;Endyr,0,VLOOKUP($A132,Tariff_Table,Tariff!$D$33))</f>
        <v>7894.5932028836251</v>
      </c>
      <c r="E132" s="691">
        <f ca="1">VLOOKUP($A132,Tariff_Table,Tariff!$E$33)</f>
        <v>0.97883561856235435</v>
      </c>
      <c r="F132" s="1481">
        <f t="shared" ca="1" si="19"/>
        <v>7727.5090210427516</v>
      </c>
      <c r="G132" s="1480">
        <f ca="1">VLOOKUP($A132,Curves_Table,Escalation!$N$291)</f>
        <v>1.3387797805891259</v>
      </c>
      <c r="H132" s="1481">
        <f t="shared" ca="1" si="20"/>
        <v>10345.432831692106</v>
      </c>
      <c r="I132" s="1504">
        <f ca="1">IF(Assm!$L$74=0,VLOOKUP($A132,Curves_Table,Escalation!$D$291),VLOOKUP($A132,Curves_Table,Escalation!$E$291))</f>
        <v>2.5470886538554471</v>
      </c>
      <c r="J132" s="1504">
        <f ca="1">IF($A132&lt;EE_Date,VLOOKUP($A132,Curves_Table,Escalation!$D$291),Exch)</f>
        <v>1.0649999999999999</v>
      </c>
      <c r="K132" s="1505">
        <f t="shared" ca="1" si="21"/>
        <v>24742.473788569569</v>
      </c>
      <c r="M132" s="691">
        <f ca="1">VLOOKUP($A132,Tariff_Table,Tariff!$F$33)</f>
        <v>2.1164381437645652E-2</v>
      </c>
      <c r="N132" s="1481">
        <f t="shared" ca="1" si="22"/>
        <v>167.08418184087373</v>
      </c>
      <c r="O132" s="1480">
        <f ca="1">VLOOKUP($A132,Curves_Table,Escalation!$R$291)</f>
        <v>2.4241893391771434</v>
      </c>
      <c r="P132" s="1505">
        <f t="shared" ca="1" si="23"/>
        <v>405.04369236378136</v>
      </c>
      <c r="R132" s="1506">
        <f t="shared" ca="1" si="24"/>
        <v>25147.517480933351</v>
      </c>
      <c r="S132" s="330">
        <f ca="1">'Plant Operations'!C132</f>
        <v>480</v>
      </c>
      <c r="T132" s="1481">
        <f t="shared" ca="1" si="25"/>
        <v>12070.808390848009</v>
      </c>
      <c r="U132" s="1504">
        <f t="shared" ca="1" si="26"/>
        <v>2.5470886538554471</v>
      </c>
      <c r="V132" s="384">
        <f t="shared" ca="1" si="27"/>
        <v>4739.0609559572304</v>
      </c>
      <c r="W132" s="692" t="str">
        <f t="shared" ca="1" si="15"/>
        <v xml:space="preserve"> </v>
      </c>
      <c r="Y132" s="1507">
        <f ca="1">IF($A132&gt;Endyr,0,VLOOKUP($A132,Tariff_Table,Tariff!$J$33))</f>
        <v>0.19</v>
      </c>
      <c r="Z132" s="1504">
        <f ca="1">VLOOKUP($A132,Curves_Table,Escalation!$AH$291)</f>
        <v>2.4241893391771434</v>
      </c>
      <c r="AA132" s="1504">
        <f t="shared" ca="1" si="28"/>
        <v>0.46059597444365724</v>
      </c>
      <c r="AB132" s="334">
        <f ca="1">'Plant Operations'!$I132+'Plant Operations'!$M132</f>
        <v>289336.32000000001</v>
      </c>
      <c r="AC132" s="1481">
        <f t="shared" ca="1" si="16"/>
        <v>133.26714425234184</v>
      </c>
      <c r="AD132" s="1504">
        <f t="shared" ca="1" si="17"/>
        <v>2.5470886538554471</v>
      </c>
      <c r="AE132" s="335">
        <f t="shared" ca="1" si="29"/>
        <v>52.321360723200428</v>
      </c>
      <c r="AF132" s="698" t="str">
        <f t="shared" ca="1" si="18"/>
        <v xml:space="preserve"> </v>
      </c>
    </row>
    <row r="133" spans="1:32">
      <c r="A133" s="672">
        <f ca="1">'Plant Operations'!A133</f>
        <v>39934</v>
      </c>
      <c r="C133" s="1503">
        <f ca="1">IF($A133&gt;Endyr,0,VLOOKUP($A133,Tariff_Table,Tariff!$D$33))</f>
        <v>7730.9607438016528</v>
      </c>
      <c r="E133" s="691">
        <f ca="1">VLOOKUP($A133,Tariff_Table,Tariff!$E$33)</f>
        <v>0.96755631205927151</v>
      </c>
      <c r="F133" s="1481">
        <f t="shared" ca="1" si="19"/>
        <v>7480.13986594773</v>
      </c>
      <c r="G133" s="1480">
        <f ca="1">VLOOKUP($A133,Curves_Table,Escalation!$N$291)</f>
        <v>1.3739510144936682</v>
      </c>
      <c r="H133" s="1481">
        <f t="shared" ca="1" si="20"/>
        <v>10277.345757373414</v>
      </c>
      <c r="I133" s="1504">
        <f ca="1">IF(Assm!$L$74=0,VLOOKUP($A133,Curves_Table,Escalation!$D$291),VLOOKUP($A133,Curves_Table,Escalation!$E$291))</f>
        <v>2.5523352394471628</v>
      </c>
      <c r="J133" s="1504">
        <f ca="1">IF($A133&lt;EE_Date,VLOOKUP($A133,Curves_Table,Escalation!$D$291),Exch)</f>
        <v>1.0649999999999999</v>
      </c>
      <c r="K133" s="1505">
        <f t="shared" ca="1" si="21"/>
        <v>24630.264548851603</v>
      </c>
      <c r="M133" s="691">
        <f ca="1">VLOOKUP($A133,Tariff_Table,Tariff!$F$33)</f>
        <v>3.2443687940728494E-2</v>
      </c>
      <c r="N133" s="1481">
        <f t="shared" ca="1" si="22"/>
        <v>250.82087785392307</v>
      </c>
      <c r="O133" s="1480">
        <f ca="1">VLOOKUP($A133,Curves_Table,Escalation!$R$291)</f>
        <v>2.6035770917136669</v>
      </c>
      <c r="P133" s="1505">
        <f t="shared" ca="1" si="23"/>
        <v>653.03149170398592</v>
      </c>
      <c r="R133" s="1506">
        <f t="shared" ca="1" si="24"/>
        <v>25283.29604055559</v>
      </c>
      <c r="S133" s="330">
        <f ca="1">'Plant Operations'!C133</f>
        <v>480</v>
      </c>
      <c r="T133" s="1481">
        <f t="shared" ca="1" si="25"/>
        <v>12135.982099466682</v>
      </c>
      <c r="U133" s="1504">
        <f t="shared" ca="1" si="26"/>
        <v>2.5523352394471628</v>
      </c>
      <c r="V133" s="384">
        <f t="shared" ca="1" si="27"/>
        <v>4754.8542651847501</v>
      </c>
      <c r="W133" s="692" t="str">
        <f t="shared" ca="1" si="15"/>
        <v xml:space="preserve"> </v>
      </c>
      <c r="Y133" s="1507">
        <f ca="1">IF($A133&gt;Endyr,0,VLOOKUP($A133,Tariff_Table,Tariff!$J$33))</f>
        <v>0.19</v>
      </c>
      <c r="Z133" s="1504">
        <f ca="1">VLOOKUP($A133,Curves_Table,Escalation!$AH$291)</f>
        <v>2.6035770917136669</v>
      </c>
      <c r="AA133" s="1504">
        <f t="shared" ca="1" si="28"/>
        <v>0.49467964742559672</v>
      </c>
      <c r="AB133" s="334">
        <f ca="1">'Plant Operations'!$I133+'Plant Operations'!$M133</f>
        <v>298980.864</v>
      </c>
      <c r="AC133" s="1481">
        <f t="shared" ca="1" si="16"/>
        <v>147.89974839052027</v>
      </c>
      <c r="AD133" s="1504">
        <f t="shared" ca="1" si="17"/>
        <v>2.5523352394471628</v>
      </c>
      <c r="AE133" s="335">
        <f t="shared" ca="1" si="29"/>
        <v>57.946834767111326</v>
      </c>
      <c r="AF133" s="698" t="str">
        <f t="shared" ca="1" si="18"/>
        <v xml:space="preserve"> </v>
      </c>
    </row>
    <row r="134" spans="1:32">
      <c r="A134" s="672">
        <f ca="1">'Plant Operations'!A134</f>
        <v>39965</v>
      </c>
      <c r="C134" s="1503">
        <f ca="1">IF($A134&gt;Endyr,0,VLOOKUP($A134,Tariff_Table,Tariff!$D$33))</f>
        <v>7730.9607438016528</v>
      </c>
      <c r="E134" s="691">
        <f ca="1">VLOOKUP($A134,Tariff_Table,Tariff!$E$33)</f>
        <v>0.96755631205927151</v>
      </c>
      <c r="F134" s="1481">
        <f t="shared" ca="1" si="19"/>
        <v>7480.13986594773</v>
      </c>
      <c r="G134" s="1480">
        <f ca="1">VLOOKUP($A134,Curves_Table,Escalation!$N$291)</f>
        <v>1.3739510144936682</v>
      </c>
      <c r="H134" s="1481">
        <f t="shared" ca="1" si="20"/>
        <v>10277.345757373414</v>
      </c>
      <c r="I134" s="1504">
        <f ca="1">IF(Assm!$L$74=0,VLOOKUP($A134,Curves_Table,Escalation!$D$291),VLOOKUP($A134,Curves_Table,Escalation!$E$291))</f>
        <v>2.5575926321461733</v>
      </c>
      <c r="J134" s="1504">
        <f ca="1">IF($A134&lt;EE_Date,VLOOKUP($A134,Curves_Table,Escalation!$D$291),Exch)</f>
        <v>1.0649999999999999</v>
      </c>
      <c r="K134" s="1505">
        <f t="shared" ca="1" si="21"/>
        <v>24680.998861105141</v>
      </c>
      <c r="M134" s="691">
        <f ca="1">VLOOKUP($A134,Tariff_Table,Tariff!$F$33)</f>
        <v>3.2443687940728494E-2</v>
      </c>
      <c r="N134" s="1481">
        <f t="shared" ca="1" si="22"/>
        <v>250.82087785392307</v>
      </c>
      <c r="O134" s="1480">
        <f ca="1">VLOOKUP($A134,Curves_Table,Escalation!$R$291)</f>
        <v>2.6035770917136669</v>
      </c>
      <c r="P134" s="1505">
        <f t="shared" ca="1" si="23"/>
        <v>653.03149170398592</v>
      </c>
      <c r="R134" s="1506">
        <f t="shared" ca="1" si="24"/>
        <v>25334.030352809128</v>
      </c>
      <c r="S134" s="330">
        <f ca="1">'Plant Operations'!C134</f>
        <v>480</v>
      </c>
      <c r="T134" s="1481">
        <f t="shared" ca="1" si="25"/>
        <v>12160.334569348383</v>
      </c>
      <c r="U134" s="1504">
        <f t="shared" ca="1" si="26"/>
        <v>2.5575926321461733</v>
      </c>
      <c r="V134" s="384">
        <f t="shared" ca="1" si="27"/>
        <v>4754.601814419595</v>
      </c>
      <c r="W134" s="692" t="str">
        <f t="shared" ca="1" si="15"/>
        <v xml:space="preserve"> </v>
      </c>
      <c r="Y134" s="1507">
        <f ca="1">IF($A134&gt;Endyr,0,VLOOKUP($A134,Tariff_Table,Tariff!$J$33))</f>
        <v>0.19</v>
      </c>
      <c r="Z134" s="1504">
        <f ca="1">VLOOKUP($A134,Curves_Table,Escalation!$AH$291)</f>
        <v>2.6035770917136669</v>
      </c>
      <c r="AA134" s="1504">
        <f t="shared" ca="1" si="28"/>
        <v>0.49467964742559672</v>
      </c>
      <c r="AB134" s="334">
        <f ca="1">'Plant Operations'!$I134+'Plant Operations'!$M134</f>
        <v>289336.32000000001</v>
      </c>
      <c r="AC134" s="1481">
        <f t="shared" ca="1" si="16"/>
        <v>143.12878876501961</v>
      </c>
      <c r="AD134" s="1504">
        <f t="shared" ca="1" si="17"/>
        <v>2.5575926321461733</v>
      </c>
      <c r="AE134" s="335">
        <f t="shared" ca="1" si="29"/>
        <v>55.96230883919727</v>
      </c>
      <c r="AF134" s="698" t="str">
        <f t="shared" ca="1" si="18"/>
        <v xml:space="preserve"> </v>
      </c>
    </row>
    <row r="135" spans="1:32">
      <c r="A135" s="672">
        <f ca="1">'Plant Operations'!A135</f>
        <v>39995</v>
      </c>
      <c r="C135" s="1503">
        <f ca="1">IF($A135&gt;Endyr,0,VLOOKUP($A135,Tariff_Table,Tariff!$D$33))</f>
        <v>7730.9607438016528</v>
      </c>
      <c r="E135" s="691">
        <f ca="1">VLOOKUP($A135,Tariff_Table,Tariff!$E$33)</f>
        <v>0.96755631205927151</v>
      </c>
      <c r="F135" s="1481">
        <f t="shared" ca="1" si="19"/>
        <v>7480.13986594773</v>
      </c>
      <c r="G135" s="1480">
        <f ca="1">VLOOKUP($A135,Curves_Table,Escalation!$N$291)</f>
        <v>1.3739510144936682</v>
      </c>
      <c r="H135" s="1481">
        <f t="shared" ca="1" si="20"/>
        <v>10277.345757373414</v>
      </c>
      <c r="I135" s="1504">
        <f ca="1">IF(Assm!$L$74=0,VLOOKUP($A135,Curves_Table,Escalation!$D$291),VLOOKUP($A135,Curves_Table,Escalation!$E$291))</f>
        <v>2.56286085421335</v>
      </c>
      <c r="J135" s="1504">
        <f ca="1">IF($A135&lt;EE_Date,VLOOKUP($A135,Curves_Table,Escalation!$D$291),Exch)</f>
        <v>1.0649999999999999</v>
      </c>
      <c r="K135" s="1505">
        <f t="shared" ca="1" si="21"/>
        <v>24731.837677735191</v>
      </c>
      <c r="M135" s="691">
        <f ca="1">VLOOKUP($A135,Tariff_Table,Tariff!$F$33)</f>
        <v>3.2443687940728494E-2</v>
      </c>
      <c r="N135" s="1481">
        <f t="shared" ca="1" si="22"/>
        <v>250.82087785392307</v>
      </c>
      <c r="O135" s="1480">
        <f ca="1">VLOOKUP($A135,Curves_Table,Escalation!$R$291)</f>
        <v>2.6035770917136669</v>
      </c>
      <c r="P135" s="1505">
        <f t="shared" ca="1" si="23"/>
        <v>653.03149170398592</v>
      </c>
      <c r="R135" s="1506">
        <f t="shared" ca="1" si="24"/>
        <v>25384.869169439178</v>
      </c>
      <c r="S135" s="330">
        <f ca="1">'Plant Operations'!C135</f>
        <v>480</v>
      </c>
      <c r="T135" s="1481">
        <f t="shared" ca="1" si="25"/>
        <v>12184.737201330805</v>
      </c>
      <c r="U135" s="1504">
        <f t="shared" ca="1" si="26"/>
        <v>2.56286085421335</v>
      </c>
      <c r="V135" s="384">
        <f t="shared" ca="1" si="27"/>
        <v>4754.3498825927536</v>
      </c>
      <c r="W135" s="692" t="str">
        <f t="shared" ca="1" si="15"/>
        <v xml:space="preserve"> </v>
      </c>
      <c r="Y135" s="1507">
        <f ca="1">IF($A135&gt;Endyr,0,VLOOKUP($A135,Tariff_Table,Tariff!$J$33))</f>
        <v>0.19</v>
      </c>
      <c r="Z135" s="1504">
        <f ca="1">VLOOKUP($A135,Curves_Table,Escalation!$AH$291)</f>
        <v>2.6035770917136669</v>
      </c>
      <c r="AA135" s="1504">
        <f t="shared" ca="1" si="28"/>
        <v>0.49467964742559672</v>
      </c>
      <c r="AB135" s="334">
        <f ca="1">'Plant Operations'!$I135+'Plant Operations'!$M135</f>
        <v>298980.864</v>
      </c>
      <c r="AC135" s="1481">
        <f t="shared" ca="1" si="16"/>
        <v>147.89974839052027</v>
      </c>
      <c r="AD135" s="1504">
        <f t="shared" ca="1" si="17"/>
        <v>2.56286085421335</v>
      </c>
      <c r="AE135" s="335">
        <f t="shared" ca="1" si="29"/>
        <v>57.708848354904909</v>
      </c>
      <c r="AF135" s="698" t="str">
        <f t="shared" ca="1" si="18"/>
        <v xml:space="preserve"> </v>
      </c>
    </row>
    <row r="136" spans="1:32">
      <c r="A136" s="672">
        <f ca="1">'Plant Operations'!A136</f>
        <v>40026</v>
      </c>
      <c r="C136" s="1503">
        <f ca="1">IF($A136&gt;Endyr,0,VLOOKUP($A136,Tariff_Table,Tariff!$D$33))</f>
        <v>7730.9607438016528</v>
      </c>
      <c r="E136" s="691">
        <f ca="1">VLOOKUP($A136,Tariff_Table,Tariff!$E$33)</f>
        <v>0.96755631205927151</v>
      </c>
      <c r="F136" s="1481">
        <f t="shared" ca="1" si="19"/>
        <v>7480.13986594773</v>
      </c>
      <c r="G136" s="1480">
        <f ca="1">VLOOKUP($A136,Curves_Table,Escalation!$N$291)</f>
        <v>1.3739510144936682</v>
      </c>
      <c r="H136" s="1481">
        <f t="shared" ca="1" si="20"/>
        <v>10277.345757373414</v>
      </c>
      <c r="I136" s="1504">
        <f ca="1">IF(Assm!$L$74=0,VLOOKUP($A136,Curves_Table,Escalation!$D$291),VLOOKUP($A136,Curves_Table,Escalation!$E$291))</f>
        <v>2.5681399279554182</v>
      </c>
      <c r="J136" s="1504">
        <f ca="1">IF($A136&lt;EE_Date,VLOOKUP($A136,Curves_Table,Escalation!$D$291),Exch)</f>
        <v>1.0649999999999999</v>
      </c>
      <c r="K136" s="1505">
        <f t="shared" ca="1" si="21"/>
        <v>24782.781214003648</v>
      </c>
      <c r="M136" s="691">
        <f ca="1">VLOOKUP($A136,Tariff_Table,Tariff!$F$33)</f>
        <v>3.2443687940728494E-2</v>
      </c>
      <c r="N136" s="1481">
        <f t="shared" ca="1" si="22"/>
        <v>250.82087785392307</v>
      </c>
      <c r="O136" s="1480">
        <f ca="1">VLOOKUP($A136,Curves_Table,Escalation!$R$291)</f>
        <v>2.6035770917136669</v>
      </c>
      <c r="P136" s="1505">
        <f t="shared" ca="1" si="23"/>
        <v>653.03149170398592</v>
      </c>
      <c r="R136" s="1506">
        <f t="shared" ca="1" si="24"/>
        <v>25435.812705707634</v>
      </c>
      <c r="S136" s="330">
        <f ca="1">'Plant Operations'!C136</f>
        <v>480</v>
      </c>
      <c r="T136" s="1481">
        <f t="shared" ca="1" si="25"/>
        <v>12209.190098739666</v>
      </c>
      <c r="U136" s="1504">
        <f t="shared" ca="1" si="26"/>
        <v>2.5681399279554182</v>
      </c>
      <c r="V136" s="384">
        <f t="shared" ca="1" si="27"/>
        <v>4754.0984686374968</v>
      </c>
      <c r="W136" s="692" t="str">
        <f t="shared" ca="1" si="15"/>
        <v xml:space="preserve"> </v>
      </c>
      <c r="Y136" s="1507">
        <f ca="1">IF($A136&gt;Endyr,0,VLOOKUP($A136,Tariff_Table,Tariff!$J$33))</f>
        <v>0.19</v>
      </c>
      <c r="Z136" s="1504">
        <f ca="1">VLOOKUP($A136,Curves_Table,Escalation!$AH$291)</f>
        <v>2.6035770917136669</v>
      </c>
      <c r="AA136" s="1504">
        <f t="shared" ca="1" si="28"/>
        <v>0.49467964742559672</v>
      </c>
      <c r="AB136" s="334">
        <f ca="1">'Plant Operations'!$I136+'Plant Operations'!$M136</f>
        <v>298980.864</v>
      </c>
      <c r="AC136" s="1481">
        <f t="shared" ca="1" si="16"/>
        <v>147.89974839052027</v>
      </c>
      <c r="AD136" s="1504">
        <f t="shared" ca="1" si="17"/>
        <v>2.5681399279554182</v>
      </c>
      <c r="AE136" s="335">
        <f t="shared" ca="1" si="29"/>
        <v>57.590221926991411</v>
      </c>
      <c r="AF136" s="698" t="str">
        <f t="shared" ca="1" si="18"/>
        <v xml:space="preserve"> </v>
      </c>
    </row>
    <row r="137" spans="1:32">
      <c r="A137" s="672">
        <f ca="1">'Plant Operations'!A137</f>
        <v>40057</v>
      </c>
      <c r="C137" s="1503">
        <f ca="1">IF($A137&gt;Endyr,0,VLOOKUP($A137,Tariff_Table,Tariff!$D$33))</f>
        <v>7730.9607438016528</v>
      </c>
      <c r="E137" s="691">
        <f ca="1">VLOOKUP($A137,Tariff_Table,Tariff!$E$33)</f>
        <v>0.96755631205927151</v>
      </c>
      <c r="F137" s="1481">
        <f t="shared" ca="1" si="19"/>
        <v>7480.13986594773</v>
      </c>
      <c r="G137" s="1480">
        <f ca="1">VLOOKUP($A137,Curves_Table,Escalation!$N$291)</f>
        <v>1.3739510144936682</v>
      </c>
      <c r="H137" s="1481">
        <f t="shared" ca="1" si="20"/>
        <v>10277.345757373414</v>
      </c>
      <c r="I137" s="1504">
        <f ca="1">IF(Assm!$L$74=0,VLOOKUP($A137,Curves_Table,Escalation!$D$291),VLOOKUP($A137,Curves_Table,Escalation!$E$291))</f>
        <v>2.5734298757250516</v>
      </c>
      <c r="J137" s="1504">
        <f ca="1">IF($A137&lt;EE_Date,VLOOKUP($A137,Curves_Table,Escalation!$D$291),Exch)</f>
        <v>1.0649999999999999</v>
      </c>
      <c r="K137" s="1505">
        <f t="shared" ca="1" si="21"/>
        <v>24833.829685615823</v>
      </c>
      <c r="M137" s="691">
        <f ca="1">VLOOKUP($A137,Tariff_Table,Tariff!$F$33)</f>
        <v>3.2443687940728494E-2</v>
      </c>
      <c r="N137" s="1481">
        <f t="shared" ca="1" si="22"/>
        <v>250.82087785392307</v>
      </c>
      <c r="O137" s="1480">
        <f ca="1">VLOOKUP($A137,Curves_Table,Escalation!$R$291)</f>
        <v>2.6035770917136669</v>
      </c>
      <c r="P137" s="1505">
        <f t="shared" ca="1" si="23"/>
        <v>653.03149170398592</v>
      </c>
      <c r="R137" s="1506">
        <f t="shared" ca="1" si="24"/>
        <v>25486.86117731981</v>
      </c>
      <c r="S137" s="330">
        <f ca="1">'Plant Operations'!C137</f>
        <v>480</v>
      </c>
      <c r="T137" s="1481">
        <f t="shared" ca="1" si="25"/>
        <v>12233.693365113508</v>
      </c>
      <c r="U137" s="1504">
        <f t="shared" ca="1" si="26"/>
        <v>2.5734298757250516</v>
      </c>
      <c r="V137" s="384">
        <f t="shared" ca="1" si="27"/>
        <v>4753.8475714892847</v>
      </c>
      <c r="W137" s="692" t="str">
        <f t="shared" ca="1" si="15"/>
        <v xml:space="preserve"> </v>
      </c>
      <c r="Y137" s="1507">
        <f ca="1">IF($A137&gt;Endyr,0,VLOOKUP($A137,Tariff_Table,Tariff!$J$33))</f>
        <v>0.19</v>
      </c>
      <c r="Z137" s="1504">
        <f ca="1">VLOOKUP($A137,Curves_Table,Escalation!$AH$291)</f>
        <v>2.6035770917136669</v>
      </c>
      <c r="AA137" s="1504">
        <f t="shared" ca="1" si="28"/>
        <v>0.49467964742559672</v>
      </c>
      <c r="AB137" s="334">
        <f ca="1">'Plant Operations'!$I137+'Plant Operations'!$M137</f>
        <v>289336.32000000001</v>
      </c>
      <c r="AC137" s="1481">
        <f t="shared" ca="1" si="16"/>
        <v>143.12878876501961</v>
      </c>
      <c r="AD137" s="1504">
        <f t="shared" ca="1" si="17"/>
        <v>2.5734298757250516</v>
      </c>
      <c r="AE137" s="335">
        <f t="shared" ca="1" si="29"/>
        <v>55.617909046266028</v>
      </c>
      <c r="AF137" s="698" t="str">
        <f t="shared" ca="1" si="18"/>
        <v xml:space="preserve"> </v>
      </c>
    </row>
    <row r="138" spans="1:32">
      <c r="A138" s="672">
        <f ca="1">'Plant Operations'!A138</f>
        <v>40087</v>
      </c>
      <c r="C138" s="1503">
        <f ca="1">IF($A138&gt;Endyr,0,VLOOKUP($A138,Tariff_Table,Tariff!$D$33))</f>
        <v>7730.9607438016528</v>
      </c>
      <c r="E138" s="691">
        <f ca="1">VLOOKUP($A138,Tariff_Table,Tariff!$E$33)</f>
        <v>0.96755631205927151</v>
      </c>
      <c r="F138" s="1481">
        <f t="shared" ca="1" si="19"/>
        <v>7480.13986594773</v>
      </c>
      <c r="G138" s="1480">
        <f ca="1">VLOOKUP($A138,Curves_Table,Escalation!$N$291)</f>
        <v>1.3739510144936682</v>
      </c>
      <c r="H138" s="1481">
        <f t="shared" ca="1" si="20"/>
        <v>10277.345757373414</v>
      </c>
      <c r="I138" s="1504">
        <f ca="1">IF(Assm!$L$74=0,VLOOKUP($A138,Curves_Table,Escalation!$D$291),VLOOKUP($A138,Curves_Table,Escalation!$E$291))</f>
        <v>2.5787307199209661</v>
      </c>
      <c r="J138" s="1504">
        <f ca="1">IF($A138&lt;EE_Date,VLOOKUP($A138,Curves_Table,Escalation!$D$291),Exch)</f>
        <v>1.0649999999999999</v>
      </c>
      <c r="K138" s="1505">
        <f t="shared" ca="1" si="21"/>
        <v>24884.983308721345</v>
      </c>
      <c r="M138" s="691">
        <f ca="1">VLOOKUP($A138,Tariff_Table,Tariff!$F$33)</f>
        <v>3.2443687940728494E-2</v>
      </c>
      <c r="N138" s="1481">
        <f t="shared" ca="1" si="22"/>
        <v>250.82087785392307</v>
      </c>
      <c r="O138" s="1480">
        <f ca="1">VLOOKUP($A138,Curves_Table,Escalation!$R$291)</f>
        <v>2.6035770917136669</v>
      </c>
      <c r="P138" s="1505">
        <f t="shared" ca="1" si="23"/>
        <v>653.03149170398592</v>
      </c>
      <c r="R138" s="1506">
        <f t="shared" ca="1" si="24"/>
        <v>25538.014800425331</v>
      </c>
      <c r="S138" s="330">
        <f ca="1">'Plant Operations'!C138</f>
        <v>480</v>
      </c>
      <c r="T138" s="1481">
        <f t="shared" ca="1" si="25"/>
        <v>12258.24710420416</v>
      </c>
      <c r="U138" s="1504">
        <f t="shared" ca="1" si="26"/>
        <v>2.5787307199209661</v>
      </c>
      <c r="V138" s="384">
        <f t="shared" ca="1" si="27"/>
        <v>4753.5971900857703</v>
      </c>
      <c r="W138" s="692" t="str">
        <f t="shared" ca="1" si="15"/>
        <v xml:space="preserve"> </v>
      </c>
      <c r="Y138" s="1507">
        <f ca="1">IF($A138&gt;Endyr,0,VLOOKUP($A138,Tariff_Table,Tariff!$J$33))</f>
        <v>0.19</v>
      </c>
      <c r="Z138" s="1504">
        <f ca="1">VLOOKUP($A138,Curves_Table,Escalation!$AH$291)</f>
        <v>2.6035770917136669</v>
      </c>
      <c r="AA138" s="1504">
        <f t="shared" ca="1" si="28"/>
        <v>0.49467964742559672</v>
      </c>
      <c r="AB138" s="334">
        <f ca="1">'Plant Operations'!$I138+'Plant Operations'!$M138</f>
        <v>298980.864</v>
      </c>
      <c r="AC138" s="1481">
        <f t="shared" ca="1" si="16"/>
        <v>147.89974839052027</v>
      </c>
      <c r="AD138" s="1504">
        <f t="shared" ca="1" si="17"/>
        <v>2.5787307199209661</v>
      </c>
      <c r="AE138" s="335">
        <f t="shared" ca="1" si="29"/>
        <v>57.353700116099425</v>
      </c>
      <c r="AF138" s="698" t="str">
        <f t="shared" ca="1" si="18"/>
        <v xml:space="preserve"> </v>
      </c>
    </row>
    <row r="139" spans="1:32">
      <c r="A139" s="672">
        <f ca="1">'Plant Operations'!A139</f>
        <v>40118</v>
      </c>
      <c r="C139" s="1503">
        <f ca="1">IF($A139&gt;Endyr,0,VLOOKUP($A139,Tariff_Table,Tariff!$D$33))</f>
        <v>7730.9607438016528</v>
      </c>
      <c r="E139" s="691">
        <f ca="1">VLOOKUP($A139,Tariff_Table,Tariff!$E$33)</f>
        <v>0.96755631205927151</v>
      </c>
      <c r="F139" s="1481">
        <f t="shared" ca="1" si="19"/>
        <v>7480.13986594773</v>
      </c>
      <c r="G139" s="1480">
        <f ca="1">VLOOKUP($A139,Curves_Table,Escalation!$N$291)</f>
        <v>1.3739510144936682</v>
      </c>
      <c r="H139" s="1481">
        <f t="shared" ca="1" si="20"/>
        <v>10277.345757373414</v>
      </c>
      <c r="I139" s="1504">
        <f ca="1">IF(Assm!$L$74=0,VLOOKUP($A139,Curves_Table,Escalation!$D$291),VLOOKUP($A139,Curves_Table,Escalation!$E$291))</f>
        <v>2.5840424829880164</v>
      </c>
      <c r="J139" s="1504">
        <f ca="1">IF($A139&lt;EE_Date,VLOOKUP($A139,Curves_Table,Escalation!$D$291),Exch)</f>
        <v>1.0649999999999999</v>
      </c>
      <c r="K139" s="1505">
        <f t="shared" ca="1" si="21"/>
        <v>24936.242299915073</v>
      </c>
      <c r="M139" s="691">
        <f ca="1">VLOOKUP($A139,Tariff_Table,Tariff!$F$33)</f>
        <v>3.2443687940728494E-2</v>
      </c>
      <c r="N139" s="1481">
        <f t="shared" ca="1" si="22"/>
        <v>250.82087785392307</v>
      </c>
      <c r="O139" s="1480">
        <f ca="1">VLOOKUP($A139,Curves_Table,Escalation!$R$291)</f>
        <v>2.6035770917136669</v>
      </c>
      <c r="P139" s="1505">
        <f t="shared" ca="1" si="23"/>
        <v>653.03149170398592</v>
      </c>
      <c r="R139" s="1506">
        <f t="shared" ca="1" si="24"/>
        <v>25589.27379161906</v>
      </c>
      <c r="S139" s="330">
        <f ca="1">'Plant Operations'!C139</f>
        <v>480</v>
      </c>
      <c r="T139" s="1481">
        <f t="shared" ca="1" si="25"/>
        <v>12282.851419977149</v>
      </c>
      <c r="U139" s="1504">
        <f t="shared" ca="1" si="26"/>
        <v>2.5840424829880164</v>
      </c>
      <c r="V139" s="384">
        <f t="shared" ca="1" si="27"/>
        <v>4753.3473233667846</v>
      </c>
      <c r="W139" s="692" t="str">
        <f t="shared" ca="1" si="15"/>
        <v xml:space="preserve"> </v>
      </c>
      <c r="Y139" s="1507">
        <f ca="1">IF($A139&gt;Endyr,0,VLOOKUP($A139,Tariff_Table,Tariff!$J$33))</f>
        <v>0.19</v>
      </c>
      <c r="Z139" s="1504">
        <f ca="1">VLOOKUP($A139,Curves_Table,Escalation!$AH$291)</f>
        <v>2.6035770917136669</v>
      </c>
      <c r="AA139" s="1504">
        <f t="shared" ca="1" si="28"/>
        <v>0.49467964742559672</v>
      </c>
      <c r="AB139" s="334">
        <f ca="1">'Plant Operations'!$I139+'Plant Operations'!$M139</f>
        <v>289336.32000000001</v>
      </c>
      <c r="AC139" s="1481">
        <f t="shared" ca="1" si="16"/>
        <v>143.12878876501961</v>
      </c>
      <c r="AD139" s="1504">
        <f t="shared" ca="1" si="17"/>
        <v>2.5840424829880164</v>
      </c>
      <c r="AE139" s="335">
        <f t="shared" ca="1" si="29"/>
        <v>55.389487482231679</v>
      </c>
      <c r="AF139" s="698" t="str">
        <f t="shared" ca="1" si="18"/>
        <v xml:space="preserve"> </v>
      </c>
    </row>
    <row r="140" spans="1:32">
      <c r="A140" s="672">
        <f ca="1">'Plant Operations'!A140</f>
        <v>40148</v>
      </c>
      <c r="C140" s="1503">
        <f ca="1">IF($A140&gt;Endyr,0,VLOOKUP($A140,Tariff_Table,Tariff!$D$33))</f>
        <v>7730.9607438016528</v>
      </c>
      <c r="E140" s="691">
        <f ca="1">VLOOKUP($A140,Tariff_Table,Tariff!$E$33)</f>
        <v>0.96755631205927151</v>
      </c>
      <c r="F140" s="1481">
        <f t="shared" ca="1" si="19"/>
        <v>7480.13986594773</v>
      </c>
      <c r="G140" s="1480">
        <f ca="1">VLOOKUP($A140,Curves_Table,Escalation!$N$291)</f>
        <v>1.3739510144936682</v>
      </c>
      <c r="H140" s="1481">
        <f t="shared" ca="1" si="20"/>
        <v>10277.345757373414</v>
      </c>
      <c r="I140" s="1504">
        <f ca="1">IF(Assm!$L$74=0,VLOOKUP($A140,Curves_Table,Escalation!$D$291),VLOOKUP($A140,Curves_Table,Escalation!$E$291))</f>
        <v>2.5893651874172878</v>
      </c>
      <c r="J140" s="1504">
        <f ca="1">IF($A140&lt;EE_Date,VLOOKUP($A140,Curves_Table,Escalation!$D$291),Exch)</f>
        <v>1.0649999999999999</v>
      </c>
      <c r="K140" s="1505">
        <f t="shared" ca="1" si="21"/>
        <v>24987.606876238009</v>
      </c>
      <c r="M140" s="691">
        <f ca="1">VLOOKUP($A140,Tariff_Table,Tariff!$F$33)</f>
        <v>3.2443687940728494E-2</v>
      </c>
      <c r="N140" s="1481">
        <f t="shared" ca="1" si="22"/>
        <v>250.82087785392307</v>
      </c>
      <c r="O140" s="1480">
        <f ca="1">VLOOKUP($A140,Curves_Table,Escalation!$R$291)</f>
        <v>2.6035770917136669</v>
      </c>
      <c r="P140" s="1505">
        <f t="shared" ca="1" si="23"/>
        <v>653.03149170398592</v>
      </c>
      <c r="R140" s="1506">
        <f t="shared" ca="1" si="24"/>
        <v>25640.638367941996</v>
      </c>
      <c r="S140" s="330">
        <f ca="1">'Plant Operations'!C140</f>
        <v>480</v>
      </c>
      <c r="T140" s="1481">
        <f t="shared" ca="1" si="25"/>
        <v>12307.506416612157</v>
      </c>
      <c r="U140" s="1504">
        <f t="shared" ca="1" si="26"/>
        <v>2.5893651874172878</v>
      </c>
      <c r="V140" s="384">
        <f t="shared" ca="1" si="27"/>
        <v>4753.0979702743443</v>
      </c>
      <c r="W140" s="692">
        <f t="shared" ref="W140:W203" ca="1" si="30">IF(MONTH($A140)=12,SUM(V129:V140)," ")</f>
        <v>56988.982978049331</v>
      </c>
      <c r="Y140" s="1507">
        <f ca="1">IF($A140&gt;Endyr,0,VLOOKUP($A140,Tariff_Table,Tariff!$J$33))</f>
        <v>0.19</v>
      </c>
      <c r="Z140" s="1504">
        <f ca="1">VLOOKUP($A140,Curves_Table,Escalation!$AH$291)</f>
        <v>2.6035770917136669</v>
      </c>
      <c r="AA140" s="1504">
        <f t="shared" ca="1" si="28"/>
        <v>0.49467964742559672</v>
      </c>
      <c r="AB140" s="334">
        <f ca="1">'Plant Operations'!$I140+'Plant Operations'!$M140</f>
        <v>298980.864</v>
      </c>
      <c r="AC140" s="1481">
        <f t="shared" ref="AC140:AC203" ca="1" si="31">AA140*AB140/1000</f>
        <v>147.89974839052027</v>
      </c>
      <c r="AD140" s="1504">
        <f t="shared" ref="AD140:AD203" ca="1" si="32">$I140</f>
        <v>2.5893651874172878</v>
      </c>
      <c r="AE140" s="335">
        <f t="shared" ca="1" si="29"/>
        <v>57.118149695230905</v>
      </c>
      <c r="AF140" s="698">
        <f t="shared" ref="AF140:AF203" ca="1" si="33">IF(MONTH($A140)=12,SUM(AE129:AE140)," ")</f>
        <v>664.62043959477103</v>
      </c>
    </row>
    <row r="141" spans="1:32">
      <c r="A141" s="672">
        <f ca="1">'Plant Operations'!A141</f>
        <v>40179</v>
      </c>
      <c r="C141" s="1503">
        <f ca="1">IF($A141&gt;Endyr,0,VLOOKUP($A141,Tariff_Table,Tariff!$D$33))</f>
        <v>7730.9607438016528</v>
      </c>
      <c r="E141" s="691">
        <f ca="1">VLOOKUP($A141,Tariff_Table,Tariff!$E$33)</f>
        <v>0.96755631205927151</v>
      </c>
      <c r="F141" s="1481">
        <f t="shared" ref="F141:F204" ca="1" si="34">$C141*E141</f>
        <v>7480.13986594773</v>
      </c>
      <c r="G141" s="1480">
        <f ca="1">VLOOKUP($A141,Curves_Table,Escalation!$N$291)</f>
        <v>1.3739510144936682</v>
      </c>
      <c r="H141" s="1481">
        <f t="shared" ref="H141:H204" ca="1" si="35">F141*G141</f>
        <v>10277.345757373414</v>
      </c>
      <c r="I141" s="1504">
        <f ca="1">IF(Assm!$L$74=0,VLOOKUP($A141,Curves_Table,Escalation!$D$291),VLOOKUP($A141,Curves_Table,Escalation!$E$291))</f>
        <v>2.5944082870946334</v>
      </c>
      <c r="J141" s="1504">
        <f ca="1">IF($A141&lt;EE_Date,VLOOKUP($A141,Curves_Table,Escalation!$D$291),Exch)</f>
        <v>1.0649999999999999</v>
      </c>
      <c r="K141" s="1505">
        <f t="shared" ref="K141:K204" ca="1" si="36">H141*I141/J141</f>
        <v>25036.273241564752</v>
      </c>
      <c r="M141" s="691">
        <f ca="1">VLOOKUP($A141,Tariff_Table,Tariff!$F$33)</f>
        <v>3.2443687940728494E-2</v>
      </c>
      <c r="N141" s="1481">
        <f t="shared" ref="N141:N204" ca="1" si="37">$C141*M141</f>
        <v>250.82087785392307</v>
      </c>
      <c r="O141" s="1480">
        <f ca="1">VLOOKUP($A141,Curves_Table,Escalation!$R$291)</f>
        <v>2.6035770917136669</v>
      </c>
      <c r="P141" s="1505">
        <f t="shared" ref="P141:P204" ca="1" si="38">N141*O141</f>
        <v>653.03149170398592</v>
      </c>
      <c r="R141" s="1506">
        <f t="shared" ref="R141:R204" ca="1" si="39">SUM(K141,P141)</f>
        <v>25689.304733268738</v>
      </c>
      <c r="S141" s="330">
        <f ca="1">'Plant Operations'!C141</f>
        <v>480</v>
      </c>
      <c r="T141" s="1481">
        <f t="shared" ref="T141:T204" ca="1" si="40">R141*S141/1000</f>
        <v>12330.866271968995</v>
      </c>
      <c r="U141" s="1504">
        <f t="shared" ref="U141:U204" ca="1" si="41">$I141</f>
        <v>2.5944082870946334</v>
      </c>
      <c r="V141" s="384">
        <f t="shared" ref="V141:V204" ca="1" si="42">T141/U141</f>
        <v>4752.8626597850571</v>
      </c>
      <c r="W141" s="692" t="str">
        <f t="shared" ca="1" si="30"/>
        <v xml:space="preserve"> </v>
      </c>
      <c r="Y141" s="1507">
        <f ca="1">IF($A141&gt;Endyr,0,VLOOKUP($A141,Tariff_Table,Tariff!$J$33))</f>
        <v>0.19</v>
      </c>
      <c r="Z141" s="1504">
        <f ca="1">VLOOKUP($A141,Curves_Table,Escalation!$AH$291)</f>
        <v>2.6035770917136669</v>
      </c>
      <c r="AA141" s="1504">
        <f t="shared" ref="AA141:AA204" ca="1" si="43">Y141*Z141</f>
        <v>0.49467964742559672</v>
      </c>
      <c r="AB141" s="334">
        <f ca="1">'Plant Operations'!$I141+'Plant Operations'!$M141</f>
        <v>298980.864</v>
      </c>
      <c r="AC141" s="1481">
        <f t="shared" ca="1" si="31"/>
        <v>147.89974839052027</v>
      </c>
      <c r="AD141" s="1504">
        <f t="shared" ca="1" si="32"/>
        <v>2.5944082870946334</v>
      </c>
      <c r="AE141" s="335">
        <f t="shared" ref="AE141:AE204" ca="1" si="44">AC141/AD141</f>
        <v>57.007121479767882</v>
      </c>
      <c r="AF141" s="698" t="str">
        <f t="shared" ca="1" si="33"/>
        <v xml:space="preserve"> </v>
      </c>
    </row>
    <row r="142" spans="1:32">
      <c r="A142" s="672">
        <f ca="1">'Plant Operations'!A142</f>
        <v>40210</v>
      </c>
      <c r="C142" s="1503">
        <f ca="1">IF($A142&gt;Endyr,0,VLOOKUP($A142,Tariff_Table,Tariff!$D$33))</f>
        <v>7730.9607438016528</v>
      </c>
      <c r="E142" s="691">
        <f ca="1">VLOOKUP($A142,Tariff_Table,Tariff!$E$33)</f>
        <v>0.96755631205927151</v>
      </c>
      <c r="F142" s="1481">
        <f t="shared" ca="1" si="34"/>
        <v>7480.13986594773</v>
      </c>
      <c r="G142" s="1480">
        <f ca="1">VLOOKUP($A142,Curves_Table,Escalation!$N$291)</f>
        <v>1.3739510144936682</v>
      </c>
      <c r="H142" s="1481">
        <f t="shared" ca="1" si="35"/>
        <v>10277.345757373414</v>
      </c>
      <c r="I142" s="1504">
        <f ca="1">IF(Assm!$L$74=0,VLOOKUP($A142,Curves_Table,Escalation!$D$291),VLOOKUP($A142,Curves_Table,Escalation!$E$291))</f>
        <v>2.5994612088142612</v>
      </c>
      <c r="J142" s="1504">
        <f ca="1">IF($A142&lt;EE_Date,VLOOKUP($A142,Curves_Table,Escalation!$D$291),Exch)</f>
        <v>1.0649999999999999</v>
      </c>
      <c r="K142" s="1505">
        <f t="shared" ca="1" si="36"/>
        <v>25085.034390482644</v>
      </c>
      <c r="M142" s="691">
        <f ca="1">VLOOKUP($A142,Tariff_Table,Tariff!$F$33)</f>
        <v>3.2443687940728494E-2</v>
      </c>
      <c r="N142" s="1481">
        <f t="shared" ca="1" si="37"/>
        <v>250.82087785392307</v>
      </c>
      <c r="O142" s="1480">
        <f ca="1">VLOOKUP($A142,Curves_Table,Escalation!$R$291)</f>
        <v>2.6035770917136669</v>
      </c>
      <c r="P142" s="1505">
        <f t="shared" ca="1" si="38"/>
        <v>653.03149170398592</v>
      </c>
      <c r="R142" s="1506">
        <f t="shared" ca="1" si="39"/>
        <v>25738.065882186631</v>
      </c>
      <c r="S142" s="330">
        <f ca="1">'Plant Operations'!C142</f>
        <v>480</v>
      </c>
      <c r="T142" s="1481">
        <f t="shared" ca="1" si="40"/>
        <v>12354.271623449582</v>
      </c>
      <c r="U142" s="1504">
        <f t="shared" ca="1" si="41"/>
        <v>2.5994612088142612</v>
      </c>
      <c r="V142" s="384">
        <f t="shared" ca="1" si="42"/>
        <v>4752.6278067003577</v>
      </c>
      <c r="W142" s="692" t="str">
        <f t="shared" ca="1" si="30"/>
        <v xml:space="preserve"> </v>
      </c>
      <c r="Y142" s="1507">
        <f ca="1">IF($A142&gt;Endyr,0,VLOOKUP($A142,Tariff_Table,Tariff!$J$33))</f>
        <v>0.19</v>
      </c>
      <c r="Z142" s="1504">
        <f ca="1">VLOOKUP($A142,Curves_Table,Escalation!$AH$291)</f>
        <v>2.6035770917136669</v>
      </c>
      <c r="AA142" s="1504">
        <f t="shared" ca="1" si="43"/>
        <v>0.49467964742559672</v>
      </c>
      <c r="AB142" s="334">
        <f ca="1">'Plant Operations'!$I142+'Plant Operations'!$M142</f>
        <v>270047.23200000002</v>
      </c>
      <c r="AC142" s="1481">
        <f t="shared" ca="1" si="31"/>
        <v>133.58686951401833</v>
      </c>
      <c r="AD142" s="1504">
        <f t="shared" ca="1" si="32"/>
        <v>2.5994612088142612</v>
      </c>
      <c r="AE142" s="335">
        <f t="shared" ca="1" si="44"/>
        <v>51.390214657195713</v>
      </c>
      <c r="AF142" s="698" t="str">
        <f t="shared" ca="1" si="33"/>
        <v xml:space="preserve"> </v>
      </c>
    </row>
    <row r="143" spans="1:32">
      <c r="A143" s="672">
        <f ca="1">'Plant Operations'!A143</f>
        <v>40238</v>
      </c>
      <c r="C143" s="1503">
        <f ca="1">IF($A143&gt;Endyr,0,VLOOKUP($A143,Tariff_Table,Tariff!$D$33))</f>
        <v>7730.9607438016528</v>
      </c>
      <c r="E143" s="691">
        <f ca="1">VLOOKUP($A143,Tariff_Table,Tariff!$E$33)</f>
        <v>0.96755631205927151</v>
      </c>
      <c r="F143" s="1481">
        <f t="shared" ca="1" si="34"/>
        <v>7480.13986594773</v>
      </c>
      <c r="G143" s="1480">
        <f ca="1">VLOOKUP($A143,Curves_Table,Escalation!$N$291)</f>
        <v>1.3739510144936682</v>
      </c>
      <c r="H143" s="1481">
        <f t="shared" ca="1" si="35"/>
        <v>10277.345757373414</v>
      </c>
      <c r="I143" s="1504">
        <f ca="1">IF(Assm!$L$74=0,VLOOKUP($A143,Curves_Table,Escalation!$D$291),VLOOKUP($A143,Curves_Table,Escalation!$E$291))</f>
        <v>2.6045239717057789</v>
      </c>
      <c r="J143" s="1504">
        <f ca="1">IF($A143&lt;EE_Date,VLOOKUP($A143,Curves_Table,Escalation!$D$291),Exch)</f>
        <v>1.0649999999999999</v>
      </c>
      <c r="K143" s="1505">
        <f t="shared" ca="1" si="36"/>
        <v>25133.890507594122</v>
      </c>
      <c r="M143" s="691">
        <f ca="1">VLOOKUP($A143,Tariff_Table,Tariff!$F$33)</f>
        <v>3.2443687940728494E-2</v>
      </c>
      <c r="N143" s="1481">
        <f t="shared" ca="1" si="37"/>
        <v>250.82087785392307</v>
      </c>
      <c r="O143" s="1480">
        <f ca="1">VLOOKUP($A143,Curves_Table,Escalation!$R$291)</f>
        <v>2.6035770917136669</v>
      </c>
      <c r="P143" s="1505">
        <f t="shared" ca="1" si="38"/>
        <v>653.03149170398592</v>
      </c>
      <c r="R143" s="1506">
        <f t="shared" ca="1" si="39"/>
        <v>25786.921999298109</v>
      </c>
      <c r="S143" s="330">
        <f ca="1">'Plant Operations'!C143</f>
        <v>480</v>
      </c>
      <c r="T143" s="1481">
        <f t="shared" ca="1" si="40"/>
        <v>12377.722559663092</v>
      </c>
      <c r="U143" s="1504">
        <f t="shared" ca="1" si="41"/>
        <v>2.6045239717057789</v>
      </c>
      <c r="V143" s="384">
        <f t="shared" ca="1" si="42"/>
        <v>4752.393410131127</v>
      </c>
      <c r="W143" s="692" t="str">
        <f t="shared" ca="1" si="30"/>
        <v xml:space="preserve"> </v>
      </c>
      <c r="Y143" s="1507">
        <f ca="1">IF($A143&gt;Endyr,0,VLOOKUP($A143,Tariff_Table,Tariff!$J$33))</f>
        <v>0.19</v>
      </c>
      <c r="Z143" s="1504">
        <f ca="1">VLOOKUP($A143,Curves_Table,Escalation!$AH$291)</f>
        <v>2.6035770917136669</v>
      </c>
      <c r="AA143" s="1504">
        <f t="shared" ca="1" si="43"/>
        <v>0.49467964742559672</v>
      </c>
      <c r="AB143" s="334">
        <f ca="1">'Plant Operations'!$I143+'Plant Operations'!$M143</f>
        <v>298980.864</v>
      </c>
      <c r="AC143" s="1481">
        <f t="shared" ca="1" si="31"/>
        <v>147.89974839052027</v>
      </c>
      <c r="AD143" s="1504">
        <f t="shared" ca="1" si="32"/>
        <v>2.6045239717057789</v>
      </c>
      <c r="AE143" s="335">
        <f t="shared" ca="1" si="44"/>
        <v>56.785712090665228</v>
      </c>
      <c r="AF143" s="698" t="str">
        <f t="shared" ca="1" si="33"/>
        <v xml:space="preserve"> </v>
      </c>
    </row>
    <row r="144" spans="1:32">
      <c r="A144" s="672">
        <f ca="1">'Plant Operations'!A144</f>
        <v>40269</v>
      </c>
      <c r="C144" s="1503">
        <f ca="1">IF($A144&gt;Endyr,0,VLOOKUP($A144,Tariff_Table,Tariff!$D$33))</f>
        <v>7730.9607438016528</v>
      </c>
      <c r="E144" s="691">
        <f ca="1">VLOOKUP($A144,Tariff_Table,Tariff!$E$33)</f>
        <v>0.96755631205927151</v>
      </c>
      <c r="F144" s="1481">
        <f t="shared" ca="1" si="34"/>
        <v>7480.13986594773</v>
      </c>
      <c r="G144" s="1480">
        <f ca="1">VLOOKUP($A144,Curves_Table,Escalation!$N$291)</f>
        <v>1.3739510144936682</v>
      </c>
      <c r="H144" s="1481">
        <f t="shared" ca="1" si="35"/>
        <v>10277.345757373414</v>
      </c>
      <c r="I144" s="1504">
        <f ca="1">IF(Assm!$L$74=0,VLOOKUP($A144,Curves_Table,Escalation!$D$291),VLOOKUP($A144,Curves_Table,Escalation!$E$291))</f>
        <v>2.60959659493605</v>
      </c>
      <c r="J144" s="1504">
        <f ca="1">IF($A144&lt;EE_Date,VLOOKUP($A144,Curves_Table,Escalation!$D$291),Exch)</f>
        <v>1.0649999999999999</v>
      </c>
      <c r="K144" s="1505">
        <f t="shared" ca="1" si="36"/>
        <v>25182.841777861147</v>
      </c>
      <c r="M144" s="691">
        <f ca="1">VLOOKUP($A144,Tariff_Table,Tariff!$F$33)</f>
        <v>3.2443687940728494E-2</v>
      </c>
      <c r="N144" s="1481">
        <f t="shared" ca="1" si="37"/>
        <v>250.82087785392307</v>
      </c>
      <c r="O144" s="1480">
        <f ca="1">VLOOKUP($A144,Curves_Table,Escalation!$R$291)</f>
        <v>2.6035770917136669</v>
      </c>
      <c r="P144" s="1505">
        <f t="shared" ca="1" si="38"/>
        <v>653.03149170398592</v>
      </c>
      <c r="R144" s="1506">
        <f t="shared" ca="1" si="39"/>
        <v>25835.873269565134</v>
      </c>
      <c r="S144" s="330">
        <f ca="1">'Plant Operations'!C144</f>
        <v>480</v>
      </c>
      <c r="T144" s="1481">
        <f t="shared" ca="1" si="40"/>
        <v>12401.219169391265</v>
      </c>
      <c r="U144" s="1504">
        <f t="shared" ca="1" si="41"/>
        <v>2.60959659493605</v>
      </c>
      <c r="V144" s="384">
        <f t="shared" ca="1" si="42"/>
        <v>4752.1594691899745</v>
      </c>
      <c r="W144" s="692" t="str">
        <f t="shared" ca="1" si="30"/>
        <v xml:space="preserve"> </v>
      </c>
      <c r="Y144" s="1507">
        <f ca="1">IF($A144&gt;Endyr,0,VLOOKUP($A144,Tariff_Table,Tariff!$J$33))</f>
        <v>0.19</v>
      </c>
      <c r="Z144" s="1504">
        <f ca="1">VLOOKUP($A144,Curves_Table,Escalation!$AH$291)</f>
        <v>2.6035770917136669</v>
      </c>
      <c r="AA144" s="1504">
        <f t="shared" ca="1" si="43"/>
        <v>0.49467964742559672</v>
      </c>
      <c r="AB144" s="334">
        <f ca="1">'Plant Operations'!$I144+'Plant Operations'!$M144</f>
        <v>289336.32000000001</v>
      </c>
      <c r="AC144" s="1481">
        <f t="shared" ca="1" si="31"/>
        <v>143.12878876501961</v>
      </c>
      <c r="AD144" s="1504">
        <f t="shared" ca="1" si="32"/>
        <v>2.60959659493605</v>
      </c>
      <c r="AE144" s="335">
        <f t="shared" ca="1" si="44"/>
        <v>54.84709362464779</v>
      </c>
      <c r="AF144" s="698" t="str">
        <f t="shared" ca="1" si="33"/>
        <v xml:space="preserve"> </v>
      </c>
    </row>
    <row r="145" spans="1:32">
      <c r="A145" s="672">
        <f ca="1">'Plant Operations'!A145</f>
        <v>40299</v>
      </c>
      <c r="C145" s="1503">
        <f ca="1">IF($A145&gt;Endyr,0,VLOOKUP($A145,Tariff_Table,Tariff!$D$33))</f>
        <v>7728.3891213389124</v>
      </c>
      <c r="E145" s="691">
        <f ca="1">VLOOKUP($A145,Tariff_Table,Tariff!$E$33)</f>
        <v>0.96954726753533338</v>
      </c>
      <c r="F145" s="1481">
        <f t="shared" ca="1" si="34"/>
        <v>7493.0385550439387</v>
      </c>
      <c r="G145" s="1480">
        <f ca="1">VLOOKUP($A145,Curves_Table,Escalation!$N$291)</f>
        <v>1.409454688092179</v>
      </c>
      <c r="H145" s="1481">
        <f t="shared" ca="1" si="35"/>
        <v>10561.098319462126</v>
      </c>
      <c r="I145" s="1504">
        <f ca="1">IF(Assm!$L$74=0,VLOOKUP($A145,Curves_Table,Escalation!$D$291),VLOOKUP($A145,Curves_Table,Escalation!$E$291))</f>
        <v>2.6146790977092684</v>
      </c>
      <c r="J145" s="1504">
        <f ca="1">IF($A145&lt;EE_Date,VLOOKUP($A145,Curves_Table,Escalation!$D$291),Exch)</f>
        <v>1.0649999999999999</v>
      </c>
      <c r="K145" s="1505">
        <f t="shared" ca="1" si="36"/>
        <v>25928.528661737186</v>
      </c>
      <c r="M145" s="691">
        <f ca="1">VLOOKUP($A145,Tariff_Table,Tariff!$F$33)</f>
        <v>3.0452732464666621E-2</v>
      </c>
      <c r="N145" s="1481">
        <f t="shared" ca="1" si="37"/>
        <v>235.35056629497385</v>
      </c>
      <c r="O145" s="1480">
        <f ca="1">VLOOKUP($A145,Curves_Table,Escalation!$R$291)</f>
        <v>2.7910346423170522</v>
      </c>
      <c r="P145" s="1505">
        <f t="shared" ca="1" si="38"/>
        <v>656.87158361820798</v>
      </c>
      <c r="R145" s="1506">
        <f t="shared" ca="1" si="39"/>
        <v>26585.400245355395</v>
      </c>
      <c r="S145" s="330">
        <f ca="1">'Plant Operations'!C145</f>
        <v>480</v>
      </c>
      <c r="T145" s="1481">
        <f t="shared" ca="1" si="40"/>
        <v>12760.992117770589</v>
      </c>
      <c r="U145" s="1504">
        <f t="shared" ca="1" si="41"/>
        <v>2.6146790977092684</v>
      </c>
      <c r="V145" s="384">
        <f t="shared" ca="1" si="42"/>
        <v>4880.5194216569635</v>
      </c>
      <c r="W145" s="692" t="str">
        <f t="shared" ca="1" si="30"/>
        <v xml:space="preserve"> </v>
      </c>
      <c r="Y145" s="1507">
        <f ca="1">IF($A145&gt;Endyr,0,VLOOKUP($A145,Tariff_Table,Tariff!$J$33))</f>
        <v>0.19</v>
      </c>
      <c r="Z145" s="1504">
        <f ca="1">VLOOKUP($A145,Curves_Table,Escalation!$AH$291)</f>
        <v>2.7910346423170522</v>
      </c>
      <c r="AA145" s="1504">
        <f t="shared" ca="1" si="43"/>
        <v>0.53029658204023988</v>
      </c>
      <c r="AB145" s="334">
        <f ca="1">'Plant Operations'!$I145+'Plant Operations'!$M145</f>
        <v>298980.864</v>
      </c>
      <c r="AC145" s="1481">
        <f t="shared" ca="1" si="31"/>
        <v>158.54853027463781</v>
      </c>
      <c r="AD145" s="1504">
        <f t="shared" ca="1" si="32"/>
        <v>2.6146790977092684</v>
      </c>
      <c r="AE145" s="335">
        <f t="shared" ca="1" si="44"/>
        <v>60.637854340726882</v>
      </c>
      <c r="AF145" s="698" t="str">
        <f t="shared" ca="1" si="33"/>
        <v xml:space="preserve"> </v>
      </c>
    </row>
    <row r="146" spans="1:32">
      <c r="A146" s="672">
        <f ca="1">'Plant Operations'!A146</f>
        <v>40330</v>
      </c>
      <c r="C146" s="1503">
        <f ca="1">IF($A146&gt;Endyr,0,VLOOKUP($A146,Tariff_Table,Tariff!$D$33))</f>
        <v>7728.3891213389124</v>
      </c>
      <c r="E146" s="691">
        <f ca="1">VLOOKUP($A146,Tariff_Table,Tariff!$E$33)</f>
        <v>0.96954726753533338</v>
      </c>
      <c r="F146" s="1481">
        <f t="shared" ca="1" si="34"/>
        <v>7493.0385550439387</v>
      </c>
      <c r="G146" s="1480">
        <f ca="1">VLOOKUP($A146,Curves_Table,Escalation!$N$291)</f>
        <v>1.409454688092179</v>
      </c>
      <c r="H146" s="1481">
        <f t="shared" ca="1" si="35"/>
        <v>10561.098319462126</v>
      </c>
      <c r="I146" s="1504">
        <f ca="1">IF(Assm!$L$74=0,VLOOKUP($A146,Curves_Table,Escalation!$D$291),VLOOKUP($A146,Curves_Table,Escalation!$E$291))</f>
        <v>2.6197714992670309</v>
      </c>
      <c r="J146" s="1504">
        <f ca="1">IF($A146&lt;EE_Date,VLOOKUP($A146,Curves_Table,Escalation!$D$291),Exch)</f>
        <v>1.0649999999999999</v>
      </c>
      <c r="K146" s="1505">
        <f t="shared" ca="1" si="36"/>
        <v>25979.02758524302</v>
      </c>
      <c r="M146" s="691">
        <f ca="1">VLOOKUP($A146,Tariff_Table,Tariff!$F$33)</f>
        <v>3.0452732464666621E-2</v>
      </c>
      <c r="N146" s="1481">
        <f t="shared" ca="1" si="37"/>
        <v>235.35056629497385</v>
      </c>
      <c r="O146" s="1480">
        <f ca="1">VLOOKUP($A146,Curves_Table,Escalation!$R$291)</f>
        <v>2.7910346423170522</v>
      </c>
      <c r="P146" s="1505">
        <f t="shared" ca="1" si="38"/>
        <v>656.87158361820798</v>
      </c>
      <c r="R146" s="1506">
        <f t="shared" ca="1" si="39"/>
        <v>26635.89916886123</v>
      </c>
      <c r="S146" s="330">
        <f ca="1">'Plant Operations'!C146</f>
        <v>480</v>
      </c>
      <c r="T146" s="1481">
        <f t="shared" ca="1" si="40"/>
        <v>12785.23160105339</v>
      </c>
      <c r="U146" s="1504">
        <f t="shared" ca="1" si="41"/>
        <v>2.6197714992670309</v>
      </c>
      <c r="V146" s="384">
        <f t="shared" ca="1" si="42"/>
        <v>4880.285018991347</v>
      </c>
      <c r="W146" s="692" t="str">
        <f t="shared" ca="1" si="30"/>
        <v xml:space="preserve"> </v>
      </c>
      <c r="Y146" s="1507">
        <f ca="1">IF($A146&gt;Endyr,0,VLOOKUP($A146,Tariff_Table,Tariff!$J$33))</f>
        <v>0.19</v>
      </c>
      <c r="Z146" s="1504">
        <f ca="1">VLOOKUP($A146,Curves_Table,Escalation!$AH$291)</f>
        <v>2.7910346423170522</v>
      </c>
      <c r="AA146" s="1504">
        <f t="shared" ca="1" si="43"/>
        <v>0.53029658204023988</v>
      </c>
      <c r="AB146" s="334">
        <f ca="1">'Plant Operations'!$I146+'Plant Operations'!$M146</f>
        <v>289336.32000000001</v>
      </c>
      <c r="AC146" s="1481">
        <f t="shared" ca="1" si="31"/>
        <v>153.43406155610111</v>
      </c>
      <c r="AD146" s="1504">
        <f t="shared" ca="1" si="32"/>
        <v>2.6197714992670309</v>
      </c>
      <c r="AE146" s="335">
        <f t="shared" ca="1" si="44"/>
        <v>58.56772684145524</v>
      </c>
      <c r="AF146" s="698" t="str">
        <f t="shared" ca="1" si="33"/>
        <v xml:space="preserve"> </v>
      </c>
    </row>
    <row r="147" spans="1:32">
      <c r="A147" s="672">
        <f ca="1">'Plant Operations'!A147</f>
        <v>40360</v>
      </c>
      <c r="C147" s="1503">
        <f ca="1">IF($A147&gt;Endyr,0,VLOOKUP($A147,Tariff_Table,Tariff!$D$33))</f>
        <v>7728.3891213389124</v>
      </c>
      <c r="E147" s="691">
        <f ca="1">VLOOKUP($A147,Tariff_Table,Tariff!$E$33)</f>
        <v>0.96954726753533338</v>
      </c>
      <c r="F147" s="1481">
        <f t="shared" ca="1" si="34"/>
        <v>7493.0385550439387</v>
      </c>
      <c r="G147" s="1480">
        <f ca="1">VLOOKUP($A147,Curves_Table,Escalation!$N$291)</f>
        <v>1.409454688092179</v>
      </c>
      <c r="H147" s="1481">
        <f t="shared" ca="1" si="35"/>
        <v>10561.098319462126</v>
      </c>
      <c r="I147" s="1504">
        <f ca="1">IF(Assm!$L$74=0,VLOOKUP($A147,Curves_Table,Escalation!$D$291),VLOOKUP($A147,Curves_Table,Escalation!$E$291))</f>
        <v>2.6248738188884091</v>
      </c>
      <c r="J147" s="1504">
        <f ca="1">IF($A147&lt;EE_Date,VLOOKUP($A147,Curves_Table,Escalation!$D$291),Exch)</f>
        <v>1.0649999999999999</v>
      </c>
      <c r="K147" s="1505">
        <f t="shared" ca="1" si="36"/>
        <v>26029.624861467146</v>
      </c>
      <c r="M147" s="691">
        <f ca="1">VLOOKUP($A147,Tariff_Table,Tariff!$F$33)</f>
        <v>3.0452732464666621E-2</v>
      </c>
      <c r="N147" s="1481">
        <f t="shared" ca="1" si="37"/>
        <v>235.35056629497385</v>
      </c>
      <c r="O147" s="1480">
        <f ca="1">VLOOKUP($A147,Curves_Table,Escalation!$R$291)</f>
        <v>2.7910346423170522</v>
      </c>
      <c r="P147" s="1505">
        <f t="shared" ca="1" si="38"/>
        <v>656.87158361820798</v>
      </c>
      <c r="R147" s="1506">
        <f t="shared" ca="1" si="39"/>
        <v>26686.496445085355</v>
      </c>
      <c r="S147" s="330">
        <f ca="1">'Plant Operations'!C147</f>
        <v>480</v>
      </c>
      <c r="T147" s="1481">
        <f t="shared" ca="1" si="40"/>
        <v>12809.518293640971</v>
      </c>
      <c r="U147" s="1504">
        <f t="shared" ca="1" si="41"/>
        <v>2.6248738188884091</v>
      </c>
      <c r="V147" s="384">
        <f t="shared" ca="1" si="42"/>
        <v>4880.0510719656577</v>
      </c>
      <c r="W147" s="692" t="str">
        <f t="shared" ca="1" si="30"/>
        <v xml:space="preserve"> </v>
      </c>
      <c r="Y147" s="1507">
        <f ca="1">IF($A147&gt;Endyr,0,VLOOKUP($A147,Tariff_Table,Tariff!$J$33))</f>
        <v>0.19</v>
      </c>
      <c r="Z147" s="1504">
        <f ca="1">VLOOKUP($A147,Curves_Table,Escalation!$AH$291)</f>
        <v>2.7910346423170522</v>
      </c>
      <c r="AA147" s="1504">
        <f t="shared" ca="1" si="43"/>
        <v>0.53029658204023988</v>
      </c>
      <c r="AB147" s="334">
        <f ca="1">'Plant Operations'!$I147+'Plant Operations'!$M147</f>
        <v>298980.864</v>
      </c>
      <c r="AC147" s="1481">
        <f t="shared" ca="1" si="31"/>
        <v>158.54853027463781</v>
      </c>
      <c r="AD147" s="1504">
        <f t="shared" ca="1" si="32"/>
        <v>2.6248738188884091</v>
      </c>
      <c r="AE147" s="335">
        <f t="shared" ca="1" si="44"/>
        <v>60.402343584569145</v>
      </c>
      <c r="AF147" s="698" t="str">
        <f t="shared" ca="1" si="33"/>
        <v xml:space="preserve"> </v>
      </c>
    </row>
    <row r="148" spans="1:32">
      <c r="A148" s="672">
        <f ca="1">'Plant Operations'!A148</f>
        <v>40391</v>
      </c>
      <c r="C148" s="1503">
        <f ca="1">IF($A148&gt;Endyr,0,VLOOKUP($A148,Tariff_Table,Tariff!$D$33))</f>
        <v>7728.3891213389124</v>
      </c>
      <c r="E148" s="691">
        <f ca="1">VLOOKUP($A148,Tariff_Table,Tariff!$E$33)</f>
        <v>0.96954726753533338</v>
      </c>
      <c r="F148" s="1481">
        <f t="shared" ca="1" si="34"/>
        <v>7493.0385550439387</v>
      </c>
      <c r="G148" s="1480">
        <f ca="1">VLOOKUP($A148,Curves_Table,Escalation!$N$291)</f>
        <v>1.409454688092179</v>
      </c>
      <c r="H148" s="1481">
        <f t="shared" ca="1" si="35"/>
        <v>10561.098319462126</v>
      </c>
      <c r="I148" s="1504">
        <f ca="1">IF(Assm!$L$74=0,VLOOKUP($A148,Curves_Table,Escalation!$D$291),VLOOKUP($A148,Curves_Table,Escalation!$E$291))</f>
        <v>2.6299860758900229</v>
      </c>
      <c r="J148" s="1504">
        <f ca="1">IF($A148&lt;EE_Date,VLOOKUP($A148,Curves_Table,Escalation!$D$291),Exch)</f>
        <v>1.0649999999999999</v>
      </c>
      <c r="K148" s="1505">
        <f t="shared" ca="1" si="36"/>
        <v>26080.320681963298</v>
      </c>
      <c r="M148" s="691">
        <f ca="1">VLOOKUP($A148,Tariff_Table,Tariff!$F$33)</f>
        <v>3.0452732464666621E-2</v>
      </c>
      <c r="N148" s="1481">
        <f t="shared" ca="1" si="37"/>
        <v>235.35056629497385</v>
      </c>
      <c r="O148" s="1480">
        <f ca="1">VLOOKUP($A148,Curves_Table,Escalation!$R$291)</f>
        <v>2.7910346423170522</v>
      </c>
      <c r="P148" s="1505">
        <f t="shared" ca="1" si="38"/>
        <v>656.87158361820798</v>
      </c>
      <c r="R148" s="1506">
        <f t="shared" ca="1" si="39"/>
        <v>26737.192265581507</v>
      </c>
      <c r="S148" s="330">
        <f ca="1">'Plant Operations'!C148</f>
        <v>480</v>
      </c>
      <c r="T148" s="1481">
        <f t="shared" ca="1" si="40"/>
        <v>12833.852287479123</v>
      </c>
      <c r="U148" s="1504">
        <f t="shared" ca="1" si="41"/>
        <v>2.6299860758900229</v>
      </c>
      <c r="V148" s="384">
        <f t="shared" ca="1" si="42"/>
        <v>4879.8175796942096</v>
      </c>
      <c r="W148" s="692" t="str">
        <f t="shared" ca="1" si="30"/>
        <v xml:space="preserve"> </v>
      </c>
      <c r="Y148" s="1507">
        <f ca="1">IF($A148&gt;Endyr,0,VLOOKUP($A148,Tariff_Table,Tariff!$J$33))</f>
        <v>0.19</v>
      </c>
      <c r="Z148" s="1504">
        <f ca="1">VLOOKUP($A148,Curves_Table,Escalation!$AH$291)</f>
        <v>2.7910346423170522</v>
      </c>
      <c r="AA148" s="1504">
        <f t="shared" ca="1" si="43"/>
        <v>0.53029658204023988</v>
      </c>
      <c r="AB148" s="334">
        <f ca="1">'Plant Operations'!$I148+'Plant Operations'!$M148</f>
        <v>298980.864</v>
      </c>
      <c r="AC148" s="1481">
        <f t="shared" ca="1" si="31"/>
        <v>158.54853027463781</v>
      </c>
      <c r="AD148" s="1504">
        <f t="shared" ca="1" si="32"/>
        <v>2.6299860758900229</v>
      </c>
      <c r="AE148" s="335">
        <f t="shared" ca="1" si="44"/>
        <v>60.284931440552533</v>
      </c>
      <c r="AF148" s="698" t="str">
        <f t="shared" ca="1" si="33"/>
        <v xml:space="preserve"> </v>
      </c>
    </row>
    <row r="149" spans="1:32">
      <c r="A149" s="672">
        <f ca="1">'Plant Operations'!A149</f>
        <v>40422</v>
      </c>
      <c r="C149" s="1503">
        <f ca="1">IF($A149&gt;Endyr,0,VLOOKUP($A149,Tariff_Table,Tariff!$D$33))</f>
        <v>7728.3891213389124</v>
      </c>
      <c r="E149" s="691">
        <f ca="1">VLOOKUP($A149,Tariff_Table,Tariff!$E$33)</f>
        <v>0.96954726753533338</v>
      </c>
      <c r="F149" s="1481">
        <f t="shared" ca="1" si="34"/>
        <v>7493.0385550439387</v>
      </c>
      <c r="G149" s="1480">
        <f ca="1">VLOOKUP($A149,Curves_Table,Escalation!$N$291)</f>
        <v>1.409454688092179</v>
      </c>
      <c r="H149" s="1481">
        <f t="shared" ca="1" si="35"/>
        <v>10561.098319462126</v>
      </c>
      <c r="I149" s="1504">
        <f ca="1">IF(Assm!$L$74=0,VLOOKUP($A149,Curves_Table,Escalation!$D$291),VLOOKUP($A149,Curves_Table,Escalation!$E$291))</f>
        <v>2.6351082896261135</v>
      </c>
      <c r="J149" s="1504">
        <f ca="1">IF($A149&lt;EE_Date,VLOOKUP($A149,Curves_Table,Escalation!$D$291),Exch)</f>
        <v>1.0649999999999999</v>
      </c>
      <c r="K149" s="1505">
        <f t="shared" ca="1" si="36"/>
        <v>26131.115238658276</v>
      </c>
      <c r="M149" s="691">
        <f ca="1">VLOOKUP($A149,Tariff_Table,Tariff!$F$33)</f>
        <v>3.0452732464666621E-2</v>
      </c>
      <c r="N149" s="1481">
        <f t="shared" ca="1" si="37"/>
        <v>235.35056629497385</v>
      </c>
      <c r="O149" s="1480">
        <f ca="1">VLOOKUP($A149,Curves_Table,Escalation!$R$291)</f>
        <v>2.7910346423170522</v>
      </c>
      <c r="P149" s="1505">
        <f t="shared" ca="1" si="38"/>
        <v>656.87158361820798</v>
      </c>
      <c r="R149" s="1506">
        <f t="shared" ca="1" si="39"/>
        <v>26787.986822276485</v>
      </c>
      <c r="S149" s="330">
        <f ca="1">'Plant Operations'!C149</f>
        <v>480</v>
      </c>
      <c r="T149" s="1481">
        <f t="shared" ca="1" si="40"/>
        <v>12858.233674692712</v>
      </c>
      <c r="U149" s="1504">
        <f t="shared" ca="1" si="41"/>
        <v>2.6351082896261135</v>
      </c>
      <c r="V149" s="384">
        <f t="shared" ca="1" si="42"/>
        <v>4879.5845412930348</v>
      </c>
      <c r="W149" s="692" t="str">
        <f t="shared" ca="1" si="30"/>
        <v xml:space="preserve"> </v>
      </c>
      <c r="Y149" s="1507">
        <f ca="1">IF($A149&gt;Endyr,0,VLOOKUP($A149,Tariff_Table,Tariff!$J$33))</f>
        <v>0.19</v>
      </c>
      <c r="Z149" s="1504">
        <f ca="1">VLOOKUP($A149,Curves_Table,Escalation!$AH$291)</f>
        <v>2.7910346423170522</v>
      </c>
      <c r="AA149" s="1504">
        <f t="shared" ca="1" si="43"/>
        <v>0.53029658204023988</v>
      </c>
      <c r="AB149" s="334">
        <f ca="1">'Plant Operations'!$I149+'Plant Operations'!$M149</f>
        <v>289336.32000000001</v>
      </c>
      <c r="AC149" s="1481">
        <f t="shared" ca="1" si="31"/>
        <v>153.43406155610111</v>
      </c>
      <c r="AD149" s="1504">
        <f t="shared" ca="1" si="32"/>
        <v>2.6351082896261135</v>
      </c>
      <c r="AE149" s="335">
        <f t="shared" ca="1" si="44"/>
        <v>58.226852444789408</v>
      </c>
      <c r="AF149" s="698" t="str">
        <f t="shared" ca="1" si="33"/>
        <v xml:space="preserve"> </v>
      </c>
    </row>
    <row r="150" spans="1:32">
      <c r="A150" s="672">
        <f ca="1">'Plant Operations'!A150</f>
        <v>40452</v>
      </c>
      <c r="C150" s="1503">
        <f ca="1">IF($A150&gt;Endyr,0,VLOOKUP($A150,Tariff_Table,Tariff!$D$33))</f>
        <v>7728.3891213389124</v>
      </c>
      <c r="E150" s="691">
        <f ca="1">VLOOKUP($A150,Tariff_Table,Tariff!$E$33)</f>
        <v>0.96954726753533338</v>
      </c>
      <c r="F150" s="1481">
        <f t="shared" ca="1" si="34"/>
        <v>7493.0385550439387</v>
      </c>
      <c r="G150" s="1480">
        <f ca="1">VLOOKUP($A150,Curves_Table,Escalation!$N$291)</f>
        <v>1.409454688092179</v>
      </c>
      <c r="H150" s="1481">
        <f t="shared" ca="1" si="35"/>
        <v>10561.098319462126</v>
      </c>
      <c r="I150" s="1504">
        <f ca="1">IF(Assm!$L$74=0,VLOOKUP($A150,Curves_Table,Escalation!$D$291),VLOOKUP($A150,Curves_Table,Escalation!$E$291))</f>
        <v>2.6402404794886176</v>
      </c>
      <c r="J150" s="1504">
        <f ca="1">IF($A150&lt;EE_Date,VLOOKUP($A150,Curves_Table,Escalation!$D$291),Exch)</f>
        <v>1.0649999999999999</v>
      </c>
      <c r="K150" s="1505">
        <f t="shared" ca="1" si="36"/>
        <v>26182.008723852694</v>
      </c>
      <c r="M150" s="691">
        <f ca="1">VLOOKUP($A150,Tariff_Table,Tariff!$F$33)</f>
        <v>3.0452732464666621E-2</v>
      </c>
      <c r="N150" s="1481">
        <f t="shared" ca="1" si="37"/>
        <v>235.35056629497385</v>
      </c>
      <c r="O150" s="1480">
        <f ca="1">VLOOKUP($A150,Curves_Table,Escalation!$R$291)</f>
        <v>2.7910346423170522</v>
      </c>
      <c r="P150" s="1505">
        <f t="shared" ca="1" si="38"/>
        <v>656.87158361820798</v>
      </c>
      <c r="R150" s="1506">
        <f t="shared" ca="1" si="39"/>
        <v>26838.880307470903</v>
      </c>
      <c r="S150" s="330">
        <f ca="1">'Plant Operations'!C150</f>
        <v>480</v>
      </c>
      <c r="T150" s="1481">
        <f t="shared" ca="1" si="40"/>
        <v>12882.662547586033</v>
      </c>
      <c r="U150" s="1504">
        <f t="shared" ca="1" si="41"/>
        <v>2.6402404794886176</v>
      </c>
      <c r="V150" s="384">
        <f t="shared" ca="1" si="42"/>
        <v>4879.3519558798853</v>
      </c>
      <c r="W150" s="692" t="str">
        <f t="shared" ca="1" si="30"/>
        <v xml:space="preserve"> </v>
      </c>
      <c r="Y150" s="1507">
        <f ca="1">IF($A150&gt;Endyr,0,VLOOKUP($A150,Tariff_Table,Tariff!$J$33))</f>
        <v>0.19</v>
      </c>
      <c r="Z150" s="1504">
        <f ca="1">VLOOKUP($A150,Curves_Table,Escalation!$AH$291)</f>
        <v>2.7910346423170522</v>
      </c>
      <c r="AA150" s="1504">
        <f t="shared" ca="1" si="43"/>
        <v>0.53029658204023988</v>
      </c>
      <c r="AB150" s="334">
        <f ca="1">'Plant Operations'!$I150+'Plant Operations'!$M150</f>
        <v>298980.864</v>
      </c>
      <c r="AC150" s="1481">
        <f t="shared" ca="1" si="31"/>
        <v>158.54853027463781</v>
      </c>
      <c r="AD150" s="1504">
        <f t="shared" ca="1" si="32"/>
        <v>2.6402404794886176</v>
      </c>
      <c r="AE150" s="335">
        <f t="shared" ca="1" si="44"/>
        <v>60.050791398117923</v>
      </c>
      <c r="AF150" s="698" t="str">
        <f t="shared" ca="1" si="33"/>
        <v xml:space="preserve"> </v>
      </c>
    </row>
    <row r="151" spans="1:32">
      <c r="A151" s="672">
        <f ca="1">'Plant Operations'!A151</f>
        <v>40483</v>
      </c>
      <c r="C151" s="1503">
        <f ca="1">IF($A151&gt;Endyr,0,VLOOKUP($A151,Tariff_Table,Tariff!$D$33))</f>
        <v>7728.3891213389124</v>
      </c>
      <c r="E151" s="691">
        <f ca="1">VLOOKUP($A151,Tariff_Table,Tariff!$E$33)</f>
        <v>0.96954726753533338</v>
      </c>
      <c r="F151" s="1481">
        <f t="shared" ca="1" si="34"/>
        <v>7493.0385550439387</v>
      </c>
      <c r="G151" s="1480">
        <f ca="1">VLOOKUP($A151,Curves_Table,Escalation!$N$291)</f>
        <v>1.409454688092179</v>
      </c>
      <c r="H151" s="1481">
        <f t="shared" ca="1" si="35"/>
        <v>10561.098319462126</v>
      </c>
      <c r="I151" s="1504">
        <f ca="1">IF(Assm!$L$74=0,VLOOKUP($A151,Curves_Table,Escalation!$D$291),VLOOKUP($A151,Curves_Table,Escalation!$E$291))</f>
        <v>2.6453826649072392</v>
      </c>
      <c r="J151" s="1504">
        <f ca="1">IF($A151&lt;EE_Date,VLOOKUP($A151,Curves_Table,Escalation!$D$291),Exch)</f>
        <v>1.0649999999999999</v>
      </c>
      <c r="K151" s="1505">
        <f t="shared" ca="1" si="36"/>
        <v>26233.001330221676</v>
      </c>
      <c r="M151" s="691">
        <f ca="1">VLOOKUP($A151,Tariff_Table,Tariff!$F$33)</f>
        <v>3.0452732464666621E-2</v>
      </c>
      <c r="N151" s="1481">
        <f t="shared" ca="1" si="37"/>
        <v>235.35056629497385</v>
      </c>
      <c r="O151" s="1480">
        <f ca="1">VLOOKUP($A151,Curves_Table,Escalation!$R$291)</f>
        <v>2.7910346423170522</v>
      </c>
      <c r="P151" s="1505">
        <f t="shared" ca="1" si="38"/>
        <v>656.87158361820798</v>
      </c>
      <c r="R151" s="1506">
        <f t="shared" ca="1" si="39"/>
        <v>26889.872913839885</v>
      </c>
      <c r="S151" s="330">
        <f ca="1">'Plant Operations'!C151</f>
        <v>480</v>
      </c>
      <c r="T151" s="1481">
        <f t="shared" ca="1" si="40"/>
        <v>12907.138998643144</v>
      </c>
      <c r="U151" s="1504">
        <f t="shared" ca="1" si="41"/>
        <v>2.6453826649072392</v>
      </c>
      <c r="V151" s="384">
        <f t="shared" ca="1" si="42"/>
        <v>4879.1198225742264</v>
      </c>
      <c r="W151" s="692" t="str">
        <f t="shared" ca="1" si="30"/>
        <v xml:space="preserve"> </v>
      </c>
      <c r="Y151" s="1507">
        <f ca="1">IF($A151&gt;Endyr,0,VLOOKUP($A151,Tariff_Table,Tariff!$J$33))</f>
        <v>0.19</v>
      </c>
      <c r="Z151" s="1504">
        <f ca="1">VLOOKUP($A151,Curves_Table,Escalation!$AH$291)</f>
        <v>2.7910346423170522</v>
      </c>
      <c r="AA151" s="1504">
        <f t="shared" ca="1" si="43"/>
        <v>0.53029658204023988</v>
      </c>
      <c r="AB151" s="334">
        <f ca="1">'Plant Operations'!$I151+'Plant Operations'!$M151</f>
        <v>289336.32000000001</v>
      </c>
      <c r="AC151" s="1481">
        <f t="shared" ca="1" si="31"/>
        <v>153.43406155610111</v>
      </c>
      <c r="AD151" s="1504">
        <f t="shared" ca="1" si="32"/>
        <v>2.6453826649072392</v>
      </c>
      <c r="AE151" s="335">
        <f t="shared" ca="1" si="44"/>
        <v>58.000705754787766</v>
      </c>
      <c r="AF151" s="698" t="str">
        <f t="shared" ca="1" si="33"/>
        <v xml:space="preserve"> </v>
      </c>
    </row>
    <row r="152" spans="1:32">
      <c r="A152" s="672">
        <f ca="1">'Plant Operations'!A152</f>
        <v>40513</v>
      </c>
      <c r="C152" s="1503">
        <f ca="1">IF($A152&gt;Endyr,0,VLOOKUP($A152,Tariff_Table,Tariff!$D$33))</f>
        <v>7728.3891213389124</v>
      </c>
      <c r="E152" s="691">
        <f ca="1">VLOOKUP($A152,Tariff_Table,Tariff!$E$33)</f>
        <v>0.96954726753533338</v>
      </c>
      <c r="F152" s="1481">
        <f t="shared" ca="1" si="34"/>
        <v>7493.0385550439387</v>
      </c>
      <c r="G152" s="1480">
        <f ca="1">VLOOKUP($A152,Curves_Table,Escalation!$N$291)</f>
        <v>1.409454688092179</v>
      </c>
      <c r="H152" s="1481">
        <f t="shared" ca="1" si="35"/>
        <v>10561.098319462126</v>
      </c>
      <c r="I152" s="1504">
        <f ca="1">IF(Assm!$L$74=0,VLOOKUP($A152,Curves_Table,Escalation!$D$291),VLOOKUP($A152,Curves_Table,Escalation!$E$291))</f>
        <v>2.6505348653495227</v>
      </c>
      <c r="J152" s="1504">
        <f ca="1">IF($A152&lt;EE_Date,VLOOKUP($A152,Curves_Table,Escalation!$D$291),Exch)</f>
        <v>1.0649999999999999</v>
      </c>
      <c r="K152" s="1505">
        <f t="shared" ca="1" si="36"/>
        <v>26284.0932508156</v>
      </c>
      <c r="M152" s="691">
        <f ca="1">VLOOKUP($A152,Tariff_Table,Tariff!$F$33)</f>
        <v>3.0452732464666621E-2</v>
      </c>
      <c r="N152" s="1481">
        <f t="shared" ca="1" si="37"/>
        <v>235.35056629497385</v>
      </c>
      <c r="O152" s="1480">
        <f ca="1">VLOOKUP($A152,Curves_Table,Escalation!$R$291)</f>
        <v>2.7910346423170522</v>
      </c>
      <c r="P152" s="1505">
        <f t="shared" ca="1" si="38"/>
        <v>656.87158361820798</v>
      </c>
      <c r="R152" s="1506">
        <f t="shared" ca="1" si="39"/>
        <v>26940.964834433809</v>
      </c>
      <c r="S152" s="330">
        <f ca="1">'Plant Operations'!C152</f>
        <v>480</v>
      </c>
      <c r="T152" s="1481">
        <f t="shared" ca="1" si="40"/>
        <v>12931.663120528228</v>
      </c>
      <c r="U152" s="1504">
        <f t="shared" ca="1" si="41"/>
        <v>2.6505348653495227</v>
      </c>
      <c r="V152" s="384">
        <f t="shared" ca="1" si="42"/>
        <v>4878.8881404972371</v>
      </c>
      <c r="W152" s="692">
        <f t="shared" ca="1" si="30"/>
        <v>58047.660898359078</v>
      </c>
      <c r="Y152" s="1507">
        <f ca="1">IF($A152&gt;Endyr,0,VLOOKUP($A152,Tariff_Table,Tariff!$J$33))</f>
        <v>0.19</v>
      </c>
      <c r="Z152" s="1504">
        <f ca="1">VLOOKUP($A152,Curves_Table,Escalation!$AH$291)</f>
        <v>2.7910346423170522</v>
      </c>
      <c r="AA152" s="1504">
        <f t="shared" ca="1" si="43"/>
        <v>0.53029658204023988</v>
      </c>
      <c r="AB152" s="334">
        <f ca="1">'Plant Operations'!$I152+'Plant Operations'!$M152</f>
        <v>298980.864</v>
      </c>
      <c r="AC152" s="1481">
        <f t="shared" ca="1" si="31"/>
        <v>158.54853027463781</v>
      </c>
      <c r="AD152" s="1504">
        <f t="shared" ca="1" si="32"/>
        <v>2.6505348653495227</v>
      </c>
      <c r="AE152" s="335">
        <f t="shared" ca="1" si="44"/>
        <v>59.817560729853</v>
      </c>
      <c r="AF152" s="698">
        <f t="shared" ca="1" si="33"/>
        <v>696.01890838712848</v>
      </c>
    </row>
    <row r="153" spans="1:32">
      <c r="A153" s="672">
        <f ca="1">'Plant Operations'!A153</f>
        <v>40544</v>
      </c>
      <c r="C153" s="1503">
        <f ca="1">IF($A153&gt;Endyr,0,VLOOKUP($A153,Tariff_Table,Tariff!$D$33))</f>
        <v>7728.3891213389124</v>
      </c>
      <c r="E153" s="691">
        <f ca="1">VLOOKUP($A153,Tariff_Table,Tariff!$E$33)</f>
        <v>0.96954726753533338</v>
      </c>
      <c r="F153" s="1481">
        <f t="shared" ca="1" si="34"/>
        <v>7493.0385550439387</v>
      </c>
      <c r="G153" s="1480">
        <f ca="1">VLOOKUP($A153,Curves_Table,Escalation!$N$291)</f>
        <v>1.409454688092179</v>
      </c>
      <c r="H153" s="1481">
        <f t="shared" ca="1" si="35"/>
        <v>10561.098319462126</v>
      </c>
      <c r="I153" s="1504">
        <f ca="1">IF(Assm!$L$74=0,VLOOKUP($A153,Curves_Table,Escalation!$D$291),VLOOKUP($A153,Curves_Table,Escalation!$E$291))</f>
        <v>2.6551333521534075</v>
      </c>
      <c r="J153" s="1504">
        <f ca="1">IF($A153&lt;EE_Date,VLOOKUP($A153,Curves_Table,Escalation!$D$291),Exch)</f>
        <v>1.0649999999999999</v>
      </c>
      <c r="K153" s="1505">
        <f t="shared" ca="1" si="36"/>
        <v>26329.694256690324</v>
      </c>
      <c r="M153" s="691">
        <f ca="1">VLOOKUP($A153,Tariff_Table,Tariff!$F$33)</f>
        <v>3.0452732464666621E-2</v>
      </c>
      <c r="N153" s="1481">
        <f t="shared" ca="1" si="37"/>
        <v>235.35056629497385</v>
      </c>
      <c r="O153" s="1480">
        <f ca="1">VLOOKUP($A153,Curves_Table,Escalation!$R$291)</f>
        <v>2.7910346423170522</v>
      </c>
      <c r="P153" s="1505">
        <f t="shared" ca="1" si="38"/>
        <v>656.87158361820798</v>
      </c>
      <c r="R153" s="1506">
        <f t="shared" ca="1" si="39"/>
        <v>26986.565840308533</v>
      </c>
      <c r="S153" s="330">
        <f ca="1">'Plant Operations'!C153</f>
        <v>480</v>
      </c>
      <c r="T153" s="1481">
        <f t="shared" ca="1" si="40"/>
        <v>12953.551603348094</v>
      </c>
      <c r="U153" s="1504">
        <f t="shared" ca="1" si="41"/>
        <v>2.6551333521534075</v>
      </c>
      <c r="V153" s="384">
        <f t="shared" ca="1" si="42"/>
        <v>4878.6821169800396</v>
      </c>
      <c r="W153" s="692" t="str">
        <f t="shared" ca="1" si="30"/>
        <v xml:space="preserve"> </v>
      </c>
      <c r="Y153" s="1507">
        <f ca="1">IF($A153&gt;Endyr,0,VLOOKUP($A153,Tariff_Table,Tariff!$J$33))</f>
        <v>0.19</v>
      </c>
      <c r="Z153" s="1504">
        <f ca="1">VLOOKUP($A153,Curves_Table,Escalation!$AH$291)</f>
        <v>2.7910346423170522</v>
      </c>
      <c r="AA153" s="1504">
        <f t="shared" ca="1" si="43"/>
        <v>0.53029658204023988</v>
      </c>
      <c r="AB153" s="334">
        <f ca="1">'Plant Operations'!$I153+'Plant Operations'!$M153</f>
        <v>298980.864</v>
      </c>
      <c r="AC153" s="1481">
        <f t="shared" ca="1" si="31"/>
        <v>158.54853027463781</v>
      </c>
      <c r="AD153" s="1504">
        <f t="shared" ca="1" si="32"/>
        <v>2.6551333521534075</v>
      </c>
      <c r="AE153" s="335">
        <f t="shared" ca="1" si="44"/>
        <v>59.713961314240329</v>
      </c>
      <c r="AF153" s="698" t="str">
        <f t="shared" ca="1" si="33"/>
        <v xml:space="preserve"> </v>
      </c>
    </row>
    <row r="154" spans="1:32">
      <c r="A154" s="672">
        <f ca="1">'Plant Operations'!A154</f>
        <v>40575</v>
      </c>
      <c r="C154" s="1503">
        <f ca="1">IF($A154&gt;Endyr,0,VLOOKUP($A154,Tariff_Table,Tariff!$D$33))</f>
        <v>7728.3891213389124</v>
      </c>
      <c r="E154" s="691">
        <f ca="1">VLOOKUP($A154,Tariff_Table,Tariff!$E$33)</f>
        <v>0.96954726753533338</v>
      </c>
      <c r="F154" s="1481">
        <f t="shared" ca="1" si="34"/>
        <v>7493.0385550439387</v>
      </c>
      <c r="G154" s="1480">
        <f ca="1">VLOOKUP($A154,Curves_Table,Escalation!$N$291)</f>
        <v>1.409454688092179</v>
      </c>
      <c r="H154" s="1481">
        <f t="shared" ca="1" si="35"/>
        <v>10561.098319462126</v>
      </c>
      <c r="I154" s="1504">
        <f ca="1">IF(Assm!$L$74=0,VLOOKUP($A154,Curves_Table,Escalation!$D$291),VLOOKUP($A154,Curves_Table,Escalation!$E$291))</f>
        <v>2.6597398170002005</v>
      </c>
      <c r="J154" s="1504">
        <f ca="1">IF($A154&lt;EE_Date,VLOOKUP($A154,Curves_Table,Escalation!$D$291),Exch)</f>
        <v>1.0649999999999999</v>
      </c>
      <c r="K154" s="1505">
        <f t="shared" ca="1" si="36"/>
        <v>26375.374377020958</v>
      </c>
      <c r="M154" s="691">
        <f ca="1">VLOOKUP($A154,Tariff_Table,Tariff!$F$33)</f>
        <v>3.0452732464666621E-2</v>
      </c>
      <c r="N154" s="1481">
        <f t="shared" ca="1" si="37"/>
        <v>235.35056629497385</v>
      </c>
      <c r="O154" s="1480">
        <f ca="1">VLOOKUP($A154,Curves_Table,Escalation!$R$291)</f>
        <v>2.7910346423170522</v>
      </c>
      <c r="P154" s="1505">
        <f t="shared" ca="1" si="38"/>
        <v>656.87158361820798</v>
      </c>
      <c r="R154" s="1506">
        <f t="shared" ca="1" si="39"/>
        <v>27032.245960639168</v>
      </c>
      <c r="S154" s="330">
        <f ca="1">'Plant Operations'!C154</f>
        <v>480</v>
      </c>
      <c r="T154" s="1481">
        <f t="shared" ca="1" si="40"/>
        <v>12975.478061106802</v>
      </c>
      <c r="U154" s="1504">
        <f t="shared" ca="1" si="41"/>
        <v>2.6597398170002005</v>
      </c>
      <c r="V154" s="384">
        <f t="shared" ca="1" si="42"/>
        <v>4878.4764502797316</v>
      </c>
      <c r="W154" s="692" t="str">
        <f t="shared" ca="1" si="30"/>
        <v xml:space="preserve"> </v>
      </c>
      <c r="Y154" s="1507">
        <f ca="1">IF($A154&gt;Endyr,0,VLOOKUP($A154,Tariff_Table,Tariff!$J$33))</f>
        <v>0.19</v>
      </c>
      <c r="Z154" s="1504">
        <f ca="1">VLOOKUP($A154,Curves_Table,Escalation!$AH$291)</f>
        <v>2.7910346423170522</v>
      </c>
      <c r="AA154" s="1504">
        <f t="shared" ca="1" si="43"/>
        <v>0.53029658204023988</v>
      </c>
      <c r="AB154" s="334">
        <f ca="1">'Plant Operations'!$I154+'Plant Operations'!$M154</f>
        <v>270047.23200000002</v>
      </c>
      <c r="AC154" s="1481">
        <f t="shared" ca="1" si="31"/>
        <v>143.20512411902769</v>
      </c>
      <c r="AD154" s="1504">
        <f t="shared" ca="1" si="32"/>
        <v>2.6597398170002005</v>
      </c>
      <c r="AE154" s="335">
        <f t="shared" ca="1" si="44"/>
        <v>53.841779261154286</v>
      </c>
      <c r="AF154" s="698" t="str">
        <f t="shared" ca="1" si="33"/>
        <v xml:space="preserve"> </v>
      </c>
    </row>
    <row r="155" spans="1:32">
      <c r="A155" s="672">
        <f ca="1">'Plant Operations'!A155</f>
        <v>40603</v>
      </c>
      <c r="C155" s="1503">
        <f ca="1">IF($A155&gt;Endyr,0,VLOOKUP($A155,Tariff_Table,Tariff!$D$33))</f>
        <v>7728.3891213389124</v>
      </c>
      <c r="E155" s="691">
        <f ca="1">VLOOKUP($A155,Tariff_Table,Tariff!$E$33)</f>
        <v>0.96954726753533338</v>
      </c>
      <c r="F155" s="1481">
        <f t="shared" ca="1" si="34"/>
        <v>7493.0385550439387</v>
      </c>
      <c r="G155" s="1480">
        <f ca="1">VLOOKUP($A155,Curves_Table,Escalation!$N$291)</f>
        <v>1.409454688092179</v>
      </c>
      <c r="H155" s="1481">
        <f t="shared" ca="1" si="35"/>
        <v>10561.098319462126</v>
      </c>
      <c r="I155" s="1504">
        <f ca="1">IF(Assm!$L$74=0,VLOOKUP($A155,Curves_Table,Escalation!$D$291),VLOOKUP($A155,Curves_Table,Escalation!$E$291))</f>
        <v>2.6643542737312305</v>
      </c>
      <c r="J155" s="1504">
        <f ca="1">IF($A155&lt;EE_Date,VLOOKUP($A155,Curves_Table,Escalation!$D$291),Exch)</f>
        <v>1.0649999999999999</v>
      </c>
      <c r="K155" s="1505">
        <f t="shared" ca="1" si="36"/>
        <v>26421.133749065382</v>
      </c>
      <c r="M155" s="691">
        <f ca="1">VLOOKUP($A155,Tariff_Table,Tariff!$F$33)</f>
        <v>3.0452732464666621E-2</v>
      </c>
      <c r="N155" s="1481">
        <f t="shared" ca="1" si="37"/>
        <v>235.35056629497385</v>
      </c>
      <c r="O155" s="1480">
        <f ca="1">VLOOKUP($A155,Curves_Table,Escalation!$R$291)</f>
        <v>2.7910346423170522</v>
      </c>
      <c r="P155" s="1505">
        <f t="shared" ca="1" si="38"/>
        <v>656.87158361820798</v>
      </c>
      <c r="R155" s="1506">
        <f t="shared" ca="1" si="39"/>
        <v>27078.005332683591</v>
      </c>
      <c r="S155" s="330">
        <f ca="1">'Plant Operations'!C155</f>
        <v>480</v>
      </c>
      <c r="T155" s="1481">
        <f t="shared" ca="1" si="40"/>
        <v>12997.442559688125</v>
      </c>
      <c r="U155" s="1504">
        <f t="shared" ca="1" si="41"/>
        <v>2.6643542737312305</v>
      </c>
      <c r="V155" s="384">
        <f t="shared" ca="1" si="42"/>
        <v>4878.2711397783341</v>
      </c>
      <c r="W155" s="692" t="str">
        <f t="shared" ca="1" si="30"/>
        <v xml:space="preserve"> </v>
      </c>
      <c r="Y155" s="1507">
        <f ca="1">IF($A155&gt;Endyr,0,VLOOKUP($A155,Tariff_Table,Tariff!$J$33))</f>
        <v>0.19</v>
      </c>
      <c r="Z155" s="1504">
        <f ca="1">VLOOKUP($A155,Curves_Table,Escalation!$AH$291)</f>
        <v>2.7910346423170522</v>
      </c>
      <c r="AA155" s="1504">
        <f t="shared" ca="1" si="43"/>
        <v>0.53029658204023988</v>
      </c>
      <c r="AB155" s="334">
        <f ca="1">'Plant Operations'!$I155+'Plant Operations'!$M155</f>
        <v>298980.864</v>
      </c>
      <c r="AC155" s="1481">
        <f t="shared" ca="1" si="31"/>
        <v>158.54853027463781</v>
      </c>
      <c r="AD155" s="1504">
        <f t="shared" ca="1" si="32"/>
        <v>2.6643542737312305</v>
      </c>
      <c r="AE155" s="335">
        <f t="shared" ca="1" si="44"/>
        <v>59.507300450927779</v>
      </c>
      <c r="AF155" s="698" t="str">
        <f t="shared" ca="1" si="33"/>
        <v xml:space="preserve"> </v>
      </c>
    </row>
    <row r="156" spans="1:32">
      <c r="A156" s="672">
        <f ca="1">'Plant Operations'!A156</f>
        <v>40634</v>
      </c>
      <c r="C156" s="1503">
        <f ca="1">IF($A156&gt;Endyr,0,VLOOKUP($A156,Tariff_Table,Tariff!$D$33))</f>
        <v>7728.3891213389124</v>
      </c>
      <c r="E156" s="691">
        <f ca="1">VLOOKUP($A156,Tariff_Table,Tariff!$E$33)</f>
        <v>0.96954726753533338</v>
      </c>
      <c r="F156" s="1481">
        <f t="shared" ca="1" si="34"/>
        <v>7493.0385550439387</v>
      </c>
      <c r="G156" s="1480">
        <f ca="1">VLOOKUP($A156,Curves_Table,Escalation!$N$291)</f>
        <v>1.409454688092179</v>
      </c>
      <c r="H156" s="1481">
        <f t="shared" ca="1" si="35"/>
        <v>10561.098319462126</v>
      </c>
      <c r="I156" s="1504">
        <f ca="1">IF(Assm!$L$74=0,VLOOKUP($A156,Curves_Table,Escalation!$D$291),VLOOKUP($A156,Curves_Table,Escalation!$E$291))</f>
        <v>2.6689767362118406</v>
      </c>
      <c r="J156" s="1504">
        <f ca="1">IF($A156&lt;EE_Date,VLOOKUP($A156,Curves_Table,Escalation!$D$291),Exch)</f>
        <v>1.0649999999999999</v>
      </c>
      <c r="K156" s="1505">
        <f t="shared" ca="1" si="36"/>
        <v>26466.972510319607</v>
      </c>
      <c r="M156" s="691">
        <f ca="1">VLOOKUP($A156,Tariff_Table,Tariff!$F$33)</f>
        <v>3.0452732464666621E-2</v>
      </c>
      <c r="N156" s="1481">
        <f t="shared" ca="1" si="37"/>
        <v>235.35056629497385</v>
      </c>
      <c r="O156" s="1480">
        <f ca="1">VLOOKUP($A156,Curves_Table,Escalation!$R$291)</f>
        <v>2.7910346423170522</v>
      </c>
      <c r="P156" s="1505">
        <f t="shared" ca="1" si="38"/>
        <v>656.87158361820798</v>
      </c>
      <c r="R156" s="1506">
        <f t="shared" ca="1" si="39"/>
        <v>27123.844093937816</v>
      </c>
      <c r="S156" s="330">
        <f ca="1">'Plant Operations'!C156</f>
        <v>480</v>
      </c>
      <c r="T156" s="1481">
        <f t="shared" ca="1" si="40"/>
        <v>13019.445165090152</v>
      </c>
      <c r="U156" s="1504">
        <f t="shared" ca="1" si="41"/>
        <v>2.6689767362118406</v>
      </c>
      <c r="V156" s="384">
        <f t="shared" ca="1" si="42"/>
        <v>4878.066184858937</v>
      </c>
      <c r="W156" s="692" t="str">
        <f t="shared" ca="1" si="30"/>
        <v xml:space="preserve"> </v>
      </c>
      <c r="Y156" s="1507">
        <f ca="1">IF($A156&gt;Endyr,0,VLOOKUP($A156,Tariff_Table,Tariff!$J$33))</f>
        <v>0.19</v>
      </c>
      <c r="Z156" s="1504">
        <f ca="1">VLOOKUP($A156,Curves_Table,Escalation!$AH$291)</f>
        <v>2.7910346423170522</v>
      </c>
      <c r="AA156" s="1504">
        <f t="shared" ca="1" si="43"/>
        <v>0.53029658204023988</v>
      </c>
      <c r="AB156" s="334">
        <f ca="1">'Plant Operations'!$I156+'Plant Operations'!$M156</f>
        <v>289336.32000000001</v>
      </c>
      <c r="AC156" s="1481">
        <f t="shared" ca="1" si="31"/>
        <v>153.43406155610111</v>
      </c>
      <c r="AD156" s="1504">
        <f t="shared" ca="1" si="32"/>
        <v>2.6689767362118406</v>
      </c>
      <c r="AE156" s="335">
        <f t="shared" ca="1" si="44"/>
        <v>57.487972627994772</v>
      </c>
      <c r="AF156" s="698" t="str">
        <f t="shared" ca="1" si="33"/>
        <v xml:space="preserve"> </v>
      </c>
    </row>
    <row r="157" spans="1:32">
      <c r="A157" s="672">
        <f ca="1">'Plant Operations'!A157</f>
        <v>40664</v>
      </c>
      <c r="C157" s="1503">
        <f ca="1">IF($A157&gt;Endyr,0,VLOOKUP($A157,Tariff_Table,Tariff!$D$33))</f>
        <v>7277.2784810126586</v>
      </c>
      <c r="E157" s="691">
        <f ca="1">VLOOKUP($A157,Tariff_Table,Tariff!$E$33)</f>
        <v>0.97173507905914314</v>
      </c>
      <c r="F157" s="1481">
        <f t="shared" ca="1" si="34"/>
        <v>7071.5867800822371</v>
      </c>
      <c r="G157" s="1480">
        <f ca="1">VLOOKUP($A157,Curves_Table,Escalation!$N$291)</f>
        <v>1.4453629302678073</v>
      </c>
      <c r="H157" s="1481">
        <f t="shared" ca="1" si="35"/>
        <v>10221.00939010275</v>
      </c>
      <c r="I157" s="1504">
        <f ca="1">IF(Assm!$L$74=0,VLOOKUP($A157,Curves_Table,Escalation!$D$291),VLOOKUP($A157,Curves_Table,Escalation!$E$291))</f>
        <v>2.6736072183314286</v>
      </c>
      <c r="J157" s="1504">
        <f ca="1">IF($A157&lt;EE_Date,VLOOKUP($A157,Curves_Table,Escalation!$D$291),Exch)</f>
        <v>1.0649999999999999</v>
      </c>
      <c r="K157" s="1505">
        <f t="shared" ca="1" si="36"/>
        <v>25659.121581231953</v>
      </c>
      <c r="M157" s="691">
        <f ca="1">VLOOKUP($A157,Tariff_Table,Tariff!$F$33)</f>
        <v>2.8264920940856864E-2</v>
      </c>
      <c r="N157" s="1481">
        <f t="shared" ca="1" si="37"/>
        <v>205.69170093042172</v>
      </c>
      <c r="O157" s="1480">
        <f ca="1">VLOOKUP($A157,Curves_Table,Escalation!$R$291)</f>
        <v>2.9919891365638813</v>
      </c>
      <c r="P157" s="1505">
        <f t="shared" ca="1" si="38"/>
        <v>615.42733466516859</v>
      </c>
      <c r="R157" s="1506">
        <f t="shared" ca="1" si="39"/>
        <v>26274.548915897121</v>
      </c>
      <c r="S157" s="330">
        <f ca="1">'Plant Operations'!C157</f>
        <v>480</v>
      </c>
      <c r="T157" s="1481">
        <f t="shared" ca="1" si="40"/>
        <v>12611.783479630618</v>
      </c>
      <c r="U157" s="1504">
        <f t="shared" ca="1" si="41"/>
        <v>2.6736072183314286</v>
      </c>
      <c r="V157" s="384">
        <f t="shared" ca="1" si="42"/>
        <v>4717.1414683348685</v>
      </c>
      <c r="W157" s="692" t="str">
        <f t="shared" ca="1" si="30"/>
        <v xml:space="preserve"> </v>
      </c>
      <c r="Y157" s="1507">
        <f ca="1">IF($A157&gt;Endyr,0,VLOOKUP($A157,Tariff_Table,Tariff!$J$33))</f>
        <v>0.19</v>
      </c>
      <c r="Z157" s="1504">
        <f ca="1">VLOOKUP($A157,Curves_Table,Escalation!$AH$291)</f>
        <v>2.9919891365638813</v>
      </c>
      <c r="AA157" s="1504">
        <f t="shared" ca="1" si="43"/>
        <v>0.56847793594713747</v>
      </c>
      <c r="AB157" s="334">
        <f ca="1">'Plant Operations'!$I157+'Plant Operations'!$M157</f>
        <v>298980.864</v>
      </c>
      <c r="AC157" s="1481">
        <f t="shared" ca="1" si="31"/>
        <v>169.96402445441183</v>
      </c>
      <c r="AD157" s="1504">
        <f t="shared" ca="1" si="32"/>
        <v>2.6736072183314286</v>
      </c>
      <c r="AE157" s="335">
        <f t="shared" ca="1" si="44"/>
        <v>63.571052355433373</v>
      </c>
      <c r="AF157" s="698" t="str">
        <f t="shared" ca="1" si="33"/>
        <v xml:space="preserve"> </v>
      </c>
    </row>
    <row r="158" spans="1:32">
      <c r="A158" s="672">
        <f ca="1">'Plant Operations'!A158</f>
        <v>40695</v>
      </c>
      <c r="C158" s="1503">
        <f ca="1">IF($A158&gt;Endyr,0,VLOOKUP($A158,Tariff_Table,Tariff!$D$33))</f>
        <v>7277.2784810126586</v>
      </c>
      <c r="E158" s="691">
        <f ca="1">VLOOKUP($A158,Tariff_Table,Tariff!$E$33)</f>
        <v>0.97173507905914314</v>
      </c>
      <c r="F158" s="1481">
        <f t="shared" ca="1" si="34"/>
        <v>7071.5867800822371</v>
      </c>
      <c r="G158" s="1480">
        <f ca="1">VLOOKUP($A158,Curves_Table,Escalation!$N$291)</f>
        <v>1.4453629302678073</v>
      </c>
      <c r="H158" s="1481">
        <f t="shared" ca="1" si="35"/>
        <v>10221.00939010275</v>
      </c>
      <c r="I158" s="1504">
        <f ca="1">IF(Assm!$L$74=0,VLOOKUP($A158,Curves_Table,Escalation!$D$291),VLOOKUP($A158,Curves_Table,Escalation!$E$291))</f>
        <v>2.6782457340034895</v>
      </c>
      <c r="J158" s="1504">
        <f ca="1">IF($A158&lt;EE_Date,VLOOKUP($A158,Curves_Table,Escalation!$D$291),Exch)</f>
        <v>1.0649999999999999</v>
      </c>
      <c r="K158" s="1505">
        <f t="shared" ca="1" si="36"/>
        <v>25703.638306340192</v>
      </c>
      <c r="M158" s="691">
        <f ca="1">VLOOKUP($A158,Tariff_Table,Tariff!$F$33)</f>
        <v>2.8264920940856864E-2</v>
      </c>
      <c r="N158" s="1481">
        <f t="shared" ca="1" si="37"/>
        <v>205.69170093042172</v>
      </c>
      <c r="O158" s="1480">
        <f ca="1">VLOOKUP($A158,Curves_Table,Escalation!$R$291)</f>
        <v>2.9919891365638813</v>
      </c>
      <c r="P158" s="1505">
        <f t="shared" ca="1" si="38"/>
        <v>615.42733466516859</v>
      </c>
      <c r="R158" s="1506">
        <f t="shared" ca="1" si="39"/>
        <v>26319.06564100536</v>
      </c>
      <c r="S158" s="330">
        <f ca="1">'Plant Operations'!C158</f>
        <v>480</v>
      </c>
      <c r="T158" s="1481">
        <f t="shared" ca="1" si="40"/>
        <v>12633.151507682573</v>
      </c>
      <c r="U158" s="1504">
        <f t="shared" ca="1" si="41"/>
        <v>2.6782457340034895</v>
      </c>
      <c r="V158" s="384">
        <f t="shared" ca="1" si="42"/>
        <v>4716.9501092785513</v>
      </c>
      <c r="W158" s="692" t="str">
        <f t="shared" ca="1" si="30"/>
        <v xml:space="preserve"> </v>
      </c>
      <c r="Y158" s="1507">
        <f ca="1">IF($A158&gt;Endyr,0,VLOOKUP($A158,Tariff_Table,Tariff!$J$33))</f>
        <v>0.19</v>
      </c>
      <c r="Z158" s="1504">
        <f ca="1">VLOOKUP($A158,Curves_Table,Escalation!$AH$291)</f>
        <v>2.9919891365638813</v>
      </c>
      <c r="AA158" s="1504">
        <f t="shared" ca="1" si="43"/>
        <v>0.56847793594713747</v>
      </c>
      <c r="AB158" s="334">
        <f ca="1">'Plant Operations'!$I158+'Plant Operations'!$M158</f>
        <v>289336.32000000001</v>
      </c>
      <c r="AC158" s="1481">
        <f t="shared" ca="1" si="31"/>
        <v>164.48131398814047</v>
      </c>
      <c r="AD158" s="1504">
        <f t="shared" ca="1" si="32"/>
        <v>2.6782457340034895</v>
      </c>
      <c r="AE158" s="335">
        <f t="shared" ca="1" si="44"/>
        <v>61.413824691235803</v>
      </c>
      <c r="AF158" s="698" t="str">
        <f t="shared" ca="1" si="33"/>
        <v xml:space="preserve"> </v>
      </c>
    </row>
    <row r="159" spans="1:32">
      <c r="A159" s="672">
        <f ca="1">'Plant Operations'!A159</f>
        <v>40725</v>
      </c>
      <c r="C159" s="1503">
        <f ca="1">IF($A159&gt;Endyr,0,VLOOKUP($A159,Tariff_Table,Tariff!$D$33))</f>
        <v>7277.2784810126586</v>
      </c>
      <c r="E159" s="691">
        <f ca="1">VLOOKUP($A159,Tariff_Table,Tariff!$E$33)</f>
        <v>0.97173507905914314</v>
      </c>
      <c r="F159" s="1481">
        <f t="shared" ca="1" si="34"/>
        <v>7071.5867800822371</v>
      </c>
      <c r="G159" s="1480">
        <f ca="1">VLOOKUP($A159,Curves_Table,Escalation!$N$291)</f>
        <v>1.4453629302678073</v>
      </c>
      <c r="H159" s="1481">
        <f t="shared" ca="1" si="35"/>
        <v>10221.00939010275</v>
      </c>
      <c r="I159" s="1504">
        <f ca="1">IF(Assm!$L$74=0,VLOOKUP($A159,Curves_Table,Escalation!$D$291),VLOOKUP($A159,Curves_Table,Escalation!$E$291))</f>
        <v>2.6828922971656577</v>
      </c>
      <c r="J159" s="1504">
        <f ca="1">IF($A159&lt;EE_Date,VLOOKUP($A159,Curves_Table,Escalation!$D$291),Exch)</f>
        <v>1.0649999999999999</v>
      </c>
      <c r="K159" s="1505">
        <f t="shared" ca="1" si="36"/>
        <v>25748.232264755425</v>
      </c>
      <c r="M159" s="691">
        <f ca="1">VLOOKUP($A159,Tariff_Table,Tariff!$F$33)</f>
        <v>2.8264920940856864E-2</v>
      </c>
      <c r="N159" s="1481">
        <f t="shared" ca="1" si="37"/>
        <v>205.69170093042172</v>
      </c>
      <c r="O159" s="1480">
        <f ca="1">VLOOKUP($A159,Curves_Table,Escalation!$R$291)</f>
        <v>2.9919891365638813</v>
      </c>
      <c r="P159" s="1505">
        <f t="shared" ca="1" si="38"/>
        <v>615.42733466516859</v>
      </c>
      <c r="R159" s="1506">
        <f t="shared" ca="1" si="39"/>
        <v>26363.659599420593</v>
      </c>
      <c r="S159" s="330">
        <f ca="1">'Plant Operations'!C159</f>
        <v>480</v>
      </c>
      <c r="T159" s="1481">
        <f t="shared" ca="1" si="40"/>
        <v>12654.556607721885</v>
      </c>
      <c r="U159" s="1504">
        <f t="shared" ca="1" si="41"/>
        <v>2.6828922971656577</v>
      </c>
      <c r="V159" s="384">
        <f t="shared" ca="1" si="42"/>
        <v>4716.759081641404</v>
      </c>
      <c r="W159" s="692" t="str">
        <f t="shared" ca="1" si="30"/>
        <v xml:space="preserve"> </v>
      </c>
      <c r="Y159" s="1507">
        <f ca="1">IF($A159&gt;Endyr,0,VLOOKUP($A159,Tariff_Table,Tariff!$J$33))</f>
        <v>0.19</v>
      </c>
      <c r="Z159" s="1504">
        <f ca="1">VLOOKUP($A159,Curves_Table,Escalation!$AH$291)</f>
        <v>2.9919891365638813</v>
      </c>
      <c r="AA159" s="1504">
        <f t="shared" ca="1" si="43"/>
        <v>0.56847793594713747</v>
      </c>
      <c r="AB159" s="334">
        <f ca="1">'Plant Operations'!$I159+'Plant Operations'!$M159</f>
        <v>298980.864</v>
      </c>
      <c r="AC159" s="1481">
        <f t="shared" ca="1" si="31"/>
        <v>169.96402445441183</v>
      </c>
      <c r="AD159" s="1504">
        <f t="shared" ca="1" si="32"/>
        <v>2.6828922971656577</v>
      </c>
      <c r="AE159" s="335">
        <f t="shared" ca="1" si="44"/>
        <v>63.351042691490214</v>
      </c>
      <c r="AF159" s="698" t="str">
        <f t="shared" ca="1" si="33"/>
        <v xml:space="preserve"> </v>
      </c>
    </row>
    <row r="160" spans="1:32">
      <c r="A160" s="672">
        <f ca="1">'Plant Operations'!A160</f>
        <v>40756</v>
      </c>
      <c r="C160" s="1503">
        <f ca="1">IF($A160&gt;Endyr,0,VLOOKUP($A160,Tariff_Table,Tariff!$D$33))</f>
        <v>7277.2784810126586</v>
      </c>
      <c r="E160" s="691">
        <f ca="1">VLOOKUP($A160,Tariff_Table,Tariff!$E$33)</f>
        <v>0.97173507905914314</v>
      </c>
      <c r="F160" s="1481">
        <f t="shared" ca="1" si="34"/>
        <v>7071.5867800822371</v>
      </c>
      <c r="G160" s="1480">
        <f ca="1">VLOOKUP($A160,Curves_Table,Escalation!$N$291)</f>
        <v>1.4453629302678073</v>
      </c>
      <c r="H160" s="1481">
        <f t="shared" ca="1" si="35"/>
        <v>10221.00939010275</v>
      </c>
      <c r="I160" s="1504">
        <f ca="1">IF(Assm!$L$74=0,VLOOKUP($A160,Curves_Table,Escalation!$D$291),VLOOKUP($A160,Curves_Table,Escalation!$E$291))</f>
        <v>2.6875469217797479</v>
      </c>
      <c r="J160" s="1504">
        <f ca="1">IF($A160&lt;EE_Date,VLOOKUP($A160,Curves_Table,Escalation!$D$291),Exch)</f>
        <v>1.0649999999999999</v>
      </c>
      <c r="K160" s="1505">
        <f t="shared" ca="1" si="36"/>
        <v>25792.903590471873</v>
      </c>
      <c r="M160" s="691">
        <f ca="1">VLOOKUP($A160,Tariff_Table,Tariff!$F$33)</f>
        <v>2.8264920940856864E-2</v>
      </c>
      <c r="N160" s="1481">
        <f t="shared" ca="1" si="37"/>
        <v>205.69170093042172</v>
      </c>
      <c r="O160" s="1480">
        <f ca="1">VLOOKUP($A160,Curves_Table,Escalation!$R$291)</f>
        <v>2.9919891365638813</v>
      </c>
      <c r="P160" s="1505">
        <f t="shared" ca="1" si="38"/>
        <v>615.42733466516859</v>
      </c>
      <c r="R160" s="1506">
        <f t="shared" ca="1" si="39"/>
        <v>26408.330925137041</v>
      </c>
      <c r="S160" s="330">
        <f ca="1">'Plant Operations'!C160</f>
        <v>480</v>
      </c>
      <c r="T160" s="1481">
        <f t="shared" ca="1" si="40"/>
        <v>12675.99884406578</v>
      </c>
      <c r="U160" s="1504">
        <f t="shared" ca="1" si="41"/>
        <v>2.6875469217797479</v>
      </c>
      <c r="V160" s="384">
        <f t="shared" ca="1" si="42"/>
        <v>4716.5683848494364</v>
      </c>
      <c r="W160" s="692" t="str">
        <f t="shared" ca="1" si="30"/>
        <v xml:space="preserve"> </v>
      </c>
      <c r="Y160" s="1507">
        <f ca="1">IF($A160&gt;Endyr,0,VLOOKUP($A160,Tariff_Table,Tariff!$J$33))</f>
        <v>0.19</v>
      </c>
      <c r="Z160" s="1504">
        <f ca="1">VLOOKUP($A160,Curves_Table,Escalation!$AH$291)</f>
        <v>2.9919891365638813</v>
      </c>
      <c r="AA160" s="1504">
        <f t="shared" ca="1" si="43"/>
        <v>0.56847793594713747</v>
      </c>
      <c r="AB160" s="334">
        <f ca="1">'Plant Operations'!$I160+'Plant Operations'!$M160</f>
        <v>298980.864</v>
      </c>
      <c r="AC160" s="1481">
        <f t="shared" ca="1" si="31"/>
        <v>169.96402445441183</v>
      </c>
      <c r="AD160" s="1504">
        <f t="shared" ca="1" si="32"/>
        <v>2.6875469217797479</v>
      </c>
      <c r="AE160" s="335">
        <f t="shared" ca="1" si="44"/>
        <v>63.241323556821186</v>
      </c>
      <c r="AF160" s="698" t="str">
        <f t="shared" ca="1" si="33"/>
        <v xml:space="preserve"> </v>
      </c>
    </row>
    <row r="161" spans="1:32">
      <c r="A161" s="672">
        <f ca="1">'Plant Operations'!A161</f>
        <v>40787</v>
      </c>
      <c r="C161" s="1503">
        <f ca="1">IF($A161&gt;Endyr,0,VLOOKUP($A161,Tariff_Table,Tariff!$D$33))</f>
        <v>7277.2784810126586</v>
      </c>
      <c r="E161" s="691">
        <f ca="1">VLOOKUP($A161,Tariff_Table,Tariff!$E$33)</f>
        <v>0.97173507905914314</v>
      </c>
      <c r="F161" s="1481">
        <f t="shared" ca="1" si="34"/>
        <v>7071.5867800822371</v>
      </c>
      <c r="G161" s="1480">
        <f ca="1">VLOOKUP($A161,Curves_Table,Escalation!$N$291)</f>
        <v>1.4453629302678073</v>
      </c>
      <c r="H161" s="1481">
        <f t="shared" ca="1" si="35"/>
        <v>10221.00939010275</v>
      </c>
      <c r="I161" s="1504">
        <f ca="1">IF(Assm!$L$74=0,VLOOKUP($A161,Curves_Table,Escalation!$D$291),VLOOKUP($A161,Curves_Table,Escalation!$E$291))</f>
        <v>2.6922096218317977</v>
      </c>
      <c r="J161" s="1504">
        <f ca="1">IF($A161&lt;EE_Date,VLOOKUP($A161,Curves_Table,Escalation!$D$291),Exch)</f>
        <v>1.0649999999999999</v>
      </c>
      <c r="K161" s="1505">
        <f t="shared" ca="1" si="36"/>
        <v>25837.652417716225</v>
      </c>
      <c r="M161" s="691">
        <f ca="1">VLOOKUP($A161,Tariff_Table,Tariff!$F$33)</f>
        <v>2.8264920940856864E-2</v>
      </c>
      <c r="N161" s="1481">
        <f t="shared" ca="1" si="37"/>
        <v>205.69170093042172</v>
      </c>
      <c r="O161" s="1480">
        <f ca="1">VLOOKUP($A161,Curves_Table,Escalation!$R$291)</f>
        <v>2.9919891365638813</v>
      </c>
      <c r="P161" s="1505">
        <f t="shared" ca="1" si="38"/>
        <v>615.42733466516859</v>
      </c>
      <c r="R161" s="1506">
        <f t="shared" ca="1" si="39"/>
        <v>26453.079752381393</v>
      </c>
      <c r="S161" s="330">
        <f ca="1">'Plant Operations'!C161</f>
        <v>480</v>
      </c>
      <c r="T161" s="1481">
        <f t="shared" ca="1" si="40"/>
        <v>12697.478281143069</v>
      </c>
      <c r="U161" s="1504">
        <f t="shared" ca="1" si="41"/>
        <v>2.6922096218317977</v>
      </c>
      <c r="V161" s="384">
        <f t="shared" ca="1" si="42"/>
        <v>4716.3780183296494</v>
      </c>
      <c r="W161" s="692" t="str">
        <f t="shared" ca="1" si="30"/>
        <v xml:space="preserve"> </v>
      </c>
      <c r="Y161" s="1507">
        <f ca="1">IF($A161&gt;Endyr,0,VLOOKUP($A161,Tariff_Table,Tariff!$J$33))</f>
        <v>0.19</v>
      </c>
      <c r="Z161" s="1504">
        <f ca="1">VLOOKUP($A161,Curves_Table,Escalation!$AH$291)</f>
        <v>2.9919891365638813</v>
      </c>
      <c r="AA161" s="1504">
        <f t="shared" ca="1" si="43"/>
        <v>0.56847793594713747</v>
      </c>
      <c r="AB161" s="334">
        <f ca="1">'Plant Operations'!$I161+'Plant Operations'!$M161</f>
        <v>289336.32000000001</v>
      </c>
      <c r="AC161" s="1481">
        <f t="shared" ca="1" si="31"/>
        <v>164.48131398814047</v>
      </c>
      <c r="AD161" s="1504">
        <f t="shared" ca="1" si="32"/>
        <v>2.6922096218317977</v>
      </c>
      <c r="AE161" s="335">
        <f t="shared" ca="1" si="44"/>
        <v>61.095284948958124</v>
      </c>
      <c r="AF161" s="698" t="str">
        <f t="shared" ca="1" si="33"/>
        <v xml:space="preserve"> </v>
      </c>
    </row>
    <row r="162" spans="1:32">
      <c r="A162" s="672">
        <f ca="1">'Plant Operations'!A162</f>
        <v>40817</v>
      </c>
      <c r="C162" s="1503">
        <f ca="1">IF($A162&gt;Endyr,0,VLOOKUP($A162,Tariff_Table,Tariff!$D$33))</f>
        <v>7277.2784810126586</v>
      </c>
      <c r="E162" s="691">
        <f ca="1">VLOOKUP($A162,Tariff_Table,Tariff!$E$33)</f>
        <v>0.97173507905914314</v>
      </c>
      <c r="F162" s="1481">
        <f t="shared" ca="1" si="34"/>
        <v>7071.5867800822371</v>
      </c>
      <c r="G162" s="1480">
        <f ca="1">VLOOKUP($A162,Curves_Table,Escalation!$N$291)</f>
        <v>1.4453629302678073</v>
      </c>
      <c r="H162" s="1481">
        <f t="shared" ca="1" si="35"/>
        <v>10221.00939010275</v>
      </c>
      <c r="I162" s="1504">
        <f ca="1">IF(Assm!$L$74=0,VLOOKUP($A162,Curves_Table,Escalation!$D$291),VLOOKUP($A162,Curves_Table,Escalation!$E$291))</f>
        <v>2.6968804113321094</v>
      </c>
      <c r="J162" s="1504">
        <f ca="1">IF($A162&lt;EE_Date,VLOOKUP($A162,Curves_Table,Escalation!$D$291),Exch)</f>
        <v>1.0649999999999999</v>
      </c>
      <c r="K162" s="1505">
        <f t="shared" ca="1" si="36"/>
        <v>25882.478880948038</v>
      </c>
      <c r="M162" s="691">
        <f ca="1">VLOOKUP($A162,Tariff_Table,Tariff!$F$33)</f>
        <v>2.8264920940856864E-2</v>
      </c>
      <c r="N162" s="1481">
        <f t="shared" ca="1" si="37"/>
        <v>205.69170093042172</v>
      </c>
      <c r="O162" s="1480">
        <f ca="1">VLOOKUP($A162,Curves_Table,Escalation!$R$291)</f>
        <v>2.9919891365638813</v>
      </c>
      <c r="P162" s="1505">
        <f t="shared" ca="1" si="38"/>
        <v>615.42733466516859</v>
      </c>
      <c r="R162" s="1506">
        <f t="shared" ca="1" si="39"/>
        <v>26497.906215613206</v>
      </c>
      <c r="S162" s="330">
        <f ca="1">'Plant Operations'!C162</f>
        <v>480</v>
      </c>
      <c r="T162" s="1481">
        <f t="shared" ca="1" si="40"/>
        <v>12718.99498349434</v>
      </c>
      <c r="U162" s="1504">
        <f t="shared" ca="1" si="41"/>
        <v>2.6968804113321094</v>
      </c>
      <c r="V162" s="384">
        <f t="shared" ca="1" si="42"/>
        <v>4716.1879815100374</v>
      </c>
      <c r="W162" s="692" t="str">
        <f t="shared" ca="1" si="30"/>
        <v xml:space="preserve"> </v>
      </c>
      <c r="Y162" s="1507">
        <f ca="1">IF($A162&gt;Endyr,0,VLOOKUP($A162,Tariff_Table,Tariff!$J$33))</f>
        <v>0.19</v>
      </c>
      <c r="Z162" s="1504">
        <f ca="1">VLOOKUP($A162,Curves_Table,Escalation!$AH$291)</f>
        <v>2.9919891365638813</v>
      </c>
      <c r="AA162" s="1504">
        <f t="shared" ca="1" si="43"/>
        <v>0.56847793594713747</v>
      </c>
      <c r="AB162" s="334">
        <f ca="1">'Plant Operations'!$I162+'Plant Operations'!$M162</f>
        <v>298980.864</v>
      </c>
      <c r="AC162" s="1481">
        <f t="shared" ca="1" si="31"/>
        <v>169.96402445441183</v>
      </c>
      <c r="AD162" s="1504">
        <f t="shared" ca="1" si="32"/>
        <v>2.6968804113321094</v>
      </c>
      <c r="AE162" s="335">
        <f t="shared" ca="1" si="44"/>
        <v>63.02245503368799</v>
      </c>
      <c r="AF162" s="698" t="str">
        <f t="shared" ca="1" si="33"/>
        <v xml:space="preserve"> </v>
      </c>
    </row>
    <row r="163" spans="1:32">
      <c r="A163" s="672">
        <f ca="1">'Plant Operations'!A163</f>
        <v>40848</v>
      </c>
      <c r="C163" s="1503">
        <f ca="1">IF($A163&gt;Endyr,0,VLOOKUP($A163,Tariff_Table,Tariff!$D$33))</f>
        <v>7277.2784810126586</v>
      </c>
      <c r="E163" s="691">
        <f ca="1">VLOOKUP($A163,Tariff_Table,Tariff!$E$33)</f>
        <v>0.97173507905914314</v>
      </c>
      <c r="F163" s="1481">
        <f t="shared" ca="1" si="34"/>
        <v>7071.5867800822371</v>
      </c>
      <c r="G163" s="1480">
        <f ca="1">VLOOKUP($A163,Curves_Table,Escalation!$N$291)</f>
        <v>1.4453629302678073</v>
      </c>
      <c r="H163" s="1481">
        <f t="shared" ca="1" si="35"/>
        <v>10221.00939010275</v>
      </c>
      <c r="I163" s="1504">
        <f ca="1">IF(Assm!$L$74=0,VLOOKUP($A163,Curves_Table,Escalation!$D$291),VLOOKUP($A163,Curves_Table,Escalation!$E$291))</f>
        <v>2.7015593043152926</v>
      </c>
      <c r="J163" s="1504">
        <f ca="1">IF($A163&lt;EE_Date,VLOOKUP($A163,Curves_Table,Escalation!$D$291),Exch)</f>
        <v>1.0649999999999999</v>
      </c>
      <c r="K163" s="1505">
        <f t="shared" ca="1" si="36"/>
        <v>25927.383114860153</v>
      </c>
      <c r="M163" s="691">
        <f ca="1">VLOOKUP($A163,Tariff_Table,Tariff!$F$33)</f>
        <v>2.8264920940856864E-2</v>
      </c>
      <c r="N163" s="1481">
        <f t="shared" ca="1" si="37"/>
        <v>205.69170093042172</v>
      </c>
      <c r="O163" s="1480">
        <f ca="1">VLOOKUP($A163,Curves_Table,Escalation!$R$291)</f>
        <v>2.9919891365638813</v>
      </c>
      <c r="P163" s="1505">
        <f t="shared" ca="1" si="38"/>
        <v>615.42733466516859</v>
      </c>
      <c r="R163" s="1506">
        <f t="shared" ca="1" si="39"/>
        <v>26542.810449525321</v>
      </c>
      <c r="S163" s="330">
        <f ca="1">'Plant Operations'!C163</f>
        <v>480</v>
      </c>
      <c r="T163" s="1481">
        <f t="shared" ca="1" si="40"/>
        <v>12740.549015772154</v>
      </c>
      <c r="U163" s="1504">
        <f t="shared" ca="1" si="41"/>
        <v>2.7015593043152926</v>
      </c>
      <c r="V163" s="384">
        <f t="shared" ca="1" si="42"/>
        <v>4715.9982738195831</v>
      </c>
      <c r="W163" s="692" t="str">
        <f t="shared" ca="1" si="30"/>
        <v xml:space="preserve"> </v>
      </c>
      <c r="Y163" s="1507">
        <f ca="1">IF($A163&gt;Endyr,0,VLOOKUP($A163,Tariff_Table,Tariff!$J$33))</f>
        <v>0.19</v>
      </c>
      <c r="Z163" s="1504">
        <f ca="1">VLOOKUP($A163,Curves_Table,Escalation!$AH$291)</f>
        <v>2.9919891365638813</v>
      </c>
      <c r="AA163" s="1504">
        <f t="shared" ca="1" si="43"/>
        <v>0.56847793594713747</v>
      </c>
      <c r="AB163" s="334">
        <f ca="1">'Plant Operations'!$I163+'Plant Operations'!$M163</f>
        <v>289336.32000000001</v>
      </c>
      <c r="AC163" s="1481">
        <f t="shared" ca="1" si="31"/>
        <v>164.48131398814047</v>
      </c>
      <c r="AD163" s="1504">
        <f t="shared" ca="1" si="32"/>
        <v>2.7015593043152926</v>
      </c>
      <c r="AE163" s="335">
        <f t="shared" ca="1" si="44"/>
        <v>60.883843536363933</v>
      </c>
      <c r="AF163" s="698" t="str">
        <f t="shared" ca="1" si="33"/>
        <v xml:space="preserve"> </v>
      </c>
    </row>
    <row r="164" spans="1:32">
      <c r="A164" s="672">
        <f ca="1">'Plant Operations'!A164</f>
        <v>40878</v>
      </c>
      <c r="C164" s="1503">
        <f ca="1">IF($A164&gt;Endyr,0,VLOOKUP($A164,Tariff_Table,Tariff!$D$33))</f>
        <v>7277.2784810126586</v>
      </c>
      <c r="E164" s="691">
        <f ca="1">VLOOKUP($A164,Tariff_Table,Tariff!$E$33)</f>
        <v>0.97173507905914314</v>
      </c>
      <c r="F164" s="1481">
        <f t="shared" ca="1" si="34"/>
        <v>7071.5867800822371</v>
      </c>
      <c r="G164" s="1480">
        <f ca="1">VLOOKUP($A164,Curves_Table,Escalation!$N$291)</f>
        <v>1.4453629302678073</v>
      </c>
      <c r="H164" s="1481">
        <f t="shared" ca="1" si="35"/>
        <v>10221.00939010275</v>
      </c>
      <c r="I164" s="1504">
        <f ca="1">IF(Assm!$L$74=0,VLOOKUP($A164,Curves_Table,Escalation!$D$291),VLOOKUP($A164,Curves_Table,Escalation!$E$291))</f>
        <v>2.7062463148403069</v>
      </c>
      <c r="J164" s="1504">
        <f ca="1">IF($A164&lt;EE_Date,VLOOKUP($A164,Curves_Table,Escalation!$D$291),Exch)</f>
        <v>1.0649999999999999</v>
      </c>
      <c r="K164" s="1505">
        <f t="shared" ca="1" si="36"/>
        <v>25972.365254379103</v>
      </c>
      <c r="M164" s="691">
        <f ca="1">VLOOKUP($A164,Tariff_Table,Tariff!$F$33)</f>
        <v>2.8264920940856864E-2</v>
      </c>
      <c r="N164" s="1481">
        <f t="shared" ca="1" si="37"/>
        <v>205.69170093042172</v>
      </c>
      <c r="O164" s="1480">
        <f ca="1">VLOOKUP($A164,Curves_Table,Escalation!$R$291)</f>
        <v>2.9919891365638813</v>
      </c>
      <c r="P164" s="1505">
        <f t="shared" ca="1" si="38"/>
        <v>615.42733466516859</v>
      </c>
      <c r="R164" s="1506">
        <f t="shared" ca="1" si="39"/>
        <v>26587.792589044271</v>
      </c>
      <c r="S164" s="330">
        <f ca="1">'Plant Operations'!C164</f>
        <v>480</v>
      </c>
      <c r="T164" s="1481">
        <f t="shared" ca="1" si="40"/>
        <v>12762.140442741251</v>
      </c>
      <c r="U164" s="1504">
        <f t="shared" ca="1" si="41"/>
        <v>2.7062463148403069</v>
      </c>
      <c r="V164" s="384">
        <f t="shared" ca="1" si="42"/>
        <v>4715.8088946882626</v>
      </c>
      <c r="W164" s="692">
        <f t="shared" ca="1" si="30"/>
        <v>57245.288104348838</v>
      </c>
      <c r="Y164" s="1507">
        <f ca="1">IF($A164&gt;Endyr,0,VLOOKUP($A164,Tariff_Table,Tariff!$J$33))</f>
        <v>0.19</v>
      </c>
      <c r="Z164" s="1504">
        <f ca="1">VLOOKUP($A164,Curves_Table,Escalation!$AH$291)</f>
        <v>2.9919891365638813</v>
      </c>
      <c r="AA164" s="1504">
        <f t="shared" ca="1" si="43"/>
        <v>0.56847793594713747</v>
      </c>
      <c r="AB164" s="334">
        <f ca="1">'Plant Operations'!$I164+'Plant Operations'!$M164</f>
        <v>298980.864</v>
      </c>
      <c r="AC164" s="1481">
        <f t="shared" ca="1" si="31"/>
        <v>169.96402445441183</v>
      </c>
      <c r="AD164" s="1504">
        <f t="shared" ca="1" si="32"/>
        <v>2.7062463148403069</v>
      </c>
      <c r="AE164" s="335">
        <f t="shared" ca="1" si="44"/>
        <v>62.804343980951067</v>
      </c>
      <c r="AF164" s="698">
        <f t="shared" ca="1" si="33"/>
        <v>729.93418444925874</v>
      </c>
    </row>
    <row r="165" spans="1:32">
      <c r="A165" s="672">
        <f ca="1">'Plant Operations'!A165</f>
        <v>40909</v>
      </c>
      <c r="C165" s="1503">
        <f ca="1">IF($A165&gt;Endyr,0,VLOOKUP($A165,Tariff_Table,Tariff!$D$33))</f>
        <v>7277.2784810126586</v>
      </c>
      <c r="E165" s="691">
        <f ca="1">VLOOKUP($A165,Tariff_Table,Tariff!$E$33)</f>
        <v>0.97173507905914314</v>
      </c>
      <c r="F165" s="1481">
        <f t="shared" ca="1" si="34"/>
        <v>7071.5867800822371</v>
      </c>
      <c r="G165" s="1480">
        <f ca="1">VLOOKUP($A165,Curves_Table,Escalation!$N$291)</f>
        <v>1.4453629302678073</v>
      </c>
      <c r="H165" s="302"/>
      <c r="I165" s="302"/>
      <c r="J165" s="302"/>
      <c r="K165" s="302"/>
      <c r="L165" s="302"/>
      <c r="M165" s="302"/>
      <c r="N165" s="302"/>
      <c r="O165" s="302"/>
      <c r="P165" s="302"/>
      <c r="Q165" s="302"/>
      <c r="R165" s="302"/>
      <c r="S165" s="302"/>
      <c r="T165" s="302"/>
      <c r="U165" s="302"/>
      <c r="V165" s="302"/>
      <c r="W165" s="302"/>
      <c r="X165" s="302"/>
      <c r="Y165" s="302"/>
      <c r="Z165" s="302"/>
      <c r="AA165" s="302"/>
      <c r="AB165" s="302"/>
      <c r="AC165" s="302"/>
      <c r="AD165" s="302"/>
      <c r="AE165" s="302"/>
      <c r="AF165" s="302"/>
    </row>
    <row r="166" spans="1:32">
      <c r="A166" s="672">
        <f ca="1">'Plant Operations'!A166</f>
        <v>40940</v>
      </c>
      <c r="C166" s="1503">
        <f ca="1">IF($A166&gt;Endyr,0,VLOOKUP($A166,Tariff_Table,Tariff!$D$33))</f>
        <v>7277.2784810126586</v>
      </c>
      <c r="E166" s="691">
        <f ca="1">VLOOKUP($A166,Tariff_Table,Tariff!$E$33)</f>
        <v>0.97173507905914314</v>
      </c>
      <c r="F166" s="1481">
        <f t="shared" ca="1" si="34"/>
        <v>7071.5867800822371</v>
      </c>
      <c r="G166" s="1480">
        <f ca="1">VLOOKUP($A166,Curves_Table,Escalation!$N$291)</f>
        <v>1.4453629302678073</v>
      </c>
      <c r="H166" s="1481">
        <f t="shared" ca="1" si="35"/>
        <v>10221.00939010275</v>
      </c>
      <c r="I166" s="1504">
        <f ca="1">IF(Assm!$L$74=0,VLOOKUP($A166,Curves_Table,Escalation!$D$291),VLOOKUP($A166,Curves_Table,Escalation!$E$291))</f>
        <v>2.7151878100347324</v>
      </c>
      <c r="J166" s="1504">
        <f ca="1">IF($A166&lt;EE_Date,VLOOKUP($A166,Curves_Table,Escalation!$D$291),Exch)</f>
        <v>1.0649999999999999</v>
      </c>
      <c r="K166" s="1505">
        <f t="shared" ca="1" si="36"/>
        <v>26058.178499772323</v>
      </c>
      <c r="M166" s="691">
        <f ca="1">VLOOKUP($A166,Tariff_Table,Tariff!$F$33)</f>
        <v>2.8264920940856864E-2</v>
      </c>
      <c r="N166" s="1481">
        <f t="shared" ca="1" si="37"/>
        <v>205.69170093042172</v>
      </c>
      <c r="O166" s="1480">
        <f ca="1">VLOOKUP($A166,Curves_Table,Escalation!$R$291)</f>
        <v>2.9919891365638813</v>
      </c>
      <c r="P166" s="1505">
        <f t="shared" ca="1" si="38"/>
        <v>615.42733466516859</v>
      </c>
      <c r="R166" s="1506">
        <f t="shared" ca="1" si="39"/>
        <v>26673.605834437491</v>
      </c>
      <c r="S166" s="330">
        <f ca="1">'Plant Operations'!C166</f>
        <v>480</v>
      </c>
      <c r="T166" s="1481">
        <f t="shared" ca="1" si="40"/>
        <v>12803.330800529995</v>
      </c>
      <c r="U166" s="1504">
        <f t="shared" ca="1" si="41"/>
        <v>2.7151878100347324</v>
      </c>
      <c r="V166" s="384">
        <f t="shared" ca="1" si="42"/>
        <v>4715.4494260808488</v>
      </c>
      <c r="W166" s="692" t="str">
        <f t="shared" ca="1" si="30"/>
        <v xml:space="preserve"> </v>
      </c>
      <c r="Y166" s="1507">
        <f ca="1">IF($A166&gt;Endyr,0,VLOOKUP($A166,Tariff_Table,Tariff!$J$33))</f>
        <v>0.19</v>
      </c>
      <c r="Z166" s="1504">
        <f ca="1">VLOOKUP($A166,Curves_Table,Escalation!$AH$291)</f>
        <v>2.9919891365638813</v>
      </c>
      <c r="AA166" s="1504">
        <f t="shared" ca="1" si="43"/>
        <v>0.56847793594713747</v>
      </c>
      <c r="AB166" s="334">
        <f ca="1">'Plant Operations'!$I166+'Plant Operations'!$M166</f>
        <v>279691.77600000001</v>
      </c>
      <c r="AC166" s="1481">
        <f t="shared" ca="1" si="31"/>
        <v>158.99860352186914</v>
      </c>
      <c r="AD166" s="1504">
        <f t="shared" ca="1" si="32"/>
        <v>2.7151878100347324</v>
      </c>
      <c r="AE166" s="335">
        <f t="shared" ca="1" si="44"/>
        <v>58.558970740162259</v>
      </c>
      <c r="AF166" s="698" t="str">
        <f t="shared" ca="1" si="33"/>
        <v xml:space="preserve"> </v>
      </c>
    </row>
    <row r="167" spans="1:32">
      <c r="A167" s="672">
        <f ca="1">'Plant Operations'!A167</f>
        <v>40969</v>
      </c>
      <c r="C167" s="1503">
        <f ca="1">IF($A167&gt;Endyr,0,VLOOKUP($A167,Tariff_Table,Tariff!$D$33))</f>
        <v>7277.2784810126586</v>
      </c>
      <c r="E167" s="691">
        <f ca="1">VLOOKUP($A167,Tariff_Table,Tariff!$E$33)</f>
        <v>0.97173507905914314</v>
      </c>
      <c r="F167" s="1481">
        <f t="shared" ca="1" si="34"/>
        <v>7071.5867800822371</v>
      </c>
      <c r="G167" s="1480">
        <f ca="1">VLOOKUP($A167,Curves_Table,Escalation!$N$291)</f>
        <v>1.4453629302678073</v>
      </c>
      <c r="H167" s="1481">
        <f t="shared" ca="1" si="35"/>
        <v>10221.00939010275</v>
      </c>
      <c r="I167" s="1504">
        <f ca="1">IF(Assm!$L$74=0,VLOOKUP($A167,Curves_Table,Escalation!$D$291),VLOOKUP($A167,Curves_Table,Escalation!$E$291))</f>
        <v>2.7196696301224734</v>
      </c>
      <c r="J167" s="1504">
        <f ca="1">IF($A167&lt;EE_Date,VLOOKUP($A167,Curves_Table,Escalation!$D$291),Exch)</f>
        <v>1.0649999999999999</v>
      </c>
      <c r="K167" s="1505">
        <f t="shared" ca="1" si="36"/>
        <v>26101.191387285518</v>
      </c>
      <c r="M167" s="691">
        <f ca="1">VLOOKUP($A167,Tariff_Table,Tariff!$F$33)</f>
        <v>2.8264920940856864E-2</v>
      </c>
      <c r="N167" s="1481">
        <f t="shared" ca="1" si="37"/>
        <v>205.69170093042172</v>
      </c>
      <c r="O167" s="1480">
        <f ca="1">VLOOKUP($A167,Curves_Table,Escalation!$R$291)</f>
        <v>2.9919891365638813</v>
      </c>
      <c r="P167" s="1505">
        <f t="shared" ca="1" si="38"/>
        <v>615.42733466516859</v>
      </c>
      <c r="R167" s="1506">
        <f t="shared" ca="1" si="39"/>
        <v>26716.618721950686</v>
      </c>
      <c r="S167" s="330">
        <f ca="1">'Plant Operations'!C167</f>
        <v>480</v>
      </c>
      <c r="T167" s="1481">
        <f t="shared" ca="1" si="40"/>
        <v>12823.976986536331</v>
      </c>
      <c r="U167" s="1504">
        <f t="shared" ca="1" si="41"/>
        <v>2.7196696301224734</v>
      </c>
      <c r="V167" s="384">
        <f t="shared" ca="1" si="42"/>
        <v>4715.2701359388402</v>
      </c>
      <c r="W167" s="692" t="str">
        <f t="shared" ca="1" si="30"/>
        <v xml:space="preserve"> </v>
      </c>
      <c r="Y167" s="1507">
        <f ca="1">IF($A167&gt;Endyr,0,VLOOKUP($A167,Tariff_Table,Tariff!$J$33))</f>
        <v>0.19</v>
      </c>
      <c r="Z167" s="1504">
        <f ca="1">VLOOKUP($A167,Curves_Table,Escalation!$AH$291)</f>
        <v>2.9919891365638813</v>
      </c>
      <c r="AA167" s="1504">
        <f t="shared" ca="1" si="43"/>
        <v>0.56847793594713747</v>
      </c>
      <c r="AB167" s="334">
        <f ca="1">'Plant Operations'!$I167+'Plant Operations'!$M167</f>
        <v>298980.864</v>
      </c>
      <c r="AC167" s="1481">
        <f t="shared" ca="1" si="31"/>
        <v>169.96402445441183</v>
      </c>
      <c r="AD167" s="1504">
        <f t="shared" ca="1" si="32"/>
        <v>2.7196696301224734</v>
      </c>
      <c r="AE167" s="335">
        <f t="shared" ca="1" si="44"/>
        <v>62.494364231569527</v>
      </c>
      <c r="AF167" s="698" t="str">
        <f t="shared" ca="1" si="33"/>
        <v xml:space="preserve"> </v>
      </c>
    </row>
    <row r="168" spans="1:32">
      <c r="A168" s="672">
        <f ca="1">'Plant Operations'!A168</f>
        <v>41000</v>
      </c>
      <c r="C168" s="1503">
        <f ca="1">IF($A168&gt;Endyr,0,VLOOKUP($A168,Tariff_Table,Tariff!$D$33))</f>
        <v>7277.2784810126586</v>
      </c>
      <c r="E168" s="691">
        <f ca="1">VLOOKUP($A168,Tariff_Table,Tariff!$E$33)</f>
        <v>0.97173507905914314</v>
      </c>
      <c r="F168" s="1481">
        <f t="shared" ca="1" si="34"/>
        <v>7071.5867800822371</v>
      </c>
      <c r="G168" s="1480">
        <f ca="1">VLOOKUP($A168,Curves_Table,Escalation!$N$291)</f>
        <v>1.4453629302678073</v>
      </c>
      <c r="H168" s="1481">
        <f t="shared" ca="1" si="35"/>
        <v>10221.00939010275</v>
      </c>
      <c r="I168" s="1504">
        <f ca="1">IF(Assm!$L$74=0,VLOOKUP($A168,Curves_Table,Escalation!$D$291),VLOOKUP($A168,Curves_Table,Escalation!$E$291))</f>
        <v>2.7241588481188321</v>
      </c>
      <c r="J168" s="1504">
        <f ca="1">IF($A168&lt;EE_Date,VLOOKUP($A168,Curves_Table,Escalation!$D$291),Exch)</f>
        <v>1.0649999999999999</v>
      </c>
      <c r="K168" s="1505">
        <f t="shared" ca="1" si="36"/>
        <v>26144.275273947493</v>
      </c>
      <c r="M168" s="691">
        <f ca="1">VLOOKUP($A168,Tariff_Table,Tariff!$F$33)</f>
        <v>2.8264920940856864E-2</v>
      </c>
      <c r="N168" s="1481">
        <f t="shared" ca="1" si="37"/>
        <v>205.69170093042172</v>
      </c>
      <c r="O168" s="1480">
        <f ca="1">VLOOKUP($A168,Curves_Table,Escalation!$R$291)</f>
        <v>2.9919891365638813</v>
      </c>
      <c r="P168" s="1505">
        <f t="shared" ca="1" si="38"/>
        <v>615.42733466516859</v>
      </c>
      <c r="R168" s="1506">
        <f t="shared" ca="1" si="39"/>
        <v>26759.702608612661</v>
      </c>
      <c r="S168" s="330">
        <f ca="1">'Plant Operations'!C168</f>
        <v>480</v>
      </c>
      <c r="T168" s="1481">
        <f t="shared" ca="1" si="40"/>
        <v>12844.657252134077</v>
      </c>
      <c r="U168" s="1504">
        <f t="shared" ca="1" si="41"/>
        <v>2.7241588481188321</v>
      </c>
      <c r="V168" s="384">
        <f t="shared" ca="1" si="42"/>
        <v>4715.0911412540991</v>
      </c>
      <c r="W168" s="692" t="str">
        <f t="shared" ca="1" si="30"/>
        <v xml:space="preserve"> </v>
      </c>
      <c r="Y168" s="1507">
        <f ca="1">IF($A168&gt;Endyr,0,VLOOKUP($A168,Tariff_Table,Tariff!$J$33))</f>
        <v>0.19</v>
      </c>
      <c r="Z168" s="1504">
        <f ca="1">VLOOKUP($A168,Curves_Table,Escalation!$AH$291)</f>
        <v>2.9919891365638813</v>
      </c>
      <c r="AA168" s="1504">
        <f t="shared" ca="1" si="43"/>
        <v>0.56847793594713747</v>
      </c>
      <c r="AB168" s="334">
        <f ca="1">'Plant Operations'!$I168+'Plant Operations'!$M168</f>
        <v>289336.32000000001</v>
      </c>
      <c r="AC168" s="1481">
        <f t="shared" ca="1" si="31"/>
        <v>164.48131398814047</v>
      </c>
      <c r="AD168" s="1504">
        <f t="shared" ca="1" si="32"/>
        <v>2.7241588481188321</v>
      </c>
      <c r="AE168" s="335">
        <f t="shared" ca="1" si="44"/>
        <v>60.378752913664719</v>
      </c>
      <c r="AF168" s="698" t="str">
        <f t="shared" ca="1" si="33"/>
        <v xml:space="preserve"> </v>
      </c>
    </row>
    <row r="169" spans="1:32">
      <c r="A169" s="672">
        <f ca="1">'Plant Operations'!A169</f>
        <v>41030</v>
      </c>
      <c r="C169" s="1503">
        <f ca="1">IF($A169&gt;Endyr,0,VLOOKUP($A169,Tariff_Table,Tariff!$D$33))</f>
        <v>6768.8424437299027</v>
      </c>
      <c r="E169" s="691">
        <f ca="1">VLOOKUP($A169,Tariff_Table,Tariff!$E$33)</f>
        <v>0.94158306970653705</v>
      </c>
      <c r="F169" s="1481">
        <f t="shared" ca="1" si="34"/>
        <v>6373.4274465270992</v>
      </c>
      <c r="G169" s="1480">
        <f ca="1">VLOOKUP($A169,Curves_Table,Escalation!$N$291)</f>
        <v>1.4818086105109716</v>
      </c>
      <c r="H169" s="1481">
        <f t="shared" ca="1" si="35"/>
        <v>9444.199668730811</v>
      </c>
      <c r="I169" s="1504">
        <f ca="1">IF(Assm!$L$74=0,VLOOKUP($A169,Curves_Table,Escalation!$D$291),VLOOKUP($A169,Curves_Table,Escalation!$E$291))</f>
        <v>2.7286554762351538</v>
      </c>
      <c r="J169" s="1504">
        <f ca="1">IF($A169&lt;EE_Date,VLOOKUP($A169,Curves_Table,Escalation!$D$291),Exch)</f>
        <v>1.0649999999999999</v>
      </c>
      <c r="K169" s="1505">
        <f t="shared" ca="1" si="36"/>
        <v>24197.152248582679</v>
      </c>
      <c r="M169" s="691">
        <f ca="1">VLOOKUP($A169,Tariff_Table,Tariff!$F$33)</f>
        <v>5.8416930293462954E-2</v>
      </c>
      <c r="N169" s="1481">
        <f t="shared" ca="1" si="37"/>
        <v>395.41499720280319</v>
      </c>
      <c r="O169" s="1480">
        <f ca="1">VLOOKUP($A169,Curves_Table,Escalation!$R$291)</f>
        <v>3.2074123543964816</v>
      </c>
      <c r="P169" s="1505">
        <f t="shared" ca="1" si="38"/>
        <v>1268.2589471419212</v>
      </c>
      <c r="R169" s="1506">
        <f t="shared" ca="1" si="39"/>
        <v>25465.411195724599</v>
      </c>
      <c r="S169" s="330">
        <f ca="1">'Plant Operations'!C169</f>
        <v>480</v>
      </c>
      <c r="T169" s="1481">
        <f t="shared" ca="1" si="40"/>
        <v>12223.397373947806</v>
      </c>
      <c r="U169" s="1504">
        <f t="shared" ca="1" si="41"/>
        <v>2.7286554762351538</v>
      </c>
      <c r="V169" s="384">
        <f t="shared" ca="1" si="42"/>
        <v>4479.6411567549621</v>
      </c>
      <c r="W169" s="692" t="str">
        <f t="shared" ca="1" si="30"/>
        <v xml:space="preserve"> </v>
      </c>
      <c r="Y169" s="1507">
        <f ca="1">IF($A169&gt;Endyr,0,VLOOKUP($A169,Tariff_Table,Tariff!$J$33))</f>
        <v>0.19</v>
      </c>
      <c r="Z169" s="1504">
        <f ca="1">VLOOKUP($A169,Curves_Table,Escalation!$AH$291)</f>
        <v>3.2074123543964816</v>
      </c>
      <c r="AA169" s="1504">
        <f t="shared" ca="1" si="43"/>
        <v>0.60940834733533156</v>
      </c>
      <c r="AB169" s="334">
        <f ca="1">'Plant Operations'!$I169+'Plant Operations'!$M169</f>
        <v>298980.864</v>
      </c>
      <c r="AC169" s="1481">
        <f t="shared" ca="1" si="31"/>
        <v>182.20143421512952</v>
      </c>
      <c r="AD169" s="1504">
        <f t="shared" ca="1" si="32"/>
        <v>2.7286554762351538</v>
      </c>
      <c r="AE169" s="335">
        <f t="shared" ca="1" si="44"/>
        <v>66.773337932174883</v>
      </c>
      <c r="AF169" s="698" t="str">
        <f t="shared" ca="1" si="33"/>
        <v xml:space="preserve"> </v>
      </c>
    </row>
    <row r="170" spans="1:32">
      <c r="A170" s="672">
        <f ca="1">'Plant Operations'!A170</f>
        <v>41061</v>
      </c>
      <c r="C170" s="1503">
        <f ca="1">IF($A170&gt;Endyr,0,VLOOKUP($A170,Tariff_Table,Tariff!$D$33))</f>
        <v>6768.8424437299027</v>
      </c>
      <c r="E170" s="691">
        <f ca="1">VLOOKUP($A170,Tariff_Table,Tariff!$E$33)</f>
        <v>0.94158306970653705</v>
      </c>
      <c r="F170" s="1481">
        <f t="shared" ca="1" si="34"/>
        <v>6373.4274465270992</v>
      </c>
      <c r="G170" s="1480">
        <f ca="1">VLOOKUP($A170,Curves_Table,Escalation!$N$291)</f>
        <v>1.4818086105109716</v>
      </c>
      <c r="H170" s="1481">
        <f t="shared" ca="1" si="35"/>
        <v>9444.199668730811</v>
      </c>
      <c r="I170" s="1504">
        <f ca="1">IF(Assm!$L$74=0,VLOOKUP($A170,Curves_Table,Escalation!$D$291),VLOOKUP($A170,Curves_Table,Escalation!$E$291))</f>
        <v>2.7331595267029405</v>
      </c>
      <c r="J170" s="1504">
        <f ca="1">IF($A170&lt;EE_Date,VLOOKUP($A170,Curves_Table,Escalation!$D$291),Exch)</f>
        <v>1.0649999999999999</v>
      </c>
      <c r="K170" s="1505">
        <f t="shared" ca="1" si="36"/>
        <v>24237.093236315843</v>
      </c>
      <c r="M170" s="691">
        <f ca="1">VLOOKUP($A170,Tariff_Table,Tariff!$F$33)</f>
        <v>5.8416930293462954E-2</v>
      </c>
      <c r="N170" s="1481">
        <f t="shared" ca="1" si="37"/>
        <v>395.41499720280319</v>
      </c>
      <c r="O170" s="1480">
        <f ca="1">VLOOKUP($A170,Curves_Table,Escalation!$R$291)</f>
        <v>3.2074123543964816</v>
      </c>
      <c r="P170" s="1505">
        <f t="shared" ca="1" si="38"/>
        <v>1268.2589471419212</v>
      </c>
      <c r="R170" s="1506">
        <f t="shared" ca="1" si="39"/>
        <v>25505.352183457762</v>
      </c>
      <c r="S170" s="330">
        <f ca="1">'Plant Operations'!C170</f>
        <v>480</v>
      </c>
      <c r="T170" s="1481">
        <f t="shared" ca="1" si="40"/>
        <v>12242.569048059726</v>
      </c>
      <c r="U170" s="1504">
        <f t="shared" ca="1" si="41"/>
        <v>2.7331595267029405</v>
      </c>
      <c r="V170" s="384">
        <f t="shared" ca="1" si="42"/>
        <v>4479.2735032294868</v>
      </c>
      <c r="W170" s="692" t="str">
        <f t="shared" ca="1" si="30"/>
        <v xml:space="preserve"> </v>
      </c>
      <c r="Y170" s="1507">
        <f ca="1">IF($A170&gt;Endyr,0,VLOOKUP($A170,Tariff_Table,Tariff!$J$33))</f>
        <v>0.19</v>
      </c>
      <c r="Z170" s="1504">
        <f ca="1">VLOOKUP($A170,Curves_Table,Escalation!$AH$291)</f>
        <v>3.2074123543964816</v>
      </c>
      <c r="AA170" s="1504">
        <f t="shared" ca="1" si="43"/>
        <v>0.60940834733533156</v>
      </c>
      <c r="AB170" s="334">
        <f ca="1">'Plant Operations'!$I170+'Plant Operations'!$M170</f>
        <v>289336.32000000001</v>
      </c>
      <c r="AC170" s="1481">
        <f t="shared" ca="1" si="31"/>
        <v>176.32396859528666</v>
      </c>
      <c r="AD170" s="1504">
        <f t="shared" ca="1" si="32"/>
        <v>2.7331595267029405</v>
      </c>
      <c r="AE170" s="335">
        <f t="shared" ca="1" si="44"/>
        <v>64.512871229287313</v>
      </c>
      <c r="AF170" s="698" t="str">
        <f t="shared" ca="1" si="33"/>
        <v xml:space="preserve"> </v>
      </c>
    </row>
    <row r="171" spans="1:32">
      <c r="A171" s="672">
        <f ca="1">'Plant Operations'!A171</f>
        <v>41091</v>
      </c>
      <c r="C171" s="1503">
        <f ca="1">IF($A171&gt;Endyr,0,VLOOKUP($A171,Tariff_Table,Tariff!$D$33))</f>
        <v>6768.8424437299027</v>
      </c>
      <c r="E171" s="691">
        <f ca="1">VLOOKUP($A171,Tariff_Table,Tariff!$E$33)</f>
        <v>0.94158306970653705</v>
      </c>
      <c r="F171" s="1481">
        <f t="shared" ca="1" si="34"/>
        <v>6373.4274465270992</v>
      </c>
      <c r="G171" s="1480">
        <f ca="1">VLOOKUP($A171,Curves_Table,Escalation!$N$291)</f>
        <v>1.4818086105109716</v>
      </c>
      <c r="H171" s="1481">
        <f t="shared" ca="1" si="35"/>
        <v>9444.199668730811</v>
      </c>
      <c r="I171" s="1504">
        <f ca="1">IF(Assm!$L$74=0,VLOOKUP($A171,Curves_Table,Escalation!$D$291),VLOOKUP($A171,Curves_Table,Escalation!$E$291))</f>
        <v>2.7376710117738834</v>
      </c>
      <c r="J171" s="1504">
        <f ca="1">IF($A171&lt;EE_Date,VLOOKUP($A171,Curves_Table,Escalation!$D$291),Exch)</f>
        <v>1.0649999999999999</v>
      </c>
      <c r="K171" s="1505">
        <f t="shared" ca="1" si="36"/>
        <v>24277.100152571693</v>
      </c>
      <c r="M171" s="691">
        <f ca="1">VLOOKUP($A171,Tariff_Table,Tariff!$F$33)</f>
        <v>5.8416930293462954E-2</v>
      </c>
      <c r="N171" s="1481">
        <f t="shared" ca="1" si="37"/>
        <v>395.41499720280319</v>
      </c>
      <c r="O171" s="1480">
        <f ca="1">VLOOKUP($A171,Curves_Table,Escalation!$R$291)</f>
        <v>3.2074123543964816</v>
      </c>
      <c r="P171" s="1505">
        <f t="shared" ca="1" si="38"/>
        <v>1268.2589471419212</v>
      </c>
      <c r="R171" s="1506">
        <f t="shared" ca="1" si="39"/>
        <v>25545.359099713613</v>
      </c>
      <c r="S171" s="330">
        <f ca="1">'Plant Operations'!C171</f>
        <v>480</v>
      </c>
      <c r="T171" s="1481">
        <f t="shared" ca="1" si="40"/>
        <v>12261.772367862533</v>
      </c>
      <c r="U171" s="1504">
        <f t="shared" ca="1" si="41"/>
        <v>2.7376710117738834</v>
      </c>
      <c r="V171" s="384">
        <f t="shared" ca="1" si="42"/>
        <v>4478.9064555705963</v>
      </c>
      <c r="W171" s="692" t="str">
        <f t="shared" ca="1" si="30"/>
        <v xml:space="preserve"> </v>
      </c>
      <c r="Y171" s="1507">
        <f ca="1">IF($A171&gt;Endyr,0,VLOOKUP($A171,Tariff_Table,Tariff!$J$33))</f>
        <v>0.19</v>
      </c>
      <c r="Z171" s="1504">
        <f ca="1">VLOOKUP($A171,Curves_Table,Escalation!$AH$291)</f>
        <v>3.2074123543964816</v>
      </c>
      <c r="AA171" s="1504">
        <f t="shared" ca="1" si="43"/>
        <v>0.60940834733533156</v>
      </c>
      <c r="AB171" s="334">
        <f ca="1">'Plant Operations'!$I171+'Plant Operations'!$M171</f>
        <v>298980.864</v>
      </c>
      <c r="AC171" s="1481">
        <f t="shared" ca="1" si="31"/>
        <v>182.20143421512952</v>
      </c>
      <c r="AD171" s="1504">
        <f t="shared" ca="1" si="32"/>
        <v>2.7376710117738834</v>
      </c>
      <c r="AE171" s="335">
        <f t="shared" ca="1" si="44"/>
        <v>66.55344394251064</v>
      </c>
      <c r="AF171" s="698" t="str">
        <f t="shared" ca="1" si="33"/>
        <v xml:space="preserve"> </v>
      </c>
    </row>
    <row r="172" spans="1:32">
      <c r="A172" s="672">
        <f ca="1">'Plant Operations'!A172</f>
        <v>41122</v>
      </c>
      <c r="C172" s="1503">
        <f ca="1">IF($A172&gt;Endyr,0,VLOOKUP($A172,Tariff_Table,Tariff!$D$33))</f>
        <v>6768.8424437299027</v>
      </c>
      <c r="E172" s="691">
        <f ca="1">VLOOKUP($A172,Tariff_Table,Tariff!$E$33)</f>
        <v>0.94158306970653705</v>
      </c>
      <c r="F172" s="1481">
        <f t="shared" ca="1" si="34"/>
        <v>6373.4274465270992</v>
      </c>
      <c r="G172" s="1480">
        <f ca="1">VLOOKUP($A172,Curves_Table,Escalation!$N$291)</f>
        <v>1.4818086105109716</v>
      </c>
      <c r="H172" s="1481">
        <f t="shared" ca="1" si="35"/>
        <v>9444.199668730811</v>
      </c>
      <c r="I172" s="1504">
        <f ca="1">IF(Assm!$L$74=0,VLOOKUP($A172,Curves_Table,Escalation!$D$291),VLOOKUP($A172,Curves_Table,Escalation!$E$291))</f>
        <v>2.7421899437198975</v>
      </c>
      <c r="J172" s="1504">
        <f ca="1">IF($A172&lt;EE_Date,VLOOKUP($A172,Curves_Table,Escalation!$D$291),Exch)</f>
        <v>1.0649999999999999</v>
      </c>
      <c r="K172" s="1505">
        <f t="shared" ca="1" si="36"/>
        <v>24317.17310617504</v>
      </c>
      <c r="M172" s="691">
        <f ca="1">VLOOKUP($A172,Tariff_Table,Tariff!$F$33)</f>
        <v>5.8416930293462954E-2</v>
      </c>
      <c r="N172" s="1481">
        <f t="shared" ca="1" si="37"/>
        <v>395.41499720280319</v>
      </c>
      <c r="O172" s="1480">
        <f ca="1">VLOOKUP($A172,Curves_Table,Escalation!$R$291)</f>
        <v>3.2074123543964816</v>
      </c>
      <c r="P172" s="1505">
        <f t="shared" ca="1" si="38"/>
        <v>1268.2589471419212</v>
      </c>
      <c r="R172" s="1506">
        <f t="shared" ca="1" si="39"/>
        <v>25585.432053316959</v>
      </c>
      <c r="S172" s="330">
        <f ca="1">'Plant Operations'!C172</f>
        <v>480</v>
      </c>
      <c r="T172" s="1481">
        <f t="shared" ca="1" si="40"/>
        <v>12281.00738559214</v>
      </c>
      <c r="U172" s="1504">
        <f t="shared" ca="1" si="41"/>
        <v>2.7421899437198975</v>
      </c>
      <c r="V172" s="384">
        <f t="shared" ca="1" si="42"/>
        <v>4478.5400127798694</v>
      </c>
      <c r="W172" s="692" t="str">
        <f t="shared" ca="1" si="30"/>
        <v xml:space="preserve"> </v>
      </c>
      <c r="Y172" s="1507">
        <f ca="1">IF($A172&gt;Endyr,0,VLOOKUP($A172,Tariff_Table,Tariff!$J$33))</f>
        <v>0.19</v>
      </c>
      <c r="Z172" s="1504">
        <f ca="1">VLOOKUP($A172,Curves_Table,Escalation!$AH$291)</f>
        <v>3.2074123543964816</v>
      </c>
      <c r="AA172" s="1504">
        <f t="shared" ca="1" si="43"/>
        <v>0.60940834733533156</v>
      </c>
      <c r="AB172" s="334">
        <f ca="1">'Plant Operations'!$I172+'Plant Operations'!$M172</f>
        <v>298980.864</v>
      </c>
      <c r="AC172" s="1481">
        <f t="shared" ca="1" si="31"/>
        <v>182.20143421512952</v>
      </c>
      <c r="AD172" s="1504">
        <f t="shared" ca="1" si="32"/>
        <v>2.7421899437198975</v>
      </c>
      <c r="AE172" s="335">
        <f t="shared" ca="1" si="44"/>
        <v>66.44376865009049</v>
      </c>
      <c r="AF172" s="698" t="str">
        <f t="shared" ca="1" si="33"/>
        <v xml:space="preserve"> </v>
      </c>
    </row>
    <row r="173" spans="1:32">
      <c r="A173" s="672">
        <f ca="1">'Plant Operations'!A173</f>
        <v>41153</v>
      </c>
      <c r="C173" s="1503">
        <f ca="1">IF($A173&gt;Endyr,0,VLOOKUP($A173,Tariff_Table,Tariff!$D$33))</f>
        <v>6768.8424437299027</v>
      </c>
      <c r="E173" s="691">
        <f ca="1">VLOOKUP($A173,Tariff_Table,Tariff!$E$33)</f>
        <v>0.94158306970653705</v>
      </c>
      <c r="F173" s="1481">
        <f t="shared" ca="1" si="34"/>
        <v>6373.4274465270992</v>
      </c>
      <c r="G173" s="1480">
        <f ca="1">VLOOKUP($A173,Curves_Table,Escalation!$N$291)</f>
        <v>1.4818086105109716</v>
      </c>
      <c r="H173" s="1481">
        <f t="shared" ca="1" si="35"/>
        <v>9444.199668730811</v>
      </c>
      <c r="I173" s="1504">
        <f ca="1">IF(Assm!$L$74=0,VLOOKUP($A173,Curves_Table,Escalation!$D$291),VLOOKUP($A173,Curves_Table,Escalation!$E$291))</f>
        <v>2.7467163348331547</v>
      </c>
      <c r="J173" s="1504">
        <f ca="1">IF($A173&lt;EE_Date,VLOOKUP($A173,Curves_Table,Escalation!$D$291),Exch)</f>
        <v>1.0649999999999999</v>
      </c>
      <c r="K173" s="1505">
        <f t="shared" ca="1" si="36"/>
        <v>24357.312206130315</v>
      </c>
      <c r="M173" s="691">
        <f ca="1">VLOOKUP($A173,Tariff_Table,Tariff!$F$33)</f>
        <v>5.8416930293462954E-2</v>
      </c>
      <c r="N173" s="1481">
        <f t="shared" ca="1" si="37"/>
        <v>395.41499720280319</v>
      </c>
      <c r="O173" s="1480">
        <f ca="1">VLOOKUP($A173,Curves_Table,Escalation!$R$291)</f>
        <v>3.2074123543964816</v>
      </c>
      <c r="P173" s="1505">
        <f t="shared" ca="1" si="38"/>
        <v>1268.2589471419212</v>
      </c>
      <c r="R173" s="1506">
        <f t="shared" ca="1" si="39"/>
        <v>25625.571153272234</v>
      </c>
      <c r="S173" s="330">
        <f ca="1">'Plant Operations'!C173</f>
        <v>480</v>
      </c>
      <c r="T173" s="1481">
        <f t="shared" ca="1" si="40"/>
        <v>12300.274153570672</v>
      </c>
      <c r="U173" s="1504">
        <f t="shared" ca="1" si="41"/>
        <v>2.7467163348331547</v>
      </c>
      <c r="V173" s="384">
        <f t="shared" ca="1" si="42"/>
        <v>4478.1741738605251</v>
      </c>
      <c r="W173" s="692" t="str">
        <f t="shared" ca="1" si="30"/>
        <v xml:space="preserve"> </v>
      </c>
      <c r="Y173" s="1507">
        <f ca="1">IF($A173&gt;Endyr,0,VLOOKUP($A173,Tariff_Table,Tariff!$J$33))</f>
        <v>0.19</v>
      </c>
      <c r="Z173" s="1504">
        <f ca="1">VLOOKUP($A173,Curves_Table,Escalation!$AH$291)</f>
        <v>3.2074123543964816</v>
      </c>
      <c r="AA173" s="1504">
        <f t="shared" ca="1" si="43"/>
        <v>0.60940834733533156</v>
      </c>
      <c r="AB173" s="334">
        <f ca="1">'Plant Operations'!$I173+'Plant Operations'!$M173</f>
        <v>289336.32000000001</v>
      </c>
      <c r="AC173" s="1481">
        <f t="shared" ca="1" si="31"/>
        <v>176.32396859528666</v>
      </c>
      <c r="AD173" s="1504">
        <f t="shared" ca="1" si="32"/>
        <v>2.7467163348331547</v>
      </c>
      <c r="AE173" s="335">
        <f t="shared" ca="1" si="44"/>
        <v>64.194458801293436</v>
      </c>
      <c r="AF173" s="698" t="str">
        <f t="shared" ca="1" si="33"/>
        <v xml:space="preserve"> </v>
      </c>
    </row>
    <row r="174" spans="1:32">
      <c r="A174" s="672">
        <f ca="1">'Plant Operations'!A174</f>
        <v>41183</v>
      </c>
      <c r="C174" s="1503">
        <f ca="1">IF($A174&gt;Endyr,0,VLOOKUP($A174,Tariff_Table,Tariff!$D$33))</f>
        <v>6768.8424437299027</v>
      </c>
      <c r="E174" s="691">
        <f ca="1">VLOOKUP($A174,Tariff_Table,Tariff!$E$33)</f>
        <v>0.94158306970653705</v>
      </c>
      <c r="F174" s="1481">
        <f t="shared" ca="1" si="34"/>
        <v>6373.4274465270992</v>
      </c>
      <c r="G174" s="1480">
        <f ca="1">VLOOKUP($A174,Curves_Table,Escalation!$N$291)</f>
        <v>1.4818086105109716</v>
      </c>
      <c r="H174" s="1481">
        <f t="shared" ca="1" si="35"/>
        <v>9444.199668730811</v>
      </c>
      <c r="I174" s="1504">
        <f ca="1">IF(Assm!$L$74=0,VLOOKUP($A174,Curves_Table,Escalation!$D$291),VLOOKUP($A174,Curves_Table,Escalation!$E$291))</f>
        <v>2.7512501974261161</v>
      </c>
      <c r="J174" s="1504">
        <f ca="1">IF($A174&lt;EE_Date,VLOOKUP($A174,Curves_Table,Escalation!$D$291),Exch)</f>
        <v>1.0649999999999999</v>
      </c>
      <c r="K174" s="1505">
        <f t="shared" ca="1" si="36"/>
        <v>24397.517561621884</v>
      </c>
      <c r="M174" s="691">
        <f ca="1">VLOOKUP($A174,Tariff_Table,Tariff!$F$33)</f>
        <v>5.8416930293462954E-2</v>
      </c>
      <c r="N174" s="1481">
        <f t="shared" ca="1" si="37"/>
        <v>395.41499720280319</v>
      </c>
      <c r="O174" s="1480">
        <f ca="1">VLOOKUP($A174,Curves_Table,Escalation!$R$291)</f>
        <v>3.2074123543964816</v>
      </c>
      <c r="P174" s="1505">
        <f t="shared" ca="1" si="38"/>
        <v>1268.2589471419212</v>
      </c>
      <c r="R174" s="1506">
        <f t="shared" ca="1" si="39"/>
        <v>25665.776508763804</v>
      </c>
      <c r="S174" s="330">
        <f ca="1">'Plant Operations'!C174</f>
        <v>480</v>
      </c>
      <c r="T174" s="1481">
        <f t="shared" ca="1" si="40"/>
        <v>12319.572724206626</v>
      </c>
      <c r="U174" s="1504">
        <f t="shared" ca="1" si="41"/>
        <v>2.7512501974261161</v>
      </c>
      <c r="V174" s="384">
        <f t="shared" ca="1" si="42"/>
        <v>4477.8089378174282</v>
      </c>
      <c r="W174" s="692" t="str">
        <f t="shared" ca="1" si="30"/>
        <v xml:space="preserve"> </v>
      </c>
      <c r="Y174" s="1507">
        <f ca="1">IF($A174&gt;Endyr,0,VLOOKUP($A174,Tariff_Table,Tariff!$J$33))</f>
        <v>0.19</v>
      </c>
      <c r="Z174" s="1504">
        <f ca="1">VLOOKUP($A174,Curves_Table,Escalation!$AH$291)</f>
        <v>3.2074123543964816</v>
      </c>
      <c r="AA174" s="1504">
        <f t="shared" ca="1" si="43"/>
        <v>0.60940834733533156</v>
      </c>
      <c r="AB174" s="334">
        <f ca="1">'Plant Operations'!$I174+'Plant Operations'!$M174</f>
        <v>298980.864</v>
      </c>
      <c r="AC174" s="1481">
        <f t="shared" ca="1" si="31"/>
        <v>182.20143421512952</v>
      </c>
      <c r="AD174" s="1504">
        <f t="shared" ca="1" si="32"/>
        <v>2.7512501974261161</v>
      </c>
      <c r="AE174" s="335">
        <f t="shared" ca="1" si="44"/>
        <v>66.224959978407227</v>
      </c>
      <c r="AF174" s="698" t="str">
        <f t="shared" ca="1" si="33"/>
        <v xml:space="preserve"> </v>
      </c>
    </row>
    <row r="175" spans="1:32">
      <c r="A175" s="672">
        <f ca="1">'Plant Operations'!A175</f>
        <v>41214</v>
      </c>
      <c r="C175" s="1503">
        <f ca="1">IF($A175&gt;Endyr,0,VLOOKUP($A175,Tariff_Table,Tariff!$D$33))</f>
        <v>6768.8424437299027</v>
      </c>
      <c r="E175" s="691">
        <f ca="1">VLOOKUP($A175,Tariff_Table,Tariff!$E$33)</f>
        <v>0.94158306970653705</v>
      </c>
      <c r="F175" s="1481">
        <f t="shared" ca="1" si="34"/>
        <v>6373.4274465270992</v>
      </c>
      <c r="G175" s="1480">
        <f ca="1">VLOOKUP($A175,Curves_Table,Escalation!$N$291)</f>
        <v>1.4818086105109716</v>
      </c>
      <c r="H175" s="1481">
        <f t="shared" ca="1" si="35"/>
        <v>9444.199668730811</v>
      </c>
      <c r="I175" s="1504">
        <f ca="1">IF(Assm!$L$74=0,VLOOKUP($A175,Curves_Table,Escalation!$D$291),VLOOKUP($A175,Curves_Table,Escalation!$E$291))</f>
        <v>2.7557915438315672</v>
      </c>
      <c r="J175" s="1504">
        <f ca="1">IF($A175&lt;EE_Date,VLOOKUP($A175,Curves_Table,Escalation!$D$291),Exch)</f>
        <v>1.0649999999999999</v>
      </c>
      <c r="K175" s="1505">
        <f t="shared" ca="1" si="36"/>
        <v>24437.789282014324</v>
      </c>
      <c r="M175" s="691">
        <f ca="1">VLOOKUP($A175,Tariff_Table,Tariff!$F$33)</f>
        <v>5.8416930293462954E-2</v>
      </c>
      <c r="N175" s="1481">
        <f t="shared" ca="1" si="37"/>
        <v>395.41499720280319</v>
      </c>
      <c r="O175" s="1480">
        <f ca="1">VLOOKUP($A175,Curves_Table,Escalation!$R$291)</f>
        <v>3.2074123543964816</v>
      </c>
      <c r="P175" s="1505">
        <f t="shared" ca="1" si="38"/>
        <v>1268.2589471419212</v>
      </c>
      <c r="R175" s="1506">
        <f t="shared" ca="1" si="39"/>
        <v>25706.048229156244</v>
      </c>
      <c r="S175" s="330">
        <f ca="1">'Plant Operations'!C175</f>
        <v>480</v>
      </c>
      <c r="T175" s="1481">
        <f t="shared" ca="1" si="40"/>
        <v>12338.903149994998</v>
      </c>
      <c r="U175" s="1504">
        <f t="shared" ca="1" si="41"/>
        <v>2.7557915438315672</v>
      </c>
      <c r="V175" s="384">
        <f t="shared" ca="1" si="42"/>
        <v>4477.4443036570792</v>
      </c>
      <c r="W175" s="692" t="str">
        <f t="shared" ca="1" si="30"/>
        <v xml:space="preserve"> </v>
      </c>
      <c r="Y175" s="1507">
        <f ca="1">IF($A175&gt;Endyr,0,VLOOKUP($A175,Tariff_Table,Tariff!$J$33))</f>
        <v>0.19</v>
      </c>
      <c r="Z175" s="1504">
        <f ca="1">VLOOKUP($A175,Curves_Table,Escalation!$AH$291)</f>
        <v>3.2074123543964816</v>
      </c>
      <c r="AA175" s="1504">
        <f t="shared" ca="1" si="43"/>
        <v>0.60940834733533156</v>
      </c>
      <c r="AB175" s="334">
        <f ca="1">'Plant Operations'!$I175+'Plant Operations'!$M175</f>
        <v>289336.32000000001</v>
      </c>
      <c r="AC175" s="1481">
        <f t="shared" ca="1" si="31"/>
        <v>176.32396859528666</v>
      </c>
      <c r="AD175" s="1504">
        <f t="shared" ca="1" si="32"/>
        <v>2.7557915438315672</v>
      </c>
      <c r="AE175" s="335">
        <f t="shared" ca="1" si="44"/>
        <v>63.98305742317914</v>
      </c>
      <c r="AF175" s="698" t="str">
        <f t="shared" ca="1" si="33"/>
        <v xml:space="preserve"> </v>
      </c>
    </row>
    <row r="176" spans="1:32">
      <c r="A176" s="672">
        <f ca="1">'Plant Operations'!A176</f>
        <v>41244</v>
      </c>
      <c r="C176" s="1503">
        <f ca="1">IF($A176&gt;Endyr,0,VLOOKUP($A176,Tariff_Table,Tariff!$D$33))</f>
        <v>6768.8424437299027</v>
      </c>
      <c r="E176" s="691">
        <f ca="1">VLOOKUP($A176,Tariff_Table,Tariff!$E$33)</f>
        <v>0.94158306970653705</v>
      </c>
      <c r="F176" s="1481">
        <f t="shared" ca="1" si="34"/>
        <v>6373.4274465270992</v>
      </c>
      <c r="G176" s="1480">
        <f ca="1">VLOOKUP($A176,Curves_Table,Escalation!$N$291)</f>
        <v>1.4818086105109716</v>
      </c>
      <c r="H176" s="1481">
        <f t="shared" ca="1" si="35"/>
        <v>9444.199668730811</v>
      </c>
      <c r="I176" s="1504">
        <f ca="1">IF(Assm!$L$74=0,VLOOKUP($A176,Curves_Table,Escalation!$D$291),VLOOKUP($A176,Curves_Table,Escalation!$E$291))</f>
        <v>2.7603403864026497</v>
      </c>
      <c r="J176" s="1504">
        <f ca="1">IF($A176&lt;EE_Date,VLOOKUP($A176,Curves_Table,Escalation!$D$291),Exch)</f>
        <v>1.0649999999999999</v>
      </c>
      <c r="K176" s="1505">
        <f t="shared" ca="1" si="36"/>
        <v>24478.127476852755</v>
      </c>
      <c r="M176" s="691">
        <f ca="1">VLOOKUP($A176,Tariff_Table,Tariff!$F$33)</f>
        <v>5.8416930293462954E-2</v>
      </c>
      <c r="N176" s="1481">
        <f t="shared" ca="1" si="37"/>
        <v>395.41499720280319</v>
      </c>
      <c r="O176" s="1480">
        <f ca="1">VLOOKUP($A176,Curves_Table,Escalation!$R$291)</f>
        <v>3.2074123543964816</v>
      </c>
      <c r="P176" s="1505">
        <f t="shared" ca="1" si="38"/>
        <v>1268.2589471419212</v>
      </c>
      <c r="R176" s="1506">
        <f t="shared" ca="1" si="39"/>
        <v>25746.386423994674</v>
      </c>
      <c r="S176" s="330">
        <f ca="1">'Plant Operations'!C176</f>
        <v>480</v>
      </c>
      <c r="T176" s="1481">
        <f t="shared" ca="1" si="40"/>
        <v>12358.265483517443</v>
      </c>
      <c r="U176" s="1504">
        <f t="shared" ca="1" si="41"/>
        <v>2.7603403864026497</v>
      </c>
      <c r="V176" s="384">
        <f t="shared" ca="1" si="42"/>
        <v>4477.0802703876207</v>
      </c>
      <c r="W176" s="692">
        <f t="shared" ca="1" si="30"/>
        <v>49972.679517331351</v>
      </c>
      <c r="Y176" s="1507">
        <f ca="1">IF($A176&gt;Endyr,0,VLOOKUP($A176,Tariff_Table,Tariff!$J$33))</f>
        <v>0.19</v>
      </c>
      <c r="Z176" s="1504">
        <f ca="1">VLOOKUP($A176,Curves_Table,Escalation!$AH$291)</f>
        <v>3.2074123543964816</v>
      </c>
      <c r="AA176" s="1504">
        <f t="shared" ca="1" si="43"/>
        <v>0.60940834733533156</v>
      </c>
      <c r="AB176" s="334">
        <f ca="1">'Plant Operations'!$I176+'Plant Operations'!$M176</f>
        <v>298980.864</v>
      </c>
      <c r="AC176" s="1481">
        <f t="shared" ca="1" si="31"/>
        <v>182.20143421512952</v>
      </c>
      <c r="AD176" s="1504">
        <f t="shared" ca="1" si="32"/>
        <v>2.7603403864026497</v>
      </c>
      <c r="AE176" s="335">
        <f t="shared" ca="1" si="44"/>
        <v>66.006871874442766</v>
      </c>
      <c r="AF176" s="698">
        <f t="shared" ca="1" si="33"/>
        <v>706.12485771678234</v>
      </c>
    </row>
    <row r="177" spans="1:32">
      <c r="A177" s="672">
        <f ca="1">'Plant Operations'!A177</f>
        <v>41275</v>
      </c>
      <c r="C177" s="1503">
        <f ca="1">IF($A177&gt;Endyr,0,VLOOKUP($A177,Tariff_Table,Tariff!$D$33))</f>
        <v>6768.8424437299027</v>
      </c>
      <c r="E177" s="691">
        <f ca="1">VLOOKUP($A177,Tariff_Table,Tariff!$E$33)</f>
        <v>0.94158306970653705</v>
      </c>
      <c r="F177" s="1481">
        <f t="shared" ca="1" si="34"/>
        <v>6373.4274465270992</v>
      </c>
      <c r="G177" s="1480">
        <f ca="1">VLOOKUP($A177,Curves_Table,Escalation!$N$291)</f>
        <v>1.4818086105109716</v>
      </c>
      <c r="H177" s="1481">
        <f t="shared" ca="1" si="35"/>
        <v>9444.199668730811</v>
      </c>
      <c r="I177" s="1504">
        <f ca="1">IF(Assm!$L$74=0,VLOOKUP($A177,Curves_Table,Escalation!$D$291),VLOOKUP($A177,Curves_Table,Escalation!$E$291))</f>
        <v>2.7649282340797861</v>
      </c>
      <c r="J177" s="1504">
        <f ca="1">IF($A177&lt;EE_Date,VLOOKUP($A177,Curves_Table,Escalation!$D$291),Exch)</f>
        <v>1.0649999999999999</v>
      </c>
      <c r="K177" s="1505">
        <f t="shared" ca="1" si="36"/>
        <v>24518.811560902144</v>
      </c>
      <c r="M177" s="691">
        <f ca="1">VLOOKUP($A177,Tariff_Table,Tariff!$F$33)</f>
        <v>5.8416930293462954E-2</v>
      </c>
      <c r="N177" s="1481">
        <f t="shared" ca="1" si="37"/>
        <v>395.41499720280319</v>
      </c>
      <c r="O177" s="1480">
        <f ca="1">VLOOKUP($A177,Curves_Table,Escalation!$R$291)</f>
        <v>3.2074123543964816</v>
      </c>
      <c r="P177" s="1505">
        <f t="shared" ca="1" si="38"/>
        <v>1268.2589471419212</v>
      </c>
      <c r="R177" s="1506">
        <f t="shared" ca="1" si="39"/>
        <v>25787.070508044064</v>
      </c>
      <c r="S177" s="330">
        <f ca="1">'Plant Operations'!C177</f>
        <v>480</v>
      </c>
      <c r="T177" s="1481">
        <f t="shared" ca="1" si="40"/>
        <v>12377.793843861151</v>
      </c>
      <c r="U177" s="1504">
        <f t="shared" ca="1" si="41"/>
        <v>2.7649282340797861</v>
      </c>
      <c r="V177" s="384">
        <f t="shared" ca="1" si="42"/>
        <v>4476.7143288913194</v>
      </c>
      <c r="W177" s="692" t="str">
        <f t="shared" ca="1" si="30"/>
        <v xml:space="preserve"> </v>
      </c>
      <c r="Y177" s="1507">
        <f ca="1">IF($A177&gt;Endyr,0,VLOOKUP($A177,Tariff_Table,Tariff!$J$33))</f>
        <v>0.19</v>
      </c>
      <c r="Z177" s="1504">
        <f ca="1">VLOOKUP($A177,Curves_Table,Escalation!$AH$291)</f>
        <v>3.2074123543964816</v>
      </c>
      <c r="AA177" s="1504">
        <f t="shared" ca="1" si="43"/>
        <v>0.60940834733533156</v>
      </c>
      <c r="AB177" s="334">
        <f ca="1">'Plant Operations'!$I177+'Plant Operations'!$M177</f>
        <v>298980.864</v>
      </c>
      <c r="AC177" s="1481">
        <f t="shared" ca="1" si="31"/>
        <v>182.20143421512952</v>
      </c>
      <c r="AD177" s="1504">
        <f t="shared" ca="1" si="32"/>
        <v>2.7649282340797861</v>
      </c>
      <c r="AE177" s="335">
        <f t="shared" ca="1" si="44"/>
        <v>65.897346618028649</v>
      </c>
      <c r="AF177" s="698" t="str">
        <f t="shared" ca="1" si="33"/>
        <v xml:space="preserve"> </v>
      </c>
    </row>
    <row r="178" spans="1:32">
      <c r="A178" s="672">
        <f ca="1">'Plant Operations'!A178</f>
        <v>41306</v>
      </c>
      <c r="C178" s="1503">
        <f ca="1">IF($A178&gt;Endyr,0,VLOOKUP($A178,Tariff_Table,Tariff!$D$33))</f>
        <v>6768.8424437299027</v>
      </c>
      <c r="E178" s="691">
        <f ca="1">VLOOKUP($A178,Tariff_Table,Tariff!$E$33)</f>
        <v>0.94158306970653705</v>
      </c>
      <c r="F178" s="1481">
        <f t="shared" ca="1" si="34"/>
        <v>6373.4274465270992</v>
      </c>
      <c r="G178" s="1480">
        <f ca="1">VLOOKUP($A178,Curves_Table,Escalation!$N$291)</f>
        <v>1.4818086105109716</v>
      </c>
      <c r="H178" s="1481">
        <f t="shared" ca="1" si="35"/>
        <v>9444.199668730811</v>
      </c>
      <c r="I178" s="1504">
        <f ca="1">IF(Assm!$L$74=0,VLOOKUP($A178,Curves_Table,Escalation!$D$291),VLOOKUP($A178,Curves_Table,Escalation!$E$291))</f>
        <v>2.7695237070289402</v>
      </c>
      <c r="J178" s="1504">
        <f ca="1">IF($A178&lt;EE_Date,VLOOKUP($A178,Curves_Table,Escalation!$D$291),Exch)</f>
        <v>1.0649999999999999</v>
      </c>
      <c r="K178" s="1505">
        <f t="shared" ca="1" si="36"/>
        <v>24559.56326428624</v>
      </c>
      <c r="M178" s="691">
        <f ca="1">VLOOKUP($A178,Tariff_Table,Tariff!$F$33)</f>
        <v>5.8416930293462954E-2</v>
      </c>
      <c r="N178" s="1481">
        <f t="shared" ca="1" si="37"/>
        <v>395.41499720280319</v>
      </c>
      <c r="O178" s="1480">
        <f ca="1">VLOOKUP($A178,Curves_Table,Escalation!$R$291)</f>
        <v>3.2074123543964816</v>
      </c>
      <c r="P178" s="1505">
        <f t="shared" ca="1" si="38"/>
        <v>1268.2589471419212</v>
      </c>
      <c r="R178" s="1506">
        <f t="shared" ca="1" si="39"/>
        <v>25827.82221142816</v>
      </c>
      <c r="S178" s="330">
        <f ca="1">'Plant Operations'!C178</f>
        <v>480</v>
      </c>
      <c r="T178" s="1481">
        <f t="shared" ca="1" si="40"/>
        <v>12397.354661485517</v>
      </c>
      <c r="U178" s="1504">
        <f t="shared" ca="1" si="41"/>
        <v>2.7695237070289402</v>
      </c>
      <c r="V178" s="384">
        <f t="shared" ca="1" si="42"/>
        <v>4476.3489946020418</v>
      </c>
      <c r="W178" s="692" t="str">
        <f t="shared" ca="1" si="30"/>
        <v xml:space="preserve"> </v>
      </c>
      <c r="Y178" s="1507">
        <f ca="1">IF($A178&gt;Endyr,0,VLOOKUP($A178,Tariff_Table,Tariff!$J$33))</f>
        <v>0.19</v>
      </c>
      <c r="Z178" s="1504">
        <f ca="1">VLOOKUP($A178,Curves_Table,Escalation!$AH$291)</f>
        <v>3.2074123543964816</v>
      </c>
      <c r="AA178" s="1504">
        <f t="shared" ca="1" si="43"/>
        <v>0.60940834733533156</v>
      </c>
      <c r="AB178" s="334">
        <f ca="1">'Plant Operations'!$I178+'Plant Operations'!$M178</f>
        <v>270047.23200000002</v>
      </c>
      <c r="AC178" s="1481">
        <f t="shared" ca="1" si="31"/>
        <v>164.5690373556009</v>
      </c>
      <c r="AD178" s="1504">
        <f t="shared" ca="1" si="32"/>
        <v>2.7695237070289402</v>
      </c>
      <c r="AE178" s="335">
        <f t="shared" ca="1" si="44"/>
        <v>59.421422152094699</v>
      </c>
      <c r="AF178" s="698" t="str">
        <f t="shared" ca="1" si="33"/>
        <v xml:space="preserve"> </v>
      </c>
    </row>
    <row r="179" spans="1:32">
      <c r="A179" s="672">
        <f ca="1">'Plant Operations'!A179</f>
        <v>41334</v>
      </c>
      <c r="C179" s="1503">
        <f ca="1">IF($A179&gt;Endyr,0,VLOOKUP($A179,Tariff_Table,Tariff!$D$33))</f>
        <v>6768.8424437299027</v>
      </c>
      <c r="E179" s="691">
        <f ca="1">VLOOKUP($A179,Tariff_Table,Tariff!$E$33)</f>
        <v>0.94158306970653705</v>
      </c>
      <c r="F179" s="1481">
        <f t="shared" ca="1" si="34"/>
        <v>6373.4274465270992</v>
      </c>
      <c r="G179" s="1480">
        <f ca="1">VLOOKUP($A179,Curves_Table,Escalation!$N$291)</f>
        <v>1.4818086105109716</v>
      </c>
      <c r="H179" s="1481">
        <f t="shared" ca="1" si="35"/>
        <v>9444.199668730811</v>
      </c>
      <c r="I179" s="1504">
        <f ca="1">IF(Assm!$L$74=0,VLOOKUP($A179,Curves_Table,Escalation!$D$291),VLOOKUP($A179,Curves_Table,Escalation!$E$291))</f>
        <v>2.7741268179237619</v>
      </c>
      <c r="J179" s="1504">
        <f ca="1">IF($A179&lt;EE_Date,VLOOKUP($A179,Curves_Table,Escalation!$D$291),Exch)</f>
        <v>1.0649999999999999</v>
      </c>
      <c r="K179" s="1505">
        <f t="shared" ca="1" si="36"/>
        <v>24600.38269939235</v>
      </c>
      <c r="M179" s="691">
        <f ca="1">VLOOKUP($A179,Tariff_Table,Tariff!$F$33)</f>
        <v>5.8416930293462954E-2</v>
      </c>
      <c r="N179" s="1481">
        <f t="shared" ca="1" si="37"/>
        <v>395.41499720280319</v>
      </c>
      <c r="O179" s="1480">
        <f ca="1">VLOOKUP($A179,Curves_Table,Escalation!$R$291)</f>
        <v>3.2074123543964816</v>
      </c>
      <c r="P179" s="1505">
        <f t="shared" ca="1" si="38"/>
        <v>1268.2589471419212</v>
      </c>
      <c r="R179" s="1506">
        <f t="shared" ca="1" si="39"/>
        <v>25868.64164653427</v>
      </c>
      <c r="S179" s="330">
        <f ca="1">'Plant Operations'!C179</f>
        <v>480</v>
      </c>
      <c r="T179" s="1481">
        <f t="shared" ca="1" si="40"/>
        <v>12416.94799033645</v>
      </c>
      <c r="U179" s="1504">
        <f t="shared" ca="1" si="41"/>
        <v>2.7741268179237619</v>
      </c>
      <c r="V179" s="384">
        <f t="shared" ca="1" si="42"/>
        <v>4475.9842665122496</v>
      </c>
      <c r="W179" s="692" t="str">
        <f t="shared" ca="1" si="30"/>
        <v xml:space="preserve"> </v>
      </c>
      <c r="Y179" s="1507">
        <f ca="1">IF($A179&gt;Endyr,0,VLOOKUP($A179,Tariff_Table,Tariff!$J$33))</f>
        <v>0.19</v>
      </c>
      <c r="Z179" s="1504">
        <f ca="1">VLOOKUP($A179,Curves_Table,Escalation!$AH$291)</f>
        <v>3.2074123543964816</v>
      </c>
      <c r="AA179" s="1504">
        <f t="shared" ca="1" si="43"/>
        <v>0.60940834733533156</v>
      </c>
      <c r="AB179" s="334">
        <f ca="1">'Plant Operations'!$I179+'Plant Operations'!$M179</f>
        <v>298980.864</v>
      </c>
      <c r="AC179" s="1481">
        <f t="shared" ca="1" si="31"/>
        <v>182.20143421512952</v>
      </c>
      <c r="AD179" s="1504">
        <f t="shared" ca="1" si="32"/>
        <v>2.7741268179237619</v>
      </c>
      <c r="AE179" s="335">
        <f t="shared" ca="1" si="44"/>
        <v>65.678841009689108</v>
      </c>
      <c r="AF179" s="698" t="str">
        <f t="shared" ca="1" si="33"/>
        <v xml:space="preserve"> </v>
      </c>
    </row>
    <row r="180" spans="1:32">
      <c r="A180" s="672">
        <f ca="1">'Plant Operations'!A180</f>
        <v>41365</v>
      </c>
      <c r="C180" s="1503">
        <f ca="1">IF($A180&gt;Endyr,0,VLOOKUP($A180,Tariff_Table,Tariff!$D$33))</f>
        <v>6768.8424437299027</v>
      </c>
      <c r="E180" s="691">
        <f ca="1">VLOOKUP($A180,Tariff_Table,Tariff!$E$33)</f>
        <v>0.94158306970653705</v>
      </c>
      <c r="F180" s="1481">
        <f t="shared" ca="1" si="34"/>
        <v>6373.4274465270992</v>
      </c>
      <c r="G180" s="1480">
        <f ca="1">VLOOKUP($A180,Curves_Table,Escalation!$N$291)</f>
        <v>1.4818086105109716</v>
      </c>
      <c r="H180" s="1481">
        <f t="shared" ca="1" si="35"/>
        <v>9444.199668730811</v>
      </c>
      <c r="I180" s="1504">
        <f ca="1">IF(Assm!$L$74=0,VLOOKUP($A180,Curves_Table,Escalation!$D$291),VLOOKUP($A180,Curves_Table,Escalation!$E$291))</f>
        <v>2.7787375794589648</v>
      </c>
      <c r="J180" s="1504">
        <f ca="1">IF($A180&lt;EE_Date,VLOOKUP($A180,Curves_Table,Escalation!$D$291),Exch)</f>
        <v>1.0649999999999999</v>
      </c>
      <c r="K180" s="1505">
        <f t="shared" ca="1" si="36"/>
        <v>24641.269978794568</v>
      </c>
      <c r="M180" s="691">
        <f ca="1">VLOOKUP($A180,Tariff_Table,Tariff!$F$33)</f>
        <v>5.8416930293462954E-2</v>
      </c>
      <c r="N180" s="1481">
        <f t="shared" ca="1" si="37"/>
        <v>395.41499720280319</v>
      </c>
      <c r="O180" s="1480">
        <f ca="1">VLOOKUP($A180,Curves_Table,Escalation!$R$291)</f>
        <v>3.2074123543964816</v>
      </c>
      <c r="P180" s="1505">
        <f t="shared" ca="1" si="38"/>
        <v>1268.2589471419212</v>
      </c>
      <c r="R180" s="1506">
        <f t="shared" ca="1" si="39"/>
        <v>25909.528925936487</v>
      </c>
      <c r="S180" s="330">
        <f ca="1">'Plant Operations'!C180</f>
        <v>480</v>
      </c>
      <c r="T180" s="1481">
        <f t="shared" ca="1" si="40"/>
        <v>12436.573884449514</v>
      </c>
      <c r="U180" s="1504">
        <f t="shared" ca="1" si="41"/>
        <v>2.7787375794589648</v>
      </c>
      <c r="V180" s="384">
        <f t="shared" ca="1" si="42"/>
        <v>4475.6201436160736</v>
      </c>
      <c r="W180" s="692" t="str">
        <f t="shared" ca="1" si="30"/>
        <v xml:space="preserve"> </v>
      </c>
      <c r="Y180" s="1507">
        <f ca="1">IF($A180&gt;Endyr,0,VLOOKUP($A180,Tariff_Table,Tariff!$J$33))</f>
        <v>0.19</v>
      </c>
      <c r="Z180" s="1504">
        <f ca="1">VLOOKUP($A180,Curves_Table,Escalation!$AH$291)</f>
        <v>3.2074123543964816</v>
      </c>
      <c r="AA180" s="1504">
        <f t="shared" ca="1" si="43"/>
        <v>0.60940834733533156</v>
      </c>
      <c r="AB180" s="334">
        <f ca="1">'Plant Operations'!$I180+'Plant Operations'!$M180</f>
        <v>289336.32000000001</v>
      </c>
      <c r="AC180" s="1481">
        <f t="shared" ca="1" si="31"/>
        <v>176.32396859528666</v>
      </c>
      <c r="AD180" s="1504">
        <f t="shared" ca="1" si="32"/>
        <v>2.7787375794589648</v>
      </c>
      <c r="AE180" s="335">
        <f t="shared" ca="1" si="44"/>
        <v>63.454703279184024</v>
      </c>
      <c r="AF180" s="698" t="str">
        <f t="shared" ca="1" si="33"/>
        <v xml:space="preserve"> </v>
      </c>
    </row>
    <row r="181" spans="1:32">
      <c r="A181" s="672">
        <f ca="1">'Plant Operations'!A181</f>
        <v>41395</v>
      </c>
      <c r="C181" s="1503">
        <f ca="1">IF($A181&gt;Endyr,0,VLOOKUP($A181,Tariff_Table,Tariff!$D$33))</f>
        <v>6530.3842049092846</v>
      </c>
      <c r="E181" s="691">
        <f ca="1">VLOOKUP($A181,Tariff_Table,Tariff!$E$33)</f>
        <v>0.93699994844419221</v>
      </c>
      <c r="F181" s="1481">
        <f t="shared" ca="1" si="34"/>
        <v>6118.9696633207668</v>
      </c>
      <c r="G181" s="1480">
        <f ca="1">VLOOKUP($A181,Curves_Table,Escalation!$N$291)</f>
        <v>1.5190107088932228</v>
      </c>
      <c r="H181" s="1481">
        <f t="shared" ca="1" si="35"/>
        <v>9294.7804459770032</v>
      </c>
      <c r="I181" s="1504">
        <f ca="1">IF(Assm!$L$74=0,VLOOKUP($A181,Curves_Table,Escalation!$D$291),VLOOKUP($A181,Curves_Table,Escalation!$E$291))</f>
        <v>2.7833560043503622</v>
      </c>
      <c r="J181" s="1504">
        <f ca="1">IF($A181&lt;EE_Date,VLOOKUP($A181,Curves_Table,Escalation!$D$291),Exch)</f>
        <v>1.0649999999999999</v>
      </c>
      <c r="K181" s="1505">
        <f t="shared" ca="1" si="36"/>
        <v>24291.721092421063</v>
      </c>
      <c r="M181" s="691">
        <f ca="1">VLOOKUP($A181,Tariff_Table,Tariff!$F$33)</f>
        <v>6.300005155580779E-2</v>
      </c>
      <c r="N181" s="1481">
        <f t="shared" ca="1" si="37"/>
        <v>411.41454158851781</v>
      </c>
      <c r="O181" s="1480">
        <f ca="1">VLOOKUP($A181,Curves_Table,Escalation!$R$291)</f>
        <v>3.4362064378571429</v>
      </c>
      <c r="P181" s="1505">
        <f t="shared" ca="1" si="38"/>
        <v>1413.70529643451</v>
      </c>
      <c r="R181" s="1506">
        <f t="shared" ca="1" si="39"/>
        <v>25705.426388855572</v>
      </c>
      <c r="S181" s="330">
        <f ca="1">'Plant Operations'!C181</f>
        <v>480</v>
      </c>
      <c r="T181" s="1481">
        <f t="shared" ca="1" si="40"/>
        <v>12338.604666650675</v>
      </c>
      <c r="U181" s="1504">
        <f t="shared" ca="1" si="41"/>
        <v>2.7833560043503622</v>
      </c>
      <c r="V181" s="384">
        <f t="shared" ca="1" si="42"/>
        <v>4432.995508790661</v>
      </c>
      <c r="W181" s="692" t="str">
        <f t="shared" ca="1" si="30"/>
        <v xml:space="preserve"> </v>
      </c>
      <c r="Y181" s="1507">
        <f ca="1">IF($A181&gt;Endyr,0,VLOOKUP($A181,Tariff_Table,Tariff!$J$33))</f>
        <v>0.19</v>
      </c>
      <c r="Z181" s="1504">
        <f ca="1">VLOOKUP($A181,Curves_Table,Escalation!$AH$291)</f>
        <v>3.4362064378571429</v>
      </c>
      <c r="AA181" s="1504">
        <f t="shared" ca="1" si="43"/>
        <v>0.65287922319285718</v>
      </c>
      <c r="AB181" s="334">
        <f ca="1">'Plant Operations'!$I181+'Plant Operations'!$M181</f>
        <v>298980.864</v>
      </c>
      <c r="AC181" s="1481">
        <f t="shared" ca="1" si="31"/>
        <v>195.19839423784927</v>
      </c>
      <c r="AD181" s="1504">
        <f t="shared" ca="1" si="32"/>
        <v>2.7833560043503622</v>
      </c>
      <c r="AE181" s="335">
        <f t="shared" ca="1" si="44"/>
        <v>70.13058837344407</v>
      </c>
      <c r="AF181" s="698" t="str">
        <f t="shared" ca="1" si="33"/>
        <v xml:space="preserve"> </v>
      </c>
    </row>
    <row r="182" spans="1:32">
      <c r="A182" s="672">
        <f ca="1">'Plant Operations'!A182</f>
        <v>41426</v>
      </c>
      <c r="C182" s="1503">
        <f ca="1">IF($A182&gt;Endyr,0,VLOOKUP($A182,Tariff_Table,Tariff!$D$33))</f>
        <v>6530.3842049092846</v>
      </c>
      <c r="E182" s="691">
        <f ca="1">VLOOKUP($A182,Tariff_Table,Tariff!$E$33)</f>
        <v>0.93699994844419221</v>
      </c>
      <c r="F182" s="1481">
        <f t="shared" ca="1" si="34"/>
        <v>6118.9696633207668</v>
      </c>
      <c r="G182" s="1480">
        <f ca="1">VLOOKUP($A182,Curves_Table,Escalation!$N$291)</f>
        <v>1.5190107088932228</v>
      </c>
      <c r="H182" s="1481">
        <f t="shared" ca="1" si="35"/>
        <v>9294.7804459770032</v>
      </c>
      <c r="I182" s="1504">
        <f ca="1">IF(Assm!$L$74=0,VLOOKUP($A182,Curves_Table,Escalation!$D$291),VLOOKUP($A182,Curves_Table,Escalation!$E$291))</f>
        <v>2.7879821053349021</v>
      </c>
      <c r="J182" s="1504">
        <f ca="1">IF($A182&lt;EE_Date,VLOOKUP($A182,Curves_Table,Escalation!$D$291),Exch)</f>
        <v>1.0649999999999999</v>
      </c>
      <c r="K182" s="1505">
        <f t="shared" ca="1" si="36"/>
        <v>24332.095358122675</v>
      </c>
      <c r="M182" s="691">
        <f ca="1">VLOOKUP($A182,Tariff_Table,Tariff!$F$33)</f>
        <v>6.300005155580779E-2</v>
      </c>
      <c r="N182" s="1481">
        <f t="shared" ca="1" si="37"/>
        <v>411.41454158851781</v>
      </c>
      <c r="O182" s="1480">
        <f ca="1">VLOOKUP($A182,Curves_Table,Escalation!$R$291)</f>
        <v>3.4362064378571429</v>
      </c>
      <c r="P182" s="1505">
        <f t="shared" ca="1" si="38"/>
        <v>1413.70529643451</v>
      </c>
      <c r="R182" s="1506">
        <f t="shared" ca="1" si="39"/>
        <v>25745.800654557184</v>
      </c>
      <c r="S182" s="330">
        <f ca="1">'Plant Operations'!C182</f>
        <v>480</v>
      </c>
      <c r="T182" s="1481">
        <f t="shared" ca="1" si="40"/>
        <v>12357.984314187448</v>
      </c>
      <c r="U182" s="1504">
        <f t="shared" ca="1" si="41"/>
        <v>2.7879821053349021</v>
      </c>
      <c r="V182" s="384">
        <f t="shared" ca="1" si="42"/>
        <v>4432.5909734284196</v>
      </c>
      <c r="W182" s="692" t="str">
        <f t="shared" ca="1" si="30"/>
        <v xml:space="preserve"> </v>
      </c>
      <c r="Y182" s="1507">
        <f ca="1">IF($A182&gt;Endyr,0,VLOOKUP($A182,Tariff_Table,Tariff!$J$33))</f>
        <v>0.19</v>
      </c>
      <c r="Z182" s="1504">
        <f ca="1">VLOOKUP($A182,Curves_Table,Escalation!$AH$291)</f>
        <v>3.4362064378571429</v>
      </c>
      <c r="AA182" s="1504">
        <f t="shared" ca="1" si="43"/>
        <v>0.65287922319285718</v>
      </c>
      <c r="AB182" s="334">
        <f ca="1">'Plant Operations'!$I182+'Plant Operations'!$M182</f>
        <v>289336.32000000001</v>
      </c>
      <c r="AC182" s="1481">
        <f t="shared" ca="1" si="31"/>
        <v>188.90167184307995</v>
      </c>
      <c r="AD182" s="1504">
        <f t="shared" ca="1" si="32"/>
        <v>2.7879821053349021</v>
      </c>
      <c r="AE182" s="335">
        <f t="shared" ca="1" si="44"/>
        <v>67.755697384717763</v>
      </c>
      <c r="AF182" s="698" t="str">
        <f t="shared" ca="1" si="33"/>
        <v xml:space="preserve"> </v>
      </c>
    </row>
    <row r="183" spans="1:32">
      <c r="A183" s="672">
        <f ca="1">'Plant Operations'!A183</f>
        <v>41456</v>
      </c>
      <c r="C183" s="1503">
        <f ca="1">IF($A183&gt;Endyr,0,VLOOKUP($A183,Tariff_Table,Tariff!$D$33))</f>
        <v>6530.3842049092846</v>
      </c>
      <c r="E183" s="691">
        <f ca="1">VLOOKUP($A183,Tariff_Table,Tariff!$E$33)</f>
        <v>0.93699994844419221</v>
      </c>
      <c r="F183" s="1481">
        <f t="shared" ca="1" si="34"/>
        <v>6118.9696633207668</v>
      </c>
      <c r="G183" s="1480">
        <f ca="1">VLOOKUP($A183,Curves_Table,Escalation!$N$291)</f>
        <v>1.5190107088932228</v>
      </c>
      <c r="H183" s="1481">
        <f t="shared" ca="1" si="35"/>
        <v>9294.7804459770032</v>
      </c>
      <c r="I183" s="1504">
        <f ca="1">IF(Assm!$L$74=0,VLOOKUP($A183,Curves_Table,Escalation!$D$291),VLOOKUP($A183,Curves_Table,Escalation!$E$291))</f>
        <v>2.7926158951707012</v>
      </c>
      <c r="J183" s="1504">
        <f ca="1">IF($A183&lt;EE_Date,VLOOKUP($A183,Curves_Table,Escalation!$D$291),Exch)</f>
        <v>1.0649999999999999</v>
      </c>
      <c r="K183" s="1505">
        <f t="shared" ca="1" si="36"/>
        <v>24372.536728222723</v>
      </c>
      <c r="M183" s="691">
        <f ca="1">VLOOKUP($A183,Tariff_Table,Tariff!$F$33)</f>
        <v>6.300005155580779E-2</v>
      </c>
      <c r="N183" s="1481">
        <f t="shared" ca="1" si="37"/>
        <v>411.41454158851781</v>
      </c>
      <c r="O183" s="1480">
        <f ca="1">VLOOKUP($A183,Curves_Table,Escalation!$R$291)</f>
        <v>3.4362064378571429</v>
      </c>
      <c r="P183" s="1505">
        <f t="shared" ca="1" si="38"/>
        <v>1413.70529643451</v>
      </c>
      <c r="R183" s="1506">
        <f t="shared" ca="1" si="39"/>
        <v>25786.242024657233</v>
      </c>
      <c r="S183" s="330">
        <f ca="1">'Plant Operations'!C183</f>
        <v>480</v>
      </c>
      <c r="T183" s="1481">
        <f t="shared" ca="1" si="40"/>
        <v>12377.396171835471</v>
      </c>
      <c r="U183" s="1504">
        <f t="shared" ca="1" si="41"/>
        <v>2.7926158951707012</v>
      </c>
      <c r="V183" s="384">
        <f t="shared" ca="1" si="42"/>
        <v>4432.1871093120353</v>
      </c>
      <c r="W183" s="692" t="str">
        <f t="shared" ca="1" si="30"/>
        <v xml:space="preserve"> </v>
      </c>
      <c r="Y183" s="1507">
        <f ca="1">IF($A183&gt;Endyr,0,VLOOKUP($A183,Tariff_Table,Tariff!$J$33))</f>
        <v>0.19</v>
      </c>
      <c r="Z183" s="1504">
        <f ca="1">VLOOKUP($A183,Curves_Table,Escalation!$AH$291)</f>
        <v>3.4362064378571429</v>
      </c>
      <c r="AA183" s="1504">
        <f t="shared" ca="1" si="43"/>
        <v>0.65287922319285718</v>
      </c>
      <c r="AB183" s="334">
        <f ca="1">'Plant Operations'!$I183+'Plant Operations'!$M183</f>
        <v>298980.864</v>
      </c>
      <c r="AC183" s="1481">
        <f t="shared" ca="1" si="31"/>
        <v>195.19839423784927</v>
      </c>
      <c r="AD183" s="1504">
        <f t="shared" ca="1" si="32"/>
        <v>2.7926158951707012</v>
      </c>
      <c r="AE183" s="335">
        <f t="shared" ca="1" si="44"/>
        <v>69.898045977396251</v>
      </c>
      <c r="AF183" s="698" t="str">
        <f t="shared" ca="1" si="33"/>
        <v xml:space="preserve"> </v>
      </c>
    </row>
    <row r="184" spans="1:32">
      <c r="A184" s="672">
        <f ca="1">'Plant Operations'!A184</f>
        <v>41487</v>
      </c>
      <c r="C184" s="1503">
        <f ca="1">IF($A184&gt;Endyr,0,VLOOKUP($A184,Tariff_Table,Tariff!$D$33))</f>
        <v>6530.3842049092846</v>
      </c>
      <c r="E184" s="691">
        <f ca="1">VLOOKUP($A184,Tariff_Table,Tariff!$E$33)</f>
        <v>0.93699994844419221</v>
      </c>
      <c r="F184" s="1481">
        <f t="shared" ca="1" si="34"/>
        <v>6118.9696633207668</v>
      </c>
      <c r="G184" s="1480">
        <f ca="1">VLOOKUP($A184,Curves_Table,Escalation!$N$291)</f>
        <v>1.5190107088932228</v>
      </c>
      <c r="H184" s="1481">
        <f t="shared" ca="1" si="35"/>
        <v>9294.7804459770032</v>
      </c>
      <c r="I184" s="1504">
        <f ca="1">IF(Assm!$L$74=0,VLOOKUP($A184,Curves_Table,Escalation!$D$291),VLOOKUP($A184,Curves_Table,Escalation!$E$291))</f>
        <v>2.7972573866370816</v>
      </c>
      <c r="J184" s="1504">
        <f ca="1">IF($A184&lt;EE_Date,VLOOKUP($A184,Curves_Table,Escalation!$D$291),Exch)</f>
        <v>1.0649999999999999</v>
      </c>
      <c r="K184" s="1505">
        <f t="shared" ca="1" si="36"/>
        <v>24413.04531425266</v>
      </c>
      <c r="M184" s="691">
        <f ca="1">VLOOKUP($A184,Tariff_Table,Tariff!$F$33)</f>
        <v>6.300005155580779E-2</v>
      </c>
      <c r="N184" s="1481">
        <f t="shared" ca="1" si="37"/>
        <v>411.41454158851781</v>
      </c>
      <c r="O184" s="1480">
        <f ca="1">VLOOKUP($A184,Curves_Table,Escalation!$R$291)</f>
        <v>3.4362064378571429</v>
      </c>
      <c r="P184" s="1505">
        <f t="shared" ca="1" si="38"/>
        <v>1413.70529643451</v>
      </c>
      <c r="R184" s="1506">
        <f t="shared" ca="1" si="39"/>
        <v>25826.75061068717</v>
      </c>
      <c r="S184" s="330">
        <f ca="1">'Plant Operations'!C184</f>
        <v>480</v>
      </c>
      <c r="T184" s="1481">
        <f t="shared" ca="1" si="40"/>
        <v>12396.840293129841</v>
      </c>
      <c r="U184" s="1504">
        <f t="shared" ca="1" si="41"/>
        <v>2.7972573866370816</v>
      </c>
      <c r="V184" s="384">
        <f t="shared" ca="1" si="42"/>
        <v>4431.7839153277091</v>
      </c>
      <c r="W184" s="692" t="str">
        <f t="shared" ca="1" si="30"/>
        <v xml:space="preserve"> </v>
      </c>
      <c r="Y184" s="1507">
        <f ca="1">IF($A184&gt;Endyr,0,VLOOKUP($A184,Tariff_Table,Tariff!$J$33))</f>
        <v>0.19</v>
      </c>
      <c r="Z184" s="1504">
        <f ca="1">VLOOKUP($A184,Curves_Table,Escalation!$AH$291)</f>
        <v>3.4362064378571429</v>
      </c>
      <c r="AA184" s="1504">
        <f t="shared" ca="1" si="43"/>
        <v>0.65287922319285718</v>
      </c>
      <c r="AB184" s="334">
        <f ca="1">'Plant Operations'!$I184+'Plant Operations'!$M184</f>
        <v>298980.864</v>
      </c>
      <c r="AC184" s="1481">
        <f t="shared" ca="1" si="31"/>
        <v>195.19839423784927</v>
      </c>
      <c r="AD184" s="1504">
        <f t="shared" ca="1" si="32"/>
        <v>2.7972573866370816</v>
      </c>
      <c r="AE184" s="335">
        <f t="shared" ca="1" si="44"/>
        <v>69.782064092614903</v>
      </c>
      <c r="AF184" s="698" t="str">
        <f t="shared" ca="1" si="33"/>
        <v xml:space="preserve"> </v>
      </c>
    </row>
    <row r="185" spans="1:32">
      <c r="A185" s="672">
        <f ca="1">'Plant Operations'!A185</f>
        <v>41518</v>
      </c>
      <c r="C185" s="1503">
        <f ca="1">IF($A185&gt;Endyr,0,VLOOKUP($A185,Tariff_Table,Tariff!$D$33))</f>
        <v>6530.3842049092846</v>
      </c>
      <c r="E185" s="691">
        <f ca="1">VLOOKUP($A185,Tariff_Table,Tariff!$E$33)</f>
        <v>0.93699994844419221</v>
      </c>
      <c r="F185" s="1481">
        <f t="shared" ca="1" si="34"/>
        <v>6118.9696633207668</v>
      </c>
      <c r="G185" s="1480">
        <f ca="1">VLOOKUP($A185,Curves_Table,Escalation!$N$291)</f>
        <v>1.5190107088932228</v>
      </c>
      <c r="H185" s="1481">
        <f t="shared" ca="1" si="35"/>
        <v>9294.7804459770032</v>
      </c>
      <c r="I185" s="1504">
        <f ca="1">IF(Assm!$L$74=0,VLOOKUP($A185,Curves_Table,Escalation!$D$291),VLOOKUP($A185,Curves_Table,Escalation!$E$291))</f>
        <v>2.8019065925346047</v>
      </c>
      <c r="J185" s="1504">
        <f ca="1">IF($A185&lt;EE_Date,VLOOKUP($A185,Curves_Table,Escalation!$D$291),Exch)</f>
        <v>1.0649999999999999</v>
      </c>
      <c r="K185" s="1505">
        <f t="shared" ca="1" si="36"/>
        <v>24453.621227929296</v>
      </c>
      <c r="M185" s="691">
        <f ca="1">VLOOKUP($A185,Tariff_Table,Tariff!$F$33)</f>
        <v>6.300005155580779E-2</v>
      </c>
      <c r="N185" s="1481">
        <f t="shared" ca="1" si="37"/>
        <v>411.41454158851781</v>
      </c>
      <c r="O185" s="1480">
        <f ca="1">VLOOKUP($A185,Curves_Table,Escalation!$R$291)</f>
        <v>3.4362064378571429</v>
      </c>
      <c r="P185" s="1505">
        <f t="shared" ca="1" si="38"/>
        <v>1413.70529643451</v>
      </c>
      <c r="R185" s="1506">
        <f t="shared" ca="1" si="39"/>
        <v>25867.326524363805</v>
      </c>
      <c r="S185" s="330">
        <f ca="1">'Plant Operations'!C185</f>
        <v>480</v>
      </c>
      <c r="T185" s="1481">
        <f t="shared" ca="1" si="40"/>
        <v>12416.316731694626</v>
      </c>
      <c r="U185" s="1504">
        <f t="shared" ca="1" si="41"/>
        <v>2.8019065925346047</v>
      </c>
      <c r="V185" s="384">
        <f t="shared" ca="1" si="42"/>
        <v>4431.38139036349</v>
      </c>
      <c r="W185" s="692" t="str">
        <f t="shared" ca="1" si="30"/>
        <v xml:space="preserve"> </v>
      </c>
      <c r="Y185" s="1507">
        <f ca="1">IF($A185&gt;Endyr,0,VLOOKUP($A185,Tariff_Table,Tariff!$J$33))</f>
        <v>0.19</v>
      </c>
      <c r="Z185" s="1504">
        <f ca="1">VLOOKUP($A185,Curves_Table,Escalation!$AH$291)</f>
        <v>3.4362064378571429</v>
      </c>
      <c r="AA185" s="1504">
        <f t="shared" ca="1" si="43"/>
        <v>0.65287922319285718</v>
      </c>
      <c r="AB185" s="334">
        <f ca="1">'Plant Operations'!$I185+'Plant Operations'!$M185</f>
        <v>289336.32000000001</v>
      </c>
      <c r="AC185" s="1481">
        <f t="shared" ca="1" si="31"/>
        <v>188.90167184307995</v>
      </c>
      <c r="AD185" s="1504">
        <f t="shared" ca="1" si="32"/>
        <v>2.8019065925346047</v>
      </c>
      <c r="AE185" s="335">
        <f t="shared" ca="1" si="44"/>
        <v>67.418975474196486</v>
      </c>
      <c r="AF185" s="698" t="str">
        <f t="shared" ca="1" si="33"/>
        <v xml:space="preserve"> </v>
      </c>
    </row>
    <row r="186" spans="1:32">
      <c r="A186" s="672">
        <f ca="1">'Plant Operations'!A186</f>
        <v>41548</v>
      </c>
      <c r="C186" s="1503">
        <f ca="1">IF($A186&gt;Endyr,0,VLOOKUP($A186,Tariff_Table,Tariff!$D$33))</f>
        <v>6530.3842049092846</v>
      </c>
      <c r="E186" s="691">
        <f ca="1">VLOOKUP($A186,Tariff_Table,Tariff!$E$33)</f>
        <v>0.93699994844419221</v>
      </c>
      <c r="F186" s="1481">
        <f t="shared" ca="1" si="34"/>
        <v>6118.9696633207668</v>
      </c>
      <c r="G186" s="1480">
        <f ca="1">VLOOKUP($A186,Curves_Table,Escalation!$N$291)</f>
        <v>1.5190107088932228</v>
      </c>
      <c r="H186" s="1481">
        <f t="shared" ca="1" si="35"/>
        <v>9294.7804459770032</v>
      </c>
      <c r="I186" s="1504">
        <f ca="1">IF(Assm!$L$74=0,VLOOKUP($A186,Curves_Table,Escalation!$D$291),VLOOKUP($A186,Curves_Table,Escalation!$E$291))</f>
        <v>2.8065635256851085</v>
      </c>
      <c r="J186" s="1504">
        <f ca="1">IF($A186&lt;EE_Date,VLOOKUP($A186,Curves_Table,Escalation!$D$291),Exch)</f>
        <v>1.0649999999999999</v>
      </c>
      <c r="K186" s="1505">
        <f t="shared" ca="1" si="36"/>
        <v>24494.264581155137</v>
      </c>
      <c r="M186" s="691">
        <f ca="1">VLOOKUP($A186,Tariff_Table,Tariff!$F$33)</f>
        <v>6.300005155580779E-2</v>
      </c>
      <c r="N186" s="1481">
        <f t="shared" ca="1" si="37"/>
        <v>411.41454158851781</v>
      </c>
      <c r="O186" s="1480">
        <f ca="1">VLOOKUP($A186,Curves_Table,Escalation!$R$291)</f>
        <v>3.4362064378571429</v>
      </c>
      <c r="P186" s="1505">
        <f t="shared" ca="1" si="38"/>
        <v>1413.70529643451</v>
      </c>
      <c r="R186" s="1506">
        <f t="shared" ca="1" si="39"/>
        <v>25907.969877589647</v>
      </c>
      <c r="S186" s="330">
        <f ca="1">'Plant Operations'!C186</f>
        <v>480</v>
      </c>
      <c r="T186" s="1481">
        <f t="shared" ca="1" si="40"/>
        <v>12435.82554124303</v>
      </c>
      <c r="U186" s="1504">
        <f t="shared" ca="1" si="41"/>
        <v>2.8065635256851085</v>
      </c>
      <c r="V186" s="384">
        <f t="shared" ca="1" si="42"/>
        <v>4430.9795333092734</v>
      </c>
      <c r="W186" s="692" t="str">
        <f t="shared" ca="1" si="30"/>
        <v xml:space="preserve"> </v>
      </c>
      <c r="Y186" s="1507">
        <f ca="1">IF($A186&gt;Endyr,0,VLOOKUP($A186,Tariff_Table,Tariff!$J$33))</f>
        <v>0.19</v>
      </c>
      <c r="Z186" s="1504">
        <f ca="1">VLOOKUP($A186,Curves_Table,Escalation!$AH$291)</f>
        <v>3.4362064378571429</v>
      </c>
      <c r="AA186" s="1504">
        <f t="shared" ca="1" si="43"/>
        <v>0.65287922319285718</v>
      </c>
      <c r="AB186" s="334">
        <f ca="1">'Plant Operations'!$I186+'Plant Operations'!$M186</f>
        <v>298980.864</v>
      </c>
      <c r="AC186" s="1481">
        <f t="shared" ca="1" si="31"/>
        <v>195.19839423784927</v>
      </c>
      <c r="AD186" s="1504">
        <f t="shared" ca="1" si="32"/>
        <v>2.8065635256851085</v>
      </c>
      <c r="AE186" s="335">
        <f t="shared" ca="1" si="44"/>
        <v>69.550677350230117</v>
      </c>
      <c r="AF186" s="698" t="str">
        <f t="shared" ca="1" si="33"/>
        <v xml:space="preserve"> </v>
      </c>
    </row>
    <row r="187" spans="1:32">
      <c r="A187" s="672">
        <f ca="1">'Plant Operations'!A187</f>
        <v>41579</v>
      </c>
      <c r="C187" s="1503">
        <f ca="1">IF($A187&gt;Endyr,0,VLOOKUP($A187,Tariff_Table,Tariff!$D$33))</f>
        <v>6530.3842049092846</v>
      </c>
      <c r="E187" s="691">
        <f ca="1">VLOOKUP($A187,Tariff_Table,Tariff!$E$33)</f>
        <v>0.93699994844419221</v>
      </c>
      <c r="F187" s="1481">
        <f t="shared" ca="1" si="34"/>
        <v>6118.9696633207668</v>
      </c>
      <c r="G187" s="1480">
        <f ca="1">VLOOKUP($A187,Curves_Table,Escalation!$N$291)</f>
        <v>1.5190107088932228</v>
      </c>
      <c r="H187" s="1481">
        <f t="shared" ca="1" si="35"/>
        <v>9294.7804459770032</v>
      </c>
      <c r="I187" s="1504">
        <f ca="1">IF(Assm!$L$74=0,VLOOKUP($A187,Curves_Table,Escalation!$D$291),VLOOKUP($A187,Curves_Table,Escalation!$E$291))</f>
        <v>2.8112281989317403</v>
      </c>
      <c r="J187" s="1504">
        <f ca="1">IF($A187&lt;EE_Date,VLOOKUP($A187,Curves_Table,Escalation!$D$291),Exch)</f>
        <v>1.0649999999999999</v>
      </c>
      <c r="K187" s="1505">
        <f t="shared" ca="1" si="36"/>
        <v>24534.975486018677</v>
      </c>
      <c r="M187" s="691">
        <f ca="1">VLOOKUP($A187,Tariff_Table,Tariff!$F$33)</f>
        <v>6.300005155580779E-2</v>
      </c>
      <c r="N187" s="1481">
        <f t="shared" ca="1" si="37"/>
        <v>411.41454158851781</v>
      </c>
      <c r="O187" s="1480">
        <f ca="1">VLOOKUP($A187,Curves_Table,Escalation!$R$291)</f>
        <v>3.4362064378571429</v>
      </c>
      <c r="P187" s="1505">
        <f t="shared" ca="1" si="38"/>
        <v>1413.70529643451</v>
      </c>
      <c r="R187" s="1506">
        <f t="shared" ca="1" si="39"/>
        <v>25948.680782453186</v>
      </c>
      <c r="S187" s="330">
        <f ca="1">'Plant Operations'!C187</f>
        <v>480</v>
      </c>
      <c r="T187" s="1481">
        <f t="shared" ca="1" si="40"/>
        <v>12455.36677557753</v>
      </c>
      <c r="U187" s="1504">
        <f t="shared" ca="1" si="41"/>
        <v>2.8112281989317403</v>
      </c>
      <c r="V187" s="384">
        <f t="shared" ca="1" si="42"/>
        <v>4430.5783430567953</v>
      </c>
      <c r="W187" s="692" t="str">
        <f t="shared" ca="1" si="30"/>
        <v xml:space="preserve"> </v>
      </c>
      <c r="Y187" s="1507">
        <f ca="1">IF($A187&gt;Endyr,0,VLOOKUP($A187,Tariff_Table,Tariff!$J$33))</f>
        <v>0.19</v>
      </c>
      <c r="Z187" s="1504">
        <f ca="1">VLOOKUP($A187,Curves_Table,Escalation!$AH$291)</f>
        <v>3.4362064378571429</v>
      </c>
      <c r="AA187" s="1504">
        <f t="shared" ca="1" si="43"/>
        <v>0.65287922319285718</v>
      </c>
      <c r="AB187" s="334">
        <f ca="1">'Plant Operations'!$I187+'Plant Operations'!$M187</f>
        <v>289336.32000000001</v>
      </c>
      <c r="AC187" s="1481">
        <f t="shared" ca="1" si="31"/>
        <v>188.90167184307995</v>
      </c>
      <c r="AD187" s="1504">
        <f t="shared" ca="1" si="32"/>
        <v>2.8112281989317403</v>
      </c>
      <c r="AE187" s="335">
        <f t="shared" ca="1" si="44"/>
        <v>67.195424375318282</v>
      </c>
      <c r="AF187" s="698" t="str">
        <f t="shared" ca="1" si="33"/>
        <v xml:space="preserve"> </v>
      </c>
    </row>
    <row r="188" spans="1:32">
      <c r="A188" s="672">
        <f ca="1">'Plant Operations'!A188</f>
        <v>41609</v>
      </c>
      <c r="C188" s="1503">
        <f ca="1">IF($A188&gt;Endyr,0,VLOOKUP($A188,Tariff_Table,Tariff!$D$33))</f>
        <v>6530.3842049092846</v>
      </c>
      <c r="E188" s="691">
        <f ca="1">VLOOKUP($A188,Tariff_Table,Tariff!$E$33)</f>
        <v>0.93699994844419221</v>
      </c>
      <c r="F188" s="1481">
        <f t="shared" ca="1" si="34"/>
        <v>6118.9696633207668</v>
      </c>
      <c r="G188" s="1480">
        <f ca="1">VLOOKUP($A188,Curves_Table,Escalation!$N$291)</f>
        <v>1.5190107088932228</v>
      </c>
      <c r="H188" s="1481">
        <f t="shared" ca="1" si="35"/>
        <v>9294.7804459770032</v>
      </c>
      <c r="I188" s="1504">
        <f ca="1">IF(Assm!$L$74=0,VLOOKUP($A188,Curves_Table,Escalation!$D$291),VLOOKUP($A188,Curves_Table,Escalation!$E$291))</f>
        <v>2.8159006251389909</v>
      </c>
      <c r="J188" s="1504">
        <f ca="1">IF($A188&lt;EE_Date,VLOOKUP($A188,Curves_Table,Escalation!$D$291),Exch)</f>
        <v>1.0649999999999999</v>
      </c>
      <c r="K188" s="1505">
        <f t="shared" ca="1" si="36"/>
        <v>24575.754054794659</v>
      </c>
      <c r="M188" s="691">
        <f ca="1">VLOOKUP($A188,Tariff_Table,Tariff!$F$33)</f>
        <v>6.300005155580779E-2</v>
      </c>
      <c r="N188" s="1481">
        <f t="shared" ca="1" si="37"/>
        <v>411.41454158851781</v>
      </c>
      <c r="O188" s="1480">
        <f ca="1">VLOOKUP($A188,Curves_Table,Escalation!$R$291)</f>
        <v>3.4362064378571429</v>
      </c>
      <c r="P188" s="1505">
        <f t="shared" ca="1" si="38"/>
        <v>1413.70529643451</v>
      </c>
      <c r="R188" s="1506">
        <f t="shared" ca="1" si="39"/>
        <v>25989.459351229169</v>
      </c>
      <c r="S188" s="330">
        <f ca="1">'Plant Operations'!C188</f>
        <v>480</v>
      </c>
      <c r="T188" s="1481">
        <f t="shared" ca="1" si="40"/>
        <v>12474.94048859</v>
      </c>
      <c r="U188" s="1504">
        <f t="shared" ca="1" si="41"/>
        <v>2.8159006251389909</v>
      </c>
      <c r="V188" s="384">
        <f t="shared" ca="1" si="42"/>
        <v>4430.1778184996301</v>
      </c>
      <c r="W188" s="692">
        <f t="shared" ca="1" si="30"/>
        <v>53357.342325709695</v>
      </c>
      <c r="Y188" s="1507">
        <f ca="1">IF($A188&gt;Endyr,0,VLOOKUP($A188,Tariff_Table,Tariff!$J$33))</f>
        <v>0.19</v>
      </c>
      <c r="Z188" s="1504">
        <f ca="1">VLOOKUP($A188,Curves_Table,Escalation!$AH$291)</f>
        <v>3.4362064378571429</v>
      </c>
      <c r="AA188" s="1504">
        <f t="shared" ca="1" si="43"/>
        <v>0.65287922319285718</v>
      </c>
      <c r="AB188" s="334">
        <f ca="1">'Plant Operations'!$I188+'Plant Operations'!$M188</f>
        <v>298980.864</v>
      </c>
      <c r="AC188" s="1481">
        <f t="shared" ca="1" si="31"/>
        <v>195.19839423784927</v>
      </c>
      <c r="AD188" s="1504">
        <f t="shared" ca="1" si="32"/>
        <v>2.8159006251389909</v>
      </c>
      <c r="AE188" s="335">
        <f t="shared" ca="1" si="44"/>
        <v>69.320057851194377</v>
      </c>
      <c r="AF188" s="698">
        <f t="shared" ca="1" si="33"/>
        <v>805.50384393810873</v>
      </c>
    </row>
    <row r="189" spans="1:32">
      <c r="A189" s="672">
        <f ca="1">'Plant Operations'!A189</f>
        <v>41640</v>
      </c>
      <c r="C189" s="1503">
        <f ca="1">IF($A189&gt;Endyr,0,VLOOKUP($A189,Tariff_Table,Tariff!$D$33))</f>
        <v>6530.3842049092846</v>
      </c>
      <c r="E189" s="691">
        <f ca="1">VLOOKUP($A189,Tariff_Table,Tariff!$E$33)</f>
        <v>0.93699994844419221</v>
      </c>
      <c r="F189" s="1481">
        <f t="shared" ca="1" si="34"/>
        <v>6118.9696633207668</v>
      </c>
      <c r="G189" s="1480">
        <f ca="1">VLOOKUP($A189,Curves_Table,Escalation!$N$291)</f>
        <v>1.5190107088932228</v>
      </c>
      <c r="H189" s="1481">
        <f t="shared" ca="1" si="35"/>
        <v>9294.7804459770032</v>
      </c>
      <c r="I189" s="1504">
        <f ca="1">IF(Assm!$L$74=0,VLOOKUP($A189,Curves_Table,Escalation!$D$291),VLOOKUP($A189,Curves_Table,Escalation!$E$291))</f>
        <v>2.8205502274907825</v>
      </c>
      <c r="J189" s="1504">
        <f ca="1">IF($A189&lt;EE_Date,VLOOKUP($A189,Curves_Table,Escalation!$D$291),Exch)</f>
        <v>1.0649999999999999</v>
      </c>
      <c r="K189" s="1505">
        <f t="shared" ca="1" si="36"/>
        <v>24616.333428523303</v>
      </c>
      <c r="M189" s="691">
        <f ca="1">VLOOKUP($A189,Tariff_Table,Tariff!$F$33)</f>
        <v>6.300005155580779E-2</v>
      </c>
      <c r="N189" s="1481">
        <f t="shared" ca="1" si="37"/>
        <v>411.41454158851781</v>
      </c>
      <c r="O189" s="1480">
        <f ca="1">VLOOKUP($A189,Curves_Table,Escalation!$R$291)</f>
        <v>3.4362064378571429</v>
      </c>
      <c r="P189" s="1505">
        <f t="shared" ca="1" si="38"/>
        <v>1413.70529643451</v>
      </c>
      <c r="R189" s="1506">
        <f t="shared" ca="1" si="39"/>
        <v>26030.038724957813</v>
      </c>
      <c r="S189" s="330">
        <f ca="1">'Plant Operations'!C189</f>
        <v>480</v>
      </c>
      <c r="T189" s="1481">
        <f t="shared" ca="1" si="40"/>
        <v>12494.418587979751</v>
      </c>
      <c r="U189" s="1504">
        <f t="shared" ca="1" si="41"/>
        <v>2.8205502274907825</v>
      </c>
      <c r="V189" s="384">
        <f t="shared" ca="1" si="42"/>
        <v>4429.7805677068318</v>
      </c>
      <c r="W189" s="692" t="str">
        <f t="shared" ca="1" si="30"/>
        <v xml:space="preserve"> </v>
      </c>
      <c r="Y189" s="1507">
        <f ca="1">IF($A189&gt;Endyr,0,VLOOKUP($A189,Tariff_Table,Tariff!$J$33))</f>
        <v>0.19</v>
      </c>
      <c r="Z189" s="1504">
        <f ca="1">VLOOKUP($A189,Curves_Table,Escalation!$AH$291)</f>
        <v>3.4362064378571429</v>
      </c>
      <c r="AA189" s="1504">
        <f t="shared" ca="1" si="43"/>
        <v>0.65287922319285718</v>
      </c>
      <c r="AB189" s="334">
        <f ca="1">'Plant Operations'!$I189+'Plant Operations'!$M189</f>
        <v>298980.864</v>
      </c>
      <c r="AC189" s="1481">
        <f t="shared" ca="1" si="31"/>
        <v>195.19839423784927</v>
      </c>
      <c r="AD189" s="1504">
        <f t="shared" ca="1" si="32"/>
        <v>2.8205502274907825</v>
      </c>
      <c r="AE189" s="335">
        <f t="shared" ca="1" si="44"/>
        <v>69.205785571668983</v>
      </c>
      <c r="AF189" s="698" t="str">
        <f t="shared" ca="1" si="33"/>
        <v xml:space="preserve"> </v>
      </c>
    </row>
    <row r="190" spans="1:32">
      <c r="A190" s="672">
        <f ca="1">'Plant Operations'!A190</f>
        <v>41671</v>
      </c>
      <c r="C190" s="1503">
        <f ca="1">IF($A190&gt;Endyr,0,VLOOKUP($A190,Tariff_Table,Tariff!$D$33))</f>
        <v>6530.3842049092846</v>
      </c>
      <c r="E190" s="691">
        <f ca="1">VLOOKUP($A190,Tariff_Table,Tariff!$E$33)</f>
        <v>0.93699994844419221</v>
      </c>
      <c r="F190" s="1481">
        <f t="shared" ca="1" si="34"/>
        <v>6118.9696633207668</v>
      </c>
      <c r="G190" s="1480">
        <f ca="1">VLOOKUP($A190,Curves_Table,Escalation!$N$291)</f>
        <v>1.5190107088932228</v>
      </c>
      <c r="H190" s="1481">
        <f t="shared" ca="1" si="35"/>
        <v>9294.7804459770032</v>
      </c>
      <c r="I190" s="1504">
        <f ca="1">IF(Assm!$L$74=0,VLOOKUP($A190,Curves_Table,Escalation!$D$291),VLOOKUP($A190,Curves_Table,Escalation!$E$291))</f>
        <v>2.8252075072449077</v>
      </c>
      <c r="J190" s="1504">
        <f ca="1">IF($A190&lt;EE_Date,VLOOKUP($A190,Curves_Table,Escalation!$D$291),Exch)</f>
        <v>1.0649999999999999</v>
      </c>
      <c r="K190" s="1505">
        <f t="shared" ca="1" si="36"/>
        <v>24656.979806729953</v>
      </c>
      <c r="M190" s="691">
        <f ca="1">VLOOKUP($A190,Tariff_Table,Tariff!$F$33)</f>
        <v>6.300005155580779E-2</v>
      </c>
      <c r="N190" s="1481">
        <f t="shared" ca="1" si="37"/>
        <v>411.41454158851781</v>
      </c>
      <c r="O190" s="1480">
        <f ca="1">VLOOKUP($A190,Curves_Table,Escalation!$R$291)</f>
        <v>3.4362064378571429</v>
      </c>
      <c r="P190" s="1505">
        <f t="shared" ca="1" si="38"/>
        <v>1413.70529643451</v>
      </c>
      <c r="R190" s="1506">
        <f t="shared" ca="1" si="39"/>
        <v>26070.685103164462</v>
      </c>
      <c r="S190" s="330">
        <f ca="1">'Plant Operations'!C190</f>
        <v>480</v>
      </c>
      <c r="T190" s="1481">
        <f t="shared" ca="1" si="40"/>
        <v>12513.928849518941</v>
      </c>
      <c r="U190" s="1504">
        <f t="shared" ca="1" si="41"/>
        <v>2.8252075072449077</v>
      </c>
      <c r="V190" s="384">
        <f t="shared" ca="1" si="42"/>
        <v>4429.3839717714409</v>
      </c>
      <c r="W190" s="692" t="str">
        <f t="shared" ca="1" si="30"/>
        <v xml:space="preserve"> </v>
      </c>
      <c r="Y190" s="1507">
        <f ca="1">IF($A190&gt;Endyr,0,VLOOKUP($A190,Tariff_Table,Tariff!$J$33))</f>
        <v>0.19</v>
      </c>
      <c r="Z190" s="1504">
        <f ca="1">VLOOKUP($A190,Curves_Table,Escalation!$AH$291)</f>
        <v>3.4362064378571429</v>
      </c>
      <c r="AA190" s="1504">
        <f t="shared" ca="1" si="43"/>
        <v>0.65287922319285718</v>
      </c>
      <c r="AB190" s="334">
        <f ca="1">'Plant Operations'!$I190+'Plant Operations'!$M190</f>
        <v>270047.23200000002</v>
      </c>
      <c r="AC190" s="1481">
        <f t="shared" ca="1" si="31"/>
        <v>176.30822705354129</v>
      </c>
      <c r="AD190" s="1504">
        <f t="shared" ca="1" si="32"/>
        <v>2.8252075072449077</v>
      </c>
      <c r="AE190" s="335">
        <f t="shared" ca="1" si="44"/>
        <v>62.405407957263272</v>
      </c>
      <c r="AF190" s="698" t="str">
        <f t="shared" ca="1" si="33"/>
        <v xml:space="preserve"> </v>
      </c>
    </row>
    <row r="191" spans="1:32">
      <c r="A191" s="672">
        <f ca="1">'Plant Operations'!A191</f>
        <v>41699</v>
      </c>
      <c r="C191" s="1503">
        <f ca="1">IF($A191&gt;Endyr,0,VLOOKUP($A191,Tariff_Table,Tariff!$D$33))</f>
        <v>6530.3842049092846</v>
      </c>
      <c r="E191" s="691">
        <f ca="1">VLOOKUP($A191,Tariff_Table,Tariff!$E$33)</f>
        <v>0.93699994844419221</v>
      </c>
      <c r="F191" s="1481">
        <f t="shared" ca="1" si="34"/>
        <v>6118.9696633207668</v>
      </c>
      <c r="G191" s="1480">
        <f ca="1">VLOOKUP($A191,Curves_Table,Escalation!$N$291)</f>
        <v>1.5190107088932228</v>
      </c>
      <c r="H191" s="1481">
        <f t="shared" ca="1" si="35"/>
        <v>9294.7804459770032</v>
      </c>
      <c r="I191" s="1504">
        <f ca="1">IF(Assm!$L$74=0,VLOOKUP($A191,Curves_Table,Escalation!$D$291),VLOOKUP($A191,Curves_Table,Escalation!$E$291))</f>
        <v>2.8298724770782577</v>
      </c>
      <c r="J191" s="1504">
        <f ca="1">IF($A191&lt;EE_Date,VLOOKUP($A191,Curves_Table,Escalation!$D$291),Exch)</f>
        <v>1.0649999999999999</v>
      </c>
      <c r="K191" s="1505">
        <f t="shared" ca="1" si="36"/>
        <v>24697.693300052109</v>
      </c>
      <c r="M191" s="691">
        <f ca="1">VLOOKUP($A191,Tariff_Table,Tariff!$F$33)</f>
        <v>6.300005155580779E-2</v>
      </c>
      <c r="N191" s="1481">
        <f t="shared" ca="1" si="37"/>
        <v>411.41454158851781</v>
      </c>
      <c r="O191" s="1480">
        <f ca="1">VLOOKUP($A191,Curves_Table,Escalation!$R$291)</f>
        <v>3.4362064378571429</v>
      </c>
      <c r="P191" s="1505">
        <f t="shared" ca="1" si="38"/>
        <v>1413.70529643451</v>
      </c>
      <c r="R191" s="1506">
        <f t="shared" ca="1" si="39"/>
        <v>26111.398596486619</v>
      </c>
      <c r="S191" s="330">
        <f ca="1">'Plant Operations'!C191</f>
        <v>480</v>
      </c>
      <c r="T191" s="1481">
        <f t="shared" ca="1" si="40"/>
        <v>12533.471326313578</v>
      </c>
      <c r="U191" s="1504">
        <f t="shared" ca="1" si="41"/>
        <v>2.8298724770782577</v>
      </c>
      <c r="V191" s="384">
        <f t="shared" ca="1" si="42"/>
        <v>4428.988029613949</v>
      </c>
      <c r="W191" s="692" t="str">
        <f t="shared" ca="1" si="30"/>
        <v xml:space="preserve"> </v>
      </c>
      <c r="Y191" s="1507">
        <f ca="1">IF($A191&gt;Endyr,0,VLOOKUP($A191,Tariff_Table,Tariff!$J$33))</f>
        <v>0.19</v>
      </c>
      <c r="Z191" s="1504">
        <f ca="1">VLOOKUP($A191,Curves_Table,Escalation!$AH$291)</f>
        <v>3.4362064378571429</v>
      </c>
      <c r="AA191" s="1504">
        <f t="shared" ca="1" si="43"/>
        <v>0.65287922319285718</v>
      </c>
      <c r="AB191" s="334">
        <f ca="1">'Plant Operations'!$I191+'Plant Operations'!$M191</f>
        <v>298980.864</v>
      </c>
      <c r="AC191" s="1481">
        <f t="shared" ca="1" si="31"/>
        <v>195.19839423784927</v>
      </c>
      <c r="AD191" s="1504">
        <f t="shared" ca="1" si="32"/>
        <v>2.8298724770782577</v>
      </c>
      <c r="AE191" s="335">
        <f t="shared" ca="1" si="44"/>
        <v>68.977805826566666</v>
      </c>
      <c r="AF191" s="698" t="str">
        <f t="shared" ca="1" si="33"/>
        <v xml:space="preserve"> </v>
      </c>
    </row>
    <row r="192" spans="1:32">
      <c r="A192" s="672">
        <f ca="1">'Plant Operations'!A192</f>
        <v>41730</v>
      </c>
      <c r="C192" s="1503">
        <f ca="1">IF($A192&gt;Endyr,0,VLOOKUP($A192,Tariff_Table,Tariff!$D$33))</f>
        <v>6530.3842049092846</v>
      </c>
      <c r="E192" s="691">
        <f ca="1">VLOOKUP($A192,Tariff_Table,Tariff!$E$33)</f>
        <v>0.93699994844419221</v>
      </c>
      <c r="F192" s="1481">
        <f t="shared" ca="1" si="34"/>
        <v>6118.9696633207668</v>
      </c>
      <c r="G192" s="1480">
        <f ca="1">VLOOKUP($A192,Curves_Table,Escalation!$N$291)</f>
        <v>1.5190107088932228</v>
      </c>
      <c r="H192" s="1481">
        <f t="shared" ca="1" si="35"/>
        <v>9294.7804459770032</v>
      </c>
      <c r="I192" s="1504">
        <f ca="1">IF(Assm!$L$74=0,VLOOKUP($A192,Curves_Table,Escalation!$D$291),VLOOKUP($A192,Curves_Table,Escalation!$E$291))</f>
        <v>2.8345451496886573</v>
      </c>
      <c r="J192" s="1504">
        <f ca="1">IF($A192&lt;EE_Date,VLOOKUP($A192,Curves_Table,Escalation!$D$291),Exch)</f>
        <v>1.0649999999999999</v>
      </c>
      <c r="K192" s="1505">
        <f t="shared" ca="1" si="36"/>
        <v>24738.474019309946</v>
      </c>
      <c r="M192" s="691">
        <f ca="1">VLOOKUP($A192,Tariff_Table,Tariff!$F$33)</f>
        <v>6.300005155580779E-2</v>
      </c>
      <c r="N192" s="1481">
        <f t="shared" ca="1" si="37"/>
        <v>411.41454158851781</v>
      </c>
      <c r="O192" s="1480">
        <f ca="1">VLOOKUP($A192,Curves_Table,Escalation!$R$291)</f>
        <v>3.4362064378571429</v>
      </c>
      <c r="P192" s="1505">
        <f t="shared" ca="1" si="38"/>
        <v>1413.70529643451</v>
      </c>
      <c r="R192" s="1506">
        <f t="shared" ca="1" si="39"/>
        <v>26152.179315744455</v>
      </c>
      <c r="S192" s="330">
        <f ca="1">'Plant Operations'!C192</f>
        <v>480</v>
      </c>
      <c r="T192" s="1481">
        <f t="shared" ca="1" si="40"/>
        <v>12553.046071557339</v>
      </c>
      <c r="U192" s="1504">
        <f t="shared" ca="1" si="41"/>
        <v>2.8345451496886573</v>
      </c>
      <c r="V192" s="384">
        <f t="shared" ca="1" si="42"/>
        <v>4428.5927401566169</v>
      </c>
      <c r="W192" s="692" t="str">
        <f t="shared" ca="1" si="30"/>
        <v xml:space="preserve"> </v>
      </c>
      <c r="Y192" s="1507">
        <f ca="1">IF($A192&gt;Endyr,0,VLOOKUP($A192,Tariff_Table,Tariff!$J$33))</f>
        <v>0.19</v>
      </c>
      <c r="Z192" s="1504">
        <f ca="1">VLOOKUP($A192,Curves_Table,Escalation!$AH$291)</f>
        <v>3.4362064378571429</v>
      </c>
      <c r="AA192" s="1504">
        <f t="shared" ca="1" si="43"/>
        <v>0.65287922319285718</v>
      </c>
      <c r="AB192" s="334">
        <f ca="1">'Plant Operations'!$I192+'Plant Operations'!$M192</f>
        <v>289336.32000000001</v>
      </c>
      <c r="AC192" s="1481">
        <f t="shared" ca="1" si="31"/>
        <v>188.90167184307995</v>
      </c>
      <c r="AD192" s="1504">
        <f t="shared" ca="1" si="32"/>
        <v>2.8345451496886573</v>
      </c>
      <c r="AE192" s="335">
        <f t="shared" ca="1" si="44"/>
        <v>66.642675232683686</v>
      </c>
      <c r="AF192" s="698" t="str">
        <f t="shared" ca="1" si="33"/>
        <v xml:space="preserve"> </v>
      </c>
    </row>
    <row r="193" spans="1:32">
      <c r="A193" s="672">
        <f ca="1">'Plant Operations'!A193</f>
        <v>41760</v>
      </c>
      <c r="C193" s="1503">
        <f ca="1">IF($A193&gt;Endyr,0,VLOOKUP($A193,Tariff_Table,Tariff!$D$33))</f>
        <v>4167.6561693340209</v>
      </c>
      <c r="E193" s="691">
        <f ca="1">VLOOKUP($A193,Tariff_Table,Tariff!$E$33)</f>
        <v>0.90905219590648423</v>
      </c>
      <c r="F193" s="1481">
        <f t="shared" ca="1" si="34"/>
        <v>3788.6169925162981</v>
      </c>
      <c r="G193" s="1480">
        <f ca="1">VLOOKUP($A193,Curves_Table,Escalation!$N$291)</f>
        <v>1.5573978315409176</v>
      </c>
      <c r="H193" s="1481">
        <f t="shared" ca="1" si="35"/>
        <v>5900.3838886839558</v>
      </c>
      <c r="I193" s="1504">
        <f ca="1">IF(Assm!$L$74=0,VLOOKUP($A193,Curves_Table,Escalation!$D$291),VLOOKUP($A193,Curves_Table,Escalation!$E$291))</f>
        <v>2.8392255377948965</v>
      </c>
      <c r="J193" s="1504">
        <f ca="1">IF($A193&lt;EE_Date,VLOOKUP($A193,Curves_Table,Escalation!$D$291),Exch)</f>
        <v>1.0649999999999999</v>
      </c>
      <c r="K193" s="1505">
        <f t="shared" ca="1" si="36"/>
        <v>15730.066309431972</v>
      </c>
      <c r="M193" s="691">
        <f ca="1">VLOOKUP($A193,Tariff_Table,Tariff!$F$33)</f>
        <v>9.0947804093515772E-2</v>
      </c>
      <c r="N193" s="1481">
        <f t="shared" ca="1" si="37"/>
        <v>379.03917681772293</v>
      </c>
      <c r="O193" s="1480">
        <f ca="1">VLOOKUP($A193,Curves_Table,Escalation!$R$291)</f>
        <v>3.6767408885071422</v>
      </c>
      <c r="P193" s="1505">
        <f t="shared" ca="1" si="38"/>
        <v>1393.6288397518103</v>
      </c>
      <c r="R193" s="1506">
        <f t="shared" ca="1" si="39"/>
        <v>17123.695149183783</v>
      </c>
      <c r="S193" s="330">
        <f ca="1">'Plant Operations'!C193</f>
        <v>480</v>
      </c>
      <c r="T193" s="1481">
        <f t="shared" ca="1" si="40"/>
        <v>8219.3736716082149</v>
      </c>
      <c r="U193" s="1504">
        <f t="shared" ca="1" si="41"/>
        <v>2.8392255377948965</v>
      </c>
      <c r="V193" s="384">
        <f t="shared" ca="1" si="42"/>
        <v>2894.9351019122792</v>
      </c>
      <c r="W193" s="692" t="str">
        <f t="shared" ca="1" si="30"/>
        <v xml:space="preserve"> </v>
      </c>
      <c r="Y193" s="1507">
        <f ca="1">IF($A193&gt;Endyr,0,VLOOKUP($A193,Tariff_Table,Tariff!$J$33))</f>
        <v>0.19</v>
      </c>
      <c r="Z193" s="1504">
        <f ca="1">VLOOKUP($A193,Curves_Table,Escalation!$AH$291)</f>
        <v>3.6767408885071422</v>
      </c>
      <c r="AA193" s="1504">
        <f t="shared" ca="1" si="43"/>
        <v>0.698580768816357</v>
      </c>
      <c r="AB193" s="334">
        <f ca="1">'Plant Operations'!$I193+'Plant Operations'!$M193</f>
        <v>298980.864</v>
      </c>
      <c r="AC193" s="1481">
        <f t="shared" ca="1" si="31"/>
        <v>208.86228183449867</v>
      </c>
      <c r="AD193" s="1504">
        <f t="shared" ca="1" si="32"/>
        <v>2.8392255377948965</v>
      </c>
      <c r="AE193" s="335">
        <f t="shared" ca="1" si="44"/>
        <v>73.563117496017227</v>
      </c>
      <c r="AF193" s="698" t="str">
        <f t="shared" ca="1" si="33"/>
        <v xml:space="preserve"> </v>
      </c>
    </row>
    <row r="194" spans="1:32">
      <c r="A194" s="672">
        <f ca="1">'Plant Operations'!A194</f>
        <v>41791</v>
      </c>
      <c r="C194" s="1503">
        <f ca="1">IF($A194&gt;Endyr,0,VLOOKUP($A194,Tariff_Table,Tariff!$D$33))</f>
        <v>4167.6561693340209</v>
      </c>
      <c r="E194" s="691">
        <f ca="1">VLOOKUP($A194,Tariff_Table,Tariff!$E$33)</f>
        <v>0.90905219590648423</v>
      </c>
      <c r="F194" s="1481">
        <f t="shared" ca="1" si="34"/>
        <v>3788.6169925162981</v>
      </c>
      <c r="G194" s="1480">
        <f ca="1">VLOOKUP($A194,Curves_Table,Escalation!$N$291)</f>
        <v>1.5573978315409176</v>
      </c>
      <c r="H194" s="1481">
        <f t="shared" ca="1" si="35"/>
        <v>5900.3838886839558</v>
      </c>
      <c r="I194" s="1504">
        <f ca="1">IF(Assm!$L$74=0,VLOOKUP($A194,Curves_Table,Escalation!$D$291),VLOOKUP($A194,Curves_Table,Escalation!$E$291))</f>
        <v>2.8439136541367671</v>
      </c>
      <c r="J194" s="1504">
        <f ca="1">IF($A194&lt;EE_Date,VLOOKUP($A194,Curves_Table,Escalation!$D$291),Exch)</f>
        <v>1.0649999999999999</v>
      </c>
      <c r="K194" s="1505">
        <f t="shared" ca="1" si="36"/>
        <v>15756.039723640279</v>
      </c>
      <c r="M194" s="691">
        <f ca="1">VLOOKUP($A194,Tariff_Table,Tariff!$F$33)</f>
        <v>9.0947804093515772E-2</v>
      </c>
      <c r="N194" s="1481">
        <f t="shared" ca="1" si="37"/>
        <v>379.03917681772293</v>
      </c>
      <c r="O194" s="1480">
        <f ca="1">VLOOKUP($A194,Curves_Table,Escalation!$R$291)</f>
        <v>3.6767408885071422</v>
      </c>
      <c r="P194" s="1505">
        <f t="shared" ca="1" si="38"/>
        <v>1393.6288397518103</v>
      </c>
      <c r="R194" s="1506">
        <f t="shared" ca="1" si="39"/>
        <v>17149.66856339209</v>
      </c>
      <c r="S194" s="330">
        <f ca="1">'Plant Operations'!C194</f>
        <v>480</v>
      </c>
      <c r="T194" s="1481">
        <f t="shared" ca="1" si="40"/>
        <v>8231.8409104282018</v>
      </c>
      <c r="U194" s="1504">
        <f t="shared" ca="1" si="41"/>
        <v>2.8439136541367671</v>
      </c>
      <c r="V194" s="384">
        <f t="shared" ca="1" si="42"/>
        <v>2894.5467097617875</v>
      </c>
      <c r="W194" s="692" t="str">
        <f t="shared" ca="1" si="30"/>
        <v xml:space="preserve"> </v>
      </c>
      <c r="Y194" s="1507">
        <f ca="1">IF($A194&gt;Endyr,0,VLOOKUP($A194,Tariff_Table,Tariff!$J$33))</f>
        <v>0.19</v>
      </c>
      <c r="Z194" s="1504">
        <f ca="1">VLOOKUP($A194,Curves_Table,Escalation!$AH$291)</f>
        <v>3.6767408885071422</v>
      </c>
      <c r="AA194" s="1504">
        <f t="shared" ca="1" si="43"/>
        <v>0.698580768816357</v>
      </c>
      <c r="AB194" s="334">
        <f ca="1">'Plant Operations'!$I194+'Plant Operations'!$M194</f>
        <v>289336.32000000001</v>
      </c>
      <c r="AC194" s="1481">
        <f t="shared" ca="1" si="31"/>
        <v>202.12478887209551</v>
      </c>
      <c r="AD194" s="1504">
        <f t="shared" ca="1" si="32"/>
        <v>2.8439136541367671</v>
      </c>
      <c r="AE194" s="335">
        <f t="shared" ca="1" si="44"/>
        <v>71.072758688747129</v>
      </c>
      <c r="AF194" s="698" t="str">
        <f t="shared" ca="1" si="33"/>
        <v xml:space="preserve"> </v>
      </c>
    </row>
    <row r="195" spans="1:32">
      <c r="A195" s="672">
        <f ca="1">'Plant Operations'!A195</f>
        <v>41821</v>
      </c>
      <c r="C195" s="1503">
        <f ca="1">IF($A195&gt;Endyr,0,VLOOKUP($A195,Tariff_Table,Tariff!$D$33))</f>
        <v>4167.6561693340209</v>
      </c>
      <c r="E195" s="691">
        <f ca="1">VLOOKUP($A195,Tariff_Table,Tariff!$E$33)</f>
        <v>0.90905219590648423</v>
      </c>
      <c r="F195" s="1481">
        <f t="shared" ca="1" si="34"/>
        <v>3788.6169925162981</v>
      </c>
      <c r="G195" s="1480">
        <f ca="1">VLOOKUP($A195,Curves_Table,Escalation!$N$291)</f>
        <v>1.5573978315409176</v>
      </c>
      <c r="H195" s="1481">
        <f t="shared" ca="1" si="35"/>
        <v>5900.3838886839558</v>
      </c>
      <c r="I195" s="1504">
        <f ca="1">IF(Assm!$L$74=0,VLOOKUP($A195,Curves_Table,Escalation!$D$291),VLOOKUP($A195,Curves_Table,Escalation!$E$291))</f>
        <v>2.8486095114750971</v>
      </c>
      <c r="J195" s="1504">
        <f ca="1">IF($A195&lt;EE_Date,VLOOKUP($A195,Curves_Table,Escalation!$D$291),Exch)</f>
        <v>1.0649999999999999</v>
      </c>
      <c r="K195" s="1505">
        <f t="shared" ca="1" si="36"/>
        <v>15782.056025032429</v>
      </c>
      <c r="M195" s="691">
        <f ca="1">VLOOKUP($A195,Tariff_Table,Tariff!$F$33)</f>
        <v>9.0947804093515772E-2</v>
      </c>
      <c r="N195" s="1481">
        <f t="shared" ca="1" si="37"/>
        <v>379.03917681772293</v>
      </c>
      <c r="O195" s="1480">
        <f ca="1">VLOOKUP($A195,Curves_Table,Escalation!$R$291)</f>
        <v>3.6767408885071422</v>
      </c>
      <c r="P195" s="1505">
        <f t="shared" ca="1" si="38"/>
        <v>1393.6288397518103</v>
      </c>
      <c r="R195" s="1506">
        <f t="shared" ca="1" si="39"/>
        <v>17175.684864784238</v>
      </c>
      <c r="S195" s="330">
        <f ca="1">'Plant Operations'!C195</f>
        <v>480</v>
      </c>
      <c r="T195" s="1481">
        <f t="shared" ca="1" si="40"/>
        <v>8244.3287350964347</v>
      </c>
      <c r="U195" s="1504">
        <f t="shared" ca="1" si="41"/>
        <v>2.8486095114750971</v>
      </c>
      <c r="V195" s="384">
        <f t="shared" ca="1" si="42"/>
        <v>2894.1589578654707</v>
      </c>
      <c r="W195" s="692" t="str">
        <f t="shared" ca="1" si="30"/>
        <v xml:space="preserve"> </v>
      </c>
      <c r="Y195" s="1507">
        <f ca="1">IF($A195&gt;Endyr,0,VLOOKUP($A195,Tariff_Table,Tariff!$J$33))</f>
        <v>0.19</v>
      </c>
      <c r="Z195" s="1504">
        <f ca="1">VLOOKUP($A195,Curves_Table,Escalation!$AH$291)</f>
        <v>3.6767408885071422</v>
      </c>
      <c r="AA195" s="1504">
        <f t="shared" ca="1" si="43"/>
        <v>0.698580768816357</v>
      </c>
      <c r="AB195" s="334">
        <f ca="1">'Plant Operations'!$I195+'Plant Operations'!$M195</f>
        <v>298980.864</v>
      </c>
      <c r="AC195" s="1481">
        <f t="shared" ca="1" si="31"/>
        <v>208.86228183449867</v>
      </c>
      <c r="AD195" s="1504">
        <f t="shared" ca="1" si="32"/>
        <v>2.8486095114750971</v>
      </c>
      <c r="AE195" s="335">
        <f t="shared" ca="1" si="44"/>
        <v>73.320783699252416</v>
      </c>
      <c r="AF195" s="698" t="str">
        <f t="shared" ca="1" si="33"/>
        <v xml:space="preserve"> </v>
      </c>
    </row>
    <row r="196" spans="1:32">
      <c r="A196" s="672">
        <f ca="1">'Plant Operations'!A196</f>
        <v>41852</v>
      </c>
      <c r="C196" s="1503">
        <f ca="1">IF($A196&gt;Endyr,0,VLOOKUP($A196,Tariff_Table,Tariff!$D$33))</f>
        <v>4167.6561693340209</v>
      </c>
      <c r="E196" s="691">
        <f ca="1">VLOOKUP($A196,Tariff_Table,Tariff!$E$33)</f>
        <v>0.90905219590648423</v>
      </c>
      <c r="F196" s="1481">
        <f t="shared" ca="1" si="34"/>
        <v>3788.6169925162981</v>
      </c>
      <c r="G196" s="1480">
        <f ca="1">VLOOKUP($A196,Curves_Table,Escalation!$N$291)</f>
        <v>1.5573978315409176</v>
      </c>
      <c r="H196" s="1481">
        <f t="shared" ca="1" si="35"/>
        <v>5900.3838886839558</v>
      </c>
      <c r="I196" s="1504">
        <f ca="1">IF(Assm!$L$74=0,VLOOKUP($A196,Curves_Table,Escalation!$D$291),VLOOKUP($A196,Curves_Table,Escalation!$E$291))</f>
        <v>2.8533131225917847</v>
      </c>
      <c r="J196" s="1504">
        <f ca="1">IF($A196&lt;EE_Date,VLOOKUP($A196,Curves_Table,Escalation!$D$291),Exch)</f>
        <v>1.0649999999999999</v>
      </c>
      <c r="K196" s="1505">
        <f t="shared" ca="1" si="36"/>
        <v>15808.115284423546</v>
      </c>
      <c r="M196" s="691">
        <f ca="1">VLOOKUP($A196,Tariff_Table,Tariff!$F$33)</f>
        <v>9.0947804093515772E-2</v>
      </c>
      <c r="N196" s="1481">
        <f t="shared" ca="1" si="37"/>
        <v>379.03917681772293</v>
      </c>
      <c r="O196" s="1480">
        <f ca="1">VLOOKUP($A196,Curves_Table,Escalation!$R$291)</f>
        <v>3.6767408885071422</v>
      </c>
      <c r="P196" s="1505">
        <f t="shared" ca="1" si="38"/>
        <v>1393.6288397518103</v>
      </c>
      <c r="R196" s="1506">
        <f t="shared" ca="1" si="39"/>
        <v>17201.744124175355</v>
      </c>
      <c r="S196" s="330">
        <f ca="1">'Plant Operations'!C196</f>
        <v>480</v>
      </c>
      <c r="T196" s="1481">
        <f t="shared" ca="1" si="40"/>
        <v>8256.8371796041702</v>
      </c>
      <c r="U196" s="1504">
        <f t="shared" ca="1" si="41"/>
        <v>2.8533131225917847</v>
      </c>
      <c r="V196" s="384">
        <f t="shared" ca="1" si="42"/>
        <v>2893.7718451678857</v>
      </c>
      <c r="W196" s="692" t="str">
        <f t="shared" ca="1" si="30"/>
        <v xml:space="preserve"> </v>
      </c>
      <c r="Y196" s="1507">
        <f ca="1">IF($A196&gt;Endyr,0,VLOOKUP($A196,Tariff_Table,Tariff!$J$33))</f>
        <v>0.19</v>
      </c>
      <c r="Z196" s="1504">
        <f ca="1">VLOOKUP($A196,Curves_Table,Escalation!$AH$291)</f>
        <v>3.6767408885071422</v>
      </c>
      <c r="AA196" s="1504">
        <f t="shared" ca="1" si="43"/>
        <v>0.698580768816357</v>
      </c>
      <c r="AB196" s="334">
        <f ca="1">'Plant Operations'!$I196+'Plant Operations'!$M196</f>
        <v>298980.864</v>
      </c>
      <c r="AC196" s="1481">
        <f t="shared" ca="1" si="31"/>
        <v>208.86228183449867</v>
      </c>
      <c r="AD196" s="1504">
        <f t="shared" ca="1" si="32"/>
        <v>2.8533131225917847</v>
      </c>
      <c r="AE196" s="335">
        <f t="shared" ca="1" si="44"/>
        <v>73.199916329119972</v>
      </c>
      <c r="AF196" s="698" t="str">
        <f t="shared" ca="1" si="33"/>
        <v xml:space="preserve"> </v>
      </c>
    </row>
    <row r="197" spans="1:32">
      <c r="A197" s="672">
        <f ca="1">'Plant Operations'!A197</f>
        <v>41883</v>
      </c>
      <c r="C197" s="1503">
        <f ca="1">IF($A197&gt;Endyr,0,VLOOKUP($A197,Tariff_Table,Tariff!$D$33))</f>
        <v>4167.6561693340209</v>
      </c>
      <c r="E197" s="691">
        <f ca="1">VLOOKUP($A197,Tariff_Table,Tariff!$E$33)</f>
        <v>0.90905219590648423</v>
      </c>
      <c r="F197" s="1481">
        <f t="shared" ca="1" si="34"/>
        <v>3788.6169925162981</v>
      </c>
      <c r="G197" s="1480">
        <f ca="1">VLOOKUP($A197,Curves_Table,Escalation!$N$291)</f>
        <v>1.5573978315409176</v>
      </c>
      <c r="H197" s="1481">
        <f t="shared" ca="1" si="35"/>
        <v>5900.3838886839558</v>
      </c>
      <c r="I197" s="1504">
        <f ca="1">IF(Assm!$L$74=0,VLOOKUP($A197,Curves_Table,Escalation!$D$291),VLOOKUP($A197,Curves_Table,Escalation!$E$291))</f>
        <v>2.8580245002898335</v>
      </c>
      <c r="J197" s="1504">
        <f ca="1">IF($A197&lt;EE_Date,VLOOKUP($A197,Curves_Table,Escalation!$D$291),Exch)</f>
        <v>1.0649999999999999</v>
      </c>
      <c r="K197" s="1505">
        <f t="shared" ca="1" si="36"/>
        <v>15834.217572745678</v>
      </c>
      <c r="M197" s="691">
        <f ca="1">VLOOKUP($A197,Tariff_Table,Tariff!$F$33)</f>
        <v>9.0947804093515772E-2</v>
      </c>
      <c r="N197" s="1481">
        <f t="shared" ca="1" si="37"/>
        <v>379.03917681772293</v>
      </c>
      <c r="O197" s="1480">
        <f ca="1">VLOOKUP($A197,Curves_Table,Escalation!$R$291)</f>
        <v>3.6767408885071422</v>
      </c>
      <c r="P197" s="1505">
        <f t="shared" ca="1" si="38"/>
        <v>1393.6288397518103</v>
      </c>
      <c r="R197" s="1506">
        <f t="shared" ca="1" si="39"/>
        <v>17227.846412497489</v>
      </c>
      <c r="S197" s="330">
        <f ca="1">'Plant Operations'!C197</f>
        <v>480</v>
      </c>
      <c r="T197" s="1481">
        <f t="shared" ca="1" si="40"/>
        <v>8269.3662779987953</v>
      </c>
      <c r="U197" s="1504">
        <f t="shared" ca="1" si="41"/>
        <v>2.8580245002898335</v>
      </c>
      <c r="V197" s="384">
        <f t="shared" ca="1" si="42"/>
        <v>2893.3853706153309</v>
      </c>
      <c r="W197" s="692" t="str">
        <f t="shared" ca="1" si="30"/>
        <v xml:space="preserve"> </v>
      </c>
      <c r="Y197" s="1507">
        <f ca="1">IF($A197&gt;Endyr,0,VLOOKUP($A197,Tariff_Table,Tariff!$J$33))</f>
        <v>0.19</v>
      </c>
      <c r="Z197" s="1504">
        <f ca="1">VLOOKUP($A197,Curves_Table,Escalation!$AH$291)</f>
        <v>3.6767408885071422</v>
      </c>
      <c r="AA197" s="1504">
        <f t="shared" ca="1" si="43"/>
        <v>0.698580768816357</v>
      </c>
      <c r="AB197" s="334">
        <f ca="1">'Plant Operations'!$I197+'Plant Operations'!$M197</f>
        <v>289336.32000000001</v>
      </c>
      <c r="AC197" s="1481">
        <f t="shared" ca="1" si="31"/>
        <v>202.12478887209551</v>
      </c>
      <c r="AD197" s="1504">
        <f t="shared" ca="1" si="32"/>
        <v>2.8580245002898335</v>
      </c>
      <c r="AE197" s="335">
        <f t="shared" ca="1" si="44"/>
        <v>70.721853102238256</v>
      </c>
      <c r="AF197" s="698" t="str">
        <f t="shared" ca="1" si="33"/>
        <v xml:space="preserve"> </v>
      </c>
    </row>
    <row r="198" spans="1:32">
      <c r="A198" s="672">
        <f ca="1">'Plant Operations'!A198</f>
        <v>41913</v>
      </c>
      <c r="C198" s="1503">
        <f ca="1">IF($A198&gt;Endyr,0,VLOOKUP($A198,Tariff_Table,Tariff!$D$33))</f>
        <v>4167.6561693340209</v>
      </c>
      <c r="E198" s="691">
        <f ca="1">VLOOKUP($A198,Tariff_Table,Tariff!$E$33)</f>
        <v>0.90905219590648423</v>
      </c>
      <c r="F198" s="1481">
        <f t="shared" ca="1" si="34"/>
        <v>3788.6169925162981</v>
      </c>
      <c r="G198" s="1480">
        <f ca="1">VLOOKUP($A198,Curves_Table,Escalation!$N$291)</f>
        <v>1.5573978315409176</v>
      </c>
      <c r="H198" s="1481">
        <f t="shared" ca="1" si="35"/>
        <v>5900.3838886839558</v>
      </c>
      <c r="I198" s="1504">
        <f ca="1">IF(Assm!$L$74=0,VLOOKUP($A198,Curves_Table,Escalation!$D$291),VLOOKUP($A198,Curves_Table,Escalation!$E$291))</f>
        <v>2.8627436573933873</v>
      </c>
      <c r="J198" s="1504">
        <f ca="1">IF($A198&lt;EE_Date,VLOOKUP($A198,Curves_Table,Escalation!$D$291),Exch)</f>
        <v>1.0649999999999999</v>
      </c>
      <c r="K198" s="1505">
        <f t="shared" ca="1" si="36"/>
        <v>15860.362961048006</v>
      </c>
      <c r="M198" s="691">
        <f ca="1">VLOOKUP($A198,Tariff_Table,Tariff!$F$33)</f>
        <v>9.0947804093515772E-2</v>
      </c>
      <c r="N198" s="1481">
        <f t="shared" ca="1" si="37"/>
        <v>379.03917681772293</v>
      </c>
      <c r="O198" s="1480">
        <f ca="1">VLOOKUP($A198,Curves_Table,Escalation!$R$291)</f>
        <v>3.6767408885071422</v>
      </c>
      <c r="P198" s="1505">
        <f t="shared" ca="1" si="38"/>
        <v>1393.6288397518103</v>
      </c>
      <c r="R198" s="1506">
        <f t="shared" ca="1" si="39"/>
        <v>17253.991800799817</v>
      </c>
      <c r="S198" s="330">
        <f ca="1">'Plant Operations'!C198</f>
        <v>480</v>
      </c>
      <c r="T198" s="1481">
        <f t="shared" ca="1" si="40"/>
        <v>8281.9160643839114</v>
      </c>
      <c r="U198" s="1504">
        <f t="shared" ca="1" si="41"/>
        <v>2.8627436573933873</v>
      </c>
      <c r="V198" s="384">
        <f t="shared" ca="1" si="42"/>
        <v>2892.9995331558398</v>
      </c>
      <c r="W198" s="692" t="str">
        <f t="shared" ca="1" si="30"/>
        <v xml:space="preserve"> </v>
      </c>
      <c r="Y198" s="1507">
        <f ca="1">IF($A198&gt;Endyr,0,VLOOKUP($A198,Tariff_Table,Tariff!$J$33))</f>
        <v>0.19</v>
      </c>
      <c r="Z198" s="1504">
        <f ca="1">VLOOKUP($A198,Curves_Table,Escalation!$AH$291)</f>
        <v>3.6767408885071422</v>
      </c>
      <c r="AA198" s="1504">
        <f t="shared" ca="1" si="43"/>
        <v>0.698580768816357</v>
      </c>
      <c r="AB198" s="334">
        <f ca="1">'Plant Operations'!$I198+'Plant Operations'!$M198</f>
        <v>298980.864</v>
      </c>
      <c r="AC198" s="1481">
        <f t="shared" ca="1" si="31"/>
        <v>208.86228183449867</v>
      </c>
      <c r="AD198" s="1504">
        <f t="shared" ca="1" si="32"/>
        <v>2.8627436573933873</v>
      </c>
      <c r="AE198" s="335">
        <f t="shared" ca="1" si="44"/>
        <v>72.958779000378243</v>
      </c>
      <c r="AF198" s="698" t="str">
        <f t="shared" ca="1" si="33"/>
        <v xml:space="preserve"> </v>
      </c>
    </row>
    <row r="199" spans="1:32">
      <c r="A199" s="672">
        <f ca="1">'Plant Operations'!A199</f>
        <v>41944</v>
      </c>
      <c r="C199" s="1503">
        <f ca="1">IF($A199&gt;Endyr,0,VLOOKUP($A199,Tariff_Table,Tariff!$D$33))</f>
        <v>4167.6561693340209</v>
      </c>
      <c r="E199" s="691">
        <f ca="1">VLOOKUP($A199,Tariff_Table,Tariff!$E$33)</f>
        <v>0.90905219590648423</v>
      </c>
      <c r="F199" s="1481">
        <f t="shared" ca="1" si="34"/>
        <v>3788.6169925162981</v>
      </c>
      <c r="G199" s="1480">
        <f ca="1">VLOOKUP($A199,Curves_Table,Escalation!$N$291)</f>
        <v>1.5573978315409176</v>
      </c>
      <c r="H199" s="1481">
        <f t="shared" ca="1" si="35"/>
        <v>5900.3838886839558</v>
      </c>
      <c r="I199" s="1504">
        <f ca="1">IF(Assm!$L$74=0,VLOOKUP($A199,Curves_Table,Escalation!$D$291),VLOOKUP($A199,Curves_Table,Escalation!$E$291))</f>
        <v>2.8674706067477653</v>
      </c>
      <c r="J199" s="1504">
        <f ca="1">IF($A199&lt;EE_Date,VLOOKUP($A199,Curves_Table,Escalation!$D$291),Exch)</f>
        <v>1.0649999999999999</v>
      </c>
      <c r="K199" s="1505">
        <f t="shared" ca="1" si="36"/>
        <v>15886.551520497016</v>
      </c>
      <c r="M199" s="691">
        <f ca="1">VLOOKUP($A199,Tariff_Table,Tariff!$F$33)</f>
        <v>9.0947804093515772E-2</v>
      </c>
      <c r="N199" s="1481">
        <f t="shared" ca="1" si="37"/>
        <v>379.03917681772293</v>
      </c>
      <c r="O199" s="1480">
        <f ca="1">VLOOKUP($A199,Curves_Table,Escalation!$R$291)</f>
        <v>3.6767408885071422</v>
      </c>
      <c r="P199" s="1505">
        <f t="shared" ca="1" si="38"/>
        <v>1393.6288397518103</v>
      </c>
      <c r="R199" s="1506">
        <f t="shared" ca="1" si="39"/>
        <v>17280.180360248825</v>
      </c>
      <c r="S199" s="330">
        <f ca="1">'Plant Operations'!C199</f>
        <v>480</v>
      </c>
      <c r="T199" s="1481">
        <f t="shared" ca="1" si="40"/>
        <v>8294.4865729194353</v>
      </c>
      <c r="U199" s="1504">
        <f t="shared" ca="1" si="41"/>
        <v>2.8674706067477653</v>
      </c>
      <c r="V199" s="384">
        <f t="shared" ca="1" si="42"/>
        <v>2892.6143317391825</v>
      </c>
      <c r="W199" s="692" t="str">
        <f t="shared" ca="1" si="30"/>
        <v xml:space="preserve"> </v>
      </c>
      <c r="Y199" s="1507">
        <f ca="1">IF($A199&gt;Endyr,0,VLOOKUP($A199,Tariff_Table,Tariff!$J$33))</f>
        <v>0.19</v>
      </c>
      <c r="Z199" s="1504">
        <f ca="1">VLOOKUP($A199,Curves_Table,Escalation!$AH$291)</f>
        <v>3.6767408885071422</v>
      </c>
      <c r="AA199" s="1504">
        <f t="shared" ca="1" si="43"/>
        <v>0.698580768816357</v>
      </c>
      <c r="AB199" s="334">
        <f ca="1">'Plant Operations'!$I199+'Plant Operations'!$M199</f>
        <v>289336.32000000001</v>
      </c>
      <c r="AC199" s="1481">
        <f t="shared" ca="1" si="31"/>
        <v>202.12478887209551</v>
      </c>
      <c r="AD199" s="1504">
        <f t="shared" ca="1" si="32"/>
        <v>2.8674706067477653</v>
      </c>
      <c r="AE199" s="335">
        <f t="shared" ca="1" si="44"/>
        <v>70.488879082649731</v>
      </c>
      <c r="AF199" s="698" t="str">
        <f t="shared" ca="1" si="33"/>
        <v xml:space="preserve"> </v>
      </c>
    </row>
    <row r="200" spans="1:32">
      <c r="A200" s="672">
        <f ca="1">'Plant Operations'!A200</f>
        <v>41974</v>
      </c>
      <c r="C200" s="1503">
        <f ca="1">IF($A200&gt;Endyr,0,VLOOKUP($A200,Tariff_Table,Tariff!$D$33))</f>
        <v>4167.6561693340209</v>
      </c>
      <c r="E200" s="691">
        <f ca="1">VLOOKUP($A200,Tariff_Table,Tariff!$E$33)</f>
        <v>0.90905219590648423</v>
      </c>
      <c r="F200" s="1481">
        <f t="shared" ca="1" si="34"/>
        <v>3788.6169925162981</v>
      </c>
      <c r="G200" s="1480">
        <f ca="1">VLOOKUP($A200,Curves_Table,Escalation!$N$291)</f>
        <v>1.5573978315409176</v>
      </c>
      <c r="H200" s="1481">
        <f t="shared" ca="1" si="35"/>
        <v>5900.3838886839558</v>
      </c>
      <c r="I200" s="1504">
        <f ca="1">IF(Assm!$L$74=0,VLOOKUP($A200,Curves_Table,Escalation!$D$291),VLOOKUP($A200,Curves_Table,Escalation!$E$291))</f>
        <v>2.8722053612194949</v>
      </c>
      <c r="J200" s="1504">
        <f ca="1">IF($A200&lt;EE_Date,VLOOKUP($A200,Curves_Table,Escalation!$D$291),Exch)</f>
        <v>1.0649999999999999</v>
      </c>
      <c r="K200" s="1505">
        <f t="shared" ca="1" si="36"/>
        <v>15912.783322376705</v>
      </c>
      <c r="M200" s="691">
        <f ca="1">VLOOKUP($A200,Tariff_Table,Tariff!$F$33)</f>
        <v>9.0947804093515772E-2</v>
      </c>
      <c r="N200" s="1481">
        <f t="shared" ca="1" si="37"/>
        <v>379.03917681772293</v>
      </c>
      <c r="O200" s="1480">
        <f ca="1">VLOOKUP($A200,Curves_Table,Escalation!$R$291)</f>
        <v>3.6767408885071422</v>
      </c>
      <c r="P200" s="1505">
        <f t="shared" ca="1" si="38"/>
        <v>1393.6288397518103</v>
      </c>
      <c r="R200" s="1506">
        <f t="shared" ca="1" si="39"/>
        <v>17306.412162128516</v>
      </c>
      <c r="S200" s="330">
        <f ca="1">'Plant Operations'!C200</f>
        <v>480</v>
      </c>
      <c r="T200" s="1481">
        <f t="shared" ca="1" si="40"/>
        <v>8307.0778378216874</v>
      </c>
      <c r="U200" s="1504">
        <f t="shared" ca="1" si="41"/>
        <v>2.8722053612194949</v>
      </c>
      <c r="V200" s="384">
        <f t="shared" ca="1" si="42"/>
        <v>2892.2297653168603</v>
      </c>
      <c r="W200" s="692">
        <f t="shared" ca="1" si="30"/>
        <v>40865.386924783474</v>
      </c>
      <c r="Y200" s="1507">
        <f ca="1">IF($A200&gt;Endyr,0,VLOOKUP($A200,Tariff_Table,Tariff!$J$33))</f>
        <v>0.19</v>
      </c>
      <c r="Z200" s="1504">
        <f ca="1">VLOOKUP($A200,Curves_Table,Escalation!$AH$291)</f>
        <v>3.6767408885071422</v>
      </c>
      <c r="AA200" s="1504">
        <f t="shared" ca="1" si="43"/>
        <v>0.698580768816357</v>
      </c>
      <c r="AB200" s="334">
        <f ca="1">'Plant Operations'!$I200+'Plant Operations'!$M200</f>
        <v>298980.864</v>
      </c>
      <c r="AC200" s="1481">
        <f t="shared" ca="1" si="31"/>
        <v>208.86228183449867</v>
      </c>
      <c r="AD200" s="1504">
        <f t="shared" ca="1" si="32"/>
        <v>2.8722053612194949</v>
      </c>
      <c r="AE200" s="335">
        <f t="shared" ca="1" si="44"/>
        <v>72.718436033354848</v>
      </c>
      <c r="AF200" s="698">
        <f t="shared" ca="1" si="33"/>
        <v>845.27619801994047</v>
      </c>
    </row>
    <row r="201" spans="1:32">
      <c r="A201" s="672">
        <f ca="1">'Plant Operations'!A201</f>
        <v>42005</v>
      </c>
      <c r="C201" s="1503">
        <f ca="1">IF($A201&gt;Endyr,0,VLOOKUP($A201,Tariff_Table,Tariff!$D$33))</f>
        <v>4167.6561693340209</v>
      </c>
      <c r="E201" s="691">
        <f ca="1">VLOOKUP($A201,Tariff_Table,Tariff!$E$33)</f>
        <v>0.90905219590648423</v>
      </c>
      <c r="F201" s="1481">
        <f t="shared" ca="1" si="34"/>
        <v>3788.6169925162981</v>
      </c>
      <c r="G201" s="1480">
        <f ca="1">VLOOKUP($A201,Curves_Table,Escalation!$N$291)</f>
        <v>1.5573978315409176</v>
      </c>
      <c r="H201" s="1481">
        <f t="shared" ca="1" si="35"/>
        <v>5900.3838886839558</v>
      </c>
      <c r="I201" s="1504">
        <f ca="1">IF(Assm!$L$74=0,VLOOKUP($A201,Curves_Table,Escalation!$D$291),VLOOKUP($A201,Curves_Table,Escalation!$E$291))</f>
        <v>2.8769423701861823</v>
      </c>
      <c r="J201" s="1504">
        <f ca="1">IF($A201&lt;EE_Date,VLOOKUP($A201,Curves_Table,Escalation!$D$291),Exch)</f>
        <v>1.0649999999999999</v>
      </c>
      <c r="K201" s="1505">
        <f t="shared" ca="1" si="36"/>
        <v>15939.027614759421</v>
      </c>
      <c r="M201" s="691">
        <f ca="1">VLOOKUP($A201,Tariff_Table,Tariff!$F$33)</f>
        <v>9.0947804093515772E-2</v>
      </c>
      <c r="N201" s="1481">
        <f t="shared" ca="1" si="37"/>
        <v>379.03917681772293</v>
      </c>
      <c r="O201" s="1480">
        <f ca="1">VLOOKUP($A201,Curves_Table,Escalation!$R$291)</f>
        <v>3.6767408885071422</v>
      </c>
      <c r="P201" s="1505">
        <f t="shared" ca="1" si="38"/>
        <v>1393.6288397518103</v>
      </c>
      <c r="R201" s="1506">
        <f t="shared" ca="1" si="39"/>
        <v>17332.656454511231</v>
      </c>
      <c r="S201" s="330">
        <f ca="1">'Plant Operations'!C201</f>
        <v>480</v>
      </c>
      <c r="T201" s="1481">
        <f t="shared" ca="1" si="40"/>
        <v>8319.6750981653913</v>
      </c>
      <c r="U201" s="1504">
        <f t="shared" ca="1" si="41"/>
        <v>2.8769423701861823</v>
      </c>
      <c r="V201" s="384">
        <f t="shared" ca="1" si="42"/>
        <v>2891.8462824915678</v>
      </c>
      <c r="W201" s="692" t="str">
        <f t="shared" ca="1" si="30"/>
        <v xml:space="preserve"> </v>
      </c>
      <c r="Y201" s="1507">
        <f ca="1">IF($A201&gt;Endyr,0,VLOOKUP($A201,Tariff_Table,Tariff!$J$33))</f>
        <v>0.19</v>
      </c>
      <c r="Z201" s="1504">
        <f ca="1">VLOOKUP($A201,Curves_Table,Escalation!$AH$291)</f>
        <v>3.6767408885071422</v>
      </c>
      <c r="AA201" s="1504">
        <f t="shared" ca="1" si="43"/>
        <v>0.698580768816357</v>
      </c>
      <c r="AB201" s="334">
        <f ca="1">'Plant Operations'!$I201+'Plant Operations'!$M201</f>
        <v>298980.864</v>
      </c>
      <c r="AC201" s="1481">
        <f t="shared" ca="1" si="31"/>
        <v>208.86228183449867</v>
      </c>
      <c r="AD201" s="1504">
        <f t="shared" ca="1" si="32"/>
        <v>2.8769423701861823</v>
      </c>
      <c r="AE201" s="335">
        <f t="shared" ca="1" si="44"/>
        <v>72.598702010489731</v>
      </c>
      <c r="AF201" s="698" t="str">
        <f t="shared" ca="1" si="33"/>
        <v xml:space="preserve"> </v>
      </c>
    </row>
    <row r="202" spans="1:32">
      <c r="A202" s="672">
        <f ca="1">'Plant Operations'!A202</f>
        <v>42036</v>
      </c>
      <c r="C202" s="1503">
        <f ca="1">IF($A202&gt;Endyr,0,VLOOKUP($A202,Tariff_Table,Tariff!$D$33))</f>
        <v>4167.6561693340209</v>
      </c>
      <c r="E202" s="691">
        <f ca="1">VLOOKUP($A202,Tariff_Table,Tariff!$E$33)</f>
        <v>0.90905219590648423</v>
      </c>
      <c r="F202" s="1481">
        <f t="shared" ca="1" si="34"/>
        <v>3788.6169925162981</v>
      </c>
      <c r="G202" s="1480">
        <f ca="1">VLOOKUP($A202,Curves_Table,Escalation!$N$291)</f>
        <v>1.5573978315409176</v>
      </c>
      <c r="H202" s="1481">
        <f t="shared" ca="1" si="35"/>
        <v>5900.3838886839558</v>
      </c>
      <c r="I202" s="1504">
        <f ca="1">IF(Assm!$L$74=0,VLOOKUP($A202,Curves_Table,Escalation!$D$291),VLOOKUP($A202,Curves_Table,Escalation!$E$291))</f>
        <v>2.8816871917049434</v>
      </c>
      <c r="J202" s="1504">
        <f ca="1">IF($A202&lt;EE_Date,VLOOKUP($A202,Curves_Table,Escalation!$D$291),Exch)</f>
        <v>1.0649999999999999</v>
      </c>
      <c r="K202" s="1505">
        <f t="shared" ca="1" si="36"/>
        <v>15965.315190763156</v>
      </c>
      <c r="M202" s="691">
        <f ca="1">VLOOKUP($A202,Tariff_Table,Tariff!$F$33)</f>
        <v>9.0947804093515772E-2</v>
      </c>
      <c r="N202" s="1481">
        <f t="shared" ca="1" si="37"/>
        <v>379.03917681772293</v>
      </c>
      <c r="O202" s="1480">
        <f ca="1">VLOOKUP($A202,Curves_Table,Escalation!$R$291)</f>
        <v>3.6767408885071422</v>
      </c>
      <c r="P202" s="1505">
        <f t="shared" ca="1" si="38"/>
        <v>1393.6288397518103</v>
      </c>
      <c r="R202" s="1506">
        <f t="shared" ca="1" si="39"/>
        <v>17358.944030514966</v>
      </c>
      <c r="S202" s="330">
        <f ca="1">'Plant Operations'!C202</f>
        <v>480</v>
      </c>
      <c r="T202" s="1481">
        <f t="shared" ca="1" si="40"/>
        <v>8332.2931346471833</v>
      </c>
      <c r="U202" s="1504">
        <f t="shared" ca="1" si="41"/>
        <v>2.8816871917049434</v>
      </c>
      <c r="V202" s="384">
        <f t="shared" ca="1" si="42"/>
        <v>2891.4634310871897</v>
      </c>
      <c r="W202" s="692" t="str">
        <f t="shared" ca="1" si="30"/>
        <v xml:space="preserve"> </v>
      </c>
      <c r="Y202" s="1507">
        <f ca="1">IF($A202&gt;Endyr,0,VLOOKUP($A202,Tariff_Table,Tariff!$J$33))</f>
        <v>0.19</v>
      </c>
      <c r="Z202" s="1504">
        <f ca="1">VLOOKUP($A202,Curves_Table,Escalation!$AH$291)</f>
        <v>3.6767408885071422</v>
      </c>
      <c r="AA202" s="1504">
        <f t="shared" ca="1" si="43"/>
        <v>0.698580768816357</v>
      </c>
      <c r="AB202" s="334">
        <f ca="1">'Plant Operations'!$I202+'Plant Operations'!$M202</f>
        <v>270047.23200000002</v>
      </c>
      <c r="AC202" s="1481">
        <f t="shared" ca="1" si="31"/>
        <v>188.64980294728915</v>
      </c>
      <c r="AD202" s="1504">
        <f t="shared" ca="1" si="32"/>
        <v>2.8816871917049434</v>
      </c>
      <c r="AE202" s="335">
        <f t="shared" ca="1" si="44"/>
        <v>65.465052379843812</v>
      </c>
      <c r="AF202" s="698" t="str">
        <f t="shared" ca="1" si="33"/>
        <v xml:space="preserve"> </v>
      </c>
    </row>
    <row r="203" spans="1:32">
      <c r="A203" s="672">
        <f ca="1">'Plant Operations'!A203</f>
        <v>42064</v>
      </c>
      <c r="C203" s="1503">
        <f ca="1">IF($A203&gt;Endyr,0,VLOOKUP($A203,Tariff_Table,Tariff!$D$33))</f>
        <v>4167.6561693340209</v>
      </c>
      <c r="E203" s="691">
        <f ca="1">VLOOKUP($A203,Tariff_Table,Tariff!$E$33)</f>
        <v>0.90905219590648423</v>
      </c>
      <c r="F203" s="1481">
        <f t="shared" ca="1" si="34"/>
        <v>3788.6169925162981</v>
      </c>
      <c r="G203" s="1480">
        <f ca="1">VLOOKUP($A203,Curves_Table,Escalation!$N$291)</f>
        <v>1.5573978315409176</v>
      </c>
      <c r="H203" s="1481">
        <f t="shared" ca="1" si="35"/>
        <v>5900.3838886839558</v>
      </c>
      <c r="I203" s="1504">
        <f ca="1">IF(Assm!$L$74=0,VLOOKUP($A203,Curves_Table,Escalation!$D$291),VLOOKUP($A203,Curves_Table,Escalation!$E$291))</f>
        <v>2.8864398386606953</v>
      </c>
      <c r="J203" s="1504">
        <f ca="1">IF($A203&lt;EE_Date,VLOOKUP($A203,Curves_Table,Escalation!$D$291),Exch)</f>
        <v>1.0649999999999999</v>
      </c>
      <c r="K203" s="1505">
        <f t="shared" ca="1" si="36"/>
        <v>15991.646121773789</v>
      </c>
      <c r="M203" s="691">
        <f ca="1">VLOOKUP($A203,Tariff_Table,Tariff!$F$33)</f>
        <v>9.0947804093515772E-2</v>
      </c>
      <c r="N203" s="1481">
        <f t="shared" ca="1" si="37"/>
        <v>379.03917681772293</v>
      </c>
      <c r="O203" s="1480">
        <f ca="1">VLOOKUP($A203,Curves_Table,Escalation!$R$291)</f>
        <v>3.6767408885071422</v>
      </c>
      <c r="P203" s="1505">
        <f t="shared" ca="1" si="38"/>
        <v>1393.6288397518103</v>
      </c>
      <c r="R203" s="1506">
        <f t="shared" ca="1" si="39"/>
        <v>17385.2749615256</v>
      </c>
      <c r="S203" s="330">
        <f ca="1">'Plant Operations'!C203</f>
        <v>480</v>
      </c>
      <c r="T203" s="1481">
        <f t="shared" ca="1" si="40"/>
        <v>8344.931981532287</v>
      </c>
      <c r="U203" s="1504">
        <f t="shared" ca="1" si="41"/>
        <v>2.8864398386606953</v>
      </c>
      <c r="V203" s="384">
        <f t="shared" ca="1" si="42"/>
        <v>2891.0812100640646</v>
      </c>
      <c r="W203" s="692" t="str">
        <f t="shared" ca="1" si="30"/>
        <v xml:space="preserve"> </v>
      </c>
      <c r="Y203" s="1507">
        <f ca="1">IF($A203&gt;Endyr,0,VLOOKUP($A203,Tariff_Table,Tariff!$J$33))</f>
        <v>0.19</v>
      </c>
      <c r="Z203" s="1504">
        <f ca="1">VLOOKUP($A203,Curves_Table,Escalation!$AH$291)</f>
        <v>3.6767408885071422</v>
      </c>
      <c r="AA203" s="1504">
        <f t="shared" ca="1" si="43"/>
        <v>0.698580768816357</v>
      </c>
      <c r="AB203" s="334">
        <f ca="1">'Plant Operations'!$I203+'Plant Operations'!$M203</f>
        <v>298980.864</v>
      </c>
      <c r="AC203" s="1481">
        <f t="shared" ca="1" si="31"/>
        <v>208.86228183449867</v>
      </c>
      <c r="AD203" s="1504">
        <f t="shared" ca="1" si="32"/>
        <v>2.8864398386606953</v>
      </c>
      <c r="AE203" s="335">
        <f t="shared" ca="1" si="44"/>
        <v>72.359825081755574</v>
      </c>
      <c r="AF203" s="698" t="str">
        <f t="shared" ca="1" si="33"/>
        <v xml:space="preserve"> </v>
      </c>
    </row>
    <row r="204" spans="1:32">
      <c r="A204" s="672">
        <f ca="1">'Plant Operations'!A204</f>
        <v>42095</v>
      </c>
      <c r="C204" s="1503">
        <f ca="1">IF($A204&gt;Endyr,0,VLOOKUP($A204,Tariff_Table,Tariff!$D$33))</f>
        <v>4167.6561693340209</v>
      </c>
      <c r="E204" s="691">
        <f ca="1">VLOOKUP($A204,Tariff_Table,Tariff!$E$33)</f>
        <v>0.90905219590648423</v>
      </c>
      <c r="F204" s="1481">
        <f t="shared" ca="1" si="34"/>
        <v>3788.6169925162981</v>
      </c>
      <c r="G204" s="1480">
        <f ca="1">VLOOKUP($A204,Curves_Table,Escalation!$N$291)</f>
        <v>1.5573978315409176</v>
      </c>
      <c r="H204" s="1481">
        <f t="shared" ca="1" si="35"/>
        <v>5900.3838886839558</v>
      </c>
      <c r="I204" s="1504">
        <f ca="1">IF(Assm!$L$74=0,VLOOKUP($A204,Curves_Table,Escalation!$D$291),VLOOKUP($A204,Curves_Table,Escalation!$E$291))</f>
        <v>2.8912003239596067</v>
      </c>
      <c r="J204" s="1504">
        <f ca="1">IF($A204&lt;EE_Date,VLOOKUP($A204,Curves_Table,Escalation!$D$291),Exch)</f>
        <v>1.0649999999999999</v>
      </c>
      <c r="K204" s="1505">
        <f t="shared" ca="1" si="36"/>
        <v>16018.020479294928</v>
      </c>
      <c r="M204" s="691">
        <f ca="1">VLOOKUP($A204,Tariff_Table,Tariff!$F$33)</f>
        <v>9.0947804093515772E-2</v>
      </c>
      <c r="N204" s="1481">
        <f t="shared" ca="1" si="37"/>
        <v>379.03917681772293</v>
      </c>
      <c r="O204" s="1480">
        <f ca="1">VLOOKUP($A204,Curves_Table,Escalation!$R$291)</f>
        <v>3.6767408885071422</v>
      </c>
      <c r="P204" s="1505">
        <f t="shared" ca="1" si="38"/>
        <v>1393.6288397518103</v>
      </c>
      <c r="R204" s="1506">
        <f t="shared" ca="1" si="39"/>
        <v>17411.649319046737</v>
      </c>
      <c r="S204" s="330">
        <f ca="1">'Plant Operations'!C204</f>
        <v>480</v>
      </c>
      <c r="T204" s="1481">
        <f t="shared" ca="1" si="40"/>
        <v>8357.591673142435</v>
      </c>
      <c r="U204" s="1504">
        <f t="shared" ca="1" si="41"/>
        <v>2.8912003239596067</v>
      </c>
      <c r="V204" s="384">
        <f t="shared" ca="1" si="42"/>
        <v>2890.699618384243</v>
      </c>
      <c r="W204" s="692" t="str">
        <f t="shared" ref="W204:W266" ca="1" si="45">IF(MONTH($A204)=12,SUM(V193:V204)," ")</f>
        <v xml:space="preserve"> </v>
      </c>
      <c r="Y204" s="1507">
        <f ca="1">IF($A204&gt;Endyr,0,VLOOKUP($A204,Tariff_Table,Tariff!$J$33))</f>
        <v>0.19</v>
      </c>
      <c r="Z204" s="1504">
        <f ca="1">VLOOKUP($A204,Curves_Table,Escalation!$AH$291)</f>
        <v>3.6767408885071422</v>
      </c>
      <c r="AA204" s="1504">
        <f t="shared" ca="1" si="43"/>
        <v>0.698580768816357</v>
      </c>
      <c r="AB204" s="334">
        <f ca="1">'Plant Operations'!$I204+'Plant Operations'!$M204</f>
        <v>289336.32000000001</v>
      </c>
      <c r="AC204" s="1481">
        <f t="shared" ref="AC204:AC266" ca="1" si="46">AA204*AB204/1000</f>
        <v>202.12478887209551</v>
      </c>
      <c r="AD204" s="1504">
        <f t="shared" ref="AD204:AD266" ca="1" si="47">$I204</f>
        <v>2.8912003239596067</v>
      </c>
      <c r="AE204" s="335">
        <f t="shared" ca="1" si="44"/>
        <v>69.910336961804873</v>
      </c>
      <c r="AF204" s="698" t="str">
        <f t="shared" ref="AF204:AF266" ca="1" si="48">IF(MONTH($A204)=12,SUM(AE193:AE204)," ")</f>
        <v xml:space="preserve"> </v>
      </c>
    </row>
    <row r="205" spans="1:32">
      <c r="A205" s="672">
        <f ca="1">'Plant Operations'!A205</f>
        <v>42125</v>
      </c>
      <c r="C205" s="1503">
        <f ca="1">IF($A205&gt;Endyr,0,VLOOKUP($A205,Tariff_Table,Tariff!$D$33))</f>
        <v>2290.3249630723781</v>
      </c>
      <c r="E205" s="691">
        <f ca="1">VLOOKUP($A205,Tariff_Table,Tariff!$E$33)</f>
        <v>0.67700212635067747</v>
      </c>
      <c r="F205" s="1481">
        <f t="shared" ref="F205:F266" ca="1" si="49">$C205*E205</f>
        <v>1550.5548700340369</v>
      </c>
      <c r="G205" s="1480">
        <f ca="1">VLOOKUP($A205,Curves_Table,Escalation!$N$291)</f>
        <v>1.5973303982415077</v>
      </c>
      <c r="H205" s="1481">
        <f t="shared" ref="H205:H266" ca="1" si="50">F205*G205</f>
        <v>2476.7484280467775</v>
      </c>
      <c r="I205" s="1504">
        <f ca="1">IF(Assm!$L$74=0,VLOOKUP($A205,Curves_Table,Escalation!$D$291),VLOOKUP($A205,Curves_Table,Escalation!$E$291))</f>
        <v>2.8959686605291308</v>
      </c>
      <c r="J205" s="1504">
        <f ca="1">IF($A205&lt;EE_Date,VLOOKUP($A205,Curves_Table,Escalation!$D$291),Exch)</f>
        <v>1.0649999999999999</v>
      </c>
      <c r="K205" s="1505">
        <f t="shared" ref="K205:K266" ca="1" si="51">H205*I205/J205</f>
        <v>6734.8223733692557</v>
      </c>
      <c r="M205" s="691">
        <f ca="1">VLOOKUP($A205,Tariff_Table,Tariff!$F$33)</f>
        <v>0.32299787364932253</v>
      </c>
      <c r="N205" s="1481">
        <f t="shared" ref="N205:N266" ca="1" si="52">$C205*M205</f>
        <v>739.77009303834132</v>
      </c>
      <c r="O205" s="1480">
        <f ca="1">VLOOKUP($A205,Curves_Table,Escalation!$R$291)</f>
        <v>3.9328867884073979</v>
      </c>
      <c r="P205" s="1505">
        <f t="shared" ref="P205:P266" ca="1" si="53">N205*O205</f>
        <v>2909.4320253694041</v>
      </c>
      <c r="R205" s="1506">
        <f t="shared" ref="R205:R266" ca="1" si="54">SUM(K205,P205)</f>
        <v>9644.2543987386598</v>
      </c>
      <c r="S205" s="330">
        <f ca="1">'Plant Operations'!C205</f>
        <v>480</v>
      </c>
      <c r="T205" s="1481">
        <f t="shared" ref="T205:T266" ca="1" si="55">R205*S205/1000</f>
        <v>4629.2421113945566</v>
      </c>
      <c r="U205" s="1504">
        <f t="shared" ref="U205:U266" ca="1" si="56">$I205</f>
        <v>2.8959686605291308</v>
      </c>
      <c r="V205" s="384">
        <f t="shared" ref="V205:V266" ca="1" si="57">T205/U205</f>
        <v>1598.5125027384565</v>
      </c>
      <c r="W205" s="692" t="str">
        <f t="shared" ca="1" si="45"/>
        <v xml:space="preserve"> </v>
      </c>
      <c r="Y205" s="1507">
        <f ca="1">IF($A205&gt;Endyr,0,VLOOKUP($A205,Tariff_Table,Tariff!$J$33))</f>
        <v>0.19</v>
      </c>
      <c r="Z205" s="1504">
        <f ca="1">VLOOKUP($A205,Curves_Table,Escalation!$AH$291)</f>
        <v>3.9328867884073979</v>
      </c>
      <c r="AA205" s="1504">
        <f t="shared" ref="AA205:AA266" ca="1" si="58">Y205*Z205</f>
        <v>0.74724848979740566</v>
      </c>
      <c r="AB205" s="334">
        <f ca="1">'Plant Operations'!$I205+'Plant Operations'!$M205</f>
        <v>298980.864</v>
      </c>
      <c r="AC205" s="1481">
        <f t="shared" ca="1" si="46"/>
        <v>223.41299910232351</v>
      </c>
      <c r="AD205" s="1504">
        <f t="shared" ca="1" si="47"/>
        <v>2.8959686605291308</v>
      </c>
      <c r="AE205" s="335">
        <f t="shared" ref="AE205:AE266" ca="1" si="59">AC205/AD205</f>
        <v>77.146207466728271</v>
      </c>
      <c r="AF205" s="698" t="str">
        <f t="shared" ca="1" si="48"/>
        <v xml:space="preserve"> </v>
      </c>
    </row>
    <row r="206" spans="1:32">
      <c r="A206" s="672">
        <f ca="1">'Plant Operations'!A206</f>
        <v>42156</v>
      </c>
      <c r="C206" s="1503">
        <f ca="1">IF($A206&gt;Endyr,0,VLOOKUP($A206,Tariff_Table,Tariff!$D$33))</f>
        <v>2290.3249630723781</v>
      </c>
      <c r="E206" s="691">
        <f ca="1">VLOOKUP($A206,Tariff_Table,Tariff!$E$33)</f>
        <v>0.67700212635067747</v>
      </c>
      <c r="F206" s="1481">
        <f t="shared" ca="1" si="49"/>
        <v>1550.5548700340369</v>
      </c>
      <c r="G206" s="1480">
        <f ca="1">VLOOKUP($A206,Curves_Table,Escalation!$N$291)</f>
        <v>1.5973303982415077</v>
      </c>
      <c r="H206" s="1481">
        <f t="shared" ca="1" si="50"/>
        <v>2476.7484280467775</v>
      </c>
      <c r="I206" s="1504">
        <f ca="1">IF(Assm!$L$74=0,VLOOKUP($A206,Curves_Table,Escalation!$D$291),VLOOKUP($A206,Curves_Table,Escalation!$E$291))</f>
        <v>2.9007448613180422</v>
      </c>
      <c r="J206" s="1504">
        <f ca="1">IF($A206&lt;EE_Date,VLOOKUP($A206,Curves_Table,Escalation!$D$291),Exch)</f>
        <v>1.0649999999999999</v>
      </c>
      <c r="K206" s="1505">
        <f t="shared" ca="1" si="51"/>
        <v>6745.9298360884777</v>
      </c>
      <c r="M206" s="691">
        <f ca="1">VLOOKUP($A206,Tariff_Table,Tariff!$F$33)</f>
        <v>0.32299787364932253</v>
      </c>
      <c r="N206" s="1481">
        <f t="shared" ca="1" si="52"/>
        <v>739.77009303834132</v>
      </c>
      <c r="O206" s="1480">
        <f ca="1">VLOOKUP($A206,Curves_Table,Escalation!$R$291)</f>
        <v>3.9328867884073979</v>
      </c>
      <c r="P206" s="1505">
        <f t="shared" ca="1" si="53"/>
        <v>2909.4320253694041</v>
      </c>
      <c r="R206" s="1506">
        <f t="shared" ca="1" si="54"/>
        <v>9655.3618614578809</v>
      </c>
      <c r="S206" s="330">
        <f ca="1">'Plant Operations'!C206</f>
        <v>480</v>
      </c>
      <c r="T206" s="1481">
        <f t="shared" ca="1" si="55"/>
        <v>4634.5736934997831</v>
      </c>
      <c r="U206" s="1504">
        <f t="shared" ca="1" si="56"/>
        <v>2.9007448613180422</v>
      </c>
      <c r="V206" s="384">
        <f t="shared" ca="1" si="57"/>
        <v>1597.7184878624323</v>
      </c>
      <c r="W206" s="692" t="str">
        <f t="shared" ca="1" si="45"/>
        <v xml:space="preserve"> </v>
      </c>
      <c r="Y206" s="1507">
        <f ca="1">IF($A206&gt;Endyr,0,VLOOKUP($A206,Tariff_Table,Tariff!$J$33))</f>
        <v>0.19</v>
      </c>
      <c r="Z206" s="1504">
        <f ca="1">VLOOKUP($A206,Curves_Table,Escalation!$AH$291)</f>
        <v>3.9328867884073979</v>
      </c>
      <c r="AA206" s="1504">
        <f t="shared" ca="1" si="58"/>
        <v>0.74724848979740566</v>
      </c>
      <c r="AB206" s="334">
        <f ca="1">'Plant Operations'!$I206+'Plant Operations'!$M206</f>
        <v>289336.32000000001</v>
      </c>
      <c r="AC206" s="1481">
        <f t="shared" ca="1" si="46"/>
        <v>216.20612816353889</v>
      </c>
      <c r="AD206" s="1504">
        <f t="shared" ca="1" si="47"/>
        <v>2.9007448613180422</v>
      </c>
      <c r="AE206" s="335">
        <f t="shared" ca="1" si="59"/>
        <v>74.534693156467071</v>
      </c>
      <c r="AF206" s="698" t="str">
        <f t="shared" ca="1" si="48"/>
        <v xml:space="preserve"> </v>
      </c>
    </row>
    <row r="207" spans="1:32">
      <c r="A207" s="672">
        <f ca="1">'Plant Operations'!A207</f>
        <v>42186</v>
      </c>
      <c r="C207" s="1503">
        <f ca="1">IF($A207&gt;Endyr,0,VLOOKUP($A207,Tariff_Table,Tariff!$D$33))</f>
        <v>2290.3249630723781</v>
      </c>
      <c r="E207" s="691">
        <f ca="1">VLOOKUP($A207,Tariff_Table,Tariff!$E$33)</f>
        <v>0.67700212635067747</v>
      </c>
      <c r="F207" s="1481">
        <f t="shared" ca="1" si="49"/>
        <v>1550.5548700340369</v>
      </c>
      <c r="G207" s="1480">
        <f ca="1">VLOOKUP($A207,Curves_Table,Escalation!$N$291)</f>
        <v>1.5973303982415077</v>
      </c>
      <c r="H207" s="1481">
        <f t="shared" ca="1" si="50"/>
        <v>2476.7484280467775</v>
      </c>
      <c r="I207" s="1504">
        <f ca="1">IF(Assm!$L$74=0,VLOOKUP($A207,Curves_Table,Escalation!$D$291),VLOOKUP($A207,Curves_Table,Escalation!$E$291))</f>
        <v>2.9055289392964712</v>
      </c>
      <c r="J207" s="1504">
        <f ca="1">IF($A207&lt;EE_Date,VLOOKUP($A207,Curves_Table,Escalation!$D$291),Exch)</f>
        <v>1.0649999999999999</v>
      </c>
      <c r="K207" s="1505">
        <f t="shared" ca="1" si="51"/>
        <v>6757.0556178844654</v>
      </c>
      <c r="M207" s="691">
        <f ca="1">VLOOKUP($A207,Tariff_Table,Tariff!$F$33)</f>
        <v>0.32299787364932253</v>
      </c>
      <c r="N207" s="1481">
        <f t="shared" ca="1" si="52"/>
        <v>739.77009303834132</v>
      </c>
      <c r="O207" s="1480">
        <f ca="1">VLOOKUP($A207,Curves_Table,Escalation!$R$291)</f>
        <v>3.9328867884073979</v>
      </c>
      <c r="P207" s="1505">
        <f t="shared" ca="1" si="53"/>
        <v>2909.4320253694041</v>
      </c>
      <c r="R207" s="1506">
        <f t="shared" ca="1" si="54"/>
        <v>9666.4876432538695</v>
      </c>
      <c r="S207" s="330">
        <f ca="1">'Plant Operations'!C207</f>
        <v>480</v>
      </c>
      <c r="T207" s="1481">
        <f t="shared" ca="1" si="55"/>
        <v>4639.9140687618574</v>
      </c>
      <c r="U207" s="1504">
        <f t="shared" ca="1" si="56"/>
        <v>2.9055289392964712</v>
      </c>
      <c r="V207" s="384">
        <f t="shared" ca="1" si="57"/>
        <v>1596.9257803659464</v>
      </c>
      <c r="W207" s="692" t="str">
        <f t="shared" ca="1" si="45"/>
        <v xml:space="preserve"> </v>
      </c>
      <c r="Y207" s="1507">
        <f ca="1">IF($A207&gt;Endyr,0,VLOOKUP($A207,Tariff_Table,Tariff!$J$33))</f>
        <v>0.19</v>
      </c>
      <c r="Z207" s="1504">
        <f ca="1">VLOOKUP($A207,Curves_Table,Escalation!$AH$291)</f>
        <v>3.9328867884073979</v>
      </c>
      <c r="AA207" s="1504">
        <f t="shared" ca="1" si="58"/>
        <v>0.74724848979740566</v>
      </c>
      <c r="AB207" s="334">
        <f ca="1">'Plant Operations'!$I207+'Plant Operations'!$M207</f>
        <v>298980.864</v>
      </c>
      <c r="AC207" s="1481">
        <f t="shared" ca="1" si="46"/>
        <v>223.41299910232351</v>
      </c>
      <c r="AD207" s="1504">
        <f t="shared" ca="1" si="47"/>
        <v>2.9055289392964712</v>
      </c>
      <c r="AE207" s="335">
        <f t="shared" ca="1" si="59"/>
        <v>76.892367541319175</v>
      </c>
      <c r="AF207" s="698" t="str">
        <f t="shared" ca="1" si="48"/>
        <v xml:space="preserve"> </v>
      </c>
    </row>
    <row r="208" spans="1:32">
      <c r="A208" s="672">
        <f ca="1">'Plant Operations'!A208</f>
        <v>42217</v>
      </c>
      <c r="C208" s="1503">
        <f ca="1">IF($A208&gt;Endyr,0,VLOOKUP($A208,Tariff_Table,Tariff!$D$33))</f>
        <v>2290.3249630723781</v>
      </c>
      <c r="E208" s="691">
        <f ca="1">VLOOKUP($A208,Tariff_Table,Tariff!$E$33)</f>
        <v>0.67700212635067747</v>
      </c>
      <c r="F208" s="1481">
        <f t="shared" ca="1" si="49"/>
        <v>1550.5548700340369</v>
      </c>
      <c r="G208" s="1480">
        <f ca="1">VLOOKUP($A208,Curves_Table,Escalation!$N$291)</f>
        <v>1.5973303982415077</v>
      </c>
      <c r="H208" s="1481">
        <f t="shared" ca="1" si="50"/>
        <v>2476.7484280467775</v>
      </c>
      <c r="I208" s="1504">
        <f ca="1">IF(Assm!$L$74=0,VLOOKUP($A208,Curves_Table,Escalation!$D$291),VLOOKUP($A208,Curves_Table,Escalation!$E$291))</f>
        <v>2.9103209074559393</v>
      </c>
      <c r="J208" s="1504">
        <f ca="1">IF($A208&lt;EE_Date,VLOOKUP($A208,Curves_Table,Escalation!$D$291),Exch)</f>
        <v>1.0649999999999999</v>
      </c>
      <c r="K208" s="1505">
        <f t="shared" ca="1" si="51"/>
        <v>6768.1997489701116</v>
      </c>
      <c r="M208" s="691">
        <f ca="1">VLOOKUP($A208,Tariff_Table,Tariff!$F$33)</f>
        <v>0.32299787364932253</v>
      </c>
      <c r="N208" s="1481">
        <f t="shared" ca="1" si="52"/>
        <v>739.77009303834132</v>
      </c>
      <c r="O208" s="1480">
        <f ca="1">VLOOKUP($A208,Curves_Table,Escalation!$R$291)</f>
        <v>3.9328867884073979</v>
      </c>
      <c r="P208" s="1505">
        <f t="shared" ca="1" si="53"/>
        <v>2909.4320253694041</v>
      </c>
      <c r="R208" s="1506">
        <f t="shared" ca="1" si="54"/>
        <v>9677.6317743395157</v>
      </c>
      <c r="S208" s="330">
        <f ca="1">'Plant Operations'!C208</f>
        <v>480</v>
      </c>
      <c r="T208" s="1481">
        <f t="shared" ca="1" si="55"/>
        <v>4645.2632516829681</v>
      </c>
      <c r="U208" s="1504">
        <f t="shared" ca="1" si="56"/>
        <v>2.9103209074559393</v>
      </c>
      <c r="V208" s="384">
        <f t="shared" ca="1" si="57"/>
        <v>1596.1343780963423</v>
      </c>
      <c r="W208" s="692" t="str">
        <f t="shared" ca="1" si="45"/>
        <v xml:space="preserve"> </v>
      </c>
      <c r="Y208" s="1507">
        <f ca="1">IF($A208&gt;Endyr,0,VLOOKUP($A208,Tariff_Table,Tariff!$J$33))</f>
        <v>0.19</v>
      </c>
      <c r="Z208" s="1504">
        <f ca="1">VLOOKUP($A208,Curves_Table,Escalation!$AH$291)</f>
        <v>3.9328867884073979</v>
      </c>
      <c r="AA208" s="1504">
        <f t="shared" ca="1" si="58"/>
        <v>0.74724848979740566</v>
      </c>
      <c r="AB208" s="334">
        <f ca="1">'Plant Operations'!$I208+'Plant Operations'!$M208</f>
        <v>298980.864</v>
      </c>
      <c r="AC208" s="1481">
        <f t="shared" ca="1" si="46"/>
        <v>223.41299910232351</v>
      </c>
      <c r="AD208" s="1504">
        <f t="shared" ca="1" si="47"/>
        <v>2.9103209074559393</v>
      </c>
      <c r="AE208" s="335">
        <f t="shared" ca="1" si="59"/>
        <v>76.765760961261236</v>
      </c>
      <c r="AF208" s="698" t="str">
        <f t="shared" ca="1" si="48"/>
        <v xml:space="preserve"> </v>
      </c>
    </row>
    <row r="209" spans="1:32">
      <c r="A209" s="672">
        <f ca="1">'Plant Operations'!A209</f>
        <v>42248</v>
      </c>
      <c r="C209" s="1503">
        <f ca="1">IF($A209&gt;Endyr,0,VLOOKUP($A209,Tariff_Table,Tariff!$D$33))</f>
        <v>2290.3249630723781</v>
      </c>
      <c r="E209" s="691">
        <f ca="1">VLOOKUP($A209,Tariff_Table,Tariff!$E$33)</f>
        <v>0.67700212635067747</v>
      </c>
      <c r="F209" s="1481">
        <f t="shared" ca="1" si="49"/>
        <v>1550.5548700340369</v>
      </c>
      <c r="G209" s="1480">
        <f ca="1">VLOOKUP($A209,Curves_Table,Escalation!$N$291)</f>
        <v>1.5973303982415077</v>
      </c>
      <c r="H209" s="1481">
        <f t="shared" ca="1" si="50"/>
        <v>2476.7484280467775</v>
      </c>
      <c r="I209" s="1504">
        <f ca="1">IF(Assm!$L$74=0,VLOOKUP($A209,Curves_Table,Escalation!$D$291),VLOOKUP($A209,Curves_Table,Escalation!$E$291))</f>
        <v>2.9151207788093942</v>
      </c>
      <c r="J209" s="1504">
        <f ca="1">IF($A209&lt;EE_Date,VLOOKUP($A209,Curves_Table,Escalation!$D$291),Exch)</f>
        <v>1.0649999999999999</v>
      </c>
      <c r="K209" s="1505">
        <f t="shared" ca="1" si="51"/>
        <v>6779.3622596081359</v>
      </c>
      <c r="M209" s="691">
        <f ca="1">VLOOKUP($A209,Tariff_Table,Tariff!$F$33)</f>
        <v>0.32299787364932253</v>
      </c>
      <c r="N209" s="1481">
        <f t="shared" ca="1" si="52"/>
        <v>739.77009303834132</v>
      </c>
      <c r="O209" s="1480">
        <f ca="1">VLOOKUP($A209,Curves_Table,Escalation!$R$291)</f>
        <v>3.9328867884073979</v>
      </c>
      <c r="P209" s="1505">
        <f t="shared" ca="1" si="53"/>
        <v>2909.4320253694041</v>
      </c>
      <c r="R209" s="1506">
        <f t="shared" ca="1" si="54"/>
        <v>9688.7942849775391</v>
      </c>
      <c r="S209" s="330">
        <f ca="1">'Plant Operations'!C209</f>
        <v>480</v>
      </c>
      <c r="T209" s="1481">
        <f t="shared" ca="1" si="55"/>
        <v>4650.6212567892189</v>
      </c>
      <c r="U209" s="1504">
        <f t="shared" ca="1" si="56"/>
        <v>2.9151207788093942</v>
      </c>
      <c r="V209" s="384">
        <f t="shared" ca="1" si="57"/>
        <v>1595.3442789045073</v>
      </c>
      <c r="W209" s="692" t="str">
        <f t="shared" ca="1" si="45"/>
        <v xml:space="preserve"> </v>
      </c>
      <c r="Y209" s="1507">
        <f ca="1">IF($A209&gt;Endyr,0,VLOOKUP($A209,Tariff_Table,Tariff!$J$33))</f>
        <v>0.19</v>
      </c>
      <c r="Z209" s="1504">
        <f ca="1">VLOOKUP($A209,Curves_Table,Escalation!$AH$291)</f>
        <v>3.9328867884073979</v>
      </c>
      <c r="AA209" s="1504">
        <f t="shared" ca="1" si="58"/>
        <v>0.74724848979740566</v>
      </c>
      <c r="AB209" s="334">
        <f ca="1">'Plant Operations'!$I209+'Plant Operations'!$M209</f>
        <v>289336.32000000001</v>
      </c>
      <c r="AC209" s="1481">
        <f t="shared" ca="1" si="46"/>
        <v>216.20612816353889</v>
      </c>
      <c r="AD209" s="1504">
        <f t="shared" ca="1" si="47"/>
        <v>2.9151207788093942</v>
      </c>
      <c r="AE209" s="335">
        <f t="shared" ca="1" si="59"/>
        <v>74.167125333257275</v>
      </c>
      <c r="AF209" s="698" t="str">
        <f t="shared" ca="1" si="48"/>
        <v xml:space="preserve"> </v>
      </c>
    </row>
    <row r="210" spans="1:32">
      <c r="A210" s="672">
        <f ca="1">'Plant Operations'!A210</f>
        <v>42278</v>
      </c>
      <c r="C210" s="1503">
        <f ca="1">IF($A210&gt;Endyr,0,VLOOKUP($A210,Tariff_Table,Tariff!$D$33))</f>
        <v>2290.3249630723781</v>
      </c>
      <c r="E210" s="691">
        <f ca="1">VLOOKUP($A210,Tariff_Table,Tariff!$E$33)</f>
        <v>0.67700212635067747</v>
      </c>
      <c r="F210" s="1481">
        <f t="shared" ca="1" si="49"/>
        <v>1550.5548700340369</v>
      </c>
      <c r="G210" s="1480">
        <f ca="1">VLOOKUP($A210,Curves_Table,Escalation!$N$291)</f>
        <v>1.5973303982415077</v>
      </c>
      <c r="H210" s="1481">
        <f t="shared" ca="1" si="50"/>
        <v>2476.7484280467775</v>
      </c>
      <c r="I210" s="1504">
        <f ca="1">IF(Assm!$L$74=0,VLOOKUP($A210,Curves_Table,Escalation!$D$291),VLOOKUP($A210,Curves_Table,Escalation!$E$291))</f>
        <v>2.9199285663912451</v>
      </c>
      <c r="J210" s="1504">
        <f ca="1">IF($A210&lt;EE_Date,VLOOKUP($A210,Curves_Table,Escalation!$D$291),Exch)</f>
        <v>1.0649999999999999</v>
      </c>
      <c r="K210" s="1505">
        <f t="shared" ca="1" si="51"/>
        <v>6790.5431801111708</v>
      </c>
      <c r="M210" s="691">
        <f ca="1">VLOOKUP($A210,Tariff_Table,Tariff!$F$33)</f>
        <v>0.32299787364932253</v>
      </c>
      <c r="N210" s="1481">
        <f t="shared" ca="1" si="52"/>
        <v>739.77009303834132</v>
      </c>
      <c r="O210" s="1480">
        <f ca="1">VLOOKUP($A210,Curves_Table,Escalation!$R$291)</f>
        <v>3.9328867884073979</v>
      </c>
      <c r="P210" s="1505">
        <f t="shared" ca="1" si="53"/>
        <v>2909.4320253694041</v>
      </c>
      <c r="R210" s="1506">
        <f t="shared" ca="1" si="54"/>
        <v>9699.9752054805758</v>
      </c>
      <c r="S210" s="330">
        <f ca="1">'Plant Operations'!C210</f>
        <v>480</v>
      </c>
      <c r="T210" s="1481">
        <f t="shared" ca="1" si="55"/>
        <v>4655.9880986306762</v>
      </c>
      <c r="U210" s="1504">
        <f t="shared" ca="1" si="56"/>
        <v>2.9199285663912451</v>
      </c>
      <c r="V210" s="384">
        <f t="shared" ca="1" si="57"/>
        <v>1594.5554806448695</v>
      </c>
      <c r="W210" s="692" t="str">
        <f t="shared" ca="1" si="45"/>
        <v xml:space="preserve"> </v>
      </c>
      <c r="Y210" s="1507">
        <f ca="1">IF($A210&gt;Endyr,0,VLOOKUP($A210,Tariff_Table,Tariff!$J$33))</f>
        <v>0.19</v>
      </c>
      <c r="Z210" s="1504">
        <f ca="1">VLOOKUP($A210,Curves_Table,Escalation!$AH$291)</f>
        <v>3.9328867884073979</v>
      </c>
      <c r="AA210" s="1504">
        <f t="shared" ca="1" si="58"/>
        <v>0.74724848979740566</v>
      </c>
      <c r="AB210" s="334">
        <f ca="1">'Plant Operations'!$I210+'Plant Operations'!$M210</f>
        <v>298980.864</v>
      </c>
      <c r="AC210" s="1481">
        <f t="shared" ca="1" si="46"/>
        <v>223.41299910232351</v>
      </c>
      <c r="AD210" s="1504">
        <f t="shared" ca="1" si="47"/>
        <v>2.9199285663912451</v>
      </c>
      <c r="AE210" s="335">
        <f t="shared" ca="1" si="59"/>
        <v>76.513172847389484</v>
      </c>
      <c r="AF210" s="698" t="str">
        <f t="shared" ca="1" si="48"/>
        <v xml:space="preserve"> </v>
      </c>
    </row>
    <row r="211" spans="1:32">
      <c r="A211" s="672">
        <f ca="1">'Plant Operations'!A211</f>
        <v>42309</v>
      </c>
      <c r="C211" s="1503">
        <f ca="1">IF($A211&gt;Endyr,0,VLOOKUP($A211,Tariff_Table,Tariff!$D$33))</f>
        <v>2290.3249630723781</v>
      </c>
      <c r="E211" s="691">
        <f ca="1">VLOOKUP($A211,Tariff_Table,Tariff!$E$33)</f>
        <v>0.67700212635067747</v>
      </c>
      <c r="F211" s="1481">
        <f t="shared" ca="1" si="49"/>
        <v>1550.5548700340369</v>
      </c>
      <c r="G211" s="1480">
        <f ca="1">VLOOKUP($A211,Curves_Table,Escalation!$N$291)</f>
        <v>1.5973303982415077</v>
      </c>
      <c r="H211" s="1481">
        <f t="shared" ca="1" si="50"/>
        <v>2476.7484280467775</v>
      </c>
      <c r="I211" s="1504">
        <f ca="1">IF(Assm!$L$74=0,VLOOKUP($A211,Curves_Table,Escalation!$D$291),VLOOKUP($A211,Curves_Table,Escalation!$E$291))</f>
        <v>2.9247442832573989</v>
      </c>
      <c r="J211" s="1504">
        <f ca="1">IF($A211&lt;EE_Date,VLOOKUP($A211,Curves_Table,Escalation!$D$291),Exch)</f>
        <v>1.0649999999999999</v>
      </c>
      <c r="K211" s="1505">
        <f t="shared" ca="1" si="51"/>
        <v>6801.7425408418421</v>
      </c>
      <c r="M211" s="691">
        <f ca="1">VLOOKUP($A211,Tariff_Table,Tariff!$F$33)</f>
        <v>0.32299787364932253</v>
      </c>
      <c r="N211" s="1481">
        <f t="shared" ca="1" si="52"/>
        <v>739.77009303834132</v>
      </c>
      <c r="O211" s="1480">
        <f ca="1">VLOOKUP($A211,Curves_Table,Escalation!$R$291)</f>
        <v>3.9328867884073979</v>
      </c>
      <c r="P211" s="1505">
        <f t="shared" ca="1" si="53"/>
        <v>2909.4320253694041</v>
      </c>
      <c r="R211" s="1506">
        <f t="shared" ca="1" si="54"/>
        <v>9711.1745662112462</v>
      </c>
      <c r="S211" s="330">
        <f ca="1">'Plant Operations'!C211</f>
        <v>480</v>
      </c>
      <c r="T211" s="1481">
        <f t="shared" ca="1" si="55"/>
        <v>4661.3637917813985</v>
      </c>
      <c r="U211" s="1504">
        <f t="shared" ca="1" si="56"/>
        <v>2.9247442832573989</v>
      </c>
      <c r="V211" s="384">
        <f t="shared" ca="1" si="57"/>
        <v>1593.7679811753869</v>
      </c>
      <c r="W211" s="692" t="str">
        <f t="shared" ca="1" si="45"/>
        <v xml:space="preserve"> </v>
      </c>
      <c r="Y211" s="1507">
        <f ca="1">IF($A211&gt;Endyr,0,VLOOKUP($A211,Tariff_Table,Tariff!$J$33))</f>
        <v>0.19</v>
      </c>
      <c r="Z211" s="1504">
        <f ca="1">VLOOKUP($A211,Curves_Table,Escalation!$AH$291)</f>
        <v>3.9328867884073979</v>
      </c>
      <c r="AA211" s="1504">
        <f t="shared" ca="1" si="58"/>
        <v>0.74724848979740566</v>
      </c>
      <c r="AB211" s="334">
        <f ca="1">'Plant Operations'!$I211+'Plant Operations'!$M211</f>
        <v>289336.32000000001</v>
      </c>
      <c r="AC211" s="1481">
        <f t="shared" ca="1" si="46"/>
        <v>216.20612816353889</v>
      </c>
      <c r="AD211" s="1504">
        <f t="shared" ca="1" si="47"/>
        <v>2.9247442832573989</v>
      </c>
      <c r="AE211" s="335">
        <f t="shared" ca="1" si="59"/>
        <v>73.923087704181071</v>
      </c>
      <c r="AF211" s="698" t="str">
        <f t="shared" ca="1" si="48"/>
        <v xml:space="preserve"> </v>
      </c>
    </row>
    <row r="212" spans="1:32">
      <c r="A212" s="672">
        <f ca="1">'Plant Operations'!A212</f>
        <v>42339</v>
      </c>
      <c r="C212" s="1503">
        <f ca="1">IF($A212&gt;Endyr,0,VLOOKUP($A212,Tariff_Table,Tariff!$D$33))</f>
        <v>2290.3249630723781</v>
      </c>
      <c r="E212" s="691">
        <f ca="1">VLOOKUP($A212,Tariff_Table,Tariff!$E$33)</f>
        <v>0.67700212635067747</v>
      </c>
      <c r="F212" s="1481">
        <f t="shared" ca="1" si="49"/>
        <v>1550.5548700340369</v>
      </c>
      <c r="G212" s="1480">
        <f ca="1">VLOOKUP($A212,Curves_Table,Escalation!$N$291)</f>
        <v>1.5973303982415077</v>
      </c>
      <c r="H212" s="1481">
        <f t="shared" ca="1" si="50"/>
        <v>2476.7484280467775</v>
      </c>
      <c r="I212" s="1504">
        <f ca="1">IF(Assm!$L$74=0,VLOOKUP($A212,Curves_Table,Escalation!$D$291),VLOOKUP($A212,Curves_Table,Escalation!$E$291))</f>
        <v>2.9295679424852956</v>
      </c>
      <c r="J212" s="1504">
        <f ca="1">IF($A212&lt;EE_Date,VLOOKUP($A212,Curves_Table,Escalation!$D$291),Exch)</f>
        <v>1.0649999999999999</v>
      </c>
      <c r="K212" s="1505">
        <f t="shared" ca="1" si="51"/>
        <v>6812.9603722128531</v>
      </c>
      <c r="M212" s="691">
        <f ca="1">VLOOKUP($A212,Tariff_Table,Tariff!$F$33)</f>
        <v>0.32299787364932253</v>
      </c>
      <c r="N212" s="1481">
        <f t="shared" ca="1" si="52"/>
        <v>739.77009303834132</v>
      </c>
      <c r="O212" s="1480">
        <f ca="1">VLOOKUP($A212,Curves_Table,Escalation!$R$291)</f>
        <v>3.9328867884073979</v>
      </c>
      <c r="P212" s="1505">
        <f t="shared" ca="1" si="53"/>
        <v>2909.4320253694041</v>
      </c>
      <c r="R212" s="1506">
        <f t="shared" ca="1" si="54"/>
        <v>9722.3923975822581</v>
      </c>
      <c r="S212" s="330">
        <f ca="1">'Plant Operations'!C212</f>
        <v>480</v>
      </c>
      <c r="T212" s="1481">
        <f t="shared" ca="1" si="55"/>
        <v>4666.7483508394835</v>
      </c>
      <c r="U212" s="1504">
        <f t="shared" ca="1" si="56"/>
        <v>2.9295679424852956</v>
      </c>
      <c r="V212" s="384">
        <f t="shared" ca="1" si="57"/>
        <v>1592.9817783575461</v>
      </c>
      <c r="W212" s="692">
        <f t="shared" ca="1" si="45"/>
        <v>24331.031210172554</v>
      </c>
      <c r="Y212" s="1507">
        <f ca="1">IF($A212&gt;Endyr,0,VLOOKUP($A212,Tariff_Table,Tariff!$J$33))</f>
        <v>0.19</v>
      </c>
      <c r="Z212" s="1504">
        <f ca="1">VLOOKUP($A212,Curves_Table,Escalation!$AH$291)</f>
        <v>3.9328867884073979</v>
      </c>
      <c r="AA212" s="1504">
        <f t="shared" ca="1" si="58"/>
        <v>0.74724848979740566</v>
      </c>
      <c r="AB212" s="334">
        <f ca="1">'Plant Operations'!$I212+'Plant Operations'!$M212</f>
        <v>298980.864</v>
      </c>
      <c r="AC212" s="1481">
        <f t="shared" ca="1" si="46"/>
        <v>223.41299910232351</v>
      </c>
      <c r="AD212" s="1504">
        <f t="shared" ca="1" si="47"/>
        <v>2.9295679424852956</v>
      </c>
      <c r="AE212" s="335">
        <f t="shared" ca="1" si="59"/>
        <v>76.261415843044531</v>
      </c>
      <c r="AF212" s="698">
        <f t="shared" ca="1" si="48"/>
        <v>886.53774728754217</v>
      </c>
    </row>
    <row r="213" spans="1:32">
      <c r="A213" s="672">
        <f ca="1">'Plant Operations'!A213</f>
        <v>42370</v>
      </c>
      <c r="C213" s="1503">
        <f ca="1">IF($A213&gt;Endyr,0,VLOOKUP($A213,Tariff_Table,Tariff!$D$33))</f>
        <v>2290.3249630723781</v>
      </c>
      <c r="E213" s="691">
        <f ca="1">VLOOKUP($A213,Tariff_Table,Tariff!$E$33)</f>
        <v>0.67700212635067747</v>
      </c>
      <c r="F213" s="1481">
        <f t="shared" ca="1" si="49"/>
        <v>1550.5548700340369</v>
      </c>
      <c r="G213" s="1480">
        <f ca="1">VLOOKUP($A213,Curves_Table,Escalation!$N$291)</f>
        <v>1.5973303982415077</v>
      </c>
      <c r="H213" s="1481">
        <f t="shared" ca="1" si="50"/>
        <v>2476.7484280467775</v>
      </c>
      <c r="I213" s="1504">
        <f ca="1">IF(Assm!$L$74=0,VLOOKUP($A213,Curves_Table,Escalation!$D$291),VLOOKUP($A213,Curves_Table,Escalation!$E$291))</f>
        <v>2.9344084151188023</v>
      </c>
      <c r="J213" s="1504">
        <f ca="1">IF($A213&lt;EE_Date,VLOOKUP($A213,Curves_Table,Escalation!$D$291),Exch)</f>
        <v>1.0649999999999999</v>
      </c>
      <c r="K213" s="1505">
        <f t="shared" ca="1" si="51"/>
        <v>6824.2173045941126</v>
      </c>
      <c r="M213" s="691">
        <f ca="1">VLOOKUP($A213,Tariff_Table,Tariff!$F$33)</f>
        <v>0.32299787364932253</v>
      </c>
      <c r="N213" s="1481">
        <f t="shared" ca="1" si="52"/>
        <v>739.77009303834132</v>
      </c>
      <c r="O213" s="1480">
        <f ca="1">VLOOKUP($A213,Curves_Table,Escalation!$R$291)</f>
        <v>3.9328867884073979</v>
      </c>
      <c r="P213" s="1505">
        <f t="shared" ca="1" si="53"/>
        <v>2909.4320253694041</v>
      </c>
      <c r="R213" s="1506">
        <f t="shared" ca="1" si="54"/>
        <v>9733.6493299635167</v>
      </c>
      <c r="S213" s="330">
        <f ca="1">'Plant Operations'!C213</f>
        <v>480</v>
      </c>
      <c r="T213" s="1481">
        <f t="shared" ca="1" si="55"/>
        <v>4672.1516783824882</v>
      </c>
      <c r="U213" s="1504">
        <f t="shared" ca="1" si="56"/>
        <v>2.9344084151188023</v>
      </c>
      <c r="V213" s="384">
        <f t="shared" ca="1" si="57"/>
        <v>1592.1954334340101</v>
      </c>
      <c r="W213" s="692" t="str">
        <f t="shared" ca="1" si="45"/>
        <v xml:space="preserve"> </v>
      </c>
      <c r="Y213" s="1507">
        <f ca="1">IF($A213&gt;Endyr,0,VLOOKUP($A213,Tariff_Table,Tariff!$J$33))</f>
        <v>0.19</v>
      </c>
      <c r="Z213" s="1504">
        <f ca="1">VLOOKUP($A213,Curves_Table,Escalation!$AH$291)</f>
        <v>3.9328867884073979</v>
      </c>
      <c r="AA213" s="1504">
        <f t="shared" ca="1" si="58"/>
        <v>0.74724848979740566</v>
      </c>
      <c r="AB213" s="334">
        <f ca="1">'Plant Operations'!$I213+'Plant Operations'!$M213</f>
        <v>298980.864</v>
      </c>
      <c r="AC213" s="1481">
        <f t="shared" ca="1" si="46"/>
        <v>223.41299910232351</v>
      </c>
      <c r="AD213" s="1504">
        <f t="shared" ca="1" si="47"/>
        <v>2.9344084151188023</v>
      </c>
      <c r="AE213" s="335">
        <f t="shared" ca="1" si="59"/>
        <v>76.135618324717228</v>
      </c>
      <c r="AF213" s="698" t="str">
        <f t="shared" ca="1" si="48"/>
        <v xml:space="preserve"> </v>
      </c>
    </row>
    <row r="214" spans="1:32">
      <c r="A214" s="672">
        <f ca="1">'Plant Operations'!A214</f>
        <v>42401</v>
      </c>
      <c r="C214" s="1503">
        <f ca="1">IF($A214&gt;Endyr,0,VLOOKUP($A214,Tariff_Table,Tariff!$D$33))</f>
        <v>2290.3249630723781</v>
      </c>
      <c r="E214" s="691">
        <f ca="1">VLOOKUP($A214,Tariff_Table,Tariff!$E$33)</f>
        <v>0.67700212635067747</v>
      </c>
      <c r="F214" s="1481">
        <f t="shared" ca="1" si="49"/>
        <v>1550.5548700340369</v>
      </c>
      <c r="G214" s="1480">
        <f ca="1">VLOOKUP($A214,Curves_Table,Escalation!$N$291)</f>
        <v>1.5973303982415077</v>
      </c>
      <c r="H214" s="1481">
        <f t="shared" ca="1" si="50"/>
        <v>2476.7484280467775</v>
      </c>
      <c r="I214" s="1504">
        <f ca="1">IF(Assm!$L$74=0,VLOOKUP($A214,Curves_Table,Escalation!$D$291),VLOOKUP($A214,Curves_Table,Escalation!$E$291))</f>
        <v>2.939256885578533</v>
      </c>
      <c r="J214" s="1504">
        <f ca="1">IF($A214&lt;EE_Date,VLOOKUP($A214,Curves_Table,Escalation!$D$291),Exch)</f>
        <v>1.0649999999999999</v>
      </c>
      <c r="K214" s="1505">
        <f t="shared" ca="1" si="51"/>
        <v>6835.4928366030981</v>
      </c>
      <c r="M214" s="691">
        <f ca="1">VLOOKUP($A214,Tariff_Table,Tariff!$F$33)</f>
        <v>0.32299787364932253</v>
      </c>
      <c r="N214" s="1481">
        <f t="shared" ca="1" si="52"/>
        <v>739.77009303834132</v>
      </c>
      <c r="O214" s="1480">
        <f ca="1">VLOOKUP($A214,Curves_Table,Escalation!$R$291)</f>
        <v>3.9328867884073979</v>
      </c>
      <c r="P214" s="1505">
        <f t="shared" ca="1" si="53"/>
        <v>2909.4320253694041</v>
      </c>
      <c r="R214" s="1506">
        <f t="shared" ca="1" si="54"/>
        <v>9744.9248619725022</v>
      </c>
      <c r="S214" s="330">
        <f ca="1">'Plant Operations'!C214</f>
        <v>480</v>
      </c>
      <c r="T214" s="1481">
        <f t="shared" ca="1" si="55"/>
        <v>4677.563933746801</v>
      </c>
      <c r="U214" s="1504">
        <f t="shared" ca="1" si="56"/>
        <v>2.939256885578533</v>
      </c>
      <c r="V214" s="384">
        <f t="shared" ca="1" si="57"/>
        <v>1591.4103856308964</v>
      </c>
      <c r="W214" s="692" t="str">
        <f t="shared" ca="1" si="45"/>
        <v xml:space="preserve"> </v>
      </c>
      <c r="Y214" s="1507">
        <f ca="1">IF($A214&gt;Endyr,0,VLOOKUP($A214,Tariff_Table,Tariff!$J$33))</f>
        <v>0.19</v>
      </c>
      <c r="Z214" s="1504">
        <f ca="1">VLOOKUP($A214,Curves_Table,Escalation!$AH$291)</f>
        <v>3.9328867884073979</v>
      </c>
      <c r="AA214" s="1504">
        <f t="shared" ca="1" si="58"/>
        <v>0.74724848979740566</v>
      </c>
      <c r="AB214" s="334">
        <f ca="1">'Plant Operations'!$I214+'Plant Operations'!$M214</f>
        <v>279691.77600000001</v>
      </c>
      <c r="AC214" s="1481">
        <f t="shared" ca="1" si="46"/>
        <v>208.99925722475427</v>
      </c>
      <c r="AD214" s="1504">
        <f t="shared" ca="1" si="47"/>
        <v>2.939256885578533</v>
      </c>
      <c r="AE214" s="335">
        <f t="shared" ca="1" si="59"/>
        <v>71.106155521897165</v>
      </c>
      <c r="AF214" s="698" t="str">
        <f t="shared" ca="1" si="48"/>
        <v xml:space="preserve"> </v>
      </c>
    </row>
    <row r="215" spans="1:32">
      <c r="A215" s="672">
        <f ca="1">'Plant Operations'!A215</f>
        <v>42430</v>
      </c>
      <c r="C215" s="1503">
        <f ca="1">IF($A215&gt;Endyr,0,VLOOKUP($A215,Tariff_Table,Tariff!$D$33))</f>
        <v>2290.3249630723781</v>
      </c>
      <c r="E215" s="691">
        <f ca="1">VLOOKUP($A215,Tariff_Table,Tariff!$E$33)</f>
        <v>0.67700212635067747</v>
      </c>
      <c r="F215" s="1481">
        <f t="shared" ca="1" si="49"/>
        <v>1550.5548700340369</v>
      </c>
      <c r="G215" s="1480">
        <f ca="1">VLOOKUP($A215,Curves_Table,Escalation!$N$291)</f>
        <v>1.5973303982415077</v>
      </c>
      <c r="H215" s="1481">
        <f t="shared" ca="1" si="50"/>
        <v>2476.7484280467775</v>
      </c>
      <c r="I215" s="1504">
        <f ca="1">IF(Assm!$L$74=0,VLOOKUP($A215,Curves_Table,Escalation!$D$291),VLOOKUP($A215,Curves_Table,Escalation!$E$291))</f>
        <v>2.9441133670791526</v>
      </c>
      <c r="J215" s="1504">
        <f ca="1">IF($A215&lt;EE_Date,VLOOKUP($A215,Curves_Table,Escalation!$D$291),Exch)</f>
        <v>1.0649999999999999</v>
      </c>
      <c r="K215" s="1505">
        <f t="shared" ca="1" si="51"/>
        <v>6846.7869989716401</v>
      </c>
      <c r="M215" s="691">
        <f ca="1">VLOOKUP($A215,Tariff_Table,Tariff!$F$33)</f>
        <v>0.32299787364932253</v>
      </c>
      <c r="N215" s="1481">
        <f t="shared" ca="1" si="52"/>
        <v>739.77009303834132</v>
      </c>
      <c r="O215" s="1480">
        <f ca="1">VLOOKUP($A215,Curves_Table,Escalation!$R$291)</f>
        <v>3.9328867884073979</v>
      </c>
      <c r="P215" s="1505">
        <f t="shared" ca="1" si="53"/>
        <v>2909.4320253694041</v>
      </c>
      <c r="R215" s="1506">
        <f t="shared" ca="1" si="54"/>
        <v>9756.2190243410441</v>
      </c>
      <c r="S215" s="330">
        <f ca="1">'Plant Operations'!C215</f>
        <v>480</v>
      </c>
      <c r="T215" s="1481">
        <f t="shared" ca="1" si="55"/>
        <v>4682.9851316837021</v>
      </c>
      <c r="U215" s="1504">
        <f t="shared" ca="1" si="56"/>
        <v>2.9441133670791526</v>
      </c>
      <c r="V215" s="384">
        <f t="shared" ca="1" si="57"/>
        <v>1590.6266328085321</v>
      </c>
      <c r="W215" s="692" t="str">
        <f t="shared" ca="1" si="45"/>
        <v xml:space="preserve"> </v>
      </c>
      <c r="Y215" s="1507">
        <f ca="1">IF($A215&gt;Endyr,0,VLOOKUP($A215,Tariff_Table,Tariff!$J$33))</f>
        <v>0.19</v>
      </c>
      <c r="Z215" s="1504">
        <f ca="1">VLOOKUP($A215,Curves_Table,Escalation!$AH$291)</f>
        <v>3.9328867884073979</v>
      </c>
      <c r="AA215" s="1504">
        <f t="shared" ca="1" si="58"/>
        <v>0.74724848979740566</v>
      </c>
      <c r="AB215" s="334">
        <f ca="1">'Plant Operations'!$I215+'Plant Operations'!$M215</f>
        <v>298980.864</v>
      </c>
      <c r="AC215" s="1481">
        <f t="shared" ca="1" si="46"/>
        <v>223.41299910232351</v>
      </c>
      <c r="AD215" s="1504">
        <f t="shared" ca="1" si="47"/>
        <v>2.9441133670791526</v>
      </c>
      <c r="AE215" s="335">
        <f t="shared" ca="1" si="59"/>
        <v>75.884645476125456</v>
      </c>
      <c r="AF215" s="698" t="str">
        <f t="shared" ca="1" si="48"/>
        <v xml:space="preserve"> </v>
      </c>
    </row>
    <row r="216" spans="1:32">
      <c r="A216" s="672">
        <f ca="1">'Plant Operations'!A216</f>
        <v>42461</v>
      </c>
      <c r="C216" s="1503">
        <f ca="1">IF($A216&gt;Endyr,0,VLOOKUP($A216,Tariff_Table,Tariff!$D$33))</f>
        <v>2290.3249630723781</v>
      </c>
      <c r="E216" s="691">
        <f ca="1">VLOOKUP($A216,Tariff_Table,Tariff!$E$33)</f>
        <v>0.67700212635067747</v>
      </c>
      <c r="F216" s="1481">
        <f t="shared" ca="1" si="49"/>
        <v>1550.5548700340369</v>
      </c>
      <c r="G216" s="1480">
        <f ca="1">VLOOKUP($A216,Curves_Table,Escalation!$N$291)</f>
        <v>1.5973303982415077</v>
      </c>
      <c r="H216" s="1481">
        <f t="shared" ca="1" si="50"/>
        <v>2476.7484280467775</v>
      </c>
      <c r="I216" s="1504">
        <f ca="1">IF(Assm!$L$74=0,VLOOKUP($A216,Curves_Table,Escalation!$D$291),VLOOKUP($A216,Curves_Table,Escalation!$E$291))</f>
        <v>2.948977872857161</v>
      </c>
      <c r="J216" s="1504">
        <f ca="1">IF($A216&lt;EE_Date,VLOOKUP($A216,Curves_Table,Escalation!$D$291),Exch)</f>
        <v>1.0649999999999999</v>
      </c>
      <c r="K216" s="1505">
        <f t="shared" ca="1" si="51"/>
        <v>6858.0998224823506</v>
      </c>
      <c r="M216" s="691">
        <f ca="1">VLOOKUP($A216,Tariff_Table,Tariff!$F$33)</f>
        <v>0.32299787364932253</v>
      </c>
      <c r="N216" s="1481">
        <f t="shared" ca="1" si="52"/>
        <v>739.77009303834132</v>
      </c>
      <c r="O216" s="1480">
        <f ca="1">VLOOKUP($A216,Curves_Table,Escalation!$R$291)</f>
        <v>3.9328867884073979</v>
      </c>
      <c r="P216" s="1505">
        <f t="shared" ca="1" si="53"/>
        <v>2909.4320253694041</v>
      </c>
      <c r="R216" s="1506">
        <f t="shared" ca="1" si="54"/>
        <v>9767.5318478517547</v>
      </c>
      <c r="S216" s="330">
        <f ca="1">'Plant Operations'!C216</f>
        <v>480</v>
      </c>
      <c r="T216" s="1481">
        <f t="shared" ca="1" si="55"/>
        <v>4688.4152869688423</v>
      </c>
      <c r="U216" s="1504">
        <f t="shared" ca="1" si="56"/>
        <v>2.948977872857161</v>
      </c>
      <c r="V216" s="384">
        <f t="shared" ca="1" si="57"/>
        <v>1589.8441728307719</v>
      </c>
      <c r="W216" s="692" t="str">
        <f t="shared" ca="1" si="45"/>
        <v xml:space="preserve"> </v>
      </c>
      <c r="Y216" s="1507">
        <f ca="1">IF($A216&gt;Endyr,0,VLOOKUP($A216,Tariff_Table,Tariff!$J$33))</f>
        <v>0.19</v>
      </c>
      <c r="Z216" s="1504">
        <f ca="1">VLOOKUP($A216,Curves_Table,Escalation!$AH$291)</f>
        <v>3.9328867884073979</v>
      </c>
      <c r="AA216" s="1504">
        <f t="shared" ca="1" si="58"/>
        <v>0.74724848979740566</v>
      </c>
      <c r="AB216" s="334">
        <f ca="1">'Plant Operations'!$I216+'Plant Operations'!$M216</f>
        <v>289336.32000000001</v>
      </c>
      <c r="AC216" s="1481">
        <f t="shared" ca="1" si="46"/>
        <v>216.20612816353889</v>
      </c>
      <c r="AD216" s="1504">
        <f t="shared" ca="1" si="47"/>
        <v>2.948977872857161</v>
      </c>
      <c r="AE216" s="335">
        <f t="shared" ca="1" si="59"/>
        <v>73.315615608218991</v>
      </c>
      <c r="AF216" s="698" t="str">
        <f t="shared" ca="1" si="48"/>
        <v xml:space="preserve"> </v>
      </c>
    </row>
    <row r="217" spans="1:32">
      <c r="A217" s="672">
        <f ca="1">'Plant Operations'!A217</f>
        <v>42491</v>
      </c>
      <c r="C217" s="1503">
        <f ca="1">IF($A217&gt;Endyr,0,VLOOKUP($A217,Tariff_Table,Tariff!$D$33))</f>
        <v>2290.3249630723781</v>
      </c>
      <c r="E217" s="691">
        <f ca="1">VLOOKUP($A217,Tariff_Table,Tariff!$E$33)</f>
        <v>0.67700212635067747</v>
      </c>
      <c r="F217" s="1481">
        <f t="shared" ca="1" si="49"/>
        <v>1550.5548700340369</v>
      </c>
      <c r="G217" s="1480">
        <f ca="1">VLOOKUP($A217,Curves_Table,Escalation!$N$291)</f>
        <v>1.6389834445299432</v>
      </c>
      <c r="H217" s="1481">
        <f t="shared" ca="1" si="50"/>
        <v>2541.3337618210639</v>
      </c>
      <c r="I217" s="1504">
        <f ca="1">IF(Assm!$L$74=0,VLOOKUP($A217,Curves_Table,Escalation!$D$291),VLOOKUP($A217,Curves_Table,Escalation!$E$291))</f>
        <v>2.9538504161709276</v>
      </c>
      <c r="J217" s="1504">
        <f ca="1">IF($A217&lt;EE_Date,VLOOKUP($A217,Curves_Table,Escalation!$D$291),Exch)</f>
        <v>1.0649999999999999</v>
      </c>
      <c r="K217" s="1505">
        <f t="shared" ca="1" si="51"/>
        <v>7048.5631830839238</v>
      </c>
      <c r="M217" s="691">
        <f ca="1">VLOOKUP($A217,Tariff_Table,Tariff!$F$33)</f>
        <v>0.32299787364932253</v>
      </c>
      <c r="N217" s="1481">
        <f t="shared" ca="1" si="52"/>
        <v>739.77009303834132</v>
      </c>
      <c r="O217" s="1480">
        <f ca="1">VLOOKUP($A217,Curves_Table,Escalation!$R$291)</f>
        <v>4.2042559768075041</v>
      </c>
      <c r="P217" s="1505">
        <f t="shared" ca="1" si="53"/>
        <v>3110.1828351198897</v>
      </c>
      <c r="R217" s="1506">
        <f t="shared" ca="1" si="54"/>
        <v>10158.746018203814</v>
      </c>
      <c r="S217" s="330">
        <f ca="1">'Plant Operations'!C217</f>
        <v>480</v>
      </c>
      <c r="T217" s="1481">
        <f t="shared" ca="1" si="55"/>
        <v>4876.1980887378304</v>
      </c>
      <c r="U217" s="1504">
        <f t="shared" ca="1" si="56"/>
        <v>2.9538504161709276</v>
      </c>
      <c r="V217" s="384">
        <f t="shared" ca="1" si="57"/>
        <v>1650.7938459046411</v>
      </c>
      <c r="W217" s="692" t="str">
        <f t="shared" ca="1" si="45"/>
        <v xml:space="preserve"> </v>
      </c>
      <c r="Y217" s="1507">
        <f ca="1">IF($A217&gt;Endyr,0,VLOOKUP($A217,Tariff_Table,Tariff!$J$33))</f>
        <v>0.19</v>
      </c>
      <c r="Z217" s="1504">
        <f ca="1">VLOOKUP($A217,Curves_Table,Escalation!$AH$291)</f>
        <v>4.2042559768075041</v>
      </c>
      <c r="AA217" s="1504">
        <f t="shared" ca="1" si="58"/>
        <v>0.79880863559342574</v>
      </c>
      <c r="AB217" s="334">
        <f ca="1">'Plant Operations'!$I217+'Plant Operations'!$M217</f>
        <v>298980.864</v>
      </c>
      <c r="AC217" s="1481">
        <f t="shared" ca="1" si="46"/>
        <v>238.82849604038358</v>
      </c>
      <c r="AD217" s="1504">
        <f t="shared" ca="1" si="47"/>
        <v>2.9538504161709276</v>
      </c>
      <c r="AE217" s="335">
        <f t="shared" ca="1" si="59"/>
        <v>80.853280427780305</v>
      </c>
      <c r="AF217" s="698" t="str">
        <f t="shared" ca="1" si="48"/>
        <v xml:space="preserve"> </v>
      </c>
    </row>
    <row r="218" spans="1:32">
      <c r="A218" s="672">
        <f ca="1">'Plant Operations'!A218</f>
        <v>42522</v>
      </c>
      <c r="C218" s="1503">
        <f ca="1">IF($A218&gt;Endyr,0,VLOOKUP($A218,Tariff_Table,Tariff!$D$33))</f>
        <v>2290.3249630723781</v>
      </c>
      <c r="E218" s="691">
        <f ca="1">VLOOKUP($A218,Tariff_Table,Tariff!$E$33)</f>
        <v>0.67700212635067747</v>
      </c>
      <c r="F218" s="1481">
        <f t="shared" ca="1" si="49"/>
        <v>1550.5548700340369</v>
      </c>
      <c r="G218" s="1480">
        <f ca="1">VLOOKUP($A218,Curves_Table,Escalation!$N$291)</f>
        <v>1.6389834445299432</v>
      </c>
      <c r="H218" s="1481">
        <f t="shared" ca="1" si="50"/>
        <v>2541.3337618210639</v>
      </c>
      <c r="I218" s="1504">
        <f ca="1">IF(Assm!$L$74=0,VLOOKUP($A218,Curves_Table,Escalation!$D$291),VLOOKUP($A218,Curves_Table,Escalation!$E$291))</f>
        <v>2.9587310103007285</v>
      </c>
      <c r="J218" s="1504">
        <f ca="1">IF($A218&lt;EE_Date,VLOOKUP($A218,Curves_Table,Escalation!$D$291),Exch)</f>
        <v>1.0649999999999999</v>
      </c>
      <c r="K218" s="1505">
        <f t="shared" ca="1" si="51"/>
        <v>7060.2093977691902</v>
      </c>
      <c r="M218" s="691">
        <f ca="1">VLOOKUP($A218,Tariff_Table,Tariff!$F$33)</f>
        <v>0.32299787364932253</v>
      </c>
      <c r="N218" s="1481">
        <f t="shared" ca="1" si="52"/>
        <v>739.77009303834132</v>
      </c>
      <c r="O218" s="1480">
        <f ca="1">VLOOKUP($A218,Curves_Table,Escalation!$R$291)</f>
        <v>4.2042559768075041</v>
      </c>
      <c r="P218" s="1505">
        <f t="shared" ca="1" si="53"/>
        <v>3110.1828351198897</v>
      </c>
      <c r="R218" s="1506">
        <f t="shared" ca="1" si="54"/>
        <v>10170.39223288908</v>
      </c>
      <c r="S218" s="330">
        <f ca="1">'Plant Operations'!C218</f>
        <v>480</v>
      </c>
      <c r="T218" s="1481">
        <f t="shared" ca="1" si="55"/>
        <v>4881.7882717867587</v>
      </c>
      <c r="U218" s="1504">
        <f t="shared" ca="1" si="56"/>
        <v>2.9587310103007285</v>
      </c>
      <c r="V218" s="384">
        <f t="shared" ca="1" si="57"/>
        <v>1649.9601534546287</v>
      </c>
      <c r="W218" s="692" t="str">
        <f t="shared" ca="1" si="45"/>
        <v xml:space="preserve"> </v>
      </c>
      <c r="Y218" s="1507">
        <f ca="1">IF($A218&gt;Endyr,0,VLOOKUP($A218,Tariff_Table,Tariff!$J$33))</f>
        <v>0.19</v>
      </c>
      <c r="Z218" s="1504">
        <f ca="1">VLOOKUP($A218,Curves_Table,Escalation!$AH$291)</f>
        <v>4.2042559768075041</v>
      </c>
      <c r="AA218" s="1504">
        <f t="shared" ca="1" si="58"/>
        <v>0.79880863559342574</v>
      </c>
      <c r="AB218" s="334">
        <f ca="1">'Plant Operations'!$I218+'Plant Operations'!$M218</f>
        <v>289336.32000000001</v>
      </c>
      <c r="AC218" s="1481">
        <f t="shared" ca="1" si="46"/>
        <v>231.12435100682285</v>
      </c>
      <c r="AD218" s="1504">
        <f t="shared" ca="1" si="47"/>
        <v>2.9587310103007285</v>
      </c>
      <c r="AE218" s="335">
        <f t="shared" ca="1" si="59"/>
        <v>78.116040357224335</v>
      </c>
      <c r="AF218" s="698" t="str">
        <f t="shared" ca="1" si="48"/>
        <v xml:space="preserve"> </v>
      </c>
    </row>
    <row r="219" spans="1:32">
      <c r="A219" s="672">
        <f ca="1">'Plant Operations'!A219</f>
        <v>42552</v>
      </c>
      <c r="C219" s="1503">
        <f ca="1">IF($A219&gt;Endyr,0,VLOOKUP($A219,Tariff_Table,Tariff!$D$33))</f>
        <v>2290.3249630723781</v>
      </c>
      <c r="E219" s="691">
        <f ca="1">VLOOKUP($A219,Tariff_Table,Tariff!$E$33)</f>
        <v>0.67700212635067747</v>
      </c>
      <c r="F219" s="1481">
        <f t="shared" ca="1" si="49"/>
        <v>1550.5548700340369</v>
      </c>
      <c r="G219" s="1480">
        <f ca="1">VLOOKUP($A219,Curves_Table,Escalation!$N$291)</f>
        <v>1.6389834445299432</v>
      </c>
      <c r="H219" s="1481">
        <f t="shared" ca="1" si="50"/>
        <v>2541.3337618210639</v>
      </c>
      <c r="I219" s="1504">
        <f ca="1">IF(Assm!$L$74=0,VLOOKUP($A219,Curves_Table,Escalation!$D$291),VLOOKUP($A219,Curves_Table,Escalation!$E$291))</f>
        <v>2.9636196685487834</v>
      </c>
      <c r="J219" s="1504">
        <f ca="1">IF($A219&lt;EE_Date,VLOOKUP($A219,Curves_Table,Escalation!$D$291),Exch)</f>
        <v>1.0649999999999999</v>
      </c>
      <c r="K219" s="1505">
        <f t="shared" ca="1" si="51"/>
        <v>7071.8748552863617</v>
      </c>
      <c r="M219" s="691">
        <f ca="1">VLOOKUP($A219,Tariff_Table,Tariff!$F$33)</f>
        <v>0.32299787364932253</v>
      </c>
      <c r="N219" s="1481">
        <f t="shared" ca="1" si="52"/>
        <v>739.77009303834132</v>
      </c>
      <c r="O219" s="1480">
        <f ca="1">VLOOKUP($A219,Curves_Table,Escalation!$R$291)</f>
        <v>4.2042559768075041</v>
      </c>
      <c r="P219" s="1505">
        <f t="shared" ca="1" si="53"/>
        <v>3110.1828351198897</v>
      </c>
      <c r="R219" s="1506">
        <f t="shared" ca="1" si="54"/>
        <v>10182.057690406251</v>
      </c>
      <c r="S219" s="330">
        <f ca="1">'Plant Operations'!C219</f>
        <v>480</v>
      </c>
      <c r="T219" s="1481">
        <f t="shared" ca="1" si="55"/>
        <v>4887.3876913950007</v>
      </c>
      <c r="U219" s="1504">
        <f t="shared" ca="1" si="56"/>
        <v>2.9636196685487834</v>
      </c>
      <c r="V219" s="384">
        <f t="shared" ca="1" si="57"/>
        <v>1649.1278362274611</v>
      </c>
      <c r="W219" s="692" t="str">
        <f t="shared" ca="1" si="45"/>
        <v xml:space="preserve"> </v>
      </c>
      <c r="Y219" s="1507">
        <f ca="1">IF($A219&gt;Endyr,0,VLOOKUP($A219,Tariff_Table,Tariff!$J$33))</f>
        <v>0.19</v>
      </c>
      <c r="Z219" s="1504">
        <f ca="1">VLOOKUP($A219,Curves_Table,Escalation!$AH$291)</f>
        <v>4.2042559768075041</v>
      </c>
      <c r="AA219" s="1504">
        <f t="shared" ca="1" si="58"/>
        <v>0.79880863559342574</v>
      </c>
      <c r="AB219" s="334">
        <f ca="1">'Plant Operations'!$I219+'Plant Operations'!$M219</f>
        <v>298980.864</v>
      </c>
      <c r="AC219" s="1481">
        <f t="shared" ca="1" si="46"/>
        <v>238.82849604038358</v>
      </c>
      <c r="AD219" s="1504">
        <f t="shared" ca="1" si="47"/>
        <v>2.9636196685487834</v>
      </c>
      <c r="AE219" s="335">
        <f t="shared" ca="1" si="59"/>
        <v>80.586756315236769</v>
      </c>
      <c r="AF219" s="698" t="str">
        <f t="shared" ca="1" si="48"/>
        <v xml:space="preserve"> </v>
      </c>
    </row>
    <row r="220" spans="1:32">
      <c r="A220" s="672">
        <f ca="1">'Plant Operations'!A220</f>
        <v>42583</v>
      </c>
      <c r="C220" s="1503">
        <f ca="1">IF($A220&gt;Endyr,0,VLOOKUP($A220,Tariff_Table,Tariff!$D$33))</f>
        <v>2290.3249630723781</v>
      </c>
      <c r="E220" s="691">
        <f ca="1">VLOOKUP($A220,Tariff_Table,Tariff!$E$33)</f>
        <v>0.67700212635067747</v>
      </c>
      <c r="F220" s="1481">
        <f t="shared" ca="1" si="49"/>
        <v>1550.5548700340369</v>
      </c>
      <c r="G220" s="1480">
        <f ca="1">VLOOKUP($A220,Curves_Table,Escalation!$N$291)</f>
        <v>1.6389834445299432</v>
      </c>
      <c r="H220" s="1481">
        <f t="shared" ca="1" si="50"/>
        <v>2541.3337618210639</v>
      </c>
      <c r="I220" s="1504">
        <f ca="1">IF(Assm!$L$74=0,VLOOKUP($A220,Curves_Table,Escalation!$D$291),VLOOKUP($A220,Curves_Table,Escalation!$E$291))</f>
        <v>2.9685164042392902</v>
      </c>
      <c r="J220" s="1504">
        <f ca="1">IF($A220&lt;EE_Date,VLOOKUP($A220,Curves_Table,Escalation!$D$291),Exch)</f>
        <v>1.0649999999999999</v>
      </c>
      <c r="K220" s="1505">
        <f t="shared" ca="1" si="51"/>
        <v>7083.5595874300225</v>
      </c>
      <c r="M220" s="691">
        <f ca="1">VLOOKUP($A220,Tariff_Table,Tariff!$F$33)</f>
        <v>0.32299787364932253</v>
      </c>
      <c r="N220" s="1481">
        <f t="shared" ca="1" si="52"/>
        <v>739.77009303834132</v>
      </c>
      <c r="O220" s="1480">
        <f ca="1">VLOOKUP($A220,Curves_Table,Escalation!$R$291)</f>
        <v>4.2042559768075041</v>
      </c>
      <c r="P220" s="1505">
        <f t="shared" ca="1" si="53"/>
        <v>3110.1828351198897</v>
      </c>
      <c r="R220" s="1506">
        <f t="shared" ca="1" si="54"/>
        <v>10193.742422549913</v>
      </c>
      <c r="S220" s="330">
        <f ca="1">'Plant Operations'!C220</f>
        <v>480</v>
      </c>
      <c r="T220" s="1481">
        <f t="shared" ca="1" si="55"/>
        <v>4892.9963628239575</v>
      </c>
      <c r="U220" s="1504">
        <f t="shared" ca="1" si="56"/>
        <v>2.9685164042392902</v>
      </c>
      <c r="V220" s="384">
        <f t="shared" ca="1" si="57"/>
        <v>1648.2968919546304</v>
      </c>
      <c r="W220" s="692" t="str">
        <f t="shared" ca="1" si="45"/>
        <v xml:space="preserve"> </v>
      </c>
      <c r="Y220" s="1507">
        <f ca="1">IF($A220&gt;Endyr,0,VLOOKUP($A220,Tariff_Table,Tariff!$J$33))</f>
        <v>0.19</v>
      </c>
      <c r="Z220" s="1504">
        <f ca="1">VLOOKUP($A220,Curves_Table,Escalation!$AH$291)</f>
        <v>4.2042559768075041</v>
      </c>
      <c r="AA220" s="1504">
        <f t="shared" ca="1" si="58"/>
        <v>0.79880863559342574</v>
      </c>
      <c r="AB220" s="334">
        <f ca="1">'Plant Operations'!$I220+'Plant Operations'!$M220</f>
        <v>298980.864</v>
      </c>
      <c r="AC220" s="1481">
        <f t="shared" ca="1" si="46"/>
        <v>238.82849604038358</v>
      </c>
      <c r="AD220" s="1504">
        <f t="shared" ca="1" si="47"/>
        <v>2.9685164042392902</v>
      </c>
      <c r="AE220" s="335">
        <f t="shared" ca="1" si="59"/>
        <v>80.453823903184926</v>
      </c>
      <c r="AF220" s="698" t="str">
        <f t="shared" ca="1" si="48"/>
        <v xml:space="preserve"> </v>
      </c>
    </row>
    <row r="221" spans="1:32">
      <c r="A221" s="672">
        <f ca="1">'Plant Operations'!A221</f>
        <v>42614</v>
      </c>
      <c r="C221" s="1503">
        <f ca="1">IF($A221&gt;Endyr,0,VLOOKUP($A221,Tariff_Table,Tariff!$D$33))</f>
        <v>2290.3249630723781</v>
      </c>
      <c r="E221" s="691">
        <f ca="1">VLOOKUP($A221,Tariff_Table,Tariff!$E$33)</f>
        <v>0.67700212635067747</v>
      </c>
      <c r="F221" s="1481">
        <f t="shared" ca="1" si="49"/>
        <v>1550.5548700340369</v>
      </c>
      <c r="G221" s="1480">
        <f ca="1">VLOOKUP($A221,Curves_Table,Escalation!$N$291)</f>
        <v>1.6389834445299432</v>
      </c>
      <c r="H221" s="1481">
        <f t="shared" ca="1" si="50"/>
        <v>2541.3337618210639</v>
      </c>
      <c r="I221" s="1504">
        <f ca="1">IF(Assm!$L$74=0,VLOOKUP($A221,Curves_Table,Escalation!$D$291),VLOOKUP($A221,Curves_Table,Escalation!$E$291))</f>
        <v>2.9734212307184622</v>
      </c>
      <c r="J221" s="1504">
        <f ca="1">IF($A221&lt;EE_Date,VLOOKUP($A221,Curves_Table,Escalation!$D$291),Exch)</f>
        <v>1.0649999999999999</v>
      </c>
      <c r="K221" s="1505">
        <f t="shared" ca="1" si="51"/>
        <v>7095.2636260472937</v>
      </c>
      <c r="M221" s="691">
        <f ca="1">VLOOKUP($A221,Tariff_Table,Tariff!$F$33)</f>
        <v>0.32299787364932253</v>
      </c>
      <c r="N221" s="1481">
        <f t="shared" ca="1" si="52"/>
        <v>739.77009303834132</v>
      </c>
      <c r="O221" s="1480">
        <f ca="1">VLOOKUP($A221,Curves_Table,Escalation!$R$291)</f>
        <v>4.2042559768075041</v>
      </c>
      <c r="P221" s="1505">
        <f t="shared" ca="1" si="53"/>
        <v>3110.1828351198897</v>
      </c>
      <c r="R221" s="1506">
        <f t="shared" ca="1" si="54"/>
        <v>10205.446461167183</v>
      </c>
      <c r="S221" s="330">
        <f ca="1">'Plant Operations'!C221</f>
        <v>480</v>
      </c>
      <c r="T221" s="1481">
        <f t="shared" ca="1" si="55"/>
        <v>4898.6143013602477</v>
      </c>
      <c r="U221" s="1504">
        <f t="shared" ca="1" si="56"/>
        <v>2.9734212307184622</v>
      </c>
      <c r="V221" s="384">
        <f t="shared" ca="1" si="57"/>
        <v>1647.4673183713714</v>
      </c>
      <c r="W221" s="692" t="str">
        <f t="shared" ca="1" si="45"/>
        <v xml:space="preserve"> </v>
      </c>
      <c r="Y221" s="1507">
        <f ca="1">IF($A221&gt;Endyr,0,VLOOKUP($A221,Tariff_Table,Tariff!$J$33))</f>
        <v>0.19</v>
      </c>
      <c r="Z221" s="1504">
        <f ca="1">VLOOKUP($A221,Curves_Table,Escalation!$AH$291)</f>
        <v>4.2042559768075041</v>
      </c>
      <c r="AA221" s="1504">
        <f t="shared" ca="1" si="58"/>
        <v>0.79880863559342574</v>
      </c>
      <c r="AB221" s="334">
        <f ca="1">'Plant Operations'!$I221+'Plant Operations'!$M221</f>
        <v>289336.32000000001</v>
      </c>
      <c r="AC221" s="1481">
        <f t="shared" ca="1" si="46"/>
        <v>231.12435100682285</v>
      </c>
      <c r="AD221" s="1504">
        <f t="shared" ca="1" si="47"/>
        <v>2.9734212307184622</v>
      </c>
      <c r="AE221" s="335">
        <f t="shared" ca="1" si="59"/>
        <v>77.730107197417396</v>
      </c>
      <c r="AF221" s="698" t="str">
        <f t="shared" ca="1" si="48"/>
        <v xml:space="preserve"> </v>
      </c>
    </row>
    <row r="222" spans="1:32">
      <c r="A222" s="672">
        <f ca="1">'Plant Operations'!A222</f>
        <v>42644</v>
      </c>
      <c r="C222" s="1503">
        <f ca="1">IF($A222&gt;Endyr,0,VLOOKUP($A222,Tariff_Table,Tariff!$D$33))</f>
        <v>2290.3249630723781</v>
      </c>
      <c r="E222" s="691">
        <f ca="1">VLOOKUP($A222,Tariff_Table,Tariff!$E$33)</f>
        <v>0.67700212635067747</v>
      </c>
      <c r="F222" s="1481">
        <f t="shared" ca="1" si="49"/>
        <v>1550.5548700340369</v>
      </c>
      <c r="G222" s="1480">
        <f ca="1">VLOOKUP($A222,Curves_Table,Escalation!$N$291)</f>
        <v>1.6389834445299432</v>
      </c>
      <c r="H222" s="1481">
        <f t="shared" ca="1" si="50"/>
        <v>2541.3337618210639</v>
      </c>
      <c r="I222" s="1504">
        <f ca="1">IF(Assm!$L$74=0,VLOOKUP($A222,Curves_Table,Escalation!$D$291),VLOOKUP($A222,Curves_Table,Escalation!$E$291))</f>
        <v>2.9783341613545646</v>
      </c>
      <c r="J222" s="1504">
        <f ca="1">IF($A222&lt;EE_Date,VLOOKUP($A222,Curves_Table,Escalation!$D$291),Exch)</f>
        <v>1.0649999999999999</v>
      </c>
      <c r="K222" s="1505">
        <f t="shared" ca="1" si="51"/>
        <v>7106.9870030379152</v>
      </c>
      <c r="M222" s="691">
        <f ca="1">VLOOKUP($A222,Tariff_Table,Tariff!$F$33)</f>
        <v>0.32299787364932253</v>
      </c>
      <c r="N222" s="1481">
        <f t="shared" ca="1" si="52"/>
        <v>739.77009303834132</v>
      </c>
      <c r="O222" s="1480">
        <f ca="1">VLOOKUP($A222,Curves_Table,Escalation!$R$291)</f>
        <v>4.2042559768075041</v>
      </c>
      <c r="P222" s="1505">
        <f t="shared" ca="1" si="53"/>
        <v>3110.1828351198897</v>
      </c>
      <c r="R222" s="1506">
        <f t="shared" ca="1" si="54"/>
        <v>10217.169838157804</v>
      </c>
      <c r="S222" s="330">
        <f ca="1">'Plant Operations'!C222</f>
        <v>480</v>
      </c>
      <c r="T222" s="1481">
        <f t="shared" ca="1" si="55"/>
        <v>4904.2415223157459</v>
      </c>
      <c r="U222" s="1504">
        <f t="shared" ca="1" si="56"/>
        <v>2.9783341613545646</v>
      </c>
      <c r="V222" s="384">
        <f t="shared" ca="1" si="57"/>
        <v>1646.6391132166536</v>
      </c>
      <c r="W222" s="692" t="str">
        <f t="shared" ca="1" si="45"/>
        <v xml:space="preserve"> </v>
      </c>
      <c r="Y222" s="1507">
        <f ca="1">IF($A222&gt;Endyr,0,VLOOKUP($A222,Tariff_Table,Tariff!$J$33))</f>
        <v>0.19</v>
      </c>
      <c r="Z222" s="1504">
        <f ca="1">VLOOKUP($A222,Curves_Table,Escalation!$AH$291)</f>
        <v>4.2042559768075041</v>
      </c>
      <c r="AA222" s="1504">
        <f t="shared" ca="1" si="58"/>
        <v>0.79880863559342574</v>
      </c>
      <c r="AB222" s="334">
        <f ca="1">'Plant Operations'!$I222+'Plant Operations'!$M222</f>
        <v>298980.864</v>
      </c>
      <c r="AC222" s="1481">
        <f t="shared" ca="1" si="46"/>
        <v>238.82849604038358</v>
      </c>
      <c r="AD222" s="1504">
        <f t="shared" ca="1" si="47"/>
        <v>2.9783341613545646</v>
      </c>
      <c r="AE222" s="335">
        <f t="shared" ca="1" si="59"/>
        <v>80.188616555961914</v>
      </c>
      <c r="AF222" s="698" t="str">
        <f t="shared" ca="1" si="48"/>
        <v xml:space="preserve"> </v>
      </c>
    </row>
    <row r="223" spans="1:32">
      <c r="A223" s="672">
        <f ca="1">'Plant Operations'!A223</f>
        <v>42675</v>
      </c>
      <c r="C223" s="1503">
        <f ca="1">IF($A223&gt;Endyr,0,VLOOKUP($A223,Tariff_Table,Tariff!$D$33))</f>
        <v>2290.3249630723781</v>
      </c>
      <c r="E223" s="691">
        <f ca="1">VLOOKUP($A223,Tariff_Table,Tariff!$E$33)</f>
        <v>0.67700212635067747</v>
      </c>
      <c r="F223" s="1481">
        <f t="shared" ca="1" si="49"/>
        <v>1550.5548700340369</v>
      </c>
      <c r="G223" s="1480">
        <f ca="1">VLOOKUP($A223,Curves_Table,Escalation!$N$291)</f>
        <v>1.6389834445299432</v>
      </c>
      <c r="H223" s="1481">
        <f t="shared" ca="1" si="50"/>
        <v>2541.3337618210639</v>
      </c>
      <c r="I223" s="1504">
        <f ca="1">IF(Assm!$L$74=0,VLOOKUP($A223,Curves_Table,Escalation!$D$291),VLOOKUP($A223,Curves_Table,Escalation!$E$291))</f>
        <v>2.9832552095379512</v>
      </c>
      <c r="J223" s="1504">
        <f ca="1">IF($A223&lt;EE_Date,VLOOKUP($A223,Curves_Table,Escalation!$D$291),Exch)</f>
        <v>1.0649999999999999</v>
      </c>
      <c r="K223" s="1505">
        <f t="shared" ca="1" si="51"/>
        <v>7118.7297503543368</v>
      </c>
      <c r="M223" s="691">
        <f ca="1">VLOOKUP($A223,Tariff_Table,Tariff!$F$33)</f>
        <v>0.32299787364932253</v>
      </c>
      <c r="N223" s="1481">
        <f t="shared" ca="1" si="52"/>
        <v>739.77009303834132</v>
      </c>
      <c r="O223" s="1480">
        <f ca="1">VLOOKUP($A223,Curves_Table,Escalation!$R$291)</f>
        <v>4.2042559768075041</v>
      </c>
      <c r="P223" s="1505">
        <f t="shared" ca="1" si="53"/>
        <v>3110.1828351198897</v>
      </c>
      <c r="R223" s="1506">
        <f t="shared" ca="1" si="54"/>
        <v>10228.912585474227</v>
      </c>
      <c r="S223" s="330">
        <f ca="1">'Plant Operations'!C223</f>
        <v>480</v>
      </c>
      <c r="T223" s="1481">
        <f t="shared" ca="1" si="55"/>
        <v>4909.8780410276286</v>
      </c>
      <c r="U223" s="1504">
        <f t="shared" ca="1" si="56"/>
        <v>2.9832552095379512</v>
      </c>
      <c r="V223" s="384">
        <f t="shared" ca="1" si="57"/>
        <v>1645.812274233177</v>
      </c>
      <c r="W223" s="692" t="str">
        <f t="shared" ca="1" si="45"/>
        <v xml:space="preserve"> </v>
      </c>
      <c r="Y223" s="1507">
        <f ca="1">IF($A223&gt;Endyr,0,VLOOKUP($A223,Tariff_Table,Tariff!$J$33))</f>
        <v>0.19</v>
      </c>
      <c r="Z223" s="1504">
        <f ca="1">VLOOKUP($A223,Curves_Table,Escalation!$AH$291)</f>
        <v>4.2042559768075041</v>
      </c>
      <c r="AA223" s="1504">
        <f t="shared" ca="1" si="58"/>
        <v>0.79880863559342574</v>
      </c>
      <c r="AB223" s="334">
        <f ca="1">'Plant Operations'!$I223+'Plant Operations'!$M223</f>
        <v>289336.32000000001</v>
      </c>
      <c r="AC223" s="1481">
        <f t="shared" ca="1" si="46"/>
        <v>231.12435100682285</v>
      </c>
      <c r="AD223" s="1504">
        <f t="shared" ca="1" si="47"/>
        <v>2.9832552095379512</v>
      </c>
      <c r="AE223" s="335">
        <f t="shared" ca="1" si="59"/>
        <v>77.473878288347834</v>
      </c>
      <c r="AF223" s="698" t="str">
        <f t="shared" ca="1" si="48"/>
        <v xml:space="preserve"> </v>
      </c>
    </row>
    <row r="224" spans="1:32">
      <c r="A224" s="672">
        <f ca="1">'Plant Operations'!A224</f>
        <v>42705</v>
      </c>
      <c r="C224" s="1503">
        <f ca="1">IF($A224&gt;Endyr,0,VLOOKUP($A224,Tariff_Table,Tariff!$D$33))</f>
        <v>2290.3249630723781</v>
      </c>
      <c r="E224" s="691">
        <f ca="1">VLOOKUP($A224,Tariff_Table,Tariff!$E$33)</f>
        <v>0.67700212635067747</v>
      </c>
      <c r="F224" s="1481">
        <f t="shared" ca="1" si="49"/>
        <v>1550.5548700340369</v>
      </c>
      <c r="G224" s="1480">
        <f ca="1">VLOOKUP($A224,Curves_Table,Escalation!$N$291)</f>
        <v>1.6389834445299432</v>
      </c>
      <c r="H224" s="1481">
        <f t="shared" ca="1" si="50"/>
        <v>2541.3337618210639</v>
      </c>
      <c r="I224" s="1504">
        <f ca="1">IF(Assm!$L$74=0,VLOOKUP($A224,Curves_Table,Escalation!$D$291),VLOOKUP($A224,Curves_Table,Escalation!$E$291))</f>
        <v>2.9881843886810961</v>
      </c>
      <c r="J224" s="1504">
        <f ca="1">IF($A224&lt;EE_Date,VLOOKUP($A224,Curves_Table,Escalation!$D$291),Exch)</f>
        <v>1.0649999999999999</v>
      </c>
      <c r="K224" s="1505">
        <f t="shared" ca="1" si="51"/>
        <v>7130.4919000017908</v>
      </c>
      <c r="M224" s="691">
        <f ca="1">VLOOKUP($A224,Tariff_Table,Tariff!$F$33)</f>
        <v>0.32299787364932253</v>
      </c>
      <c r="N224" s="1481">
        <f t="shared" ca="1" si="52"/>
        <v>739.77009303834132</v>
      </c>
      <c r="O224" s="1480">
        <f ca="1">VLOOKUP($A224,Curves_Table,Escalation!$R$291)</f>
        <v>4.2042559768075041</v>
      </c>
      <c r="P224" s="1505">
        <f t="shared" ca="1" si="53"/>
        <v>3110.1828351198897</v>
      </c>
      <c r="R224" s="1506">
        <f t="shared" ca="1" si="54"/>
        <v>10240.67473512168</v>
      </c>
      <c r="S224" s="330">
        <f ca="1">'Plant Operations'!C224</f>
        <v>480</v>
      </c>
      <c r="T224" s="1481">
        <f t="shared" ca="1" si="55"/>
        <v>4915.5238728584063</v>
      </c>
      <c r="U224" s="1504">
        <f t="shared" ca="1" si="56"/>
        <v>2.9881843886810961</v>
      </c>
      <c r="V224" s="384">
        <f t="shared" ca="1" si="57"/>
        <v>1644.9867991673652</v>
      </c>
      <c r="W224" s="692">
        <f t="shared" ca="1" si="45"/>
        <v>19547.160857234136</v>
      </c>
      <c r="Y224" s="1507">
        <f ca="1">IF($A224&gt;Endyr,0,VLOOKUP($A224,Tariff_Table,Tariff!$J$33))</f>
        <v>0.19</v>
      </c>
      <c r="Z224" s="1504">
        <f ca="1">VLOOKUP($A224,Curves_Table,Escalation!$AH$291)</f>
        <v>4.2042559768075041</v>
      </c>
      <c r="AA224" s="1504">
        <f t="shared" ca="1" si="58"/>
        <v>0.79880863559342574</v>
      </c>
      <c r="AB224" s="334">
        <f ca="1">'Plant Operations'!$I224+'Plant Operations'!$M224</f>
        <v>298980.864</v>
      </c>
      <c r="AC224" s="1481">
        <f t="shared" ca="1" si="46"/>
        <v>238.82849604038358</v>
      </c>
      <c r="AD224" s="1504">
        <f t="shared" ca="1" si="47"/>
        <v>2.9881843886810961</v>
      </c>
      <c r="AE224" s="335">
        <f t="shared" ca="1" si="59"/>
        <v>79.924283436135624</v>
      </c>
      <c r="AF224" s="698">
        <f t="shared" ca="1" si="48"/>
        <v>931.7688214122478</v>
      </c>
    </row>
    <row r="225" spans="1:32">
      <c r="A225" s="672">
        <f ca="1">'Plant Operations'!A225</f>
        <v>42736</v>
      </c>
      <c r="C225" s="1503">
        <f ca="1">IF($A225&gt;Endyr,0,VLOOKUP($A225,Tariff_Table,Tariff!$D$33))</f>
        <v>2290.3249630723781</v>
      </c>
      <c r="E225" s="691">
        <f ca="1">VLOOKUP($A225,Tariff_Table,Tariff!$E$33)</f>
        <v>0.67700212635067747</v>
      </c>
      <c r="F225" s="1481">
        <f t="shared" ca="1" si="49"/>
        <v>1550.5548700340369</v>
      </c>
      <c r="G225" s="1480">
        <f ca="1">VLOOKUP($A225,Curves_Table,Escalation!$N$291)</f>
        <v>1.6389834445299432</v>
      </c>
      <c r="H225" s="1481">
        <f t="shared" ca="1" si="50"/>
        <v>2541.3337618210639</v>
      </c>
      <c r="I225" s="1504">
        <f ca="1">IF(Assm!$L$74=0,VLOOKUP($A225,Curves_Table,Escalation!$D$291),VLOOKUP($A225,Curves_Table,Escalation!$E$291))</f>
        <v>2.9931091016997291</v>
      </c>
      <c r="J225" s="1504">
        <f ca="1">IF($A225&lt;EE_Date,VLOOKUP($A225,Curves_Table,Escalation!$D$291),Exch)</f>
        <v>1.0649999999999999</v>
      </c>
      <c r="K225" s="1505">
        <f t="shared" ca="1" si="51"/>
        <v>7142.2433924539328</v>
      </c>
      <c r="M225" s="691">
        <f ca="1">VLOOKUP($A225,Tariff_Table,Tariff!$F$33)</f>
        <v>0.32299787364932253</v>
      </c>
      <c r="N225" s="1481">
        <f t="shared" ca="1" si="52"/>
        <v>739.77009303834132</v>
      </c>
      <c r="O225" s="1480">
        <f ca="1">VLOOKUP($A225,Curves_Table,Escalation!$R$291)</f>
        <v>4.2042559768075041</v>
      </c>
      <c r="P225" s="1505">
        <f t="shared" ca="1" si="53"/>
        <v>3110.1828351198897</v>
      </c>
      <c r="R225" s="1506">
        <f t="shared" ca="1" si="54"/>
        <v>10252.426227573822</v>
      </c>
      <c r="S225" s="330">
        <f ca="1">'Plant Operations'!C225</f>
        <v>480</v>
      </c>
      <c r="T225" s="1481">
        <f t="shared" ca="1" si="55"/>
        <v>4921.1645892354345</v>
      </c>
      <c r="U225" s="1504">
        <f t="shared" ca="1" si="56"/>
        <v>2.9931091016997291</v>
      </c>
      <c r="V225" s="384">
        <f t="shared" ca="1" si="57"/>
        <v>1644.1647871909513</v>
      </c>
      <c r="W225" s="692" t="str">
        <f t="shared" ca="1" si="45"/>
        <v xml:space="preserve"> </v>
      </c>
      <c r="Y225" s="1507">
        <f ca="1">IF($A225&gt;Endyr,0,VLOOKUP($A225,Tariff_Table,Tariff!$J$33))</f>
        <v>0.19</v>
      </c>
      <c r="Z225" s="1504">
        <f ca="1">VLOOKUP($A225,Curves_Table,Escalation!$AH$291)</f>
        <v>4.2042559768075041</v>
      </c>
      <c r="AA225" s="1504">
        <f t="shared" ca="1" si="58"/>
        <v>0.79880863559342574</v>
      </c>
      <c r="AB225" s="334">
        <f ca="1">'Plant Operations'!$I225+'Plant Operations'!$M225</f>
        <v>298980.864</v>
      </c>
      <c r="AC225" s="1481">
        <f t="shared" ca="1" si="46"/>
        <v>238.82849604038358</v>
      </c>
      <c r="AD225" s="1504">
        <f t="shared" ca="1" si="47"/>
        <v>2.9931091016997291</v>
      </c>
      <c r="AE225" s="335">
        <f t="shared" ca="1" si="59"/>
        <v>79.792779990798692</v>
      </c>
      <c r="AF225" s="698" t="str">
        <f t="shared" ca="1" si="48"/>
        <v xml:space="preserve"> </v>
      </c>
    </row>
    <row r="226" spans="1:32">
      <c r="A226" s="672">
        <f ca="1">'Plant Operations'!A226</f>
        <v>42767</v>
      </c>
      <c r="C226" s="1503">
        <f ca="1">IF($A226&gt;Endyr,0,VLOOKUP($A226,Tariff_Table,Tariff!$D$33))</f>
        <v>2290.3249630723781</v>
      </c>
      <c r="E226" s="691">
        <f ca="1">VLOOKUP($A226,Tariff_Table,Tariff!$E$33)</f>
        <v>0.67700212635067747</v>
      </c>
      <c r="F226" s="1481">
        <f t="shared" ca="1" si="49"/>
        <v>1550.5548700340369</v>
      </c>
      <c r="G226" s="1480">
        <f ca="1">VLOOKUP($A226,Curves_Table,Escalation!$N$291)</f>
        <v>1.6389834445299432</v>
      </c>
      <c r="H226" s="1481">
        <f t="shared" ca="1" si="50"/>
        <v>2541.3337618210639</v>
      </c>
      <c r="I226" s="1504">
        <f ca="1">IF(Assm!$L$74=0,VLOOKUP($A226,Curves_Table,Escalation!$D$291),VLOOKUP($A226,Curves_Table,Escalation!$E$291))</f>
        <v>2.9980419309505488</v>
      </c>
      <c r="J226" s="1504">
        <f ca="1">IF($A226&lt;EE_Date,VLOOKUP($A226,Curves_Table,Escalation!$D$291),Exch)</f>
        <v>1.0649999999999999</v>
      </c>
      <c r="K226" s="1505">
        <f t="shared" ca="1" si="51"/>
        <v>7154.0142520937516</v>
      </c>
      <c r="M226" s="691">
        <f ca="1">VLOOKUP($A226,Tariff_Table,Tariff!$F$33)</f>
        <v>0.32299787364932253</v>
      </c>
      <c r="N226" s="1481">
        <f t="shared" ca="1" si="52"/>
        <v>739.77009303834132</v>
      </c>
      <c r="O226" s="1480">
        <f ca="1">VLOOKUP($A226,Curves_Table,Escalation!$R$291)</f>
        <v>4.2042559768075041</v>
      </c>
      <c r="P226" s="1505">
        <f t="shared" ca="1" si="53"/>
        <v>3110.1828351198897</v>
      </c>
      <c r="R226" s="1506">
        <f t="shared" ca="1" si="54"/>
        <v>10264.197087213641</v>
      </c>
      <c r="S226" s="330">
        <f ca="1">'Plant Operations'!C226</f>
        <v>480</v>
      </c>
      <c r="T226" s="1481">
        <f t="shared" ca="1" si="55"/>
        <v>4926.8146018625475</v>
      </c>
      <c r="U226" s="1504">
        <f t="shared" ca="1" si="56"/>
        <v>2.9980419309505488</v>
      </c>
      <c r="V226" s="384">
        <f t="shared" ca="1" si="57"/>
        <v>1643.344127712206</v>
      </c>
      <c r="W226" s="692" t="str">
        <f t="shared" ca="1" si="45"/>
        <v xml:space="preserve"> </v>
      </c>
      <c r="Y226" s="1507">
        <f ca="1">IF($A226&gt;Endyr,0,VLOOKUP($A226,Tariff_Table,Tariff!$J$33))</f>
        <v>0.19</v>
      </c>
      <c r="Z226" s="1504">
        <f ca="1">VLOOKUP($A226,Curves_Table,Escalation!$AH$291)</f>
        <v>4.2042559768075041</v>
      </c>
      <c r="AA226" s="1504">
        <f t="shared" ca="1" si="58"/>
        <v>0.79880863559342574</v>
      </c>
      <c r="AB226" s="334">
        <f ca="1">'Plant Operations'!$I226+'Plant Operations'!$M226</f>
        <v>270047.23200000002</v>
      </c>
      <c r="AC226" s="1481">
        <f t="shared" ca="1" si="46"/>
        <v>215.71606093970129</v>
      </c>
      <c r="AD226" s="1504">
        <f t="shared" ca="1" si="47"/>
        <v>2.9980419309505488</v>
      </c>
      <c r="AE226" s="335">
        <f t="shared" ca="1" si="59"/>
        <v>71.952316181017224</v>
      </c>
      <c r="AF226" s="698" t="str">
        <f t="shared" ca="1" si="48"/>
        <v xml:space="preserve"> </v>
      </c>
    </row>
    <row r="227" spans="1:32">
      <c r="A227" s="672">
        <f ca="1">'Plant Operations'!A227</f>
        <v>42795</v>
      </c>
      <c r="C227" s="1503">
        <f ca="1">IF($A227&gt;Endyr,0,VLOOKUP($A227,Tariff_Table,Tariff!$D$33))</f>
        <v>2290.3249630723781</v>
      </c>
      <c r="E227" s="691">
        <f ca="1">VLOOKUP($A227,Tariff_Table,Tariff!$E$33)</f>
        <v>0.67700212635067747</v>
      </c>
      <c r="F227" s="1481">
        <f t="shared" ca="1" si="49"/>
        <v>1550.5548700340369</v>
      </c>
      <c r="G227" s="1480">
        <f ca="1">VLOOKUP($A227,Curves_Table,Escalation!$N$291)</f>
        <v>1.6389834445299432</v>
      </c>
      <c r="H227" s="1481">
        <f t="shared" ca="1" si="50"/>
        <v>2541.3337618210639</v>
      </c>
      <c r="I227" s="1504">
        <f ca="1">IF(Assm!$L$74=0,VLOOKUP($A227,Curves_Table,Escalation!$D$291),VLOOKUP($A227,Curves_Table,Escalation!$E$291))</f>
        <v>3.0029828898096089</v>
      </c>
      <c r="J227" s="1504">
        <f ca="1">IF($A227&lt;EE_Date,VLOOKUP($A227,Curves_Table,Escalation!$D$291),Exch)</f>
        <v>1.0649999999999999</v>
      </c>
      <c r="K227" s="1505">
        <f t="shared" ca="1" si="51"/>
        <v>7165.8045108395709</v>
      </c>
      <c r="M227" s="691">
        <f ca="1">VLOOKUP($A227,Tariff_Table,Tariff!$F$33)</f>
        <v>0.32299787364932253</v>
      </c>
      <c r="N227" s="1481">
        <f t="shared" ca="1" si="52"/>
        <v>739.77009303834132</v>
      </c>
      <c r="O227" s="1480">
        <f ca="1">VLOOKUP($A227,Curves_Table,Escalation!$R$291)</f>
        <v>4.2042559768075041</v>
      </c>
      <c r="P227" s="1505">
        <f t="shared" ca="1" si="53"/>
        <v>3110.1828351198897</v>
      </c>
      <c r="R227" s="1506">
        <f t="shared" ca="1" si="54"/>
        <v>10275.98734595946</v>
      </c>
      <c r="S227" s="330">
        <f ca="1">'Plant Operations'!C227</f>
        <v>480</v>
      </c>
      <c r="T227" s="1481">
        <f t="shared" ca="1" si="55"/>
        <v>4932.4739260605402</v>
      </c>
      <c r="U227" s="1504">
        <f t="shared" ca="1" si="56"/>
        <v>3.0029828898096089</v>
      </c>
      <c r="V227" s="384">
        <f t="shared" ca="1" si="57"/>
        <v>1642.5248185057965</v>
      </c>
      <c r="W227" s="692" t="str">
        <f t="shared" ca="1" si="45"/>
        <v xml:space="preserve"> </v>
      </c>
      <c r="Y227" s="1507">
        <f ca="1">IF($A227&gt;Endyr,0,VLOOKUP($A227,Tariff_Table,Tariff!$J$33))</f>
        <v>0.19</v>
      </c>
      <c r="Z227" s="1504">
        <f ca="1">VLOOKUP($A227,Curves_Table,Escalation!$AH$291)</f>
        <v>4.2042559768075041</v>
      </c>
      <c r="AA227" s="1504">
        <f t="shared" ca="1" si="58"/>
        <v>0.79880863559342574</v>
      </c>
      <c r="AB227" s="334">
        <f ca="1">'Plant Operations'!$I227+'Plant Operations'!$M227</f>
        <v>298980.864</v>
      </c>
      <c r="AC227" s="1481">
        <f t="shared" ca="1" si="46"/>
        <v>238.82849604038358</v>
      </c>
      <c r="AD227" s="1504">
        <f t="shared" ca="1" si="47"/>
        <v>3.0029828898096089</v>
      </c>
      <c r="AE227" s="335">
        <f t="shared" ca="1" si="59"/>
        <v>79.530421851829288</v>
      </c>
      <c r="AF227" s="698" t="str">
        <f t="shared" ca="1" si="48"/>
        <v xml:space="preserve"> </v>
      </c>
    </row>
    <row r="228" spans="1:32">
      <c r="A228" s="672">
        <f ca="1">'Plant Operations'!A228</f>
        <v>42826</v>
      </c>
      <c r="C228" s="1503">
        <f ca="1">IF($A228&gt;Endyr,0,VLOOKUP($A228,Tariff_Table,Tariff!$D$33))</f>
        <v>2290.3249630723781</v>
      </c>
      <c r="E228" s="691">
        <f ca="1">VLOOKUP($A228,Tariff_Table,Tariff!$E$33)</f>
        <v>0.67700212635067747</v>
      </c>
      <c r="F228" s="1481">
        <f t="shared" ca="1" si="49"/>
        <v>1550.5548700340369</v>
      </c>
      <c r="G228" s="1480">
        <f ca="1">VLOOKUP($A228,Curves_Table,Escalation!$N$291)</f>
        <v>1.6389834445299432</v>
      </c>
      <c r="H228" s="1481">
        <f t="shared" ca="1" si="50"/>
        <v>2541.3337618210639</v>
      </c>
      <c r="I228" s="1504">
        <f ca="1">IF(Assm!$L$74=0,VLOOKUP($A228,Curves_Table,Escalation!$D$291),VLOOKUP($A228,Curves_Table,Escalation!$E$291))</f>
        <v>3.0079319916750076</v>
      </c>
      <c r="J228" s="1504">
        <f ca="1">IF($A228&lt;EE_Date,VLOOKUP($A228,Curves_Table,Escalation!$D$291),Exch)</f>
        <v>1.0649999999999999</v>
      </c>
      <c r="K228" s="1505">
        <f t="shared" ca="1" si="51"/>
        <v>7177.6142006623222</v>
      </c>
      <c r="M228" s="691">
        <f ca="1">VLOOKUP($A228,Tariff_Table,Tariff!$F$33)</f>
        <v>0.32299787364932253</v>
      </c>
      <c r="N228" s="1481">
        <f t="shared" ca="1" si="52"/>
        <v>739.77009303834132</v>
      </c>
      <c r="O228" s="1480">
        <f ca="1">VLOOKUP($A228,Curves_Table,Escalation!$R$291)</f>
        <v>4.2042559768075041</v>
      </c>
      <c r="P228" s="1505">
        <f t="shared" ca="1" si="53"/>
        <v>3110.1828351198897</v>
      </c>
      <c r="R228" s="1506">
        <f t="shared" ca="1" si="54"/>
        <v>10287.797035782212</v>
      </c>
      <c r="S228" s="330">
        <f ca="1">'Plant Operations'!C228</f>
        <v>480</v>
      </c>
      <c r="T228" s="1481">
        <f t="shared" ca="1" si="55"/>
        <v>4938.1425771754621</v>
      </c>
      <c r="U228" s="1504">
        <f t="shared" ca="1" si="56"/>
        <v>3.0079319916750076</v>
      </c>
      <c r="V228" s="384">
        <f t="shared" ca="1" si="57"/>
        <v>1641.7068573500528</v>
      </c>
      <c r="W228" s="692" t="str">
        <f t="shared" ca="1" si="45"/>
        <v xml:space="preserve"> </v>
      </c>
      <c r="Y228" s="1507">
        <f ca="1">IF($A228&gt;Endyr,0,VLOOKUP($A228,Tariff_Table,Tariff!$J$33))</f>
        <v>0.19</v>
      </c>
      <c r="Z228" s="1504">
        <f ca="1">VLOOKUP($A228,Curves_Table,Escalation!$AH$291)</f>
        <v>4.2042559768075041</v>
      </c>
      <c r="AA228" s="1504">
        <f t="shared" ca="1" si="58"/>
        <v>0.79880863559342574</v>
      </c>
      <c r="AB228" s="334">
        <f ca="1">'Plant Operations'!$I228+'Plant Operations'!$M228</f>
        <v>289336.32000000001</v>
      </c>
      <c r="AC228" s="1481">
        <f t="shared" ca="1" si="46"/>
        <v>231.12435100682285</v>
      </c>
      <c r="AD228" s="1504">
        <f t="shared" ca="1" si="47"/>
        <v>3.0079319916750076</v>
      </c>
      <c r="AE228" s="335">
        <f t="shared" ca="1" si="59"/>
        <v>76.838290109783415</v>
      </c>
      <c r="AF228" s="698" t="str">
        <f t="shared" ca="1" si="48"/>
        <v xml:space="preserve"> </v>
      </c>
    </row>
    <row r="229" spans="1:32">
      <c r="A229" s="672">
        <f ca="1">'Plant Operations'!A229</f>
        <v>42856</v>
      </c>
      <c r="C229" s="1503">
        <f ca="1">IF($A229&gt;Endyr,0,VLOOKUP($A229,Tariff_Table,Tariff!$D$33))</f>
        <v>2089.0491283676706</v>
      </c>
      <c r="E229" s="691">
        <f ca="1">VLOOKUP($A229,Tariff_Table,Tariff!$E$33)</f>
        <v>0.63099895312419418</v>
      </c>
      <c r="F229" s="1481">
        <f t="shared" ca="1" si="49"/>
        <v>1318.1878130250104</v>
      </c>
      <c r="G229" s="1480">
        <f ca="1">VLOOKUP($A229,Curves_Table,Escalation!$N$291)</f>
        <v>1.6825466987361488</v>
      </c>
      <c r="H229" s="1481">
        <f t="shared" ca="1" si="50"/>
        <v>2217.912553119455</v>
      </c>
      <c r="I229" s="1504">
        <f ca="1">IF(Assm!$L$74=0,VLOOKUP($A229,Curves_Table,Escalation!$D$291),VLOOKUP($A229,Curves_Table,Escalation!$E$291))</f>
        <v>3.012889249966924</v>
      </c>
      <c r="J229" s="1504">
        <f ca="1">IF($A229&lt;EE_Date,VLOOKUP($A229,Curves_Table,Escalation!$D$291),Exch)</f>
        <v>1.0649999999999999</v>
      </c>
      <c r="K229" s="1505">
        <f t="shared" ca="1" si="51"/>
        <v>6274.4834635307989</v>
      </c>
      <c r="M229" s="691">
        <f ca="1">VLOOKUP($A229,Tariff_Table,Tariff!$F$33)</f>
        <v>0.36900104687580582</v>
      </c>
      <c r="N229" s="1481">
        <f t="shared" ca="1" si="52"/>
        <v>770.86131534266008</v>
      </c>
      <c r="O229" s="1480">
        <f ca="1">VLOOKUP($A229,Curves_Table,Escalation!$R$291)</f>
        <v>4.4929477833336211</v>
      </c>
      <c r="P229" s="1505">
        <f t="shared" ca="1" si="53"/>
        <v>3463.4396380264443</v>
      </c>
      <c r="R229" s="1506">
        <f t="shared" ca="1" si="54"/>
        <v>9737.9231015572441</v>
      </c>
      <c r="S229" s="330">
        <f ca="1">'Plant Operations'!C229</f>
        <v>480</v>
      </c>
      <c r="T229" s="1481">
        <f t="shared" ca="1" si="55"/>
        <v>4674.2030887474775</v>
      </c>
      <c r="U229" s="1504">
        <f t="shared" ca="1" si="56"/>
        <v>3.012889249966924</v>
      </c>
      <c r="V229" s="384">
        <f t="shared" ca="1" si="57"/>
        <v>1551.4022258862624</v>
      </c>
      <c r="W229" s="692" t="str">
        <f t="shared" ca="1" si="45"/>
        <v xml:space="preserve"> </v>
      </c>
      <c r="Y229" s="1507">
        <f ca="1">IF($A229&gt;Endyr,0,VLOOKUP($A229,Tariff_Table,Tariff!$J$33))</f>
        <v>0.19</v>
      </c>
      <c r="Z229" s="1504">
        <f ca="1">VLOOKUP($A229,Curves_Table,Escalation!$AH$291)</f>
        <v>4.4929477833336211</v>
      </c>
      <c r="AA229" s="1504">
        <f t="shared" ca="1" si="58"/>
        <v>0.85366007883338801</v>
      </c>
      <c r="AB229" s="334">
        <f ca="1">'Plant Operations'!$I229+'Plant Operations'!$M229</f>
        <v>298980.864</v>
      </c>
      <c r="AC229" s="1481">
        <f t="shared" ca="1" si="46"/>
        <v>255.22802793191445</v>
      </c>
      <c r="AD229" s="1504">
        <f t="shared" ca="1" si="47"/>
        <v>3.012889249966924</v>
      </c>
      <c r="AE229" s="335">
        <f t="shared" ca="1" si="59"/>
        <v>84.71205104360088</v>
      </c>
      <c r="AF229" s="698" t="str">
        <f t="shared" ca="1" si="48"/>
        <v xml:space="preserve"> </v>
      </c>
    </row>
    <row r="230" spans="1:32">
      <c r="A230" s="672">
        <f ca="1">'Plant Operations'!A230</f>
        <v>42887</v>
      </c>
      <c r="C230" s="1503">
        <f ca="1">IF($A230&gt;Endyr,0,VLOOKUP($A230,Tariff_Table,Tariff!$D$33))</f>
        <v>2089.0491283676706</v>
      </c>
      <c r="E230" s="691">
        <f ca="1">VLOOKUP($A230,Tariff_Table,Tariff!$E$33)</f>
        <v>0.63099895312419418</v>
      </c>
      <c r="F230" s="1481">
        <f t="shared" ca="1" si="49"/>
        <v>1318.1878130250104</v>
      </c>
      <c r="G230" s="1480">
        <f ca="1">VLOOKUP($A230,Curves_Table,Escalation!$N$291)</f>
        <v>1.6825466987361488</v>
      </c>
      <c r="H230" s="1481">
        <f t="shared" ca="1" si="50"/>
        <v>2217.912553119455</v>
      </c>
      <c r="I230" s="1504">
        <f ca="1">IF(Assm!$L$74=0,VLOOKUP($A230,Curves_Table,Escalation!$D$291),VLOOKUP($A230,Curves_Table,Escalation!$E$291))</f>
        <v>3.0178546781276538</v>
      </c>
      <c r="J230" s="1504">
        <f ca="1">IF($A230&lt;EE_Date,VLOOKUP($A230,Curves_Table,Escalation!$D$291),Exch)</f>
        <v>1.0649999999999999</v>
      </c>
      <c r="K230" s="1505">
        <f t="shared" ca="1" si="51"/>
        <v>6284.8242010418744</v>
      </c>
      <c r="M230" s="691">
        <f ca="1">VLOOKUP($A230,Tariff_Table,Tariff!$F$33)</f>
        <v>0.36900104687580582</v>
      </c>
      <c r="N230" s="1481">
        <f t="shared" ca="1" si="52"/>
        <v>770.86131534266008</v>
      </c>
      <c r="O230" s="1480">
        <f ca="1">VLOOKUP($A230,Curves_Table,Escalation!$R$291)</f>
        <v>4.4929477833336211</v>
      </c>
      <c r="P230" s="1505">
        <f t="shared" ca="1" si="53"/>
        <v>3463.4396380264443</v>
      </c>
      <c r="R230" s="1506">
        <f t="shared" ca="1" si="54"/>
        <v>9748.2638390683187</v>
      </c>
      <c r="S230" s="330">
        <f ca="1">'Plant Operations'!C230</f>
        <v>480</v>
      </c>
      <c r="T230" s="1481">
        <f t="shared" ca="1" si="55"/>
        <v>4679.1666427527925</v>
      </c>
      <c r="U230" s="1504">
        <f t="shared" ca="1" si="56"/>
        <v>3.0178546781276538</v>
      </c>
      <c r="V230" s="384">
        <f t="shared" ca="1" si="57"/>
        <v>1550.4943550349662</v>
      </c>
      <c r="W230" s="692" t="str">
        <f t="shared" ca="1" si="45"/>
        <v xml:space="preserve"> </v>
      </c>
      <c r="Y230" s="1507">
        <f ca="1">IF($A230&gt;Endyr,0,VLOOKUP($A230,Tariff_Table,Tariff!$J$33))</f>
        <v>0.19</v>
      </c>
      <c r="Z230" s="1504">
        <f ca="1">VLOOKUP($A230,Curves_Table,Escalation!$AH$291)</f>
        <v>4.4929477833336211</v>
      </c>
      <c r="AA230" s="1504">
        <f t="shared" ca="1" si="58"/>
        <v>0.85366007883338801</v>
      </c>
      <c r="AB230" s="334">
        <f ca="1">'Plant Operations'!$I230+'Plant Operations'!$M230</f>
        <v>289336.32000000001</v>
      </c>
      <c r="AC230" s="1481">
        <f t="shared" ca="1" si="46"/>
        <v>246.99486574056237</v>
      </c>
      <c r="AD230" s="1504">
        <f t="shared" ca="1" si="47"/>
        <v>3.0178546781276538</v>
      </c>
      <c r="AE230" s="335">
        <f t="shared" ca="1" si="59"/>
        <v>81.844519396740353</v>
      </c>
      <c r="AF230" s="698" t="str">
        <f t="shared" ca="1" si="48"/>
        <v xml:space="preserve"> </v>
      </c>
    </row>
    <row r="231" spans="1:32">
      <c r="A231" s="672">
        <f ca="1">'Plant Operations'!A231</f>
        <v>42917</v>
      </c>
      <c r="C231" s="1503">
        <f ca="1">IF($A231&gt;Endyr,0,VLOOKUP($A231,Tariff_Table,Tariff!$D$33))</f>
        <v>2089.0491283676706</v>
      </c>
      <c r="E231" s="691">
        <f ca="1">VLOOKUP($A231,Tariff_Table,Tariff!$E$33)</f>
        <v>0.63099895312419418</v>
      </c>
      <c r="F231" s="1481">
        <f t="shared" ca="1" si="49"/>
        <v>1318.1878130250104</v>
      </c>
      <c r="G231" s="1480">
        <f ca="1">VLOOKUP($A231,Curves_Table,Escalation!$N$291)</f>
        <v>1.6825466987361488</v>
      </c>
      <c r="H231" s="1481">
        <f t="shared" ca="1" si="50"/>
        <v>2217.912553119455</v>
      </c>
      <c r="I231" s="1504">
        <f ca="1">IF(Assm!$L$74=0,VLOOKUP($A231,Curves_Table,Escalation!$D$291),VLOOKUP($A231,Curves_Table,Escalation!$E$291))</f>
        <v>3.0228282896216476</v>
      </c>
      <c r="J231" s="1504">
        <f ca="1">IF($A231&lt;EE_Date,VLOOKUP($A231,Curves_Table,Escalation!$D$291),Exch)</f>
        <v>1.0649999999999999</v>
      </c>
      <c r="K231" s="1505">
        <f t="shared" ca="1" si="51"/>
        <v>6295.181980729074</v>
      </c>
      <c r="M231" s="691">
        <f ca="1">VLOOKUP($A231,Tariff_Table,Tariff!$F$33)</f>
        <v>0.36900104687580582</v>
      </c>
      <c r="N231" s="1481">
        <f t="shared" ca="1" si="52"/>
        <v>770.86131534266008</v>
      </c>
      <c r="O231" s="1480">
        <f ca="1">VLOOKUP($A231,Curves_Table,Escalation!$R$291)</f>
        <v>4.4929477833336211</v>
      </c>
      <c r="P231" s="1505">
        <f t="shared" ca="1" si="53"/>
        <v>3463.4396380264443</v>
      </c>
      <c r="R231" s="1506">
        <f t="shared" ca="1" si="54"/>
        <v>9758.6216187555183</v>
      </c>
      <c r="S231" s="330">
        <f ca="1">'Plant Operations'!C231</f>
        <v>480</v>
      </c>
      <c r="T231" s="1481">
        <f t="shared" ca="1" si="55"/>
        <v>4684.1383770026487</v>
      </c>
      <c r="U231" s="1504">
        <f t="shared" ca="1" si="56"/>
        <v>3.0228282896216476</v>
      </c>
      <c r="V231" s="384">
        <f t="shared" ca="1" si="57"/>
        <v>1549.5879779492666</v>
      </c>
      <c r="W231" s="692" t="str">
        <f t="shared" ca="1" si="45"/>
        <v xml:space="preserve"> </v>
      </c>
      <c r="Y231" s="1507">
        <f ca="1">IF($A231&gt;Endyr,0,VLOOKUP($A231,Tariff_Table,Tariff!$J$33))</f>
        <v>0.19</v>
      </c>
      <c r="Z231" s="1504">
        <f ca="1">VLOOKUP($A231,Curves_Table,Escalation!$AH$291)</f>
        <v>4.4929477833336211</v>
      </c>
      <c r="AA231" s="1504">
        <f t="shared" ca="1" si="58"/>
        <v>0.85366007883338801</v>
      </c>
      <c r="AB231" s="334">
        <f ca="1">'Plant Operations'!$I231+'Plant Operations'!$M231</f>
        <v>298980.864</v>
      </c>
      <c r="AC231" s="1481">
        <f t="shared" ca="1" si="46"/>
        <v>255.22802793191445</v>
      </c>
      <c r="AD231" s="1504">
        <f t="shared" ca="1" si="47"/>
        <v>3.0228282896216476</v>
      </c>
      <c r="AE231" s="335">
        <f t="shared" ca="1" si="59"/>
        <v>84.433518373569299</v>
      </c>
      <c r="AF231" s="698" t="str">
        <f t="shared" ca="1" si="48"/>
        <v xml:space="preserve"> </v>
      </c>
    </row>
    <row r="232" spans="1:32">
      <c r="A232" s="672">
        <f ca="1">'Plant Operations'!A232</f>
        <v>42948</v>
      </c>
      <c r="C232" s="1503">
        <f ca="1">IF($A232&gt;Endyr,0,VLOOKUP($A232,Tariff_Table,Tariff!$D$33))</f>
        <v>2089.0491283676706</v>
      </c>
      <c r="E232" s="691">
        <f ca="1">VLOOKUP($A232,Tariff_Table,Tariff!$E$33)</f>
        <v>0.63099895312419418</v>
      </c>
      <c r="F232" s="1481">
        <f t="shared" ca="1" si="49"/>
        <v>1318.1878130250104</v>
      </c>
      <c r="G232" s="1480">
        <f ca="1">VLOOKUP($A232,Curves_Table,Escalation!$N$291)</f>
        <v>1.6825466987361488</v>
      </c>
      <c r="H232" s="1481">
        <f t="shared" ca="1" si="50"/>
        <v>2217.912553119455</v>
      </c>
      <c r="I232" s="1504">
        <f ca="1">IF(Assm!$L$74=0,VLOOKUP($A232,Curves_Table,Escalation!$D$291),VLOOKUP($A232,Curves_Table,Escalation!$E$291))</f>
        <v>3.0278100979355456</v>
      </c>
      <c r="J232" s="1504">
        <f ca="1">IF($A232&lt;EE_Date,VLOOKUP($A232,Curves_Table,Escalation!$D$291),Exch)</f>
        <v>1.0649999999999999</v>
      </c>
      <c r="K232" s="1505">
        <f t="shared" ca="1" si="51"/>
        <v>6305.556830678961</v>
      </c>
      <c r="M232" s="691">
        <f ca="1">VLOOKUP($A232,Tariff_Table,Tariff!$F$33)</f>
        <v>0.36900104687580582</v>
      </c>
      <c r="N232" s="1481">
        <f t="shared" ca="1" si="52"/>
        <v>770.86131534266008</v>
      </c>
      <c r="O232" s="1480">
        <f ca="1">VLOOKUP($A232,Curves_Table,Escalation!$R$291)</f>
        <v>4.4929477833336211</v>
      </c>
      <c r="P232" s="1505">
        <f t="shared" ca="1" si="53"/>
        <v>3463.4396380264443</v>
      </c>
      <c r="R232" s="1506">
        <f t="shared" ca="1" si="54"/>
        <v>9768.9964687054053</v>
      </c>
      <c r="S232" s="330">
        <f ca="1">'Plant Operations'!C232</f>
        <v>480</v>
      </c>
      <c r="T232" s="1481">
        <f t="shared" ca="1" si="55"/>
        <v>4689.1183049785941</v>
      </c>
      <c r="U232" s="1504">
        <f t="shared" ca="1" si="56"/>
        <v>3.0278100979355456</v>
      </c>
      <c r="V232" s="384">
        <f t="shared" ca="1" si="57"/>
        <v>1548.6830921713947</v>
      </c>
      <c r="W232" s="692" t="str">
        <f t="shared" ca="1" si="45"/>
        <v xml:space="preserve"> </v>
      </c>
      <c r="Y232" s="1507">
        <f ca="1">IF($A232&gt;Endyr,0,VLOOKUP($A232,Tariff_Table,Tariff!$J$33))</f>
        <v>0.19</v>
      </c>
      <c r="Z232" s="1504">
        <f ca="1">VLOOKUP($A232,Curves_Table,Escalation!$AH$291)</f>
        <v>4.4929477833336211</v>
      </c>
      <c r="AA232" s="1504">
        <f t="shared" ca="1" si="58"/>
        <v>0.85366007883338801</v>
      </c>
      <c r="AB232" s="334">
        <f ca="1">'Plant Operations'!$I232+'Plant Operations'!$M232</f>
        <v>298980.864</v>
      </c>
      <c r="AC232" s="1481">
        <f t="shared" ca="1" si="46"/>
        <v>255.22802793191445</v>
      </c>
      <c r="AD232" s="1504">
        <f t="shared" ca="1" si="47"/>
        <v>3.0278100979355456</v>
      </c>
      <c r="AE232" s="335">
        <f t="shared" ca="1" si="59"/>
        <v>84.294595657084571</v>
      </c>
      <c r="AF232" s="698" t="str">
        <f t="shared" ca="1" si="48"/>
        <v xml:space="preserve"> </v>
      </c>
    </row>
    <row r="233" spans="1:32">
      <c r="A233" s="672">
        <f ca="1">'Plant Operations'!A233</f>
        <v>42979</v>
      </c>
      <c r="C233" s="1503">
        <f ca="1">IF($A233&gt;Endyr,0,VLOOKUP($A233,Tariff_Table,Tariff!$D$33))</f>
        <v>2089.0491283676706</v>
      </c>
      <c r="E233" s="691">
        <f ca="1">VLOOKUP($A233,Tariff_Table,Tariff!$E$33)</f>
        <v>0.63099895312419418</v>
      </c>
      <c r="F233" s="1481">
        <f t="shared" ca="1" si="49"/>
        <v>1318.1878130250104</v>
      </c>
      <c r="G233" s="1480">
        <f ca="1">VLOOKUP($A233,Curves_Table,Escalation!$N$291)</f>
        <v>1.6825466987361488</v>
      </c>
      <c r="H233" s="1481">
        <f t="shared" ca="1" si="50"/>
        <v>2217.912553119455</v>
      </c>
      <c r="I233" s="1504">
        <f ca="1">IF(Assm!$L$74=0,VLOOKUP($A233,Curves_Table,Escalation!$D$291),VLOOKUP($A233,Curves_Table,Escalation!$E$291))</f>
        <v>3.0328001165782146</v>
      </c>
      <c r="J233" s="1504">
        <f ca="1">IF($A233&lt;EE_Date,VLOOKUP($A233,Curves_Table,Escalation!$D$291),Exch)</f>
        <v>1.0649999999999999</v>
      </c>
      <c r="K233" s="1505">
        <f t="shared" ca="1" si="51"/>
        <v>6315.9487790243838</v>
      </c>
      <c r="M233" s="691">
        <f ca="1">VLOOKUP($A233,Tariff_Table,Tariff!$F$33)</f>
        <v>0.36900104687580582</v>
      </c>
      <c r="N233" s="1481">
        <f t="shared" ca="1" si="52"/>
        <v>770.86131534266008</v>
      </c>
      <c r="O233" s="1480">
        <f ca="1">VLOOKUP($A233,Curves_Table,Escalation!$R$291)</f>
        <v>4.4929477833336211</v>
      </c>
      <c r="P233" s="1505">
        <f t="shared" ca="1" si="53"/>
        <v>3463.4396380264443</v>
      </c>
      <c r="R233" s="1506">
        <f t="shared" ca="1" si="54"/>
        <v>9779.3884170508281</v>
      </c>
      <c r="S233" s="330">
        <f ca="1">'Plant Operations'!C233</f>
        <v>480</v>
      </c>
      <c r="T233" s="1481">
        <f t="shared" ca="1" si="55"/>
        <v>4694.1064401843978</v>
      </c>
      <c r="U233" s="1504">
        <f t="shared" ca="1" si="56"/>
        <v>3.0328001165782146</v>
      </c>
      <c r="V233" s="384">
        <f t="shared" ca="1" si="57"/>
        <v>1547.7796952476274</v>
      </c>
      <c r="W233" s="692" t="str">
        <f t="shared" ca="1" si="45"/>
        <v xml:space="preserve"> </v>
      </c>
      <c r="Y233" s="1507">
        <f ca="1">IF($A233&gt;Endyr,0,VLOOKUP($A233,Tariff_Table,Tariff!$J$33))</f>
        <v>0.19</v>
      </c>
      <c r="Z233" s="1504">
        <f ca="1">VLOOKUP($A233,Curves_Table,Escalation!$AH$291)</f>
        <v>4.4929477833336211</v>
      </c>
      <c r="AA233" s="1504">
        <f t="shared" ca="1" si="58"/>
        <v>0.85366007883338801</v>
      </c>
      <c r="AB233" s="334">
        <f ca="1">'Plant Operations'!$I233+'Plant Operations'!$M233</f>
        <v>289336.32000000001</v>
      </c>
      <c r="AC233" s="1481">
        <f t="shared" ca="1" si="46"/>
        <v>246.99486574056237</v>
      </c>
      <c r="AD233" s="1504">
        <f t="shared" ca="1" si="47"/>
        <v>3.0328001165782146</v>
      </c>
      <c r="AE233" s="335">
        <f t="shared" ca="1" si="59"/>
        <v>81.441195016583109</v>
      </c>
      <c r="AF233" s="698" t="str">
        <f t="shared" ca="1" si="48"/>
        <v xml:space="preserve"> </v>
      </c>
    </row>
    <row r="234" spans="1:32">
      <c r="A234" s="672">
        <f ca="1">'Plant Operations'!A234</f>
        <v>43009</v>
      </c>
      <c r="C234" s="1503">
        <f ca="1">IF($A234&gt;Endyr,0,VLOOKUP($A234,Tariff_Table,Tariff!$D$33))</f>
        <v>2089.0491283676706</v>
      </c>
      <c r="E234" s="691">
        <f ca="1">VLOOKUP($A234,Tariff_Table,Tariff!$E$33)</f>
        <v>0.63099895312419418</v>
      </c>
      <c r="F234" s="1481">
        <f t="shared" ca="1" si="49"/>
        <v>1318.1878130250104</v>
      </c>
      <c r="G234" s="1480">
        <f ca="1">VLOOKUP($A234,Curves_Table,Escalation!$N$291)</f>
        <v>1.6825466987361488</v>
      </c>
      <c r="H234" s="1481">
        <f t="shared" ca="1" si="50"/>
        <v>2217.912553119455</v>
      </c>
      <c r="I234" s="1504">
        <f ca="1">IF(Assm!$L$74=0,VLOOKUP($A234,Curves_Table,Escalation!$D$291),VLOOKUP($A234,Curves_Table,Escalation!$E$291))</f>
        <v>3.0377983590807851</v>
      </c>
      <c r="J234" s="1504">
        <f ca="1">IF($A234&lt;EE_Date,VLOOKUP($A234,Curves_Table,Escalation!$D$291),Exch)</f>
        <v>1.0649999999999999</v>
      </c>
      <c r="K234" s="1505">
        <f t="shared" ca="1" si="51"/>
        <v>6326.3578539445589</v>
      </c>
      <c r="M234" s="691">
        <f ca="1">VLOOKUP($A234,Tariff_Table,Tariff!$F$33)</f>
        <v>0.36900104687580582</v>
      </c>
      <c r="N234" s="1481">
        <f t="shared" ca="1" si="52"/>
        <v>770.86131534266008</v>
      </c>
      <c r="O234" s="1480">
        <f ca="1">VLOOKUP($A234,Curves_Table,Escalation!$R$291)</f>
        <v>4.4929477833336211</v>
      </c>
      <c r="P234" s="1505">
        <f t="shared" ca="1" si="53"/>
        <v>3463.4396380264443</v>
      </c>
      <c r="R234" s="1506">
        <f t="shared" ca="1" si="54"/>
        <v>9789.7974919710032</v>
      </c>
      <c r="S234" s="330">
        <f ca="1">'Plant Operations'!C234</f>
        <v>480</v>
      </c>
      <c r="T234" s="1481">
        <f t="shared" ca="1" si="55"/>
        <v>4699.1027961460813</v>
      </c>
      <c r="U234" s="1504">
        <f t="shared" ca="1" si="56"/>
        <v>3.0377983590807851</v>
      </c>
      <c r="V234" s="384">
        <f t="shared" ca="1" si="57"/>
        <v>1546.8777847282774</v>
      </c>
      <c r="W234" s="692" t="str">
        <f t="shared" ca="1" si="45"/>
        <v xml:space="preserve"> </v>
      </c>
      <c r="Y234" s="1507">
        <f ca="1">IF($A234&gt;Endyr,0,VLOOKUP($A234,Tariff_Table,Tariff!$J$33))</f>
        <v>0.19</v>
      </c>
      <c r="Z234" s="1504">
        <f ca="1">VLOOKUP($A234,Curves_Table,Escalation!$AH$291)</f>
        <v>4.4929477833336211</v>
      </c>
      <c r="AA234" s="1504">
        <f t="shared" ca="1" si="58"/>
        <v>0.85366007883338801</v>
      </c>
      <c r="AB234" s="334">
        <f ca="1">'Plant Operations'!$I234+'Plant Operations'!$M234</f>
        <v>298980.864</v>
      </c>
      <c r="AC234" s="1481">
        <f t="shared" ca="1" si="46"/>
        <v>255.22802793191445</v>
      </c>
      <c r="AD234" s="1504">
        <f t="shared" ca="1" si="47"/>
        <v>3.0377983590807851</v>
      </c>
      <c r="AE234" s="335">
        <f t="shared" ca="1" si="59"/>
        <v>84.017435577634757</v>
      </c>
      <c r="AF234" s="698" t="str">
        <f t="shared" ca="1" si="48"/>
        <v xml:space="preserve"> </v>
      </c>
    </row>
    <row r="235" spans="1:32">
      <c r="A235" s="672">
        <f ca="1">'Plant Operations'!A235</f>
        <v>43040</v>
      </c>
      <c r="C235" s="1503">
        <f ca="1">IF($A235&gt;Endyr,0,VLOOKUP($A235,Tariff_Table,Tariff!$D$33))</f>
        <v>2089.0491283676706</v>
      </c>
      <c r="E235" s="691">
        <f ca="1">VLOOKUP($A235,Tariff_Table,Tariff!$E$33)</f>
        <v>0.63099895312419418</v>
      </c>
      <c r="F235" s="1481">
        <f t="shared" ca="1" si="49"/>
        <v>1318.1878130250104</v>
      </c>
      <c r="G235" s="1480">
        <f ca="1">VLOOKUP($A235,Curves_Table,Escalation!$N$291)</f>
        <v>1.6825466987361488</v>
      </c>
      <c r="H235" s="1481">
        <f t="shared" ca="1" si="50"/>
        <v>2217.912553119455</v>
      </c>
      <c r="I235" s="1504">
        <f ca="1">IF(Assm!$L$74=0,VLOOKUP($A235,Curves_Table,Escalation!$D$291),VLOOKUP($A235,Curves_Table,Escalation!$E$291))</f>
        <v>3.042804838996688</v>
      </c>
      <c r="J235" s="1504">
        <f ca="1">IF($A235&lt;EE_Date,VLOOKUP($A235,Curves_Table,Escalation!$D$291),Exch)</f>
        <v>1.0649999999999999</v>
      </c>
      <c r="K235" s="1505">
        <f t="shared" ca="1" si="51"/>
        <v>6336.7840836651421</v>
      </c>
      <c r="M235" s="691">
        <f ca="1">VLOOKUP($A235,Tariff_Table,Tariff!$F$33)</f>
        <v>0.36900104687580582</v>
      </c>
      <c r="N235" s="1481">
        <f t="shared" ca="1" si="52"/>
        <v>770.86131534266008</v>
      </c>
      <c r="O235" s="1480">
        <f ca="1">VLOOKUP($A235,Curves_Table,Escalation!$R$291)</f>
        <v>4.4929477833336211</v>
      </c>
      <c r="P235" s="1505">
        <f t="shared" ca="1" si="53"/>
        <v>3463.4396380264443</v>
      </c>
      <c r="R235" s="1506">
        <f t="shared" ca="1" si="54"/>
        <v>9800.2237216915855</v>
      </c>
      <c r="S235" s="330">
        <f ca="1">'Plant Operations'!C235</f>
        <v>480</v>
      </c>
      <c r="T235" s="1481">
        <f t="shared" ca="1" si="55"/>
        <v>4704.1073864119608</v>
      </c>
      <c r="U235" s="1504">
        <f t="shared" ca="1" si="56"/>
        <v>3.042804838996688</v>
      </c>
      <c r="V235" s="384">
        <f t="shared" ca="1" si="57"/>
        <v>1545.9773581676893</v>
      </c>
      <c r="W235" s="692" t="str">
        <f t="shared" ca="1" si="45"/>
        <v xml:space="preserve"> </v>
      </c>
      <c r="Y235" s="1507">
        <f ca="1">IF($A235&gt;Endyr,0,VLOOKUP($A235,Tariff_Table,Tariff!$J$33))</f>
        <v>0.19</v>
      </c>
      <c r="Z235" s="1504">
        <f ca="1">VLOOKUP($A235,Curves_Table,Escalation!$AH$291)</f>
        <v>4.4929477833336211</v>
      </c>
      <c r="AA235" s="1504">
        <f t="shared" ca="1" si="58"/>
        <v>0.85366007883338801</v>
      </c>
      <c r="AB235" s="334">
        <f ca="1">'Plant Operations'!$I235+'Plant Operations'!$M235</f>
        <v>289336.32000000001</v>
      </c>
      <c r="AC235" s="1481">
        <f t="shared" ca="1" si="46"/>
        <v>246.99486574056237</v>
      </c>
      <c r="AD235" s="1504">
        <f t="shared" ca="1" si="47"/>
        <v>3.042804838996688</v>
      </c>
      <c r="AE235" s="335">
        <f t="shared" ca="1" si="59"/>
        <v>81.173416899785337</v>
      </c>
      <c r="AF235" s="698" t="str">
        <f t="shared" ca="1" si="48"/>
        <v xml:space="preserve"> </v>
      </c>
    </row>
    <row r="236" spans="1:32">
      <c r="A236" s="672">
        <f ca="1">'Plant Operations'!A236</f>
        <v>43070</v>
      </c>
      <c r="C236" s="1503">
        <f ca="1">IF($A236&gt;Endyr,0,VLOOKUP($A236,Tariff_Table,Tariff!$D$33))</f>
        <v>2089.0491283676706</v>
      </c>
      <c r="E236" s="691">
        <f ca="1">VLOOKUP($A236,Tariff_Table,Tariff!$E$33)</f>
        <v>0.63099895312419418</v>
      </c>
      <c r="F236" s="1481">
        <f t="shared" ca="1" si="49"/>
        <v>1318.1878130250104</v>
      </c>
      <c r="G236" s="1480">
        <f ca="1">VLOOKUP($A236,Curves_Table,Escalation!$N$291)</f>
        <v>1.6825466987361488</v>
      </c>
      <c r="H236" s="1481">
        <f t="shared" ca="1" si="50"/>
        <v>2217.912553119455</v>
      </c>
      <c r="I236" s="1504">
        <f ca="1">IF(Assm!$L$74=0,VLOOKUP($A236,Curves_Table,Escalation!$D$291),VLOOKUP($A236,Curves_Table,Escalation!$E$291))</f>
        <v>3.0478195699016921</v>
      </c>
      <c r="J236" s="1504">
        <f ca="1">IF($A236&lt;EE_Date,VLOOKUP($A236,Curves_Table,Escalation!$D$291),Exch)</f>
        <v>1.0649999999999999</v>
      </c>
      <c r="K236" s="1505">
        <f t="shared" ca="1" si="51"/>
        <v>6347.2274964583112</v>
      </c>
      <c r="M236" s="691">
        <f ca="1">VLOOKUP($A236,Tariff_Table,Tariff!$F$33)</f>
        <v>0.36900104687580582</v>
      </c>
      <c r="N236" s="1481">
        <f t="shared" ca="1" si="52"/>
        <v>770.86131534266008</v>
      </c>
      <c r="O236" s="1480">
        <f ca="1">VLOOKUP($A236,Curves_Table,Escalation!$R$291)</f>
        <v>4.4929477833336211</v>
      </c>
      <c r="P236" s="1505">
        <f t="shared" ca="1" si="53"/>
        <v>3463.4396380264443</v>
      </c>
      <c r="R236" s="1506">
        <f t="shared" ca="1" si="54"/>
        <v>9810.6671344847564</v>
      </c>
      <c r="S236" s="330">
        <f ca="1">'Plant Operations'!C236</f>
        <v>480</v>
      </c>
      <c r="T236" s="1481">
        <f t="shared" ca="1" si="55"/>
        <v>4709.1202245526838</v>
      </c>
      <c r="U236" s="1504">
        <f t="shared" ca="1" si="56"/>
        <v>3.0478195699016921</v>
      </c>
      <c r="V236" s="384">
        <f t="shared" ca="1" si="57"/>
        <v>1545.0784131242315</v>
      </c>
      <c r="W236" s="692">
        <f t="shared" ca="1" si="45"/>
        <v>18957.621493068724</v>
      </c>
      <c r="Y236" s="1507">
        <f ca="1">IF($A236&gt;Endyr,0,VLOOKUP($A236,Tariff_Table,Tariff!$J$33))</f>
        <v>0.19</v>
      </c>
      <c r="Z236" s="1504">
        <f ca="1">VLOOKUP($A236,Curves_Table,Escalation!$AH$291)</f>
        <v>4.4929477833336211</v>
      </c>
      <c r="AA236" s="1504">
        <f t="shared" ca="1" si="58"/>
        <v>0.85366007883338801</v>
      </c>
      <c r="AB236" s="334">
        <f ca="1">'Plant Operations'!$I236+'Plant Operations'!$M236</f>
        <v>298980.864</v>
      </c>
      <c r="AC236" s="1481">
        <f t="shared" ca="1" si="46"/>
        <v>255.22802793191445</v>
      </c>
      <c r="AD236" s="1504">
        <f t="shared" ca="1" si="47"/>
        <v>3.0478195699016921</v>
      </c>
      <c r="AE236" s="335">
        <f t="shared" ca="1" si="59"/>
        <v>83.741186798714224</v>
      </c>
      <c r="AF236" s="698">
        <f t="shared" ca="1" si="48"/>
        <v>973.77172689714109</v>
      </c>
    </row>
    <row r="237" spans="1:32">
      <c r="A237" s="672">
        <f ca="1">'Plant Operations'!A237</f>
        <v>43101</v>
      </c>
      <c r="C237" s="1503">
        <f ca="1">IF($A237&gt;Endyr,0,VLOOKUP($A237,Tariff_Table,Tariff!$D$33))</f>
        <v>2089.0491283676706</v>
      </c>
      <c r="E237" s="691">
        <f ca="1">VLOOKUP($A237,Tariff_Table,Tariff!$E$33)</f>
        <v>0.63099895312419418</v>
      </c>
      <c r="F237" s="1481">
        <f t="shared" ca="1" si="49"/>
        <v>1318.1878130250104</v>
      </c>
      <c r="G237" s="1480">
        <f ca="1">VLOOKUP($A237,Curves_Table,Escalation!$N$291)</f>
        <v>1.6825466987361488</v>
      </c>
      <c r="H237" s="1481">
        <f t="shared" ca="1" si="50"/>
        <v>2217.912553119455</v>
      </c>
      <c r="I237" s="1504">
        <f ca="1">IF(Assm!$L$74=0,VLOOKUP($A237,Curves_Table,Escalation!$D$291),VLOOKUP($A237,Curves_Table,Escalation!$E$291))</f>
        <v>3.0528509811596467</v>
      </c>
      <c r="J237" s="1504">
        <f ca="1">IF($A237&lt;EE_Date,VLOOKUP($A237,Curves_Table,Escalation!$D$291),Exch)</f>
        <v>1.0649999999999999</v>
      </c>
      <c r="K237" s="1505">
        <f t="shared" ca="1" si="51"/>
        <v>6357.7056468704468</v>
      </c>
      <c r="M237" s="691">
        <f ca="1">VLOOKUP($A237,Tariff_Table,Tariff!$F$33)</f>
        <v>0.36900104687580582</v>
      </c>
      <c r="N237" s="1481">
        <f t="shared" ca="1" si="52"/>
        <v>770.86131534266008</v>
      </c>
      <c r="O237" s="1480">
        <f ca="1">VLOOKUP($A237,Curves_Table,Escalation!$R$291)</f>
        <v>4.4929477833336211</v>
      </c>
      <c r="P237" s="1505">
        <f t="shared" ca="1" si="53"/>
        <v>3463.4396380264443</v>
      </c>
      <c r="R237" s="1506">
        <f t="shared" ca="1" si="54"/>
        <v>9821.1452848968911</v>
      </c>
      <c r="S237" s="330">
        <f ca="1">'Plant Operations'!C237</f>
        <v>480</v>
      </c>
      <c r="T237" s="1481">
        <f t="shared" ca="1" si="55"/>
        <v>4714.1497367505081</v>
      </c>
      <c r="U237" s="1504">
        <f t="shared" ca="1" si="56"/>
        <v>3.0528509811596467</v>
      </c>
      <c r="V237" s="384">
        <f t="shared" ca="1" si="57"/>
        <v>1544.1794459812793</v>
      </c>
      <c r="W237" s="692" t="str">
        <f t="shared" ca="1" si="45"/>
        <v xml:space="preserve"> </v>
      </c>
      <c r="Y237" s="1507">
        <f ca="1">IF($A237&gt;Endyr,0,VLOOKUP($A237,Tariff_Table,Tariff!$J$33))</f>
        <v>0.19</v>
      </c>
      <c r="Z237" s="1504">
        <f ca="1">VLOOKUP($A237,Curves_Table,Escalation!$AH$291)</f>
        <v>4.4929477833336211</v>
      </c>
      <c r="AA237" s="1504">
        <f t="shared" ca="1" si="58"/>
        <v>0.85366007883338801</v>
      </c>
      <c r="AB237" s="334">
        <f ca="1">'Plant Operations'!$I237+'Plant Operations'!$M237</f>
        <v>298980.864</v>
      </c>
      <c r="AC237" s="1481">
        <f t="shared" ca="1" si="46"/>
        <v>255.22802793191445</v>
      </c>
      <c r="AD237" s="1504">
        <f t="shared" ca="1" si="47"/>
        <v>3.0528509811596467</v>
      </c>
      <c r="AE237" s="335">
        <f t="shared" ca="1" si="59"/>
        <v>83.603172741489104</v>
      </c>
      <c r="AF237" s="698" t="str">
        <f t="shared" ca="1" si="48"/>
        <v xml:space="preserve"> </v>
      </c>
    </row>
    <row r="238" spans="1:32">
      <c r="A238" s="672">
        <f ca="1">'Plant Operations'!A238</f>
        <v>43132</v>
      </c>
      <c r="C238" s="1503">
        <f ca="1">IF($A238&gt;Endyr,0,VLOOKUP($A238,Tariff_Table,Tariff!$D$33))</f>
        <v>2089.0491283676706</v>
      </c>
      <c r="E238" s="691">
        <f ca="1">VLOOKUP($A238,Tariff_Table,Tariff!$E$33)</f>
        <v>0.63099895312419418</v>
      </c>
      <c r="F238" s="1481">
        <f t="shared" ca="1" si="49"/>
        <v>1318.1878130250104</v>
      </c>
      <c r="G238" s="1480">
        <f ca="1">VLOOKUP($A238,Curves_Table,Escalation!$N$291)</f>
        <v>1.6825466987361488</v>
      </c>
      <c r="H238" s="1481">
        <f t="shared" ca="1" si="50"/>
        <v>2217.912553119455</v>
      </c>
      <c r="I238" s="1504">
        <f ca="1">IF(Assm!$L$74=0,VLOOKUP($A238,Curves_Table,Escalation!$D$291),VLOOKUP($A238,Curves_Table,Escalation!$E$291))</f>
        <v>3.057890698388039</v>
      </c>
      <c r="J238" s="1504">
        <f ca="1">IF($A238&lt;EE_Date,VLOOKUP($A238,Curves_Table,Escalation!$D$291),Exch)</f>
        <v>1.0649999999999999</v>
      </c>
      <c r="K238" s="1505">
        <f t="shared" ca="1" si="51"/>
        <v>6368.2010948563839</v>
      </c>
      <c r="M238" s="691">
        <f ca="1">VLOOKUP($A238,Tariff_Table,Tariff!$F$33)</f>
        <v>0.36900104687580582</v>
      </c>
      <c r="N238" s="1481">
        <f t="shared" ca="1" si="52"/>
        <v>770.86131534266008</v>
      </c>
      <c r="O238" s="1480">
        <f ca="1">VLOOKUP($A238,Curves_Table,Escalation!$R$291)</f>
        <v>4.4929477833336211</v>
      </c>
      <c r="P238" s="1505">
        <f t="shared" ca="1" si="53"/>
        <v>3463.4396380264443</v>
      </c>
      <c r="R238" s="1506">
        <f t="shared" ca="1" si="54"/>
        <v>9831.6407328828282</v>
      </c>
      <c r="S238" s="330">
        <f ca="1">'Plant Operations'!C238</f>
        <v>480</v>
      </c>
      <c r="T238" s="1481">
        <f t="shared" ca="1" si="55"/>
        <v>4719.187551783757</v>
      </c>
      <c r="U238" s="1504">
        <f t="shared" ca="1" si="56"/>
        <v>3.057890698388039</v>
      </c>
      <c r="V238" s="384">
        <f t="shared" ca="1" si="57"/>
        <v>1543.2819604283002</v>
      </c>
      <c r="W238" s="692" t="str">
        <f t="shared" ca="1" si="45"/>
        <v xml:space="preserve"> </v>
      </c>
      <c r="Y238" s="1507">
        <f ca="1">IF($A238&gt;Endyr,0,VLOOKUP($A238,Tariff_Table,Tariff!$J$33))</f>
        <v>0.19</v>
      </c>
      <c r="Z238" s="1504">
        <f ca="1">VLOOKUP($A238,Curves_Table,Escalation!$AH$291)</f>
        <v>4.4929477833336211</v>
      </c>
      <c r="AA238" s="1504">
        <f t="shared" ca="1" si="58"/>
        <v>0.85366007883338801</v>
      </c>
      <c r="AB238" s="334">
        <f ca="1">'Plant Operations'!$I238+'Plant Operations'!$M238</f>
        <v>270047.23200000002</v>
      </c>
      <c r="AC238" s="1481">
        <f t="shared" ca="1" si="46"/>
        <v>230.52854135785824</v>
      </c>
      <c r="AD238" s="1504">
        <f t="shared" ca="1" si="47"/>
        <v>3.057890698388039</v>
      </c>
      <c r="AE238" s="335">
        <f t="shared" ca="1" si="59"/>
        <v>75.388090712130719</v>
      </c>
      <c r="AF238" s="698" t="str">
        <f t="shared" ca="1" si="48"/>
        <v xml:space="preserve"> </v>
      </c>
    </row>
    <row r="239" spans="1:32">
      <c r="A239" s="672">
        <f ca="1">'Plant Operations'!A239</f>
        <v>43160</v>
      </c>
      <c r="C239" s="1503">
        <f ca="1">IF($A239&gt;Endyr,0,VLOOKUP($A239,Tariff_Table,Tariff!$D$33))</f>
        <v>2089.0491283676706</v>
      </c>
      <c r="E239" s="691">
        <f ca="1">VLOOKUP($A239,Tariff_Table,Tariff!$E$33)</f>
        <v>0.63099895312419418</v>
      </c>
      <c r="F239" s="1481">
        <f t="shared" ca="1" si="49"/>
        <v>1318.1878130250104</v>
      </c>
      <c r="G239" s="1480">
        <f ca="1">VLOOKUP($A239,Curves_Table,Escalation!$N$291)</f>
        <v>1.6825466987361488</v>
      </c>
      <c r="H239" s="1481">
        <f t="shared" ca="1" si="50"/>
        <v>2217.912553119455</v>
      </c>
      <c r="I239" s="1504">
        <f ca="1">IF(Assm!$L$74=0,VLOOKUP($A239,Curves_Table,Escalation!$D$291),VLOOKUP($A239,Curves_Table,Escalation!$E$291))</f>
        <v>3.0629387352985575</v>
      </c>
      <c r="J239" s="1504">
        <f ca="1">IF($A239&lt;EE_Date,VLOOKUP($A239,Curves_Table,Escalation!$D$291),Exch)</f>
        <v>1.0649999999999999</v>
      </c>
      <c r="K239" s="1505">
        <f t="shared" ca="1" si="51"/>
        <v>6378.7138689713602</v>
      </c>
      <c r="M239" s="691">
        <f ca="1">VLOOKUP($A239,Tariff_Table,Tariff!$F$33)</f>
        <v>0.36900104687580582</v>
      </c>
      <c r="N239" s="1481">
        <f t="shared" ca="1" si="52"/>
        <v>770.86131534266008</v>
      </c>
      <c r="O239" s="1480">
        <f ca="1">VLOOKUP($A239,Curves_Table,Escalation!$R$291)</f>
        <v>4.4929477833336211</v>
      </c>
      <c r="P239" s="1505">
        <f t="shared" ca="1" si="53"/>
        <v>3463.4396380264443</v>
      </c>
      <c r="R239" s="1506">
        <f t="shared" ca="1" si="54"/>
        <v>9842.1535069978054</v>
      </c>
      <c r="S239" s="330">
        <f ca="1">'Plant Operations'!C239</f>
        <v>480</v>
      </c>
      <c r="T239" s="1481">
        <f t="shared" ca="1" si="55"/>
        <v>4724.233683358947</v>
      </c>
      <c r="U239" s="1504">
        <f t="shared" ca="1" si="56"/>
        <v>3.0629387352985575</v>
      </c>
      <c r="V239" s="384">
        <f t="shared" ca="1" si="57"/>
        <v>1542.3859540234832</v>
      </c>
      <c r="W239" s="692" t="str">
        <f t="shared" ca="1" si="45"/>
        <v xml:space="preserve"> </v>
      </c>
      <c r="Y239" s="1507">
        <f ca="1">IF($A239&gt;Endyr,0,VLOOKUP($A239,Tariff_Table,Tariff!$J$33))</f>
        <v>0.19</v>
      </c>
      <c r="Z239" s="1504">
        <f ca="1">VLOOKUP($A239,Curves_Table,Escalation!$AH$291)</f>
        <v>4.4929477833336211</v>
      </c>
      <c r="AA239" s="1504">
        <f t="shared" ca="1" si="58"/>
        <v>0.85366007883338801</v>
      </c>
      <c r="AB239" s="334">
        <f ca="1">'Plant Operations'!$I239+'Plant Operations'!$M239</f>
        <v>298980.864</v>
      </c>
      <c r="AC239" s="1481">
        <f t="shared" ca="1" si="46"/>
        <v>255.22802793191445</v>
      </c>
      <c r="AD239" s="1504">
        <f t="shared" ca="1" si="47"/>
        <v>3.0629387352985575</v>
      </c>
      <c r="AE239" s="335">
        <f t="shared" ca="1" si="59"/>
        <v>83.327826636087224</v>
      </c>
      <c r="AF239" s="698" t="str">
        <f t="shared" ca="1" si="48"/>
        <v xml:space="preserve"> </v>
      </c>
    </row>
    <row r="240" spans="1:32">
      <c r="A240" s="672">
        <f ca="1">'Plant Operations'!A240</f>
        <v>43191</v>
      </c>
      <c r="C240" s="1503">
        <f ca="1">IF($A240&gt;Endyr,0,VLOOKUP($A240,Tariff_Table,Tariff!$D$33))</f>
        <v>2089.0491283676706</v>
      </c>
      <c r="E240" s="691">
        <f ca="1">VLOOKUP($A240,Tariff_Table,Tariff!$E$33)</f>
        <v>0.63099895312419418</v>
      </c>
      <c r="F240" s="1481">
        <f t="shared" ca="1" si="49"/>
        <v>1318.1878130250104</v>
      </c>
      <c r="G240" s="1480">
        <f ca="1">VLOOKUP($A240,Curves_Table,Escalation!$N$291)</f>
        <v>1.6825466987361488</v>
      </c>
      <c r="H240" s="1481">
        <f t="shared" ca="1" si="50"/>
        <v>2217.912553119455</v>
      </c>
      <c r="I240" s="1504">
        <f ca="1">IF(Assm!$L$74=0,VLOOKUP($A240,Curves_Table,Escalation!$D$291),VLOOKUP($A240,Curves_Table,Escalation!$E$291))</f>
        <v>3.0679951056255268</v>
      </c>
      <c r="J240" s="1504">
        <f ca="1">IF($A240&lt;EE_Date,VLOOKUP($A240,Curves_Table,Escalation!$D$291),Exch)</f>
        <v>1.0649999999999999</v>
      </c>
      <c r="K240" s="1505">
        <f t="shared" ca="1" si="51"/>
        <v>6389.2439978177508</v>
      </c>
      <c r="M240" s="691">
        <f ca="1">VLOOKUP($A240,Tariff_Table,Tariff!$F$33)</f>
        <v>0.36900104687580582</v>
      </c>
      <c r="N240" s="1481">
        <f t="shared" ca="1" si="52"/>
        <v>770.86131534266008</v>
      </c>
      <c r="O240" s="1480">
        <f ca="1">VLOOKUP($A240,Curves_Table,Escalation!$R$291)</f>
        <v>4.4929477833336211</v>
      </c>
      <c r="P240" s="1505">
        <f t="shared" ca="1" si="53"/>
        <v>3463.4396380264443</v>
      </c>
      <c r="R240" s="1506">
        <f t="shared" ca="1" si="54"/>
        <v>9852.6836358441942</v>
      </c>
      <c r="S240" s="330">
        <f ca="1">'Plant Operations'!C240</f>
        <v>480</v>
      </c>
      <c r="T240" s="1481">
        <f t="shared" ca="1" si="55"/>
        <v>4729.2881452052125</v>
      </c>
      <c r="U240" s="1504">
        <f t="shared" ca="1" si="56"/>
        <v>3.0679951056255268</v>
      </c>
      <c r="V240" s="384">
        <f t="shared" ca="1" si="57"/>
        <v>1541.4914243290386</v>
      </c>
      <c r="W240" s="692" t="str">
        <f t="shared" ca="1" si="45"/>
        <v xml:space="preserve"> </v>
      </c>
      <c r="Y240" s="1507">
        <f ca="1">IF($A240&gt;Endyr,0,VLOOKUP($A240,Tariff_Table,Tariff!$J$33))</f>
        <v>0.19</v>
      </c>
      <c r="Z240" s="1504">
        <f ca="1">VLOOKUP($A240,Curves_Table,Escalation!$AH$291)</f>
        <v>4.4929477833336211</v>
      </c>
      <c r="AA240" s="1504">
        <f t="shared" ca="1" si="58"/>
        <v>0.85366007883338801</v>
      </c>
      <c r="AB240" s="334">
        <f ca="1">'Plant Operations'!$I240+'Plant Operations'!$M240</f>
        <v>289336.32000000001</v>
      </c>
      <c r="AC240" s="1481">
        <f t="shared" ca="1" si="46"/>
        <v>246.99486574056237</v>
      </c>
      <c r="AD240" s="1504">
        <f t="shared" ca="1" si="47"/>
        <v>3.0679951056255268</v>
      </c>
      <c r="AE240" s="335">
        <f t="shared" ca="1" si="59"/>
        <v>80.506929521389551</v>
      </c>
      <c r="AF240" s="698" t="str">
        <f t="shared" ca="1" si="48"/>
        <v xml:space="preserve"> </v>
      </c>
    </row>
    <row r="241" spans="1:32">
      <c r="A241" s="672">
        <f ca="1">'Plant Operations'!A241</f>
        <v>43221</v>
      </c>
      <c r="C241" s="1503">
        <f ca="1">IF($A241&gt;Endyr,0,VLOOKUP($A241,Tariff_Table,Tariff!$D$33))</f>
        <v>1291.0185185185185</v>
      </c>
      <c r="E241" s="691">
        <f ca="1">VLOOKUP($A241,Tariff_Table,Tariff!$E$33)</f>
        <v>0.5400032880191058</v>
      </c>
      <c r="F241" s="1481">
        <f t="shared" ca="1" si="49"/>
        <v>697.15424489355485</v>
      </c>
      <c r="G241" s="1480">
        <f ca="1">VLOOKUP($A241,Curves_Table,Escalation!$N$291)</f>
        <v>1.7280133273368676</v>
      </c>
      <c r="H241" s="1481">
        <f t="shared" ca="1" si="50"/>
        <v>1204.6918263855332</v>
      </c>
      <c r="I241" s="1504">
        <f ca="1">IF(Assm!$L$74=0,VLOOKUP($A241,Curves_Table,Escalation!$D$291),VLOOKUP($A241,Curves_Table,Escalation!$E$291))</f>
        <v>3.0730598231259436</v>
      </c>
      <c r="J241" s="1504">
        <f ca="1">IF($A241&lt;EE_Date,VLOOKUP($A241,Curves_Table,Escalation!$D$291),Exch)</f>
        <v>1.0649999999999999</v>
      </c>
      <c r="K241" s="1505">
        <f t="shared" ca="1" si="51"/>
        <v>3476.1408928766168</v>
      </c>
      <c r="M241" s="691">
        <f ca="1">VLOOKUP($A241,Tariff_Table,Tariff!$F$33)</f>
        <v>0.4599967119808942</v>
      </c>
      <c r="N241" s="1481">
        <f t="shared" ca="1" si="52"/>
        <v>593.86427362496363</v>
      </c>
      <c r="O241" s="1480">
        <f ca="1">VLOOKUP($A241,Curves_Table,Escalation!$R$291)</f>
        <v>4.7984682326003112</v>
      </c>
      <c r="P241" s="1505">
        <f t="shared" ca="1" si="53"/>
        <v>2849.6388514656469</v>
      </c>
      <c r="R241" s="1506">
        <f t="shared" ca="1" si="54"/>
        <v>6325.7797443422642</v>
      </c>
      <c r="S241" s="330">
        <f ca="1">'Plant Operations'!C241</f>
        <v>480</v>
      </c>
      <c r="T241" s="1481">
        <f t="shared" ca="1" si="55"/>
        <v>3036.374277284287</v>
      </c>
      <c r="U241" s="1504">
        <f t="shared" ca="1" si="56"/>
        <v>3.0730598231259436</v>
      </c>
      <c r="V241" s="384">
        <f t="shared" ca="1" si="57"/>
        <v>988.06220901865174</v>
      </c>
      <c r="W241" s="692" t="str">
        <f t="shared" ca="1" si="45"/>
        <v xml:space="preserve"> </v>
      </c>
      <c r="Y241" s="1507">
        <f ca="1">IF($A241&gt;Endyr,0,VLOOKUP($A241,Tariff_Table,Tariff!$J$33))</f>
        <v>0.19</v>
      </c>
      <c r="Z241" s="1504">
        <f ca="1">VLOOKUP($A241,Curves_Table,Escalation!$AH$291)</f>
        <v>4.7984682326003112</v>
      </c>
      <c r="AA241" s="1504">
        <f t="shared" ca="1" si="58"/>
        <v>0.91170896419405911</v>
      </c>
      <c r="AB241" s="334">
        <f ca="1">'Plant Operations'!$I241+'Plant Operations'!$M241</f>
        <v>298980.864</v>
      </c>
      <c r="AC241" s="1481">
        <f t="shared" ca="1" si="46"/>
        <v>272.58353383128485</v>
      </c>
      <c r="AD241" s="1504">
        <f t="shared" ca="1" si="47"/>
        <v>3.0730598231259436</v>
      </c>
      <c r="AE241" s="335">
        <f t="shared" ca="1" si="59"/>
        <v>88.701017721812676</v>
      </c>
      <c r="AF241" s="698" t="str">
        <f t="shared" ca="1" si="48"/>
        <v xml:space="preserve"> </v>
      </c>
    </row>
    <row r="242" spans="1:32">
      <c r="A242" s="672">
        <f ca="1">'Plant Operations'!A242</f>
        <v>43252</v>
      </c>
      <c r="C242" s="1503">
        <f ca="1">IF($A242&gt;Endyr,0,VLOOKUP($A242,Tariff_Table,Tariff!$D$33))</f>
        <v>1291.0185185185185</v>
      </c>
      <c r="E242" s="691">
        <f ca="1">VLOOKUP($A242,Tariff_Table,Tariff!$E$33)</f>
        <v>0.5400032880191058</v>
      </c>
      <c r="F242" s="1481">
        <f t="shared" ca="1" si="49"/>
        <v>697.15424489355485</v>
      </c>
      <c r="G242" s="1480">
        <f ca="1">VLOOKUP($A242,Curves_Table,Escalation!$N$291)</f>
        <v>1.7280133273368676</v>
      </c>
      <c r="H242" s="1481">
        <f t="shared" ca="1" si="50"/>
        <v>1204.6918263855332</v>
      </c>
      <c r="I242" s="1504">
        <f ca="1">IF(Assm!$L$74=0,VLOOKUP($A242,Curves_Table,Escalation!$D$291),VLOOKUP($A242,Curves_Table,Escalation!$E$291))</f>
        <v>3.078132901579516</v>
      </c>
      <c r="J242" s="1504">
        <f ca="1">IF($A242&lt;EE_Date,VLOOKUP($A242,Curves_Table,Escalation!$D$291),Exch)</f>
        <v>1.0649999999999999</v>
      </c>
      <c r="K242" s="1505">
        <f t="shared" ca="1" si="51"/>
        <v>3481.8793869119513</v>
      </c>
      <c r="M242" s="691">
        <f ca="1">VLOOKUP($A242,Tariff_Table,Tariff!$F$33)</f>
        <v>0.4599967119808942</v>
      </c>
      <c r="N242" s="1481">
        <f t="shared" ca="1" si="52"/>
        <v>593.86427362496363</v>
      </c>
      <c r="O242" s="1480">
        <f ca="1">VLOOKUP($A242,Curves_Table,Escalation!$R$291)</f>
        <v>4.7984682326003112</v>
      </c>
      <c r="P242" s="1505">
        <f t="shared" ca="1" si="53"/>
        <v>2849.6388514656469</v>
      </c>
      <c r="R242" s="1506">
        <f t="shared" ca="1" si="54"/>
        <v>6331.5182383775982</v>
      </c>
      <c r="S242" s="330">
        <f ca="1">'Plant Operations'!C242</f>
        <v>480</v>
      </c>
      <c r="T242" s="1481">
        <f t="shared" ca="1" si="55"/>
        <v>3039.1287544212473</v>
      </c>
      <c r="U242" s="1504">
        <f t="shared" ca="1" si="56"/>
        <v>3.078132901579516</v>
      </c>
      <c r="V242" s="384">
        <f t="shared" ca="1" si="57"/>
        <v>987.32863446596014</v>
      </c>
      <c r="W242" s="692" t="str">
        <f t="shared" ca="1" si="45"/>
        <v xml:space="preserve"> </v>
      </c>
      <c r="Y242" s="1507">
        <f ca="1">IF($A242&gt;Endyr,0,VLOOKUP($A242,Tariff_Table,Tariff!$J$33))</f>
        <v>0.19</v>
      </c>
      <c r="Z242" s="1504">
        <f ca="1">VLOOKUP($A242,Curves_Table,Escalation!$AH$291)</f>
        <v>4.7984682326003112</v>
      </c>
      <c r="AA242" s="1504">
        <f t="shared" ca="1" si="58"/>
        <v>0.91170896419405911</v>
      </c>
      <c r="AB242" s="334">
        <f ca="1">'Plant Operations'!$I242+'Plant Operations'!$M242</f>
        <v>289336.32000000001</v>
      </c>
      <c r="AC242" s="1481">
        <f t="shared" ca="1" si="46"/>
        <v>263.79051661092086</v>
      </c>
      <c r="AD242" s="1504">
        <f t="shared" ca="1" si="47"/>
        <v>3.078132901579516</v>
      </c>
      <c r="AE242" s="335">
        <f t="shared" ca="1" si="59"/>
        <v>85.698221956420127</v>
      </c>
      <c r="AF242" s="698" t="str">
        <f t="shared" ca="1" si="48"/>
        <v xml:space="preserve"> </v>
      </c>
    </row>
    <row r="243" spans="1:32">
      <c r="A243" s="672">
        <f ca="1">'Plant Operations'!A243</f>
        <v>43282</v>
      </c>
      <c r="C243" s="1503">
        <f ca="1">IF($A243&gt;Endyr,0,VLOOKUP($A243,Tariff_Table,Tariff!$D$33))</f>
        <v>1291.0185185185185</v>
      </c>
      <c r="E243" s="691">
        <f ca="1">VLOOKUP($A243,Tariff_Table,Tariff!$E$33)</f>
        <v>0.5400032880191058</v>
      </c>
      <c r="F243" s="1481">
        <f t="shared" ca="1" si="49"/>
        <v>697.15424489355485</v>
      </c>
      <c r="G243" s="1480">
        <f ca="1">VLOOKUP($A243,Curves_Table,Escalation!$N$291)</f>
        <v>1.7280133273368676</v>
      </c>
      <c r="H243" s="1481">
        <f t="shared" ca="1" si="50"/>
        <v>1204.6918263855332</v>
      </c>
      <c r="I243" s="1504">
        <f ca="1">IF(Assm!$L$74=0,VLOOKUP($A243,Curves_Table,Escalation!$D$291),VLOOKUP($A243,Curves_Table,Escalation!$E$291))</f>
        <v>3.0832143547886992</v>
      </c>
      <c r="J243" s="1504">
        <f ca="1">IF($A243&lt;EE_Date,VLOOKUP($A243,Curves_Table,Escalation!$D$291),Exch)</f>
        <v>1.0649999999999999</v>
      </c>
      <c r="K243" s="1505">
        <f t="shared" ca="1" si="51"/>
        <v>3487.627354186377</v>
      </c>
      <c r="M243" s="691">
        <f ca="1">VLOOKUP($A243,Tariff_Table,Tariff!$F$33)</f>
        <v>0.4599967119808942</v>
      </c>
      <c r="N243" s="1481">
        <f t="shared" ca="1" si="52"/>
        <v>593.86427362496363</v>
      </c>
      <c r="O243" s="1480">
        <f ca="1">VLOOKUP($A243,Curves_Table,Escalation!$R$291)</f>
        <v>4.7984682326003112</v>
      </c>
      <c r="P243" s="1505">
        <f t="shared" ca="1" si="53"/>
        <v>2849.6388514656469</v>
      </c>
      <c r="R243" s="1506">
        <f t="shared" ca="1" si="54"/>
        <v>6337.2662056520239</v>
      </c>
      <c r="S243" s="330">
        <f ca="1">'Plant Operations'!C243</f>
        <v>480</v>
      </c>
      <c r="T243" s="1481">
        <f t="shared" ca="1" si="55"/>
        <v>3041.8877787129718</v>
      </c>
      <c r="U243" s="1504">
        <f t="shared" ca="1" si="56"/>
        <v>3.0832143547886992</v>
      </c>
      <c r="V243" s="384">
        <f t="shared" ca="1" si="57"/>
        <v>986.59626891930463</v>
      </c>
      <c r="W243" s="692" t="str">
        <f t="shared" ca="1" si="45"/>
        <v xml:space="preserve"> </v>
      </c>
      <c r="Y243" s="1507">
        <f ca="1">IF($A243&gt;Endyr,0,VLOOKUP($A243,Tariff_Table,Tariff!$J$33))</f>
        <v>0.19</v>
      </c>
      <c r="Z243" s="1504">
        <f ca="1">VLOOKUP($A243,Curves_Table,Escalation!$AH$291)</f>
        <v>4.7984682326003112</v>
      </c>
      <c r="AA243" s="1504">
        <f t="shared" ca="1" si="58"/>
        <v>0.91170896419405911</v>
      </c>
      <c r="AB243" s="334">
        <f ca="1">'Plant Operations'!$I243+'Plant Operations'!$M243</f>
        <v>298980.864</v>
      </c>
      <c r="AC243" s="1481">
        <f t="shared" ca="1" si="46"/>
        <v>272.58353383128485</v>
      </c>
      <c r="AD243" s="1504">
        <f t="shared" ca="1" si="47"/>
        <v>3.0832143547886992</v>
      </c>
      <c r="AE243" s="335">
        <f t="shared" ca="1" si="59"/>
        <v>88.408881921531446</v>
      </c>
      <c r="AF243" s="698" t="str">
        <f t="shared" ca="1" si="48"/>
        <v xml:space="preserve"> </v>
      </c>
    </row>
    <row r="244" spans="1:32">
      <c r="A244" s="672">
        <f ca="1">'Plant Operations'!A244</f>
        <v>43313</v>
      </c>
      <c r="C244" s="1503">
        <f ca="1">IF($A244&gt;Endyr,0,VLOOKUP($A244,Tariff_Table,Tariff!$D$33))</f>
        <v>1291.0185185185185</v>
      </c>
      <c r="E244" s="691">
        <f ca="1">VLOOKUP($A244,Tariff_Table,Tariff!$E$33)</f>
        <v>0.5400032880191058</v>
      </c>
      <c r="F244" s="1481">
        <f t="shared" ca="1" si="49"/>
        <v>697.15424489355485</v>
      </c>
      <c r="G244" s="1480">
        <f ca="1">VLOOKUP($A244,Curves_Table,Escalation!$N$291)</f>
        <v>1.7280133273368676</v>
      </c>
      <c r="H244" s="1481">
        <f t="shared" ca="1" si="50"/>
        <v>1204.6918263855332</v>
      </c>
      <c r="I244" s="1504">
        <f ca="1">IF(Assm!$L$74=0,VLOOKUP($A244,Curves_Table,Escalation!$D$291),VLOOKUP($A244,Curves_Table,Escalation!$E$291))</f>
        <v>3.0883041965787341</v>
      </c>
      <c r="J244" s="1504">
        <f ca="1">IF($A244&lt;EE_Date,VLOOKUP($A244,Curves_Table,Escalation!$D$291),Exch)</f>
        <v>1.0649999999999999</v>
      </c>
      <c r="K244" s="1505">
        <f t="shared" ca="1" si="51"/>
        <v>3493.3848103385371</v>
      </c>
      <c r="M244" s="691">
        <f ca="1">VLOOKUP($A244,Tariff_Table,Tariff!$F$33)</f>
        <v>0.4599967119808942</v>
      </c>
      <c r="N244" s="1481">
        <f t="shared" ca="1" si="52"/>
        <v>593.86427362496363</v>
      </c>
      <c r="O244" s="1480">
        <f ca="1">VLOOKUP($A244,Curves_Table,Escalation!$R$291)</f>
        <v>4.7984682326003112</v>
      </c>
      <c r="P244" s="1505">
        <f t="shared" ca="1" si="53"/>
        <v>2849.6388514656469</v>
      </c>
      <c r="R244" s="1506">
        <f t="shared" ca="1" si="54"/>
        <v>6343.0236618041836</v>
      </c>
      <c r="S244" s="330">
        <f ca="1">'Plant Operations'!C244</f>
        <v>480</v>
      </c>
      <c r="T244" s="1481">
        <f t="shared" ca="1" si="55"/>
        <v>3044.6513576660082</v>
      </c>
      <c r="U244" s="1504">
        <f t="shared" ca="1" si="56"/>
        <v>3.0883041965787341</v>
      </c>
      <c r="V244" s="384">
        <f t="shared" ca="1" si="57"/>
        <v>985.865110386119</v>
      </c>
      <c r="W244" s="692" t="str">
        <f t="shared" ca="1" si="45"/>
        <v xml:space="preserve"> </v>
      </c>
      <c r="Y244" s="1507">
        <f ca="1">IF($A244&gt;Endyr,0,VLOOKUP($A244,Tariff_Table,Tariff!$J$33))</f>
        <v>0.19</v>
      </c>
      <c r="Z244" s="1504">
        <f ca="1">VLOOKUP($A244,Curves_Table,Escalation!$AH$291)</f>
        <v>4.7984682326003112</v>
      </c>
      <c r="AA244" s="1504">
        <f t="shared" ca="1" si="58"/>
        <v>0.91170896419405911</v>
      </c>
      <c r="AB244" s="334">
        <f ca="1">'Plant Operations'!$I244+'Plant Operations'!$M244</f>
        <v>298980.864</v>
      </c>
      <c r="AC244" s="1481">
        <f t="shared" ca="1" si="46"/>
        <v>272.58353383128485</v>
      </c>
      <c r="AD244" s="1504">
        <f t="shared" ca="1" si="47"/>
        <v>3.0883041965787341</v>
      </c>
      <c r="AE244" s="335">
        <f t="shared" ca="1" si="59"/>
        <v>88.263175024421699</v>
      </c>
      <c r="AF244" s="698" t="str">
        <f t="shared" ca="1" si="48"/>
        <v xml:space="preserve"> </v>
      </c>
    </row>
    <row r="245" spans="1:32">
      <c r="A245" s="672">
        <f ca="1">'Plant Operations'!A245</f>
        <v>43344</v>
      </c>
      <c r="C245" s="1503">
        <f ca="1">IF($A245&gt;Endyr,0,VLOOKUP($A245,Tariff_Table,Tariff!$D$33))</f>
        <v>1291.0185185185185</v>
      </c>
      <c r="E245" s="691">
        <f ca="1">VLOOKUP($A245,Tariff_Table,Tariff!$E$33)</f>
        <v>0.5400032880191058</v>
      </c>
      <c r="F245" s="1481">
        <f t="shared" ca="1" si="49"/>
        <v>697.15424489355485</v>
      </c>
      <c r="G245" s="1480">
        <f ca="1">VLOOKUP($A245,Curves_Table,Escalation!$N$291)</f>
        <v>1.7280133273368676</v>
      </c>
      <c r="H245" s="1481">
        <f t="shared" ca="1" si="50"/>
        <v>1204.6918263855332</v>
      </c>
      <c r="I245" s="1504">
        <f ca="1">IF(Assm!$L$74=0,VLOOKUP($A245,Curves_Table,Escalation!$D$291),VLOOKUP($A245,Curves_Table,Escalation!$E$291))</f>
        <v>3.0934024407976843</v>
      </c>
      <c r="J245" s="1504">
        <f ca="1">IF($A245&lt;EE_Date,VLOOKUP($A245,Curves_Table,Escalation!$D$291),Exch)</f>
        <v>1.0649999999999999</v>
      </c>
      <c r="K245" s="1505">
        <f t="shared" ca="1" si="51"/>
        <v>3499.1517710328908</v>
      </c>
      <c r="M245" s="691">
        <f ca="1">VLOOKUP($A245,Tariff_Table,Tariff!$F$33)</f>
        <v>0.4599967119808942</v>
      </c>
      <c r="N245" s="1481">
        <f t="shared" ca="1" si="52"/>
        <v>593.86427362496363</v>
      </c>
      <c r="O245" s="1480">
        <f ca="1">VLOOKUP($A245,Curves_Table,Escalation!$R$291)</f>
        <v>4.7984682326003112</v>
      </c>
      <c r="P245" s="1505">
        <f t="shared" ca="1" si="53"/>
        <v>2849.6388514656469</v>
      </c>
      <c r="R245" s="1506">
        <f t="shared" ca="1" si="54"/>
        <v>6348.7906224985381</v>
      </c>
      <c r="S245" s="330">
        <f ca="1">'Plant Operations'!C245</f>
        <v>480</v>
      </c>
      <c r="T245" s="1481">
        <f t="shared" ca="1" si="55"/>
        <v>3047.4194987992983</v>
      </c>
      <c r="U245" s="1504">
        <f t="shared" ca="1" si="56"/>
        <v>3.0934024407976843</v>
      </c>
      <c r="V245" s="384">
        <f t="shared" ca="1" si="57"/>
        <v>985.13515687712186</v>
      </c>
      <c r="W245" s="692" t="str">
        <f t="shared" ca="1" si="45"/>
        <v xml:space="preserve"> </v>
      </c>
      <c r="Y245" s="1507">
        <f ca="1">IF($A245&gt;Endyr,0,VLOOKUP($A245,Tariff_Table,Tariff!$J$33))</f>
        <v>0.19</v>
      </c>
      <c r="Z245" s="1504">
        <f ca="1">VLOOKUP($A245,Curves_Table,Escalation!$AH$291)</f>
        <v>4.7984682326003112</v>
      </c>
      <c r="AA245" s="1504">
        <f t="shared" ca="1" si="58"/>
        <v>0.91170896419405911</v>
      </c>
      <c r="AB245" s="334">
        <f ca="1">'Plant Operations'!$I245+'Plant Operations'!$M245</f>
        <v>289336.32000000001</v>
      </c>
      <c r="AC245" s="1481">
        <f t="shared" ca="1" si="46"/>
        <v>263.79051661092086</v>
      </c>
      <c r="AD245" s="1504">
        <f t="shared" ca="1" si="47"/>
        <v>3.0934024407976843</v>
      </c>
      <c r="AE245" s="335">
        <f t="shared" ca="1" si="59"/>
        <v>85.275201548912648</v>
      </c>
      <c r="AF245" s="698" t="str">
        <f t="shared" ca="1" si="48"/>
        <v xml:space="preserve"> </v>
      </c>
    </row>
    <row r="246" spans="1:32">
      <c r="A246" s="672">
        <f ca="1">'Plant Operations'!A246</f>
        <v>43374</v>
      </c>
      <c r="C246" s="1503">
        <f ca="1">IF($A246&gt;Endyr,0,VLOOKUP($A246,Tariff_Table,Tariff!$D$33))</f>
        <v>1291.0185185185185</v>
      </c>
      <c r="E246" s="691">
        <f ca="1">VLOOKUP($A246,Tariff_Table,Tariff!$E$33)</f>
        <v>0.5400032880191058</v>
      </c>
      <c r="F246" s="1481">
        <f t="shared" ca="1" si="49"/>
        <v>697.15424489355485</v>
      </c>
      <c r="G246" s="1480">
        <f ca="1">VLOOKUP($A246,Curves_Table,Escalation!$N$291)</f>
        <v>1.7280133273368676</v>
      </c>
      <c r="H246" s="1481">
        <f t="shared" ca="1" si="50"/>
        <v>1204.6918263855332</v>
      </c>
      <c r="I246" s="1504">
        <f ca="1">IF(Assm!$L$74=0,VLOOKUP($A246,Curves_Table,Escalation!$D$291),VLOOKUP($A246,Curves_Table,Escalation!$E$291))</f>
        <v>3.0985091013164747</v>
      </c>
      <c r="J246" s="1504">
        <f ca="1">IF($A246&lt;EE_Date,VLOOKUP($A246,Curves_Table,Escalation!$D$291),Exch)</f>
        <v>1.0649999999999999</v>
      </c>
      <c r="K246" s="1505">
        <f t="shared" ca="1" si="51"/>
        <v>3504.9282519597568</v>
      </c>
      <c r="M246" s="691">
        <f ca="1">VLOOKUP($A246,Tariff_Table,Tariff!$F$33)</f>
        <v>0.4599967119808942</v>
      </c>
      <c r="N246" s="1481">
        <f t="shared" ca="1" si="52"/>
        <v>593.86427362496363</v>
      </c>
      <c r="O246" s="1480">
        <f ca="1">VLOOKUP($A246,Curves_Table,Escalation!$R$291)</f>
        <v>4.7984682326003112</v>
      </c>
      <c r="P246" s="1505">
        <f t="shared" ca="1" si="53"/>
        <v>2849.6388514656469</v>
      </c>
      <c r="R246" s="1506">
        <f t="shared" ca="1" si="54"/>
        <v>6354.5671034254037</v>
      </c>
      <c r="S246" s="330">
        <f ca="1">'Plant Operations'!C246</f>
        <v>480</v>
      </c>
      <c r="T246" s="1481">
        <f t="shared" ca="1" si="55"/>
        <v>3050.1922096441936</v>
      </c>
      <c r="U246" s="1504">
        <f t="shared" ca="1" si="56"/>
        <v>3.0985091013164747</v>
      </c>
      <c r="V246" s="384">
        <f t="shared" ca="1" si="57"/>
        <v>984.4064064063092</v>
      </c>
      <c r="W246" s="692" t="str">
        <f t="shared" ca="1" si="45"/>
        <v xml:space="preserve"> </v>
      </c>
      <c r="Y246" s="1507">
        <f ca="1">IF($A246&gt;Endyr,0,VLOOKUP($A246,Tariff_Table,Tariff!$J$33))</f>
        <v>0.19</v>
      </c>
      <c r="Z246" s="1504">
        <f ca="1">VLOOKUP($A246,Curves_Table,Escalation!$AH$291)</f>
        <v>4.7984682326003112</v>
      </c>
      <c r="AA246" s="1504">
        <f t="shared" ca="1" si="58"/>
        <v>0.91170896419405911</v>
      </c>
      <c r="AB246" s="334">
        <f ca="1">'Plant Operations'!$I246+'Plant Operations'!$M246</f>
        <v>298980.864</v>
      </c>
      <c r="AC246" s="1481">
        <f t="shared" ca="1" si="46"/>
        <v>272.58353383128485</v>
      </c>
      <c r="AD246" s="1504">
        <f t="shared" ca="1" si="47"/>
        <v>3.0985091013164747</v>
      </c>
      <c r="AE246" s="335">
        <f t="shared" ca="1" si="59"/>
        <v>87.972481254120353</v>
      </c>
      <c r="AF246" s="698" t="str">
        <f t="shared" ca="1" si="48"/>
        <v xml:space="preserve"> </v>
      </c>
    </row>
    <row r="247" spans="1:32">
      <c r="A247" s="672">
        <f ca="1">'Plant Operations'!A247</f>
        <v>43405</v>
      </c>
      <c r="C247" s="1503">
        <f ca="1">IF($A247&gt;Endyr,0,VLOOKUP($A247,Tariff_Table,Tariff!$D$33))</f>
        <v>1291.0185185185185</v>
      </c>
      <c r="E247" s="691">
        <f ca="1">VLOOKUP($A247,Tariff_Table,Tariff!$E$33)</f>
        <v>0.5400032880191058</v>
      </c>
      <c r="F247" s="1481">
        <f t="shared" ca="1" si="49"/>
        <v>697.15424489355485</v>
      </c>
      <c r="G247" s="1480">
        <f ca="1">VLOOKUP($A247,Curves_Table,Escalation!$N$291)</f>
        <v>1.7280133273368676</v>
      </c>
      <c r="H247" s="1481">
        <f t="shared" ca="1" si="50"/>
        <v>1204.6918263855332</v>
      </c>
      <c r="I247" s="1504">
        <f ca="1">IF(Assm!$L$74=0,VLOOKUP($A247,Curves_Table,Escalation!$D$291),VLOOKUP($A247,Curves_Table,Escalation!$E$291))</f>
        <v>3.1036241920289283</v>
      </c>
      <c r="J247" s="1504">
        <f ca="1">IF($A247&lt;EE_Date,VLOOKUP($A247,Curves_Table,Escalation!$D$291),Exch)</f>
        <v>1.0649999999999999</v>
      </c>
      <c r="K247" s="1505">
        <f t="shared" ca="1" si="51"/>
        <v>3510.7142688353561</v>
      </c>
      <c r="M247" s="691">
        <f ca="1">VLOOKUP($A247,Tariff_Table,Tariff!$F$33)</f>
        <v>0.4599967119808942</v>
      </c>
      <c r="N247" s="1481">
        <f t="shared" ca="1" si="52"/>
        <v>593.86427362496363</v>
      </c>
      <c r="O247" s="1480">
        <f ca="1">VLOOKUP($A247,Curves_Table,Escalation!$R$291)</f>
        <v>4.7984682326003112</v>
      </c>
      <c r="P247" s="1505">
        <f t="shared" ca="1" si="53"/>
        <v>2849.6388514656469</v>
      </c>
      <c r="R247" s="1506">
        <f t="shared" ca="1" si="54"/>
        <v>6360.3531203010025</v>
      </c>
      <c r="S247" s="330">
        <f ca="1">'Plant Operations'!C247</f>
        <v>480</v>
      </c>
      <c r="T247" s="1481">
        <f t="shared" ca="1" si="55"/>
        <v>3052.969497744481</v>
      </c>
      <c r="U247" s="1504">
        <f t="shared" ca="1" si="56"/>
        <v>3.1036241920289283</v>
      </c>
      <c r="V247" s="384">
        <f t="shared" ca="1" si="57"/>
        <v>983.67885699095132</v>
      </c>
      <c r="W247" s="692" t="str">
        <f t="shared" ca="1" si="45"/>
        <v xml:space="preserve"> </v>
      </c>
      <c r="Y247" s="1507">
        <f ca="1">IF($A247&gt;Endyr,0,VLOOKUP($A247,Tariff_Table,Tariff!$J$33))</f>
        <v>0.19</v>
      </c>
      <c r="Z247" s="1504">
        <f ca="1">VLOOKUP($A247,Curves_Table,Escalation!$AH$291)</f>
        <v>4.7984682326003112</v>
      </c>
      <c r="AA247" s="1504">
        <f t="shared" ca="1" si="58"/>
        <v>0.91170896419405911</v>
      </c>
      <c r="AB247" s="334">
        <f ca="1">'Plant Operations'!$I247+'Plant Operations'!$M247</f>
        <v>289336.32000000001</v>
      </c>
      <c r="AC247" s="1481">
        <f t="shared" ca="1" si="46"/>
        <v>263.79051661092086</v>
      </c>
      <c r="AD247" s="1504">
        <f t="shared" ca="1" si="47"/>
        <v>3.1036241920289283</v>
      </c>
      <c r="AE247" s="335">
        <f t="shared" ca="1" si="59"/>
        <v>84.994348635513575</v>
      </c>
      <c r="AF247" s="698" t="str">
        <f t="shared" ca="1" si="48"/>
        <v xml:space="preserve"> </v>
      </c>
    </row>
    <row r="248" spans="1:32">
      <c r="A248" s="672">
        <f ca="1">'Plant Operations'!A248</f>
        <v>43435</v>
      </c>
      <c r="C248" s="1503">
        <f ca="1">IF($A248&gt;Endyr,0,VLOOKUP($A248,Tariff_Table,Tariff!$D$33))</f>
        <v>1291.0185185185185</v>
      </c>
      <c r="E248" s="691">
        <f ca="1">VLOOKUP($A248,Tariff_Table,Tariff!$E$33)</f>
        <v>0.5400032880191058</v>
      </c>
      <c r="F248" s="1481">
        <f t="shared" ca="1" si="49"/>
        <v>697.15424489355485</v>
      </c>
      <c r="G248" s="1480">
        <f ca="1">VLOOKUP($A248,Curves_Table,Escalation!$N$291)</f>
        <v>1.7280133273368676</v>
      </c>
      <c r="H248" s="1481">
        <f t="shared" ca="1" si="50"/>
        <v>1204.6918263855332</v>
      </c>
      <c r="I248" s="1504">
        <f ca="1">IF(Assm!$L$74=0,VLOOKUP($A248,Curves_Table,Escalation!$D$291),VLOOKUP($A248,Curves_Table,Escalation!$E$291))</f>
        <v>3.1087477268518051</v>
      </c>
      <c r="J248" s="1504">
        <f ca="1">IF($A248&lt;EE_Date,VLOOKUP($A248,Curves_Table,Escalation!$D$291),Exch)</f>
        <v>1.0649999999999999</v>
      </c>
      <c r="K248" s="1505">
        <f t="shared" ca="1" si="51"/>
        <v>3516.5098374018553</v>
      </c>
      <c r="M248" s="691">
        <f ca="1">VLOOKUP($A248,Tariff_Table,Tariff!$F$33)</f>
        <v>0.4599967119808942</v>
      </c>
      <c r="N248" s="1481">
        <f t="shared" ca="1" si="52"/>
        <v>593.86427362496363</v>
      </c>
      <c r="O248" s="1480">
        <f ca="1">VLOOKUP($A248,Curves_Table,Escalation!$R$291)</f>
        <v>4.7984682326003112</v>
      </c>
      <c r="P248" s="1505">
        <f t="shared" ca="1" si="53"/>
        <v>2849.6388514656469</v>
      </c>
      <c r="R248" s="1506">
        <f t="shared" ca="1" si="54"/>
        <v>6366.1486888675026</v>
      </c>
      <c r="S248" s="330">
        <f ca="1">'Plant Operations'!C248</f>
        <v>480</v>
      </c>
      <c r="T248" s="1481">
        <f t="shared" ca="1" si="55"/>
        <v>3055.7513706564014</v>
      </c>
      <c r="U248" s="1504">
        <f t="shared" ca="1" si="56"/>
        <v>3.1087477268518051</v>
      </c>
      <c r="V248" s="384">
        <f t="shared" ca="1" si="57"/>
        <v>982.95250665158585</v>
      </c>
      <c r="W248" s="692">
        <f t="shared" ca="1" si="45"/>
        <v>14055.363934478106</v>
      </c>
      <c r="Y248" s="1507">
        <f ca="1">IF($A248&gt;Endyr,0,VLOOKUP($A248,Tariff_Table,Tariff!$J$33))</f>
        <v>0.19</v>
      </c>
      <c r="Z248" s="1504">
        <f ca="1">VLOOKUP($A248,Curves_Table,Escalation!$AH$291)</f>
        <v>4.7984682326003112</v>
      </c>
      <c r="AA248" s="1504">
        <f t="shared" ca="1" si="58"/>
        <v>0.91170896419405911</v>
      </c>
      <c r="AB248" s="334">
        <f ca="1">'Plant Operations'!$I248+'Plant Operations'!$M248</f>
        <v>298980.864</v>
      </c>
      <c r="AC248" s="1481">
        <f t="shared" ca="1" si="46"/>
        <v>272.58353383128485</v>
      </c>
      <c r="AD248" s="1504">
        <f t="shared" ca="1" si="47"/>
        <v>3.1087477268518051</v>
      </c>
      <c r="AE248" s="335">
        <f t="shared" ca="1" si="59"/>
        <v>87.682744880469031</v>
      </c>
      <c r="AF248" s="698">
        <f t="shared" ca="1" si="48"/>
        <v>1019.822092554298</v>
      </c>
    </row>
    <row r="249" spans="1:32">
      <c r="A249" s="672">
        <f ca="1">'Plant Operations'!A249</f>
        <v>43466</v>
      </c>
      <c r="C249" s="1503">
        <f ca="1">IF($A249&gt;Endyr,0,VLOOKUP($A249,Tariff_Table,Tariff!$D$33))</f>
        <v>1291.0185185185185</v>
      </c>
      <c r="E249" s="691">
        <f ca="1">VLOOKUP($A249,Tariff_Table,Tariff!$E$33)</f>
        <v>0.5400032880191058</v>
      </c>
      <c r="F249" s="1481">
        <f t="shared" ca="1" si="49"/>
        <v>697.15424489355485</v>
      </c>
      <c r="G249" s="1480">
        <f ca="1">VLOOKUP($A249,Curves_Table,Escalation!$N$291)</f>
        <v>1.7280133273368676</v>
      </c>
      <c r="H249" s="1481">
        <f t="shared" ca="1" si="50"/>
        <v>1204.6918263855332</v>
      </c>
      <c r="I249" s="1504">
        <f ca="1">IF(Assm!$L$74=0,VLOOKUP($A249,Curves_Table,Escalation!$D$291),VLOOKUP($A249,Curves_Table,Escalation!$E$291))</f>
        <v>3.1138921883315391</v>
      </c>
      <c r="J249" s="1504">
        <f ca="1">IF($A249&lt;EE_Date,VLOOKUP($A249,Curves_Table,Escalation!$D$291),Exch)</f>
        <v>1.0649999999999999</v>
      </c>
      <c r="K249" s="1505">
        <f t="shared" ca="1" si="51"/>
        <v>3522.3290774918</v>
      </c>
      <c r="M249" s="691">
        <f ca="1">VLOOKUP($A249,Tariff_Table,Tariff!$F$33)</f>
        <v>0.4599967119808942</v>
      </c>
      <c r="N249" s="1481">
        <f t="shared" ca="1" si="52"/>
        <v>593.86427362496363</v>
      </c>
      <c r="O249" s="1480">
        <f ca="1">VLOOKUP($A249,Curves_Table,Escalation!$R$291)</f>
        <v>4.7984682326003112</v>
      </c>
      <c r="P249" s="1505">
        <f t="shared" ca="1" si="53"/>
        <v>2849.6388514656469</v>
      </c>
      <c r="R249" s="1506">
        <f t="shared" ca="1" si="54"/>
        <v>6371.9679289574469</v>
      </c>
      <c r="S249" s="330">
        <f ca="1">'Plant Operations'!C249</f>
        <v>480</v>
      </c>
      <c r="T249" s="1481">
        <f t="shared" ca="1" si="55"/>
        <v>3058.5446058995749</v>
      </c>
      <c r="U249" s="1504">
        <f t="shared" ca="1" si="56"/>
        <v>3.1138921883315391</v>
      </c>
      <c r="V249" s="384">
        <f t="shared" ca="1" si="57"/>
        <v>982.22559450215897</v>
      </c>
      <c r="W249" s="692" t="str">
        <f t="shared" ca="1" si="45"/>
        <v xml:space="preserve"> </v>
      </c>
      <c r="Y249" s="1507">
        <f ca="1">IF($A249&gt;Endyr,0,VLOOKUP($A249,Tariff_Table,Tariff!$J$33))</f>
        <v>0.19</v>
      </c>
      <c r="Z249" s="1504">
        <f ca="1">VLOOKUP($A249,Curves_Table,Escalation!$AH$291)</f>
        <v>4.7984682326003112</v>
      </c>
      <c r="AA249" s="1504">
        <f t="shared" ca="1" si="58"/>
        <v>0.91170896419405911</v>
      </c>
      <c r="AB249" s="334">
        <f ca="1">'Plant Operations'!$I249+'Plant Operations'!$M249</f>
        <v>298980.864</v>
      </c>
      <c r="AC249" s="1481">
        <f t="shared" ca="1" si="46"/>
        <v>272.58353383128485</v>
      </c>
      <c r="AD249" s="1504">
        <f t="shared" ca="1" si="47"/>
        <v>3.1138921883315391</v>
      </c>
      <c r="AE249" s="335">
        <f t="shared" ca="1" si="59"/>
        <v>87.537884212150061</v>
      </c>
      <c r="AF249" s="698" t="str">
        <f t="shared" ca="1" si="48"/>
        <v xml:space="preserve"> </v>
      </c>
    </row>
    <row r="250" spans="1:32">
      <c r="A250" s="672">
        <f ca="1">'Plant Operations'!A250</f>
        <v>43497</v>
      </c>
      <c r="C250" s="1503">
        <f ca="1">IF($A250&gt;Endyr,0,VLOOKUP($A250,Tariff_Table,Tariff!$D$33))</f>
        <v>1291.0185185185185</v>
      </c>
      <c r="E250" s="691">
        <f ca="1">VLOOKUP($A250,Tariff_Table,Tariff!$E$33)</f>
        <v>0.5400032880191058</v>
      </c>
      <c r="F250" s="1481">
        <f t="shared" ca="1" si="49"/>
        <v>697.15424489355485</v>
      </c>
      <c r="G250" s="1480">
        <f ca="1">VLOOKUP($A250,Curves_Table,Escalation!$N$291)</f>
        <v>1.7280133273368676</v>
      </c>
      <c r="H250" s="1481">
        <f t="shared" ca="1" si="50"/>
        <v>1204.6918263855332</v>
      </c>
      <c r="I250" s="1504">
        <f ca="1">IF(Assm!$L$74=0,VLOOKUP($A250,Curves_Table,Escalation!$D$291),VLOOKUP($A250,Curves_Table,Escalation!$E$291))</f>
        <v>3.1190451630411142</v>
      </c>
      <c r="J250" s="1504">
        <f ca="1">IF($A250&lt;EE_Date,VLOOKUP($A250,Curves_Table,Escalation!$D$291),Exch)</f>
        <v>1.0649999999999999</v>
      </c>
      <c r="K250" s="1505">
        <f t="shared" ca="1" si="51"/>
        <v>3528.1579474581818</v>
      </c>
      <c r="M250" s="691">
        <f ca="1">VLOOKUP($A250,Tariff_Table,Tariff!$F$33)</f>
        <v>0.4599967119808942</v>
      </c>
      <c r="N250" s="1481">
        <f t="shared" ca="1" si="52"/>
        <v>593.86427362496363</v>
      </c>
      <c r="O250" s="1480">
        <f ca="1">VLOOKUP($A250,Curves_Table,Escalation!$R$291)</f>
        <v>4.7984682326003112</v>
      </c>
      <c r="P250" s="1505">
        <f t="shared" ca="1" si="53"/>
        <v>2849.6388514656469</v>
      </c>
      <c r="R250" s="1506">
        <f t="shared" ca="1" si="54"/>
        <v>6377.7967989238286</v>
      </c>
      <c r="S250" s="330">
        <f ca="1">'Plant Operations'!C250</f>
        <v>480</v>
      </c>
      <c r="T250" s="1481">
        <f t="shared" ca="1" si="55"/>
        <v>3061.3424634834378</v>
      </c>
      <c r="U250" s="1504">
        <f t="shared" ca="1" si="56"/>
        <v>3.1190451630411142</v>
      </c>
      <c r="V250" s="384">
        <f t="shared" ca="1" si="57"/>
        <v>981.4998832843396</v>
      </c>
      <c r="W250" s="692" t="str">
        <f t="shared" ca="1" si="45"/>
        <v xml:space="preserve"> </v>
      </c>
      <c r="Y250" s="1507">
        <f ca="1">IF($A250&gt;Endyr,0,VLOOKUP($A250,Tariff_Table,Tariff!$J$33))</f>
        <v>0.19</v>
      </c>
      <c r="Z250" s="1504">
        <f ca="1">VLOOKUP($A250,Curves_Table,Escalation!$AH$291)</f>
        <v>4.7984682326003112</v>
      </c>
      <c r="AA250" s="1504">
        <f t="shared" ca="1" si="58"/>
        <v>0.91170896419405911</v>
      </c>
      <c r="AB250" s="334">
        <f ca="1">'Plant Operations'!$I250+'Plant Operations'!$M250</f>
        <v>270047.23200000002</v>
      </c>
      <c r="AC250" s="1481">
        <f t="shared" ca="1" si="46"/>
        <v>246.20448217019279</v>
      </c>
      <c r="AD250" s="1504">
        <f t="shared" ca="1" si="47"/>
        <v>3.1190451630411142</v>
      </c>
      <c r="AE250" s="335">
        <f t="shared" ca="1" si="59"/>
        <v>78.935850332522875</v>
      </c>
      <c r="AF250" s="698" t="str">
        <f t="shared" ca="1" si="48"/>
        <v xml:space="preserve"> </v>
      </c>
    </row>
    <row r="251" spans="1:32">
      <c r="A251" s="672">
        <f ca="1">'Plant Operations'!A251</f>
        <v>43525</v>
      </c>
      <c r="C251" s="1503">
        <f ca="1">IF($A251&gt;Endyr,0,VLOOKUP($A251,Tariff_Table,Tariff!$D$33))</f>
        <v>1291.0185185185185</v>
      </c>
      <c r="E251" s="691">
        <f ca="1">VLOOKUP($A251,Tariff_Table,Tariff!$E$33)</f>
        <v>0.5400032880191058</v>
      </c>
      <c r="F251" s="1481">
        <f t="shared" ca="1" si="49"/>
        <v>697.15424489355485</v>
      </c>
      <c r="G251" s="1480">
        <f ca="1">VLOOKUP($A251,Curves_Table,Escalation!$N$291)</f>
        <v>1.7280133273368676</v>
      </c>
      <c r="H251" s="1481">
        <f t="shared" ca="1" si="50"/>
        <v>1204.6918263855332</v>
      </c>
      <c r="I251" s="1504">
        <f ca="1">IF(Assm!$L$74=0,VLOOKUP($A251,Curves_Table,Escalation!$D$291),VLOOKUP($A251,Curves_Table,Escalation!$E$291))</f>
        <v>3.1242066650685127</v>
      </c>
      <c r="J251" s="1504">
        <f ca="1">IF($A251&lt;EE_Date,VLOOKUP($A251,Curves_Table,Escalation!$D$291),Exch)</f>
        <v>1.0649999999999999</v>
      </c>
      <c r="K251" s="1505">
        <f t="shared" ca="1" si="51"/>
        <v>3533.9964632368474</v>
      </c>
      <c r="M251" s="691">
        <f ca="1">VLOOKUP($A251,Tariff_Table,Tariff!$F$33)</f>
        <v>0.4599967119808942</v>
      </c>
      <c r="N251" s="1481">
        <f t="shared" ca="1" si="52"/>
        <v>593.86427362496363</v>
      </c>
      <c r="O251" s="1480">
        <f ca="1">VLOOKUP($A251,Curves_Table,Escalation!$R$291)</f>
        <v>4.7984682326003112</v>
      </c>
      <c r="P251" s="1505">
        <f t="shared" ca="1" si="53"/>
        <v>2849.6388514656469</v>
      </c>
      <c r="R251" s="1506">
        <f t="shared" ca="1" si="54"/>
        <v>6383.6353147024947</v>
      </c>
      <c r="S251" s="330">
        <f ca="1">'Plant Operations'!C251</f>
        <v>480</v>
      </c>
      <c r="T251" s="1481">
        <f t="shared" ca="1" si="55"/>
        <v>3064.1449510571974</v>
      </c>
      <c r="U251" s="1504">
        <f t="shared" ca="1" si="56"/>
        <v>3.1242066650685127</v>
      </c>
      <c r="V251" s="384">
        <f t="shared" ca="1" si="57"/>
        <v>980.77537101406892</v>
      </c>
      <c r="W251" s="692" t="str">
        <f t="shared" ca="1" si="45"/>
        <v xml:space="preserve"> </v>
      </c>
      <c r="Y251" s="1507">
        <f ca="1">IF($A251&gt;Endyr,0,VLOOKUP($A251,Tariff_Table,Tariff!$J$33))</f>
        <v>0.19</v>
      </c>
      <c r="Z251" s="1504">
        <f ca="1">VLOOKUP($A251,Curves_Table,Escalation!$AH$291)</f>
        <v>4.7984682326003112</v>
      </c>
      <c r="AA251" s="1504">
        <f t="shared" ca="1" si="58"/>
        <v>0.91170896419405911</v>
      </c>
      <c r="AB251" s="334">
        <f ca="1">'Plant Operations'!$I251+'Plant Operations'!$M251</f>
        <v>298980.864</v>
      </c>
      <c r="AC251" s="1481">
        <f t="shared" ca="1" si="46"/>
        <v>272.58353383128485</v>
      </c>
      <c r="AD251" s="1504">
        <f t="shared" ca="1" si="47"/>
        <v>3.1242066650685127</v>
      </c>
      <c r="AE251" s="335">
        <f t="shared" ca="1" si="59"/>
        <v>87.248880453082066</v>
      </c>
      <c r="AF251" s="698" t="str">
        <f t="shared" ca="1" si="48"/>
        <v xml:space="preserve"> </v>
      </c>
    </row>
    <row r="252" spans="1:32">
      <c r="A252" s="672">
        <f ca="1">'Plant Operations'!A252</f>
        <v>43556</v>
      </c>
      <c r="C252" s="1503">
        <f ca="1">IF($A252&gt;Endyr,0,VLOOKUP($A252,Tariff_Table,Tariff!$D$33))</f>
        <v>1291.0185185185185</v>
      </c>
      <c r="E252" s="691">
        <f ca="1">VLOOKUP($A252,Tariff_Table,Tariff!$E$33)</f>
        <v>0.5400032880191058</v>
      </c>
      <c r="F252" s="1481">
        <f t="shared" ca="1" si="49"/>
        <v>697.15424489355485</v>
      </c>
      <c r="G252" s="1480">
        <f ca="1">VLOOKUP($A252,Curves_Table,Escalation!$N$291)</f>
        <v>1.7280133273368676</v>
      </c>
      <c r="H252" s="1481">
        <f t="shared" ca="1" si="50"/>
        <v>1204.6918263855332</v>
      </c>
      <c r="I252" s="1504">
        <f ca="1">IF(Assm!$L$74=0,VLOOKUP($A252,Curves_Table,Escalation!$D$291),VLOOKUP($A252,Curves_Table,Escalation!$E$291))</f>
        <v>3.1293767085250299</v>
      </c>
      <c r="J252" s="1504">
        <f ca="1">IF($A252&lt;EE_Date,VLOOKUP($A252,Curves_Table,Escalation!$D$291),Exch)</f>
        <v>1.0649999999999999</v>
      </c>
      <c r="K252" s="1505">
        <f t="shared" ca="1" si="51"/>
        <v>3539.844640790016</v>
      </c>
      <c r="M252" s="691">
        <f ca="1">VLOOKUP($A252,Tariff_Table,Tariff!$F$33)</f>
        <v>0.4599967119808942</v>
      </c>
      <c r="N252" s="1481">
        <f t="shared" ca="1" si="52"/>
        <v>593.86427362496363</v>
      </c>
      <c r="O252" s="1480">
        <f ca="1">VLOOKUP($A252,Curves_Table,Escalation!$R$291)</f>
        <v>4.7984682326003112</v>
      </c>
      <c r="P252" s="1505">
        <f t="shared" ca="1" si="53"/>
        <v>2849.6388514656469</v>
      </c>
      <c r="R252" s="1506">
        <f t="shared" ca="1" si="54"/>
        <v>6389.4834922556629</v>
      </c>
      <c r="S252" s="330">
        <f ca="1">'Plant Operations'!C252</f>
        <v>480</v>
      </c>
      <c r="T252" s="1481">
        <f t="shared" ca="1" si="55"/>
        <v>3066.9520762827183</v>
      </c>
      <c r="U252" s="1504">
        <f t="shared" ca="1" si="56"/>
        <v>3.1293767085250299</v>
      </c>
      <c r="V252" s="384">
        <f t="shared" ca="1" si="57"/>
        <v>980.05205571056536</v>
      </c>
      <c r="W252" s="692" t="str">
        <f t="shared" ca="1" si="45"/>
        <v xml:space="preserve"> </v>
      </c>
      <c r="Y252" s="1507">
        <f ca="1">IF($A252&gt;Endyr,0,VLOOKUP($A252,Tariff_Table,Tariff!$J$33))</f>
        <v>0.19</v>
      </c>
      <c r="Z252" s="1504">
        <f ca="1">VLOOKUP($A252,Curves_Table,Escalation!$AH$291)</f>
        <v>4.7984682326003112</v>
      </c>
      <c r="AA252" s="1504">
        <f t="shared" ca="1" si="58"/>
        <v>0.91170896419405911</v>
      </c>
      <c r="AB252" s="334">
        <f ca="1">'Plant Operations'!$I252+'Plant Operations'!$M252</f>
        <v>289336.32000000001</v>
      </c>
      <c r="AC252" s="1481">
        <f t="shared" ca="1" si="46"/>
        <v>263.79051661092086</v>
      </c>
      <c r="AD252" s="1504">
        <f t="shared" ca="1" si="47"/>
        <v>3.1293767085250299</v>
      </c>
      <c r="AE252" s="335">
        <f t="shared" ca="1" si="59"/>
        <v>84.294906360204024</v>
      </c>
      <c r="AF252" s="698" t="str">
        <f t="shared" ca="1" si="48"/>
        <v xml:space="preserve"> </v>
      </c>
    </row>
    <row r="253" spans="1:32">
      <c r="A253" s="672">
        <f ca="1">'Plant Operations'!A253</f>
        <v>43586</v>
      </c>
      <c r="C253" s="1503">
        <f ca="1">IF($A253&gt;Endyr,0,VLOOKUP($A253,Tariff_Table,Tariff!$D$33))</f>
        <v>0</v>
      </c>
      <c r="E253" s="691">
        <f ca="1">VLOOKUP($A253,Tariff_Table,Tariff!$E$33)</f>
        <v>0.5400032880191058</v>
      </c>
      <c r="F253" s="1481">
        <f t="shared" ca="1" si="49"/>
        <v>0</v>
      </c>
      <c r="G253" s="1480">
        <f ca="1">VLOOKUP($A253,Curves_Table,Escalation!$N$291)</f>
        <v>1.7754357291063123</v>
      </c>
      <c r="H253" s="1481">
        <f t="shared" ca="1" si="50"/>
        <v>0</v>
      </c>
      <c r="I253" s="1504">
        <f ca="1">IF(Assm!$L$74=0,VLOOKUP($A253,Curves_Table,Escalation!$D$291),VLOOKUP($A253,Curves_Table,Escalation!$E$291))</f>
        <v>3.1345553075453139</v>
      </c>
      <c r="J253" s="1504">
        <f ca="1">IF($A253&lt;EE_Date,VLOOKUP($A253,Curves_Table,Escalation!$D$291),Exch)</f>
        <v>1.0649999999999999</v>
      </c>
      <c r="K253" s="1505">
        <f t="shared" ca="1" si="51"/>
        <v>0</v>
      </c>
      <c r="M253" s="691">
        <f ca="1">VLOOKUP($A253,Tariff_Table,Tariff!$F$33)</f>
        <v>0.4599967119808942</v>
      </c>
      <c r="N253" s="1481">
        <f t="shared" ca="1" si="52"/>
        <v>0</v>
      </c>
      <c r="O253" s="1480">
        <f ca="1">VLOOKUP($A253,Curves_Table,Escalation!$R$291)</f>
        <v>5.1247640724171344</v>
      </c>
      <c r="P253" s="1505">
        <f t="shared" ca="1" si="53"/>
        <v>0</v>
      </c>
      <c r="R253" s="1506">
        <f t="shared" ca="1" si="54"/>
        <v>0</v>
      </c>
      <c r="S253" s="330">
        <f ca="1">'Plant Operations'!C253</f>
        <v>0</v>
      </c>
      <c r="T253" s="1481">
        <f t="shared" ca="1" si="55"/>
        <v>0</v>
      </c>
      <c r="U253" s="1504">
        <f t="shared" ca="1" si="56"/>
        <v>3.1345553075453139</v>
      </c>
      <c r="V253" s="384">
        <f t="shared" ca="1" si="57"/>
        <v>0</v>
      </c>
      <c r="W253" s="692" t="str">
        <f t="shared" ca="1" si="45"/>
        <v xml:space="preserve"> </v>
      </c>
      <c r="Y253" s="1507">
        <f ca="1">IF($A253&gt;Endyr,0,VLOOKUP($A253,Tariff_Table,Tariff!$J$33))</f>
        <v>0</v>
      </c>
      <c r="Z253" s="1504">
        <f ca="1">VLOOKUP($A253,Curves_Table,Escalation!$AH$291)</f>
        <v>5.1247640724171344</v>
      </c>
      <c r="AA253" s="1504">
        <f t="shared" ca="1" si="58"/>
        <v>0</v>
      </c>
      <c r="AB253" s="334">
        <f ca="1">'Plant Operations'!$I253+'Plant Operations'!$M253</f>
        <v>0</v>
      </c>
      <c r="AC253" s="1481">
        <f t="shared" ca="1" si="46"/>
        <v>0</v>
      </c>
      <c r="AD253" s="1504">
        <f t="shared" ca="1" si="47"/>
        <v>3.1345553075453139</v>
      </c>
      <c r="AE253" s="335">
        <f t="shared" ca="1" si="59"/>
        <v>0</v>
      </c>
      <c r="AF253" s="698" t="str">
        <f t="shared" ca="1" si="48"/>
        <v xml:space="preserve"> </v>
      </c>
    </row>
    <row r="254" spans="1:32">
      <c r="A254" s="672">
        <f ca="1">'Plant Operations'!A254</f>
        <v>43617</v>
      </c>
      <c r="C254" s="1503">
        <f ca="1">IF($A254&gt;Endyr,0,VLOOKUP($A254,Tariff_Table,Tariff!$D$33))</f>
        <v>0</v>
      </c>
      <c r="E254" s="691">
        <f ca="1">VLOOKUP($A254,Tariff_Table,Tariff!$E$33)</f>
        <v>0.5400032880191058</v>
      </c>
      <c r="F254" s="1481">
        <f t="shared" ca="1" si="49"/>
        <v>0</v>
      </c>
      <c r="G254" s="1480">
        <f ca="1">VLOOKUP($A254,Curves_Table,Escalation!$N$291)</f>
        <v>1.7754357291063123</v>
      </c>
      <c r="H254" s="1481">
        <f t="shared" ca="1" si="50"/>
        <v>0</v>
      </c>
      <c r="I254" s="1504">
        <f ca="1">IF(Assm!$L$74=0,VLOOKUP($A254,Curves_Table,Escalation!$D$291),VLOOKUP($A254,Curves_Table,Escalation!$E$291))</f>
        <v>3.1345553075453139</v>
      </c>
      <c r="J254" s="1504">
        <f ca="1">IF($A254&lt;EE_Date,VLOOKUP($A254,Curves_Table,Escalation!$D$291),Exch)</f>
        <v>1.0649999999999999</v>
      </c>
      <c r="K254" s="1505">
        <f t="shared" ca="1" si="51"/>
        <v>0</v>
      </c>
      <c r="M254" s="691">
        <f ca="1">VLOOKUP($A254,Tariff_Table,Tariff!$F$33)</f>
        <v>0.4599967119808942</v>
      </c>
      <c r="N254" s="1481">
        <f t="shared" ca="1" si="52"/>
        <v>0</v>
      </c>
      <c r="O254" s="1480">
        <f ca="1">VLOOKUP($A254,Curves_Table,Escalation!$R$291)</f>
        <v>5.1247640724171344</v>
      </c>
      <c r="P254" s="1505">
        <f t="shared" ca="1" si="53"/>
        <v>0</v>
      </c>
      <c r="R254" s="1506">
        <f t="shared" ca="1" si="54"/>
        <v>0</v>
      </c>
      <c r="S254" s="330">
        <f ca="1">'Plant Operations'!C254</f>
        <v>0</v>
      </c>
      <c r="T254" s="1481">
        <f t="shared" ca="1" si="55"/>
        <v>0</v>
      </c>
      <c r="U254" s="1504">
        <f t="shared" ca="1" si="56"/>
        <v>3.1345553075453139</v>
      </c>
      <c r="V254" s="384">
        <f t="shared" ca="1" si="57"/>
        <v>0</v>
      </c>
      <c r="W254" s="692" t="str">
        <f t="shared" ca="1" si="45"/>
        <v xml:space="preserve"> </v>
      </c>
      <c r="Y254" s="1507">
        <f ca="1">IF($A254&gt;Endyr,0,VLOOKUP($A254,Tariff_Table,Tariff!$J$33))</f>
        <v>0</v>
      </c>
      <c r="Z254" s="1504">
        <f ca="1">VLOOKUP($A254,Curves_Table,Escalation!$AH$291)</f>
        <v>5.1247640724171344</v>
      </c>
      <c r="AA254" s="1504">
        <f t="shared" ca="1" si="58"/>
        <v>0</v>
      </c>
      <c r="AB254" s="334">
        <f ca="1">'Plant Operations'!$I254+'Plant Operations'!$M254</f>
        <v>0</v>
      </c>
      <c r="AC254" s="1481">
        <f t="shared" ca="1" si="46"/>
        <v>0</v>
      </c>
      <c r="AD254" s="1504">
        <f t="shared" ca="1" si="47"/>
        <v>3.1345553075453139</v>
      </c>
      <c r="AE254" s="335">
        <f t="shared" ca="1" si="59"/>
        <v>0</v>
      </c>
      <c r="AF254" s="698" t="str">
        <f t="shared" ca="1" si="48"/>
        <v xml:space="preserve"> </v>
      </c>
    </row>
    <row r="255" spans="1:32">
      <c r="A255" s="672">
        <f ca="1">'Plant Operations'!A255</f>
        <v>43647</v>
      </c>
      <c r="C255" s="1503">
        <f ca="1">IF($A255&gt;Endyr,0,VLOOKUP($A255,Tariff_Table,Tariff!$D$33))</f>
        <v>0</v>
      </c>
      <c r="E255" s="691">
        <f ca="1">VLOOKUP($A255,Tariff_Table,Tariff!$E$33)</f>
        <v>0.5400032880191058</v>
      </c>
      <c r="F255" s="1481">
        <f t="shared" ca="1" si="49"/>
        <v>0</v>
      </c>
      <c r="G255" s="1480">
        <f ca="1">VLOOKUP($A255,Curves_Table,Escalation!$N$291)</f>
        <v>1.7754357291063123</v>
      </c>
      <c r="H255" s="1481">
        <f t="shared" ca="1" si="50"/>
        <v>0</v>
      </c>
      <c r="I255" s="1504">
        <f ca="1">IF(Assm!$L$74=0,VLOOKUP($A255,Curves_Table,Escalation!$D$291),VLOOKUP($A255,Curves_Table,Escalation!$E$291))</f>
        <v>3.1345553075453139</v>
      </c>
      <c r="J255" s="1504">
        <f ca="1">IF($A255&lt;EE_Date,VLOOKUP($A255,Curves_Table,Escalation!$D$291),Exch)</f>
        <v>1.0649999999999999</v>
      </c>
      <c r="K255" s="1505">
        <f t="shared" ca="1" si="51"/>
        <v>0</v>
      </c>
      <c r="M255" s="691">
        <f ca="1">VLOOKUP($A255,Tariff_Table,Tariff!$F$33)</f>
        <v>0.4599967119808942</v>
      </c>
      <c r="N255" s="1481">
        <f t="shared" ca="1" si="52"/>
        <v>0</v>
      </c>
      <c r="O255" s="1480">
        <f ca="1">VLOOKUP($A255,Curves_Table,Escalation!$R$291)</f>
        <v>5.1247640724171344</v>
      </c>
      <c r="P255" s="1505">
        <f t="shared" ca="1" si="53"/>
        <v>0</v>
      </c>
      <c r="R255" s="1506">
        <f t="shared" ca="1" si="54"/>
        <v>0</v>
      </c>
      <c r="S255" s="330">
        <f ca="1">'Plant Operations'!C255</f>
        <v>0</v>
      </c>
      <c r="T255" s="1481">
        <f t="shared" ca="1" si="55"/>
        <v>0</v>
      </c>
      <c r="U255" s="1504">
        <f t="shared" ca="1" si="56"/>
        <v>3.1345553075453139</v>
      </c>
      <c r="V255" s="384">
        <f t="shared" ca="1" si="57"/>
        <v>0</v>
      </c>
      <c r="W255" s="692" t="str">
        <f t="shared" ca="1" si="45"/>
        <v xml:space="preserve"> </v>
      </c>
      <c r="Y255" s="1507">
        <f ca="1">IF($A255&gt;Endyr,0,VLOOKUP($A255,Tariff_Table,Tariff!$J$33))</f>
        <v>0</v>
      </c>
      <c r="Z255" s="1504">
        <f ca="1">VLOOKUP($A255,Curves_Table,Escalation!$AH$291)</f>
        <v>5.1247640724171344</v>
      </c>
      <c r="AA255" s="1504">
        <f t="shared" ca="1" si="58"/>
        <v>0</v>
      </c>
      <c r="AB255" s="334">
        <f ca="1">'Plant Operations'!$I255+'Plant Operations'!$M255</f>
        <v>0</v>
      </c>
      <c r="AC255" s="1481">
        <f t="shared" ca="1" si="46"/>
        <v>0</v>
      </c>
      <c r="AD255" s="1504">
        <f t="shared" ca="1" si="47"/>
        <v>3.1345553075453139</v>
      </c>
      <c r="AE255" s="335">
        <f t="shared" ca="1" si="59"/>
        <v>0</v>
      </c>
      <c r="AF255" s="698" t="str">
        <f t="shared" ca="1" si="48"/>
        <v xml:space="preserve"> </v>
      </c>
    </row>
    <row r="256" spans="1:32">
      <c r="A256" s="672">
        <f ca="1">'Plant Operations'!A256</f>
        <v>43678</v>
      </c>
      <c r="C256" s="1503">
        <f ca="1">IF($A256&gt;Endyr,0,VLOOKUP($A256,Tariff_Table,Tariff!$D$33))</f>
        <v>0</v>
      </c>
      <c r="E256" s="691">
        <f ca="1">VLOOKUP($A256,Tariff_Table,Tariff!$E$33)</f>
        <v>0.5400032880191058</v>
      </c>
      <c r="F256" s="1481">
        <f t="shared" ca="1" si="49"/>
        <v>0</v>
      </c>
      <c r="G256" s="1480">
        <f ca="1">VLOOKUP($A256,Curves_Table,Escalation!$N$291)</f>
        <v>1.7754357291063123</v>
      </c>
      <c r="H256" s="1481">
        <f t="shared" ca="1" si="50"/>
        <v>0</v>
      </c>
      <c r="I256" s="1504">
        <f ca="1">IF(Assm!$L$74=0,VLOOKUP($A256,Curves_Table,Escalation!$D$291),VLOOKUP($A256,Curves_Table,Escalation!$E$291))</f>
        <v>3.1345553075453139</v>
      </c>
      <c r="J256" s="1504">
        <f ca="1">IF($A256&lt;EE_Date,VLOOKUP($A256,Curves_Table,Escalation!$D$291),Exch)</f>
        <v>1.0649999999999999</v>
      </c>
      <c r="K256" s="1505">
        <f t="shared" ca="1" si="51"/>
        <v>0</v>
      </c>
      <c r="M256" s="691">
        <f ca="1">VLOOKUP($A256,Tariff_Table,Tariff!$F$33)</f>
        <v>0.4599967119808942</v>
      </c>
      <c r="N256" s="1481">
        <f t="shared" ca="1" si="52"/>
        <v>0</v>
      </c>
      <c r="O256" s="1480">
        <f ca="1">VLOOKUP($A256,Curves_Table,Escalation!$R$291)</f>
        <v>5.1247640724171344</v>
      </c>
      <c r="P256" s="1505">
        <f t="shared" ca="1" si="53"/>
        <v>0</v>
      </c>
      <c r="R256" s="1506">
        <f t="shared" ca="1" si="54"/>
        <v>0</v>
      </c>
      <c r="S256" s="330">
        <f ca="1">'Plant Operations'!C256</f>
        <v>0</v>
      </c>
      <c r="T256" s="1481">
        <f t="shared" ca="1" si="55"/>
        <v>0</v>
      </c>
      <c r="U256" s="1504">
        <f t="shared" ca="1" si="56"/>
        <v>3.1345553075453139</v>
      </c>
      <c r="V256" s="384">
        <f t="shared" ca="1" si="57"/>
        <v>0</v>
      </c>
      <c r="W256" s="692" t="str">
        <f t="shared" ca="1" si="45"/>
        <v xml:space="preserve"> </v>
      </c>
      <c r="Y256" s="1507">
        <f ca="1">IF($A256&gt;Endyr,0,VLOOKUP($A256,Tariff_Table,Tariff!$J$33))</f>
        <v>0</v>
      </c>
      <c r="Z256" s="1504">
        <f ca="1">VLOOKUP($A256,Curves_Table,Escalation!$AH$291)</f>
        <v>5.1247640724171344</v>
      </c>
      <c r="AA256" s="1504">
        <f t="shared" ca="1" si="58"/>
        <v>0</v>
      </c>
      <c r="AB256" s="334">
        <f ca="1">'Plant Operations'!$I256+'Plant Operations'!$M256</f>
        <v>0</v>
      </c>
      <c r="AC256" s="1481">
        <f t="shared" ca="1" si="46"/>
        <v>0</v>
      </c>
      <c r="AD256" s="1504">
        <f t="shared" ca="1" si="47"/>
        <v>3.1345553075453139</v>
      </c>
      <c r="AE256" s="335">
        <f t="shared" ca="1" si="59"/>
        <v>0</v>
      </c>
      <c r="AF256" s="698" t="str">
        <f t="shared" ca="1" si="48"/>
        <v xml:space="preserve"> </v>
      </c>
    </row>
    <row r="257" spans="1:32">
      <c r="A257" s="672">
        <f ca="1">'Plant Operations'!A257</f>
        <v>43709</v>
      </c>
      <c r="C257" s="1503">
        <f ca="1">IF($A257&gt;Endyr,0,VLOOKUP($A257,Tariff_Table,Tariff!$D$33))</f>
        <v>0</v>
      </c>
      <c r="E257" s="691">
        <f ca="1">VLOOKUP($A257,Tariff_Table,Tariff!$E$33)</f>
        <v>0.5400032880191058</v>
      </c>
      <c r="F257" s="1481">
        <f t="shared" ca="1" si="49"/>
        <v>0</v>
      </c>
      <c r="G257" s="1480">
        <f ca="1">VLOOKUP($A257,Curves_Table,Escalation!$N$291)</f>
        <v>1.7754357291063123</v>
      </c>
      <c r="H257" s="1481">
        <f t="shared" ca="1" si="50"/>
        <v>0</v>
      </c>
      <c r="I257" s="1504">
        <f ca="1">IF(Assm!$L$74=0,VLOOKUP($A257,Curves_Table,Escalation!$D$291),VLOOKUP($A257,Curves_Table,Escalation!$E$291))</f>
        <v>3.1345553075453139</v>
      </c>
      <c r="J257" s="1504">
        <f ca="1">IF($A257&lt;EE_Date,VLOOKUP($A257,Curves_Table,Escalation!$D$291),Exch)</f>
        <v>1.0649999999999999</v>
      </c>
      <c r="K257" s="1505">
        <f t="shared" ca="1" si="51"/>
        <v>0</v>
      </c>
      <c r="M257" s="691">
        <f ca="1">VLOOKUP($A257,Tariff_Table,Tariff!$F$33)</f>
        <v>0.4599967119808942</v>
      </c>
      <c r="N257" s="1481">
        <f t="shared" ca="1" si="52"/>
        <v>0</v>
      </c>
      <c r="O257" s="1480">
        <f ca="1">VLOOKUP($A257,Curves_Table,Escalation!$R$291)</f>
        <v>5.1247640724171344</v>
      </c>
      <c r="P257" s="1505">
        <f t="shared" ca="1" si="53"/>
        <v>0</v>
      </c>
      <c r="R257" s="1506">
        <f t="shared" ca="1" si="54"/>
        <v>0</v>
      </c>
      <c r="S257" s="330">
        <f ca="1">'Plant Operations'!C257</f>
        <v>0</v>
      </c>
      <c r="T257" s="1481">
        <f t="shared" ca="1" si="55"/>
        <v>0</v>
      </c>
      <c r="U257" s="1504">
        <f t="shared" ca="1" si="56"/>
        <v>3.1345553075453139</v>
      </c>
      <c r="V257" s="384">
        <f t="shared" ca="1" si="57"/>
        <v>0</v>
      </c>
      <c r="W257" s="692" t="str">
        <f t="shared" ca="1" si="45"/>
        <v xml:space="preserve"> </v>
      </c>
      <c r="Y257" s="1507">
        <f ca="1">IF($A257&gt;Endyr,0,VLOOKUP($A257,Tariff_Table,Tariff!$J$33))</f>
        <v>0</v>
      </c>
      <c r="Z257" s="1504">
        <f ca="1">VLOOKUP($A257,Curves_Table,Escalation!$AH$291)</f>
        <v>5.1247640724171344</v>
      </c>
      <c r="AA257" s="1504">
        <f t="shared" ca="1" si="58"/>
        <v>0</v>
      </c>
      <c r="AB257" s="334">
        <f ca="1">'Plant Operations'!$I257+'Plant Operations'!$M257</f>
        <v>0</v>
      </c>
      <c r="AC257" s="1481">
        <f t="shared" ca="1" si="46"/>
        <v>0</v>
      </c>
      <c r="AD257" s="1504">
        <f t="shared" ca="1" si="47"/>
        <v>3.1345553075453139</v>
      </c>
      <c r="AE257" s="335">
        <f t="shared" ca="1" si="59"/>
        <v>0</v>
      </c>
      <c r="AF257" s="698" t="str">
        <f t="shared" ca="1" si="48"/>
        <v xml:space="preserve"> </v>
      </c>
    </row>
    <row r="258" spans="1:32">
      <c r="A258" s="672">
        <f ca="1">'Plant Operations'!A258</f>
        <v>43739</v>
      </c>
      <c r="C258" s="1503">
        <f ca="1">IF($A258&gt;Endyr,0,VLOOKUP($A258,Tariff_Table,Tariff!$D$33))</f>
        <v>0</v>
      </c>
      <c r="E258" s="691">
        <f ca="1">VLOOKUP($A258,Tariff_Table,Tariff!$E$33)</f>
        <v>0.5400032880191058</v>
      </c>
      <c r="F258" s="1481">
        <f t="shared" ca="1" si="49"/>
        <v>0</v>
      </c>
      <c r="G258" s="1480">
        <f ca="1">VLOOKUP($A258,Curves_Table,Escalation!$N$291)</f>
        <v>1.7754357291063123</v>
      </c>
      <c r="H258" s="1481">
        <f t="shared" ca="1" si="50"/>
        <v>0</v>
      </c>
      <c r="I258" s="1504">
        <f ca="1">IF(Assm!$L$74=0,VLOOKUP($A258,Curves_Table,Escalation!$D$291),VLOOKUP($A258,Curves_Table,Escalation!$E$291))</f>
        <v>3.1345553075453139</v>
      </c>
      <c r="J258" s="1504">
        <f ca="1">IF($A258&lt;EE_Date,VLOOKUP($A258,Curves_Table,Escalation!$D$291),Exch)</f>
        <v>1.0649999999999999</v>
      </c>
      <c r="K258" s="1505">
        <f t="shared" ca="1" si="51"/>
        <v>0</v>
      </c>
      <c r="M258" s="691">
        <f ca="1">VLOOKUP($A258,Tariff_Table,Tariff!$F$33)</f>
        <v>0.4599967119808942</v>
      </c>
      <c r="N258" s="1481">
        <f t="shared" ca="1" si="52"/>
        <v>0</v>
      </c>
      <c r="O258" s="1480">
        <f ca="1">VLOOKUP($A258,Curves_Table,Escalation!$R$291)</f>
        <v>5.1247640724171344</v>
      </c>
      <c r="P258" s="1505">
        <f t="shared" ca="1" si="53"/>
        <v>0</v>
      </c>
      <c r="R258" s="1506">
        <f t="shared" ca="1" si="54"/>
        <v>0</v>
      </c>
      <c r="S258" s="330">
        <f ca="1">'Plant Operations'!C258</f>
        <v>0</v>
      </c>
      <c r="T258" s="1481">
        <f t="shared" ca="1" si="55"/>
        <v>0</v>
      </c>
      <c r="U258" s="1504">
        <f t="shared" ca="1" si="56"/>
        <v>3.1345553075453139</v>
      </c>
      <c r="V258" s="384">
        <f t="shared" ca="1" si="57"/>
        <v>0</v>
      </c>
      <c r="W258" s="692" t="str">
        <f t="shared" ca="1" si="45"/>
        <v xml:space="preserve"> </v>
      </c>
      <c r="Y258" s="1507">
        <f ca="1">IF($A258&gt;Endyr,0,VLOOKUP($A258,Tariff_Table,Tariff!$J$33))</f>
        <v>0</v>
      </c>
      <c r="Z258" s="1504">
        <f ca="1">VLOOKUP($A258,Curves_Table,Escalation!$AH$291)</f>
        <v>5.1247640724171344</v>
      </c>
      <c r="AA258" s="1504">
        <f t="shared" ca="1" si="58"/>
        <v>0</v>
      </c>
      <c r="AB258" s="334">
        <f ca="1">'Plant Operations'!$I258+'Plant Operations'!$M258</f>
        <v>0</v>
      </c>
      <c r="AC258" s="1481">
        <f t="shared" ca="1" si="46"/>
        <v>0</v>
      </c>
      <c r="AD258" s="1504">
        <f t="shared" ca="1" si="47"/>
        <v>3.1345553075453139</v>
      </c>
      <c r="AE258" s="335">
        <f t="shared" ca="1" si="59"/>
        <v>0</v>
      </c>
      <c r="AF258" s="698" t="str">
        <f t="shared" ca="1" si="48"/>
        <v xml:space="preserve"> </v>
      </c>
    </row>
    <row r="259" spans="1:32">
      <c r="A259" s="672">
        <f ca="1">'Plant Operations'!A259</f>
        <v>43770</v>
      </c>
      <c r="C259" s="1503">
        <f ca="1">IF($A259&gt;Endyr,0,VLOOKUP($A259,Tariff_Table,Tariff!$D$33))</f>
        <v>0</v>
      </c>
      <c r="E259" s="691">
        <f ca="1">VLOOKUP($A259,Tariff_Table,Tariff!$E$33)</f>
        <v>0.5400032880191058</v>
      </c>
      <c r="F259" s="1481">
        <f t="shared" ca="1" si="49"/>
        <v>0</v>
      </c>
      <c r="G259" s="1480">
        <f ca="1">VLOOKUP($A259,Curves_Table,Escalation!$N$291)</f>
        <v>1.7754357291063123</v>
      </c>
      <c r="H259" s="1481">
        <f t="shared" ca="1" si="50"/>
        <v>0</v>
      </c>
      <c r="I259" s="1504">
        <f ca="1">IF(Assm!$L$74=0,VLOOKUP($A259,Curves_Table,Escalation!$D$291),VLOOKUP($A259,Curves_Table,Escalation!$E$291))</f>
        <v>3.1345553075453139</v>
      </c>
      <c r="J259" s="1504">
        <f ca="1">IF($A259&lt;EE_Date,VLOOKUP($A259,Curves_Table,Escalation!$D$291),Exch)</f>
        <v>1.0649999999999999</v>
      </c>
      <c r="K259" s="1505">
        <f t="shared" ca="1" si="51"/>
        <v>0</v>
      </c>
      <c r="M259" s="691">
        <f ca="1">VLOOKUP($A259,Tariff_Table,Tariff!$F$33)</f>
        <v>0.4599967119808942</v>
      </c>
      <c r="N259" s="1481">
        <f t="shared" ca="1" si="52"/>
        <v>0</v>
      </c>
      <c r="O259" s="1480">
        <f ca="1">VLOOKUP($A259,Curves_Table,Escalation!$R$291)</f>
        <v>5.1247640724171344</v>
      </c>
      <c r="P259" s="1505">
        <f t="shared" ca="1" si="53"/>
        <v>0</v>
      </c>
      <c r="R259" s="1506">
        <f t="shared" ca="1" si="54"/>
        <v>0</v>
      </c>
      <c r="S259" s="330">
        <f ca="1">'Plant Operations'!C259</f>
        <v>0</v>
      </c>
      <c r="T259" s="1481">
        <f t="shared" ca="1" si="55"/>
        <v>0</v>
      </c>
      <c r="U259" s="1504">
        <f t="shared" ca="1" si="56"/>
        <v>3.1345553075453139</v>
      </c>
      <c r="V259" s="384">
        <f t="shared" ca="1" si="57"/>
        <v>0</v>
      </c>
      <c r="W259" s="692" t="str">
        <f t="shared" ca="1" si="45"/>
        <v xml:space="preserve"> </v>
      </c>
      <c r="Y259" s="1507">
        <f ca="1">IF($A259&gt;Endyr,0,VLOOKUP($A259,Tariff_Table,Tariff!$J$33))</f>
        <v>0</v>
      </c>
      <c r="Z259" s="1504">
        <f ca="1">VLOOKUP($A259,Curves_Table,Escalation!$AH$291)</f>
        <v>5.1247640724171344</v>
      </c>
      <c r="AA259" s="1504">
        <f t="shared" ca="1" si="58"/>
        <v>0</v>
      </c>
      <c r="AB259" s="334">
        <f ca="1">'Plant Operations'!$I259+'Plant Operations'!$M259</f>
        <v>0</v>
      </c>
      <c r="AC259" s="1481">
        <f t="shared" ca="1" si="46"/>
        <v>0</v>
      </c>
      <c r="AD259" s="1504">
        <f t="shared" ca="1" si="47"/>
        <v>3.1345553075453139</v>
      </c>
      <c r="AE259" s="335">
        <f t="shared" ca="1" si="59"/>
        <v>0</v>
      </c>
      <c r="AF259" s="698" t="str">
        <f t="shared" ca="1" si="48"/>
        <v xml:space="preserve"> </v>
      </c>
    </row>
    <row r="260" spans="1:32">
      <c r="A260" s="672">
        <f ca="1">'Plant Operations'!A260</f>
        <v>43800</v>
      </c>
      <c r="C260" s="1503">
        <f ca="1">IF($A260&gt;Endyr,0,VLOOKUP($A260,Tariff_Table,Tariff!$D$33))</f>
        <v>0</v>
      </c>
      <c r="E260" s="691">
        <f ca="1">VLOOKUP($A260,Tariff_Table,Tariff!$E$33)</f>
        <v>0.5400032880191058</v>
      </c>
      <c r="F260" s="1481">
        <f t="shared" ca="1" si="49"/>
        <v>0</v>
      </c>
      <c r="G260" s="1480">
        <f ca="1">VLOOKUP($A260,Curves_Table,Escalation!$N$291)</f>
        <v>1.7754357291063123</v>
      </c>
      <c r="H260" s="1481">
        <f t="shared" ca="1" si="50"/>
        <v>0</v>
      </c>
      <c r="I260" s="1504">
        <f ca="1">IF(Assm!$L$74=0,VLOOKUP($A260,Curves_Table,Escalation!$D$291),VLOOKUP($A260,Curves_Table,Escalation!$E$291))</f>
        <v>3.1345553075453139</v>
      </c>
      <c r="J260" s="1504">
        <f ca="1">IF($A260&lt;EE_Date,VLOOKUP($A260,Curves_Table,Escalation!$D$291),Exch)</f>
        <v>1.0649999999999999</v>
      </c>
      <c r="K260" s="1505">
        <f t="shared" ca="1" si="51"/>
        <v>0</v>
      </c>
      <c r="M260" s="691">
        <f ca="1">VLOOKUP($A260,Tariff_Table,Tariff!$F$33)</f>
        <v>0.4599967119808942</v>
      </c>
      <c r="N260" s="1481">
        <f t="shared" ca="1" si="52"/>
        <v>0</v>
      </c>
      <c r="O260" s="1480">
        <f ca="1">VLOOKUP($A260,Curves_Table,Escalation!$R$291)</f>
        <v>5.1247640724171344</v>
      </c>
      <c r="P260" s="1505">
        <f t="shared" ca="1" si="53"/>
        <v>0</v>
      </c>
      <c r="R260" s="1506">
        <f t="shared" ca="1" si="54"/>
        <v>0</v>
      </c>
      <c r="S260" s="330">
        <f ca="1">'Plant Operations'!C260</f>
        <v>0</v>
      </c>
      <c r="T260" s="1481">
        <f t="shared" ca="1" si="55"/>
        <v>0</v>
      </c>
      <c r="U260" s="1504">
        <f t="shared" ca="1" si="56"/>
        <v>3.1345553075453139</v>
      </c>
      <c r="V260" s="384">
        <f t="shared" ca="1" si="57"/>
        <v>0</v>
      </c>
      <c r="W260" s="692">
        <f t="shared" ca="1" si="45"/>
        <v>3924.5529045111334</v>
      </c>
      <c r="Y260" s="1507">
        <f ca="1">IF($A260&gt;Endyr,0,VLOOKUP($A260,Tariff_Table,Tariff!$J$33))</f>
        <v>0</v>
      </c>
      <c r="Z260" s="1504">
        <f ca="1">VLOOKUP($A260,Curves_Table,Escalation!$AH$291)</f>
        <v>5.1247640724171344</v>
      </c>
      <c r="AA260" s="1504">
        <f t="shared" ca="1" si="58"/>
        <v>0</v>
      </c>
      <c r="AB260" s="334">
        <f ca="1">'Plant Operations'!$I260+'Plant Operations'!$M260</f>
        <v>0</v>
      </c>
      <c r="AC260" s="1481">
        <f t="shared" ca="1" si="46"/>
        <v>0</v>
      </c>
      <c r="AD260" s="1504">
        <f t="shared" ca="1" si="47"/>
        <v>3.1345553075453139</v>
      </c>
      <c r="AE260" s="335">
        <f t="shared" ca="1" si="59"/>
        <v>0</v>
      </c>
      <c r="AF260" s="698">
        <f t="shared" ca="1" si="48"/>
        <v>338.01752135795903</v>
      </c>
    </row>
    <row r="261" spans="1:32">
      <c r="A261" s="672">
        <f ca="1">'Plant Operations'!A261</f>
        <v>43831</v>
      </c>
      <c r="C261" s="1503">
        <f ca="1">IF($A261&gt;Endyr,0,VLOOKUP($A261,Tariff_Table,Tariff!$D$33))</f>
        <v>0</v>
      </c>
      <c r="E261" s="691">
        <f ca="1">VLOOKUP($A261,Tariff_Table,Tariff!$E$33)</f>
        <v>0.5400032880191058</v>
      </c>
      <c r="F261" s="1481">
        <f t="shared" ca="1" si="49"/>
        <v>0</v>
      </c>
      <c r="G261" s="1480">
        <f ca="1">VLOOKUP($A261,Curves_Table,Escalation!$N$291)</f>
        <v>1.7754357291063123</v>
      </c>
      <c r="H261" s="1481">
        <f t="shared" ca="1" si="50"/>
        <v>0</v>
      </c>
      <c r="I261" s="1504">
        <f ca="1">IF(Assm!$L$74=0,VLOOKUP($A261,Curves_Table,Escalation!$D$291),VLOOKUP($A261,Curves_Table,Escalation!$E$291))</f>
        <v>3.1345553075453139</v>
      </c>
      <c r="J261" s="1504">
        <f ca="1">IF($A261&lt;EE_Date,VLOOKUP($A261,Curves_Table,Escalation!$D$291),Exch)</f>
        <v>1.0649999999999999</v>
      </c>
      <c r="K261" s="1505">
        <f t="shared" ca="1" si="51"/>
        <v>0</v>
      </c>
      <c r="M261" s="691">
        <f ca="1">VLOOKUP($A261,Tariff_Table,Tariff!$F$33)</f>
        <v>0.4599967119808942</v>
      </c>
      <c r="N261" s="1481">
        <f t="shared" ca="1" si="52"/>
        <v>0</v>
      </c>
      <c r="O261" s="1480">
        <f ca="1">VLOOKUP($A261,Curves_Table,Escalation!$R$291)</f>
        <v>5.1247640724171344</v>
      </c>
      <c r="P261" s="1505">
        <f t="shared" ca="1" si="53"/>
        <v>0</v>
      </c>
      <c r="R261" s="1506">
        <f t="shared" ca="1" si="54"/>
        <v>0</v>
      </c>
      <c r="S261" s="330">
        <f ca="1">'Plant Operations'!C261</f>
        <v>0</v>
      </c>
      <c r="T261" s="1481">
        <f t="shared" ca="1" si="55"/>
        <v>0</v>
      </c>
      <c r="U261" s="1504">
        <f t="shared" ca="1" si="56"/>
        <v>3.1345553075453139</v>
      </c>
      <c r="V261" s="384">
        <f t="shared" ca="1" si="57"/>
        <v>0</v>
      </c>
      <c r="W261" s="692" t="str">
        <f t="shared" ca="1" si="45"/>
        <v xml:space="preserve"> </v>
      </c>
      <c r="Y261" s="1507">
        <f ca="1">IF($A261&gt;Endyr,0,VLOOKUP($A261,Tariff_Table,Tariff!$J$33))</f>
        <v>0</v>
      </c>
      <c r="Z261" s="1504">
        <f ca="1">VLOOKUP($A261,Curves_Table,Escalation!$AH$291)</f>
        <v>5.1247640724171344</v>
      </c>
      <c r="AA261" s="1504">
        <f t="shared" ca="1" si="58"/>
        <v>0</v>
      </c>
      <c r="AB261" s="334">
        <f ca="1">'Plant Operations'!$I261+'Plant Operations'!$M261</f>
        <v>0</v>
      </c>
      <c r="AC261" s="1481">
        <f t="shared" ca="1" si="46"/>
        <v>0</v>
      </c>
      <c r="AD261" s="1504">
        <f t="shared" ca="1" si="47"/>
        <v>3.1345553075453139</v>
      </c>
      <c r="AE261" s="335">
        <f t="shared" ca="1" si="59"/>
        <v>0</v>
      </c>
      <c r="AF261" s="698" t="str">
        <f t="shared" ca="1" si="48"/>
        <v xml:space="preserve"> </v>
      </c>
    </row>
    <row r="262" spans="1:32">
      <c r="A262" s="672">
        <f ca="1">'Plant Operations'!A262</f>
        <v>43862</v>
      </c>
      <c r="C262" s="1503">
        <f ca="1">IF($A262&gt;Endyr,0,VLOOKUP($A262,Tariff_Table,Tariff!$D$33))</f>
        <v>0</v>
      </c>
      <c r="E262" s="691">
        <f ca="1">VLOOKUP($A262,Tariff_Table,Tariff!$E$33)</f>
        <v>0.5400032880191058</v>
      </c>
      <c r="F262" s="1481">
        <f t="shared" ca="1" si="49"/>
        <v>0</v>
      </c>
      <c r="G262" s="1480">
        <f ca="1">VLOOKUP($A262,Curves_Table,Escalation!$N$291)</f>
        <v>1.7754357291063123</v>
      </c>
      <c r="H262" s="1481">
        <f t="shared" ca="1" si="50"/>
        <v>0</v>
      </c>
      <c r="I262" s="1504">
        <f ca="1">IF(Assm!$L$74=0,VLOOKUP($A262,Curves_Table,Escalation!$D$291),VLOOKUP($A262,Curves_Table,Escalation!$E$291))</f>
        <v>3.1345553075453139</v>
      </c>
      <c r="J262" s="1504">
        <f ca="1">IF($A262&lt;EE_Date,VLOOKUP($A262,Curves_Table,Escalation!$D$291),Exch)</f>
        <v>1.0649999999999999</v>
      </c>
      <c r="K262" s="1505">
        <f t="shared" ca="1" si="51"/>
        <v>0</v>
      </c>
      <c r="M262" s="691">
        <f ca="1">VLOOKUP($A262,Tariff_Table,Tariff!$F$33)</f>
        <v>0.4599967119808942</v>
      </c>
      <c r="N262" s="1481">
        <f t="shared" ca="1" si="52"/>
        <v>0</v>
      </c>
      <c r="O262" s="1480">
        <f ca="1">VLOOKUP($A262,Curves_Table,Escalation!$R$291)</f>
        <v>5.1247640724171344</v>
      </c>
      <c r="P262" s="1505">
        <f t="shared" ca="1" si="53"/>
        <v>0</v>
      </c>
      <c r="R262" s="1506">
        <f t="shared" ca="1" si="54"/>
        <v>0</v>
      </c>
      <c r="S262" s="330">
        <f ca="1">'Plant Operations'!C262</f>
        <v>0</v>
      </c>
      <c r="T262" s="1481">
        <f t="shared" ca="1" si="55"/>
        <v>0</v>
      </c>
      <c r="U262" s="1504">
        <f t="shared" ca="1" si="56"/>
        <v>3.1345553075453139</v>
      </c>
      <c r="V262" s="384">
        <f t="shared" ca="1" si="57"/>
        <v>0</v>
      </c>
      <c r="W262" s="692" t="str">
        <f t="shared" ca="1" si="45"/>
        <v xml:space="preserve"> </v>
      </c>
      <c r="Y262" s="1507">
        <f ca="1">IF($A262&gt;Endyr,0,VLOOKUP($A262,Tariff_Table,Tariff!$J$33))</f>
        <v>0</v>
      </c>
      <c r="Z262" s="1504">
        <f ca="1">VLOOKUP($A262,Curves_Table,Escalation!$AH$291)</f>
        <v>5.1247640724171344</v>
      </c>
      <c r="AA262" s="1504">
        <f t="shared" ca="1" si="58"/>
        <v>0</v>
      </c>
      <c r="AB262" s="334">
        <f ca="1">'Plant Operations'!$I262+'Plant Operations'!$M262</f>
        <v>0</v>
      </c>
      <c r="AC262" s="1481">
        <f t="shared" ca="1" si="46"/>
        <v>0</v>
      </c>
      <c r="AD262" s="1504">
        <f t="shared" ca="1" si="47"/>
        <v>3.1345553075453139</v>
      </c>
      <c r="AE262" s="335">
        <f t="shared" ca="1" si="59"/>
        <v>0</v>
      </c>
      <c r="AF262" s="698" t="str">
        <f t="shared" ca="1" si="48"/>
        <v xml:space="preserve"> </v>
      </c>
    </row>
    <row r="263" spans="1:32">
      <c r="A263" s="672">
        <f ca="1">'Plant Operations'!A263</f>
        <v>43891</v>
      </c>
      <c r="C263" s="1503">
        <f ca="1">IF($A263&gt;Endyr,0,VLOOKUP($A263,Tariff_Table,Tariff!$D$33))</f>
        <v>0</v>
      </c>
      <c r="E263" s="691">
        <f ca="1">VLOOKUP($A263,Tariff_Table,Tariff!$E$33)</f>
        <v>0.5400032880191058</v>
      </c>
      <c r="F263" s="1481">
        <f t="shared" ca="1" si="49"/>
        <v>0</v>
      </c>
      <c r="G263" s="1480">
        <f ca="1">VLOOKUP($A263,Curves_Table,Escalation!$N$291)</f>
        <v>1.7754357291063123</v>
      </c>
      <c r="H263" s="1481">
        <f t="shared" ca="1" si="50"/>
        <v>0</v>
      </c>
      <c r="I263" s="1504">
        <f ca="1">IF(Assm!$L$74=0,VLOOKUP($A263,Curves_Table,Escalation!$D$291),VLOOKUP($A263,Curves_Table,Escalation!$E$291))</f>
        <v>3.1345553075453139</v>
      </c>
      <c r="J263" s="1504">
        <f ca="1">IF($A263&lt;EE_Date,VLOOKUP($A263,Curves_Table,Escalation!$D$291),Exch)</f>
        <v>1.0649999999999999</v>
      </c>
      <c r="K263" s="1505">
        <f t="shared" ca="1" si="51"/>
        <v>0</v>
      </c>
      <c r="M263" s="691">
        <f ca="1">VLOOKUP($A263,Tariff_Table,Tariff!$F$33)</f>
        <v>0.4599967119808942</v>
      </c>
      <c r="N263" s="1481">
        <f t="shared" ca="1" si="52"/>
        <v>0</v>
      </c>
      <c r="O263" s="1480">
        <f ca="1">VLOOKUP($A263,Curves_Table,Escalation!$R$291)</f>
        <v>5.1247640724171344</v>
      </c>
      <c r="P263" s="1505">
        <f t="shared" ca="1" si="53"/>
        <v>0</v>
      </c>
      <c r="R263" s="1506">
        <f t="shared" ca="1" si="54"/>
        <v>0</v>
      </c>
      <c r="S263" s="330">
        <f ca="1">'Plant Operations'!C263</f>
        <v>0</v>
      </c>
      <c r="T263" s="1481">
        <f t="shared" ca="1" si="55"/>
        <v>0</v>
      </c>
      <c r="U263" s="1504">
        <f t="shared" ca="1" si="56"/>
        <v>3.1345553075453139</v>
      </c>
      <c r="V263" s="384">
        <f t="shared" ca="1" si="57"/>
        <v>0</v>
      </c>
      <c r="W263" s="692" t="str">
        <f t="shared" ca="1" si="45"/>
        <v xml:space="preserve"> </v>
      </c>
      <c r="Y263" s="1507">
        <f ca="1">IF($A263&gt;Endyr,0,VLOOKUP($A263,Tariff_Table,Tariff!$J$33))</f>
        <v>0</v>
      </c>
      <c r="Z263" s="1504">
        <f ca="1">VLOOKUP($A263,Curves_Table,Escalation!$AH$291)</f>
        <v>5.1247640724171344</v>
      </c>
      <c r="AA263" s="1504">
        <f t="shared" ca="1" si="58"/>
        <v>0</v>
      </c>
      <c r="AB263" s="334">
        <f ca="1">'Plant Operations'!$I263+'Plant Operations'!$M263</f>
        <v>0</v>
      </c>
      <c r="AC263" s="1481">
        <f t="shared" ca="1" si="46"/>
        <v>0</v>
      </c>
      <c r="AD263" s="1504">
        <f t="shared" ca="1" si="47"/>
        <v>3.1345553075453139</v>
      </c>
      <c r="AE263" s="335">
        <f t="shared" ca="1" si="59"/>
        <v>0</v>
      </c>
      <c r="AF263" s="698" t="str">
        <f t="shared" ca="1" si="48"/>
        <v xml:space="preserve"> </v>
      </c>
    </row>
    <row r="264" spans="1:32">
      <c r="A264" s="672">
        <f ca="1">'Plant Operations'!A264</f>
        <v>43922</v>
      </c>
      <c r="C264" s="1503">
        <f ca="1">IF($A264&gt;Endyr,0,VLOOKUP($A264,Tariff_Table,Tariff!$D$33))</f>
        <v>0</v>
      </c>
      <c r="E264" s="691">
        <f ca="1">VLOOKUP($A264,Tariff_Table,Tariff!$E$33)</f>
        <v>0.5400032880191058</v>
      </c>
      <c r="F264" s="1481">
        <f t="shared" ca="1" si="49"/>
        <v>0</v>
      </c>
      <c r="G264" s="1480">
        <f ca="1">VLOOKUP($A264,Curves_Table,Escalation!$N$291)</f>
        <v>1.7754357291063123</v>
      </c>
      <c r="H264" s="1481">
        <f t="shared" ca="1" si="50"/>
        <v>0</v>
      </c>
      <c r="I264" s="1504">
        <f ca="1">IF(Assm!$L$74=0,VLOOKUP($A264,Curves_Table,Escalation!$D$291),VLOOKUP($A264,Curves_Table,Escalation!$E$291))</f>
        <v>3.1345553075453139</v>
      </c>
      <c r="J264" s="1504">
        <f ca="1">IF($A264&lt;EE_Date,VLOOKUP($A264,Curves_Table,Escalation!$D$291),Exch)</f>
        <v>1.0649999999999999</v>
      </c>
      <c r="K264" s="1505">
        <f t="shared" ca="1" si="51"/>
        <v>0</v>
      </c>
      <c r="M264" s="691">
        <f ca="1">VLOOKUP($A264,Tariff_Table,Tariff!$F$33)</f>
        <v>0.4599967119808942</v>
      </c>
      <c r="N264" s="1481">
        <f t="shared" ca="1" si="52"/>
        <v>0</v>
      </c>
      <c r="O264" s="1480">
        <f ca="1">VLOOKUP($A264,Curves_Table,Escalation!$R$291)</f>
        <v>5.1247640724171344</v>
      </c>
      <c r="P264" s="1505">
        <f t="shared" ca="1" si="53"/>
        <v>0</v>
      </c>
      <c r="R264" s="1506">
        <f t="shared" ca="1" si="54"/>
        <v>0</v>
      </c>
      <c r="S264" s="330">
        <f ca="1">'Plant Operations'!C264</f>
        <v>0</v>
      </c>
      <c r="T264" s="1481">
        <f t="shared" ca="1" si="55"/>
        <v>0</v>
      </c>
      <c r="U264" s="1504">
        <f t="shared" ca="1" si="56"/>
        <v>3.1345553075453139</v>
      </c>
      <c r="V264" s="384">
        <f t="shared" ca="1" si="57"/>
        <v>0</v>
      </c>
      <c r="W264" s="692" t="str">
        <f t="shared" ca="1" si="45"/>
        <v xml:space="preserve"> </v>
      </c>
      <c r="Y264" s="1507">
        <f ca="1">IF($A264&gt;Endyr,0,VLOOKUP($A264,Tariff_Table,Tariff!$J$33))</f>
        <v>0</v>
      </c>
      <c r="Z264" s="1504">
        <f ca="1">VLOOKUP($A264,Curves_Table,Escalation!$AH$291)</f>
        <v>5.1247640724171344</v>
      </c>
      <c r="AA264" s="1504">
        <f t="shared" ca="1" si="58"/>
        <v>0</v>
      </c>
      <c r="AB264" s="334">
        <f ca="1">'Plant Operations'!$I264+'Plant Operations'!$M264</f>
        <v>0</v>
      </c>
      <c r="AC264" s="1481">
        <f t="shared" ca="1" si="46"/>
        <v>0</v>
      </c>
      <c r="AD264" s="1504">
        <f t="shared" ca="1" si="47"/>
        <v>3.1345553075453139</v>
      </c>
      <c r="AE264" s="335">
        <f t="shared" ca="1" si="59"/>
        <v>0</v>
      </c>
      <c r="AF264" s="698" t="str">
        <f t="shared" ca="1" si="48"/>
        <v xml:space="preserve"> </v>
      </c>
    </row>
    <row r="265" spans="1:32">
      <c r="A265" s="672">
        <f ca="1">'Plant Operations'!A265</f>
        <v>43952</v>
      </c>
      <c r="C265" s="1503">
        <f ca="1">IF($A265&gt;Endyr,0,VLOOKUP($A265,Tariff_Table,Tariff!$D$33))</f>
        <v>0</v>
      </c>
      <c r="E265" s="691">
        <f ca="1">VLOOKUP($A265,Tariff_Table,Tariff!$E$33)</f>
        <v>0.5400032880191058</v>
      </c>
      <c r="F265" s="1481">
        <f t="shared" ca="1" si="49"/>
        <v>0</v>
      </c>
      <c r="G265" s="1480">
        <f ca="1">VLOOKUP($A265,Curves_Table,Escalation!$N$291)</f>
        <v>1.7754357291063123</v>
      </c>
      <c r="H265" s="1481">
        <f t="shared" ca="1" si="50"/>
        <v>0</v>
      </c>
      <c r="I265" s="1504">
        <f ca="1">IF(Assm!$L$74=0,VLOOKUP($A265,Curves_Table,Escalation!$D$291),VLOOKUP($A265,Curves_Table,Escalation!$E$291))</f>
        <v>3.1345553075453139</v>
      </c>
      <c r="J265" s="1504">
        <f ca="1">IF($A265&lt;EE_Date,VLOOKUP($A265,Curves_Table,Escalation!$D$291),Exch)</f>
        <v>1.0649999999999999</v>
      </c>
      <c r="K265" s="1505">
        <f t="shared" ca="1" si="51"/>
        <v>0</v>
      </c>
      <c r="M265" s="691">
        <f ca="1">VLOOKUP($A265,Tariff_Table,Tariff!$F$33)</f>
        <v>0.4599967119808942</v>
      </c>
      <c r="N265" s="1481">
        <f t="shared" ca="1" si="52"/>
        <v>0</v>
      </c>
      <c r="O265" s="1480">
        <f ca="1">VLOOKUP($A265,Curves_Table,Escalation!$R$291)</f>
        <v>5.1247640724171344</v>
      </c>
      <c r="P265" s="1505">
        <f t="shared" ca="1" si="53"/>
        <v>0</v>
      </c>
      <c r="R265" s="1506">
        <f t="shared" ca="1" si="54"/>
        <v>0</v>
      </c>
      <c r="S265" s="330">
        <f ca="1">'Plant Operations'!C265</f>
        <v>0</v>
      </c>
      <c r="T265" s="1481">
        <f t="shared" ca="1" si="55"/>
        <v>0</v>
      </c>
      <c r="U265" s="1504">
        <f t="shared" ca="1" si="56"/>
        <v>3.1345553075453139</v>
      </c>
      <c r="V265" s="384">
        <f t="shared" ca="1" si="57"/>
        <v>0</v>
      </c>
      <c r="W265" s="692" t="str">
        <f t="shared" ca="1" si="45"/>
        <v xml:space="preserve"> </v>
      </c>
      <c r="Y265" s="1507">
        <f ca="1">IF($A265&gt;Endyr,0,VLOOKUP($A265,Tariff_Table,Tariff!$J$33))</f>
        <v>0</v>
      </c>
      <c r="Z265" s="1504">
        <f ca="1">VLOOKUP($A265,Curves_Table,Escalation!$AH$291)</f>
        <v>5.1247640724171344</v>
      </c>
      <c r="AA265" s="1504">
        <f t="shared" ca="1" si="58"/>
        <v>0</v>
      </c>
      <c r="AB265" s="334">
        <f ca="1">'Plant Operations'!$I265+'Plant Operations'!$M265</f>
        <v>0</v>
      </c>
      <c r="AC265" s="1481">
        <f t="shared" ca="1" si="46"/>
        <v>0</v>
      </c>
      <c r="AD265" s="1504">
        <f t="shared" ca="1" si="47"/>
        <v>3.1345553075453139</v>
      </c>
      <c r="AE265" s="335">
        <f t="shared" ca="1" si="59"/>
        <v>0</v>
      </c>
      <c r="AF265" s="698" t="str">
        <f t="shared" ca="1" si="48"/>
        <v xml:space="preserve"> </v>
      </c>
    </row>
    <row r="266" spans="1:32">
      <c r="A266" s="672">
        <f ca="1">'Plant Operations'!A266</f>
        <v>43983</v>
      </c>
      <c r="C266" s="1503">
        <f ca="1">IF($A266&gt;Endyr,0,VLOOKUP($A266,Tariff_Table,Tariff!$D$33))</f>
        <v>0</v>
      </c>
      <c r="E266" s="691">
        <f ca="1">VLOOKUP($A266,Tariff_Table,Tariff!$E$33)</f>
        <v>0.5400032880191058</v>
      </c>
      <c r="F266" s="1481">
        <f t="shared" ca="1" si="49"/>
        <v>0</v>
      </c>
      <c r="G266" s="1480">
        <f ca="1">VLOOKUP($A266,Curves_Table,Escalation!$N$291)</f>
        <v>1.7754357291063123</v>
      </c>
      <c r="H266" s="1481">
        <f t="shared" ca="1" si="50"/>
        <v>0</v>
      </c>
      <c r="I266" s="1504">
        <f ca="1">IF(Assm!$L$74=0,VLOOKUP($A266,Curves_Table,Escalation!$D$291),VLOOKUP($A266,Curves_Table,Escalation!$E$291))</f>
        <v>3.1345553075453139</v>
      </c>
      <c r="J266" s="1504">
        <f ca="1">IF($A266&lt;EE_Date,VLOOKUP($A266,Curves_Table,Escalation!$D$291),Exch)</f>
        <v>1.0649999999999999</v>
      </c>
      <c r="K266" s="1505">
        <f t="shared" ca="1" si="51"/>
        <v>0</v>
      </c>
      <c r="M266" s="691">
        <f ca="1">VLOOKUP($A266,Tariff_Table,Tariff!$F$33)</f>
        <v>0.4599967119808942</v>
      </c>
      <c r="N266" s="1481">
        <f t="shared" ca="1" si="52"/>
        <v>0</v>
      </c>
      <c r="O266" s="1480">
        <f ca="1">VLOOKUP($A266,Curves_Table,Escalation!$R$291)</f>
        <v>5.1247640724171344</v>
      </c>
      <c r="P266" s="1505">
        <f t="shared" ca="1" si="53"/>
        <v>0</v>
      </c>
      <c r="R266" s="1506">
        <f t="shared" ca="1" si="54"/>
        <v>0</v>
      </c>
      <c r="S266" s="330">
        <f ca="1">'Plant Operations'!C266</f>
        <v>0</v>
      </c>
      <c r="T266" s="1481">
        <f t="shared" ca="1" si="55"/>
        <v>0</v>
      </c>
      <c r="U266" s="1504">
        <f t="shared" ca="1" si="56"/>
        <v>3.1345553075453139</v>
      </c>
      <c r="V266" s="384">
        <f t="shared" ca="1" si="57"/>
        <v>0</v>
      </c>
      <c r="W266" s="692" t="str">
        <f t="shared" ca="1" si="45"/>
        <v xml:space="preserve"> </v>
      </c>
      <c r="Y266" s="1507">
        <f ca="1">IF($A266&gt;Endyr,0,VLOOKUP($A266,Tariff_Table,Tariff!$J$33))</f>
        <v>0</v>
      </c>
      <c r="Z266" s="1504">
        <f ca="1">VLOOKUP($A266,Curves_Table,Escalation!$AH$291)</f>
        <v>5.1247640724171344</v>
      </c>
      <c r="AA266" s="1504">
        <f t="shared" ca="1" si="58"/>
        <v>0</v>
      </c>
      <c r="AB266" s="334">
        <f ca="1">'Plant Operations'!$I266+'Plant Operations'!$M266</f>
        <v>0</v>
      </c>
      <c r="AC266" s="1481">
        <f t="shared" ca="1" si="46"/>
        <v>0</v>
      </c>
      <c r="AD266" s="1504">
        <f t="shared" ca="1" si="47"/>
        <v>3.1345553075453139</v>
      </c>
      <c r="AE266" s="335">
        <f t="shared" ca="1" si="59"/>
        <v>0</v>
      </c>
      <c r="AF266" s="698" t="str">
        <f t="shared" ca="1" si="48"/>
        <v xml:space="preserve"> </v>
      </c>
    </row>
    <row r="267" spans="1:32" ht="13.5" thickBot="1">
      <c r="A267" s="672"/>
      <c r="C267" s="426"/>
      <c r="E267" s="398"/>
      <c r="F267" s="1"/>
      <c r="G267" s="1"/>
      <c r="H267" s="1"/>
      <c r="I267" s="1"/>
      <c r="J267" s="1"/>
      <c r="K267" s="401"/>
      <c r="M267" s="398"/>
      <c r="N267" s="1"/>
      <c r="O267" s="1"/>
      <c r="P267" s="401"/>
      <c r="R267" s="398"/>
      <c r="S267" s="1"/>
      <c r="T267" s="1"/>
      <c r="U267" s="1"/>
      <c r="V267" s="1"/>
      <c r="W267" s="401"/>
      <c r="Y267" s="398"/>
      <c r="AA267" s="1"/>
      <c r="AB267" s="1"/>
      <c r="AC267" s="1"/>
      <c r="AD267" s="1"/>
      <c r="AE267" s="1"/>
      <c r="AF267" s="401"/>
    </row>
    <row r="268" spans="1:32" ht="13.5" thickBot="1">
      <c r="A268" s="673"/>
      <c r="C268" s="673"/>
      <c r="E268" s="400"/>
      <c r="F268" s="268"/>
      <c r="G268" s="268"/>
      <c r="H268" s="268"/>
      <c r="I268" s="268"/>
      <c r="J268" s="268"/>
      <c r="K268" s="405"/>
      <c r="L268" s="1"/>
      <c r="M268" s="400"/>
      <c r="N268" s="268"/>
      <c r="O268" s="268"/>
      <c r="P268" s="405"/>
      <c r="R268" s="684"/>
      <c r="S268" s="685"/>
      <c r="T268" s="685"/>
      <c r="U268" s="685"/>
      <c r="V268" s="686" t="s">
        <v>1285</v>
      </c>
      <c r="W268" s="693">
        <f ca="1">SUM(W12:W266)</f>
        <v>883177.67271805392</v>
      </c>
      <c r="Y268" s="684"/>
      <c r="Z268" s="685"/>
      <c r="AA268" s="685"/>
      <c r="AB268" s="685"/>
      <c r="AC268" s="685"/>
      <c r="AD268" s="685"/>
      <c r="AE268" s="686" t="s">
        <v>1328</v>
      </c>
      <c r="AF268" s="693">
        <f ca="1">SUM(AF12:AF266)</f>
        <v>12827.802997410075</v>
      </c>
    </row>
    <row r="270" spans="1:32">
      <c r="A270" s="357">
        <v>1</v>
      </c>
      <c r="B270" s="357">
        <f>A270+1</f>
        <v>2</v>
      </c>
      <c r="C270" s="357">
        <f t="shared" ref="C270:AF270" si="60">B270+1</f>
        <v>3</v>
      </c>
      <c r="D270" s="357">
        <f t="shared" si="60"/>
        <v>4</v>
      </c>
      <c r="E270" s="357">
        <f t="shared" si="60"/>
        <v>5</v>
      </c>
      <c r="F270" s="357">
        <f t="shared" si="60"/>
        <v>6</v>
      </c>
      <c r="G270" s="357">
        <f t="shared" si="60"/>
        <v>7</v>
      </c>
      <c r="H270" s="357">
        <f t="shared" si="60"/>
        <v>8</v>
      </c>
      <c r="I270" s="357">
        <f t="shared" si="60"/>
        <v>9</v>
      </c>
      <c r="J270" s="357">
        <f t="shared" si="60"/>
        <v>10</v>
      </c>
      <c r="K270" s="357">
        <f t="shared" si="60"/>
        <v>11</v>
      </c>
      <c r="L270" s="357">
        <f t="shared" si="60"/>
        <v>12</v>
      </c>
      <c r="M270" s="357">
        <f t="shared" si="60"/>
        <v>13</v>
      </c>
      <c r="N270" s="357">
        <f t="shared" si="60"/>
        <v>14</v>
      </c>
      <c r="O270" s="357">
        <f t="shared" si="60"/>
        <v>15</v>
      </c>
      <c r="P270" s="357">
        <f t="shared" si="60"/>
        <v>16</v>
      </c>
      <c r="Q270" s="357">
        <f t="shared" si="60"/>
        <v>17</v>
      </c>
      <c r="R270" s="357">
        <f t="shared" si="60"/>
        <v>18</v>
      </c>
      <c r="S270" s="357">
        <f t="shared" si="60"/>
        <v>19</v>
      </c>
      <c r="T270" s="357">
        <f t="shared" si="60"/>
        <v>20</v>
      </c>
      <c r="U270" s="357">
        <f t="shared" si="60"/>
        <v>21</v>
      </c>
      <c r="V270" s="357">
        <f t="shared" si="60"/>
        <v>22</v>
      </c>
      <c r="W270" s="1869">
        <f t="shared" si="60"/>
        <v>23</v>
      </c>
      <c r="X270" s="357">
        <f t="shared" si="60"/>
        <v>24</v>
      </c>
      <c r="Y270" s="357">
        <f t="shared" si="60"/>
        <v>25</v>
      </c>
      <c r="Z270" s="357">
        <f t="shared" si="60"/>
        <v>26</v>
      </c>
      <c r="AA270" s="357">
        <f t="shared" si="60"/>
        <v>27</v>
      </c>
      <c r="AB270" s="357">
        <f t="shared" si="60"/>
        <v>28</v>
      </c>
      <c r="AC270" s="357">
        <f t="shared" si="60"/>
        <v>29</v>
      </c>
      <c r="AD270" s="357">
        <f t="shared" si="60"/>
        <v>30</v>
      </c>
      <c r="AE270" s="357">
        <f t="shared" si="60"/>
        <v>31</v>
      </c>
      <c r="AF270" s="357">
        <f t="shared" si="60"/>
        <v>32</v>
      </c>
    </row>
  </sheetData>
  <printOptions horizontalCentered="1"/>
  <pageMargins left="0.25" right="0.25" top="0.5" bottom="0.5" header="0.25" footer="0.25"/>
  <pageSetup scale="41" fitToHeight="4" orientation="landscape" horizontalDpi="4294967294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autoPageBreaks="0" fitToPage="1"/>
  </sheetPr>
  <dimension ref="A1:AS270"/>
  <sheetViews>
    <sheetView showGridLines="0" topLeftCell="M1" zoomScale="90" workbookViewId="0">
      <selection activeCell="O33" sqref="O33"/>
    </sheetView>
  </sheetViews>
  <sheetFormatPr defaultRowHeight="12.75"/>
  <cols>
    <col min="2" max="2" width="2.7109375" customWidth="1"/>
    <col min="3" max="3" width="13.7109375" customWidth="1"/>
    <col min="4" max="4" width="10.7109375" customWidth="1"/>
    <col min="5" max="5" width="13.7109375" customWidth="1"/>
    <col min="6" max="7" width="10.7109375" style="1" customWidth="1"/>
    <col min="8" max="8" width="13.7109375" customWidth="1"/>
    <col min="9" max="9" width="10.7109375" customWidth="1"/>
    <col min="10" max="10" width="12.42578125" bestFit="1" customWidth="1"/>
    <col min="11" max="11" width="10.7109375" style="1" customWidth="1"/>
    <col min="12" max="12" width="10.7109375" customWidth="1"/>
    <col min="13" max="13" width="12.7109375" customWidth="1"/>
    <col min="14" max="14" width="2.7109375" customWidth="1"/>
    <col min="15" max="15" width="13.7109375" customWidth="1"/>
    <col min="16" max="16" width="10.7109375" customWidth="1"/>
    <col min="17" max="17" width="13.7109375" customWidth="1"/>
    <col min="18" max="19" width="10.7109375" style="1" customWidth="1"/>
    <col min="20" max="20" width="13.7109375" customWidth="1"/>
    <col min="21" max="22" width="10.7109375" customWidth="1"/>
    <col min="23" max="23" width="10.7109375" style="1" customWidth="1"/>
    <col min="24" max="24" width="10.7109375" customWidth="1"/>
    <col min="25" max="25" width="12.7109375" customWidth="1"/>
    <col min="26" max="26" width="2.7109375" customWidth="1"/>
    <col min="27" max="29" width="10.7109375" customWidth="1"/>
    <col min="30" max="31" width="10.7109375" style="1" customWidth="1"/>
    <col min="32" max="34" width="10.7109375" customWidth="1"/>
    <col min="35" max="35" width="10.7109375" style="1" customWidth="1"/>
    <col min="36" max="36" width="10.7109375" customWidth="1"/>
    <col min="37" max="37" width="12.7109375" customWidth="1"/>
    <col min="38" max="38" width="2.7109375" customWidth="1"/>
    <col min="39" max="39" width="10.7109375" style="1" customWidth="1"/>
    <col min="40" max="45" width="10.7109375" customWidth="1"/>
  </cols>
  <sheetData>
    <row r="1" spans="1:45" s="1" customFormat="1" ht="15.75">
      <c r="A1" s="1137" t="str">
        <f>CONCATENATE(TOC!B2," ",TOC!B6)</f>
        <v>EMPRESSA PRODUTORA DE ENERGÍA LTDA (EPE) *** DRAFT COPY ***</v>
      </c>
      <c r="B1" s="117"/>
      <c r="N1" s="117"/>
      <c r="Z1" s="117"/>
    </row>
    <row r="2" spans="1:45" s="1" customFormat="1" ht="15.75">
      <c r="A2" s="1137" t="str">
        <f>TOC!B3</f>
        <v>480 MW POWER PLANT (CUIABA, BRAZIL)</v>
      </c>
      <c r="B2" s="117"/>
      <c r="N2" s="117"/>
      <c r="Z2" s="117"/>
    </row>
    <row r="3" spans="1:45" s="1" customFormat="1" ht="15">
      <c r="A3" s="118" t="str">
        <f>TOC!B4</f>
        <v>ENRON INTERNATIONAL</v>
      </c>
      <c r="B3" s="118"/>
      <c r="N3" s="118"/>
      <c r="Z3" s="118"/>
    </row>
    <row r="4" spans="1:45" s="1" customFormat="1" ht="15">
      <c r="A4" s="932" t="s">
        <v>1791</v>
      </c>
      <c r="B4" s="932"/>
      <c r="C4" s="933"/>
      <c r="D4" s="933"/>
      <c r="E4" s="933"/>
      <c r="N4" s="214"/>
      <c r="Z4" s="118"/>
    </row>
    <row r="5" spans="1:45" s="288" customFormat="1">
      <c r="D5" s="1"/>
      <c r="E5" s="1"/>
      <c r="H5" s="1"/>
      <c r="I5" s="1"/>
      <c r="J5" s="1"/>
      <c r="L5" s="1"/>
      <c r="M5" s="1"/>
      <c r="P5" s="1"/>
      <c r="Q5" s="1"/>
      <c r="T5" s="1"/>
      <c r="U5" s="1"/>
      <c r="V5" s="1"/>
      <c r="X5" s="1"/>
      <c r="Y5" s="1"/>
      <c r="AB5" s="1"/>
      <c r="AC5" s="1"/>
      <c r="AF5" s="1"/>
      <c r="AG5" s="1"/>
      <c r="AH5" s="1"/>
      <c r="AJ5" s="1"/>
      <c r="AK5" s="1"/>
      <c r="AN5" s="1"/>
      <c r="AO5" s="1"/>
      <c r="AP5" s="1"/>
      <c r="AQ5" s="1"/>
      <c r="AR5" s="1"/>
      <c r="AS5" s="1"/>
    </row>
    <row r="6" spans="1:45">
      <c r="C6" s="666" t="s">
        <v>1391</v>
      </c>
      <c r="D6" s="694"/>
      <c r="E6" s="694"/>
      <c r="F6" s="694"/>
      <c r="G6" s="694"/>
      <c r="H6" s="694"/>
      <c r="I6" s="694"/>
      <c r="J6" s="694"/>
      <c r="K6" s="694"/>
      <c r="L6" s="694"/>
      <c r="M6" s="695"/>
      <c r="O6" s="666" t="s">
        <v>1392</v>
      </c>
      <c r="P6" s="694"/>
      <c r="Q6" s="694"/>
      <c r="R6" s="694"/>
      <c r="S6" s="694"/>
      <c r="T6" s="694"/>
      <c r="U6" s="694"/>
      <c r="V6" s="694"/>
      <c r="W6" s="694"/>
      <c r="X6" s="694"/>
      <c r="Y6" s="695"/>
      <c r="AA6" s="666" t="s">
        <v>1393</v>
      </c>
      <c r="AB6" s="694"/>
      <c r="AC6" s="694"/>
      <c r="AD6" s="694"/>
      <c r="AE6" s="694"/>
      <c r="AF6" s="694"/>
      <c r="AG6" s="667"/>
      <c r="AH6" s="694"/>
      <c r="AI6" s="694"/>
      <c r="AJ6" s="667"/>
      <c r="AK6" s="695"/>
      <c r="AM6" s="666" t="s">
        <v>1289</v>
      </c>
      <c r="AN6" s="694"/>
      <c r="AO6" s="694"/>
      <c r="AP6" s="694"/>
      <c r="AQ6" s="694"/>
      <c r="AR6" s="694"/>
      <c r="AS6" s="695"/>
    </row>
    <row r="7" spans="1:45" ht="13.5" thickBot="1"/>
    <row r="8" spans="1:45">
      <c r="A8" s="670"/>
      <c r="C8" s="416"/>
      <c r="D8" s="675"/>
      <c r="E8" s="675" t="s">
        <v>1435</v>
      </c>
      <c r="F8" s="675" t="s">
        <v>1215</v>
      </c>
      <c r="G8" s="675" t="s">
        <v>1216</v>
      </c>
      <c r="H8" s="675" t="s">
        <v>1211</v>
      </c>
      <c r="I8" s="675" t="s">
        <v>1488</v>
      </c>
      <c r="J8" s="675" t="s">
        <v>1489</v>
      </c>
      <c r="K8" s="675" t="s">
        <v>1216</v>
      </c>
      <c r="L8" s="675" t="s">
        <v>1489</v>
      </c>
      <c r="M8" s="677" t="s">
        <v>1484</v>
      </c>
      <c r="O8" s="416"/>
      <c r="P8" s="675" t="s">
        <v>1456</v>
      </c>
      <c r="Q8" s="675" t="s">
        <v>1435</v>
      </c>
      <c r="R8" s="675" t="s">
        <v>1215</v>
      </c>
      <c r="S8" s="675" t="s">
        <v>1216</v>
      </c>
      <c r="T8" s="675" t="s">
        <v>1211</v>
      </c>
      <c r="U8" s="675" t="s">
        <v>1488</v>
      </c>
      <c r="V8" s="675" t="s">
        <v>1489</v>
      </c>
      <c r="W8" s="675" t="s">
        <v>1216</v>
      </c>
      <c r="X8" s="675" t="s">
        <v>1489</v>
      </c>
      <c r="Y8" s="677" t="s">
        <v>1484</v>
      </c>
      <c r="AA8" s="416"/>
      <c r="AB8" s="675" t="s">
        <v>1456</v>
      </c>
      <c r="AC8" s="675" t="s">
        <v>1435</v>
      </c>
      <c r="AD8" s="675" t="s">
        <v>1215</v>
      </c>
      <c r="AE8" s="675" t="s">
        <v>1216</v>
      </c>
      <c r="AF8" s="675" t="s">
        <v>1211</v>
      </c>
      <c r="AG8" s="675" t="s">
        <v>1780</v>
      </c>
      <c r="AH8" s="675" t="s">
        <v>1489</v>
      </c>
      <c r="AI8" s="675" t="s">
        <v>1216</v>
      </c>
      <c r="AJ8" s="675" t="s">
        <v>1489</v>
      </c>
      <c r="AK8" s="677" t="s">
        <v>1484</v>
      </c>
      <c r="AM8" s="674" t="s">
        <v>435</v>
      </c>
      <c r="AN8" s="675"/>
      <c r="AO8" s="675" t="s">
        <v>1435</v>
      </c>
      <c r="AP8" s="675"/>
      <c r="AQ8" s="675" t="s">
        <v>426</v>
      </c>
      <c r="AR8" s="675" t="s">
        <v>1784</v>
      </c>
      <c r="AS8" s="677" t="s">
        <v>1456</v>
      </c>
    </row>
    <row r="9" spans="1:45">
      <c r="A9" s="426"/>
      <c r="C9" s="139" t="s">
        <v>1286</v>
      </c>
      <c r="D9" s="62" t="str">
        <f ca="1">Escalation!U14</f>
        <v>US</v>
      </c>
      <c r="E9" s="113" t="s">
        <v>1286</v>
      </c>
      <c r="F9" s="55" t="s">
        <v>689</v>
      </c>
      <c r="G9" s="55" t="s">
        <v>1504</v>
      </c>
      <c r="H9" s="113" t="s">
        <v>1286</v>
      </c>
      <c r="I9" s="113" t="s">
        <v>333</v>
      </c>
      <c r="J9" s="113" t="s">
        <v>800</v>
      </c>
      <c r="K9" s="55" t="s">
        <v>689</v>
      </c>
      <c r="L9" s="113" t="s">
        <v>800</v>
      </c>
      <c r="M9" s="399" t="s">
        <v>800</v>
      </c>
      <c r="O9" s="139" t="s">
        <v>1288</v>
      </c>
      <c r="P9" s="62" t="s">
        <v>1780</v>
      </c>
      <c r="Q9" s="113" t="s">
        <v>1288</v>
      </c>
      <c r="R9" s="55" t="s">
        <v>689</v>
      </c>
      <c r="S9" s="55" t="s">
        <v>1504</v>
      </c>
      <c r="T9" s="113" t="s">
        <v>1288</v>
      </c>
      <c r="U9" s="113" t="s">
        <v>333</v>
      </c>
      <c r="V9" s="113" t="s">
        <v>800</v>
      </c>
      <c r="W9" s="55" t="s">
        <v>689</v>
      </c>
      <c r="X9" s="113" t="s">
        <v>800</v>
      </c>
      <c r="Y9" s="399" t="s">
        <v>800</v>
      </c>
      <c r="AA9" s="139" t="s">
        <v>1290</v>
      </c>
      <c r="AB9" s="62" t="s">
        <v>1780</v>
      </c>
      <c r="AC9" s="113" t="s">
        <v>1290</v>
      </c>
      <c r="AD9" s="55" t="s">
        <v>689</v>
      </c>
      <c r="AE9" s="55" t="s">
        <v>1504</v>
      </c>
      <c r="AF9" s="113" t="s">
        <v>1290</v>
      </c>
      <c r="AG9" s="113" t="s">
        <v>1532</v>
      </c>
      <c r="AH9" s="113" t="s">
        <v>800</v>
      </c>
      <c r="AI9" s="55" t="s">
        <v>689</v>
      </c>
      <c r="AJ9" s="113" t="s">
        <v>800</v>
      </c>
      <c r="AK9" s="399" t="s">
        <v>800</v>
      </c>
      <c r="AM9" s="139" t="s">
        <v>1333</v>
      </c>
      <c r="AN9" s="62" t="str">
        <f ca="1">Escalation!$Y14</f>
        <v>CPI Less</v>
      </c>
      <c r="AO9" s="113" t="s">
        <v>1333</v>
      </c>
      <c r="AP9" s="55" t="s">
        <v>1457</v>
      </c>
      <c r="AQ9" s="55" t="s">
        <v>1437</v>
      </c>
      <c r="AR9" s="55" t="s">
        <v>1334</v>
      </c>
      <c r="AS9" s="200" t="s">
        <v>1780</v>
      </c>
    </row>
    <row r="10" spans="1:45">
      <c r="A10" s="671" t="s">
        <v>1436</v>
      </c>
      <c r="C10" s="679" t="s">
        <v>1283</v>
      </c>
      <c r="D10" s="93" t="str">
        <f ca="1">Escalation!V14</f>
        <v>CPI</v>
      </c>
      <c r="E10" s="93" t="s">
        <v>1283</v>
      </c>
      <c r="F10" s="93" t="s">
        <v>1284</v>
      </c>
      <c r="G10" s="93" t="s">
        <v>1284</v>
      </c>
      <c r="H10" s="93" t="s">
        <v>1283</v>
      </c>
      <c r="I10" s="93" t="s">
        <v>332</v>
      </c>
      <c r="J10" s="93" t="s">
        <v>1214</v>
      </c>
      <c r="K10" s="93" t="s">
        <v>1284</v>
      </c>
      <c r="L10" s="93" t="s">
        <v>1490</v>
      </c>
      <c r="M10" s="680" t="s">
        <v>1490</v>
      </c>
      <c r="O10" s="679" t="s">
        <v>1283</v>
      </c>
      <c r="P10" s="93" t="s">
        <v>1458</v>
      </c>
      <c r="Q10" s="93" t="s">
        <v>1283</v>
      </c>
      <c r="R10" s="93" t="s">
        <v>1284</v>
      </c>
      <c r="S10" s="93" t="s">
        <v>1284</v>
      </c>
      <c r="T10" s="93" t="s">
        <v>1283</v>
      </c>
      <c r="U10" s="93" t="s">
        <v>332</v>
      </c>
      <c r="V10" s="93" t="s">
        <v>1214</v>
      </c>
      <c r="W10" s="93" t="s">
        <v>1284</v>
      </c>
      <c r="X10" s="93" t="s">
        <v>1490</v>
      </c>
      <c r="Y10" s="680" t="s">
        <v>1490</v>
      </c>
      <c r="AA10" s="679" t="s">
        <v>1300</v>
      </c>
      <c r="AB10" s="93" t="s">
        <v>1458</v>
      </c>
      <c r="AC10" s="93" t="s">
        <v>1300</v>
      </c>
      <c r="AD10" s="93" t="s">
        <v>1284</v>
      </c>
      <c r="AE10" s="93" t="s">
        <v>1284</v>
      </c>
      <c r="AF10" s="93" t="s">
        <v>1300</v>
      </c>
      <c r="AG10" s="93" t="s">
        <v>1324</v>
      </c>
      <c r="AH10" s="93" t="s">
        <v>1214</v>
      </c>
      <c r="AI10" s="93" t="s">
        <v>1284</v>
      </c>
      <c r="AJ10" s="93" t="s">
        <v>1490</v>
      </c>
      <c r="AK10" s="680" t="s">
        <v>1490</v>
      </c>
      <c r="AM10" s="696" t="s">
        <v>1332</v>
      </c>
      <c r="AN10" s="93">
        <f ca="1">Escalation!$Z14</f>
        <v>2.5000000000000001E-3</v>
      </c>
      <c r="AO10" s="93" t="s">
        <v>1332</v>
      </c>
      <c r="AP10" s="93" t="s">
        <v>1332</v>
      </c>
      <c r="AQ10" s="93" t="s">
        <v>1332</v>
      </c>
      <c r="AR10" s="329" t="s">
        <v>1437</v>
      </c>
      <c r="AS10" s="680" t="s">
        <v>1458</v>
      </c>
    </row>
    <row r="11" spans="1:45">
      <c r="A11" s="426"/>
      <c r="C11" s="398"/>
      <c r="D11" s="1"/>
      <c r="E11" s="1"/>
      <c r="H11" s="1"/>
      <c r="I11" s="1"/>
      <c r="J11" s="1"/>
      <c r="L11" s="1"/>
      <c r="M11" s="401"/>
      <c r="O11" s="398"/>
      <c r="P11" s="1"/>
      <c r="Q11" s="1"/>
      <c r="T11" s="1"/>
      <c r="U11" s="1"/>
      <c r="V11" s="1"/>
      <c r="X11" s="1"/>
      <c r="Y11" s="401"/>
      <c r="AA11" s="398"/>
      <c r="AB11" s="1"/>
      <c r="AC11" s="1"/>
      <c r="AF11" s="1"/>
      <c r="AG11" s="1"/>
      <c r="AH11" s="1"/>
      <c r="AJ11" s="1"/>
      <c r="AK11" s="401"/>
      <c r="AM11" s="398"/>
      <c r="AN11" s="1"/>
      <c r="AO11" s="1"/>
      <c r="AP11" s="1"/>
      <c r="AQ11" s="1"/>
      <c r="AR11" s="1"/>
      <c r="AS11" s="401"/>
    </row>
    <row r="12" spans="1:45">
      <c r="A12" s="672">
        <f>Startops2</f>
        <v>36951</v>
      </c>
      <c r="C12" s="1484">
        <f ca="1">IF($A12&gt;Endyr,0,VLOOKUP($A12,Tariff_Table,Tariff!$G$33))</f>
        <v>11645.56</v>
      </c>
      <c r="D12" s="1480">
        <f ca="1">VLOOKUP($A12,Curves_Table,Escalation!$V$291)</f>
        <v>1.0620799950339679</v>
      </c>
      <c r="E12" s="1483">
        <f ca="1">C12*D12</f>
        <v>12368.516306967775</v>
      </c>
      <c r="F12" s="1480">
        <f ca="1">IF(Assm!$L$74=0,VLOOKUP($A12,Curves_Table,Escalation!$D$291),VLOOKUP($A12,Curves_Table,Escalation!$E$291))</f>
        <v>1.849101270029893</v>
      </c>
      <c r="G12" s="113">
        <f ca="1">IF($A12&lt;EE_Date,VLOOKUP($A12,Curves_Table,Escalation!$D$291),Exch)</f>
        <v>1.0649999999999999</v>
      </c>
      <c r="H12" s="1483">
        <f ca="1">E12*F12/G12</f>
        <v>21474.778602440896</v>
      </c>
      <c r="I12" s="330">
        <f ca="1">VLOOKUP($A12,Plant_Table,'Plant Operations'!$C$270)</f>
        <v>150</v>
      </c>
      <c r="J12" s="1481">
        <f ca="1">H12*I12/1000</f>
        <v>3221.2167903661348</v>
      </c>
      <c r="K12" s="1480">
        <f ca="1">F12</f>
        <v>1.849101270029893</v>
      </c>
      <c r="L12" s="384">
        <f ca="1">J12/K12</f>
        <v>1742.0445502771515</v>
      </c>
      <c r="M12" s="692" t="str">
        <f t="shared" ref="M12:M75" ca="1" si="0">IF(MONTH($A12)=12,SUM(L1:L12)," ")</f>
        <v xml:space="preserve"> </v>
      </c>
      <c r="O12" s="1482">
        <f ca="1">IF($A12&gt;Endyr,0,VLOOKUP($A12,Tariff_Table,Tariff!$H$33))</f>
        <v>9025.02</v>
      </c>
      <c r="P12" s="1480">
        <f ca="1">$AS12</f>
        <v>1.0520268589113806</v>
      </c>
      <c r="Q12" s="1481">
        <f ca="1">O12*P12</f>
        <v>9494.5634422123894</v>
      </c>
      <c r="R12" s="1480">
        <f ca="1">$F12</f>
        <v>1.849101270029893</v>
      </c>
      <c r="S12" s="113">
        <f ca="1">$G12</f>
        <v>1.0649999999999999</v>
      </c>
      <c r="T12" s="1481">
        <f ca="1">Q12*R12/S12</f>
        <v>16484.8913796942</v>
      </c>
      <c r="U12" s="330">
        <f ca="1">$I12</f>
        <v>150</v>
      </c>
      <c r="V12" s="1481">
        <f ca="1">T12*U12/1000</f>
        <v>2472.73370695413</v>
      </c>
      <c r="W12" s="1480">
        <f ca="1">R12</f>
        <v>1.849101270029893</v>
      </c>
      <c r="X12" s="384">
        <f ca="1">V12/W12</f>
        <v>1337.2624566496324</v>
      </c>
      <c r="Y12" s="692" t="str">
        <f t="shared" ref="Y12:Y75" ca="1" si="1">IF(MONTH($A12)=12,SUM(X1:X12)," ")</f>
        <v xml:space="preserve"> </v>
      </c>
      <c r="AA12" s="1484">
        <f ca="1">IF($A12&gt;Endyr,0,VLOOKUP($A12,Tariff_Table,Tariff!$I$33))</f>
        <v>3.2801999999999998</v>
      </c>
      <c r="AB12" s="1480">
        <f t="shared" ref="AB12:AB75" ca="1" si="2">$AS12</f>
        <v>1.0520268589113806</v>
      </c>
      <c r="AC12" s="1483">
        <f ca="1">AA12*AB12</f>
        <v>3.4508585026011103</v>
      </c>
      <c r="AD12" s="1480">
        <f ca="1">$F12</f>
        <v>1.849101270029893</v>
      </c>
      <c r="AE12" s="113">
        <f ca="1">$G12</f>
        <v>1.0649999999999999</v>
      </c>
      <c r="AF12" s="1483">
        <f ca="1">AC12*AD12/AE12</f>
        <v>5.9915369388292659</v>
      </c>
      <c r="AG12" s="334">
        <f ca="1">VLOOKUP($A12,Plant_Table,'Plant Operations'!$M$270)</f>
        <v>12600</v>
      </c>
      <c r="AH12" s="1481">
        <f ca="1">AF12*AG12/1000</f>
        <v>75.493365429248755</v>
      </c>
      <c r="AI12" s="1480">
        <f ca="1">AD12</f>
        <v>1.849101270029893</v>
      </c>
      <c r="AJ12" s="335">
        <f ca="1">AH12/AI12</f>
        <v>40.82705834063286</v>
      </c>
      <c r="AK12" s="698" t="str">
        <f t="shared" ref="AK12:AK75" ca="1" si="3">IF(MONTH($A12)=12,SUM(AJ1:AJ12)," ")</f>
        <v xml:space="preserve"> </v>
      </c>
      <c r="AM12" s="697">
        <f ca="1">IF($A12&gt;Endyr,0,VLOOKUP($A12,Tariff_Table,Tariff!$L$33))</f>
        <v>1.21</v>
      </c>
      <c r="AN12" s="1504">
        <f ca="1">VLOOKUP($A12,Curves_Table,Escalation!$Z$291)</f>
        <v>1.0627762099261286</v>
      </c>
      <c r="AO12" s="331">
        <f ca="1">AM12*AN12</f>
        <v>1.2859592140106155</v>
      </c>
      <c r="AP12" s="331">
        <f ca="1">IF($A12&gt;Endyr,0,VLOOKUP($A12,Tariff_Table,Tariff!$M$33))</f>
        <v>0.25</v>
      </c>
      <c r="AQ12" s="331">
        <f ca="1">SUM(AO12,AP12)</f>
        <v>1.5359592140106155</v>
      </c>
      <c r="AR12" s="331">
        <f ca="1">SUM(AM12,AP12)</f>
        <v>1.46</v>
      </c>
      <c r="AS12" s="1508">
        <f ca="1">IF(AR12=0,0,AQ12/AR12)</f>
        <v>1.0520268589113806</v>
      </c>
    </row>
    <row r="13" spans="1:45">
      <c r="A13" s="672">
        <f t="shared" ref="A13:A76" si="4">EDATE(A12,1)</f>
        <v>36982</v>
      </c>
      <c r="C13" s="1484">
        <f ca="1">IF($A13&gt;Endyr,0,VLOOKUP($A13,Tariff_Table,Tariff!$G$33))</f>
        <v>11645.56</v>
      </c>
      <c r="D13" s="1480">
        <f ca="1">VLOOKUP($A13,Curves_Table,Escalation!$V$291)</f>
        <v>1.0620799950339679</v>
      </c>
      <c r="E13" s="1483">
        <f t="shared" ref="E13:E76" ca="1" si="5">C13*D13</f>
        <v>12368.516306967775</v>
      </c>
      <c r="F13" s="1480">
        <f ca="1">IF(Assm!$L$74=0,VLOOKUP($A13,Curves_Table,Escalation!$D$291),VLOOKUP($A13,Curves_Table,Escalation!$E$291))</f>
        <v>1.8644297889367973</v>
      </c>
      <c r="G13" s="113">
        <f ca="1">IF($A13&lt;EE_Date,VLOOKUP($A13,Curves_Table,Escalation!$D$291),Exch)</f>
        <v>1.0649999999999999</v>
      </c>
      <c r="H13" s="1483">
        <f t="shared" ref="H13:H76" ca="1" si="6">E13*F13/G13</f>
        <v>21652.798354611517</v>
      </c>
      <c r="I13" s="330">
        <f ca="1">VLOOKUP($A13,Plant_Table,'Plant Operations'!$C$270)</f>
        <v>237.77937158469945</v>
      </c>
      <c r="J13" s="1481">
        <f t="shared" ref="J13:J76" ca="1" si="7">H13*I13/1000</f>
        <v>5148.5887858097403</v>
      </c>
      <c r="K13" s="1480">
        <f t="shared" ref="K13:K76" ca="1" si="8">F13</f>
        <v>1.8644297889367973</v>
      </c>
      <c r="L13" s="384">
        <f t="shared" ref="L13:L76" ca="1" si="9">J13/K13</f>
        <v>2761.4817229163427</v>
      </c>
      <c r="M13" s="692" t="str">
        <f t="shared" ca="1" si="0"/>
        <v xml:space="preserve"> </v>
      </c>
      <c r="O13" s="1482">
        <f ca="1">IF($A13&gt;Endyr,0,VLOOKUP($A13,Tariff_Table,Tariff!$H$33))</f>
        <v>9025.02</v>
      </c>
      <c r="P13" s="1480">
        <f t="shared" ref="P13:P76" ca="1" si="10">$AS13</f>
        <v>1.0520268589113806</v>
      </c>
      <c r="Q13" s="1481">
        <f t="shared" ref="Q13:Q76" ca="1" si="11">O13*P13</f>
        <v>9494.5634422123894</v>
      </c>
      <c r="R13" s="1480">
        <f t="shared" ref="R13:R76" ca="1" si="12">$F13</f>
        <v>1.8644297889367973</v>
      </c>
      <c r="S13" s="113">
        <f t="shared" ref="S13:S76" ca="1" si="13">$G13</f>
        <v>1.0649999999999999</v>
      </c>
      <c r="T13" s="1481">
        <f t="shared" ref="T13:T76" ca="1" si="14">Q13*R13/S13</f>
        <v>16621.546398695849</v>
      </c>
      <c r="U13" s="330">
        <f t="shared" ref="U13:U76" ca="1" si="15">$I13</f>
        <v>237.77937158469945</v>
      </c>
      <c r="V13" s="1481">
        <f t="shared" ref="V13:V76" ca="1" si="16">T13*U13/1000</f>
        <v>3952.2608574478231</v>
      </c>
      <c r="W13" s="1480">
        <f t="shared" ref="W13:W76" ca="1" si="17">R13</f>
        <v>1.8644297889367973</v>
      </c>
      <c r="X13" s="384">
        <f t="shared" ref="X13:X76" ca="1" si="18">V13/W13</f>
        <v>2119.8228439064064</v>
      </c>
      <c r="Y13" s="692" t="str">
        <f t="shared" ca="1" si="1"/>
        <v xml:space="preserve"> </v>
      </c>
      <c r="AA13" s="1484">
        <f ca="1">IF($A13&gt;Endyr,0,VLOOKUP($A13,Tariff_Table,Tariff!$I$33))</f>
        <v>3.2801999999999998</v>
      </c>
      <c r="AB13" s="1480">
        <f t="shared" ca="1" si="2"/>
        <v>1.0520268589113806</v>
      </c>
      <c r="AC13" s="1483">
        <f t="shared" ref="AC13:AC76" ca="1" si="19">AA13*AB13</f>
        <v>3.4508585026011103</v>
      </c>
      <c r="AD13" s="1480">
        <f t="shared" ref="AD13:AD76" ca="1" si="20">$F13</f>
        <v>1.8644297889367973</v>
      </c>
      <c r="AE13" s="113">
        <f t="shared" ref="AE13:AE76" ca="1" si="21">$G13</f>
        <v>1.0649999999999999</v>
      </c>
      <c r="AF13" s="1483">
        <f t="shared" ref="AF13:AF76" ca="1" si="22">AC13*AD13/AE13</f>
        <v>6.04120506070924</v>
      </c>
      <c r="AG13" s="334">
        <f ca="1">VLOOKUP($A13,Plant_Table,'Plant Operations'!$M$270)</f>
        <v>70200</v>
      </c>
      <c r="AH13" s="1481">
        <f t="shared" ref="AH13:AH76" ca="1" si="23">AF13*AG13/1000</f>
        <v>424.09259526178863</v>
      </c>
      <c r="AI13" s="1480">
        <f t="shared" ref="AI13:AI76" ca="1" si="24">AD13</f>
        <v>1.8644297889367973</v>
      </c>
      <c r="AJ13" s="335">
        <f t="shared" ref="AJ13:AJ76" ca="1" si="25">AH13/AI13</f>
        <v>227.46503932638305</v>
      </c>
      <c r="AK13" s="698" t="str">
        <f t="shared" ca="1" si="3"/>
        <v xml:space="preserve"> </v>
      </c>
      <c r="AM13" s="697">
        <f ca="1">IF($A13&gt;Endyr,0,VLOOKUP($A13,Tariff_Table,Tariff!$L$33))</f>
        <v>1.21</v>
      </c>
      <c r="AN13" s="1504">
        <f ca="1">VLOOKUP($A13,Curves_Table,Escalation!$Z$291)</f>
        <v>1.0627762099261286</v>
      </c>
      <c r="AO13" s="331">
        <f t="shared" ref="AO13:AO76" ca="1" si="26">AM13*AN13</f>
        <v>1.2859592140106155</v>
      </c>
      <c r="AP13" s="331">
        <f ca="1">IF($A13&gt;Endyr,0,VLOOKUP($A13,Tariff_Table,Tariff!$M$33))</f>
        <v>0.25</v>
      </c>
      <c r="AQ13" s="331">
        <f t="shared" ref="AQ13:AQ76" ca="1" si="27">SUM(AO13,AP13)</f>
        <v>1.5359592140106155</v>
      </c>
      <c r="AR13" s="331">
        <f t="shared" ref="AR13:AR76" ca="1" si="28">SUM(AM13,AP13)</f>
        <v>1.46</v>
      </c>
      <c r="AS13" s="1508">
        <f t="shared" ref="AS13:AS76" ca="1" si="29">IF(AR13=0,0,AQ13/AR13)</f>
        <v>1.0520268589113806</v>
      </c>
    </row>
    <row r="14" spans="1:45">
      <c r="A14" s="672">
        <f t="shared" si="4"/>
        <v>37012</v>
      </c>
      <c r="C14" s="1484">
        <f ca="1">IF($A14&gt;Endyr,0,VLOOKUP($A14,Tariff_Table,Tariff!$G$33))</f>
        <v>11645.56</v>
      </c>
      <c r="D14" s="1480">
        <f ca="1">VLOOKUP($A14,Curves_Table,Escalation!$V$291)</f>
        <v>1.097180617479341</v>
      </c>
      <c r="E14" s="1483">
        <f t="shared" ca="1" si="5"/>
        <v>12777.282711692715</v>
      </c>
      <c r="F14" s="1480">
        <f ca="1">IF(Assm!$L$74=0,VLOOKUP($A14,Curves_Table,Escalation!$D$291),VLOOKUP($A14,Curves_Table,Escalation!$E$291))</f>
        <v>1.8798853768667387</v>
      </c>
      <c r="G14" s="113">
        <f ca="1">IF($A14&lt;EE_Date,VLOOKUP($A14,Curves_Table,Escalation!$D$291),Exch)</f>
        <v>1.0649999999999999</v>
      </c>
      <c r="H14" s="1483">
        <f t="shared" ca="1" si="6"/>
        <v>22553.828099345847</v>
      </c>
      <c r="I14" s="330">
        <f ca="1">VLOOKUP($A14,Plant_Table,'Plant Operations'!$C$270)</f>
        <v>237.77937158469945</v>
      </c>
      <c r="J14" s="1481">
        <f t="shared" ca="1" si="7"/>
        <v>5362.8350722917912</v>
      </c>
      <c r="K14" s="1480">
        <f t="shared" ca="1" si="8"/>
        <v>1.8798853768667387</v>
      </c>
      <c r="L14" s="384">
        <f t="shared" ca="1" si="9"/>
        <v>2852.7457781655758</v>
      </c>
      <c r="M14" s="692" t="str">
        <f t="shared" ca="1" si="0"/>
        <v xml:space="preserve"> </v>
      </c>
      <c r="O14" s="1482">
        <f ca="1">IF($A14&gt;Endyr,0,VLOOKUP($A14,Tariff_Table,Tariff!$H$33))</f>
        <v>9025.02</v>
      </c>
      <c r="P14" s="1480">
        <f t="shared" ca="1" si="10"/>
        <v>1.0789341850867615</v>
      </c>
      <c r="Q14" s="1481">
        <f t="shared" ca="1" si="11"/>
        <v>9737.4025990917253</v>
      </c>
      <c r="R14" s="1480">
        <f t="shared" ca="1" si="12"/>
        <v>1.8798853768667387</v>
      </c>
      <c r="S14" s="113">
        <f t="shared" ca="1" si="13"/>
        <v>1.0649999999999999</v>
      </c>
      <c r="T14" s="1481">
        <f t="shared" ca="1" si="14"/>
        <v>17187.981929292688</v>
      </c>
      <c r="U14" s="330">
        <f t="shared" ca="1" si="15"/>
        <v>237.77937158469945</v>
      </c>
      <c r="V14" s="1481">
        <f t="shared" ca="1" si="16"/>
        <v>4086.9475419563851</v>
      </c>
      <c r="W14" s="1480">
        <f t="shared" ca="1" si="17"/>
        <v>1.8798853768667387</v>
      </c>
      <c r="X14" s="384">
        <f t="shared" ca="1" si="18"/>
        <v>2174.0408177269951</v>
      </c>
      <c r="Y14" s="692" t="str">
        <f t="shared" ca="1" si="1"/>
        <v xml:space="preserve"> </v>
      </c>
      <c r="AA14" s="1484">
        <f ca="1">IF($A14&gt;Endyr,0,VLOOKUP($A14,Tariff_Table,Tariff!$I$33))</f>
        <v>3.2801999999999998</v>
      </c>
      <c r="AB14" s="1480">
        <f t="shared" ca="1" si="2"/>
        <v>1.0789341850867615</v>
      </c>
      <c r="AC14" s="1483">
        <f t="shared" ca="1" si="19"/>
        <v>3.5391199139215948</v>
      </c>
      <c r="AD14" s="1480">
        <f t="shared" ca="1" si="20"/>
        <v>1.8798853768667387</v>
      </c>
      <c r="AE14" s="113">
        <f t="shared" ca="1" si="21"/>
        <v>1.0649999999999999</v>
      </c>
      <c r="AF14" s="1483">
        <f t="shared" ca="1" si="22"/>
        <v>6.2470795992104007</v>
      </c>
      <c r="AG14" s="334">
        <f ca="1">VLOOKUP($A14,Plant_Table,'Plant Operations'!$M$270)</f>
        <v>146880</v>
      </c>
      <c r="AH14" s="1481">
        <f t="shared" ca="1" si="23"/>
        <v>917.57105153202372</v>
      </c>
      <c r="AI14" s="1480">
        <f t="shared" ca="1" si="24"/>
        <v>1.8798853768667387</v>
      </c>
      <c r="AJ14" s="335">
        <f t="shared" ca="1" si="25"/>
        <v>488.09946756507401</v>
      </c>
      <c r="AK14" s="698" t="str">
        <f t="shared" ca="1" si="3"/>
        <v xml:space="preserve"> </v>
      </c>
      <c r="AM14" s="697">
        <f ca="1">IF($A14&gt;Endyr,0,VLOOKUP($A14,Tariff_Table,Tariff!$L$33))</f>
        <v>1.21</v>
      </c>
      <c r="AN14" s="1504">
        <f ca="1">VLOOKUP($A14,Curves_Table,Escalation!$Z$291)</f>
        <v>1.0952429010137783</v>
      </c>
      <c r="AO14" s="331">
        <f t="shared" ca="1" si="26"/>
        <v>1.3252439102266718</v>
      </c>
      <c r="AP14" s="331">
        <f ca="1">IF($A14&gt;Endyr,0,VLOOKUP($A14,Tariff_Table,Tariff!$M$33))</f>
        <v>0.25</v>
      </c>
      <c r="AQ14" s="331">
        <f t="shared" ca="1" si="27"/>
        <v>1.5752439102266718</v>
      </c>
      <c r="AR14" s="331">
        <f t="shared" ca="1" si="28"/>
        <v>1.46</v>
      </c>
      <c r="AS14" s="1508">
        <f t="shared" ca="1" si="29"/>
        <v>1.0789341850867615</v>
      </c>
    </row>
    <row r="15" spans="1:45">
      <c r="A15" s="672">
        <f t="shared" si="4"/>
        <v>37043</v>
      </c>
      <c r="C15" s="1484">
        <f ca="1">IF($A15&gt;Endyr,0,VLOOKUP($A15,Tariff_Table,Tariff!$G$33))</f>
        <v>11645.56</v>
      </c>
      <c r="D15" s="1480">
        <f ca="1">VLOOKUP($A15,Curves_Table,Escalation!$V$291)</f>
        <v>1.097180617479341</v>
      </c>
      <c r="E15" s="1483">
        <f t="shared" ca="1" si="5"/>
        <v>12777.282711692715</v>
      </c>
      <c r="F15" s="1480">
        <f ca="1">IF(Assm!$L$74=0,VLOOKUP($A15,Curves_Table,Escalation!$D$291),VLOOKUP($A15,Curves_Table,Escalation!$E$291))</f>
        <v>1.8954690871854543</v>
      </c>
      <c r="G15" s="113">
        <f ca="1">IF($A15&lt;EE_Date,VLOOKUP($A15,Curves_Table,Escalation!$D$291),Exch)</f>
        <v>1.0649999999999999</v>
      </c>
      <c r="H15" s="1483">
        <f t="shared" ca="1" si="6"/>
        <v>22740.792862199694</v>
      </c>
      <c r="I15" s="330">
        <f ca="1">VLOOKUP($A15,Plant_Table,'Plant Operations'!$C$270)</f>
        <v>237.77937158469945</v>
      </c>
      <c r="J15" s="1481">
        <f t="shared" ca="1" si="7"/>
        <v>5407.2914361116618</v>
      </c>
      <c r="K15" s="1480">
        <f t="shared" ca="1" si="8"/>
        <v>1.8954690871854543</v>
      </c>
      <c r="L15" s="384">
        <f t="shared" ca="1" si="9"/>
        <v>2852.7457781655753</v>
      </c>
      <c r="M15" s="692" t="str">
        <f t="shared" ca="1" si="0"/>
        <v xml:space="preserve"> </v>
      </c>
      <c r="O15" s="1482">
        <f ca="1">IF($A15&gt;Endyr,0,VLOOKUP($A15,Tariff_Table,Tariff!$H$33))</f>
        <v>9025.02</v>
      </c>
      <c r="P15" s="1480">
        <f t="shared" ca="1" si="10"/>
        <v>1.0789341850867615</v>
      </c>
      <c r="Q15" s="1481">
        <f t="shared" ca="1" si="11"/>
        <v>9737.4025990917253</v>
      </c>
      <c r="R15" s="1480">
        <f t="shared" ca="1" si="12"/>
        <v>1.8954690871854543</v>
      </c>
      <c r="S15" s="113">
        <f t="shared" ca="1" si="13"/>
        <v>1.0649999999999999</v>
      </c>
      <c r="T15" s="1481">
        <f t="shared" ca="1" si="14"/>
        <v>17330.465367190296</v>
      </c>
      <c r="U15" s="330">
        <f t="shared" ca="1" si="15"/>
        <v>237.77937158469945</v>
      </c>
      <c r="V15" s="1481">
        <f t="shared" ca="1" si="16"/>
        <v>4120.8271642809059</v>
      </c>
      <c r="W15" s="1480">
        <f t="shared" ca="1" si="17"/>
        <v>1.8954690871854543</v>
      </c>
      <c r="X15" s="384">
        <f t="shared" ca="1" si="18"/>
        <v>2174.0408177269951</v>
      </c>
      <c r="Y15" s="692" t="str">
        <f t="shared" ca="1" si="1"/>
        <v xml:space="preserve"> </v>
      </c>
      <c r="AA15" s="1484">
        <f ca="1">IF($A15&gt;Endyr,0,VLOOKUP($A15,Tariff_Table,Tariff!$I$33))</f>
        <v>3.2801999999999998</v>
      </c>
      <c r="AB15" s="1480">
        <f t="shared" ca="1" si="2"/>
        <v>1.0789341850867615</v>
      </c>
      <c r="AC15" s="1483">
        <f t="shared" ca="1" si="19"/>
        <v>3.5391199139215948</v>
      </c>
      <c r="AD15" s="1480">
        <f t="shared" ca="1" si="20"/>
        <v>1.8954690871854543</v>
      </c>
      <c r="AE15" s="113">
        <f t="shared" ca="1" si="21"/>
        <v>1.0649999999999999</v>
      </c>
      <c r="AF15" s="1483">
        <f t="shared" ca="1" si="22"/>
        <v>6.2988660964139234</v>
      </c>
      <c r="AG15" s="334">
        <f ca="1">VLOOKUP($A15,Plant_Table,'Plant Operations'!$M$270)</f>
        <v>232128</v>
      </c>
      <c r="AH15" s="1481">
        <f t="shared" ca="1" si="23"/>
        <v>1462.1431892283713</v>
      </c>
      <c r="AI15" s="1480">
        <f t="shared" ca="1" si="24"/>
        <v>1.8954690871854543</v>
      </c>
      <c r="AJ15" s="335">
        <f t="shared" ca="1" si="25"/>
        <v>771.38857030872487</v>
      </c>
      <c r="AK15" s="698" t="str">
        <f t="shared" ca="1" si="3"/>
        <v xml:space="preserve"> </v>
      </c>
      <c r="AM15" s="697">
        <f ca="1">IF($A15&gt;Endyr,0,VLOOKUP($A15,Tariff_Table,Tariff!$L$33))</f>
        <v>1.21</v>
      </c>
      <c r="AN15" s="1504">
        <f ca="1">VLOOKUP($A15,Curves_Table,Escalation!$Z$291)</f>
        <v>1.0952429010137783</v>
      </c>
      <c r="AO15" s="331">
        <f t="shared" ca="1" si="26"/>
        <v>1.3252439102266718</v>
      </c>
      <c r="AP15" s="331">
        <f ca="1">IF($A15&gt;Endyr,0,VLOOKUP($A15,Tariff_Table,Tariff!$M$33))</f>
        <v>0.25</v>
      </c>
      <c r="AQ15" s="331">
        <f t="shared" ca="1" si="27"/>
        <v>1.5752439102266718</v>
      </c>
      <c r="AR15" s="331">
        <f t="shared" ca="1" si="28"/>
        <v>1.46</v>
      </c>
      <c r="AS15" s="1508">
        <f t="shared" ca="1" si="29"/>
        <v>1.0789341850867615</v>
      </c>
    </row>
    <row r="16" spans="1:45">
      <c r="A16" s="672">
        <f t="shared" si="4"/>
        <v>37073</v>
      </c>
      <c r="C16" s="1484">
        <f ca="1">IF($A16&gt;Endyr,0,VLOOKUP($A16,Tariff_Table,Tariff!$G$33))</f>
        <v>11645.56</v>
      </c>
      <c r="D16" s="1480">
        <f ca="1">VLOOKUP($A16,Curves_Table,Escalation!$V$291)</f>
        <v>1.097180617479341</v>
      </c>
      <c r="E16" s="1483">
        <f t="shared" ca="1" si="5"/>
        <v>12777.282711692715</v>
      </c>
      <c r="F16" s="1480">
        <f ca="1">IF(Assm!$L$74=0,VLOOKUP($A16,Curves_Table,Escalation!$D$291),VLOOKUP($A16,Curves_Table,Escalation!$E$291))</f>
        <v>1.9111819819907805</v>
      </c>
      <c r="G16" s="113">
        <f ca="1">IF($A16&lt;EE_Date,VLOOKUP($A16,Curves_Table,Escalation!$D$291),Exch)</f>
        <v>1.0649999999999999</v>
      </c>
      <c r="H16" s="1483">
        <f t="shared" ca="1" si="6"/>
        <v>22929.307509285838</v>
      </c>
      <c r="I16" s="330">
        <f ca="1">VLOOKUP($A16,Plant_Table,'Plant Operations'!$C$270)</f>
        <v>237.77937158469945</v>
      </c>
      <c r="J16" s="1481">
        <f t="shared" ca="1" si="7"/>
        <v>5452.1163304303163</v>
      </c>
      <c r="K16" s="1480">
        <f t="shared" ca="1" si="8"/>
        <v>1.9111819819907805</v>
      </c>
      <c r="L16" s="384">
        <f t="shared" ca="1" si="9"/>
        <v>2852.7457781655758</v>
      </c>
      <c r="M16" s="692" t="str">
        <f t="shared" ca="1" si="0"/>
        <v xml:space="preserve"> </v>
      </c>
      <c r="O16" s="1482">
        <f ca="1">IF($A16&gt;Endyr,0,VLOOKUP($A16,Tariff_Table,Tariff!$H$33))</f>
        <v>9025.02</v>
      </c>
      <c r="P16" s="1480">
        <f t="shared" ca="1" si="10"/>
        <v>1.0789341850867615</v>
      </c>
      <c r="Q16" s="1481">
        <f t="shared" ca="1" si="11"/>
        <v>9737.4025990917253</v>
      </c>
      <c r="R16" s="1480">
        <f t="shared" ca="1" si="12"/>
        <v>1.9111819819907805</v>
      </c>
      <c r="S16" s="113">
        <f t="shared" ca="1" si="13"/>
        <v>1.0649999999999999</v>
      </c>
      <c r="T16" s="1481">
        <f t="shared" ca="1" si="14"/>
        <v>17474.129951900752</v>
      </c>
      <c r="U16" s="330">
        <f t="shared" ca="1" si="15"/>
        <v>237.77937158469945</v>
      </c>
      <c r="V16" s="1481">
        <f t="shared" ca="1" si="16"/>
        <v>4154.9876389523351</v>
      </c>
      <c r="W16" s="1480">
        <f t="shared" ca="1" si="17"/>
        <v>1.9111819819907805</v>
      </c>
      <c r="X16" s="384">
        <f t="shared" ca="1" si="18"/>
        <v>2174.0408177269946</v>
      </c>
      <c r="Y16" s="692" t="str">
        <f t="shared" ca="1" si="1"/>
        <v xml:space="preserve"> </v>
      </c>
      <c r="AA16" s="1484">
        <f ca="1">IF($A16&gt;Endyr,0,VLOOKUP($A16,Tariff_Table,Tariff!$I$33))</f>
        <v>3.2801999999999998</v>
      </c>
      <c r="AB16" s="1480">
        <f t="shared" ca="1" si="2"/>
        <v>1.0789341850867615</v>
      </c>
      <c r="AC16" s="1483">
        <f t="shared" ca="1" si="19"/>
        <v>3.5391199139215948</v>
      </c>
      <c r="AD16" s="1480">
        <f t="shared" ca="1" si="20"/>
        <v>1.9111819819907805</v>
      </c>
      <c r="AE16" s="113">
        <f t="shared" ca="1" si="21"/>
        <v>1.0649999999999999</v>
      </c>
      <c r="AF16" s="1483">
        <f t="shared" ca="1" si="22"/>
        <v>6.351081888818511</v>
      </c>
      <c r="AG16" s="334">
        <f ca="1">VLOOKUP($A16,Plant_Table,'Plant Operations'!$M$270)</f>
        <v>234410</v>
      </c>
      <c r="AH16" s="1481">
        <f t="shared" ca="1" si="23"/>
        <v>1488.7571055579472</v>
      </c>
      <c r="AI16" s="1480">
        <f t="shared" ca="1" si="24"/>
        <v>1.9111819819907805</v>
      </c>
      <c r="AJ16" s="335">
        <f t="shared" ca="1" si="25"/>
        <v>778.97192396465823</v>
      </c>
      <c r="AK16" s="698" t="str">
        <f t="shared" ca="1" si="3"/>
        <v xml:space="preserve"> </v>
      </c>
      <c r="AM16" s="697">
        <f ca="1">IF($A16&gt;Endyr,0,VLOOKUP($A16,Tariff_Table,Tariff!$L$33))</f>
        <v>1.21</v>
      </c>
      <c r="AN16" s="1504">
        <f ca="1">VLOOKUP($A16,Curves_Table,Escalation!$Z$291)</f>
        <v>1.0952429010137783</v>
      </c>
      <c r="AO16" s="331">
        <f t="shared" ca="1" si="26"/>
        <v>1.3252439102266718</v>
      </c>
      <c r="AP16" s="331">
        <f ca="1">IF($A16&gt;Endyr,0,VLOOKUP($A16,Tariff_Table,Tariff!$M$33))</f>
        <v>0.25</v>
      </c>
      <c r="AQ16" s="331">
        <f t="shared" ca="1" si="27"/>
        <v>1.5752439102266718</v>
      </c>
      <c r="AR16" s="331">
        <f t="shared" ca="1" si="28"/>
        <v>1.46</v>
      </c>
      <c r="AS16" s="1508">
        <f t="shared" ca="1" si="29"/>
        <v>1.0789341850867615</v>
      </c>
    </row>
    <row r="17" spans="1:45">
      <c r="A17" s="672">
        <f t="shared" si="4"/>
        <v>37104</v>
      </c>
      <c r="C17" s="1484">
        <f ca="1">IF($A17&gt;Endyr,0,VLOOKUP($A17,Tariff_Table,Tariff!$G$33))</f>
        <v>11645.56</v>
      </c>
      <c r="D17" s="1480">
        <f ca="1">VLOOKUP($A17,Curves_Table,Escalation!$V$291)</f>
        <v>1.097180617479341</v>
      </c>
      <c r="E17" s="1483">
        <f t="shared" ca="1" si="5"/>
        <v>12777.282711692715</v>
      </c>
      <c r="F17" s="1480">
        <f ca="1">IF(Assm!$L$74=0,VLOOKUP($A17,Curves_Table,Escalation!$D$291),VLOOKUP($A17,Curves_Table,Escalation!$E$291))</f>
        <v>1.9270251321850405</v>
      </c>
      <c r="G17" s="113">
        <f ca="1">IF($A17&lt;EE_Date,VLOOKUP($A17,Curves_Table,Escalation!$D$291),Exch)</f>
        <v>1.0649999999999999</v>
      </c>
      <c r="H17" s="1483">
        <f t="shared" ca="1" si="6"/>
        <v>23119.384888699798</v>
      </c>
      <c r="I17" s="330">
        <f ca="1">VLOOKUP($A17,Plant_Table,'Plant Operations'!$C$270)</f>
        <v>480</v>
      </c>
      <c r="J17" s="1481">
        <f t="shared" ca="1" si="7"/>
        <v>11097.304746575903</v>
      </c>
      <c r="K17" s="1480">
        <f t="shared" ca="1" si="8"/>
        <v>1.9270251321850405</v>
      </c>
      <c r="L17" s="384">
        <f t="shared" ca="1" si="9"/>
        <v>5758.7753066784062</v>
      </c>
      <c r="M17" s="692" t="str">
        <f t="shared" ca="1" si="0"/>
        <v xml:space="preserve"> </v>
      </c>
      <c r="O17" s="1482">
        <f ca="1">IF($A17&gt;Endyr,0,VLOOKUP($A17,Tariff_Table,Tariff!$H$33))</f>
        <v>9025.02</v>
      </c>
      <c r="P17" s="1480">
        <f t="shared" ca="1" si="10"/>
        <v>1.0789341850867615</v>
      </c>
      <c r="Q17" s="1481">
        <f t="shared" ca="1" si="11"/>
        <v>9737.4025990917253</v>
      </c>
      <c r="R17" s="1480">
        <f t="shared" ca="1" si="12"/>
        <v>1.9270251321850405</v>
      </c>
      <c r="S17" s="113">
        <f t="shared" ca="1" si="13"/>
        <v>1.0649999999999999</v>
      </c>
      <c r="T17" s="1481">
        <f t="shared" ca="1" si="14"/>
        <v>17618.985474792196</v>
      </c>
      <c r="U17" s="330">
        <f t="shared" ca="1" si="15"/>
        <v>480</v>
      </c>
      <c r="V17" s="1481">
        <f t="shared" ca="1" si="16"/>
        <v>8457.1130279002537</v>
      </c>
      <c r="W17" s="1480">
        <f t="shared" ca="1" si="17"/>
        <v>1.9270251321850405</v>
      </c>
      <c r="X17" s="384">
        <f t="shared" ca="1" si="18"/>
        <v>4388.6884953652843</v>
      </c>
      <c r="Y17" s="692" t="str">
        <f t="shared" ca="1" si="1"/>
        <v xml:space="preserve"> </v>
      </c>
      <c r="AA17" s="1484">
        <f ca="1">IF($A17&gt;Endyr,0,VLOOKUP($A17,Tariff_Table,Tariff!$I$33))</f>
        <v>3.2801999999999998</v>
      </c>
      <c r="AB17" s="1480">
        <f t="shared" ca="1" si="2"/>
        <v>1.0789341850867615</v>
      </c>
      <c r="AC17" s="1483">
        <f t="shared" ca="1" si="19"/>
        <v>3.5391199139215948</v>
      </c>
      <c r="AD17" s="1480">
        <f t="shared" ca="1" si="20"/>
        <v>1.9270251321850405</v>
      </c>
      <c r="AE17" s="113">
        <f t="shared" ca="1" si="21"/>
        <v>1.0649999999999999</v>
      </c>
      <c r="AF17" s="1483">
        <f t="shared" ca="1" si="22"/>
        <v>6.4037305351581884</v>
      </c>
      <c r="AG17" s="334">
        <f ca="1">VLOOKUP($A17,Plant_Table,'Plant Operations'!$M$270)</f>
        <v>298980.864</v>
      </c>
      <c r="AH17" s="1481">
        <f t="shared" ca="1" si="23"/>
        <v>1914.5928882247774</v>
      </c>
      <c r="AI17" s="1480">
        <f t="shared" ca="1" si="24"/>
        <v>1.9270251321850405</v>
      </c>
      <c r="AJ17" s="335">
        <f t="shared" ca="1" si="25"/>
        <v>993.54847855763762</v>
      </c>
      <c r="AK17" s="698" t="str">
        <f t="shared" ca="1" si="3"/>
        <v xml:space="preserve"> </v>
      </c>
      <c r="AM17" s="697">
        <f ca="1">IF($A17&gt;Endyr,0,VLOOKUP($A17,Tariff_Table,Tariff!$L$33))</f>
        <v>1.21</v>
      </c>
      <c r="AN17" s="1504">
        <f ca="1">VLOOKUP($A17,Curves_Table,Escalation!$Z$291)</f>
        <v>1.0952429010137783</v>
      </c>
      <c r="AO17" s="331">
        <f t="shared" ca="1" si="26"/>
        <v>1.3252439102266718</v>
      </c>
      <c r="AP17" s="331">
        <f ca="1">IF($A17&gt;Endyr,0,VLOOKUP($A17,Tariff_Table,Tariff!$M$33))</f>
        <v>0.25</v>
      </c>
      <c r="AQ17" s="331">
        <f t="shared" ca="1" si="27"/>
        <v>1.5752439102266718</v>
      </c>
      <c r="AR17" s="331">
        <f t="shared" ca="1" si="28"/>
        <v>1.46</v>
      </c>
      <c r="AS17" s="1508">
        <f t="shared" ca="1" si="29"/>
        <v>1.0789341850867615</v>
      </c>
    </row>
    <row r="18" spans="1:45">
      <c r="A18" s="672">
        <f t="shared" si="4"/>
        <v>37135</v>
      </c>
      <c r="C18" s="1484">
        <f ca="1">IF($A18&gt;Endyr,0,VLOOKUP($A18,Tariff_Table,Tariff!$G$33))</f>
        <v>7427.29</v>
      </c>
      <c r="D18" s="1480">
        <f ca="1">VLOOKUP($A18,Curves_Table,Escalation!$V$291)</f>
        <v>1.097180617479341</v>
      </c>
      <c r="E18" s="1483">
        <f t="shared" ca="1" si="5"/>
        <v>8149.0786283981352</v>
      </c>
      <c r="F18" s="1480">
        <f ca="1">IF(Assm!$L$74=0,VLOOKUP($A18,Curves_Table,Escalation!$D$291),VLOOKUP($A18,Curves_Table,Escalation!$E$291))</f>
        <v>1.9429996175480302</v>
      </c>
      <c r="G18" s="113">
        <f ca="1">IF($A18&lt;EE_Date,VLOOKUP($A18,Curves_Table,Escalation!$D$291),Exch)</f>
        <v>1.0649999999999999</v>
      </c>
      <c r="H18" s="1483">
        <f t="shared" ca="1" si="6"/>
        <v>14867.283247273619</v>
      </c>
      <c r="I18" s="330">
        <f ca="1">VLOOKUP($A18,Plant_Table,'Plant Operations'!$C$270)</f>
        <v>480</v>
      </c>
      <c r="J18" s="1481">
        <f t="shared" ca="1" si="7"/>
        <v>7136.2959586913375</v>
      </c>
      <c r="K18" s="1480">
        <f t="shared" ca="1" si="8"/>
        <v>1.9429996175480302</v>
      </c>
      <c r="L18" s="384">
        <f t="shared" ca="1" si="9"/>
        <v>3672.8241705456389</v>
      </c>
      <c r="M18" s="692" t="str">
        <f t="shared" ca="1" si="0"/>
        <v xml:space="preserve"> </v>
      </c>
      <c r="O18" s="1482">
        <f ca="1">IF($A18&gt;Endyr,0,VLOOKUP($A18,Tariff_Table,Tariff!$H$33))</f>
        <v>6126.75</v>
      </c>
      <c r="P18" s="1480">
        <f t="shared" ca="1" si="10"/>
        <v>1.0789341850867615</v>
      </c>
      <c r="Q18" s="1481">
        <f t="shared" ca="1" si="11"/>
        <v>6610.3600184803163</v>
      </c>
      <c r="R18" s="1480">
        <f t="shared" ca="1" si="12"/>
        <v>1.9429996175480302</v>
      </c>
      <c r="S18" s="113">
        <f t="shared" ca="1" si="13"/>
        <v>1.0649999999999999</v>
      </c>
      <c r="T18" s="1481">
        <f t="shared" ca="1" si="14"/>
        <v>12060.025340621638</v>
      </c>
      <c r="U18" s="330">
        <f t="shared" ca="1" si="15"/>
        <v>480</v>
      </c>
      <c r="V18" s="1481">
        <f t="shared" ca="1" si="16"/>
        <v>5788.8121634983854</v>
      </c>
      <c r="W18" s="1480">
        <f t="shared" ca="1" si="17"/>
        <v>1.9429996175480302</v>
      </c>
      <c r="X18" s="384">
        <f t="shared" ca="1" si="18"/>
        <v>2979.3171914277477</v>
      </c>
      <c r="Y18" s="692" t="str">
        <f t="shared" ca="1" si="1"/>
        <v xml:space="preserve"> </v>
      </c>
      <c r="AA18" s="1484">
        <f ca="1">IF($A18&gt;Endyr,0,VLOOKUP($A18,Tariff_Table,Tariff!$I$33))</f>
        <v>2.36</v>
      </c>
      <c r="AB18" s="1480">
        <f t="shared" ca="1" si="2"/>
        <v>1.0789341850867615</v>
      </c>
      <c r="AC18" s="1483">
        <f t="shared" ca="1" si="19"/>
        <v>2.5462846768047571</v>
      </c>
      <c r="AD18" s="1480">
        <f t="shared" ca="1" si="20"/>
        <v>1.9429996175480302</v>
      </c>
      <c r="AE18" s="113">
        <f t="shared" ca="1" si="21"/>
        <v>1.0649999999999999</v>
      </c>
      <c r="AF18" s="1483">
        <f t="shared" ca="1" si="22"/>
        <v>4.6454743222535706</v>
      </c>
      <c r="AG18" s="334">
        <f ca="1">VLOOKUP($A18,Plant_Table,'Plant Operations'!$M$270)</f>
        <v>289336.32000000001</v>
      </c>
      <c r="AH18" s="1481">
        <f t="shared" ca="1" si="23"/>
        <v>1344.1044450553422</v>
      </c>
      <c r="AI18" s="1480">
        <f t="shared" ca="1" si="24"/>
        <v>1.9429996175480302</v>
      </c>
      <c r="AJ18" s="335">
        <f t="shared" ca="1" si="25"/>
        <v>691.76773526673969</v>
      </c>
      <c r="AK18" s="698" t="str">
        <f t="shared" ca="1" si="3"/>
        <v xml:space="preserve"> </v>
      </c>
      <c r="AM18" s="697">
        <f ca="1">IF($A18&gt;Endyr,0,VLOOKUP($A18,Tariff_Table,Tariff!$L$33))</f>
        <v>1.21</v>
      </c>
      <c r="AN18" s="1504">
        <f ca="1">VLOOKUP($A18,Curves_Table,Escalation!$Z$291)</f>
        <v>1.0952429010137783</v>
      </c>
      <c r="AO18" s="331">
        <f t="shared" ca="1" si="26"/>
        <v>1.3252439102266718</v>
      </c>
      <c r="AP18" s="331">
        <f ca="1">IF($A18&gt;Endyr,0,VLOOKUP($A18,Tariff_Table,Tariff!$M$33))</f>
        <v>0.25</v>
      </c>
      <c r="AQ18" s="331">
        <f t="shared" ca="1" si="27"/>
        <v>1.5752439102266718</v>
      </c>
      <c r="AR18" s="331">
        <f t="shared" ca="1" si="28"/>
        <v>1.46</v>
      </c>
      <c r="AS18" s="1508">
        <f t="shared" ca="1" si="29"/>
        <v>1.0789341850867615</v>
      </c>
    </row>
    <row r="19" spans="1:45">
      <c r="A19" s="672">
        <f t="shared" si="4"/>
        <v>37165</v>
      </c>
      <c r="C19" s="1484">
        <f ca="1">IF($A19&gt;Endyr,0,VLOOKUP($A19,Tariff_Table,Tariff!$G$33))</f>
        <v>7427.29</v>
      </c>
      <c r="D19" s="1480">
        <f ca="1">VLOOKUP($A19,Curves_Table,Escalation!$V$291)</f>
        <v>1.097180617479341</v>
      </c>
      <c r="E19" s="1483">
        <f t="shared" ca="1" si="5"/>
        <v>8149.0786283981352</v>
      </c>
      <c r="F19" s="1480">
        <f ca="1">IF(Assm!$L$74=0,VLOOKUP($A19,Curves_Table,Escalation!$D$291),VLOOKUP($A19,Curves_Table,Escalation!$E$291))</f>
        <v>1.95910652681061</v>
      </c>
      <c r="G19" s="113">
        <f ca="1">IF($A19&lt;EE_Date,VLOOKUP($A19,Curves_Table,Escalation!$D$291),Exch)</f>
        <v>1.0649999999999999</v>
      </c>
      <c r="H19" s="1483">
        <f t="shared" ca="1" si="6"/>
        <v>14990.52875904943</v>
      </c>
      <c r="I19" s="330">
        <f ca="1">VLOOKUP($A19,Plant_Table,'Plant Operations'!$C$270)</f>
        <v>480</v>
      </c>
      <c r="J19" s="1481">
        <f t="shared" ca="1" si="7"/>
        <v>7195.4538043437269</v>
      </c>
      <c r="K19" s="1480">
        <f t="shared" ca="1" si="8"/>
        <v>1.95910652681061</v>
      </c>
      <c r="L19" s="384">
        <f t="shared" ca="1" si="9"/>
        <v>3672.8241705456394</v>
      </c>
      <c r="M19" s="692" t="str">
        <f t="shared" ca="1" si="0"/>
        <v xml:space="preserve"> </v>
      </c>
      <c r="O19" s="1482">
        <f ca="1">IF($A19&gt;Endyr,0,VLOOKUP($A19,Tariff_Table,Tariff!$H$33))</f>
        <v>6126.75</v>
      </c>
      <c r="P19" s="1480">
        <f t="shared" ca="1" si="10"/>
        <v>1.0789341850867615</v>
      </c>
      <c r="Q19" s="1481">
        <f t="shared" ca="1" si="11"/>
        <v>6610.3600184803163</v>
      </c>
      <c r="R19" s="1480">
        <f t="shared" ca="1" si="12"/>
        <v>1.95910652681061</v>
      </c>
      <c r="S19" s="113">
        <f t="shared" ca="1" si="13"/>
        <v>1.0649999999999999</v>
      </c>
      <c r="T19" s="1481">
        <f t="shared" ca="1" si="14"/>
        <v>12159.999489927412</v>
      </c>
      <c r="U19" s="330">
        <f t="shared" ca="1" si="15"/>
        <v>480</v>
      </c>
      <c r="V19" s="1481">
        <f t="shared" ca="1" si="16"/>
        <v>5836.7997551651579</v>
      </c>
      <c r="W19" s="1480">
        <f t="shared" ca="1" si="17"/>
        <v>1.95910652681061</v>
      </c>
      <c r="X19" s="384">
        <f t="shared" ca="1" si="18"/>
        <v>2979.3171914277486</v>
      </c>
      <c r="Y19" s="692" t="str">
        <f t="shared" ca="1" si="1"/>
        <v xml:space="preserve"> </v>
      </c>
      <c r="AA19" s="1484">
        <f ca="1">IF($A19&gt;Endyr,0,VLOOKUP($A19,Tariff_Table,Tariff!$I$33))</f>
        <v>2.36</v>
      </c>
      <c r="AB19" s="1480">
        <f t="shared" ca="1" si="2"/>
        <v>1.0789341850867615</v>
      </c>
      <c r="AC19" s="1483">
        <f t="shared" ca="1" si="19"/>
        <v>2.5462846768047571</v>
      </c>
      <c r="AD19" s="1480">
        <f t="shared" ca="1" si="20"/>
        <v>1.95910652681061</v>
      </c>
      <c r="AE19" s="113">
        <f t="shared" ca="1" si="21"/>
        <v>1.0649999999999999</v>
      </c>
      <c r="AF19" s="1483">
        <f t="shared" ca="1" si="22"/>
        <v>4.6839839713108402</v>
      </c>
      <c r="AG19" s="334">
        <f ca="1">VLOOKUP($A19,Plant_Table,'Plant Operations'!$M$270)</f>
        <v>298980.864</v>
      </c>
      <c r="AH19" s="1481">
        <f t="shared" ca="1" si="23"/>
        <v>1400.4215747046662</v>
      </c>
      <c r="AI19" s="1480">
        <f t="shared" ca="1" si="24"/>
        <v>1.95910652681061</v>
      </c>
      <c r="AJ19" s="335">
        <f t="shared" ca="1" si="25"/>
        <v>714.82665977563113</v>
      </c>
      <c r="AK19" s="698" t="str">
        <f t="shared" ca="1" si="3"/>
        <v xml:space="preserve"> </v>
      </c>
      <c r="AM19" s="697">
        <f ca="1">IF($A19&gt;Endyr,0,VLOOKUP($A19,Tariff_Table,Tariff!$L$33))</f>
        <v>1.21</v>
      </c>
      <c r="AN19" s="1504">
        <f ca="1">VLOOKUP($A19,Curves_Table,Escalation!$Z$291)</f>
        <v>1.0952429010137783</v>
      </c>
      <c r="AO19" s="331">
        <f t="shared" ca="1" si="26"/>
        <v>1.3252439102266718</v>
      </c>
      <c r="AP19" s="331">
        <f ca="1">IF($A19&gt;Endyr,0,VLOOKUP($A19,Tariff_Table,Tariff!$M$33))</f>
        <v>0.25</v>
      </c>
      <c r="AQ19" s="331">
        <f t="shared" ca="1" si="27"/>
        <v>1.5752439102266718</v>
      </c>
      <c r="AR19" s="331">
        <f t="shared" ca="1" si="28"/>
        <v>1.46</v>
      </c>
      <c r="AS19" s="1508">
        <f t="shared" ca="1" si="29"/>
        <v>1.0789341850867615</v>
      </c>
    </row>
    <row r="20" spans="1:45">
      <c r="A20" s="672">
        <f t="shared" si="4"/>
        <v>37196</v>
      </c>
      <c r="C20" s="1484">
        <f ca="1">IF($A20&gt;Endyr,0,VLOOKUP($A20,Tariff_Table,Tariff!$G$33))</f>
        <v>7427.29</v>
      </c>
      <c r="D20" s="1480">
        <f ca="1">VLOOKUP($A20,Curves_Table,Escalation!$V$291)</f>
        <v>1.097180617479341</v>
      </c>
      <c r="E20" s="1483">
        <f t="shared" ca="1" si="5"/>
        <v>8149.0786283981352</v>
      </c>
      <c r="F20" s="1480">
        <f ca="1">IF(Assm!$L$74=0,VLOOKUP($A20,Curves_Table,Escalation!$D$291),VLOOKUP($A20,Curves_Table,Escalation!$E$291))</f>
        <v>1.9753469577289071</v>
      </c>
      <c r="G20" s="113">
        <f ca="1">IF($A20&lt;EE_Date,VLOOKUP($A20,Curves_Table,Escalation!$D$291),Exch)</f>
        <v>1.0649999999999999</v>
      </c>
      <c r="H20" s="1483">
        <f t="shared" ca="1" si="6"/>
        <v>15114.795940751092</v>
      </c>
      <c r="I20" s="330">
        <f ca="1">VLOOKUP($A20,Plant_Table,'Plant Operations'!$C$270)</f>
        <v>480</v>
      </c>
      <c r="J20" s="1481">
        <f t="shared" ca="1" si="7"/>
        <v>7255.1020515605242</v>
      </c>
      <c r="K20" s="1480">
        <f t="shared" ca="1" si="8"/>
        <v>1.9753469577289071</v>
      </c>
      <c r="L20" s="384">
        <f t="shared" ca="1" si="9"/>
        <v>3672.8241705456389</v>
      </c>
      <c r="M20" s="692" t="str">
        <f t="shared" ca="1" si="0"/>
        <v xml:space="preserve"> </v>
      </c>
      <c r="O20" s="1482">
        <f ca="1">IF($A20&gt;Endyr,0,VLOOKUP($A20,Tariff_Table,Tariff!$H$33))</f>
        <v>6126.75</v>
      </c>
      <c r="P20" s="1480">
        <f t="shared" ca="1" si="10"/>
        <v>1.0789341850867615</v>
      </c>
      <c r="Q20" s="1481">
        <f t="shared" ca="1" si="11"/>
        <v>6610.3600184803163</v>
      </c>
      <c r="R20" s="1480">
        <f t="shared" ca="1" si="12"/>
        <v>1.9753469577289071</v>
      </c>
      <c r="S20" s="113">
        <f t="shared" ca="1" si="13"/>
        <v>1.0649999999999999</v>
      </c>
      <c r="T20" s="1481">
        <f t="shared" ca="1" si="14"/>
        <v>12260.802396242156</v>
      </c>
      <c r="U20" s="330">
        <f t="shared" ca="1" si="15"/>
        <v>480</v>
      </c>
      <c r="V20" s="1481">
        <f t="shared" ca="1" si="16"/>
        <v>5885.1851501962346</v>
      </c>
      <c r="W20" s="1480">
        <f t="shared" ca="1" si="17"/>
        <v>1.9753469577289071</v>
      </c>
      <c r="X20" s="384">
        <f t="shared" ca="1" si="18"/>
        <v>2979.3171914277482</v>
      </c>
      <c r="Y20" s="692" t="str">
        <f t="shared" ca="1" si="1"/>
        <v xml:space="preserve"> </v>
      </c>
      <c r="AA20" s="1484">
        <f ca="1">IF($A20&gt;Endyr,0,VLOOKUP($A20,Tariff_Table,Tariff!$I$33))</f>
        <v>2.36</v>
      </c>
      <c r="AB20" s="1480">
        <f t="shared" ca="1" si="2"/>
        <v>1.0789341850867615</v>
      </c>
      <c r="AC20" s="1483">
        <f t="shared" ca="1" si="19"/>
        <v>2.5462846768047571</v>
      </c>
      <c r="AD20" s="1480">
        <f t="shared" ca="1" si="20"/>
        <v>1.9753469577289071</v>
      </c>
      <c r="AE20" s="113">
        <f t="shared" ca="1" si="21"/>
        <v>1.0649999999999999</v>
      </c>
      <c r="AF20" s="1483">
        <f t="shared" ca="1" si="22"/>
        <v>4.7228128543079917</v>
      </c>
      <c r="AG20" s="334">
        <f ca="1">VLOOKUP($A20,Plant_Table,'Plant Operations'!$M$270)</f>
        <v>289336.32000000001</v>
      </c>
      <c r="AH20" s="1481">
        <f t="shared" ca="1" si="23"/>
        <v>1366.4812913141704</v>
      </c>
      <c r="AI20" s="1480">
        <f t="shared" ca="1" si="24"/>
        <v>1.9753469577289071</v>
      </c>
      <c r="AJ20" s="335">
        <f t="shared" ca="1" si="25"/>
        <v>691.76773526673981</v>
      </c>
      <c r="AK20" s="698" t="str">
        <f t="shared" ca="1" si="3"/>
        <v xml:space="preserve"> </v>
      </c>
      <c r="AM20" s="697">
        <f ca="1">IF($A20&gt;Endyr,0,VLOOKUP($A20,Tariff_Table,Tariff!$L$33))</f>
        <v>1.21</v>
      </c>
      <c r="AN20" s="1504">
        <f ca="1">VLOOKUP($A20,Curves_Table,Escalation!$Z$291)</f>
        <v>1.0952429010137783</v>
      </c>
      <c r="AO20" s="331">
        <f t="shared" ca="1" si="26"/>
        <v>1.3252439102266718</v>
      </c>
      <c r="AP20" s="331">
        <f ca="1">IF($A20&gt;Endyr,0,VLOOKUP($A20,Tariff_Table,Tariff!$M$33))</f>
        <v>0.25</v>
      </c>
      <c r="AQ20" s="331">
        <f t="shared" ca="1" si="27"/>
        <v>1.5752439102266718</v>
      </c>
      <c r="AR20" s="331">
        <f t="shared" ca="1" si="28"/>
        <v>1.46</v>
      </c>
      <c r="AS20" s="1508">
        <f t="shared" ca="1" si="29"/>
        <v>1.0789341850867615</v>
      </c>
    </row>
    <row r="21" spans="1:45">
      <c r="A21" s="672">
        <f t="shared" si="4"/>
        <v>37226</v>
      </c>
      <c r="C21" s="1484">
        <f ca="1">IF($A21&gt;Endyr,0,VLOOKUP($A21,Tariff_Table,Tariff!$G$33))</f>
        <v>7427.29</v>
      </c>
      <c r="D21" s="1480">
        <f ca="1">VLOOKUP($A21,Curves_Table,Escalation!$V$291)</f>
        <v>1.097180617479341</v>
      </c>
      <c r="E21" s="1483">
        <f t="shared" ca="1" si="5"/>
        <v>8149.0786283981352</v>
      </c>
      <c r="F21" s="1480">
        <f ca="1">IF(Assm!$L$74=0,VLOOKUP($A21,Curves_Table,Escalation!$D$291),VLOOKUP($A21,Curves_Table,Escalation!$E$291))</f>
        <v>1.9917220171591306</v>
      </c>
      <c r="G21" s="113">
        <f ca="1">IF($A21&lt;EE_Date,VLOOKUP($A21,Curves_Table,Escalation!$D$291),Exch)</f>
        <v>1.0649999999999999</v>
      </c>
      <c r="H21" s="1483">
        <f t="shared" ca="1" si="6"/>
        <v>15240.093261729104</v>
      </c>
      <c r="I21" s="330">
        <f ca="1">VLOOKUP($A21,Plant_Table,'Plant Operations'!$C$270)</f>
        <v>480</v>
      </c>
      <c r="J21" s="1481">
        <f t="shared" ca="1" si="7"/>
        <v>7315.2447656299692</v>
      </c>
      <c r="K21" s="1480">
        <f t="shared" ca="1" si="8"/>
        <v>1.9917220171591306</v>
      </c>
      <c r="L21" s="384">
        <f t="shared" ca="1" si="9"/>
        <v>3672.824170545638</v>
      </c>
      <c r="M21" s="692">
        <f t="shared" ca="1" si="0"/>
        <v>33511.83559655118</v>
      </c>
      <c r="O21" s="1482">
        <f ca="1">IF($A21&gt;Endyr,0,VLOOKUP($A21,Tariff_Table,Tariff!$H$33))</f>
        <v>6126.75</v>
      </c>
      <c r="P21" s="1480">
        <f t="shared" ca="1" si="10"/>
        <v>1.0789341850867615</v>
      </c>
      <c r="Q21" s="1481">
        <f t="shared" ca="1" si="11"/>
        <v>6610.3600184803163</v>
      </c>
      <c r="R21" s="1480">
        <f t="shared" ca="1" si="12"/>
        <v>1.9917220171591306</v>
      </c>
      <c r="S21" s="113">
        <f t="shared" ca="1" si="13"/>
        <v>1.0649999999999999</v>
      </c>
      <c r="T21" s="1481">
        <f t="shared" ca="1" si="14"/>
        <v>12362.440929723647</v>
      </c>
      <c r="U21" s="330">
        <f t="shared" ca="1" si="15"/>
        <v>480</v>
      </c>
      <c r="V21" s="1481">
        <f t="shared" ca="1" si="16"/>
        <v>5933.9716462673505</v>
      </c>
      <c r="W21" s="1480">
        <f t="shared" ca="1" si="17"/>
        <v>1.9917220171591306</v>
      </c>
      <c r="X21" s="384">
        <f t="shared" ca="1" si="18"/>
        <v>2979.3171914277482</v>
      </c>
      <c r="Y21" s="692">
        <f t="shared" ca="1" si="1"/>
        <v>26285.165014813301</v>
      </c>
      <c r="AA21" s="1484">
        <f ca="1">IF($A21&gt;Endyr,0,VLOOKUP($A21,Tariff_Table,Tariff!$I$33))</f>
        <v>2.36</v>
      </c>
      <c r="AB21" s="1480">
        <f t="shared" ca="1" si="2"/>
        <v>1.0789341850867615</v>
      </c>
      <c r="AC21" s="1483">
        <f t="shared" ca="1" si="19"/>
        <v>2.5462846768047571</v>
      </c>
      <c r="AD21" s="1480">
        <f t="shared" ca="1" si="20"/>
        <v>1.9917220171591306</v>
      </c>
      <c r="AE21" s="113">
        <f t="shared" ca="1" si="21"/>
        <v>1.0649999999999999</v>
      </c>
      <c r="AF21" s="1483">
        <f t="shared" ca="1" si="22"/>
        <v>4.7619636176027758</v>
      </c>
      <c r="AG21" s="334">
        <f ca="1">VLOOKUP($A21,Plant_Table,'Plant Operations'!$M$270)</f>
        <v>298980.864</v>
      </c>
      <c r="AH21" s="1481">
        <f t="shared" ca="1" si="23"/>
        <v>1423.7359967274435</v>
      </c>
      <c r="AI21" s="1480">
        <f t="shared" ca="1" si="24"/>
        <v>1.9917220171591306</v>
      </c>
      <c r="AJ21" s="335">
        <f t="shared" ca="1" si="25"/>
        <v>714.82665977563113</v>
      </c>
      <c r="AK21" s="698">
        <f t="shared" ca="1" si="3"/>
        <v>6113.4893281478526</v>
      </c>
      <c r="AM21" s="697">
        <f ca="1">IF($A21&gt;Endyr,0,VLOOKUP($A21,Tariff_Table,Tariff!$L$33))</f>
        <v>1.21</v>
      </c>
      <c r="AN21" s="1504">
        <f ca="1">VLOOKUP($A21,Curves_Table,Escalation!$Z$291)</f>
        <v>1.0952429010137783</v>
      </c>
      <c r="AO21" s="331">
        <f t="shared" ca="1" si="26"/>
        <v>1.3252439102266718</v>
      </c>
      <c r="AP21" s="331">
        <f ca="1">IF($A21&gt;Endyr,0,VLOOKUP($A21,Tariff_Table,Tariff!$M$33))</f>
        <v>0.25</v>
      </c>
      <c r="AQ21" s="331">
        <f t="shared" ca="1" si="27"/>
        <v>1.5752439102266718</v>
      </c>
      <c r="AR21" s="331">
        <f t="shared" ca="1" si="28"/>
        <v>1.46</v>
      </c>
      <c r="AS21" s="1508">
        <f t="shared" ca="1" si="29"/>
        <v>1.0789341850867615</v>
      </c>
    </row>
    <row r="22" spans="1:45">
      <c r="A22" s="672">
        <f t="shared" si="4"/>
        <v>37257</v>
      </c>
      <c r="C22" s="1880">
        <f ca="1">IF($A22&gt;Endyr,0,VLOOKUP($A22,Tariff_Table,Tariff!$G$33))</f>
        <v>7427.29</v>
      </c>
      <c r="D22" s="1878">
        <f ca="1">VLOOKUP($A22,Curves_Table,Escalation!$V$291)</f>
        <v>1.097180617479341</v>
      </c>
      <c r="E22" s="1879">
        <f t="shared" ca="1" si="5"/>
        <v>8149.0786283981352</v>
      </c>
      <c r="F22" s="1878">
        <f ca="1">IF(Assm!$L$74=0,VLOOKUP($A22,Curves_Table,Escalation!$D$291),VLOOKUP($A22,Curves_Table,Escalation!$E$291))</f>
        <v>2.0024865610216462</v>
      </c>
      <c r="G22" s="1881">
        <f ca="1">IF($A22&lt;EE_Date,VLOOKUP($A22,Curves_Table,Escalation!$D$291),Exch)</f>
        <v>1.0649999999999999</v>
      </c>
      <c r="H22" s="1879">
        <f ca="1">E22*F22/G22</f>
        <v>15322.460505235658</v>
      </c>
      <c r="I22" s="1882">
        <f ca="1">VLOOKUP($A22,Plant_Table,'Plant Operations'!$C$270)</f>
        <v>480</v>
      </c>
      <c r="J22" s="1872">
        <f t="shared" ca="1" si="7"/>
        <v>7354.7810425131165</v>
      </c>
      <c r="K22" s="1878">
        <f ca="1">F22</f>
        <v>2.0024865610216462</v>
      </c>
      <c r="L22" s="1871">
        <f ca="1">J22/K22</f>
        <v>3672.8241705456389</v>
      </c>
      <c r="M22" s="692" t="str">
        <f t="shared" ca="1" si="0"/>
        <v xml:space="preserve"> </v>
      </c>
      <c r="O22" s="1482">
        <f ca="1">IF($A22&gt;Endyr,0,VLOOKUP($A22,Tariff_Table,Tariff!$H$33))</f>
        <v>6126.75</v>
      </c>
      <c r="P22" s="1480">
        <f t="shared" ca="1" si="10"/>
        <v>1.0789341850867615</v>
      </c>
      <c r="Q22" s="1481">
        <f t="shared" ca="1" si="11"/>
        <v>6610.3600184803163</v>
      </c>
      <c r="R22" s="1480">
        <f t="shared" ca="1" si="12"/>
        <v>2.0024865610216462</v>
      </c>
      <c r="S22" s="113">
        <f t="shared" ca="1" si="13"/>
        <v>1.0649999999999999</v>
      </c>
      <c r="T22" s="1481">
        <f t="shared" ca="1" si="14"/>
        <v>12429.255493447545</v>
      </c>
      <c r="U22" s="330">
        <f t="shared" ca="1" si="15"/>
        <v>480</v>
      </c>
      <c r="V22" s="1481">
        <f t="shared" ca="1" si="16"/>
        <v>5966.0426368548215</v>
      </c>
      <c r="W22" s="1480">
        <f t="shared" ca="1" si="17"/>
        <v>2.0024865610216462</v>
      </c>
      <c r="X22" s="384">
        <f t="shared" ca="1" si="18"/>
        <v>2979.3171914277482</v>
      </c>
      <c r="Y22" s="692" t="str">
        <f t="shared" ca="1" si="1"/>
        <v xml:space="preserve"> </v>
      </c>
      <c r="AA22" s="1484">
        <f ca="1">IF($A22&gt;Endyr,0,VLOOKUP($A22,Tariff_Table,Tariff!$I$33))</f>
        <v>2.36</v>
      </c>
      <c r="AB22" s="1480">
        <f t="shared" ca="1" si="2"/>
        <v>1.0789341850867615</v>
      </c>
      <c r="AC22" s="1483">
        <f t="shared" ca="1" si="19"/>
        <v>2.5462846768047571</v>
      </c>
      <c r="AD22" s="1480">
        <f t="shared" ca="1" si="20"/>
        <v>2.0024865610216462</v>
      </c>
      <c r="AE22" s="113">
        <f t="shared" ca="1" si="21"/>
        <v>1.0649999999999999</v>
      </c>
      <c r="AF22" s="1483">
        <f t="shared" ca="1" si="22"/>
        <v>4.7877003247294576</v>
      </c>
      <c r="AG22" s="334">
        <f ca="1">VLOOKUP($A22,Plant_Table,'Plant Operations'!$M$270)</f>
        <v>298980.864</v>
      </c>
      <c r="AH22" s="1481">
        <f t="shared" ca="1" si="23"/>
        <v>1431.4307796606938</v>
      </c>
      <c r="AI22" s="1480">
        <f t="shared" ca="1" si="24"/>
        <v>2.0024865610216462</v>
      </c>
      <c r="AJ22" s="335">
        <f t="shared" ca="1" si="25"/>
        <v>714.82665977563113</v>
      </c>
      <c r="AK22" s="698" t="str">
        <f t="shared" ca="1" si="3"/>
        <v xml:space="preserve"> </v>
      </c>
      <c r="AM22" s="697">
        <f ca="1">IF($A22&gt;Endyr,0,VLOOKUP($A22,Tariff_Table,Tariff!$L$33))</f>
        <v>1.21</v>
      </c>
      <c r="AN22" s="1504">
        <f ca="1">VLOOKUP($A22,Curves_Table,Escalation!$Z$291)</f>
        <v>1.0952429010137783</v>
      </c>
      <c r="AO22" s="331">
        <f t="shared" ca="1" si="26"/>
        <v>1.3252439102266718</v>
      </c>
      <c r="AP22" s="331">
        <f ca="1">IF($A22&gt;Endyr,0,VLOOKUP($A22,Tariff_Table,Tariff!$M$33))</f>
        <v>0.25</v>
      </c>
      <c r="AQ22" s="331">
        <f t="shared" ca="1" si="27"/>
        <v>1.5752439102266718</v>
      </c>
      <c r="AR22" s="331">
        <f t="shared" ca="1" si="28"/>
        <v>1.46</v>
      </c>
      <c r="AS22" s="1508">
        <f t="shared" ca="1" si="29"/>
        <v>1.0789341850867615</v>
      </c>
    </row>
    <row r="23" spans="1:45">
      <c r="A23" s="672">
        <f t="shared" si="4"/>
        <v>37288</v>
      </c>
      <c r="C23" s="1484">
        <f ca="1">IF($A23&gt;Endyr,0,VLOOKUP($A23,Tariff_Table,Tariff!$G$33))</f>
        <v>7427.29</v>
      </c>
      <c r="D23" s="1480">
        <f ca="1">VLOOKUP($A23,Curves_Table,Escalation!$V$291)</f>
        <v>1.097180617479341</v>
      </c>
      <c r="E23" s="1483">
        <f t="shared" ca="1" si="5"/>
        <v>8149.0786283981352</v>
      </c>
      <c r="F23" s="1480">
        <f ca="1">IF(Assm!$L$74=0,VLOOKUP($A23,Curves_Table,Escalation!$D$291),VLOOKUP($A23,Curves_Table,Escalation!$E$291))</f>
        <v>2.0133092833867692</v>
      </c>
      <c r="G23" s="113">
        <f ca="1">IF($A23&lt;EE_Date,VLOOKUP($A23,Curves_Table,Escalation!$D$291),Exch)</f>
        <v>1.0649999999999999</v>
      </c>
      <c r="H23" s="1483">
        <f t="shared" ca="1" si="6"/>
        <v>15405.272914180927</v>
      </c>
      <c r="I23" s="330">
        <f ca="1">VLOOKUP($A23,Plant_Table,'Plant Operations'!$C$270)</f>
        <v>480</v>
      </c>
      <c r="J23" s="1481">
        <f t="shared" ca="1" si="7"/>
        <v>7394.5309988068448</v>
      </c>
      <c r="K23" s="1480">
        <f t="shared" ca="1" si="8"/>
        <v>2.0133092833867692</v>
      </c>
      <c r="L23" s="384">
        <f t="shared" ca="1" si="9"/>
        <v>3672.8241705456385</v>
      </c>
      <c r="M23" s="692" t="str">
        <f t="shared" ca="1" si="0"/>
        <v xml:space="preserve"> </v>
      </c>
      <c r="O23" s="1482">
        <f ca="1">IF($A23&gt;Endyr,0,VLOOKUP($A23,Tariff_Table,Tariff!$H$33))</f>
        <v>6126.75</v>
      </c>
      <c r="P23" s="1480">
        <f t="shared" ca="1" si="10"/>
        <v>1.0789341850867615</v>
      </c>
      <c r="Q23" s="1481">
        <f t="shared" ca="1" si="11"/>
        <v>6610.3600184803163</v>
      </c>
      <c r="R23" s="1480">
        <f t="shared" ca="1" si="12"/>
        <v>2.0133092833867692</v>
      </c>
      <c r="S23" s="113">
        <f t="shared" ca="1" si="13"/>
        <v>1.0649999999999999</v>
      </c>
      <c r="T23" s="1481">
        <f t="shared" ca="1" si="14"/>
        <v>12496.431165948503</v>
      </c>
      <c r="U23" s="330">
        <f t="shared" ca="1" si="15"/>
        <v>480</v>
      </c>
      <c r="V23" s="1481">
        <f t="shared" ca="1" si="16"/>
        <v>5998.286959655281</v>
      </c>
      <c r="W23" s="1480">
        <f t="shared" ca="1" si="17"/>
        <v>2.0133092833867692</v>
      </c>
      <c r="X23" s="384">
        <f t="shared" ca="1" si="18"/>
        <v>2979.3171914277477</v>
      </c>
      <c r="Y23" s="692" t="str">
        <f t="shared" ca="1" si="1"/>
        <v xml:space="preserve"> </v>
      </c>
      <c r="AA23" s="1484">
        <f ca="1">IF($A23&gt;Endyr,0,VLOOKUP($A23,Tariff_Table,Tariff!$I$33))</f>
        <v>2.36</v>
      </c>
      <c r="AB23" s="1480">
        <f t="shared" ca="1" si="2"/>
        <v>1.0789341850867615</v>
      </c>
      <c r="AC23" s="1483">
        <f t="shared" ca="1" si="19"/>
        <v>2.5462846768047571</v>
      </c>
      <c r="AD23" s="1480">
        <f t="shared" ca="1" si="20"/>
        <v>2.0133092833867692</v>
      </c>
      <c r="AE23" s="113">
        <f t="shared" ca="1" si="21"/>
        <v>1.0649999999999999</v>
      </c>
      <c r="AF23" s="1483">
        <f t="shared" ca="1" si="22"/>
        <v>4.8135761295366164</v>
      </c>
      <c r="AG23" s="334">
        <f ca="1">VLOOKUP($A23,Plant_Table,'Plant Operations'!$M$270)</f>
        <v>270047.23200000002</v>
      </c>
      <c r="AH23" s="1481">
        <f t="shared" ca="1" si="23"/>
        <v>1299.8929098026367</v>
      </c>
      <c r="AI23" s="1480">
        <f t="shared" ca="1" si="24"/>
        <v>2.0133092833867692</v>
      </c>
      <c r="AJ23" s="335">
        <f t="shared" ca="1" si="25"/>
        <v>645.64988624895705</v>
      </c>
      <c r="AK23" s="698" t="str">
        <f t="shared" ca="1" si="3"/>
        <v xml:space="preserve"> </v>
      </c>
      <c r="AM23" s="697">
        <f ca="1">IF($A23&gt;Endyr,0,VLOOKUP($A23,Tariff_Table,Tariff!$L$33))</f>
        <v>1.21</v>
      </c>
      <c r="AN23" s="1504">
        <f ca="1">VLOOKUP($A23,Curves_Table,Escalation!$Z$291)</f>
        <v>1.0952429010137783</v>
      </c>
      <c r="AO23" s="331">
        <f t="shared" ca="1" si="26"/>
        <v>1.3252439102266718</v>
      </c>
      <c r="AP23" s="331">
        <f ca="1">IF($A23&gt;Endyr,0,VLOOKUP($A23,Tariff_Table,Tariff!$M$33))</f>
        <v>0.25</v>
      </c>
      <c r="AQ23" s="331">
        <f t="shared" ca="1" si="27"/>
        <v>1.5752439102266718</v>
      </c>
      <c r="AR23" s="331">
        <f t="shared" ca="1" si="28"/>
        <v>1.46</v>
      </c>
      <c r="AS23" s="1508">
        <f t="shared" ca="1" si="29"/>
        <v>1.0789341850867615</v>
      </c>
    </row>
    <row r="24" spans="1:45">
      <c r="A24" s="672">
        <f t="shared" si="4"/>
        <v>37316</v>
      </c>
      <c r="C24" s="1484">
        <f ca="1">IF($A24&gt;Endyr,0,VLOOKUP($A24,Tariff_Table,Tariff!$G$33))</f>
        <v>7427.29</v>
      </c>
      <c r="D24" s="1480">
        <f ca="1">VLOOKUP($A24,Curves_Table,Escalation!$V$291)</f>
        <v>1.097180617479341</v>
      </c>
      <c r="E24" s="1483">
        <f t="shared" ca="1" si="5"/>
        <v>8149.0786283981352</v>
      </c>
      <c r="F24" s="1480">
        <f ca="1">IF(Assm!$L$74=0,VLOOKUP($A24,Curves_Table,Escalation!$D$291),VLOOKUP($A24,Curves_Table,Escalation!$E$291))</f>
        <v>2.0241904986884602</v>
      </c>
      <c r="G24" s="113">
        <f ca="1">IF($A24&lt;EE_Date,VLOOKUP($A24,Curves_Table,Escalation!$D$291),Exch)</f>
        <v>1.0649999999999999</v>
      </c>
      <c r="H24" s="1483">
        <f t="shared" ca="1" si="6"/>
        <v>15488.532894524596</v>
      </c>
      <c r="I24" s="330">
        <f ca="1">VLOOKUP($A24,Plant_Table,'Plant Operations'!$C$270)</f>
        <v>480</v>
      </c>
      <c r="J24" s="1481">
        <f t="shared" ca="1" si="7"/>
        <v>7434.4957893718065</v>
      </c>
      <c r="K24" s="1480">
        <f t="shared" ca="1" si="8"/>
        <v>2.0241904986884602</v>
      </c>
      <c r="L24" s="384">
        <f t="shared" ca="1" si="9"/>
        <v>3672.8241705456385</v>
      </c>
      <c r="M24" s="692" t="str">
        <f t="shared" ca="1" si="0"/>
        <v xml:space="preserve"> </v>
      </c>
      <c r="O24" s="1482">
        <f ca="1">IF($A24&gt;Endyr,0,VLOOKUP($A24,Tariff_Table,Tariff!$H$33))</f>
        <v>6126.75</v>
      </c>
      <c r="P24" s="1480">
        <f t="shared" ca="1" si="10"/>
        <v>1.0789341850867615</v>
      </c>
      <c r="Q24" s="1481">
        <f t="shared" ca="1" si="11"/>
        <v>6610.3600184803163</v>
      </c>
      <c r="R24" s="1480">
        <f t="shared" ca="1" si="12"/>
        <v>2.0241904986884602</v>
      </c>
      <c r="S24" s="113">
        <f t="shared" ca="1" si="13"/>
        <v>1.0649999999999999</v>
      </c>
      <c r="T24" s="1481">
        <f t="shared" ca="1" si="14"/>
        <v>12563.969898890076</v>
      </c>
      <c r="U24" s="330">
        <f t="shared" ca="1" si="15"/>
        <v>480</v>
      </c>
      <c r="V24" s="1481">
        <f t="shared" ca="1" si="16"/>
        <v>6030.7055514672375</v>
      </c>
      <c r="W24" s="1480">
        <f t="shared" ca="1" si="17"/>
        <v>2.0241904986884602</v>
      </c>
      <c r="X24" s="384">
        <f t="shared" ca="1" si="18"/>
        <v>2979.3171914277486</v>
      </c>
      <c r="Y24" s="692" t="str">
        <f t="shared" ca="1" si="1"/>
        <v xml:space="preserve"> </v>
      </c>
      <c r="AA24" s="1484">
        <f ca="1">IF($A24&gt;Endyr,0,VLOOKUP($A24,Tariff_Table,Tariff!$I$33))</f>
        <v>2.36</v>
      </c>
      <c r="AB24" s="1480">
        <f t="shared" ca="1" si="2"/>
        <v>1.0789341850867615</v>
      </c>
      <c r="AC24" s="1483">
        <f t="shared" ca="1" si="19"/>
        <v>2.5462846768047571</v>
      </c>
      <c r="AD24" s="1480">
        <f t="shared" ca="1" si="20"/>
        <v>2.0241904986884602</v>
      </c>
      <c r="AE24" s="113">
        <f t="shared" ca="1" si="21"/>
        <v>1.0649999999999999</v>
      </c>
      <c r="AF24" s="1483">
        <f t="shared" ca="1" si="22"/>
        <v>4.8395917837973776</v>
      </c>
      <c r="AG24" s="334">
        <f ca="1">VLOOKUP($A24,Plant_Table,'Plant Operations'!$M$270)</f>
        <v>298980.864</v>
      </c>
      <c r="AH24" s="1481">
        <f t="shared" ca="1" si="23"/>
        <v>1446.9453329270411</v>
      </c>
      <c r="AI24" s="1480">
        <f t="shared" ca="1" si="24"/>
        <v>2.0241904986884602</v>
      </c>
      <c r="AJ24" s="335">
        <f t="shared" ca="1" si="25"/>
        <v>714.82665977563113</v>
      </c>
      <c r="AK24" s="698" t="str">
        <f t="shared" ca="1" si="3"/>
        <v xml:space="preserve"> </v>
      </c>
      <c r="AM24" s="697">
        <f ca="1">IF($A24&gt;Endyr,0,VLOOKUP($A24,Tariff_Table,Tariff!$L$33))</f>
        <v>1.21</v>
      </c>
      <c r="AN24" s="1504">
        <f ca="1">VLOOKUP($A24,Curves_Table,Escalation!$Z$291)</f>
        <v>1.0952429010137783</v>
      </c>
      <c r="AO24" s="331">
        <f t="shared" ca="1" si="26"/>
        <v>1.3252439102266718</v>
      </c>
      <c r="AP24" s="331">
        <f ca="1">IF($A24&gt;Endyr,0,VLOOKUP($A24,Tariff_Table,Tariff!$M$33))</f>
        <v>0.25</v>
      </c>
      <c r="AQ24" s="331">
        <f t="shared" ca="1" si="27"/>
        <v>1.5752439102266718</v>
      </c>
      <c r="AR24" s="331">
        <f t="shared" ca="1" si="28"/>
        <v>1.46</v>
      </c>
      <c r="AS24" s="1508">
        <f t="shared" ca="1" si="29"/>
        <v>1.0789341850867615</v>
      </c>
    </row>
    <row r="25" spans="1:45">
      <c r="A25" s="672">
        <f t="shared" si="4"/>
        <v>37347</v>
      </c>
      <c r="C25" s="1484">
        <f ca="1">IF($A25&gt;Endyr,0,VLOOKUP($A25,Tariff_Table,Tariff!$G$33))</f>
        <v>7427.29</v>
      </c>
      <c r="D25" s="1480">
        <f ca="1">VLOOKUP($A25,Curves_Table,Escalation!$V$291)</f>
        <v>1.097180617479341</v>
      </c>
      <c r="E25" s="1483">
        <f t="shared" ca="1" si="5"/>
        <v>8149.0786283981352</v>
      </c>
      <c r="F25" s="1480">
        <f ca="1">IF(Assm!$L$74=0,VLOOKUP($A25,Curves_Table,Escalation!$D$291),VLOOKUP($A25,Curves_Table,Escalation!$E$291))</f>
        <v>2.0351305230600838</v>
      </c>
      <c r="G25" s="113">
        <f ca="1">IF($A25&lt;EE_Date,VLOOKUP($A25,Curves_Table,Escalation!$D$291),Exch)</f>
        <v>1.0649999999999999</v>
      </c>
      <c r="H25" s="1483">
        <f t="shared" ca="1" si="6"/>
        <v>15572.242865229715</v>
      </c>
      <c r="I25" s="330">
        <f ca="1">VLOOKUP($A25,Plant_Table,'Plant Operations'!$C$270)</f>
        <v>480</v>
      </c>
      <c r="J25" s="1481">
        <f t="shared" ca="1" si="7"/>
        <v>7474.6765753102627</v>
      </c>
      <c r="K25" s="1480">
        <f t="shared" ca="1" si="8"/>
        <v>2.0351305230600838</v>
      </c>
      <c r="L25" s="384">
        <f t="shared" ca="1" si="9"/>
        <v>3672.824170545638</v>
      </c>
      <c r="M25" s="692" t="str">
        <f t="shared" ca="1" si="0"/>
        <v xml:space="preserve"> </v>
      </c>
      <c r="O25" s="1482">
        <f ca="1">IF($A25&gt;Endyr,0,VLOOKUP($A25,Tariff_Table,Tariff!$H$33))</f>
        <v>6126.75</v>
      </c>
      <c r="P25" s="1480">
        <f t="shared" ca="1" si="10"/>
        <v>1.0789341850867615</v>
      </c>
      <c r="Q25" s="1481">
        <f t="shared" ca="1" si="11"/>
        <v>6610.3600184803163</v>
      </c>
      <c r="R25" s="1480">
        <f t="shared" ca="1" si="12"/>
        <v>2.0351305230600838</v>
      </c>
      <c r="S25" s="113">
        <f t="shared" ca="1" si="13"/>
        <v>1.0649999999999999</v>
      </c>
      <c r="T25" s="1481">
        <f t="shared" ca="1" si="14"/>
        <v>12631.873654483861</v>
      </c>
      <c r="U25" s="330">
        <f t="shared" ca="1" si="15"/>
        <v>480</v>
      </c>
      <c r="V25" s="1481">
        <f t="shared" ca="1" si="16"/>
        <v>6063.2993541522528</v>
      </c>
      <c r="W25" s="1480">
        <f t="shared" ca="1" si="17"/>
        <v>2.0351305230600838</v>
      </c>
      <c r="X25" s="384">
        <f t="shared" ca="1" si="18"/>
        <v>2979.3171914277482</v>
      </c>
      <c r="Y25" s="692" t="str">
        <f t="shared" ca="1" si="1"/>
        <v xml:space="preserve"> </v>
      </c>
      <c r="AA25" s="1484">
        <f ca="1">IF($A25&gt;Endyr,0,VLOOKUP($A25,Tariff_Table,Tariff!$I$33))</f>
        <v>2.36</v>
      </c>
      <c r="AB25" s="1480">
        <f t="shared" ca="1" si="2"/>
        <v>1.0789341850867615</v>
      </c>
      <c r="AC25" s="1483">
        <f t="shared" ca="1" si="19"/>
        <v>2.5462846768047571</v>
      </c>
      <c r="AD25" s="1480">
        <f t="shared" ca="1" si="20"/>
        <v>2.0351305230600838</v>
      </c>
      <c r="AE25" s="113">
        <f t="shared" ca="1" si="21"/>
        <v>1.0649999999999999</v>
      </c>
      <c r="AF25" s="1483">
        <f t="shared" ca="1" si="22"/>
        <v>4.865748043347927</v>
      </c>
      <c r="AG25" s="334">
        <f ca="1">VLOOKUP($A25,Plant_Table,'Plant Operations'!$M$270)</f>
        <v>289336.32000000001</v>
      </c>
      <c r="AH25" s="1481">
        <f t="shared" ca="1" si="23"/>
        <v>1407.8376329094897</v>
      </c>
      <c r="AI25" s="1480">
        <f t="shared" ca="1" si="24"/>
        <v>2.0351305230600838</v>
      </c>
      <c r="AJ25" s="335">
        <f t="shared" ca="1" si="25"/>
        <v>691.76773526673981</v>
      </c>
      <c r="AK25" s="698" t="str">
        <f t="shared" ca="1" si="3"/>
        <v xml:space="preserve"> </v>
      </c>
      <c r="AM25" s="697">
        <f ca="1">IF($A25&gt;Endyr,0,VLOOKUP($A25,Tariff_Table,Tariff!$L$33))</f>
        <v>1.21</v>
      </c>
      <c r="AN25" s="1504">
        <f ca="1">VLOOKUP($A25,Curves_Table,Escalation!$Z$291)</f>
        <v>1.0952429010137783</v>
      </c>
      <c r="AO25" s="331">
        <f t="shared" ca="1" si="26"/>
        <v>1.3252439102266718</v>
      </c>
      <c r="AP25" s="331">
        <f ca="1">IF($A25&gt;Endyr,0,VLOOKUP($A25,Tariff_Table,Tariff!$M$33))</f>
        <v>0.25</v>
      </c>
      <c r="AQ25" s="331">
        <f t="shared" ca="1" si="27"/>
        <v>1.5752439102266718</v>
      </c>
      <c r="AR25" s="331">
        <f t="shared" ca="1" si="28"/>
        <v>1.46</v>
      </c>
      <c r="AS25" s="1508">
        <f t="shared" ca="1" si="29"/>
        <v>1.0789341850867615</v>
      </c>
    </row>
    <row r="26" spans="1:45">
      <c r="A26" s="672">
        <f t="shared" si="4"/>
        <v>37377</v>
      </c>
      <c r="C26" s="1484">
        <f ca="1">IF($A26&gt;Endyr,0,VLOOKUP($A26,Tariff_Table,Tariff!$G$33))</f>
        <v>7420.08</v>
      </c>
      <c r="D26" s="1480">
        <f ca="1">VLOOKUP($A26,Curves_Table,Escalation!$V$291)</f>
        <v>1.1321906668383659</v>
      </c>
      <c r="E26" s="1483">
        <f t="shared" ca="1" si="5"/>
        <v>8400.9453231940224</v>
      </c>
      <c r="F26" s="1480">
        <f ca="1">IF(Assm!$L$74=0,VLOOKUP($A26,Curves_Table,Escalation!$D$291),VLOOKUP($A26,Curves_Table,Escalation!$E$291))</f>
        <v>2.0461296743435908</v>
      </c>
      <c r="G26" s="113">
        <f ca="1">IF($A26&lt;EE_Date,VLOOKUP($A26,Curves_Table,Escalation!$D$291),Exch)</f>
        <v>1.0649999999999999</v>
      </c>
      <c r="H26" s="1483">
        <f t="shared" ca="1" si="6"/>
        <v>16140.303773075397</v>
      </c>
      <c r="I26" s="330">
        <f ca="1">VLOOKUP($A26,Plant_Table,'Plant Operations'!$C$270)</f>
        <v>480</v>
      </c>
      <c r="J26" s="1481">
        <f t="shared" ca="1" si="7"/>
        <v>7747.3458110761903</v>
      </c>
      <c r="K26" s="1480">
        <f t="shared" ca="1" si="8"/>
        <v>2.0461296743435908</v>
      </c>
      <c r="L26" s="384">
        <f t="shared" ca="1" si="9"/>
        <v>3786.3415541156155</v>
      </c>
      <c r="M26" s="692" t="str">
        <f t="shared" ca="1" si="0"/>
        <v xml:space="preserve"> </v>
      </c>
      <c r="O26" s="1482">
        <f ca="1">IF($A26&gt;Endyr,0,VLOOKUP($A26,Tariff_Table,Tariff!$H$33))</f>
        <v>6103.17</v>
      </c>
      <c r="P26" s="1480">
        <f t="shared" ca="1" si="10"/>
        <v>1.1056288663797156</v>
      </c>
      <c r="Q26" s="1481">
        <f t="shared" ca="1" si="11"/>
        <v>6747.8409284226891</v>
      </c>
      <c r="R26" s="1480">
        <f t="shared" ca="1" si="12"/>
        <v>2.0461296743435908</v>
      </c>
      <c r="S26" s="113">
        <f t="shared" ca="1" si="13"/>
        <v>1.0649999999999999</v>
      </c>
      <c r="T26" s="1481">
        <f t="shared" ca="1" si="14"/>
        <v>12964.27940037171</v>
      </c>
      <c r="U26" s="330">
        <f t="shared" ca="1" si="15"/>
        <v>480</v>
      </c>
      <c r="V26" s="1481">
        <f t="shared" ca="1" si="16"/>
        <v>6222.854112178421</v>
      </c>
      <c r="W26" s="1480">
        <f t="shared" ca="1" si="17"/>
        <v>2.0461296743435908</v>
      </c>
      <c r="X26" s="384">
        <f t="shared" ca="1" si="18"/>
        <v>3041.2804184440292</v>
      </c>
      <c r="Y26" s="692" t="str">
        <f t="shared" ca="1" si="1"/>
        <v xml:space="preserve"> </v>
      </c>
      <c r="AA26" s="1484">
        <f ca="1">IF($A26&gt;Endyr,0,VLOOKUP($A26,Tariff_Table,Tariff!$I$33))</f>
        <v>2.2999999999999998</v>
      </c>
      <c r="AB26" s="1480">
        <f t="shared" ca="1" si="2"/>
        <v>1.1056288663797156</v>
      </c>
      <c r="AC26" s="1483">
        <f t="shared" ca="1" si="19"/>
        <v>2.5429463926733455</v>
      </c>
      <c r="AD26" s="1480">
        <f t="shared" ca="1" si="20"/>
        <v>2.0461296743435908</v>
      </c>
      <c r="AE26" s="113">
        <f t="shared" ca="1" si="21"/>
        <v>1.0649999999999999</v>
      </c>
      <c r="AF26" s="1483">
        <f t="shared" ca="1" si="22"/>
        <v>4.8856319946609599</v>
      </c>
      <c r="AG26" s="334">
        <f ca="1">VLOOKUP($A26,Plant_Table,'Plant Operations'!$M$270)</f>
        <v>298980.864</v>
      </c>
      <c r="AH26" s="1481">
        <f t="shared" ca="1" si="23"/>
        <v>1460.7104749497771</v>
      </c>
      <c r="AI26" s="1480">
        <f t="shared" ca="1" si="24"/>
        <v>2.0461296743435908</v>
      </c>
      <c r="AJ26" s="335">
        <f t="shared" ca="1" si="25"/>
        <v>713.88949257010347</v>
      </c>
      <c r="AK26" s="698" t="str">
        <f t="shared" ca="1" si="3"/>
        <v xml:space="preserve"> </v>
      </c>
      <c r="AM26" s="697">
        <f ca="1">IF($A26&gt;Endyr,0,VLOOKUP($A26,Tariff_Table,Tariff!$L$33))</f>
        <v>1.21</v>
      </c>
      <c r="AN26" s="1504">
        <f ca="1">VLOOKUP($A26,Curves_Table,Escalation!$Z$291)</f>
        <v>1.1274530123259379</v>
      </c>
      <c r="AO26" s="331">
        <f t="shared" ca="1" si="26"/>
        <v>1.3642181449143849</v>
      </c>
      <c r="AP26" s="331">
        <f ca="1">IF($A26&gt;Endyr,0,VLOOKUP($A26,Tariff_Table,Tariff!$M$33))</f>
        <v>0.25</v>
      </c>
      <c r="AQ26" s="331">
        <f t="shared" ca="1" si="27"/>
        <v>1.6142181449143849</v>
      </c>
      <c r="AR26" s="331">
        <f t="shared" ca="1" si="28"/>
        <v>1.46</v>
      </c>
      <c r="AS26" s="1508">
        <f t="shared" ca="1" si="29"/>
        <v>1.1056288663797156</v>
      </c>
    </row>
    <row r="27" spans="1:45">
      <c r="A27" s="672">
        <f t="shared" si="4"/>
        <v>37408</v>
      </c>
      <c r="C27" s="1484">
        <f ca="1">IF($A27&gt;Endyr,0,VLOOKUP($A27,Tariff_Table,Tariff!$G$33))</f>
        <v>7420.08</v>
      </c>
      <c r="D27" s="1480">
        <f ca="1">VLOOKUP($A27,Curves_Table,Escalation!$V$291)</f>
        <v>1.1321906668383659</v>
      </c>
      <c r="E27" s="1483">
        <f t="shared" ca="1" si="5"/>
        <v>8400.9453231940224</v>
      </c>
      <c r="F27" s="1480">
        <f ca="1">IF(Assm!$L$74=0,VLOOKUP($A27,Curves_Table,Escalation!$D$291),VLOOKUP($A27,Curves_Table,Escalation!$E$291))</f>
        <v>2.0571882720987551</v>
      </c>
      <c r="G27" s="113">
        <f ca="1">IF($A27&lt;EE_Date,VLOOKUP($A27,Curves_Table,Escalation!$D$291),Exch)</f>
        <v>1.0649999999999999</v>
      </c>
      <c r="H27" s="1483">
        <f t="shared" ca="1" si="6"/>
        <v>16227.536331847541</v>
      </c>
      <c r="I27" s="330">
        <f ca="1">VLOOKUP($A27,Plant_Table,'Plant Operations'!$C$270)</f>
        <v>480</v>
      </c>
      <c r="J27" s="1481">
        <f t="shared" ca="1" si="7"/>
        <v>7789.2174392868201</v>
      </c>
      <c r="K27" s="1480">
        <f t="shared" ca="1" si="8"/>
        <v>2.0571882720987551</v>
      </c>
      <c r="L27" s="384">
        <f t="shared" ca="1" si="9"/>
        <v>3786.3415541156164</v>
      </c>
      <c r="M27" s="692" t="str">
        <f t="shared" ca="1" si="0"/>
        <v xml:space="preserve"> </v>
      </c>
      <c r="O27" s="1482">
        <f ca="1">IF($A27&gt;Endyr,0,VLOOKUP($A27,Tariff_Table,Tariff!$H$33))</f>
        <v>6103.17</v>
      </c>
      <c r="P27" s="1480">
        <f t="shared" ca="1" si="10"/>
        <v>1.1056288663797156</v>
      </c>
      <c r="Q27" s="1481">
        <f t="shared" ca="1" si="11"/>
        <v>6747.8409284226891</v>
      </c>
      <c r="R27" s="1480">
        <f t="shared" ca="1" si="12"/>
        <v>2.0571882720987551</v>
      </c>
      <c r="S27" s="113">
        <f t="shared" ca="1" si="13"/>
        <v>1.0649999999999999</v>
      </c>
      <c r="T27" s="1481">
        <f t="shared" ca="1" si="14"/>
        <v>13034.346685388857</v>
      </c>
      <c r="U27" s="330">
        <f t="shared" ca="1" si="15"/>
        <v>480</v>
      </c>
      <c r="V27" s="1481">
        <f t="shared" ca="1" si="16"/>
        <v>6256.4864089866514</v>
      </c>
      <c r="W27" s="1480">
        <f t="shared" ca="1" si="17"/>
        <v>2.0571882720987551</v>
      </c>
      <c r="X27" s="384">
        <f t="shared" ca="1" si="18"/>
        <v>3041.2804184440292</v>
      </c>
      <c r="Y27" s="692" t="str">
        <f t="shared" ca="1" si="1"/>
        <v xml:space="preserve"> </v>
      </c>
      <c r="AA27" s="1484">
        <f ca="1">IF($A27&gt;Endyr,0,VLOOKUP($A27,Tariff_Table,Tariff!$I$33))</f>
        <v>2.2999999999999998</v>
      </c>
      <c r="AB27" s="1480">
        <f t="shared" ca="1" si="2"/>
        <v>1.1056288663797156</v>
      </c>
      <c r="AC27" s="1483">
        <f t="shared" ca="1" si="19"/>
        <v>2.5429463926733455</v>
      </c>
      <c r="AD27" s="1480">
        <f t="shared" ca="1" si="20"/>
        <v>2.0571882720987551</v>
      </c>
      <c r="AE27" s="113">
        <f t="shared" ca="1" si="21"/>
        <v>1.0649999999999999</v>
      </c>
      <c r="AF27" s="1483">
        <f t="shared" ca="1" si="22"/>
        <v>4.9120370850548749</v>
      </c>
      <c r="AG27" s="334">
        <f ca="1">VLOOKUP($A27,Plant_Table,'Plant Operations'!$M$270)</f>
        <v>289336.32000000001</v>
      </c>
      <c r="AH27" s="1481">
        <f t="shared" ca="1" si="23"/>
        <v>1421.2307338933047</v>
      </c>
      <c r="AI27" s="1480">
        <f t="shared" ca="1" si="24"/>
        <v>2.0571882720987551</v>
      </c>
      <c r="AJ27" s="335">
        <f t="shared" ca="1" si="25"/>
        <v>690.86079926139041</v>
      </c>
      <c r="AK27" s="698" t="str">
        <f t="shared" ca="1" si="3"/>
        <v xml:space="preserve"> </v>
      </c>
      <c r="AM27" s="697">
        <f ca="1">IF($A27&gt;Endyr,0,VLOOKUP($A27,Tariff_Table,Tariff!$L$33))</f>
        <v>1.21</v>
      </c>
      <c r="AN27" s="1504">
        <f ca="1">VLOOKUP($A27,Curves_Table,Escalation!$Z$291)</f>
        <v>1.1274530123259379</v>
      </c>
      <c r="AO27" s="331">
        <f t="shared" ca="1" si="26"/>
        <v>1.3642181449143849</v>
      </c>
      <c r="AP27" s="331">
        <f ca="1">IF($A27&gt;Endyr,0,VLOOKUP($A27,Tariff_Table,Tariff!$M$33))</f>
        <v>0.25</v>
      </c>
      <c r="AQ27" s="331">
        <f t="shared" ca="1" si="27"/>
        <v>1.6142181449143849</v>
      </c>
      <c r="AR27" s="331">
        <f t="shared" ca="1" si="28"/>
        <v>1.46</v>
      </c>
      <c r="AS27" s="1508">
        <f t="shared" ca="1" si="29"/>
        <v>1.1056288663797156</v>
      </c>
    </row>
    <row r="28" spans="1:45">
      <c r="A28" s="672">
        <f t="shared" si="4"/>
        <v>37438</v>
      </c>
      <c r="C28" s="1484">
        <f ca="1">IF($A28&gt;Endyr,0,VLOOKUP($A28,Tariff_Table,Tariff!$G$33))</f>
        <v>7420.08</v>
      </c>
      <c r="D28" s="1480">
        <f ca="1">VLOOKUP($A28,Curves_Table,Escalation!$V$291)</f>
        <v>1.1321906668383659</v>
      </c>
      <c r="E28" s="1483">
        <f t="shared" ca="1" si="5"/>
        <v>8400.9453231940224</v>
      </c>
      <c r="F28" s="1480">
        <f ca="1">IF(Assm!$L$74=0,VLOOKUP($A28,Curves_Table,Escalation!$D$291),VLOOKUP($A28,Curves_Table,Escalation!$E$291))</f>
        <v>2.0683066376124559</v>
      </c>
      <c r="G28" s="113">
        <f ca="1">IF($A28&lt;EE_Date,VLOOKUP($A28,Curves_Table,Escalation!$D$291),Exch)</f>
        <v>1.0649999999999999</v>
      </c>
      <c r="H28" s="1483">
        <f t="shared" ca="1" si="6"/>
        <v>16315.240351344146</v>
      </c>
      <c r="I28" s="330">
        <f ca="1">VLOOKUP($A28,Plant_Table,'Plant Operations'!$C$270)</f>
        <v>480</v>
      </c>
      <c r="J28" s="1481">
        <f t="shared" ca="1" si="7"/>
        <v>7831.3153686451906</v>
      </c>
      <c r="K28" s="1480">
        <f t="shared" ca="1" si="8"/>
        <v>2.0683066376124559</v>
      </c>
      <c r="L28" s="384">
        <f t="shared" ca="1" si="9"/>
        <v>3786.341554115616</v>
      </c>
      <c r="M28" s="692" t="str">
        <f t="shared" ca="1" si="0"/>
        <v xml:space="preserve"> </v>
      </c>
      <c r="O28" s="1482">
        <f ca="1">IF($A28&gt;Endyr,0,VLOOKUP($A28,Tariff_Table,Tariff!$H$33))</f>
        <v>6103.17</v>
      </c>
      <c r="P28" s="1480">
        <f t="shared" ca="1" si="10"/>
        <v>1.1056288663797156</v>
      </c>
      <c r="Q28" s="1481">
        <f t="shared" ca="1" si="11"/>
        <v>6747.8409284226891</v>
      </c>
      <c r="R28" s="1480">
        <f t="shared" ca="1" si="12"/>
        <v>2.0683066376124559</v>
      </c>
      <c r="S28" s="113">
        <f t="shared" ca="1" si="13"/>
        <v>1.0649999999999999</v>
      </c>
      <c r="T28" s="1481">
        <f t="shared" ca="1" si="14"/>
        <v>13104.792658976194</v>
      </c>
      <c r="U28" s="330">
        <f t="shared" ca="1" si="15"/>
        <v>480</v>
      </c>
      <c r="V28" s="1481">
        <f t="shared" ca="1" si="16"/>
        <v>6290.3004763085728</v>
      </c>
      <c r="W28" s="1480">
        <f t="shared" ca="1" si="17"/>
        <v>2.0683066376124559</v>
      </c>
      <c r="X28" s="384">
        <f t="shared" ca="1" si="18"/>
        <v>3041.2804184440292</v>
      </c>
      <c r="Y28" s="692" t="str">
        <f t="shared" ca="1" si="1"/>
        <v xml:space="preserve"> </v>
      </c>
      <c r="AA28" s="1484">
        <f ca="1">IF($A28&gt;Endyr,0,VLOOKUP($A28,Tariff_Table,Tariff!$I$33))</f>
        <v>2.2999999999999998</v>
      </c>
      <c r="AB28" s="1480">
        <f t="shared" ca="1" si="2"/>
        <v>1.1056288663797156</v>
      </c>
      <c r="AC28" s="1483">
        <f t="shared" ca="1" si="19"/>
        <v>2.5429463926733455</v>
      </c>
      <c r="AD28" s="1480">
        <f t="shared" ca="1" si="20"/>
        <v>2.0683066376124559</v>
      </c>
      <c r="AE28" s="113">
        <f t="shared" ca="1" si="21"/>
        <v>1.0649999999999999</v>
      </c>
      <c r="AF28" s="1483">
        <f t="shared" ca="1" si="22"/>
        <v>4.9385848855013439</v>
      </c>
      <c r="AG28" s="334">
        <f ca="1">VLOOKUP($A28,Plant_Table,'Plant Operations'!$M$270)</f>
        <v>298980.864</v>
      </c>
      <c r="AH28" s="1481">
        <f t="shared" ca="1" si="23"/>
        <v>1476.5423760045328</v>
      </c>
      <c r="AI28" s="1480">
        <f t="shared" ca="1" si="24"/>
        <v>2.0683066376124559</v>
      </c>
      <c r="AJ28" s="335">
        <f t="shared" ca="1" si="25"/>
        <v>713.88949257010336</v>
      </c>
      <c r="AK28" s="698" t="str">
        <f t="shared" ca="1" si="3"/>
        <v xml:space="preserve"> </v>
      </c>
      <c r="AM28" s="697">
        <f ca="1">IF($A28&gt;Endyr,0,VLOOKUP($A28,Tariff_Table,Tariff!$L$33))</f>
        <v>1.21</v>
      </c>
      <c r="AN28" s="1504">
        <f ca="1">VLOOKUP($A28,Curves_Table,Escalation!$Z$291)</f>
        <v>1.1274530123259379</v>
      </c>
      <c r="AO28" s="331">
        <f t="shared" ca="1" si="26"/>
        <v>1.3642181449143849</v>
      </c>
      <c r="AP28" s="331">
        <f ca="1">IF($A28&gt;Endyr,0,VLOOKUP($A28,Tariff_Table,Tariff!$M$33))</f>
        <v>0.25</v>
      </c>
      <c r="AQ28" s="331">
        <f t="shared" ca="1" si="27"/>
        <v>1.6142181449143849</v>
      </c>
      <c r="AR28" s="331">
        <f t="shared" ca="1" si="28"/>
        <v>1.46</v>
      </c>
      <c r="AS28" s="1508">
        <f t="shared" ca="1" si="29"/>
        <v>1.1056288663797156</v>
      </c>
    </row>
    <row r="29" spans="1:45">
      <c r="A29" s="672">
        <f t="shared" si="4"/>
        <v>37469</v>
      </c>
      <c r="C29" s="1484">
        <f ca="1">IF($A29&gt;Endyr,0,VLOOKUP($A29,Tariff_Table,Tariff!$G$33))</f>
        <v>7420.08</v>
      </c>
      <c r="D29" s="1480">
        <f ca="1">VLOOKUP($A29,Curves_Table,Escalation!$V$291)</f>
        <v>1.1321906668383659</v>
      </c>
      <c r="E29" s="1483">
        <f t="shared" ca="1" si="5"/>
        <v>8400.9453231940224</v>
      </c>
      <c r="F29" s="1480">
        <f ca="1">IF(Assm!$L$74=0,VLOOKUP($A29,Curves_Table,Escalation!$D$291),VLOOKUP($A29,Curves_Table,Escalation!$E$291))</f>
        <v>2.0794850939080129</v>
      </c>
      <c r="G29" s="113">
        <f ca="1">IF($A29&lt;EE_Date,VLOOKUP($A29,Curves_Table,Escalation!$D$291),Exch)</f>
        <v>1.0649999999999999</v>
      </c>
      <c r="H29" s="1483">
        <f t="shared" ca="1" si="6"/>
        <v>16403.418379641505</v>
      </c>
      <c r="I29" s="330">
        <f ca="1">VLOOKUP($A29,Plant_Table,'Plant Operations'!$C$270)</f>
        <v>480</v>
      </c>
      <c r="J29" s="1481">
        <f t="shared" ca="1" si="7"/>
        <v>7873.6408222279224</v>
      </c>
      <c r="K29" s="1480">
        <f t="shared" ca="1" si="8"/>
        <v>2.0794850939080129</v>
      </c>
      <c r="L29" s="384">
        <f t="shared" ca="1" si="9"/>
        <v>3786.3415541156155</v>
      </c>
      <c r="M29" s="692" t="str">
        <f t="shared" ca="1" si="0"/>
        <v xml:space="preserve"> </v>
      </c>
      <c r="O29" s="1482">
        <f ca="1">IF($A29&gt;Endyr,0,VLOOKUP($A29,Tariff_Table,Tariff!$H$33))</f>
        <v>6103.17</v>
      </c>
      <c r="P29" s="1480">
        <f t="shared" ca="1" si="10"/>
        <v>1.1056288663797156</v>
      </c>
      <c r="Q29" s="1481">
        <f t="shared" ca="1" si="11"/>
        <v>6747.8409284226891</v>
      </c>
      <c r="R29" s="1480">
        <f t="shared" ca="1" si="12"/>
        <v>2.0794850939080129</v>
      </c>
      <c r="S29" s="113">
        <f t="shared" ca="1" si="13"/>
        <v>1.0649999999999999</v>
      </c>
      <c r="T29" s="1481">
        <f t="shared" ca="1" si="14"/>
        <v>13175.619367809755</v>
      </c>
      <c r="U29" s="330">
        <f t="shared" ca="1" si="15"/>
        <v>480</v>
      </c>
      <c r="V29" s="1481">
        <f t="shared" ca="1" si="16"/>
        <v>6324.2972965486824</v>
      </c>
      <c r="W29" s="1480">
        <f t="shared" ca="1" si="17"/>
        <v>2.0794850939080129</v>
      </c>
      <c r="X29" s="384">
        <f t="shared" ca="1" si="18"/>
        <v>3041.2804184440288</v>
      </c>
      <c r="Y29" s="692" t="str">
        <f t="shared" ca="1" si="1"/>
        <v xml:space="preserve"> </v>
      </c>
      <c r="AA29" s="1484">
        <f ca="1">IF($A29&gt;Endyr,0,VLOOKUP($A29,Tariff_Table,Tariff!$I$33))</f>
        <v>2.2999999999999998</v>
      </c>
      <c r="AB29" s="1480">
        <f t="shared" ca="1" si="2"/>
        <v>1.1056288663797156</v>
      </c>
      <c r="AC29" s="1483">
        <f t="shared" ca="1" si="19"/>
        <v>2.5429463926733455</v>
      </c>
      <c r="AD29" s="1480">
        <f t="shared" ca="1" si="20"/>
        <v>2.0794850939080129</v>
      </c>
      <c r="AE29" s="113">
        <f t="shared" ca="1" si="21"/>
        <v>1.0649999999999999</v>
      </c>
      <c r="AF29" s="1483">
        <f t="shared" ca="1" si="22"/>
        <v>4.9652761672970662</v>
      </c>
      <c r="AG29" s="334">
        <f ca="1">VLOOKUP($A29,Plant_Table,'Plant Operations'!$M$270)</f>
        <v>298980.864</v>
      </c>
      <c r="AH29" s="1481">
        <f t="shared" ca="1" si="23"/>
        <v>1484.5225584970854</v>
      </c>
      <c r="AI29" s="1480">
        <f t="shared" ca="1" si="24"/>
        <v>2.0794850939080129</v>
      </c>
      <c r="AJ29" s="335">
        <f t="shared" ca="1" si="25"/>
        <v>713.88949257010347</v>
      </c>
      <c r="AK29" s="698" t="str">
        <f t="shared" ca="1" si="3"/>
        <v xml:space="preserve"> </v>
      </c>
      <c r="AM29" s="697">
        <f ca="1">IF($A29&gt;Endyr,0,VLOOKUP($A29,Tariff_Table,Tariff!$L$33))</f>
        <v>1.21</v>
      </c>
      <c r="AN29" s="1504">
        <f ca="1">VLOOKUP($A29,Curves_Table,Escalation!$Z$291)</f>
        <v>1.1274530123259379</v>
      </c>
      <c r="AO29" s="331">
        <f t="shared" ca="1" si="26"/>
        <v>1.3642181449143849</v>
      </c>
      <c r="AP29" s="331">
        <f ca="1">IF($A29&gt;Endyr,0,VLOOKUP($A29,Tariff_Table,Tariff!$M$33))</f>
        <v>0.25</v>
      </c>
      <c r="AQ29" s="331">
        <f t="shared" ca="1" si="27"/>
        <v>1.6142181449143849</v>
      </c>
      <c r="AR29" s="331">
        <f t="shared" ca="1" si="28"/>
        <v>1.46</v>
      </c>
      <c r="AS29" s="1508">
        <f t="shared" ca="1" si="29"/>
        <v>1.1056288663797156</v>
      </c>
    </row>
    <row r="30" spans="1:45">
      <c r="A30" s="672">
        <f t="shared" si="4"/>
        <v>37500</v>
      </c>
      <c r="C30" s="1484">
        <f ca="1">IF($A30&gt;Endyr,0,VLOOKUP($A30,Tariff_Table,Tariff!$G$33))</f>
        <v>7420.08</v>
      </c>
      <c r="D30" s="1480">
        <f ca="1">VLOOKUP($A30,Curves_Table,Escalation!$V$291)</f>
        <v>1.1321906668383659</v>
      </c>
      <c r="E30" s="1483">
        <f t="shared" ca="1" si="5"/>
        <v>8400.9453231940224</v>
      </c>
      <c r="F30" s="1480">
        <f ca="1">IF(Assm!$L$74=0,VLOOKUP($A30,Curves_Table,Escalation!$D$291),VLOOKUP($A30,Curves_Table,Escalation!$E$291))</f>
        <v>2.0907239657545715</v>
      </c>
      <c r="G30" s="113">
        <f ca="1">IF($A30&lt;EE_Date,VLOOKUP($A30,Curves_Table,Escalation!$D$291),Exch)</f>
        <v>1.0649999999999999</v>
      </c>
      <c r="H30" s="1483">
        <f t="shared" ca="1" si="6"/>
        <v>16492.072978587352</v>
      </c>
      <c r="I30" s="330">
        <f ca="1">VLOOKUP($A30,Plant_Table,'Plant Operations'!$C$270)</f>
        <v>480</v>
      </c>
      <c r="J30" s="1481">
        <f t="shared" ca="1" si="7"/>
        <v>7916.1950297219291</v>
      </c>
      <c r="K30" s="1480">
        <f t="shared" ca="1" si="8"/>
        <v>2.0907239657545715</v>
      </c>
      <c r="L30" s="384">
        <f t="shared" ca="1" si="9"/>
        <v>3786.3415541156164</v>
      </c>
      <c r="M30" s="692" t="str">
        <f t="shared" ca="1" si="0"/>
        <v xml:space="preserve"> </v>
      </c>
      <c r="O30" s="1482">
        <f ca="1">IF($A30&gt;Endyr,0,VLOOKUP($A30,Tariff_Table,Tariff!$H$33))</f>
        <v>6103.17</v>
      </c>
      <c r="P30" s="1480">
        <f t="shared" ca="1" si="10"/>
        <v>1.1056288663797156</v>
      </c>
      <c r="Q30" s="1481">
        <f t="shared" ca="1" si="11"/>
        <v>6747.8409284226891</v>
      </c>
      <c r="R30" s="1480">
        <f t="shared" ca="1" si="12"/>
        <v>2.0907239657545715</v>
      </c>
      <c r="S30" s="113">
        <f t="shared" ca="1" si="13"/>
        <v>1.0649999999999999</v>
      </c>
      <c r="T30" s="1481">
        <f t="shared" ca="1" si="14"/>
        <v>13246.828869627132</v>
      </c>
      <c r="U30" s="330">
        <f t="shared" ca="1" si="15"/>
        <v>480</v>
      </c>
      <c r="V30" s="1481">
        <f t="shared" ca="1" si="16"/>
        <v>6358.4778574210241</v>
      </c>
      <c r="W30" s="1480">
        <f t="shared" ca="1" si="17"/>
        <v>2.0907239657545715</v>
      </c>
      <c r="X30" s="384">
        <f t="shared" ca="1" si="18"/>
        <v>3041.2804184440297</v>
      </c>
      <c r="Y30" s="692" t="str">
        <f t="shared" ca="1" si="1"/>
        <v xml:space="preserve"> </v>
      </c>
      <c r="AA30" s="1484">
        <f ca="1">IF($A30&gt;Endyr,0,VLOOKUP($A30,Tariff_Table,Tariff!$I$33))</f>
        <v>2.2999999999999998</v>
      </c>
      <c r="AB30" s="1480">
        <f t="shared" ca="1" si="2"/>
        <v>1.1056288663797156</v>
      </c>
      <c r="AC30" s="1483">
        <f t="shared" ca="1" si="19"/>
        <v>2.5429463926733455</v>
      </c>
      <c r="AD30" s="1480">
        <f t="shared" ca="1" si="20"/>
        <v>2.0907239657545715</v>
      </c>
      <c r="AE30" s="113">
        <f t="shared" ca="1" si="21"/>
        <v>1.0649999999999999</v>
      </c>
      <c r="AF30" s="1483">
        <f t="shared" ca="1" si="22"/>
        <v>4.9921117059073232</v>
      </c>
      <c r="AG30" s="334">
        <f ca="1">VLOOKUP($A30,Plant_Table,'Plant Operations'!$M$270)</f>
        <v>289336.32000000001</v>
      </c>
      <c r="AH30" s="1481">
        <f t="shared" ca="1" si="23"/>
        <v>1444.3992300161472</v>
      </c>
      <c r="AI30" s="1480">
        <f t="shared" ca="1" si="24"/>
        <v>2.0907239657545715</v>
      </c>
      <c r="AJ30" s="335">
        <f t="shared" ca="1" si="25"/>
        <v>690.86079926139041</v>
      </c>
      <c r="AK30" s="698" t="str">
        <f t="shared" ca="1" si="3"/>
        <v xml:space="preserve"> </v>
      </c>
      <c r="AM30" s="697">
        <f ca="1">IF($A30&gt;Endyr,0,VLOOKUP($A30,Tariff_Table,Tariff!$L$33))</f>
        <v>1.21</v>
      </c>
      <c r="AN30" s="1504">
        <f ca="1">VLOOKUP($A30,Curves_Table,Escalation!$Z$291)</f>
        <v>1.1274530123259379</v>
      </c>
      <c r="AO30" s="331">
        <f t="shared" ca="1" si="26"/>
        <v>1.3642181449143849</v>
      </c>
      <c r="AP30" s="331">
        <f ca="1">IF($A30&gt;Endyr,0,VLOOKUP($A30,Tariff_Table,Tariff!$M$33))</f>
        <v>0.25</v>
      </c>
      <c r="AQ30" s="331">
        <f t="shared" ca="1" si="27"/>
        <v>1.6142181449143849</v>
      </c>
      <c r="AR30" s="331">
        <f t="shared" ca="1" si="28"/>
        <v>1.46</v>
      </c>
      <c r="AS30" s="1508">
        <f t="shared" ca="1" si="29"/>
        <v>1.1056288663797156</v>
      </c>
    </row>
    <row r="31" spans="1:45">
      <c r="A31" s="672">
        <f t="shared" si="4"/>
        <v>37530</v>
      </c>
      <c r="C31" s="1484">
        <f ca="1">IF($A31&gt;Endyr,0,VLOOKUP($A31,Tariff_Table,Tariff!$G$33))</f>
        <v>7420.08</v>
      </c>
      <c r="D31" s="1480">
        <f ca="1">VLOOKUP($A31,Curves_Table,Escalation!$V$291)</f>
        <v>1.1321906668383659</v>
      </c>
      <c r="E31" s="1483">
        <f t="shared" ca="1" si="5"/>
        <v>8400.9453231940224</v>
      </c>
      <c r="F31" s="1480">
        <f ca="1">IF(Assm!$L$74=0,VLOOKUP($A31,Curves_Table,Escalation!$D$291),VLOOKUP($A31,Curves_Table,Escalation!$E$291))</f>
        <v>2.1020235796765379</v>
      </c>
      <c r="G31" s="113">
        <f ca="1">IF($A31&lt;EE_Date,VLOOKUP($A31,Curves_Table,Escalation!$D$291),Exch)</f>
        <v>1.0649999999999999</v>
      </c>
      <c r="H31" s="1483">
        <f t="shared" ca="1" si="6"/>
        <v>16581.206723875275</v>
      </c>
      <c r="I31" s="330">
        <f ca="1">VLOOKUP($A31,Plant_Table,'Plant Operations'!$C$270)</f>
        <v>480</v>
      </c>
      <c r="J31" s="1481">
        <f t="shared" ca="1" si="7"/>
        <v>7958.9792274601323</v>
      </c>
      <c r="K31" s="1480">
        <f t="shared" ca="1" si="8"/>
        <v>2.1020235796765379</v>
      </c>
      <c r="L31" s="384">
        <f t="shared" ca="1" si="9"/>
        <v>3786.341554115616</v>
      </c>
      <c r="M31" s="692" t="str">
        <f t="shared" ca="1" si="0"/>
        <v xml:space="preserve"> </v>
      </c>
      <c r="O31" s="1482">
        <f ca="1">IF($A31&gt;Endyr,0,VLOOKUP($A31,Tariff_Table,Tariff!$H$33))</f>
        <v>6103.17</v>
      </c>
      <c r="P31" s="1480">
        <f t="shared" ca="1" si="10"/>
        <v>1.1056288663797156</v>
      </c>
      <c r="Q31" s="1481">
        <f t="shared" ca="1" si="11"/>
        <v>6747.8409284226891</v>
      </c>
      <c r="R31" s="1480">
        <f t="shared" ca="1" si="12"/>
        <v>2.1020235796765379</v>
      </c>
      <c r="S31" s="113">
        <f t="shared" ca="1" si="13"/>
        <v>1.0649999999999999</v>
      </c>
      <c r="T31" s="1481">
        <f t="shared" ca="1" si="14"/>
        <v>13318.423233287243</v>
      </c>
      <c r="U31" s="330">
        <f t="shared" ca="1" si="15"/>
        <v>480</v>
      </c>
      <c r="V31" s="1481">
        <f t="shared" ca="1" si="16"/>
        <v>6392.8431519778769</v>
      </c>
      <c r="W31" s="1480">
        <f t="shared" ca="1" si="17"/>
        <v>2.1020235796765379</v>
      </c>
      <c r="X31" s="384">
        <f t="shared" ca="1" si="18"/>
        <v>3041.2804184440292</v>
      </c>
      <c r="Y31" s="692" t="str">
        <f t="shared" ca="1" si="1"/>
        <v xml:space="preserve"> </v>
      </c>
      <c r="AA31" s="1484">
        <f ca="1">IF($A31&gt;Endyr,0,VLOOKUP($A31,Tariff_Table,Tariff!$I$33))</f>
        <v>2.2999999999999998</v>
      </c>
      <c r="AB31" s="1480">
        <f t="shared" ca="1" si="2"/>
        <v>1.1056288663797156</v>
      </c>
      <c r="AC31" s="1483">
        <f t="shared" ca="1" si="19"/>
        <v>2.5429463926733455</v>
      </c>
      <c r="AD31" s="1480">
        <f t="shared" ca="1" si="20"/>
        <v>2.1020235796765379</v>
      </c>
      <c r="AE31" s="113">
        <f t="shared" ca="1" si="21"/>
        <v>1.0649999999999999</v>
      </c>
      <c r="AF31" s="1483">
        <f t="shared" ca="1" si="22"/>
        <v>5.0190922809885121</v>
      </c>
      <c r="AG31" s="334">
        <f ca="1">VLOOKUP($A31,Plant_Table,'Plant Operations'!$M$270)</f>
        <v>298980.864</v>
      </c>
      <c r="AH31" s="1481">
        <f t="shared" ca="1" si="23"/>
        <v>1500.6125466656761</v>
      </c>
      <c r="AI31" s="1480">
        <f t="shared" ca="1" si="24"/>
        <v>2.1020235796765379</v>
      </c>
      <c r="AJ31" s="335">
        <f t="shared" ca="1" si="25"/>
        <v>713.88949257010347</v>
      </c>
      <c r="AK31" s="698" t="str">
        <f t="shared" ca="1" si="3"/>
        <v xml:space="preserve"> </v>
      </c>
      <c r="AM31" s="697">
        <f ca="1">IF($A31&gt;Endyr,0,VLOOKUP($A31,Tariff_Table,Tariff!$L$33))</f>
        <v>1.21</v>
      </c>
      <c r="AN31" s="1504">
        <f ca="1">VLOOKUP($A31,Curves_Table,Escalation!$Z$291)</f>
        <v>1.1274530123259379</v>
      </c>
      <c r="AO31" s="331">
        <f t="shared" ca="1" si="26"/>
        <v>1.3642181449143849</v>
      </c>
      <c r="AP31" s="331">
        <f ca="1">IF($A31&gt;Endyr,0,VLOOKUP($A31,Tariff_Table,Tariff!$M$33))</f>
        <v>0.25</v>
      </c>
      <c r="AQ31" s="331">
        <f t="shared" ca="1" si="27"/>
        <v>1.6142181449143849</v>
      </c>
      <c r="AR31" s="331">
        <f t="shared" ca="1" si="28"/>
        <v>1.46</v>
      </c>
      <c r="AS31" s="1508">
        <f t="shared" ca="1" si="29"/>
        <v>1.1056288663797156</v>
      </c>
    </row>
    <row r="32" spans="1:45">
      <c r="A32" s="672">
        <f t="shared" si="4"/>
        <v>37561</v>
      </c>
      <c r="C32" s="1484">
        <f ca="1">IF($A32&gt;Endyr,0,VLOOKUP($A32,Tariff_Table,Tariff!$G$33))</f>
        <v>7420.08</v>
      </c>
      <c r="D32" s="1480">
        <f ca="1">VLOOKUP($A32,Curves_Table,Escalation!$V$291)</f>
        <v>1.1321906668383659</v>
      </c>
      <c r="E32" s="1483">
        <f t="shared" ca="1" si="5"/>
        <v>8400.9453231940224</v>
      </c>
      <c r="F32" s="1480">
        <f ca="1">IF(Assm!$L$74=0,VLOOKUP($A32,Curves_Table,Escalation!$D$291),VLOOKUP($A32,Curves_Table,Escalation!$E$291))</f>
        <v>2.1133842639630656</v>
      </c>
      <c r="G32" s="113">
        <f ca="1">IF($A32&lt;EE_Date,VLOOKUP($A32,Curves_Table,Escalation!$D$291),Exch)</f>
        <v>1.0649999999999999</v>
      </c>
      <c r="H32" s="1483">
        <f t="shared" ca="1" si="6"/>
        <v>16670.822205119584</v>
      </c>
      <c r="I32" s="330">
        <f ca="1">VLOOKUP($A32,Plant_Table,'Plant Operations'!$C$270)</f>
        <v>480</v>
      </c>
      <c r="J32" s="1481">
        <f t="shared" ca="1" si="7"/>
        <v>8001.9946584574</v>
      </c>
      <c r="K32" s="1480">
        <f t="shared" ca="1" si="8"/>
        <v>2.1133842639630656</v>
      </c>
      <c r="L32" s="384">
        <f t="shared" ca="1" si="9"/>
        <v>3786.3415541156155</v>
      </c>
      <c r="M32" s="692" t="str">
        <f t="shared" ca="1" si="0"/>
        <v xml:space="preserve"> </v>
      </c>
      <c r="O32" s="1482">
        <f ca="1">IF($A32&gt;Endyr,0,VLOOKUP($A32,Tariff_Table,Tariff!$H$33))</f>
        <v>6103.17</v>
      </c>
      <c r="P32" s="1480">
        <f t="shared" ca="1" si="10"/>
        <v>1.1056288663797156</v>
      </c>
      <c r="Q32" s="1481">
        <f t="shared" ca="1" si="11"/>
        <v>6747.8409284226891</v>
      </c>
      <c r="R32" s="1480">
        <f t="shared" ca="1" si="12"/>
        <v>2.1133842639630656</v>
      </c>
      <c r="S32" s="113">
        <f t="shared" ca="1" si="13"/>
        <v>1.0649999999999999</v>
      </c>
      <c r="T32" s="1481">
        <f t="shared" ca="1" si="14"/>
        <v>13390.404538830455</v>
      </c>
      <c r="U32" s="330">
        <f t="shared" ca="1" si="15"/>
        <v>480</v>
      </c>
      <c r="V32" s="1481">
        <f t="shared" ca="1" si="16"/>
        <v>6427.3941786386185</v>
      </c>
      <c r="W32" s="1480">
        <f t="shared" ca="1" si="17"/>
        <v>2.1133842639630656</v>
      </c>
      <c r="X32" s="384">
        <f t="shared" ca="1" si="18"/>
        <v>3041.2804184440292</v>
      </c>
      <c r="Y32" s="692" t="str">
        <f t="shared" ca="1" si="1"/>
        <v xml:space="preserve"> </v>
      </c>
      <c r="AA32" s="1484">
        <f ca="1">IF($A32&gt;Endyr,0,VLOOKUP($A32,Tariff_Table,Tariff!$I$33))</f>
        <v>2.2999999999999998</v>
      </c>
      <c r="AB32" s="1480">
        <f t="shared" ca="1" si="2"/>
        <v>1.1056288663797156</v>
      </c>
      <c r="AC32" s="1483">
        <f t="shared" ca="1" si="19"/>
        <v>2.5429463926733455</v>
      </c>
      <c r="AD32" s="1480">
        <f t="shared" ca="1" si="20"/>
        <v>2.1133842639630656</v>
      </c>
      <c r="AE32" s="113">
        <f t="shared" ca="1" si="21"/>
        <v>1.0649999999999999</v>
      </c>
      <c r="AF32" s="1483">
        <f t="shared" ca="1" si="22"/>
        <v>5.0462186764107901</v>
      </c>
      <c r="AG32" s="334">
        <f ca="1">VLOOKUP($A32,Plant_Table,'Plant Operations'!$M$270)</f>
        <v>289336.32000000001</v>
      </c>
      <c r="AH32" s="1481">
        <f t="shared" ca="1" si="23"/>
        <v>1460.0543417479689</v>
      </c>
      <c r="AI32" s="1480">
        <f t="shared" ca="1" si="24"/>
        <v>2.1133842639630656</v>
      </c>
      <c r="AJ32" s="335">
        <f t="shared" ca="1" si="25"/>
        <v>690.86079926139053</v>
      </c>
      <c r="AK32" s="698" t="str">
        <f t="shared" ca="1" si="3"/>
        <v xml:space="preserve"> </v>
      </c>
      <c r="AM32" s="697">
        <f ca="1">IF($A32&gt;Endyr,0,VLOOKUP($A32,Tariff_Table,Tariff!$L$33))</f>
        <v>1.21</v>
      </c>
      <c r="AN32" s="1504">
        <f ca="1">VLOOKUP($A32,Curves_Table,Escalation!$Z$291)</f>
        <v>1.1274530123259379</v>
      </c>
      <c r="AO32" s="331">
        <f t="shared" ca="1" si="26"/>
        <v>1.3642181449143849</v>
      </c>
      <c r="AP32" s="331">
        <f ca="1">IF($A32&gt;Endyr,0,VLOOKUP($A32,Tariff_Table,Tariff!$M$33))</f>
        <v>0.25</v>
      </c>
      <c r="AQ32" s="331">
        <f t="shared" ca="1" si="27"/>
        <v>1.6142181449143849</v>
      </c>
      <c r="AR32" s="331">
        <f t="shared" ca="1" si="28"/>
        <v>1.46</v>
      </c>
      <c r="AS32" s="1508">
        <f t="shared" ca="1" si="29"/>
        <v>1.1056288663797156</v>
      </c>
    </row>
    <row r="33" spans="1:45">
      <c r="A33" s="672">
        <f t="shared" si="4"/>
        <v>37591</v>
      </c>
      <c r="C33" s="1484">
        <f ca="1">IF($A33&gt;Endyr,0,VLOOKUP($A33,Tariff_Table,Tariff!$G$33))</f>
        <v>7420.08</v>
      </c>
      <c r="D33" s="1480">
        <f ca="1">VLOOKUP($A33,Curves_Table,Escalation!$V$291)</f>
        <v>1.1321906668383659</v>
      </c>
      <c r="E33" s="1483">
        <f t="shared" ca="1" si="5"/>
        <v>8400.9453231940224</v>
      </c>
      <c r="F33" s="1480">
        <f ca="1">IF(Assm!$L$74=0,VLOOKUP($A33,Curves_Table,Escalation!$D$291),VLOOKUP($A33,Curves_Table,Escalation!$E$291))</f>
        <v>2.1248063486775925</v>
      </c>
      <c r="G33" s="113">
        <f ca="1">IF($A33&lt;EE_Date,VLOOKUP($A33,Curves_Table,Escalation!$D$291),Exch)</f>
        <v>1.0649999999999999</v>
      </c>
      <c r="H33" s="1483">
        <f t="shared" ca="1" si="6"/>
        <v>16760.922025930504</v>
      </c>
      <c r="I33" s="330">
        <f ca="1">VLOOKUP($A33,Plant_Table,'Plant Operations'!$C$270)</f>
        <v>480</v>
      </c>
      <c r="J33" s="1481">
        <f t="shared" ca="1" si="7"/>
        <v>8045.2425724466411</v>
      </c>
      <c r="K33" s="1480">
        <f t="shared" ca="1" si="8"/>
        <v>2.1248063486775925</v>
      </c>
      <c r="L33" s="384">
        <f t="shared" ca="1" si="9"/>
        <v>3786.3415541156151</v>
      </c>
      <c r="M33" s="1870">
        <f ca="1">IF(MONTH($A33)=12,SUM(L22:L33)," ")</f>
        <v>44982.029115107471</v>
      </c>
      <c r="O33" s="1482">
        <f ca="1">IF($A33&gt;Endyr,0,VLOOKUP($A33,Tariff_Table,Tariff!$H$33))</f>
        <v>6103.17</v>
      </c>
      <c r="P33" s="1480">
        <f t="shared" ca="1" si="10"/>
        <v>1.1056288663797156</v>
      </c>
      <c r="Q33" s="1481">
        <f ca="1">O33*P33</f>
        <v>6747.8409284226891</v>
      </c>
      <c r="R33" s="1480">
        <f t="shared" ca="1" si="12"/>
        <v>2.1248063486775925</v>
      </c>
      <c r="S33" s="113">
        <f t="shared" ca="1" si="13"/>
        <v>1.0649999999999999</v>
      </c>
      <c r="T33" s="1481">
        <f ca="1">Q33*R33/S33</f>
        <v>13462.774877538995</v>
      </c>
      <c r="U33" s="330">
        <f t="shared" ca="1" si="15"/>
        <v>480</v>
      </c>
      <c r="V33" s="328">
        <f ca="1">T33*U33/1000</f>
        <v>6462.1319412187177</v>
      </c>
      <c r="W33" s="1480">
        <f t="shared" ca="1" si="17"/>
        <v>2.1248063486775925</v>
      </c>
      <c r="X33" s="384">
        <f ca="1">V33/W33</f>
        <v>3041.2804184440288</v>
      </c>
      <c r="Y33" s="1870">
        <f t="shared" ca="1" si="1"/>
        <v>36247.512113263227</v>
      </c>
      <c r="AA33" s="1484">
        <f ca="1">IF($A33&gt;Endyr,0,VLOOKUP($A33,Tariff_Table,Tariff!$I$33))</f>
        <v>2.2999999999999998</v>
      </c>
      <c r="AB33" s="1480">
        <f t="shared" ca="1" si="2"/>
        <v>1.1056288663797156</v>
      </c>
      <c r="AC33" s="1483">
        <f t="shared" ca="1" si="19"/>
        <v>2.5429463926733455</v>
      </c>
      <c r="AD33" s="1480">
        <f t="shared" ca="1" si="20"/>
        <v>2.1248063486775925</v>
      </c>
      <c r="AE33" s="113">
        <f t="shared" ca="1" si="21"/>
        <v>1.0649999999999999</v>
      </c>
      <c r="AF33" s="1483">
        <f t="shared" ca="1" si="22"/>
        <v>5.0734916802808518</v>
      </c>
      <c r="AG33" s="334">
        <f ca="1">VLOOKUP($A33,Plant_Table,'Plant Operations'!$M$270)</f>
        <v>298980.864</v>
      </c>
      <c r="AH33" s="1481">
        <f t="shared" ca="1" si="23"/>
        <v>1516.8769260671809</v>
      </c>
      <c r="AI33" s="1480">
        <f t="shared" ca="1" si="24"/>
        <v>2.1248063486775925</v>
      </c>
      <c r="AJ33" s="335">
        <f t="shared" ca="1" si="25"/>
        <v>713.88949257010347</v>
      </c>
      <c r="AK33" s="698">
        <f t="shared" ca="1" si="3"/>
        <v>8409.1008017016484</v>
      </c>
      <c r="AM33" s="697">
        <f ca="1">IF($A33&gt;Endyr,0,VLOOKUP($A33,Tariff_Table,Tariff!$L$33))</f>
        <v>1.21</v>
      </c>
      <c r="AN33" s="1504">
        <f ca="1">VLOOKUP($A33,Curves_Table,Escalation!$Z$291)</f>
        <v>1.1274530123259379</v>
      </c>
      <c r="AO33" s="331">
        <f t="shared" ca="1" si="26"/>
        <v>1.3642181449143849</v>
      </c>
      <c r="AP33" s="331">
        <f ca="1">IF($A33&gt;Endyr,0,VLOOKUP($A33,Tariff_Table,Tariff!$M$33))</f>
        <v>0.25</v>
      </c>
      <c r="AQ33" s="331">
        <f t="shared" ca="1" si="27"/>
        <v>1.6142181449143849</v>
      </c>
      <c r="AR33" s="331">
        <f t="shared" ca="1" si="28"/>
        <v>1.46</v>
      </c>
      <c r="AS33" s="1508">
        <f t="shared" ca="1" si="29"/>
        <v>1.1056288663797156</v>
      </c>
    </row>
    <row r="34" spans="1:45">
      <c r="A34" s="672">
        <f t="shared" si="4"/>
        <v>37622</v>
      </c>
      <c r="C34" s="1484">
        <f ca="1">IF($A34&gt;Endyr,0,VLOOKUP($A34,Tariff_Table,Tariff!$G$33))</f>
        <v>7420.08</v>
      </c>
      <c r="D34" s="1480">
        <f ca="1">VLOOKUP($A34,Curves_Table,Escalation!$V$291)</f>
        <v>1.1321906668383659</v>
      </c>
      <c r="E34" s="1483">
        <f t="shared" ca="1" si="5"/>
        <v>8400.9453231940224</v>
      </c>
      <c r="F34" s="1480">
        <f ca="1">IF(Assm!$L$74=0,VLOOKUP($A34,Curves_Table,Escalation!$D$291),VLOOKUP($A34,Curves_Table,Escalation!$E$291))</f>
        <v>2.1308778783404252</v>
      </c>
      <c r="G34" s="113">
        <f ca="1">IF($A34&lt;EE_Date,VLOOKUP($A34,Curves_Table,Escalation!$D$291),Exch)</f>
        <v>1.0649999999999999</v>
      </c>
      <c r="H34" s="1483">
        <f t="shared" ca="1" si="6"/>
        <v>16808.815536470986</v>
      </c>
      <c r="I34" s="330">
        <f ca="1">VLOOKUP($A34,Plant_Table,'Plant Operations'!$C$270)</f>
        <v>480</v>
      </c>
      <c r="J34" s="1481">
        <f t="shared" ca="1" si="7"/>
        <v>8068.2314575060727</v>
      </c>
      <c r="K34" s="1480">
        <f t="shared" ca="1" si="8"/>
        <v>2.1308778783404252</v>
      </c>
      <c r="L34" s="384">
        <f t="shared" ca="1" si="9"/>
        <v>3786.3415541156164</v>
      </c>
      <c r="M34" s="692" t="str">
        <f t="shared" ca="1" si="0"/>
        <v xml:space="preserve"> </v>
      </c>
      <c r="O34" s="1482">
        <f ca="1">IF($A34&gt;Endyr,0,VLOOKUP($A34,Tariff_Table,Tariff!$H$33))</f>
        <v>6103.17</v>
      </c>
      <c r="P34" s="1480">
        <f t="shared" ca="1" si="10"/>
        <v>1.1056288663797156</v>
      </c>
      <c r="Q34" s="1481">
        <f t="shared" ca="1" si="11"/>
        <v>6747.8409284226891</v>
      </c>
      <c r="R34" s="1480">
        <f t="shared" ca="1" si="12"/>
        <v>2.1308778783404252</v>
      </c>
      <c r="S34" s="113">
        <f t="shared" ca="1" si="13"/>
        <v>1.0649999999999999</v>
      </c>
      <c r="T34" s="1481">
        <f t="shared" ca="1" si="14"/>
        <v>13501.244094775611</v>
      </c>
      <c r="U34" s="330">
        <f t="shared" ca="1" si="15"/>
        <v>480</v>
      </c>
      <c r="V34" s="1481">
        <f t="shared" ca="1" si="16"/>
        <v>6480.5971654922932</v>
      </c>
      <c r="W34" s="1480">
        <f t="shared" ca="1" si="17"/>
        <v>2.1308778783404252</v>
      </c>
      <c r="X34" s="384">
        <f t="shared" ca="1" si="18"/>
        <v>3041.2804184440292</v>
      </c>
      <c r="Y34" s="692" t="str">
        <f t="shared" ca="1" si="1"/>
        <v xml:space="preserve"> </v>
      </c>
      <c r="AA34" s="1484">
        <f ca="1">IF($A34&gt;Endyr,0,VLOOKUP($A34,Tariff_Table,Tariff!$I$33))</f>
        <v>2.2999999999999998</v>
      </c>
      <c r="AB34" s="1480">
        <f t="shared" ca="1" si="2"/>
        <v>1.1056288663797156</v>
      </c>
      <c r="AC34" s="1483">
        <f t="shared" ca="1" si="19"/>
        <v>2.5429463926733455</v>
      </c>
      <c r="AD34" s="1480">
        <f t="shared" ca="1" si="20"/>
        <v>2.1308778783404252</v>
      </c>
      <c r="AE34" s="113">
        <f t="shared" ca="1" si="21"/>
        <v>1.0649999999999999</v>
      </c>
      <c r="AF34" s="1483">
        <f t="shared" ca="1" si="22"/>
        <v>5.087988933289405</v>
      </c>
      <c r="AG34" s="334">
        <f ca="1">VLOOKUP($A34,Plant_Table,'Plant Operations'!$M$270)</f>
        <v>298980.864</v>
      </c>
      <c r="AH34" s="1481">
        <f t="shared" ca="1" si="23"/>
        <v>1521.2113272973047</v>
      </c>
      <c r="AI34" s="1480">
        <f t="shared" ca="1" si="24"/>
        <v>2.1308778783404252</v>
      </c>
      <c r="AJ34" s="335">
        <f t="shared" ca="1" si="25"/>
        <v>713.88949257010347</v>
      </c>
      <c r="AK34" s="698" t="str">
        <f t="shared" ca="1" si="3"/>
        <v xml:space="preserve"> </v>
      </c>
      <c r="AM34" s="697">
        <f ca="1">IF($A34&gt;Endyr,0,VLOOKUP($A34,Tariff_Table,Tariff!$L$33))</f>
        <v>1.21</v>
      </c>
      <c r="AN34" s="1504">
        <f ca="1">VLOOKUP($A34,Curves_Table,Escalation!$Z$291)</f>
        <v>1.1274530123259379</v>
      </c>
      <c r="AO34" s="331">
        <f t="shared" ca="1" si="26"/>
        <v>1.3642181449143849</v>
      </c>
      <c r="AP34" s="331">
        <f ca="1">IF($A34&gt;Endyr,0,VLOOKUP($A34,Tariff_Table,Tariff!$M$33))</f>
        <v>0.25</v>
      </c>
      <c r="AQ34" s="331">
        <f t="shared" ca="1" si="27"/>
        <v>1.6142181449143849</v>
      </c>
      <c r="AR34" s="331">
        <f t="shared" ca="1" si="28"/>
        <v>1.46</v>
      </c>
      <c r="AS34" s="1508">
        <f t="shared" ca="1" si="29"/>
        <v>1.1056288663797156</v>
      </c>
    </row>
    <row r="35" spans="1:45">
      <c r="A35" s="672">
        <f t="shared" si="4"/>
        <v>37653</v>
      </c>
      <c r="C35" s="1484">
        <f ca="1">IF($A35&gt;Endyr,0,VLOOKUP($A35,Tariff_Table,Tariff!$G$33))</f>
        <v>7420.08</v>
      </c>
      <c r="D35" s="1480">
        <f ca="1">VLOOKUP($A35,Curves_Table,Escalation!$V$291)</f>
        <v>1.1321906668383659</v>
      </c>
      <c r="E35" s="1483">
        <f t="shared" ca="1" si="5"/>
        <v>8400.9453231940224</v>
      </c>
      <c r="F35" s="1480">
        <f ca="1">IF(Assm!$L$74=0,VLOOKUP($A35,Curves_Table,Escalation!$D$291),VLOOKUP($A35,Curves_Table,Escalation!$E$291))</f>
        <v>2.1369667571007271</v>
      </c>
      <c r="G35" s="113">
        <f ca="1">IF($A35&lt;EE_Date,VLOOKUP($A35,Curves_Table,Escalation!$D$291),Exch)</f>
        <v>1.0649999999999999</v>
      </c>
      <c r="H35" s="1483">
        <f t="shared" ca="1" si="6"/>
        <v>16856.845900362863</v>
      </c>
      <c r="I35" s="330">
        <f ca="1">VLOOKUP($A35,Plant_Table,'Plant Operations'!$C$270)</f>
        <v>480</v>
      </c>
      <c r="J35" s="1481">
        <f t="shared" ca="1" si="7"/>
        <v>8091.2860321741746</v>
      </c>
      <c r="K35" s="1480">
        <f t="shared" ca="1" si="8"/>
        <v>2.1369667571007271</v>
      </c>
      <c r="L35" s="384">
        <f t="shared" ca="1" si="9"/>
        <v>3786.3415541156155</v>
      </c>
      <c r="M35" s="692" t="str">
        <f t="shared" ca="1" si="0"/>
        <v xml:space="preserve"> </v>
      </c>
      <c r="O35" s="1482">
        <f ca="1">IF($A35&gt;Endyr,0,VLOOKUP($A35,Tariff_Table,Tariff!$H$33))</f>
        <v>6103.17</v>
      </c>
      <c r="P35" s="1480">
        <f t="shared" ca="1" si="10"/>
        <v>1.1056288663797156</v>
      </c>
      <c r="Q35" s="1481">
        <f t="shared" ca="1" si="11"/>
        <v>6747.8409284226891</v>
      </c>
      <c r="R35" s="1480">
        <f t="shared" ca="1" si="12"/>
        <v>2.1369667571007271</v>
      </c>
      <c r="S35" s="113">
        <f t="shared" ca="1" si="13"/>
        <v>1.0649999999999999</v>
      </c>
      <c r="T35" s="1481">
        <f t="shared" ca="1" si="14"/>
        <v>13539.823235908914</v>
      </c>
      <c r="U35" s="330">
        <f t="shared" ca="1" si="15"/>
        <v>480</v>
      </c>
      <c r="V35" s="1481">
        <f t="shared" ca="1" si="16"/>
        <v>6499.1151532362792</v>
      </c>
      <c r="W35" s="1480">
        <f t="shared" ca="1" si="17"/>
        <v>2.1369667571007271</v>
      </c>
      <c r="X35" s="384">
        <f t="shared" ca="1" si="18"/>
        <v>3041.2804184440292</v>
      </c>
      <c r="Y35" s="692" t="str">
        <f t="shared" ca="1" si="1"/>
        <v xml:space="preserve"> </v>
      </c>
      <c r="AA35" s="1484">
        <f ca="1">IF($A35&gt;Endyr,0,VLOOKUP($A35,Tariff_Table,Tariff!$I$33))</f>
        <v>2.2999999999999998</v>
      </c>
      <c r="AB35" s="1480">
        <f t="shared" ca="1" si="2"/>
        <v>1.1056288663797156</v>
      </c>
      <c r="AC35" s="1483">
        <f t="shared" ca="1" si="19"/>
        <v>2.5429463926733455</v>
      </c>
      <c r="AD35" s="1480">
        <f t="shared" ca="1" si="20"/>
        <v>2.1369667571007271</v>
      </c>
      <c r="AE35" s="113">
        <f t="shared" ca="1" si="21"/>
        <v>1.0649999999999999</v>
      </c>
      <c r="AF35" s="1483">
        <f t="shared" ca="1" si="22"/>
        <v>5.1025276114855886</v>
      </c>
      <c r="AG35" s="334">
        <f ca="1">VLOOKUP($A35,Plant_Table,'Plant Operations'!$M$270)</f>
        <v>270047.23200000002</v>
      </c>
      <c r="AH35" s="1481">
        <f t="shared" ca="1" si="23"/>
        <v>1377.9234576852548</v>
      </c>
      <c r="AI35" s="1480">
        <f t="shared" ca="1" si="24"/>
        <v>2.1369667571007271</v>
      </c>
      <c r="AJ35" s="335">
        <f t="shared" ca="1" si="25"/>
        <v>644.80341264396452</v>
      </c>
      <c r="AK35" s="698" t="str">
        <f t="shared" ca="1" si="3"/>
        <v xml:space="preserve"> </v>
      </c>
      <c r="AM35" s="697">
        <f ca="1">IF($A35&gt;Endyr,0,VLOOKUP($A35,Tariff_Table,Tariff!$L$33))</f>
        <v>1.21</v>
      </c>
      <c r="AN35" s="1504">
        <f ca="1">VLOOKUP($A35,Curves_Table,Escalation!$Z$291)</f>
        <v>1.1274530123259379</v>
      </c>
      <c r="AO35" s="331">
        <f t="shared" ca="1" si="26"/>
        <v>1.3642181449143849</v>
      </c>
      <c r="AP35" s="331">
        <f ca="1">IF($A35&gt;Endyr,0,VLOOKUP($A35,Tariff_Table,Tariff!$M$33))</f>
        <v>0.25</v>
      </c>
      <c r="AQ35" s="331">
        <f t="shared" ca="1" si="27"/>
        <v>1.6142181449143849</v>
      </c>
      <c r="AR35" s="331">
        <f t="shared" ca="1" si="28"/>
        <v>1.46</v>
      </c>
      <c r="AS35" s="1508">
        <f t="shared" ca="1" si="29"/>
        <v>1.1056288663797156</v>
      </c>
    </row>
    <row r="36" spans="1:45">
      <c r="A36" s="672">
        <f t="shared" si="4"/>
        <v>37681</v>
      </c>
      <c r="C36" s="1484">
        <f ca="1">IF($A36&gt;Endyr,0,VLOOKUP($A36,Tariff_Table,Tariff!$G$33))</f>
        <v>7420.08</v>
      </c>
      <c r="D36" s="1480">
        <f ca="1">VLOOKUP($A36,Curves_Table,Escalation!$V$291)</f>
        <v>1.1321906668383659</v>
      </c>
      <c r="E36" s="1483">
        <f t="shared" ca="1" si="5"/>
        <v>8400.9453231940224</v>
      </c>
      <c r="F36" s="1480">
        <f ca="1">IF(Assm!$L$74=0,VLOOKUP($A36,Curves_Table,Escalation!$D$291),VLOOKUP($A36,Curves_Table,Escalation!$E$291))</f>
        <v>2.1430730345326912</v>
      </c>
      <c r="G36" s="113">
        <f ca="1">IF($A36&lt;EE_Date,VLOOKUP($A36,Curves_Table,Escalation!$D$291),Exch)</f>
        <v>1.0649999999999999</v>
      </c>
      <c r="H36" s="1483">
        <f t="shared" ca="1" si="6"/>
        <v>16905.01350865787</v>
      </c>
      <c r="I36" s="330">
        <f ca="1">VLOOKUP($A36,Plant_Table,'Plant Operations'!$C$270)</f>
        <v>480</v>
      </c>
      <c r="J36" s="1481">
        <f t="shared" ca="1" si="7"/>
        <v>8114.4064841557774</v>
      </c>
      <c r="K36" s="1480">
        <f t="shared" ca="1" si="8"/>
        <v>2.1430730345326912</v>
      </c>
      <c r="L36" s="384">
        <f t="shared" ca="1" si="9"/>
        <v>3786.3415541156151</v>
      </c>
      <c r="M36" s="692" t="str">
        <f t="shared" ca="1" si="0"/>
        <v xml:space="preserve"> </v>
      </c>
      <c r="O36" s="1482">
        <f ca="1">IF($A36&gt;Endyr,0,VLOOKUP($A36,Tariff_Table,Tariff!$H$33))</f>
        <v>6103.17</v>
      </c>
      <c r="P36" s="1480">
        <f t="shared" ca="1" si="10"/>
        <v>1.1056288663797156</v>
      </c>
      <c r="Q36" s="1481">
        <f t="shared" ca="1" si="11"/>
        <v>6747.8409284226891</v>
      </c>
      <c r="R36" s="1480">
        <f t="shared" ca="1" si="12"/>
        <v>2.1430730345326912</v>
      </c>
      <c r="S36" s="113">
        <f t="shared" ca="1" si="13"/>
        <v>1.0649999999999999</v>
      </c>
      <c r="T36" s="1481">
        <f t="shared" ca="1" si="14"/>
        <v>13578.512615041038</v>
      </c>
      <c r="U36" s="330">
        <f t="shared" ca="1" si="15"/>
        <v>480</v>
      </c>
      <c r="V36" s="1481">
        <f t="shared" ca="1" si="16"/>
        <v>6517.6860552196977</v>
      </c>
      <c r="W36" s="1480">
        <f t="shared" ca="1" si="17"/>
        <v>2.1430730345326912</v>
      </c>
      <c r="X36" s="384">
        <f t="shared" ca="1" si="18"/>
        <v>3041.2804184440288</v>
      </c>
      <c r="Y36" s="692" t="str">
        <f t="shared" ca="1" si="1"/>
        <v xml:space="preserve"> </v>
      </c>
      <c r="AA36" s="1484">
        <f ca="1">IF($A36&gt;Endyr,0,VLOOKUP($A36,Tariff_Table,Tariff!$I$33))</f>
        <v>2.2999999999999998</v>
      </c>
      <c r="AB36" s="1480">
        <f t="shared" ca="1" si="2"/>
        <v>1.1056288663797156</v>
      </c>
      <c r="AC36" s="1483">
        <f t="shared" ca="1" si="19"/>
        <v>2.5429463926733455</v>
      </c>
      <c r="AD36" s="1480">
        <f t="shared" ca="1" si="20"/>
        <v>2.1430730345326912</v>
      </c>
      <c r="AE36" s="113">
        <f t="shared" ca="1" si="21"/>
        <v>1.0649999999999999</v>
      </c>
      <c r="AF36" s="1483">
        <f t="shared" ca="1" si="22"/>
        <v>5.1171078332398379</v>
      </c>
      <c r="AG36" s="334">
        <f ca="1">VLOOKUP($A36,Plant_Table,'Plant Operations'!$M$270)</f>
        <v>298980.864</v>
      </c>
      <c r="AH36" s="1481">
        <f t="shared" ca="1" si="23"/>
        <v>1529.9173211632146</v>
      </c>
      <c r="AI36" s="1480">
        <f t="shared" ca="1" si="24"/>
        <v>2.1430730345326912</v>
      </c>
      <c r="AJ36" s="335">
        <f t="shared" ca="1" si="25"/>
        <v>713.88949257010347</v>
      </c>
      <c r="AK36" s="698" t="str">
        <f t="shared" ca="1" si="3"/>
        <v xml:space="preserve"> </v>
      </c>
      <c r="AM36" s="697">
        <f ca="1">IF($A36&gt;Endyr,0,VLOOKUP($A36,Tariff_Table,Tariff!$L$33))</f>
        <v>1.21</v>
      </c>
      <c r="AN36" s="1504">
        <f ca="1">VLOOKUP($A36,Curves_Table,Escalation!$Z$291)</f>
        <v>1.1274530123259379</v>
      </c>
      <c r="AO36" s="331">
        <f t="shared" ca="1" si="26"/>
        <v>1.3642181449143849</v>
      </c>
      <c r="AP36" s="331">
        <f ca="1">IF($A36&gt;Endyr,0,VLOOKUP($A36,Tariff_Table,Tariff!$M$33))</f>
        <v>0.25</v>
      </c>
      <c r="AQ36" s="331">
        <f t="shared" ca="1" si="27"/>
        <v>1.6142181449143849</v>
      </c>
      <c r="AR36" s="331">
        <f t="shared" ca="1" si="28"/>
        <v>1.46</v>
      </c>
      <c r="AS36" s="1508">
        <f t="shared" ca="1" si="29"/>
        <v>1.1056288663797156</v>
      </c>
    </row>
    <row r="37" spans="1:45">
      <c r="A37" s="672">
        <f t="shared" si="4"/>
        <v>37712</v>
      </c>
      <c r="C37" s="1484">
        <f ca="1">IF($A37&gt;Endyr,0,VLOOKUP($A37,Tariff_Table,Tariff!$G$33))</f>
        <v>7420.08</v>
      </c>
      <c r="D37" s="1480">
        <f ca="1">VLOOKUP($A37,Curves_Table,Escalation!$V$291)</f>
        <v>1.1321906668383659</v>
      </c>
      <c r="E37" s="1483">
        <f t="shared" ca="1" si="5"/>
        <v>8400.9453231940224</v>
      </c>
      <c r="F37" s="1480">
        <f ca="1">IF(Assm!$L$74=0,VLOOKUP($A37,Curves_Table,Escalation!$D$291),VLOOKUP($A37,Curves_Table,Escalation!$E$291))</f>
        <v>2.1491967603521664</v>
      </c>
      <c r="G37" s="113">
        <f ca="1">IF($A37&lt;EE_Date,VLOOKUP($A37,Curves_Table,Escalation!$D$291),Exch)</f>
        <v>1.0649999999999999</v>
      </c>
      <c r="H37" s="1483">
        <f t="shared" ca="1" si="6"/>
        <v>16953.318753525145</v>
      </c>
      <c r="I37" s="330">
        <f ca="1">VLOOKUP($A37,Plant_Table,'Plant Operations'!$C$270)</f>
        <v>480</v>
      </c>
      <c r="J37" s="1481">
        <f t="shared" ca="1" si="7"/>
        <v>8137.5930016920693</v>
      </c>
      <c r="K37" s="1480">
        <f t="shared" ca="1" si="8"/>
        <v>2.1491967603521664</v>
      </c>
      <c r="L37" s="384">
        <f t="shared" ca="1" si="9"/>
        <v>3786.341554115616</v>
      </c>
      <c r="M37" s="692" t="str">
        <f t="shared" ca="1" si="0"/>
        <v xml:space="preserve"> </v>
      </c>
      <c r="O37" s="1482">
        <f ca="1">IF($A37&gt;Endyr,0,VLOOKUP($A37,Tariff_Table,Tariff!$H$33))</f>
        <v>6103.17</v>
      </c>
      <c r="P37" s="1480">
        <f t="shared" ca="1" si="10"/>
        <v>1.1056288663797156</v>
      </c>
      <c r="Q37" s="1481">
        <f t="shared" ca="1" si="11"/>
        <v>6747.8409284226891</v>
      </c>
      <c r="R37" s="1480">
        <f t="shared" ca="1" si="12"/>
        <v>2.1491967603521664</v>
      </c>
      <c r="S37" s="113">
        <f t="shared" ca="1" si="13"/>
        <v>1.0649999999999999</v>
      </c>
      <c r="T37" s="1481">
        <f t="shared" ca="1" si="14"/>
        <v>13617.312547171643</v>
      </c>
      <c r="U37" s="330">
        <f t="shared" ca="1" si="15"/>
        <v>480</v>
      </c>
      <c r="V37" s="1481">
        <f t="shared" ca="1" si="16"/>
        <v>6536.3100226423885</v>
      </c>
      <c r="W37" s="1480">
        <f t="shared" ca="1" si="17"/>
        <v>2.1491967603521664</v>
      </c>
      <c r="X37" s="384">
        <f t="shared" ca="1" si="18"/>
        <v>3041.2804184440292</v>
      </c>
      <c r="Y37" s="692" t="str">
        <f t="shared" ca="1" si="1"/>
        <v xml:space="preserve"> </v>
      </c>
      <c r="AA37" s="1484">
        <f ca="1">IF($A37&gt;Endyr,0,VLOOKUP($A37,Tariff_Table,Tariff!$I$33))</f>
        <v>2.2999999999999998</v>
      </c>
      <c r="AB37" s="1480">
        <f t="shared" ca="1" si="2"/>
        <v>1.1056288663797156</v>
      </c>
      <c r="AC37" s="1483">
        <f t="shared" ca="1" si="19"/>
        <v>2.5429463926733455</v>
      </c>
      <c r="AD37" s="1480">
        <f t="shared" ca="1" si="20"/>
        <v>2.1491967603521664</v>
      </c>
      <c r="AE37" s="113">
        <f t="shared" ca="1" si="21"/>
        <v>1.0649999999999999</v>
      </c>
      <c r="AF37" s="1483">
        <f t="shared" ca="1" si="22"/>
        <v>5.1317297172608285</v>
      </c>
      <c r="AG37" s="334">
        <f ca="1">VLOOKUP($A37,Plant_Table,'Plant Operations'!$M$270)</f>
        <v>289336.32000000001</v>
      </c>
      <c r="AH37" s="1481">
        <f t="shared" ca="1" si="23"/>
        <v>1484.7957916268886</v>
      </c>
      <c r="AI37" s="1480">
        <f t="shared" ca="1" si="24"/>
        <v>2.1491967603521664</v>
      </c>
      <c r="AJ37" s="335">
        <f t="shared" ca="1" si="25"/>
        <v>690.86079926139041</v>
      </c>
      <c r="AK37" s="698" t="str">
        <f t="shared" ca="1" si="3"/>
        <v xml:space="preserve"> </v>
      </c>
      <c r="AM37" s="697">
        <f ca="1">IF($A37&gt;Endyr,0,VLOOKUP($A37,Tariff_Table,Tariff!$L$33))</f>
        <v>1.21</v>
      </c>
      <c r="AN37" s="1504">
        <f ca="1">VLOOKUP($A37,Curves_Table,Escalation!$Z$291)</f>
        <v>1.1274530123259379</v>
      </c>
      <c r="AO37" s="331">
        <f t="shared" ca="1" si="26"/>
        <v>1.3642181449143849</v>
      </c>
      <c r="AP37" s="331">
        <f ca="1">IF($A37&gt;Endyr,0,VLOOKUP($A37,Tariff_Table,Tariff!$M$33))</f>
        <v>0.25</v>
      </c>
      <c r="AQ37" s="331">
        <f t="shared" ca="1" si="27"/>
        <v>1.6142181449143849</v>
      </c>
      <c r="AR37" s="331">
        <f t="shared" ca="1" si="28"/>
        <v>1.46</v>
      </c>
      <c r="AS37" s="1508">
        <f t="shared" ca="1" si="29"/>
        <v>1.1056288663797156</v>
      </c>
    </row>
    <row r="38" spans="1:45">
      <c r="A38" s="672">
        <f t="shared" si="4"/>
        <v>37742</v>
      </c>
      <c r="C38" s="1484">
        <f ca="1">IF($A38&gt;Endyr,0,VLOOKUP($A38,Tariff_Table,Tariff!$G$33))</f>
        <v>7428.1</v>
      </c>
      <c r="D38" s="1480">
        <f ca="1">VLOOKUP($A38,Curves_Table,Escalation!$V$291)</f>
        <v>1.166287045927733</v>
      </c>
      <c r="E38" s="1483">
        <f t="shared" ca="1" si="5"/>
        <v>8663.2968058557944</v>
      </c>
      <c r="F38" s="1480">
        <f ca="1">IF(Assm!$L$74=0,VLOOKUP($A38,Curves_Table,Escalation!$D$291),VLOOKUP($A38,Curves_Table,Escalation!$E$291))</f>
        <v>2.1553379844170619</v>
      </c>
      <c r="G38" s="113">
        <f ca="1">IF($A38&lt;EE_Date,VLOOKUP($A38,Curves_Table,Escalation!$D$291),Exch)</f>
        <v>1.0649999999999999</v>
      </c>
      <c r="H38" s="1483">
        <f t="shared" ca="1" si="6"/>
        <v>17532.706737971828</v>
      </c>
      <c r="I38" s="330">
        <f ca="1">VLOOKUP($A38,Plant_Table,'Plant Operations'!$C$270)</f>
        <v>480</v>
      </c>
      <c r="J38" s="1481">
        <f t="shared" ca="1" si="7"/>
        <v>8415.6992342264784</v>
      </c>
      <c r="K38" s="1480">
        <f t="shared" ca="1" si="8"/>
        <v>2.1553379844170619</v>
      </c>
      <c r="L38" s="384">
        <f t="shared" ca="1" si="9"/>
        <v>3904.5844758786679</v>
      </c>
      <c r="M38" s="692" t="str">
        <f t="shared" ca="1" si="0"/>
        <v xml:space="preserve"> </v>
      </c>
      <c r="O38" s="1482">
        <f ca="1">IF($A38&gt;Endyr,0,VLOOKUP($A38,Tariff_Table,Tariff!$H$33))</f>
        <v>6129.36</v>
      </c>
      <c r="P38" s="1480">
        <f t="shared" ca="1" si="10"/>
        <v>1.131432588926099</v>
      </c>
      <c r="Q38" s="1481">
        <f t="shared" ca="1" si="11"/>
        <v>6934.957653260074</v>
      </c>
      <c r="R38" s="1480">
        <f t="shared" ca="1" si="12"/>
        <v>2.1553379844170619</v>
      </c>
      <c r="S38" s="113">
        <f t="shared" ca="1" si="13"/>
        <v>1.0649999999999999</v>
      </c>
      <c r="T38" s="1481">
        <f t="shared" ca="1" si="14"/>
        <v>14034.908591920419</v>
      </c>
      <c r="U38" s="330">
        <f t="shared" ca="1" si="15"/>
        <v>480</v>
      </c>
      <c r="V38" s="1481">
        <f t="shared" ca="1" si="16"/>
        <v>6736.7561241218009</v>
      </c>
      <c r="W38" s="1480">
        <f t="shared" ca="1" si="17"/>
        <v>2.1553379844170619</v>
      </c>
      <c r="X38" s="384">
        <f t="shared" ca="1" si="18"/>
        <v>3125.6147169622868</v>
      </c>
      <c r="Y38" s="692" t="str">
        <f t="shared" ca="1" si="1"/>
        <v xml:space="preserve"> </v>
      </c>
      <c r="AA38" s="1484">
        <f ca="1">IF($A38&gt;Endyr,0,VLOOKUP($A38,Tariff_Table,Tariff!$I$33))</f>
        <v>2.31</v>
      </c>
      <c r="AB38" s="1480">
        <f t="shared" ca="1" si="2"/>
        <v>1.131432588926099</v>
      </c>
      <c r="AC38" s="1483">
        <f t="shared" ca="1" si="19"/>
        <v>2.6136092804192885</v>
      </c>
      <c r="AD38" s="1480">
        <f t="shared" ca="1" si="20"/>
        <v>2.1553379844170619</v>
      </c>
      <c r="AE38" s="113">
        <f t="shared" ca="1" si="21"/>
        <v>1.0649999999999999</v>
      </c>
      <c r="AF38" s="1483">
        <f t="shared" ca="1" si="22"/>
        <v>5.2894003366315836</v>
      </c>
      <c r="AG38" s="334">
        <f ca="1">VLOOKUP($A38,Plant_Table,'Plant Operations'!$M$270)</f>
        <v>298980.864</v>
      </c>
      <c r="AH38" s="1481">
        <f t="shared" ca="1" si="23"/>
        <v>1581.4294826880018</v>
      </c>
      <c r="AI38" s="1480">
        <f t="shared" ca="1" si="24"/>
        <v>2.1553379844170619</v>
      </c>
      <c r="AJ38" s="335">
        <f t="shared" ca="1" si="25"/>
        <v>733.72691156636358</v>
      </c>
      <c r="AK38" s="698" t="str">
        <f t="shared" ca="1" si="3"/>
        <v xml:space="preserve"> </v>
      </c>
      <c r="AM38" s="697">
        <f ca="1">IF($A38&gt;Endyr,0,VLOOKUP($A38,Tariff_Table,Tariff!$L$33))</f>
        <v>1.21</v>
      </c>
      <c r="AN38" s="1504">
        <f ca="1">VLOOKUP($A38,Curves_Table,Escalation!$Z$291)</f>
        <v>1.1585880825058716</v>
      </c>
      <c r="AO38" s="331">
        <f t="shared" ca="1" si="26"/>
        <v>1.4018915798321046</v>
      </c>
      <c r="AP38" s="331">
        <f ca="1">IF($A38&gt;Endyr,0,VLOOKUP($A38,Tariff_Table,Tariff!$M$33))</f>
        <v>0.25</v>
      </c>
      <c r="AQ38" s="331">
        <f t="shared" ca="1" si="27"/>
        <v>1.6518915798321046</v>
      </c>
      <c r="AR38" s="331">
        <f t="shared" ca="1" si="28"/>
        <v>1.46</v>
      </c>
      <c r="AS38" s="1508">
        <f t="shared" ca="1" si="29"/>
        <v>1.131432588926099</v>
      </c>
    </row>
    <row r="39" spans="1:45">
      <c r="A39" s="672">
        <f t="shared" si="4"/>
        <v>37773</v>
      </c>
      <c r="C39" s="1484">
        <f ca="1">IF($A39&gt;Endyr,0,VLOOKUP($A39,Tariff_Table,Tariff!$G$33))</f>
        <v>7428.1</v>
      </c>
      <c r="D39" s="1480">
        <f ca="1">VLOOKUP($A39,Curves_Table,Escalation!$V$291)</f>
        <v>1.166287045927733</v>
      </c>
      <c r="E39" s="1483">
        <f t="shared" ca="1" si="5"/>
        <v>8663.2968058557944</v>
      </c>
      <c r="F39" s="1480">
        <f ca="1">IF(Assm!$L$74=0,VLOOKUP($A39,Curves_Table,Escalation!$D$291),VLOOKUP($A39,Curves_Table,Escalation!$E$291))</f>
        <v>2.1614967567277539</v>
      </c>
      <c r="G39" s="113">
        <f ca="1">IF($A39&lt;EE_Date,VLOOKUP($A39,Curves_Table,Escalation!$D$291),Exch)</f>
        <v>1.0649999999999999</v>
      </c>
      <c r="H39" s="1483">
        <f t="shared" ca="1" si="6"/>
        <v>17582.805585377664</v>
      </c>
      <c r="I39" s="330">
        <f ca="1">VLOOKUP($A39,Plant_Table,'Plant Operations'!$C$270)</f>
        <v>480</v>
      </c>
      <c r="J39" s="1481">
        <f t="shared" ca="1" si="7"/>
        <v>8439.7466809812777</v>
      </c>
      <c r="K39" s="1480">
        <f t="shared" ca="1" si="8"/>
        <v>2.1614967567277539</v>
      </c>
      <c r="L39" s="384">
        <f t="shared" ca="1" si="9"/>
        <v>3904.5844758786679</v>
      </c>
      <c r="M39" s="692" t="str">
        <f t="shared" ca="1" si="0"/>
        <v xml:space="preserve"> </v>
      </c>
      <c r="O39" s="1482">
        <f ca="1">IF($A39&gt;Endyr,0,VLOOKUP($A39,Tariff_Table,Tariff!$H$33))</f>
        <v>6129.36</v>
      </c>
      <c r="P39" s="1480">
        <f t="shared" ca="1" si="10"/>
        <v>1.131432588926099</v>
      </c>
      <c r="Q39" s="1481">
        <f t="shared" ca="1" si="11"/>
        <v>6934.957653260074</v>
      </c>
      <c r="R39" s="1480">
        <f t="shared" ca="1" si="12"/>
        <v>2.1614967567277539</v>
      </c>
      <c r="S39" s="113">
        <f t="shared" ca="1" si="13"/>
        <v>1.0649999999999999</v>
      </c>
      <c r="T39" s="1481">
        <f t="shared" ca="1" si="14"/>
        <v>14075.012653113583</v>
      </c>
      <c r="U39" s="330">
        <f t="shared" ca="1" si="15"/>
        <v>480</v>
      </c>
      <c r="V39" s="1481">
        <f t="shared" ca="1" si="16"/>
        <v>6756.00607349452</v>
      </c>
      <c r="W39" s="1480">
        <f t="shared" ca="1" si="17"/>
        <v>2.1614967567277539</v>
      </c>
      <c r="X39" s="384">
        <f t="shared" ca="1" si="18"/>
        <v>3125.6147169622873</v>
      </c>
      <c r="Y39" s="692" t="str">
        <f t="shared" ca="1" si="1"/>
        <v xml:space="preserve"> </v>
      </c>
      <c r="AA39" s="1484">
        <f ca="1">IF($A39&gt;Endyr,0,VLOOKUP($A39,Tariff_Table,Tariff!$I$33))</f>
        <v>2.31</v>
      </c>
      <c r="AB39" s="1480">
        <f t="shared" ca="1" si="2"/>
        <v>1.131432588926099</v>
      </c>
      <c r="AC39" s="1483">
        <f t="shared" ca="1" si="19"/>
        <v>2.6136092804192885</v>
      </c>
      <c r="AD39" s="1480">
        <f t="shared" ca="1" si="20"/>
        <v>2.1614967567277539</v>
      </c>
      <c r="AE39" s="113">
        <f t="shared" ca="1" si="21"/>
        <v>1.0649999999999999</v>
      </c>
      <c r="AF39" s="1483">
        <f t="shared" ca="1" si="22"/>
        <v>5.3045145380092498</v>
      </c>
      <c r="AG39" s="334">
        <f ca="1">VLOOKUP($A39,Plant_Table,'Plant Operations'!$M$270)</f>
        <v>289336.32000000001</v>
      </c>
      <c r="AH39" s="1481">
        <f t="shared" ca="1" si="23"/>
        <v>1534.7887158140963</v>
      </c>
      <c r="AI39" s="1480">
        <f t="shared" ca="1" si="24"/>
        <v>2.1614967567277539</v>
      </c>
      <c r="AJ39" s="335">
        <f t="shared" ca="1" si="25"/>
        <v>710.05830151583564</v>
      </c>
      <c r="AK39" s="698" t="str">
        <f t="shared" ca="1" si="3"/>
        <v xml:space="preserve"> </v>
      </c>
      <c r="AM39" s="697">
        <f ca="1">IF($A39&gt;Endyr,0,VLOOKUP($A39,Tariff_Table,Tariff!$L$33))</f>
        <v>1.21</v>
      </c>
      <c r="AN39" s="1504">
        <f ca="1">VLOOKUP($A39,Curves_Table,Escalation!$Z$291)</f>
        <v>1.1585880825058716</v>
      </c>
      <c r="AO39" s="331">
        <f t="shared" ca="1" si="26"/>
        <v>1.4018915798321046</v>
      </c>
      <c r="AP39" s="331">
        <f ca="1">IF($A39&gt;Endyr,0,VLOOKUP($A39,Tariff_Table,Tariff!$M$33))</f>
        <v>0.25</v>
      </c>
      <c r="AQ39" s="331">
        <f t="shared" ca="1" si="27"/>
        <v>1.6518915798321046</v>
      </c>
      <c r="AR39" s="331">
        <f t="shared" ca="1" si="28"/>
        <v>1.46</v>
      </c>
      <c r="AS39" s="1508">
        <f t="shared" ca="1" si="29"/>
        <v>1.131432588926099</v>
      </c>
    </row>
    <row r="40" spans="1:45">
      <c r="A40" s="672">
        <f t="shared" si="4"/>
        <v>37803</v>
      </c>
      <c r="C40" s="1484">
        <f ca="1">IF($A40&gt;Endyr,0,VLOOKUP($A40,Tariff_Table,Tariff!$G$33))</f>
        <v>7428.1</v>
      </c>
      <c r="D40" s="1480">
        <f ca="1">VLOOKUP($A40,Curves_Table,Escalation!$V$291)</f>
        <v>1.166287045927733</v>
      </c>
      <c r="E40" s="1483">
        <f t="shared" ca="1" si="5"/>
        <v>8663.2968058557944</v>
      </c>
      <c r="F40" s="1480">
        <f ca="1">IF(Assm!$L$74=0,VLOOKUP($A40,Curves_Table,Escalation!$D$291),VLOOKUP($A40,Curves_Table,Escalation!$E$291))</f>
        <v>2.1676731274274914</v>
      </c>
      <c r="G40" s="113">
        <f ca="1">IF($A40&lt;EE_Date,VLOOKUP($A40,Curves_Table,Escalation!$D$291),Exch)</f>
        <v>1.0649999999999999</v>
      </c>
      <c r="H40" s="1483">
        <f t="shared" ca="1" si="6"/>
        <v>17633.047587776549</v>
      </c>
      <c r="I40" s="330">
        <f ca="1">VLOOKUP($A40,Plant_Table,'Plant Operations'!$C$270)</f>
        <v>480</v>
      </c>
      <c r="J40" s="1481">
        <f t="shared" ca="1" si="7"/>
        <v>8463.862842132743</v>
      </c>
      <c r="K40" s="1480">
        <f t="shared" ca="1" si="8"/>
        <v>2.1676731274274914</v>
      </c>
      <c r="L40" s="384">
        <f t="shared" ca="1" si="9"/>
        <v>3904.584475878667</v>
      </c>
      <c r="M40" s="692" t="str">
        <f t="shared" ca="1" si="0"/>
        <v xml:space="preserve"> </v>
      </c>
      <c r="O40" s="1482">
        <f ca="1">IF($A40&gt;Endyr,0,VLOOKUP($A40,Tariff_Table,Tariff!$H$33))</f>
        <v>6129.36</v>
      </c>
      <c r="P40" s="1480">
        <f t="shared" ca="1" si="10"/>
        <v>1.131432588926099</v>
      </c>
      <c r="Q40" s="1481">
        <f t="shared" ca="1" si="11"/>
        <v>6934.957653260074</v>
      </c>
      <c r="R40" s="1480">
        <f t="shared" ca="1" si="12"/>
        <v>2.1676731274274914</v>
      </c>
      <c r="S40" s="113">
        <f t="shared" ca="1" si="13"/>
        <v>1.0649999999999999</v>
      </c>
      <c r="T40" s="1481">
        <f t="shared" ca="1" si="14"/>
        <v>14115.231309689654</v>
      </c>
      <c r="U40" s="330">
        <f t="shared" ca="1" si="15"/>
        <v>480</v>
      </c>
      <c r="V40" s="1481">
        <f t="shared" ca="1" si="16"/>
        <v>6775.3110286510346</v>
      </c>
      <c r="W40" s="1480">
        <f t="shared" ca="1" si="17"/>
        <v>2.1676731274274914</v>
      </c>
      <c r="X40" s="384">
        <f t="shared" ca="1" si="18"/>
        <v>3125.6147169622873</v>
      </c>
      <c r="Y40" s="692" t="str">
        <f t="shared" ca="1" si="1"/>
        <v xml:space="preserve"> </v>
      </c>
      <c r="AA40" s="1484">
        <f ca="1">IF($A40&gt;Endyr,0,VLOOKUP($A40,Tariff_Table,Tariff!$I$33))</f>
        <v>2.31</v>
      </c>
      <c r="AB40" s="1480">
        <f t="shared" ca="1" si="2"/>
        <v>1.131432588926099</v>
      </c>
      <c r="AC40" s="1483">
        <f t="shared" ca="1" si="19"/>
        <v>2.6136092804192885</v>
      </c>
      <c r="AD40" s="1480">
        <f t="shared" ca="1" si="20"/>
        <v>2.1676731274274914</v>
      </c>
      <c r="AE40" s="113">
        <f t="shared" ca="1" si="21"/>
        <v>1.0649999999999999</v>
      </c>
      <c r="AF40" s="1483">
        <f t="shared" ca="1" si="22"/>
        <v>5.3196719274741735</v>
      </c>
      <c r="AG40" s="334">
        <f ca="1">VLOOKUP($A40,Plant_Table,'Plant Operations'!$M$270)</f>
        <v>298980.864</v>
      </c>
      <c r="AH40" s="1481">
        <f t="shared" ca="1" si="23"/>
        <v>1590.4801090727738</v>
      </c>
      <c r="AI40" s="1480">
        <f t="shared" ca="1" si="24"/>
        <v>2.1676731274274914</v>
      </c>
      <c r="AJ40" s="335">
        <f t="shared" ca="1" si="25"/>
        <v>733.72691156636358</v>
      </c>
      <c r="AK40" s="698" t="str">
        <f t="shared" ca="1" si="3"/>
        <v xml:space="preserve"> </v>
      </c>
      <c r="AM40" s="697">
        <f ca="1">IF($A40&gt;Endyr,0,VLOOKUP($A40,Tariff_Table,Tariff!$L$33))</f>
        <v>1.21</v>
      </c>
      <c r="AN40" s="1504">
        <f ca="1">VLOOKUP($A40,Curves_Table,Escalation!$Z$291)</f>
        <v>1.1585880825058716</v>
      </c>
      <c r="AO40" s="331">
        <f t="shared" ca="1" si="26"/>
        <v>1.4018915798321046</v>
      </c>
      <c r="AP40" s="331">
        <f ca="1">IF($A40&gt;Endyr,0,VLOOKUP($A40,Tariff_Table,Tariff!$M$33))</f>
        <v>0.25</v>
      </c>
      <c r="AQ40" s="331">
        <f t="shared" ca="1" si="27"/>
        <v>1.6518915798321046</v>
      </c>
      <c r="AR40" s="331">
        <f t="shared" ca="1" si="28"/>
        <v>1.46</v>
      </c>
      <c r="AS40" s="1508">
        <f t="shared" ca="1" si="29"/>
        <v>1.131432588926099</v>
      </c>
    </row>
    <row r="41" spans="1:45">
      <c r="A41" s="672">
        <f t="shared" si="4"/>
        <v>37834</v>
      </c>
      <c r="C41" s="1484">
        <f ca="1">IF($A41&gt;Endyr,0,VLOOKUP($A41,Tariff_Table,Tariff!$G$33))</f>
        <v>7428.1</v>
      </c>
      <c r="D41" s="1480">
        <f ca="1">VLOOKUP($A41,Curves_Table,Escalation!$V$291)</f>
        <v>1.166287045927733</v>
      </c>
      <c r="E41" s="1483">
        <f t="shared" ca="1" si="5"/>
        <v>8663.2968058557944</v>
      </c>
      <c r="F41" s="1480">
        <f ca="1">IF(Assm!$L$74=0,VLOOKUP($A41,Curves_Table,Escalation!$D$291),VLOOKUP($A41,Curves_Table,Escalation!$E$291))</f>
        <v>2.1738671468028063</v>
      </c>
      <c r="G41" s="113">
        <f ca="1">IF($A41&lt;EE_Date,VLOOKUP($A41,Curves_Table,Escalation!$D$291),Exch)</f>
        <v>1.0649999999999999</v>
      </c>
      <c r="H41" s="1483">
        <f t="shared" ca="1" si="6"/>
        <v>17683.433154226856</v>
      </c>
      <c r="I41" s="330">
        <f ca="1">VLOOKUP($A41,Plant_Table,'Plant Operations'!$C$270)</f>
        <v>480</v>
      </c>
      <c r="J41" s="1481">
        <f t="shared" ca="1" si="7"/>
        <v>8488.0479140288899</v>
      </c>
      <c r="K41" s="1480">
        <f t="shared" ca="1" si="8"/>
        <v>2.1738671468028063</v>
      </c>
      <c r="L41" s="384">
        <f t="shared" ca="1" si="9"/>
        <v>3904.5844758786675</v>
      </c>
      <c r="M41" s="692" t="str">
        <f t="shared" ca="1" si="0"/>
        <v xml:space="preserve"> </v>
      </c>
      <c r="O41" s="1482">
        <f ca="1">IF($A41&gt;Endyr,0,VLOOKUP($A41,Tariff_Table,Tariff!$H$33))</f>
        <v>6129.36</v>
      </c>
      <c r="P41" s="1480">
        <f t="shared" ca="1" si="10"/>
        <v>1.131432588926099</v>
      </c>
      <c r="Q41" s="1481">
        <f t="shared" ca="1" si="11"/>
        <v>6934.957653260074</v>
      </c>
      <c r="R41" s="1480">
        <f t="shared" ca="1" si="12"/>
        <v>2.1738671468028063</v>
      </c>
      <c r="S41" s="113">
        <f t="shared" ca="1" si="13"/>
        <v>1.0649999999999999</v>
      </c>
      <c r="T41" s="1481">
        <f t="shared" ca="1" si="14"/>
        <v>14155.564889099309</v>
      </c>
      <c r="U41" s="330">
        <f t="shared" ca="1" si="15"/>
        <v>480</v>
      </c>
      <c r="V41" s="1481">
        <f t="shared" ca="1" si="16"/>
        <v>6794.6711467676687</v>
      </c>
      <c r="W41" s="1480">
        <f t="shared" ca="1" si="17"/>
        <v>2.1738671468028063</v>
      </c>
      <c r="X41" s="384">
        <f t="shared" ca="1" si="18"/>
        <v>3125.6147169622873</v>
      </c>
      <c r="Y41" s="692" t="str">
        <f t="shared" ca="1" si="1"/>
        <v xml:space="preserve"> </v>
      </c>
      <c r="AA41" s="1484">
        <f ca="1">IF($A41&gt;Endyr,0,VLOOKUP($A41,Tariff_Table,Tariff!$I$33))</f>
        <v>2.31</v>
      </c>
      <c r="AB41" s="1480">
        <f t="shared" ca="1" si="2"/>
        <v>1.131432588926099</v>
      </c>
      <c r="AC41" s="1483">
        <f t="shared" ca="1" si="19"/>
        <v>2.6136092804192885</v>
      </c>
      <c r="AD41" s="1480">
        <f t="shared" ca="1" si="20"/>
        <v>2.1738671468028063</v>
      </c>
      <c r="AE41" s="113">
        <f t="shared" ca="1" si="21"/>
        <v>1.0649999999999999</v>
      </c>
      <c r="AF41" s="1483">
        <f t="shared" ca="1" si="22"/>
        <v>5.3348726284341916</v>
      </c>
      <c r="AG41" s="334">
        <f ca="1">VLOOKUP($A41,Plant_Table,'Plant Operations'!$M$270)</f>
        <v>298980.864</v>
      </c>
      <c r="AH41" s="1481">
        <f t="shared" ca="1" si="23"/>
        <v>1595.0248277792055</v>
      </c>
      <c r="AI41" s="1480">
        <f t="shared" ca="1" si="24"/>
        <v>2.1738671468028063</v>
      </c>
      <c r="AJ41" s="335">
        <f t="shared" ca="1" si="25"/>
        <v>733.72691156636347</v>
      </c>
      <c r="AK41" s="698" t="str">
        <f t="shared" ca="1" si="3"/>
        <v xml:space="preserve"> </v>
      </c>
      <c r="AM41" s="697">
        <f ca="1">IF($A41&gt;Endyr,0,VLOOKUP($A41,Tariff_Table,Tariff!$L$33))</f>
        <v>1.21</v>
      </c>
      <c r="AN41" s="1504">
        <f ca="1">VLOOKUP($A41,Curves_Table,Escalation!$Z$291)</f>
        <v>1.1585880825058716</v>
      </c>
      <c r="AO41" s="331">
        <f t="shared" ca="1" si="26"/>
        <v>1.4018915798321046</v>
      </c>
      <c r="AP41" s="331">
        <f ca="1">IF($A41&gt;Endyr,0,VLOOKUP($A41,Tariff_Table,Tariff!$M$33))</f>
        <v>0.25</v>
      </c>
      <c r="AQ41" s="331">
        <f t="shared" ca="1" si="27"/>
        <v>1.6518915798321046</v>
      </c>
      <c r="AR41" s="331">
        <f t="shared" ca="1" si="28"/>
        <v>1.46</v>
      </c>
      <c r="AS41" s="1508">
        <f t="shared" ca="1" si="29"/>
        <v>1.131432588926099</v>
      </c>
    </row>
    <row r="42" spans="1:45">
      <c r="A42" s="672">
        <f t="shared" si="4"/>
        <v>37865</v>
      </c>
      <c r="C42" s="1484">
        <f ca="1">IF($A42&gt;Endyr,0,VLOOKUP($A42,Tariff_Table,Tariff!$G$33))</f>
        <v>7428.1</v>
      </c>
      <c r="D42" s="1480">
        <f ca="1">VLOOKUP($A42,Curves_Table,Escalation!$V$291)</f>
        <v>1.166287045927733</v>
      </c>
      <c r="E42" s="1483">
        <f t="shared" ca="1" si="5"/>
        <v>8663.2968058557944</v>
      </c>
      <c r="F42" s="1480">
        <f ca="1">IF(Assm!$L$74=0,VLOOKUP($A42,Curves_Table,Escalation!$D$291),VLOOKUP($A42,Curves_Table,Escalation!$E$291))</f>
        <v>2.1800788652839209</v>
      </c>
      <c r="G42" s="113">
        <f ca="1">IF($A42&lt;EE_Date,VLOOKUP($A42,Curves_Table,Escalation!$D$291),Exch)</f>
        <v>1.0649999999999999</v>
      </c>
      <c r="H42" s="1483">
        <f t="shared" ca="1" si="6"/>
        <v>17733.962694955793</v>
      </c>
      <c r="I42" s="330">
        <f ca="1">VLOOKUP($A42,Plant_Table,'Plant Operations'!$C$270)</f>
        <v>480</v>
      </c>
      <c r="J42" s="1481">
        <f t="shared" ca="1" si="7"/>
        <v>8512.3020935787808</v>
      </c>
      <c r="K42" s="1480">
        <f t="shared" ca="1" si="8"/>
        <v>2.1800788652839209</v>
      </c>
      <c r="L42" s="384">
        <f t="shared" ca="1" si="9"/>
        <v>3904.5844758786684</v>
      </c>
      <c r="M42" s="692" t="str">
        <f t="shared" ca="1" si="0"/>
        <v xml:space="preserve"> </v>
      </c>
      <c r="O42" s="1482">
        <f ca="1">IF($A42&gt;Endyr,0,VLOOKUP($A42,Tariff_Table,Tariff!$H$33))</f>
        <v>6129.36</v>
      </c>
      <c r="P42" s="1480">
        <f t="shared" ca="1" si="10"/>
        <v>1.131432588926099</v>
      </c>
      <c r="Q42" s="1481">
        <f t="shared" ca="1" si="11"/>
        <v>6934.957653260074</v>
      </c>
      <c r="R42" s="1480">
        <f t="shared" ca="1" si="12"/>
        <v>2.1800788652839209</v>
      </c>
      <c r="S42" s="113">
        <f t="shared" ca="1" si="13"/>
        <v>1.0649999999999999</v>
      </c>
      <c r="T42" s="1481">
        <f t="shared" ca="1" si="14"/>
        <v>14196.013719728888</v>
      </c>
      <c r="U42" s="330">
        <f t="shared" ca="1" si="15"/>
        <v>480</v>
      </c>
      <c r="V42" s="1481">
        <f t="shared" ca="1" si="16"/>
        <v>6814.0865854698659</v>
      </c>
      <c r="W42" s="1480">
        <f t="shared" ca="1" si="17"/>
        <v>2.1800788652839209</v>
      </c>
      <c r="X42" s="384">
        <f t="shared" ca="1" si="18"/>
        <v>3125.6147169622868</v>
      </c>
      <c r="Y42" s="692" t="str">
        <f t="shared" ca="1" si="1"/>
        <v xml:space="preserve"> </v>
      </c>
      <c r="AA42" s="1484">
        <f ca="1">IF($A42&gt;Endyr,0,VLOOKUP($A42,Tariff_Table,Tariff!$I$33))</f>
        <v>2.31</v>
      </c>
      <c r="AB42" s="1480">
        <f t="shared" ca="1" si="2"/>
        <v>1.131432588926099</v>
      </c>
      <c r="AC42" s="1483">
        <f t="shared" ca="1" si="19"/>
        <v>2.6136092804192885</v>
      </c>
      <c r="AD42" s="1480">
        <f t="shared" ca="1" si="20"/>
        <v>2.1800788652839209</v>
      </c>
      <c r="AE42" s="113">
        <f t="shared" ca="1" si="21"/>
        <v>1.0649999999999999</v>
      </c>
      <c r="AF42" s="1483">
        <f t="shared" ca="1" si="22"/>
        <v>5.3501167646497727</v>
      </c>
      <c r="AG42" s="334">
        <f ca="1">VLOOKUP($A42,Plant_Table,'Plant Operations'!$M$270)</f>
        <v>289336.32000000001</v>
      </c>
      <c r="AH42" s="1481">
        <f t="shared" ca="1" si="23"/>
        <v>1547.9830962540714</v>
      </c>
      <c r="AI42" s="1480">
        <f t="shared" ca="1" si="24"/>
        <v>2.1800788652839209</v>
      </c>
      <c r="AJ42" s="335">
        <f t="shared" ca="1" si="25"/>
        <v>710.05830151583575</v>
      </c>
      <c r="AK42" s="698" t="str">
        <f t="shared" ca="1" si="3"/>
        <v xml:space="preserve"> </v>
      </c>
      <c r="AM42" s="697">
        <f ca="1">IF($A42&gt;Endyr,0,VLOOKUP($A42,Tariff_Table,Tariff!$L$33))</f>
        <v>1.21</v>
      </c>
      <c r="AN42" s="1504">
        <f ca="1">VLOOKUP($A42,Curves_Table,Escalation!$Z$291)</f>
        <v>1.1585880825058716</v>
      </c>
      <c r="AO42" s="331">
        <f t="shared" ca="1" si="26"/>
        <v>1.4018915798321046</v>
      </c>
      <c r="AP42" s="331">
        <f ca="1">IF($A42&gt;Endyr,0,VLOOKUP($A42,Tariff_Table,Tariff!$M$33))</f>
        <v>0.25</v>
      </c>
      <c r="AQ42" s="331">
        <f t="shared" ca="1" si="27"/>
        <v>1.6518915798321046</v>
      </c>
      <c r="AR42" s="331">
        <f t="shared" ca="1" si="28"/>
        <v>1.46</v>
      </c>
      <c r="AS42" s="1508">
        <f t="shared" ca="1" si="29"/>
        <v>1.131432588926099</v>
      </c>
    </row>
    <row r="43" spans="1:45">
      <c r="A43" s="672">
        <f t="shared" si="4"/>
        <v>37895</v>
      </c>
      <c r="C43" s="1484">
        <f ca="1">IF($A43&gt;Endyr,0,VLOOKUP($A43,Tariff_Table,Tariff!$G$33))</f>
        <v>7428.1</v>
      </c>
      <c r="D43" s="1480">
        <f ca="1">VLOOKUP($A43,Curves_Table,Escalation!$V$291)</f>
        <v>1.166287045927733</v>
      </c>
      <c r="E43" s="1483">
        <f t="shared" ca="1" si="5"/>
        <v>8663.2968058557944</v>
      </c>
      <c r="F43" s="1480">
        <f ca="1">IF(Assm!$L$74=0,VLOOKUP($A43,Curves_Table,Escalation!$D$291),VLOOKUP($A43,Curves_Table,Escalation!$E$291))</f>
        <v>2.1863083334451598</v>
      </c>
      <c r="G43" s="113">
        <f ca="1">IF($A43&lt;EE_Date,VLOOKUP($A43,Curves_Table,Escalation!$D$291),Exch)</f>
        <v>1.0649999999999999</v>
      </c>
      <c r="H43" s="1483">
        <f t="shared" ca="1" si="6"/>
        <v>17784.636621362777</v>
      </c>
      <c r="I43" s="330">
        <f ca="1">VLOOKUP($A43,Plant_Table,'Plant Operations'!$C$270)</f>
        <v>480</v>
      </c>
      <c r="J43" s="1481">
        <f t="shared" ca="1" si="7"/>
        <v>8536.6255782541339</v>
      </c>
      <c r="K43" s="1480">
        <f t="shared" ca="1" si="8"/>
        <v>2.1863083334451598</v>
      </c>
      <c r="L43" s="384">
        <f t="shared" ca="1" si="9"/>
        <v>3904.5844758786679</v>
      </c>
      <c r="M43" s="692" t="str">
        <f t="shared" ca="1" si="0"/>
        <v xml:space="preserve"> </v>
      </c>
      <c r="O43" s="1482">
        <f ca="1">IF($A43&gt;Endyr,0,VLOOKUP($A43,Tariff_Table,Tariff!$H$33))</f>
        <v>6129.36</v>
      </c>
      <c r="P43" s="1480">
        <f t="shared" ca="1" si="10"/>
        <v>1.131432588926099</v>
      </c>
      <c r="Q43" s="1481">
        <f t="shared" ca="1" si="11"/>
        <v>6934.957653260074</v>
      </c>
      <c r="R43" s="1480">
        <f t="shared" ca="1" si="12"/>
        <v>2.1863083334451598</v>
      </c>
      <c r="S43" s="113">
        <f t="shared" ca="1" si="13"/>
        <v>1.0649999999999999</v>
      </c>
      <c r="T43" s="1481">
        <f t="shared" ca="1" si="14"/>
        <v>14236.57813090309</v>
      </c>
      <c r="U43" s="330">
        <f t="shared" ca="1" si="15"/>
        <v>480</v>
      </c>
      <c r="V43" s="1481">
        <f t="shared" ca="1" si="16"/>
        <v>6833.5575028334824</v>
      </c>
      <c r="W43" s="1480">
        <f t="shared" ca="1" si="17"/>
        <v>2.1863083334451598</v>
      </c>
      <c r="X43" s="384">
        <f t="shared" ca="1" si="18"/>
        <v>3125.6147169622868</v>
      </c>
      <c r="Y43" s="692" t="str">
        <f t="shared" ca="1" si="1"/>
        <v xml:space="preserve"> </v>
      </c>
      <c r="AA43" s="1484">
        <f ca="1">IF($A43&gt;Endyr,0,VLOOKUP($A43,Tariff_Table,Tariff!$I$33))</f>
        <v>2.31</v>
      </c>
      <c r="AB43" s="1480">
        <f t="shared" ca="1" si="2"/>
        <v>1.131432588926099</v>
      </c>
      <c r="AC43" s="1483">
        <f t="shared" ca="1" si="19"/>
        <v>2.6136092804192885</v>
      </c>
      <c r="AD43" s="1480">
        <f t="shared" ca="1" si="20"/>
        <v>2.1863083334451598</v>
      </c>
      <c r="AE43" s="113">
        <f t="shared" ca="1" si="21"/>
        <v>1.0649999999999999</v>
      </c>
      <c r="AF43" s="1483">
        <f t="shared" ca="1" si="22"/>
        <v>5.3654044602350224</v>
      </c>
      <c r="AG43" s="334">
        <f ca="1">VLOOKUP($A43,Plant_Table,'Plant Operations'!$M$270)</f>
        <v>298980.864</v>
      </c>
      <c r="AH43" s="1481">
        <f t="shared" ca="1" si="23"/>
        <v>1604.1532612305207</v>
      </c>
      <c r="AI43" s="1480">
        <f t="shared" ca="1" si="24"/>
        <v>2.1863083334451598</v>
      </c>
      <c r="AJ43" s="335">
        <f t="shared" ca="1" si="25"/>
        <v>733.7269115663637</v>
      </c>
      <c r="AK43" s="698" t="str">
        <f t="shared" ca="1" si="3"/>
        <v xml:space="preserve"> </v>
      </c>
      <c r="AM43" s="697">
        <f ca="1">IF($A43&gt;Endyr,0,VLOOKUP($A43,Tariff_Table,Tariff!$L$33))</f>
        <v>1.21</v>
      </c>
      <c r="AN43" s="1504">
        <f ca="1">VLOOKUP($A43,Curves_Table,Escalation!$Z$291)</f>
        <v>1.1585880825058716</v>
      </c>
      <c r="AO43" s="331">
        <f t="shared" ca="1" si="26"/>
        <v>1.4018915798321046</v>
      </c>
      <c r="AP43" s="331">
        <f ca="1">IF($A43&gt;Endyr,0,VLOOKUP($A43,Tariff_Table,Tariff!$M$33))</f>
        <v>0.25</v>
      </c>
      <c r="AQ43" s="331">
        <f t="shared" ca="1" si="27"/>
        <v>1.6518915798321046</v>
      </c>
      <c r="AR43" s="331">
        <f t="shared" ca="1" si="28"/>
        <v>1.46</v>
      </c>
      <c r="AS43" s="1508">
        <f t="shared" ca="1" si="29"/>
        <v>1.131432588926099</v>
      </c>
    </row>
    <row r="44" spans="1:45">
      <c r="A44" s="672">
        <f t="shared" si="4"/>
        <v>37926</v>
      </c>
      <c r="C44" s="1484">
        <f ca="1">IF($A44&gt;Endyr,0,VLOOKUP($A44,Tariff_Table,Tariff!$G$33))</f>
        <v>7428.1</v>
      </c>
      <c r="D44" s="1480">
        <f ca="1">VLOOKUP($A44,Curves_Table,Escalation!$V$291)</f>
        <v>1.166287045927733</v>
      </c>
      <c r="E44" s="1483">
        <f t="shared" ca="1" si="5"/>
        <v>8663.2968058557944</v>
      </c>
      <c r="F44" s="1480">
        <f ca="1">IF(Assm!$L$74=0,VLOOKUP($A44,Curves_Table,Escalation!$D$291),VLOOKUP($A44,Curves_Table,Escalation!$E$291))</f>
        <v>2.1925556020053616</v>
      </c>
      <c r="G44" s="113">
        <f ca="1">IF($A44&lt;EE_Date,VLOOKUP($A44,Curves_Table,Escalation!$D$291),Exch)</f>
        <v>1.0649999999999999</v>
      </c>
      <c r="H44" s="1483">
        <f t="shared" ca="1" si="6"/>
        <v>17835.455346022794</v>
      </c>
      <c r="I44" s="330">
        <f ca="1">VLOOKUP($A44,Plant_Table,'Plant Operations'!$C$270)</f>
        <v>480</v>
      </c>
      <c r="J44" s="1481">
        <f t="shared" ca="1" si="7"/>
        <v>8561.018566090941</v>
      </c>
      <c r="K44" s="1480">
        <f t="shared" ca="1" si="8"/>
        <v>2.1925556020053616</v>
      </c>
      <c r="L44" s="384">
        <f t="shared" ca="1" si="9"/>
        <v>3904.5844758786675</v>
      </c>
      <c r="M44" s="692" t="str">
        <f t="shared" ca="1" si="0"/>
        <v xml:space="preserve"> </v>
      </c>
      <c r="O44" s="1482">
        <f ca="1">IF($A44&gt;Endyr,0,VLOOKUP($A44,Tariff_Table,Tariff!$H$33))</f>
        <v>6129.36</v>
      </c>
      <c r="P44" s="1480">
        <f t="shared" ca="1" si="10"/>
        <v>1.131432588926099</v>
      </c>
      <c r="Q44" s="1481">
        <f t="shared" ca="1" si="11"/>
        <v>6934.957653260074</v>
      </c>
      <c r="R44" s="1480">
        <f t="shared" ca="1" si="12"/>
        <v>2.1925556020053616</v>
      </c>
      <c r="S44" s="113">
        <f t="shared" ca="1" si="13"/>
        <v>1.0649999999999999</v>
      </c>
      <c r="T44" s="1481">
        <f t="shared" ca="1" si="14"/>
        <v>14277.258452887636</v>
      </c>
      <c r="U44" s="330">
        <f t="shared" ca="1" si="15"/>
        <v>480</v>
      </c>
      <c r="V44" s="1481">
        <f t="shared" ca="1" si="16"/>
        <v>6853.0840573860651</v>
      </c>
      <c r="W44" s="1480">
        <f t="shared" ca="1" si="17"/>
        <v>2.1925556020053616</v>
      </c>
      <c r="X44" s="384">
        <f t="shared" ca="1" si="18"/>
        <v>3125.6147169622868</v>
      </c>
      <c r="Y44" s="692" t="str">
        <f t="shared" ca="1" si="1"/>
        <v xml:space="preserve"> </v>
      </c>
      <c r="AA44" s="1484">
        <f ca="1">IF($A44&gt;Endyr,0,VLOOKUP($A44,Tariff_Table,Tariff!$I$33))</f>
        <v>2.31</v>
      </c>
      <c r="AB44" s="1480">
        <f t="shared" ca="1" si="2"/>
        <v>1.131432588926099</v>
      </c>
      <c r="AC44" s="1483">
        <f t="shared" ca="1" si="19"/>
        <v>2.6136092804192885</v>
      </c>
      <c r="AD44" s="1480">
        <f t="shared" ca="1" si="20"/>
        <v>2.1925556020053616</v>
      </c>
      <c r="AE44" s="113">
        <f t="shared" ca="1" si="21"/>
        <v>1.0649999999999999</v>
      </c>
      <c r="AF44" s="1483">
        <f t="shared" ca="1" si="22"/>
        <v>5.3807358396586977</v>
      </c>
      <c r="AG44" s="334">
        <f ca="1">VLOOKUP($A44,Plant_Table,'Plant Operations'!$M$270)</f>
        <v>289336.32000000001</v>
      </c>
      <c r="AH44" s="1481">
        <f t="shared" ca="1" si="23"/>
        <v>1556.8423067389579</v>
      </c>
      <c r="AI44" s="1480">
        <f t="shared" ca="1" si="24"/>
        <v>2.1925556020053616</v>
      </c>
      <c r="AJ44" s="335">
        <f t="shared" ca="1" si="25"/>
        <v>710.05830151583575</v>
      </c>
      <c r="AK44" s="698" t="str">
        <f t="shared" ca="1" si="3"/>
        <v xml:space="preserve"> </v>
      </c>
      <c r="AM44" s="697">
        <f ca="1">IF($A44&gt;Endyr,0,VLOOKUP($A44,Tariff_Table,Tariff!$L$33))</f>
        <v>1.21</v>
      </c>
      <c r="AN44" s="1504">
        <f ca="1">VLOOKUP($A44,Curves_Table,Escalation!$Z$291)</f>
        <v>1.1585880825058716</v>
      </c>
      <c r="AO44" s="331">
        <f t="shared" ca="1" si="26"/>
        <v>1.4018915798321046</v>
      </c>
      <c r="AP44" s="331">
        <f ca="1">IF($A44&gt;Endyr,0,VLOOKUP($A44,Tariff_Table,Tariff!$M$33))</f>
        <v>0.25</v>
      </c>
      <c r="AQ44" s="331">
        <f t="shared" ca="1" si="27"/>
        <v>1.6518915798321046</v>
      </c>
      <c r="AR44" s="331">
        <f t="shared" ca="1" si="28"/>
        <v>1.46</v>
      </c>
      <c r="AS44" s="1508">
        <f t="shared" ca="1" si="29"/>
        <v>1.131432588926099</v>
      </c>
    </row>
    <row r="45" spans="1:45">
      <c r="A45" s="672">
        <f t="shared" si="4"/>
        <v>37956</v>
      </c>
      <c r="C45" s="1484">
        <f ca="1">IF($A45&gt;Endyr,0,VLOOKUP($A45,Tariff_Table,Tariff!$G$33))</f>
        <v>7428.1</v>
      </c>
      <c r="D45" s="1480">
        <f ca="1">VLOOKUP($A45,Curves_Table,Escalation!$V$291)</f>
        <v>1.166287045927733</v>
      </c>
      <c r="E45" s="1483">
        <f t="shared" ca="1" si="5"/>
        <v>8663.2968058557944</v>
      </c>
      <c r="F45" s="1480">
        <f ca="1">IF(Assm!$L$74=0,VLOOKUP($A45,Curves_Table,Escalation!$D$291),VLOOKUP($A45,Curves_Table,Escalation!$E$291))</f>
        <v>2.1988207218282909</v>
      </c>
      <c r="G45" s="113">
        <f ca="1">IF($A45&lt;EE_Date,VLOOKUP($A45,Curves_Table,Escalation!$D$291),Exch)</f>
        <v>1.0649999999999999</v>
      </c>
      <c r="H45" s="1483">
        <f t="shared" ca="1" si="6"/>
        <v>17886.419282689734</v>
      </c>
      <c r="I45" s="330">
        <f ca="1">VLOOKUP($A45,Plant_Table,'Plant Operations'!$C$270)</f>
        <v>480</v>
      </c>
      <c r="J45" s="1481">
        <f t="shared" ca="1" si="7"/>
        <v>8585.4812556910729</v>
      </c>
      <c r="K45" s="1480">
        <f t="shared" ca="1" si="8"/>
        <v>2.1988207218282909</v>
      </c>
      <c r="L45" s="384">
        <f t="shared" ca="1" si="9"/>
        <v>3904.5844758786684</v>
      </c>
      <c r="M45" s="692">
        <f t="shared" ca="1" si="0"/>
        <v>46382.042023491813</v>
      </c>
      <c r="O45" s="1482">
        <f ca="1">IF($A45&gt;Endyr,0,VLOOKUP($A45,Tariff_Table,Tariff!$H$33))</f>
        <v>6129.36</v>
      </c>
      <c r="P45" s="1480">
        <f t="shared" ca="1" si="10"/>
        <v>1.131432588926099</v>
      </c>
      <c r="Q45" s="1481">
        <f t="shared" ca="1" si="11"/>
        <v>6934.957653260074</v>
      </c>
      <c r="R45" s="1480">
        <f t="shared" ca="1" si="12"/>
        <v>2.1988207218282909</v>
      </c>
      <c r="S45" s="113">
        <f t="shared" ca="1" si="13"/>
        <v>1.0649999999999999</v>
      </c>
      <c r="T45" s="1481">
        <f t="shared" ca="1" si="14"/>
        <v>14318.055016891969</v>
      </c>
      <c r="U45" s="330">
        <f t="shared" ca="1" si="15"/>
        <v>480</v>
      </c>
      <c r="V45" s="1481">
        <f t="shared" ca="1" si="16"/>
        <v>6872.6664081081453</v>
      </c>
      <c r="W45" s="1480">
        <f t="shared" ca="1" si="17"/>
        <v>2.1988207218282909</v>
      </c>
      <c r="X45" s="384">
        <f t="shared" ca="1" si="18"/>
        <v>3125.6147169622873</v>
      </c>
      <c r="Y45" s="692">
        <f t="shared" ca="1" si="1"/>
        <v>37170.039409474404</v>
      </c>
      <c r="AA45" s="1484">
        <f ca="1">IF($A45&gt;Endyr,0,VLOOKUP($A45,Tariff_Table,Tariff!$I$33))</f>
        <v>2.31</v>
      </c>
      <c r="AB45" s="1480">
        <f t="shared" ca="1" si="2"/>
        <v>1.131432588926099</v>
      </c>
      <c r="AC45" s="1483">
        <f t="shared" ca="1" si="19"/>
        <v>2.6136092804192885</v>
      </c>
      <c r="AD45" s="1480">
        <f t="shared" ca="1" si="20"/>
        <v>2.1988207218282909</v>
      </c>
      <c r="AE45" s="113">
        <f t="shared" ca="1" si="21"/>
        <v>1.0649999999999999</v>
      </c>
      <c r="AF45" s="1483">
        <f t="shared" ca="1" si="22"/>
        <v>5.3961110277452207</v>
      </c>
      <c r="AG45" s="334">
        <f ca="1">VLOOKUP($A45,Plant_Table,'Plant Operations'!$M$270)</f>
        <v>298980.864</v>
      </c>
      <c r="AH45" s="1481">
        <f t="shared" ca="1" si="23"/>
        <v>1613.3339373151941</v>
      </c>
      <c r="AI45" s="1480">
        <f t="shared" ca="1" si="24"/>
        <v>2.1988207218282909</v>
      </c>
      <c r="AJ45" s="335">
        <f t="shared" ca="1" si="25"/>
        <v>733.72691156636358</v>
      </c>
      <c r="AK45" s="698">
        <f t="shared" ca="1" si="3"/>
        <v>8562.2526594248866</v>
      </c>
      <c r="AM45" s="697">
        <f ca="1">IF($A45&gt;Endyr,0,VLOOKUP($A45,Tariff_Table,Tariff!$L$33))</f>
        <v>1.21</v>
      </c>
      <c r="AN45" s="1504">
        <f ca="1">VLOOKUP($A45,Curves_Table,Escalation!$Z$291)</f>
        <v>1.1585880825058716</v>
      </c>
      <c r="AO45" s="331">
        <f t="shared" ca="1" si="26"/>
        <v>1.4018915798321046</v>
      </c>
      <c r="AP45" s="331">
        <f ca="1">IF($A45&gt;Endyr,0,VLOOKUP($A45,Tariff_Table,Tariff!$M$33))</f>
        <v>0.25</v>
      </c>
      <c r="AQ45" s="331">
        <f t="shared" ca="1" si="27"/>
        <v>1.6518915798321046</v>
      </c>
      <c r="AR45" s="331">
        <f t="shared" ca="1" si="28"/>
        <v>1.46</v>
      </c>
      <c r="AS45" s="1508">
        <f t="shared" ca="1" si="29"/>
        <v>1.131432588926099</v>
      </c>
    </row>
    <row r="46" spans="1:45">
      <c r="A46" s="672">
        <f t="shared" si="4"/>
        <v>37987</v>
      </c>
      <c r="C46" s="1484">
        <f ca="1">IF($A46&gt;Endyr,0,VLOOKUP($A46,Tariff_Table,Tariff!$G$33))</f>
        <v>7428.1</v>
      </c>
      <c r="D46" s="1480">
        <f ca="1">VLOOKUP($A46,Curves_Table,Escalation!$V$291)</f>
        <v>1.166287045927733</v>
      </c>
      <c r="E46" s="1483">
        <f t="shared" ca="1" si="5"/>
        <v>8663.2968058557944</v>
      </c>
      <c r="F46" s="1480">
        <f ca="1">IF(Assm!$L$74=0,VLOOKUP($A46,Curves_Table,Escalation!$D$291),VLOOKUP($A46,Curves_Table,Escalation!$E$291))</f>
        <v>2.2045030649335842</v>
      </c>
      <c r="G46" s="113">
        <f ca="1">IF($A46&lt;EE_Date,VLOOKUP($A46,Curves_Table,Escalation!$D$291),Exch)</f>
        <v>1.0649999999999999</v>
      </c>
      <c r="H46" s="1483">
        <f t="shared" ca="1" si="6"/>
        <v>17932.642592430449</v>
      </c>
      <c r="I46" s="330">
        <f ca="1">VLOOKUP($A46,Plant_Table,'Plant Operations'!$C$270)</f>
        <v>480</v>
      </c>
      <c r="J46" s="1481">
        <f t="shared" ca="1" si="7"/>
        <v>8607.6684443666145</v>
      </c>
      <c r="K46" s="1480">
        <f t="shared" ca="1" si="8"/>
        <v>2.2045030649335842</v>
      </c>
      <c r="L46" s="384">
        <f t="shared" ca="1" si="9"/>
        <v>3904.5844758786675</v>
      </c>
      <c r="M46" s="692" t="str">
        <f t="shared" ca="1" si="0"/>
        <v xml:space="preserve"> </v>
      </c>
      <c r="O46" s="1482">
        <f ca="1">IF($A46&gt;Endyr,0,VLOOKUP($A46,Tariff_Table,Tariff!$H$33))</f>
        <v>6129.36</v>
      </c>
      <c r="P46" s="1480">
        <f t="shared" ca="1" si="10"/>
        <v>1.131432588926099</v>
      </c>
      <c r="Q46" s="1481">
        <f t="shared" ca="1" si="11"/>
        <v>6934.957653260074</v>
      </c>
      <c r="R46" s="1480">
        <f t="shared" ca="1" si="12"/>
        <v>2.2045030649335842</v>
      </c>
      <c r="S46" s="113">
        <f t="shared" ca="1" si="13"/>
        <v>1.0649999999999999</v>
      </c>
      <c r="T46" s="1481">
        <f t="shared" ca="1" si="14"/>
        <v>14355.056715301831</v>
      </c>
      <c r="U46" s="330">
        <f t="shared" ca="1" si="15"/>
        <v>480</v>
      </c>
      <c r="V46" s="1481">
        <f t="shared" ca="1" si="16"/>
        <v>6890.4272233448792</v>
      </c>
      <c r="W46" s="1480">
        <f t="shared" ca="1" si="17"/>
        <v>2.2045030649335842</v>
      </c>
      <c r="X46" s="384">
        <f t="shared" ca="1" si="18"/>
        <v>3125.6147169622873</v>
      </c>
      <c r="Y46" s="692" t="str">
        <f t="shared" ca="1" si="1"/>
        <v xml:space="preserve"> </v>
      </c>
      <c r="AA46" s="1484">
        <f ca="1">IF($A46&gt;Endyr,0,VLOOKUP($A46,Tariff_Table,Tariff!$I$33))</f>
        <v>2.31</v>
      </c>
      <c r="AB46" s="1480">
        <f t="shared" ca="1" si="2"/>
        <v>1.131432588926099</v>
      </c>
      <c r="AC46" s="1483">
        <f t="shared" ca="1" si="19"/>
        <v>2.6136092804192885</v>
      </c>
      <c r="AD46" s="1480">
        <f t="shared" ca="1" si="20"/>
        <v>2.2045030649335842</v>
      </c>
      <c r="AE46" s="113">
        <f t="shared" ca="1" si="21"/>
        <v>1.0649999999999999</v>
      </c>
      <c r="AF46" s="1483">
        <f t="shared" ca="1" si="22"/>
        <v>5.4100560274396061</v>
      </c>
      <c r="AG46" s="334">
        <f ca="1">VLOOKUP($A46,Plant_Table,'Plant Operations'!$M$270)</f>
        <v>298980.864</v>
      </c>
      <c r="AH46" s="1481">
        <f t="shared" ca="1" si="23"/>
        <v>1617.5032253723011</v>
      </c>
      <c r="AI46" s="1480">
        <f t="shared" ca="1" si="24"/>
        <v>2.2045030649335842</v>
      </c>
      <c r="AJ46" s="335">
        <f t="shared" ca="1" si="25"/>
        <v>733.72691156636347</v>
      </c>
      <c r="AK46" s="698" t="str">
        <f t="shared" ca="1" si="3"/>
        <v xml:space="preserve"> </v>
      </c>
      <c r="AM46" s="697">
        <f ca="1">IF($A46&gt;Endyr,0,VLOOKUP($A46,Tariff_Table,Tariff!$L$33))</f>
        <v>1.21</v>
      </c>
      <c r="AN46" s="1504">
        <f ca="1">VLOOKUP($A46,Curves_Table,Escalation!$Z$291)</f>
        <v>1.1585880825058716</v>
      </c>
      <c r="AO46" s="331">
        <f t="shared" ca="1" si="26"/>
        <v>1.4018915798321046</v>
      </c>
      <c r="AP46" s="331">
        <f ca="1">IF($A46&gt;Endyr,0,VLOOKUP($A46,Tariff_Table,Tariff!$M$33))</f>
        <v>0.25</v>
      </c>
      <c r="AQ46" s="331">
        <f t="shared" ca="1" si="27"/>
        <v>1.6518915798321046</v>
      </c>
      <c r="AR46" s="331">
        <f t="shared" ca="1" si="28"/>
        <v>1.46</v>
      </c>
      <c r="AS46" s="1508">
        <f t="shared" ca="1" si="29"/>
        <v>1.131432588926099</v>
      </c>
    </row>
    <row r="47" spans="1:45">
      <c r="A47" s="672">
        <f t="shared" si="4"/>
        <v>38018</v>
      </c>
      <c r="C47" s="1484">
        <f ca="1">IF($A47&gt;Endyr,0,VLOOKUP($A47,Tariff_Table,Tariff!$G$33))</f>
        <v>7428.1</v>
      </c>
      <c r="D47" s="1480">
        <f ca="1">VLOOKUP($A47,Curves_Table,Escalation!$V$291)</f>
        <v>1.166287045927733</v>
      </c>
      <c r="E47" s="1483">
        <f t="shared" ca="1" si="5"/>
        <v>8663.2968058557944</v>
      </c>
      <c r="F47" s="1480">
        <f ca="1">IF(Assm!$L$74=0,VLOOKUP($A47,Curves_Table,Escalation!$D$291),VLOOKUP($A47,Curves_Table,Escalation!$E$291))</f>
        <v>2.2102000927391106</v>
      </c>
      <c r="G47" s="113">
        <f ca="1">IF($A47&lt;EE_Date,VLOOKUP($A47,Curves_Table,Escalation!$D$291),Exch)</f>
        <v>1.0649999999999999</v>
      </c>
      <c r="H47" s="1483">
        <f t="shared" ca="1" si="6"/>
        <v>17978.985355614008</v>
      </c>
      <c r="I47" s="330">
        <f ca="1">VLOOKUP($A47,Plant_Table,'Plant Operations'!$C$270)</f>
        <v>480</v>
      </c>
      <c r="J47" s="1481">
        <f t="shared" ca="1" si="7"/>
        <v>8629.9129706947242</v>
      </c>
      <c r="K47" s="1480">
        <f t="shared" ca="1" si="8"/>
        <v>2.2102000927391106</v>
      </c>
      <c r="L47" s="384">
        <f t="shared" ca="1" si="9"/>
        <v>3904.5844758786684</v>
      </c>
      <c r="M47" s="692" t="str">
        <f t="shared" ca="1" si="0"/>
        <v xml:space="preserve"> </v>
      </c>
      <c r="O47" s="1482">
        <f ca="1">IF($A47&gt;Endyr,0,VLOOKUP($A47,Tariff_Table,Tariff!$H$33))</f>
        <v>6129.36</v>
      </c>
      <c r="P47" s="1480">
        <f t="shared" ca="1" si="10"/>
        <v>1.131432588926099</v>
      </c>
      <c r="Q47" s="1481">
        <f t="shared" ca="1" si="11"/>
        <v>6934.957653260074</v>
      </c>
      <c r="R47" s="1480">
        <f t="shared" ca="1" si="12"/>
        <v>2.2102000927391106</v>
      </c>
      <c r="S47" s="113">
        <f t="shared" ca="1" si="13"/>
        <v>1.0649999999999999</v>
      </c>
      <c r="T47" s="1481">
        <f t="shared" ca="1" si="14"/>
        <v>14392.15403603495</v>
      </c>
      <c r="U47" s="330">
        <f t="shared" ca="1" si="15"/>
        <v>480</v>
      </c>
      <c r="V47" s="1481">
        <f t="shared" ca="1" si="16"/>
        <v>6908.2339372967763</v>
      </c>
      <c r="W47" s="1480">
        <f t="shared" ca="1" si="17"/>
        <v>2.2102000927391106</v>
      </c>
      <c r="X47" s="384">
        <f t="shared" ca="1" si="18"/>
        <v>3125.6147169622873</v>
      </c>
      <c r="Y47" s="692" t="str">
        <f t="shared" ca="1" si="1"/>
        <v xml:space="preserve"> </v>
      </c>
      <c r="AA47" s="1484">
        <f ca="1">IF($A47&gt;Endyr,0,VLOOKUP($A47,Tariff_Table,Tariff!$I$33))</f>
        <v>2.31</v>
      </c>
      <c r="AB47" s="1480">
        <f t="shared" ca="1" si="2"/>
        <v>1.131432588926099</v>
      </c>
      <c r="AC47" s="1483">
        <f t="shared" ca="1" si="19"/>
        <v>2.6136092804192885</v>
      </c>
      <c r="AD47" s="1480">
        <f t="shared" ca="1" si="20"/>
        <v>2.2102000927391106</v>
      </c>
      <c r="AE47" s="113">
        <f t="shared" ca="1" si="21"/>
        <v>1.0649999999999999</v>
      </c>
      <c r="AF47" s="1483">
        <f t="shared" ca="1" si="22"/>
        <v>5.4240370647572878</v>
      </c>
      <c r="AG47" s="334">
        <f ca="1">VLOOKUP($A47,Plant_Table,'Plant Operations'!$M$270)</f>
        <v>279691.77600000001</v>
      </c>
      <c r="AH47" s="1481">
        <f t="shared" ca="1" si="23"/>
        <v>1517.0585597317929</v>
      </c>
      <c r="AI47" s="1480">
        <f t="shared" ca="1" si="24"/>
        <v>2.2102000927391106</v>
      </c>
      <c r="AJ47" s="335">
        <f t="shared" ca="1" si="25"/>
        <v>686.38969146530781</v>
      </c>
      <c r="AK47" s="698" t="str">
        <f t="shared" ca="1" si="3"/>
        <v xml:space="preserve"> </v>
      </c>
      <c r="AM47" s="697">
        <f ca="1">IF($A47&gt;Endyr,0,VLOOKUP($A47,Tariff_Table,Tariff!$L$33))</f>
        <v>1.21</v>
      </c>
      <c r="AN47" s="1504">
        <f ca="1">VLOOKUP($A47,Curves_Table,Escalation!$Z$291)</f>
        <v>1.1585880825058716</v>
      </c>
      <c r="AO47" s="331">
        <f t="shared" ca="1" si="26"/>
        <v>1.4018915798321046</v>
      </c>
      <c r="AP47" s="331">
        <f ca="1">IF($A47&gt;Endyr,0,VLOOKUP($A47,Tariff_Table,Tariff!$M$33))</f>
        <v>0.25</v>
      </c>
      <c r="AQ47" s="331">
        <f t="shared" ca="1" si="27"/>
        <v>1.6518915798321046</v>
      </c>
      <c r="AR47" s="331">
        <f t="shared" ca="1" si="28"/>
        <v>1.46</v>
      </c>
      <c r="AS47" s="1508">
        <f t="shared" ca="1" si="29"/>
        <v>1.131432588926099</v>
      </c>
    </row>
    <row r="48" spans="1:45">
      <c r="A48" s="672">
        <f t="shared" si="4"/>
        <v>38047</v>
      </c>
      <c r="C48" s="1484">
        <f ca="1">IF($A48&gt;Endyr,0,VLOOKUP($A48,Tariff_Table,Tariff!$G$33))</f>
        <v>7428.1</v>
      </c>
      <c r="D48" s="1480">
        <f ca="1">VLOOKUP($A48,Curves_Table,Escalation!$V$291)</f>
        <v>1.166287045927733</v>
      </c>
      <c r="E48" s="1483">
        <f t="shared" ca="1" si="5"/>
        <v>8663.2968058557944</v>
      </c>
      <c r="F48" s="1480">
        <f ca="1">IF(Assm!$L$74=0,VLOOKUP($A48,Curves_Table,Escalation!$D$291),VLOOKUP($A48,Curves_Table,Escalation!$E$291))</f>
        <v>2.2159118431940779</v>
      </c>
      <c r="G48" s="113">
        <f ca="1">IF($A48&lt;EE_Date,VLOOKUP($A48,Curves_Table,Escalation!$D$291),Exch)</f>
        <v>1.0649999999999999</v>
      </c>
      <c r="H48" s="1483">
        <f t="shared" ca="1" si="6"/>
        <v>18025.447880940173</v>
      </c>
      <c r="I48" s="330">
        <f ca="1">VLOOKUP($A48,Plant_Table,'Plant Operations'!$C$270)</f>
        <v>480</v>
      </c>
      <c r="J48" s="1481">
        <f t="shared" ca="1" si="7"/>
        <v>8652.2149828512829</v>
      </c>
      <c r="K48" s="1480">
        <f t="shared" ca="1" si="8"/>
        <v>2.2159118431940779</v>
      </c>
      <c r="L48" s="384">
        <f t="shared" ca="1" si="9"/>
        <v>3904.5844758786684</v>
      </c>
      <c r="M48" s="692" t="str">
        <f t="shared" ca="1" si="0"/>
        <v xml:space="preserve"> </v>
      </c>
      <c r="O48" s="1482">
        <f ca="1">IF($A48&gt;Endyr,0,VLOOKUP($A48,Tariff_Table,Tariff!$H$33))</f>
        <v>6129.36</v>
      </c>
      <c r="P48" s="1480">
        <f t="shared" ca="1" si="10"/>
        <v>1.131432588926099</v>
      </c>
      <c r="Q48" s="1481">
        <f t="shared" ca="1" si="11"/>
        <v>6934.957653260074</v>
      </c>
      <c r="R48" s="1480">
        <f t="shared" ca="1" si="12"/>
        <v>2.2159118431940779</v>
      </c>
      <c r="S48" s="113">
        <f t="shared" ca="1" si="13"/>
        <v>1.0649999999999999</v>
      </c>
      <c r="T48" s="1481">
        <f t="shared" ca="1" si="14"/>
        <v>14429.347226205078</v>
      </c>
      <c r="U48" s="330">
        <f t="shared" ca="1" si="15"/>
        <v>480</v>
      </c>
      <c r="V48" s="1481">
        <f t="shared" ca="1" si="16"/>
        <v>6926.0866685784376</v>
      </c>
      <c r="W48" s="1480">
        <f t="shared" ca="1" si="17"/>
        <v>2.2159118431940779</v>
      </c>
      <c r="X48" s="384">
        <f t="shared" ca="1" si="18"/>
        <v>3125.6147169622873</v>
      </c>
      <c r="Y48" s="692" t="str">
        <f t="shared" ca="1" si="1"/>
        <v xml:space="preserve"> </v>
      </c>
      <c r="AA48" s="1484">
        <f ca="1">IF($A48&gt;Endyr,0,VLOOKUP($A48,Tariff_Table,Tariff!$I$33))</f>
        <v>2.31</v>
      </c>
      <c r="AB48" s="1480">
        <f t="shared" ca="1" si="2"/>
        <v>1.131432588926099</v>
      </c>
      <c r="AC48" s="1483">
        <f t="shared" ca="1" si="19"/>
        <v>2.6136092804192885</v>
      </c>
      <c r="AD48" s="1480">
        <f t="shared" ca="1" si="20"/>
        <v>2.2159118431940779</v>
      </c>
      <c r="AE48" s="113">
        <f t="shared" ca="1" si="21"/>
        <v>1.0649999999999999</v>
      </c>
      <c r="AF48" s="1483">
        <f t="shared" ca="1" si="22"/>
        <v>5.4380542328291588</v>
      </c>
      <c r="AG48" s="334">
        <f ca="1">VLOOKUP($A48,Plant_Table,'Plant Operations'!$M$270)</f>
        <v>298980.864</v>
      </c>
      <c r="AH48" s="1481">
        <f t="shared" ca="1" si="23"/>
        <v>1625.874153010119</v>
      </c>
      <c r="AI48" s="1480">
        <f t="shared" ca="1" si="24"/>
        <v>2.2159118431940779</v>
      </c>
      <c r="AJ48" s="335">
        <f t="shared" ca="1" si="25"/>
        <v>733.72691156636358</v>
      </c>
      <c r="AK48" s="698" t="str">
        <f t="shared" ca="1" si="3"/>
        <v xml:space="preserve"> </v>
      </c>
      <c r="AM48" s="697">
        <f ca="1">IF($A48&gt;Endyr,0,VLOOKUP($A48,Tariff_Table,Tariff!$L$33))</f>
        <v>1.21</v>
      </c>
      <c r="AN48" s="1504">
        <f ca="1">VLOOKUP($A48,Curves_Table,Escalation!$Z$291)</f>
        <v>1.1585880825058716</v>
      </c>
      <c r="AO48" s="331">
        <f t="shared" ca="1" si="26"/>
        <v>1.4018915798321046</v>
      </c>
      <c r="AP48" s="331">
        <f ca="1">IF($A48&gt;Endyr,0,VLOOKUP($A48,Tariff_Table,Tariff!$M$33))</f>
        <v>0.25</v>
      </c>
      <c r="AQ48" s="331">
        <f t="shared" ca="1" si="27"/>
        <v>1.6518915798321046</v>
      </c>
      <c r="AR48" s="331">
        <f t="shared" ca="1" si="28"/>
        <v>1.46</v>
      </c>
      <c r="AS48" s="1508">
        <f t="shared" ca="1" si="29"/>
        <v>1.131432588926099</v>
      </c>
    </row>
    <row r="49" spans="1:45">
      <c r="A49" s="672">
        <f t="shared" si="4"/>
        <v>38078</v>
      </c>
      <c r="C49" s="1484">
        <f ca="1">IF($A49&gt;Endyr,0,VLOOKUP($A49,Tariff_Table,Tariff!$G$33))</f>
        <v>7428.1</v>
      </c>
      <c r="D49" s="1480">
        <f ca="1">VLOOKUP($A49,Curves_Table,Escalation!$V$291)</f>
        <v>1.166287045927733</v>
      </c>
      <c r="E49" s="1483">
        <f t="shared" ca="1" si="5"/>
        <v>8663.2968058557944</v>
      </c>
      <c r="F49" s="1480">
        <f ca="1">IF(Assm!$L$74=0,VLOOKUP($A49,Curves_Table,Escalation!$D$291),VLOOKUP($A49,Curves_Table,Escalation!$E$291))</f>
        <v>2.2216383543457656</v>
      </c>
      <c r="G49" s="113">
        <f ca="1">IF($A49&lt;EE_Date,VLOOKUP($A49,Curves_Table,Escalation!$D$291),Exch)</f>
        <v>1.0649999999999999</v>
      </c>
      <c r="H49" s="1483">
        <f t="shared" ca="1" si="6"/>
        <v>18072.030477906475</v>
      </c>
      <c r="I49" s="330">
        <f ca="1">VLOOKUP($A49,Plant_Table,'Plant Operations'!$C$270)</f>
        <v>480</v>
      </c>
      <c r="J49" s="1481">
        <f t="shared" ca="1" si="7"/>
        <v>8674.5746293951088</v>
      </c>
      <c r="K49" s="1480">
        <f t="shared" ca="1" si="8"/>
        <v>2.2216383543457656</v>
      </c>
      <c r="L49" s="384">
        <f t="shared" ca="1" si="9"/>
        <v>3904.5844758786684</v>
      </c>
      <c r="M49" s="692" t="str">
        <f t="shared" ca="1" si="0"/>
        <v xml:space="preserve"> </v>
      </c>
      <c r="O49" s="1482">
        <f ca="1">IF($A49&gt;Endyr,0,VLOOKUP($A49,Tariff_Table,Tariff!$H$33))</f>
        <v>6129.36</v>
      </c>
      <c r="P49" s="1480">
        <f t="shared" ca="1" si="10"/>
        <v>1.131432588926099</v>
      </c>
      <c r="Q49" s="1481">
        <f t="shared" ca="1" si="11"/>
        <v>6934.957653260074</v>
      </c>
      <c r="R49" s="1480">
        <f t="shared" ca="1" si="12"/>
        <v>2.2216383543457656</v>
      </c>
      <c r="S49" s="113">
        <f t="shared" ca="1" si="13"/>
        <v>1.0649999999999999</v>
      </c>
      <c r="T49" s="1481">
        <f t="shared" ca="1" si="14"/>
        <v>14466.636533564588</v>
      </c>
      <c r="U49" s="330">
        <f t="shared" ca="1" si="15"/>
        <v>480</v>
      </c>
      <c r="V49" s="1481">
        <f t="shared" ca="1" si="16"/>
        <v>6943.9855361110021</v>
      </c>
      <c r="W49" s="1480">
        <f t="shared" ca="1" si="17"/>
        <v>2.2216383543457656</v>
      </c>
      <c r="X49" s="384">
        <f t="shared" ca="1" si="18"/>
        <v>3125.6147169622873</v>
      </c>
      <c r="Y49" s="692" t="str">
        <f t="shared" ca="1" si="1"/>
        <v xml:space="preserve"> </v>
      </c>
      <c r="AA49" s="1484">
        <f ca="1">IF($A49&gt;Endyr,0,VLOOKUP($A49,Tariff_Table,Tariff!$I$33))</f>
        <v>2.31</v>
      </c>
      <c r="AB49" s="1480">
        <f t="shared" ca="1" si="2"/>
        <v>1.131432588926099</v>
      </c>
      <c r="AC49" s="1483">
        <f t="shared" ca="1" si="19"/>
        <v>2.6136092804192885</v>
      </c>
      <c r="AD49" s="1480">
        <f t="shared" ca="1" si="20"/>
        <v>2.2216383543457656</v>
      </c>
      <c r="AE49" s="113">
        <f t="shared" ca="1" si="21"/>
        <v>1.0649999999999999</v>
      </c>
      <c r="AF49" s="1483">
        <f t="shared" ca="1" si="22"/>
        <v>5.4521076250267875</v>
      </c>
      <c r="AG49" s="334">
        <f ca="1">VLOOKUP($A49,Plant_Table,'Plant Operations'!$M$270)</f>
        <v>289336.32000000001</v>
      </c>
      <c r="AH49" s="1481">
        <f t="shared" ca="1" si="23"/>
        <v>1577.4927564691907</v>
      </c>
      <c r="AI49" s="1480">
        <f t="shared" ca="1" si="24"/>
        <v>2.2216383543457656</v>
      </c>
      <c r="AJ49" s="335">
        <f t="shared" ca="1" si="25"/>
        <v>710.05830151583575</v>
      </c>
      <c r="AK49" s="698" t="str">
        <f t="shared" ca="1" si="3"/>
        <v xml:space="preserve"> </v>
      </c>
      <c r="AM49" s="697">
        <f ca="1">IF($A49&gt;Endyr,0,VLOOKUP($A49,Tariff_Table,Tariff!$L$33))</f>
        <v>1.21</v>
      </c>
      <c r="AN49" s="1504">
        <f ca="1">VLOOKUP($A49,Curves_Table,Escalation!$Z$291)</f>
        <v>1.1585880825058716</v>
      </c>
      <c r="AO49" s="331">
        <f t="shared" ca="1" si="26"/>
        <v>1.4018915798321046</v>
      </c>
      <c r="AP49" s="331">
        <f ca="1">IF($A49&gt;Endyr,0,VLOOKUP($A49,Tariff_Table,Tariff!$M$33))</f>
        <v>0.25</v>
      </c>
      <c r="AQ49" s="331">
        <f t="shared" ca="1" si="27"/>
        <v>1.6518915798321046</v>
      </c>
      <c r="AR49" s="331">
        <f t="shared" ca="1" si="28"/>
        <v>1.46</v>
      </c>
      <c r="AS49" s="1508">
        <f t="shared" ca="1" si="29"/>
        <v>1.131432588926099</v>
      </c>
    </row>
    <row r="50" spans="1:45">
      <c r="A50" s="672">
        <f t="shared" si="4"/>
        <v>38108</v>
      </c>
      <c r="C50" s="1484">
        <f ca="1">IF($A50&gt;Endyr,0,VLOOKUP($A50,Tariff_Table,Tariff!$G$33))</f>
        <v>7432.1</v>
      </c>
      <c r="D50" s="1480">
        <f ca="1">VLOOKUP($A50,Curves_Table,Escalation!$V$291)</f>
        <v>1.2003493342906499</v>
      </c>
      <c r="E50" s="1483">
        <f t="shared" ca="1" si="5"/>
        <v>8921.1162873815392</v>
      </c>
      <c r="F50" s="1480">
        <f ca="1">IF(Assm!$L$74=0,VLOOKUP($A50,Curves_Table,Escalation!$D$291),VLOOKUP($A50,Curves_Table,Escalation!$E$291))</f>
        <v>2.227379664339777</v>
      </c>
      <c r="G50" s="113">
        <f ca="1">IF($A50&lt;EE_Date,VLOOKUP($A50,Curves_Table,Escalation!$D$291),Exch)</f>
        <v>1.0649999999999999</v>
      </c>
      <c r="H50" s="1483">
        <f t="shared" ca="1" si="6"/>
        <v>18657.946480492028</v>
      </c>
      <c r="I50" s="330">
        <f ca="1">VLOOKUP($A50,Plant_Table,'Plant Operations'!$C$270)</f>
        <v>480</v>
      </c>
      <c r="J50" s="1481">
        <f t="shared" ca="1" si="7"/>
        <v>8955.8143106361731</v>
      </c>
      <c r="K50" s="1480">
        <f t="shared" ca="1" si="8"/>
        <v>2.227379664339777</v>
      </c>
      <c r="L50" s="384">
        <f t="shared" ca="1" si="9"/>
        <v>4020.784805580412</v>
      </c>
      <c r="M50" s="692" t="str">
        <f t="shared" ca="1" si="0"/>
        <v xml:space="preserve"> </v>
      </c>
      <c r="O50" s="1482">
        <f ca="1">IF($A50&gt;Endyr,0,VLOOKUP($A50,Tariff_Table,Tariff!$H$33))</f>
        <v>6142.46</v>
      </c>
      <c r="P50" s="1480">
        <f t="shared" ca="1" si="10"/>
        <v>1.1570754427785823</v>
      </c>
      <c r="Q50" s="1481">
        <f t="shared" ca="1" si="11"/>
        <v>7107.2896242497309</v>
      </c>
      <c r="R50" s="1480">
        <f t="shared" ca="1" si="12"/>
        <v>2.227379664339777</v>
      </c>
      <c r="S50" s="113">
        <f t="shared" ca="1" si="13"/>
        <v>1.0649999999999999</v>
      </c>
      <c r="T50" s="1481">
        <f t="shared" ca="1" si="14"/>
        <v>14864.443547067554</v>
      </c>
      <c r="U50" s="330">
        <f t="shared" ca="1" si="15"/>
        <v>480</v>
      </c>
      <c r="V50" s="1481">
        <f t="shared" ca="1" si="16"/>
        <v>7134.9329025924262</v>
      </c>
      <c r="W50" s="1480">
        <f t="shared" ca="1" si="17"/>
        <v>2.227379664339777</v>
      </c>
      <c r="X50" s="384">
        <f t="shared" ca="1" si="18"/>
        <v>3203.2854644505828</v>
      </c>
      <c r="Y50" s="692" t="str">
        <f t="shared" ca="1" si="1"/>
        <v xml:space="preserve"> </v>
      </c>
      <c r="AA50" s="1484">
        <f ca="1">IF($A50&gt;Endyr,0,VLOOKUP($A50,Tariff_Table,Tariff!$I$33))</f>
        <v>2.31</v>
      </c>
      <c r="AB50" s="1480">
        <f t="shared" ca="1" si="2"/>
        <v>1.1570754427785823</v>
      </c>
      <c r="AC50" s="1483">
        <f t="shared" ca="1" si="19"/>
        <v>2.6728442728185251</v>
      </c>
      <c r="AD50" s="1480">
        <f t="shared" ca="1" si="20"/>
        <v>2.227379664339777</v>
      </c>
      <c r="AE50" s="113">
        <f t="shared" ca="1" si="21"/>
        <v>1.0649999999999999</v>
      </c>
      <c r="AF50" s="1483">
        <f t="shared" ca="1" si="22"/>
        <v>5.5900835485662181</v>
      </c>
      <c r="AG50" s="334">
        <f ca="1">VLOOKUP($A50,Plant_Table,'Plant Operations'!$M$270)</f>
        <v>298980.864</v>
      </c>
      <c r="AH50" s="1481">
        <f t="shared" ca="1" si="23"/>
        <v>1671.3280091825138</v>
      </c>
      <c r="AI50" s="1480">
        <f t="shared" ca="1" si="24"/>
        <v>2.227379664339777</v>
      </c>
      <c r="AJ50" s="335">
        <f t="shared" ca="1" si="25"/>
        <v>750.35614086829526</v>
      </c>
      <c r="AK50" s="698" t="str">
        <f t="shared" ca="1" si="3"/>
        <v xml:space="preserve"> </v>
      </c>
      <c r="AM50" s="697">
        <f ca="1">IF($A50&gt;Endyr,0,VLOOKUP($A50,Tariff_Table,Tariff!$L$33))</f>
        <v>1.21</v>
      </c>
      <c r="AN50" s="1504">
        <f ca="1">VLOOKUP($A50,Curves_Table,Escalation!$Z$291)</f>
        <v>1.1895290466584547</v>
      </c>
      <c r="AO50" s="331">
        <f t="shared" ca="1" si="26"/>
        <v>1.4393301464567301</v>
      </c>
      <c r="AP50" s="331">
        <f ca="1">IF($A50&gt;Endyr,0,VLOOKUP($A50,Tariff_Table,Tariff!$M$33))</f>
        <v>0.25</v>
      </c>
      <c r="AQ50" s="331">
        <f t="shared" ca="1" si="27"/>
        <v>1.6893301464567301</v>
      </c>
      <c r="AR50" s="331">
        <f t="shared" ca="1" si="28"/>
        <v>1.46</v>
      </c>
      <c r="AS50" s="1508">
        <f t="shared" ca="1" si="29"/>
        <v>1.1570754427785823</v>
      </c>
    </row>
    <row r="51" spans="1:45">
      <c r="A51" s="672">
        <f t="shared" si="4"/>
        <v>38139</v>
      </c>
      <c r="C51" s="1484">
        <f ca="1">IF($A51&gt;Endyr,0,VLOOKUP($A51,Tariff_Table,Tariff!$G$33))</f>
        <v>7432.1</v>
      </c>
      <c r="D51" s="1480">
        <f ca="1">VLOOKUP($A51,Curves_Table,Escalation!$V$291)</f>
        <v>1.2003493342906499</v>
      </c>
      <c r="E51" s="1483">
        <f t="shared" ca="1" si="5"/>
        <v>8921.1162873815392</v>
      </c>
      <c r="F51" s="1480">
        <f ca="1">IF(Assm!$L$74=0,VLOOKUP($A51,Curves_Table,Escalation!$D$291),VLOOKUP($A51,Curves_Table,Escalation!$E$291))</f>
        <v>2.2331358114202935</v>
      </c>
      <c r="G51" s="113">
        <f ca="1">IF($A51&lt;EE_Date,VLOOKUP($A51,Curves_Table,Escalation!$D$291),Exch)</f>
        <v>1.0649999999999999</v>
      </c>
      <c r="H51" s="1483">
        <f t="shared" ca="1" si="6"/>
        <v>18706.163623658751</v>
      </c>
      <c r="I51" s="330">
        <f ca="1">VLOOKUP($A51,Plant_Table,'Plant Operations'!$C$270)</f>
        <v>480</v>
      </c>
      <c r="J51" s="1481">
        <f t="shared" ca="1" si="7"/>
        <v>8978.9585393561993</v>
      </c>
      <c r="K51" s="1480">
        <f t="shared" ca="1" si="8"/>
        <v>2.2331358114202935</v>
      </c>
      <c r="L51" s="384">
        <f t="shared" ca="1" si="9"/>
        <v>4020.7848055804116</v>
      </c>
      <c r="M51" s="692" t="str">
        <f t="shared" ca="1" si="0"/>
        <v xml:space="preserve"> </v>
      </c>
      <c r="O51" s="1482">
        <f ca="1">IF($A51&gt;Endyr,0,VLOOKUP($A51,Tariff_Table,Tariff!$H$33))</f>
        <v>6142.46</v>
      </c>
      <c r="P51" s="1480">
        <f t="shared" ca="1" si="10"/>
        <v>1.1570754427785823</v>
      </c>
      <c r="Q51" s="1481">
        <f t="shared" ca="1" si="11"/>
        <v>7107.2896242497309</v>
      </c>
      <c r="R51" s="1480">
        <f t="shared" ca="1" si="12"/>
        <v>2.2331358114202935</v>
      </c>
      <c r="S51" s="113">
        <f t="shared" ca="1" si="13"/>
        <v>1.0649999999999999</v>
      </c>
      <c r="T51" s="1481">
        <f t="shared" ca="1" si="14"/>
        <v>14902.857260138926</v>
      </c>
      <c r="U51" s="330">
        <f t="shared" ca="1" si="15"/>
        <v>480</v>
      </c>
      <c r="V51" s="1481">
        <f t="shared" ca="1" si="16"/>
        <v>7153.3714848666841</v>
      </c>
      <c r="W51" s="1480">
        <f t="shared" ca="1" si="17"/>
        <v>2.2331358114202935</v>
      </c>
      <c r="X51" s="384">
        <f t="shared" ca="1" si="18"/>
        <v>3203.2854644505828</v>
      </c>
      <c r="Y51" s="692" t="str">
        <f t="shared" ca="1" si="1"/>
        <v xml:space="preserve"> </v>
      </c>
      <c r="AA51" s="1484">
        <f ca="1">IF($A51&gt;Endyr,0,VLOOKUP($A51,Tariff_Table,Tariff!$I$33))</f>
        <v>2.31</v>
      </c>
      <c r="AB51" s="1480">
        <f t="shared" ca="1" si="2"/>
        <v>1.1570754427785823</v>
      </c>
      <c r="AC51" s="1483">
        <f t="shared" ca="1" si="19"/>
        <v>2.6728442728185251</v>
      </c>
      <c r="AD51" s="1480">
        <f t="shared" ca="1" si="20"/>
        <v>2.2331358114202935</v>
      </c>
      <c r="AE51" s="113">
        <f t="shared" ca="1" si="21"/>
        <v>1.0649999999999999</v>
      </c>
      <c r="AF51" s="1483">
        <f t="shared" ca="1" si="22"/>
        <v>5.604529825333973</v>
      </c>
      <c r="AG51" s="334">
        <f ca="1">VLOOKUP($A51,Plant_Table,'Plant Operations'!$M$270)</f>
        <v>289336.32000000001</v>
      </c>
      <c r="AH51" s="1481">
        <f t="shared" ca="1" si="23"/>
        <v>1621.5940349923744</v>
      </c>
      <c r="AI51" s="1480">
        <f t="shared" ca="1" si="24"/>
        <v>2.2331358114202935</v>
      </c>
      <c r="AJ51" s="335">
        <f t="shared" ca="1" si="25"/>
        <v>726.15110406609199</v>
      </c>
      <c r="AK51" s="698" t="str">
        <f t="shared" ca="1" si="3"/>
        <v xml:space="preserve"> </v>
      </c>
      <c r="AM51" s="697">
        <f ca="1">IF($A51&gt;Endyr,0,VLOOKUP($A51,Tariff_Table,Tariff!$L$33))</f>
        <v>1.21</v>
      </c>
      <c r="AN51" s="1504">
        <f ca="1">VLOOKUP($A51,Curves_Table,Escalation!$Z$291)</f>
        <v>1.1895290466584547</v>
      </c>
      <c r="AO51" s="331">
        <f t="shared" ca="1" si="26"/>
        <v>1.4393301464567301</v>
      </c>
      <c r="AP51" s="331">
        <f ca="1">IF($A51&gt;Endyr,0,VLOOKUP($A51,Tariff_Table,Tariff!$M$33))</f>
        <v>0.25</v>
      </c>
      <c r="AQ51" s="331">
        <f t="shared" ca="1" si="27"/>
        <v>1.6893301464567301</v>
      </c>
      <c r="AR51" s="331">
        <f t="shared" ca="1" si="28"/>
        <v>1.46</v>
      </c>
      <c r="AS51" s="1508">
        <f t="shared" ca="1" si="29"/>
        <v>1.1570754427785823</v>
      </c>
    </row>
    <row r="52" spans="1:45">
      <c r="A52" s="672">
        <f t="shared" si="4"/>
        <v>38169</v>
      </c>
      <c r="C52" s="1484">
        <f ca="1">IF($A52&gt;Endyr,0,VLOOKUP($A52,Tariff_Table,Tariff!$G$33))</f>
        <v>7432.1</v>
      </c>
      <c r="D52" s="1480">
        <f ca="1">VLOOKUP($A52,Curves_Table,Escalation!$V$291)</f>
        <v>1.2003493342906499</v>
      </c>
      <c r="E52" s="1483">
        <f t="shared" ca="1" si="5"/>
        <v>8921.1162873815392</v>
      </c>
      <c r="F52" s="1480">
        <f ca="1">IF(Assm!$L$74=0,VLOOKUP($A52,Curves_Table,Escalation!$D$291),VLOOKUP($A52,Curves_Table,Escalation!$E$291))</f>
        <v>2.2389068339303306</v>
      </c>
      <c r="G52" s="113">
        <f ca="1">IF($A52&lt;EE_Date,VLOOKUP($A52,Curves_Table,Escalation!$D$291),Exch)</f>
        <v>1.0649999999999999</v>
      </c>
      <c r="H52" s="1483">
        <f t="shared" ca="1" si="6"/>
        <v>18754.505372869207</v>
      </c>
      <c r="I52" s="330">
        <f ca="1">VLOOKUP($A52,Plant_Table,'Plant Operations'!$C$270)</f>
        <v>480</v>
      </c>
      <c r="J52" s="1481">
        <f t="shared" ca="1" si="7"/>
        <v>9002.1625789772206</v>
      </c>
      <c r="K52" s="1480">
        <f t="shared" ca="1" si="8"/>
        <v>2.2389068339303306</v>
      </c>
      <c r="L52" s="384">
        <f t="shared" ca="1" si="9"/>
        <v>4020.784805580412</v>
      </c>
      <c r="M52" s="692" t="str">
        <f t="shared" ca="1" si="0"/>
        <v xml:space="preserve"> </v>
      </c>
      <c r="O52" s="1482">
        <f ca="1">IF($A52&gt;Endyr,0,VLOOKUP($A52,Tariff_Table,Tariff!$H$33))</f>
        <v>6142.46</v>
      </c>
      <c r="P52" s="1480">
        <f t="shared" ca="1" si="10"/>
        <v>1.1570754427785823</v>
      </c>
      <c r="Q52" s="1481">
        <f t="shared" ca="1" si="11"/>
        <v>7107.2896242497309</v>
      </c>
      <c r="R52" s="1480">
        <f t="shared" ca="1" si="12"/>
        <v>2.2389068339303306</v>
      </c>
      <c r="S52" s="113">
        <f t="shared" ca="1" si="13"/>
        <v>1.0649999999999999</v>
      </c>
      <c r="T52" s="1481">
        <f t="shared" ca="1" si="14"/>
        <v>14941.370244558548</v>
      </c>
      <c r="U52" s="330">
        <f t="shared" ca="1" si="15"/>
        <v>480</v>
      </c>
      <c r="V52" s="1481">
        <f t="shared" ca="1" si="16"/>
        <v>7171.8577173881031</v>
      </c>
      <c r="W52" s="1480">
        <f t="shared" ca="1" si="17"/>
        <v>2.2389068339303306</v>
      </c>
      <c r="X52" s="384">
        <f t="shared" ca="1" si="18"/>
        <v>3203.2854644505828</v>
      </c>
      <c r="Y52" s="692" t="str">
        <f t="shared" ca="1" si="1"/>
        <v xml:space="preserve"> </v>
      </c>
      <c r="AA52" s="1484">
        <f ca="1">IF($A52&gt;Endyr,0,VLOOKUP($A52,Tariff_Table,Tariff!$I$33))</f>
        <v>2.31</v>
      </c>
      <c r="AB52" s="1480">
        <f t="shared" ca="1" si="2"/>
        <v>1.1570754427785823</v>
      </c>
      <c r="AC52" s="1483">
        <f t="shared" ca="1" si="19"/>
        <v>2.6728442728185251</v>
      </c>
      <c r="AD52" s="1480">
        <f t="shared" ca="1" si="20"/>
        <v>2.2389068339303306</v>
      </c>
      <c r="AE52" s="113">
        <f t="shared" ca="1" si="21"/>
        <v>1.0649999999999999</v>
      </c>
      <c r="AF52" s="1483">
        <f t="shared" ca="1" si="22"/>
        <v>5.6190134351595695</v>
      </c>
      <c r="AG52" s="334">
        <f ca="1">VLOOKUP($A52,Plant_Table,'Plant Operations'!$M$270)</f>
        <v>298980.864</v>
      </c>
      <c r="AH52" s="1481">
        <f t="shared" ca="1" si="23"/>
        <v>1679.977491671616</v>
      </c>
      <c r="AI52" s="1480">
        <f t="shared" ca="1" si="24"/>
        <v>2.2389068339303306</v>
      </c>
      <c r="AJ52" s="335">
        <f t="shared" ca="1" si="25"/>
        <v>750.35614086829526</v>
      </c>
      <c r="AK52" s="698" t="str">
        <f t="shared" ca="1" si="3"/>
        <v xml:space="preserve"> </v>
      </c>
      <c r="AM52" s="697">
        <f ca="1">IF($A52&gt;Endyr,0,VLOOKUP($A52,Tariff_Table,Tariff!$L$33))</f>
        <v>1.21</v>
      </c>
      <c r="AN52" s="1504">
        <f ca="1">VLOOKUP($A52,Curves_Table,Escalation!$Z$291)</f>
        <v>1.1895290466584547</v>
      </c>
      <c r="AO52" s="331">
        <f t="shared" ca="1" si="26"/>
        <v>1.4393301464567301</v>
      </c>
      <c r="AP52" s="331">
        <f ca="1">IF($A52&gt;Endyr,0,VLOOKUP($A52,Tariff_Table,Tariff!$M$33))</f>
        <v>0.25</v>
      </c>
      <c r="AQ52" s="331">
        <f t="shared" ca="1" si="27"/>
        <v>1.6893301464567301</v>
      </c>
      <c r="AR52" s="331">
        <f t="shared" ca="1" si="28"/>
        <v>1.46</v>
      </c>
      <c r="AS52" s="1508">
        <f t="shared" ca="1" si="29"/>
        <v>1.1570754427785823</v>
      </c>
    </row>
    <row r="53" spans="1:45">
      <c r="A53" s="672">
        <f t="shared" si="4"/>
        <v>38200</v>
      </c>
      <c r="C53" s="1484">
        <f ca="1">IF($A53&gt;Endyr,0,VLOOKUP($A53,Tariff_Table,Tariff!$G$33))</f>
        <v>7432.1</v>
      </c>
      <c r="D53" s="1480">
        <f ca="1">VLOOKUP($A53,Curves_Table,Escalation!$V$291)</f>
        <v>1.2003493342906499</v>
      </c>
      <c r="E53" s="1483">
        <f t="shared" ca="1" si="5"/>
        <v>8921.1162873815392</v>
      </c>
      <c r="F53" s="1480">
        <f ca="1">IF(Assm!$L$74=0,VLOOKUP($A53,Curves_Table,Escalation!$D$291),VLOOKUP($A53,Curves_Table,Escalation!$E$291))</f>
        <v>2.2446927703119925</v>
      </c>
      <c r="G53" s="113">
        <f ca="1">IF($A53&lt;EE_Date,VLOOKUP($A53,Curves_Table,Escalation!$D$291),Exch)</f>
        <v>1.0649999999999999</v>
      </c>
      <c r="H53" s="1483">
        <f t="shared" ca="1" si="6"/>
        <v>18802.972050138877</v>
      </c>
      <c r="I53" s="330">
        <f ca="1">VLOOKUP($A53,Plant_Table,'Plant Operations'!$C$270)</f>
        <v>480</v>
      </c>
      <c r="J53" s="1481">
        <f t="shared" ca="1" si="7"/>
        <v>9025.4265840666612</v>
      </c>
      <c r="K53" s="1480">
        <f t="shared" ca="1" si="8"/>
        <v>2.2446927703119925</v>
      </c>
      <c r="L53" s="384">
        <f t="shared" ca="1" si="9"/>
        <v>4020.784805580412</v>
      </c>
      <c r="M53" s="692" t="str">
        <f t="shared" ca="1" si="0"/>
        <v xml:space="preserve"> </v>
      </c>
      <c r="O53" s="1482">
        <f ca="1">IF($A53&gt;Endyr,0,VLOOKUP($A53,Tariff_Table,Tariff!$H$33))</f>
        <v>6142.46</v>
      </c>
      <c r="P53" s="1480">
        <f t="shared" ca="1" si="10"/>
        <v>1.1570754427785823</v>
      </c>
      <c r="Q53" s="1481">
        <f t="shared" ca="1" si="11"/>
        <v>7107.2896242497309</v>
      </c>
      <c r="R53" s="1480">
        <f t="shared" ca="1" si="12"/>
        <v>2.2446927703119925</v>
      </c>
      <c r="S53" s="113">
        <f t="shared" ca="1" si="13"/>
        <v>1.0649999999999999</v>
      </c>
      <c r="T53" s="1481">
        <f t="shared" ca="1" si="14"/>
        <v>14979.982756870244</v>
      </c>
      <c r="U53" s="330">
        <f t="shared" ca="1" si="15"/>
        <v>480</v>
      </c>
      <c r="V53" s="1481">
        <f t="shared" ca="1" si="16"/>
        <v>7190.3917232977174</v>
      </c>
      <c r="W53" s="1480">
        <f t="shared" ca="1" si="17"/>
        <v>2.2446927703119925</v>
      </c>
      <c r="X53" s="384">
        <f t="shared" ca="1" si="18"/>
        <v>3203.2854644505833</v>
      </c>
      <c r="Y53" s="692" t="str">
        <f t="shared" ca="1" si="1"/>
        <v xml:space="preserve"> </v>
      </c>
      <c r="AA53" s="1484">
        <f ca="1">IF($A53&gt;Endyr,0,VLOOKUP($A53,Tariff_Table,Tariff!$I$33))</f>
        <v>2.31</v>
      </c>
      <c r="AB53" s="1480">
        <f t="shared" ca="1" si="2"/>
        <v>1.1570754427785823</v>
      </c>
      <c r="AC53" s="1483">
        <f t="shared" ca="1" si="19"/>
        <v>2.6728442728185251</v>
      </c>
      <c r="AD53" s="1480">
        <f t="shared" ca="1" si="20"/>
        <v>2.2446927703119925</v>
      </c>
      <c r="AE53" s="113">
        <f t="shared" ca="1" si="21"/>
        <v>1.0649999999999999</v>
      </c>
      <c r="AF53" s="1483">
        <f t="shared" ca="1" si="22"/>
        <v>5.6335344745216513</v>
      </c>
      <c r="AG53" s="334">
        <f ca="1">VLOOKUP($A53,Plant_Table,'Plant Operations'!$M$270)</f>
        <v>298980.864</v>
      </c>
      <c r="AH53" s="1481">
        <f t="shared" ca="1" si="23"/>
        <v>1684.3190045662693</v>
      </c>
      <c r="AI53" s="1480">
        <f t="shared" ca="1" si="24"/>
        <v>2.2446927703119925</v>
      </c>
      <c r="AJ53" s="335">
        <f t="shared" ca="1" si="25"/>
        <v>750.35614086829526</v>
      </c>
      <c r="AK53" s="698" t="str">
        <f t="shared" ca="1" si="3"/>
        <v xml:space="preserve"> </v>
      </c>
      <c r="AM53" s="697">
        <f ca="1">IF($A53&gt;Endyr,0,VLOOKUP($A53,Tariff_Table,Tariff!$L$33))</f>
        <v>1.21</v>
      </c>
      <c r="AN53" s="1504">
        <f ca="1">VLOOKUP($A53,Curves_Table,Escalation!$Z$291)</f>
        <v>1.1895290466584547</v>
      </c>
      <c r="AO53" s="331">
        <f t="shared" ca="1" si="26"/>
        <v>1.4393301464567301</v>
      </c>
      <c r="AP53" s="331">
        <f ca="1">IF($A53&gt;Endyr,0,VLOOKUP($A53,Tariff_Table,Tariff!$M$33))</f>
        <v>0.25</v>
      </c>
      <c r="AQ53" s="331">
        <f t="shared" ca="1" si="27"/>
        <v>1.6893301464567301</v>
      </c>
      <c r="AR53" s="331">
        <f t="shared" ca="1" si="28"/>
        <v>1.46</v>
      </c>
      <c r="AS53" s="1508">
        <f t="shared" ca="1" si="29"/>
        <v>1.1570754427785823</v>
      </c>
    </row>
    <row r="54" spans="1:45">
      <c r="A54" s="672">
        <f t="shared" si="4"/>
        <v>38231</v>
      </c>
      <c r="C54" s="1484">
        <f ca="1">IF($A54&gt;Endyr,0,VLOOKUP($A54,Tariff_Table,Tariff!$G$33))</f>
        <v>7432.1</v>
      </c>
      <c r="D54" s="1480">
        <f ca="1">VLOOKUP($A54,Curves_Table,Escalation!$V$291)</f>
        <v>1.2003493342906499</v>
      </c>
      <c r="E54" s="1483">
        <f t="shared" ca="1" si="5"/>
        <v>8921.1162873815392</v>
      </c>
      <c r="F54" s="1480">
        <f ca="1">IF(Assm!$L$74=0,VLOOKUP($A54,Curves_Table,Escalation!$D$291),VLOOKUP($A54,Curves_Table,Escalation!$E$291))</f>
        <v>2.2504936591067271</v>
      </c>
      <c r="G54" s="113">
        <f ca="1">IF($A54&lt;EE_Date,VLOOKUP($A54,Curves_Table,Escalation!$D$291),Exch)</f>
        <v>1.0649999999999999</v>
      </c>
      <c r="H54" s="1483">
        <f t="shared" ca="1" si="6"/>
        <v>18851.5639783154</v>
      </c>
      <c r="I54" s="330">
        <f ca="1">VLOOKUP($A54,Plant_Table,'Plant Operations'!$C$270)</f>
        <v>480</v>
      </c>
      <c r="J54" s="1481">
        <f t="shared" ca="1" si="7"/>
        <v>9048.7507095913916</v>
      </c>
      <c r="K54" s="1480">
        <f t="shared" ca="1" si="8"/>
        <v>2.2504936591067271</v>
      </c>
      <c r="L54" s="384">
        <f t="shared" ca="1" si="9"/>
        <v>4020.784805580412</v>
      </c>
      <c r="M54" s="692" t="str">
        <f t="shared" ca="1" si="0"/>
        <v xml:space="preserve"> </v>
      </c>
      <c r="O54" s="1482">
        <f ca="1">IF($A54&gt;Endyr,0,VLOOKUP($A54,Tariff_Table,Tariff!$H$33))</f>
        <v>6142.46</v>
      </c>
      <c r="P54" s="1480">
        <f t="shared" ca="1" si="10"/>
        <v>1.1570754427785823</v>
      </c>
      <c r="Q54" s="1481">
        <f t="shared" ca="1" si="11"/>
        <v>7107.2896242497309</v>
      </c>
      <c r="R54" s="1480">
        <f t="shared" ca="1" si="12"/>
        <v>2.2504936591067271</v>
      </c>
      <c r="S54" s="113">
        <f t="shared" ca="1" si="13"/>
        <v>1.0649999999999999</v>
      </c>
      <c r="T54" s="1481">
        <f t="shared" ca="1" si="14"/>
        <v>15018.695054280801</v>
      </c>
      <c r="U54" s="330">
        <f t="shared" ca="1" si="15"/>
        <v>480</v>
      </c>
      <c r="V54" s="1481">
        <f t="shared" ca="1" si="16"/>
        <v>7208.9736260547843</v>
      </c>
      <c r="W54" s="1480">
        <f t="shared" ca="1" si="17"/>
        <v>2.2504936591067271</v>
      </c>
      <c r="X54" s="384">
        <f t="shared" ca="1" si="18"/>
        <v>3203.2854644505833</v>
      </c>
      <c r="Y54" s="692" t="str">
        <f t="shared" ca="1" si="1"/>
        <v xml:space="preserve"> </v>
      </c>
      <c r="AA54" s="1484">
        <f ca="1">IF($A54&gt;Endyr,0,VLOOKUP($A54,Tariff_Table,Tariff!$I$33))</f>
        <v>2.31</v>
      </c>
      <c r="AB54" s="1480">
        <f t="shared" ca="1" si="2"/>
        <v>1.1570754427785823</v>
      </c>
      <c r="AC54" s="1483">
        <f t="shared" ca="1" si="19"/>
        <v>2.6728442728185251</v>
      </c>
      <c r="AD54" s="1480">
        <f t="shared" ca="1" si="20"/>
        <v>2.2504936591067271</v>
      </c>
      <c r="AE54" s="113">
        <f t="shared" ca="1" si="21"/>
        <v>1.0649999999999999</v>
      </c>
      <c r="AF54" s="1483">
        <f t="shared" ca="1" si="22"/>
        <v>5.6480930401481899</v>
      </c>
      <c r="AG54" s="334">
        <f ca="1">VLOOKUP($A54,Plant_Table,'Plant Operations'!$M$270)</f>
        <v>289336.32000000001</v>
      </c>
      <c r="AH54" s="1481">
        <f t="shared" ca="1" si="23"/>
        <v>1634.1984552540896</v>
      </c>
      <c r="AI54" s="1480">
        <f t="shared" ca="1" si="24"/>
        <v>2.2504936591067271</v>
      </c>
      <c r="AJ54" s="335">
        <f t="shared" ca="1" si="25"/>
        <v>726.15110406609222</v>
      </c>
      <c r="AK54" s="698" t="str">
        <f t="shared" ca="1" si="3"/>
        <v xml:space="preserve"> </v>
      </c>
      <c r="AM54" s="697">
        <f ca="1">IF($A54&gt;Endyr,0,VLOOKUP($A54,Tariff_Table,Tariff!$L$33))</f>
        <v>1.21</v>
      </c>
      <c r="AN54" s="1504">
        <f ca="1">VLOOKUP($A54,Curves_Table,Escalation!$Z$291)</f>
        <v>1.1895290466584547</v>
      </c>
      <c r="AO54" s="331">
        <f t="shared" ca="1" si="26"/>
        <v>1.4393301464567301</v>
      </c>
      <c r="AP54" s="331">
        <f ca="1">IF($A54&gt;Endyr,0,VLOOKUP($A54,Tariff_Table,Tariff!$M$33))</f>
        <v>0.25</v>
      </c>
      <c r="AQ54" s="331">
        <f t="shared" ca="1" si="27"/>
        <v>1.6893301464567301</v>
      </c>
      <c r="AR54" s="331">
        <f t="shared" ca="1" si="28"/>
        <v>1.46</v>
      </c>
      <c r="AS54" s="1508">
        <f t="shared" ca="1" si="29"/>
        <v>1.1570754427785823</v>
      </c>
    </row>
    <row r="55" spans="1:45">
      <c r="A55" s="672">
        <f t="shared" si="4"/>
        <v>38261</v>
      </c>
      <c r="C55" s="1484">
        <f ca="1">IF($A55&gt;Endyr,0,VLOOKUP($A55,Tariff_Table,Tariff!$G$33))</f>
        <v>7432.1</v>
      </c>
      <c r="D55" s="1480">
        <f ca="1">VLOOKUP($A55,Curves_Table,Escalation!$V$291)</f>
        <v>1.2003493342906499</v>
      </c>
      <c r="E55" s="1483">
        <f t="shared" ca="1" si="5"/>
        <v>8921.1162873815392</v>
      </c>
      <c r="F55" s="1480">
        <f ca="1">IF(Assm!$L$74=0,VLOOKUP($A55,Curves_Table,Escalation!$D$291),VLOOKUP($A55,Curves_Table,Escalation!$E$291))</f>
        <v>2.2563095389555845</v>
      </c>
      <c r="G55" s="113">
        <f ca="1">IF($A55&lt;EE_Date,VLOOKUP($A55,Curves_Table,Escalation!$D$291),Exch)</f>
        <v>1.0649999999999999</v>
      </c>
      <c r="H55" s="1483">
        <f t="shared" ca="1" si="6"/>
        <v>18900.281481080747</v>
      </c>
      <c r="I55" s="330">
        <f ca="1">VLOOKUP($A55,Plant_Table,'Plant Operations'!$C$270)</f>
        <v>480</v>
      </c>
      <c r="J55" s="1481">
        <f t="shared" ca="1" si="7"/>
        <v>9072.1351109187581</v>
      </c>
      <c r="K55" s="1480">
        <f t="shared" ca="1" si="8"/>
        <v>2.2563095389555845</v>
      </c>
      <c r="L55" s="384">
        <f t="shared" ca="1" si="9"/>
        <v>4020.7848055804116</v>
      </c>
      <c r="M55" s="692" t="str">
        <f t="shared" ca="1" si="0"/>
        <v xml:space="preserve"> </v>
      </c>
      <c r="O55" s="1482">
        <f ca="1">IF($A55&gt;Endyr,0,VLOOKUP($A55,Tariff_Table,Tariff!$H$33))</f>
        <v>6142.46</v>
      </c>
      <c r="P55" s="1480">
        <f t="shared" ca="1" si="10"/>
        <v>1.1570754427785823</v>
      </c>
      <c r="Q55" s="1481">
        <f t="shared" ca="1" si="11"/>
        <v>7107.2896242497309</v>
      </c>
      <c r="R55" s="1480">
        <f t="shared" ca="1" si="12"/>
        <v>2.2563095389555845</v>
      </c>
      <c r="S55" s="113">
        <f t="shared" ca="1" si="13"/>
        <v>1.0649999999999999</v>
      </c>
      <c r="T55" s="1481">
        <f t="shared" ca="1" si="14"/>
        <v>15057.50739466171</v>
      </c>
      <c r="U55" s="330">
        <f t="shared" ca="1" si="15"/>
        <v>480</v>
      </c>
      <c r="V55" s="1481">
        <f t="shared" ca="1" si="16"/>
        <v>7227.603549437621</v>
      </c>
      <c r="W55" s="1480">
        <f t="shared" ca="1" si="17"/>
        <v>2.2563095389555845</v>
      </c>
      <c r="X55" s="384">
        <f t="shared" ca="1" si="18"/>
        <v>3203.2854644505833</v>
      </c>
      <c r="Y55" s="692" t="str">
        <f t="shared" ca="1" si="1"/>
        <v xml:space="preserve"> </v>
      </c>
      <c r="AA55" s="1484">
        <f ca="1">IF($A55&gt;Endyr,0,VLOOKUP($A55,Tariff_Table,Tariff!$I$33))</f>
        <v>2.31</v>
      </c>
      <c r="AB55" s="1480">
        <f t="shared" ca="1" si="2"/>
        <v>1.1570754427785823</v>
      </c>
      <c r="AC55" s="1483">
        <f t="shared" ca="1" si="19"/>
        <v>2.6728442728185251</v>
      </c>
      <c r="AD55" s="1480">
        <f t="shared" ca="1" si="20"/>
        <v>2.2563095389555845</v>
      </c>
      <c r="AE55" s="113">
        <f t="shared" ca="1" si="21"/>
        <v>1.0649999999999999</v>
      </c>
      <c r="AF55" s="1483">
        <f t="shared" ca="1" si="22"/>
        <v>5.6626892290171282</v>
      </c>
      <c r="AG55" s="334">
        <f ca="1">VLOOKUP($A55,Plant_Table,'Plant Operations'!$M$270)</f>
        <v>298980.864</v>
      </c>
      <c r="AH55" s="1481">
        <f t="shared" ca="1" si="23"/>
        <v>1693.0357182550349</v>
      </c>
      <c r="AI55" s="1480">
        <f t="shared" ca="1" si="24"/>
        <v>2.2563095389555845</v>
      </c>
      <c r="AJ55" s="335">
        <f t="shared" ca="1" si="25"/>
        <v>750.35614086829526</v>
      </c>
      <c r="AK55" s="698" t="str">
        <f t="shared" ca="1" si="3"/>
        <v xml:space="preserve"> </v>
      </c>
      <c r="AM55" s="697">
        <f ca="1">IF($A55&gt;Endyr,0,VLOOKUP($A55,Tariff_Table,Tariff!$L$33))</f>
        <v>1.21</v>
      </c>
      <c r="AN55" s="1504">
        <f ca="1">VLOOKUP($A55,Curves_Table,Escalation!$Z$291)</f>
        <v>1.1895290466584547</v>
      </c>
      <c r="AO55" s="331">
        <f t="shared" ca="1" si="26"/>
        <v>1.4393301464567301</v>
      </c>
      <c r="AP55" s="331">
        <f ca="1">IF($A55&gt;Endyr,0,VLOOKUP($A55,Tariff_Table,Tariff!$M$33))</f>
        <v>0.25</v>
      </c>
      <c r="AQ55" s="331">
        <f t="shared" ca="1" si="27"/>
        <v>1.6893301464567301</v>
      </c>
      <c r="AR55" s="331">
        <f t="shared" ca="1" si="28"/>
        <v>1.46</v>
      </c>
      <c r="AS55" s="1508">
        <f t="shared" ca="1" si="29"/>
        <v>1.1570754427785823</v>
      </c>
    </row>
    <row r="56" spans="1:45">
      <c r="A56" s="672">
        <f t="shared" si="4"/>
        <v>38292</v>
      </c>
      <c r="C56" s="1484">
        <f ca="1">IF($A56&gt;Endyr,0,VLOOKUP($A56,Tariff_Table,Tariff!$G$33))</f>
        <v>7432.1</v>
      </c>
      <c r="D56" s="1480">
        <f ca="1">VLOOKUP($A56,Curves_Table,Escalation!$V$291)</f>
        <v>1.2003493342906499</v>
      </c>
      <c r="E56" s="1483">
        <f t="shared" ca="1" si="5"/>
        <v>8921.1162873815392</v>
      </c>
      <c r="F56" s="1480">
        <f ca="1">IF(Assm!$L$74=0,VLOOKUP($A56,Curves_Table,Escalation!$D$291),VLOOKUP($A56,Curves_Table,Escalation!$E$291))</f>
        <v>2.2621404485994736</v>
      </c>
      <c r="G56" s="113">
        <f ca="1">IF($A56&lt;EE_Date,VLOOKUP($A56,Curves_Table,Escalation!$D$291),Exch)</f>
        <v>1.0649999999999999</v>
      </c>
      <c r="H56" s="1483">
        <f t="shared" ca="1" si="6"/>
        <v>18949.124882953376</v>
      </c>
      <c r="I56" s="330">
        <f ca="1">VLOOKUP($A56,Plant_Table,'Plant Operations'!$C$270)</f>
        <v>480</v>
      </c>
      <c r="J56" s="1481">
        <f t="shared" ca="1" si="7"/>
        <v>9095.5799438176218</v>
      </c>
      <c r="K56" s="1480">
        <f t="shared" ca="1" si="8"/>
        <v>2.2621404485994736</v>
      </c>
      <c r="L56" s="384">
        <f t="shared" ca="1" si="9"/>
        <v>4020.7848055804125</v>
      </c>
      <c r="M56" s="692" t="str">
        <f t="shared" ca="1" si="0"/>
        <v xml:space="preserve"> </v>
      </c>
      <c r="O56" s="1482">
        <f ca="1">IF($A56&gt;Endyr,0,VLOOKUP($A56,Tariff_Table,Tariff!$H$33))</f>
        <v>6142.46</v>
      </c>
      <c r="P56" s="1480">
        <f t="shared" ca="1" si="10"/>
        <v>1.1570754427785823</v>
      </c>
      <c r="Q56" s="1481">
        <f t="shared" ca="1" si="11"/>
        <v>7107.2896242497309</v>
      </c>
      <c r="R56" s="1480">
        <f t="shared" ca="1" si="12"/>
        <v>2.2621404485994736</v>
      </c>
      <c r="S56" s="113">
        <f t="shared" ca="1" si="13"/>
        <v>1.0649999999999999</v>
      </c>
      <c r="T56" s="1481">
        <f t="shared" ca="1" si="14"/>
        <v>15096.420036550866</v>
      </c>
      <c r="U56" s="330">
        <f t="shared" ca="1" si="15"/>
        <v>480</v>
      </c>
      <c r="V56" s="1481">
        <f t="shared" ca="1" si="16"/>
        <v>7246.281617544415</v>
      </c>
      <c r="W56" s="1480">
        <f t="shared" ca="1" si="17"/>
        <v>2.2621404485994736</v>
      </c>
      <c r="X56" s="384">
        <f t="shared" ca="1" si="18"/>
        <v>3203.2854644505828</v>
      </c>
      <c r="Y56" s="692" t="str">
        <f t="shared" ca="1" si="1"/>
        <v xml:space="preserve"> </v>
      </c>
      <c r="AA56" s="1484">
        <f ca="1">IF($A56&gt;Endyr,0,VLOOKUP($A56,Tariff_Table,Tariff!$I$33))</f>
        <v>2.31</v>
      </c>
      <c r="AB56" s="1480">
        <f t="shared" ca="1" si="2"/>
        <v>1.1570754427785823</v>
      </c>
      <c r="AC56" s="1483">
        <f t="shared" ca="1" si="19"/>
        <v>2.6728442728185251</v>
      </c>
      <c r="AD56" s="1480">
        <f t="shared" ca="1" si="20"/>
        <v>2.2621404485994736</v>
      </c>
      <c r="AE56" s="113">
        <f t="shared" ca="1" si="21"/>
        <v>1.0649999999999999</v>
      </c>
      <c r="AF56" s="1483">
        <f t="shared" ca="1" si="22"/>
        <v>5.6773231383570257</v>
      </c>
      <c r="AG56" s="334">
        <f ca="1">VLOOKUP($A56,Plant_Table,'Plant Operations'!$M$270)</f>
        <v>289336.32000000001</v>
      </c>
      <c r="AH56" s="1481">
        <f t="shared" ca="1" si="23"/>
        <v>1642.6557843030726</v>
      </c>
      <c r="AI56" s="1480">
        <f t="shared" ca="1" si="24"/>
        <v>2.2621404485994736</v>
      </c>
      <c r="AJ56" s="335">
        <f t="shared" ca="1" si="25"/>
        <v>726.1511040660921</v>
      </c>
      <c r="AK56" s="698" t="str">
        <f t="shared" ca="1" si="3"/>
        <v xml:space="preserve"> </v>
      </c>
      <c r="AM56" s="697">
        <f ca="1">IF($A56&gt;Endyr,0,VLOOKUP($A56,Tariff_Table,Tariff!$L$33))</f>
        <v>1.21</v>
      </c>
      <c r="AN56" s="1504">
        <f ca="1">VLOOKUP($A56,Curves_Table,Escalation!$Z$291)</f>
        <v>1.1895290466584547</v>
      </c>
      <c r="AO56" s="331">
        <f t="shared" ca="1" si="26"/>
        <v>1.4393301464567301</v>
      </c>
      <c r="AP56" s="331">
        <f ca="1">IF($A56&gt;Endyr,0,VLOOKUP($A56,Tariff_Table,Tariff!$M$33))</f>
        <v>0.25</v>
      </c>
      <c r="AQ56" s="331">
        <f t="shared" ca="1" si="27"/>
        <v>1.6893301464567301</v>
      </c>
      <c r="AR56" s="331">
        <f t="shared" ca="1" si="28"/>
        <v>1.46</v>
      </c>
      <c r="AS56" s="1508">
        <f t="shared" ca="1" si="29"/>
        <v>1.1570754427785823</v>
      </c>
    </row>
    <row r="57" spans="1:45">
      <c r="A57" s="672">
        <f t="shared" si="4"/>
        <v>38322</v>
      </c>
      <c r="C57" s="1484">
        <f ca="1">IF($A57&gt;Endyr,0,VLOOKUP($A57,Tariff_Table,Tariff!$G$33))</f>
        <v>7432.1</v>
      </c>
      <c r="D57" s="1480">
        <f ca="1">VLOOKUP($A57,Curves_Table,Escalation!$V$291)</f>
        <v>1.2003493342906499</v>
      </c>
      <c r="E57" s="1483">
        <f t="shared" ca="1" si="5"/>
        <v>8921.1162873815392</v>
      </c>
      <c r="F57" s="1480">
        <f ca="1">IF(Assm!$L$74=0,VLOOKUP($A57,Curves_Table,Escalation!$D$291),VLOOKUP($A57,Curves_Table,Escalation!$E$291))</f>
        <v>2.2679864268794208</v>
      </c>
      <c r="G57" s="113">
        <f ca="1">IF($A57&lt;EE_Date,VLOOKUP($A57,Curves_Table,Escalation!$D$291),Exch)</f>
        <v>1.0649999999999999</v>
      </c>
      <c r="H57" s="1483">
        <f t="shared" ca="1" si="6"/>
        <v>18998.094509290389</v>
      </c>
      <c r="I57" s="330">
        <f ca="1">VLOOKUP($A57,Plant_Table,'Plant Operations'!$C$270)</f>
        <v>480</v>
      </c>
      <c r="J57" s="1481">
        <f t="shared" ca="1" si="7"/>
        <v>9119.0853644593863</v>
      </c>
      <c r="K57" s="1480">
        <f t="shared" ca="1" si="8"/>
        <v>2.2679864268794208</v>
      </c>
      <c r="L57" s="384">
        <f t="shared" ca="1" si="9"/>
        <v>4020.7848055804125</v>
      </c>
      <c r="M57" s="692">
        <f t="shared" ca="1" si="0"/>
        <v>47784.616348157979</v>
      </c>
      <c r="O57" s="1482">
        <f ca="1">IF($A57&gt;Endyr,0,VLOOKUP($A57,Tariff_Table,Tariff!$H$33))</f>
        <v>6142.46</v>
      </c>
      <c r="P57" s="1480">
        <f t="shared" ca="1" si="10"/>
        <v>1.1570754427785823</v>
      </c>
      <c r="Q57" s="1481">
        <f t="shared" ca="1" si="11"/>
        <v>7107.2896242497309</v>
      </c>
      <c r="R57" s="1480">
        <f t="shared" ca="1" si="12"/>
        <v>2.2679864268794208</v>
      </c>
      <c r="S57" s="113">
        <f t="shared" ca="1" si="13"/>
        <v>1.0649999999999999</v>
      </c>
      <c r="T57" s="1481">
        <f t="shared" ca="1" si="14"/>
        <v>15135.433239154299</v>
      </c>
      <c r="U57" s="330">
        <f t="shared" ca="1" si="15"/>
        <v>480</v>
      </c>
      <c r="V57" s="1481">
        <f t="shared" ca="1" si="16"/>
        <v>7265.0079547940641</v>
      </c>
      <c r="W57" s="1480">
        <f t="shared" ca="1" si="17"/>
        <v>2.2679864268794208</v>
      </c>
      <c r="X57" s="384">
        <f t="shared" ca="1" si="18"/>
        <v>3203.2854644505833</v>
      </c>
      <c r="Y57" s="692">
        <f t="shared" ca="1" si="1"/>
        <v>38128.742583453815</v>
      </c>
      <c r="AA57" s="1484">
        <f ca="1">IF($A57&gt;Endyr,0,VLOOKUP($A57,Tariff_Table,Tariff!$I$33))</f>
        <v>2.31</v>
      </c>
      <c r="AB57" s="1480">
        <f t="shared" ca="1" si="2"/>
        <v>1.1570754427785823</v>
      </c>
      <c r="AC57" s="1483">
        <f t="shared" ca="1" si="19"/>
        <v>2.6728442728185251</v>
      </c>
      <c r="AD57" s="1480">
        <f t="shared" ca="1" si="20"/>
        <v>2.2679864268794208</v>
      </c>
      <c r="AE57" s="113">
        <f t="shared" ca="1" si="21"/>
        <v>1.0649999999999999</v>
      </c>
      <c r="AF57" s="1483">
        <f t="shared" ca="1" si="22"/>
        <v>5.6919948656477093</v>
      </c>
      <c r="AG57" s="334">
        <f ca="1">VLOOKUP($A57,Plant_Table,'Plant Operations'!$M$270)</f>
        <v>298980.864</v>
      </c>
      <c r="AH57" s="1481">
        <f t="shared" ca="1" si="23"/>
        <v>1701.7975428149159</v>
      </c>
      <c r="AI57" s="1480">
        <f t="shared" ca="1" si="24"/>
        <v>2.2679864268794208</v>
      </c>
      <c r="AJ57" s="335">
        <f t="shared" ca="1" si="25"/>
        <v>750.35614086829514</v>
      </c>
      <c r="AK57" s="698">
        <f t="shared" ca="1" si="3"/>
        <v>8794.1358326536229</v>
      </c>
      <c r="AM57" s="697">
        <f ca="1">IF($A57&gt;Endyr,0,VLOOKUP($A57,Tariff_Table,Tariff!$L$33))</f>
        <v>1.21</v>
      </c>
      <c r="AN57" s="1504">
        <f ca="1">VLOOKUP($A57,Curves_Table,Escalation!$Z$291)</f>
        <v>1.1895290466584547</v>
      </c>
      <c r="AO57" s="331">
        <f t="shared" ca="1" si="26"/>
        <v>1.4393301464567301</v>
      </c>
      <c r="AP57" s="331">
        <f ca="1">IF($A57&gt;Endyr,0,VLOOKUP($A57,Tariff_Table,Tariff!$M$33))</f>
        <v>0.25</v>
      </c>
      <c r="AQ57" s="331">
        <f t="shared" ca="1" si="27"/>
        <v>1.6893301464567301</v>
      </c>
      <c r="AR57" s="331">
        <f t="shared" ca="1" si="28"/>
        <v>1.46</v>
      </c>
      <c r="AS57" s="1508">
        <f t="shared" ca="1" si="29"/>
        <v>1.1570754427785823</v>
      </c>
    </row>
    <row r="58" spans="1:45">
      <c r="A58" s="672">
        <f t="shared" si="4"/>
        <v>38353</v>
      </c>
      <c r="C58" s="1484">
        <f ca="1">IF($A58&gt;Endyr,0,VLOOKUP($A58,Tariff_Table,Tariff!$G$33))</f>
        <v>7432.1</v>
      </c>
      <c r="D58" s="1480">
        <f ca="1">VLOOKUP($A58,Curves_Table,Escalation!$V$291)</f>
        <v>1.2003493342906499</v>
      </c>
      <c r="E58" s="1483">
        <f t="shared" ca="1" si="5"/>
        <v>8921.1162873815392</v>
      </c>
      <c r="F58" s="1480">
        <f ca="1">IF(Assm!$L$74=0,VLOOKUP($A58,Curves_Table,Escalation!$D$291),VLOOKUP($A58,Curves_Table,Escalation!$E$291))</f>
        <v>2.2732944230483629</v>
      </c>
      <c r="G58" s="113">
        <f ca="1">IF($A58&lt;EE_Date,VLOOKUP($A58,Curves_Table,Escalation!$D$291),Exch)</f>
        <v>1.0649999999999999</v>
      </c>
      <c r="H58" s="1483">
        <f t="shared" ca="1" si="6"/>
        <v>19042.557655840723</v>
      </c>
      <c r="I58" s="330">
        <f ca="1">VLOOKUP($A58,Plant_Table,'Plant Operations'!$C$270)</f>
        <v>480</v>
      </c>
      <c r="J58" s="1481">
        <f t="shared" ca="1" si="7"/>
        <v>9140.4276748035481</v>
      </c>
      <c r="K58" s="1480">
        <f t="shared" ca="1" si="8"/>
        <v>2.2732944230483629</v>
      </c>
      <c r="L58" s="384">
        <f t="shared" ca="1" si="9"/>
        <v>4020.7848055804125</v>
      </c>
      <c r="M58" s="692" t="str">
        <f t="shared" ca="1" si="0"/>
        <v xml:space="preserve"> </v>
      </c>
      <c r="O58" s="1482">
        <f ca="1">IF($A58&gt;Endyr,0,VLOOKUP($A58,Tariff_Table,Tariff!$H$33))</f>
        <v>6142.46</v>
      </c>
      <c r="P58" s="1480">
        <f t="shared" ca="1" si="10"/>
        <v>1.1570754427785823</v>
      </c>
      <c r="Q58" s="1481">
        <f t="shared" ca="1" si="11"/>
        <v>7107.2896242497309</v>
      </c>
      <c r="R58" s="1480">
        <f t="shared" ca="1" si="12"/>
        <v>2.2732944230483629</v>
      </c>
      <c r="S58" s="113">
        <f t="shared" ca="1" si="13"/>
        <v>1.0649999999999999</v>
      </c>
      <c r="T58" s="1481">
        <f t="shared" ca="1" si="14"/>
        <v>15170.856212015407</v>
      </c>
      <c r="U58" s="330">
        <f t="shared" ca="1" si="15"/>
        <v>480</v>
      </c>
      <c r="V58" s="1481">
        <f t="shared" ca="1" si="16"/>
        <v>7282.0109817673956</v>
      </c>
      <c r="W58" s="1480">
        <f t="shared" ca="1" si="17"/>
        <v>2.2732944230483629</v>
      </c>
      <c r="X58" s="384">
        <f t="shared" ca="1" si="18"/>
        <v>3203.2854644505833</v>
      </c>
      <c r="Y58" s="692" t="str">
        <f t="shared" ca="1" si="1"/>
        <v xml:space="preserve"> </v>
      </c>
      <c r="AA58" s="1484">
        <f ca="1">IF($A58&gt;Endyr,0,VLOOKUP($A58,Tariff_Table,Tariff!$I$33))</f>
        <v>2.31</v>
      </c>
      <c r="AB58" s="1480">
        <f t="shared" ca="1" si="2"/>
        <v>1.1570754427785823</v>
      </c>
      <c r="AC58" s="1483">
        <f t="shared" ca="1" si="19"/>
        <v>2.6728442728185251</v>
      </c>
      <c r="AD58" s="1480">
        <f t="shared" ca="1" si="20"/>
        <v>2.2732944230483629</v>
      </c>
      <c r="AE58" s="113">
        <f t="shared" ca="1" si="21"/>
        <v>1.0649999999999999</v>
      </c>
      <c r="AF58" s="1483">
        <f t="shared" ca="1" si="22"/>
        <v>5.7053164122770985</v>
      </c>
      <c r="AG58" s="334">
        <f ca="1">VLOOKUP($A58,Plant_Table,'Plant Operations'!$M$270)</f>
        <v>298980.864</v>
      </c>
      <c r="AH58" s="1481">
        <f t="shared" ca="1" si="23"/>
        <v>1705.7804303359871</v>
      </c>
      <c r="AI58" s="1480">
        <f t="shared" ca="1" si="24"/>
        <v>2.2732944230483629</v>
      </c>
      <c r="AJ58" s="335">
        <f t="shared" ca="1" si="25"/>
        <v>750.35614086829514</v>
      </c>
      <c r="AK58" s="698" t="str">
        <f t="shared" ca="1" si="3"/>
        <v xml:space="preserve"> </v>
      </c>
      <c r="AM58" s="697">
        <f ca="1">IF($A58&gt;Endyr,0,VLOOKUP($A58,Tariff_Table,Tariff!$L$33))</f>
        <v>1.21</v>
      </c>
      <c r="AN58" s="1504">
        <f ca="1">VLOOKUP($A58,Curves_Table,Escalation!$Z$291)</f>
        <v>1.1895290466584547</v>
      </c>
      <c r="AO58" s="331">
        <f t="shared" ca="1" si="26"/>
        <v>1.4393301464567301</v>
      </c>
      <c r="AP58" s="331">
        <f ca="1">IF($A58&gt;Endyr,0,VLOOKUP($A58,Tariff_Table,Tariff!$M$33))</f>
        <v>0.25</v>
      </c>
      <c r="AQ58" s="331">
        <f t="shared" ca="1" si="27"/>
        <v>1.6893301464567301</v>
      </c>
      <c r="AR58" s="331">
        <f t="shared" ca="1" si="28"/>
        <v>1.46</v>
      </c>
      <c r="AS58" s="1508">
        <f t="shared" ca="1" si="29"/>
        <v>1.1570754427785823</v>
      </c>
    </row>
    <row r="59" spans="1:45">
      <c r="A59" s="672">
        <f t="shared" si="4"/>
        <v>38384</v>
      </c>
      <c r="C59" s="1484">
        <f ca="1">IF($A59&gt;Endyr,0,VLOOKUP($A59,Tariff_Table,Tariff!$G$33))</f>
        <v>7432.1</v>
      </c>
      <c r="D59" s="1480">
        <f ca="1">VLOOKUP($A59,Curves_Table,Escalation!$V$291)</f>
        <v>1.2003493342906499</v>
      </c>
      <c r="E59" s="1483">
        <f t="shared" ca="1" si="5"/>
        <v>8921.1162873815392</v>
      </c>
      <c r="F59" s="1480">
        <f ca="1">IF(Assm!$L$74=0,VLOOKUP($A59,Curves_Table,Escalation!$D$291),VLOOKUP($A59,Curves_Table,Escalation!$E$291))</f>
        <v>2.2786148420532601</v>
      </c>
      <c r="G59" s="113">
        <f ca="1">IF($A59&lt;EE_Date,VLOOKUP($A59,Curves_Table,Escalation!$D$291),Exch)</f>
        <v>1.0649999999999999</v>
      </c>
      <c r="H59" s="1483">
        <f t="shared" ca="1" si="6"/>
        <v>19087.124863953668</v>
      </c>
      <c r="I59" s="330">
        <f ca="1">VLOOKUP($A59,Plant_Table,'Plant Operations'!$C$270)</f>
        <v>480</v>
      </c>
      <c r="J59" s="1481">
        <f t="shared" ca="1" si="7"/>
        <v>9161.8199346977599</v>
      </c>
      <c r="K59" s="1480">
        <f t="shared" ca="1" si="8"/>
        <v>2.2786148420532601</v>
      </c>
      <c r="L59" s="384">
        <f t="shared" ca="1" si="9"/>
        <v>4020.7848055804125</v>
      </c>
      <c r="M59" s="692" t="str">
        <f t="shared" ca="1" si="0"/>
        <v xml:space="preserve"> </v>
      </c>
      <c r="O59" s="1482">
        <f ca="1">IF($A59&gt;Endyr,0,VLOOKUP($A59,Tariff_Table,Tariff!$H$33))</f>
        <v>6142.46</v>
      </c>
      <c r="P59" s="1480">
        <f t="shared" ca="1" si="10"/>
        <v>1.1570754427785823</v>
      </c>
      <c r="Q59" s="1481">
        <f t="shared" ca="1" si="11"/>
        <v>7107.2896242497309</v>
      </c>
      <c r="R59" s="1480">
        <f t="shared" ca="1" si="12"/>
        <v>2.2786148420532601</v>
      </c>
      <c r="S59" s="113">
        <f t="shared" ca="1" si="13"/>
        <v>1.0649999999999999</v>
      </c>
      <c r="T59" s="1481">
        <f t="shared" ca="1" si="14"/>
        <v>15206.362088813687</v>
      </c>
      <c r="U59" s="330">
        <f t="shared" ca="1" si="15"/>
        <v>480</v>
      </c>
      <c r="V59" s="1481">
        <f t="shared" ca="1" si="16"/>
        <v>7299.0538026305694</v>
      </c>
      <c r="W59" s="1480">
        <f t="shared" ca="1" si="17"/>
        <v>2.2786148420532601</v>
      </c>
      <c r="X59" s="384">
        <f t="shared" ca="1" si="18"/>
        <v>3203.2854644505833</v>
      </c>
      <c r="Y59" s="692" t="str">
        <f t="shared" ca="1" si="1"/>
        <v xml:space="preserve"> </v>
      </c>
      <c r="AA59" s="1484">
        <f ca="1">IF($A59&gt;Endyr,0,VLOOKUP($A59,Tariff_Table,Tariff!$I$33))</f>
        <v>2.31</v>
      </c>
      <c r="AB59" s="1480">
        <f t="shared" ca="1" si="2"/>
        <v>1.1570754427785823</v>
      </c>
      <c r="AC59" s="1483">
        <f t="shared" ca="1" si="19"/>
        <v>2.6728442728185251</v>
      </c>
      <c r="AD59" s="1480">
        <f t="shared" ca="1" si="20"/>
        <v>2.2786148420532601</v>
      </c>
      <c r="AE59" s="113">
        <f t="shared" ca="1" si="21"/>
        <v>1.0649999999999999</v>
      </c>
      <c r="AF59" s="1483">
        <f t="shared" ca="1" si="22"/>
        <v>5.7186691366585398</v>
      </c>
      <c r="AG59" s="334">
        <f ca="1">VLOOKUP($A59,Plant_Table,'Plant Operations'!$M$270)</f>
        <v>270047.23200000002</v>
      </c>
      <c r="AH59" s="1481">
        <f t="shared" ca="1" si="23"/>
        <v>1544.3107710784686</v>
      </c>
      <c r="AI59" s="1480">
        <f t="shared" ca="1" si="24"/>
        <v>2.2786148420532601</v>
      </c>
      <c r="AJ59" s="335">
        <f t="shared" ca="1" si="25"/>
        <v>677.74103046168614</v>
      </c>
      <c r="AK59" s="698" t="str">
        <f t="shared" ca="1" si="3"/>
        <v xml:space="preserve"> </v>
      </c>
      <c r="AM59" s="697">
        <f ca="1">IF($A59&gt;Endyr,0,VLOOKUP($A59,Tariff_Table,Tariff!$L$33))</f>
        <v>1.21</v>
      </c>
      <c r="AN59" s="1504">
        <f ca="1">VLOOKUP($A59,Curves_Table,Escalation!$Z$291)</f>
        <v>1.1895290466584547</v>
      </c>
      <c r="AO59" s="331">
        <f t="shared" ca="1" si="26"/>
        <v>1.4393301464567301</v>
      </c>
      <c r="AP59" s="331">
        <f ca="1">IF($A59&gt;Endyr,0,VLOOKUP($A59,Tariff_Table,Tariff!$M$33))</f>
        <v>0.25</v>
      </c>
      <c r="AQ59" s="331">
        <f t="shared" ca="1" si="27"/>
        <v>1.6893301464567301</v>
      </c>
      <c r="AR59" s="331">
        <f t="shared" ca="1" si="28"/>
        <v>1.46</v>
      </c>
      <c r="AS59" s="1508">
        <f t="shared" ca="1" si="29"/>
        <v>1.1570754427785823</v>
      </c>
    </row>
    <row r="60" spans="1:45">
      <c r="A60" s="672">
        <f t="shared" si="4"/>
        <v>38412</v>
      </c>
      <c r="C60" s="1484">
        <f ca="1">IF($A60&gt;Endyr,0,VLOOKUP($A60,Tariff_Table,Tariff!$G$33))</f>
        <v>7432.1</v>
      </c>
      <c r="D60" s="1480">
        <f ca="1">VLOOKUP($A60,Curves_Table,Escalation!$V$291)</f>
        <v>1.2003493342906499</v>
      </c>
      <c r="E60" s="1483">
        <f t="shared" ca="1" si="5"/>
        <v>8921.1162873815392</v>
      </c>
      <c r="F60" s="1480">
        <f ca="1">IF(Assm!$L$74=0,VLOOKUP($A60,Curves_Table,Escalation!$D$291),VLOOKUP($A60,Curves_Table,Escalation!$E$291))</f>
        <v>2.2839477129685219</v>
      </c>
      <c r="G60" s="113">
        <f ca="1">IF($A60&lt;EE_Date,VLOOKUP($A60,Curves_Table,Escalation!$D$291),Exch)</f>
        <v>1.0649999999999999</v>
      </c>
      <c r="H60" s="1483">
        <f t="shared" ca="1" si="6"/>
        <v>19131.796377174927</v>
      </c>
      <c r="I60" s="330">
        <f ca="1">VLOOKUP($A60,Plant_Table,'Plant Operations'!$C$270)</f>
        <v>480</v>
      </c>
      <c r="J60" s="1481">
        <f t="shared" ca="1" si="7"/>
        <v>9183.2622610439666</v>
      </c>
      <c r="K60" s="1480">
        <f t="shared" ca="1" si="8"/>
        <v>2.2839477129685219</v>
      </c>
      <c r="L60" s="384">
        <f t="shared" ca="1" si="9"/>
        <v>4020.7848055804125</v>
      </c>
      <c r="M60" s="692" t="str">
        <f t="shared" ca="1" si="0"/>
        <v xml:space="preserve"> </v>
      </c>
      <c r="O60" s="1482">
        <f ca="1">IF($A60&gt;Endyr,0,VLOOKUP($A60,Tariff_Table,Tariff!$H$33))</f>
        <v>6142.46</v>
      </c>
      <c r="P60" s="1480">
        <f t="shared" ca="1" si="10"/>
        <v>1.1570754427785823</v>
      </c>
      <c r="Q60" s="1481">
        <f t="shared" ca="1" si="11"/>
        <v>7107.2896242497309</v>
      </c>
      <c r="R60" s="1480">
        <f t="shared" ca="1" si="12"/>
        <v>2.2839477129685219</v>
      </c>
      <c r="S60" s="113">
        <f t="shared" ca="1" si="13"/>
        <v>1.0649999999999999</v>
      </c>
      <c r="T60" s="1481">
        <f t="shared" ca="1" si="14"/>
        <v>15241.95106357754</v>
      </c>
      <c r="U60" s="330">
        <f t="shared" ca="1" si="15"/>
        <v>480</v>
      </c>
      <c r="V60" s="1481">
        <f t="shared" ca="1" si="16"/>
        <v>7316.136510517219</v>
      </c>
      <c r="W60" s="1480">
        <f t="shared" ca="1" si="17"/>
        <v>2.2839477129685219</v>
      </c>
      <c r="X60" s="384">
        <f t="shared" ca="1" si="18"/>
        <v>3203.2854644505833</v>
      </c>
      <c r="Y60" s="692" t="str">
        <f t="shared" ca="1" si="1"/>
        <v xml:space="preserve"> </v>
      </c>
      <c r="AA60" s="1484">
        <f ca="1">IF($A60&gt;Endyr,0,VLOOKUP($A60,Tariff_Table,Tariff!$I$33))</f>
        <v>2.31</v>
      </c>
      <c r="AB60" s="1480">
        <f t="shared" ca="1" si="2"/>
        <v>1.1570754427785823</v>
      </c>
      <c r="AC60" s="1483">
        <f t="shared" ca="1" si="19"/>
        <v>2.6728442728185251</v>
      </c>
      <c r="AD60" s="1480">
        <f t="shared" ca="1" si="20"/>
        <v>2.2839477129685219</v>
      </c>
      <c r="AE60" s="113">
        <f t="shared" ca="1" si="21"/>
        <v>1.0649999999999999</v>
      </c>
      <c r="AF60" s="1483">
        <f t="shared" ca="1" si="22"/>
        <v>5.7320531117604538</v>
      </c>
      <c r="AG60" s="334">
        <f ca="1">VLOOKUP($A60,Plant_Table,'Plant Operations'!$M$270)</f>
        <v>298980.864</v>
      </c>
      <c r="AH60" s="1481">
        <f t="shared" ca="1" si="23"/>
        <v>1713.7741918480292</v>
      </c>
      <c r="AI60" s="1480">
        <f t="shared" ca="1" si="24"/>
        <v>2.2839477129685219</v>
      </c>
      <c r="AJ60" s="335">
        <f t="shared" ca="1" si="25"/>
        <v>750.35614086829537</v>
      </c>
      <c r="AK60" s="698" t="str">
        <f t="shared" ca="1" si="3"/>
        <v xml:space="preserve"> </v>
      </c>
      <c r="AM60" s="697">
        <f ca="1">IF($A60&gt;Endyr,0,VLOOKUP($A60,Tariff_Table,Tariff!$L$33))</f>
        <v>1.21</v>
      </c>
      <c r="AN60" s="1504">
        <f ca="1">VLOOKUP($A60,Curves_Table,Escalation!$Z$291)</f>
        <v>1.1895290466584547</v>
      </c>
      <c r="AO60" s="331">
        <f t="shared" ca="1" si="26"/>
        <v>1.4393301464567301</v>
      </c>
      <c r="AP60" s="331">
        <f ca="1">IF($A60&gt;Endyr,0,VLOOKUP($A60,Tariff_Table,Tariff!$M$33))</f>
        <v>0.25</v>
      </c>
      <c r="AQ60" s="331">
        <f t="shared" ca="1" si="27"/>
        <v>1.6893301464567301</v>
      </c>
      <c r="AR60" s="331">
        <f t="shared" ca="1" si="28"/>
        <v>1.46</v>
      </c>
      <c r="AS60" s="1508">
        <f t="shared" ca="1" si="29"/>
        <v>1.1570754427785823</v>
      </c>
    </row>
    <row r="61" spans="1:45">
      <c r="A61" s="672">
        <f t="shared" si="4"/>
        <v>38443</v>
      </c>
      <c r="C61" s="1484">
        <f ca="1">IF($A61&gt;Endyr,0,VLOOKUP($A61,Tariff_Table,Tariff!$G$33))</f>
        <v>7432.1</v>
      </c>
      <c r="D61" s="1480">
        <f ca="1">VLOOKUP($A61,Curves_Table,Escalation!$V$291)</f>
        <v>1.2003493342906499</v>
      </c>
      <c r="E61" s="1483">
        <f t="shared" ca="1" si="5"/>
        <v>8921.1162873815392</v>
      </c>
      <c r="F61" s="1480">
        <f ca="1">IF(Assm!$L$74=0,VLOOKUP($A61,Curves_Table,Escalation!$D$291),VLOOKUP($A61,Curves_Table,Escalation!$E$291))</f>
        <v>2.289293064936603</v>
      </c>
      <c r="G61" s="113">
        <f ca="1">IF($A61&lt;EE_Date,VLOOKUP($A61,Curves_Table,Escalation!$D$291),Exch)</f>
        <v>1.0649999999999999</v>
      </c>
      <c r="H61" s="1483">
        <f t="shared" ca="1" si="6"/>
        <v>19176.57243962022</v>
      </c>
      <c r="I61" s="330">
        <f ca="1">VLOOKUP($A61,Plant_Table,'Plant Operations'!$C$270)</f>
        <v>480</v>
      </c>
      <c r="J61" s="1481">
        <f t="shared" ca="1" si="7"/>
        <v>9204.7547710177059</v>
      </c>
      <c r="K61" s="1480">
        <f t="shared" ca="1" si="8"/>
        <v>2.289293064936603</v>
      </c>
      <c r="L61" s="384">
        <f t="shared" ca="1" si="9"/>
        <v>4020.7848055804125</v>
      </c>
      <c r="M61" s="692" t="str">
        <f t="shared" ca="1" si="0"/>
        <v xml:space="preserve"> </v>
      </c>
      <c r="O61" s="1482">
        <f ca="1">IF($A61&gt;Endyr,0,VLOOKUP($A61,Tariff_Table,Tariff!$H$33))</f>
        <v>6142.46</v>
      </c>
      <c r="P61" s="1480">
        <f t="shared" ca="1" si="10"/>
        <v>1.1570754427785823</v>
      </c>
      <c r="Q61" s="1481">
        <f t="shared" ca="1" si="11"/>
        <v>7107.2896242497309</v>
      </c>
      <c r="R61" s="1480">
        <f t="shared" ca="1" si="12"/>
        <v>2.289293064936603</v>
      </c>
      <c r="S61" s="113">
        <f t="shared" ca="1" si="13"/>
        <v>1.0649999999999999</v>
      </c>
      <c r="T61" s="1481">
        <f t="shared" ca="1" si="14"/>
        <v>15277.623330789469</v>
      </c>
      <c r="U61" s="330">
        <f t="shared" ca="1" si="15"/>
        <v>480</v>
      </c>
      <c r="V61" s="1481">
        <f t="shared" ca="1" si="16"/>
        <v>7333.2591987789447</v>
      </c>
      <c r="W61" s="1480">
        <f t="shared" ca="1" si="17"/>
        <v>2.289293064936603</v>
      </c>
      <c r="X61" s="384">
        <f t="shared" ca="1" si="18"/>
        <v>3203.2854644505828</v>
      </c>
      <c r="Y61" s="692" t="str">
        <f t="shared" ca="1" si="1"/>
        <v xml:space="preserve"> </v>
      </c>
      <c r="AA61" s="1484">
        <f ca="1">IF($A61&gt;Endyr,0,VLOOKUP($A61,Tariff_Table,Tariff!$I$33))</f>
        <v>2.31</v>
      </c>
      <c r="AB61" s="1480">
        <f t="shared" ca="1" si="2"/>
        <v>1.1570754427785823</v>
      </c>
      <c r="AC61" s="1483">
        <f t="shared" ca="1" si="19"/>
        <v>2.6728442728185251</v>
      </c>
      <c r="AD61" s="1480">
        <f t="shared" ca="1" si="20"/>
        <v>2.289293064936603</v>
      </c>
      <c r="AE61" s="113">
        <f t="shared" ca="1" si="21"/>
        <v>1.0649999999999999</v>
      </c>
      <c r="AF61" s="1483">
        <f t="shared" ca="1" si="22"/>
        <v>5.7454684107220357</v>
      </c>
      <c r="AG61" s="334">
        <f ca="1">VLOOKUP($A61,Plant_Table,'Plant Operations'!$M$270)</f>
        <v>289336.32000000001</v>
      </c>
      <c r="AH61" s="1481">
        <f t="shared" ca="1" si="23"/>
        <v>1662.3726866345623</v>
      </c>
      <c r="AI61" s="1480">
        <f t="shared" ca="1" si="24"/>
        <v>2.289293064936603</v>
      </c>
      <c r="AJ61" s="335">
        <f t="shared" ca="1" si="25"/>
        <v>726.15110406609222</v>
      </c>
      <c r="AK61" s="698" t="str">
        <f t="shared" ca="1" si="3"/>
        <v xml:space="preserve"> </v>
      </c>
      <c r="AM61" s="697">
        <f ca="1">IF($A61&gt;Endyr,0,VLOOKUP($A61,Tariff_Table,Tariff!$L$33))</f>
        <v>1.21</v>
      </c>
      <c r="AN61" s="1504">
        <f ca="1">VLOOKUP($A61,Curves_Table,Escalation!$Z$291)</f>
        <v>1.1895290466584547</v>
      </c>
      <c r="AO61" s="331">
        <f t="shared" ca="1" si="26"/>
        <v>1.4393301464567301</v>
      </c>
      <c r="AP61" s="331">
        <f ca="1">IF($A61&gt;Endyr,0,VLOOKUP($A61,Tariff_Table,Tariff!$M$33))</f>
        <v>0.25</v>
      </c>
      <c r="AQ61" s="331">
        <f t="shared" ca="1" si="27"/>
        <v>1.6893301464567301</v>
      </c>
      <c r="AR61" s="331">
        <f t="shared" ca="1" si="28"/>
        <v>1.46</v>
      </c>
      <c r="AS61" s="1508">
        <f t="shared" ca="1" si="29"/>
        <v>1.1570754427785823</v>
      </c>
    </row>
    <row r="62" spans="1:45">
      <c r="A62" s="672">
        <f t="shared" si="4"/>
        <v>38473</v>
      </c>
      <c r="C62" s="1484">
        <f ca="1">IF($A62&gt;Endyr,0,VLOOKUP($A62,Tariff_Table,Tariff!$G$33))</f>
        <v>7420.61</v>
      </c>
      <c r="D62" s="1480">
        <f ca="1">VLOOKUP($A62,Curves_Table,Escalation!$V$291)</f>
        <v>1.2346229437596627</v>
      </c>
      <c r="E62" s="1483">
        <f t="shared" ca="1" si="5"/>
        <v>9161.6553626923906</v>
      </c>
      <c r="F62" s="1480">
        <f ca="1">IF(Assm!$L$74=0,VLOOKUP($A62,Curves_Table,Escalation!$D$291),VLOOKUP($A62,Curves_Table,Escalation!$E$291))</f>
        <v>2.2946509271681639</v>
      </c>
      <c r="G62" s="113">
        <f ca="1">IF($A62&lt;EE_Date,VLOOKUP($A62,Curves_Table,Escalation!$D$291),Exch)</f>
        <v>1.0649999999999999</v>
      </c>
      <c r="H62" s="1483">
        <f t="shared" ca="1" si="6"/>
        <v>19739.719222908239</v>
      </c>
      <c r="I62" s="330">
        <f ca="1">VLOOKUP($A62,Plant_Table,'Plant Operations'!$C$270)</f>
        <v>480</v>
      </c>
      <c r="J62" s="1481">
        <f t="shared" ca="1" si="7"/>
        <v>9475.0652269959537</v>
      </c>
      <c r="K62" s="1480">
        <f t="shared" ca="1" si="8"/>
        <v>2.2946509271681639</v>
      </c>
      <c r="L62" s="384">
        <f t="shared" ca="1" si="9"/>
        <v>4129.1967831853026</v>
      </c>
      <c r="M62" s="692" t="str">
        <f t="shared" ca="1" si="0"/>
        <v xml:space="preserve"> </v>
      </c>
      <c r="O62" s="1482">
        <f ca="1">IF($A62&gt;Endyr,0,VLOOKUP($A62,Tariff_Table,Tariff!$H$33))</f>
        <v>6104.93</v>
      </c>
      <c r="P62" s="1480">
        <f t="shared" ca="1" si="10"/>
        <v>1.182759627837735</v>
      </c>
      <c r="Q62" s="1481">
        <f t="shared" ca="1" si="11"/>
        <v>7220.6647347754242</v>
      </c>
      <c r="R62" s="1480">
        <f t="shared" ca="1" si="12"/>
        <v>2.2946509271681639</v>
      </c>
      <c r="S62" s="113">
        <f t="shared" ca="1" si="13"/>
        <v>1.0649999999999999</v>
      </c>
      <c r="T62" s="1481">
        <f t="shared" ca="1" si="14"/>
        <v>15557.657303683467</v>
      </c>
      <c r="U62" s="330">
        <f t="shared" ca="1" si="15"/>
        <v>480</v>
      </c>
      <c r="V62" s="1481">
        <f t="shared" ca="1" si="16"/>
        <v>7467.6755057680648</v>
      </c>
      <c r="W62" s="1480">
        <f t="shared" ca="1" si="17"/>
        <v>2.2946509271681639</v>
      </c>
      <c r="X62" s="384">
        <f t="shared" ca="1" si="18"/>
        <v>3254.3841058142762</v>
      </c>
      <c r="Y62" s="692" t="str">
        <f t="shared" ca="1" si="1"/>
        <v xml:space="preserve"> </v>
      </c>
      <c r="AA62" s="1484">
        <f ca="1">IF($A62&gt;Endyr,0,VLOOKUP($A62,Tariff_Table,Tariff!$I$33))</f>
        <v>2.2999999999999998</v>
      </c>
      <c r="AB62" s="1480">
        <f t="shared" ca="1" si="2"/>
        <v>1.182759627837735</v>
      </c>
      <c r="AC62" s="1483">
        <f t="shared" ca="1" si="19"/>
        <v>2.7203471440267903</v>
      </c>
      <c r="AD62" s="1480">
        <f t="shared" ca="1" si="20"/>
        <v>2.2946509271681639</v>
      </c>
      <c r="AE62" s="113">
        <f t="shared" ca="1" si="21"/>
        <v>1.0649999999999999</v>
      </c>
      <c r="AF62" s="1483">
        <f t="shared" ca="1" si="22"/>
        <v>5.8612648791176909</v>
      </c>
      <c r="AG62" s="334">
        <f ca="1">VLOOKUP($A62,Plant_Table,'Plant Operations'!$M$270)</f>
        <v>298980.864</v>
      </c>
      <c r="AH62" s="1481">
        <f t="shared" ca="1" si="23"/>
        <v>1752.4060376914629</v>
      </c>
      <c r="AI62" s="1480">
        <f t="shared" ca="1" si="24"/>
        <v>2.2946509271681639</v>
      </c>
      <c r="AJ62" s="335">
        <f t="shared" ca="1" si="25"/>
        <v>763.69177417940114</v>
      </c>
      <c r="AK62" s="698" t="str">
        <f t="shared" ca="1" si="3"/>
        <v xml:space="preserve"> </v>
      </c>
      <c r="AM62" s="697">
        <f ca="1">IF($A62&gt;Endyr,0,VLOOKUP($A62,Tariff_Table,Tariff!$L$33))</f>
        <v>1.21</v>
      </c>
      <c r="AN62" s="1504">
        <f ca="1">VLOOKUP($A62,Curves_Table,Escalation!$Z$291)</f>
        <v>1.2205198815232174</v>
      </c>
      <c r="AO62" s="331">
        <f t="shared" ca="1" si="26"/>
        <v>1.4768290566430931</v>
      </c>
      <c r="AP62" s="331">
        <f ca="1">IF($A62&gt;Endyr,0,VLOOKUP($A62,Tariff_Table,Tariff!$M$33))</f>
        <v>0.25</v>
      </c>
      <c r="AQ62" s="331">
        <f t="shared" ca="1" si="27"/>
        <v>1.7268290566430931</v>
      </c>
      <c r="AR62" s="331">
        <f t="shared" ca="1" si="28"/>
        <v>1.46</v>
      </c>
      <c r="AS62" s="1508">
        <f t="shared" ca="1" si="29"/>
        <v>1.182759627837735</v>
      </c>
    </row>
    <row r="63" spans="1:45">
      <c r="A63" s="672">
        <f t="shared" si="4"/>
        <v>38504</v>
      </c>
      <c r="C63" s="1484">
        <f ca="1">IF($A63&gt;Endyr,0,VLOOKUP($A63,Tariff_Table,Tariff!$G$33))</f>
        <v>7420.61</v>
      </c>
      <c r="D63" s="1480">
        <f ca="1">VLOOKUP($A63,Curves_Table,Escalation!$V$291)</f>
        <v>1.2346229437596627</v>
      </c>
      <c r="E63" s="1483">
        <f t="shared" ca="1" si="5"/>
        <v>9161.6553626923906</v>
      </c>
      <c r="F63" s="1480">
        <f ca="1">IF(Assm!$L$74=0,VLOOKUP($A63,Curves_Table,Escalation!$D$291),VLOOKUP($A63,Curves_Table,Escalation!$E$291))</f>
        <v>2.3000213289422287</v>
      </c>
      <c r="G63" s="113">
        <f ca="1">IF($A63&lt;EE_Date,VLOOKUP($A63,Curves_Table,Escalation!$D$291),Exch)</f>
        <v>1.0649999999999999</v>
      </c>
      <c r="H63" s="1483">
        <f t="shared" ca="1" si="6"/>
        <v>19785.918068178828</v>
      </c>
      <c r="I63" s="330">
        <f ca="1">VLOOKUP($A63,Plant_Table,'Plant Operations'!$C$270)</f>
        <v>480</v>
      </c>
      <c r="J63" s="1481">
        <f t="shared" ca="1" si="7"/>
        <v>9497.2406727258385</v>
      </c>
      <c r="K63" s="1480">
        <f t="shared" ca="1" si="8"/>
        <v>2.3000213289422287</v>
      </c>
      <c r="L63" s="384">
        <f t="shared" ca="1" si="9"/>
        <v>4129.1967831853044</v>
      </c>
      <c r="M63" s="692" t="str">
        <f t="shared" ca="1" si="0"/>
        <v xml:space="preserve"> </v>
      </c>
      <c r="O63" s="1482">
        <f ca="1">IF($A63&gt;Endyr,0,VLOOKUP($A63,Tariff_Table,Tariff!$H$33))</f>
        <v>6104.93</v>
      </c>
      <c r="P63" s="1480">
        <f t="shared" ca="1" si="10"/>
        <v>1.182759627837735</v>
      </c>
      <c r="Q63" s="1481">
        <f t="shared" ca="1" si="11"/>
        <v>7220.6647347754242</v>
      </c>
      <c r="R63" s="1480">
        <f t="shared" ca="1" si="12"/>
        <v>2.3000213289422287</v>
      </c>
      <c r="S63" s="113">
        <f t="shared" ca="1" si="13"/>
        <v>1.0649999999999999</v>
      </c>
      <c r="T63" s="1481">
        <f t="shared" ca="1" si="14"/>
        <v>15594.068449882117</v>
      </c>
      <c r="U63" s="330">
        <f t="shared" ca="1" si="15"/>
        <v>480</v>
      </c>
      <c r="V63" s="1481">
        <f t="shared" ca="1" si="16"/>
        <v>7485.1528559434164</v>
      </c>
      <c r="W63" s="1480">
        <f t="shared" ca="1" si="17"/>
        <v>2.3000213289422287</v>
      </c>
      <c r="X63" s="384">
        <f t="shared" ca="1" si="18"/>
        <v>3254.3841058142757</v>
      </c>
      <c r="Y63" s="692" t="str">
        <f t="shared" ca="1" si="1"/>
        <v xml:space="preserve"> </v>
      </c>
      <c r="AA63" s="1484">
        <f ca="1">IF($A63&gt;Endyr,0,VLOOKUP($A63,Tariff_Table,Tariff!$I$33))</f>
        <v>2.2999999999999998</v>
      </c>
      <c r="AB63" s="1480">
        <f t="shared" ca="1" si="2"/>
        <v>1.182759627837735</v>
      </c>
      <c r="AC63" s="1483">
        <f t="shared" ca="1" si="19"/>
        <v>2.7203471440267903</v>
      </c>
      <c r="AD63" s="1480">
        <f t="shared" ca="1" si="20"/>
        <v>2.3000213289422287</v>
      </c>
      <c r="AE63" s="113">
        <f t="shared" ca="1" si="21"/>
        <v>1.0649999999999999</v>
      </c>
      <c r="AF63" s="1483">
        <f t="shared" ca="1" si="22"/>
        <v>5.8749825853414972</v>
      </c>
      <c r="AG63" s="334">
        <f ca="1">VLOOKUP($A63,Plant_Table,'Plant Operations'!$M$270)</f>
        <v>289336.32000000001</v>
      </c>
      <c r="AH63" s="1481">
        <f t="shared" ca="1" si="23"/>
        <v>1699.8458413067947</v>
      </c>
      <c r="AI63" s="1480">
        <f t="shared" ca="1" si="24"/>
        <v>2.3000213289422287</v>
      </c>
      <c r="AJ63" s="335">
        <f t="shared" ca="1" si="25"/>
        <v>739.05655565748498</v>
      </c>
      <c r="AK63" s="698" t="str">
        <f t="shared" ca="1" si="3"/>
        <v xml:space="preserve"> </v>
      </c>
      <c r="AM63" s="697">
        <f ca="1">IF($A63&gt;Endyr,0,VLOOKUP($A63,Tariff_Table,Tariff!$L$33))</f>
        <v>1.21</v>
      </c>
      <c r="AN63" s="1504">
        <f ca="1">VLOOKUP($A63,Curves_Table,Escalation!$Z$291)</f>
        <v>1.2205198815232174</v>
      </c>
      <c r="AO63" s="331">
        <f t="shared" ca="1" si="26"/>
        <v>1.4768290566430931</v>
      </c>
      <c r="AP63" s="331">
        <f ca="1">IF($A63&gt;Endyr,0,VLOOKUP($A63,Tariff_Table,Tariff!$M$33))</f>
        <v>0.25</v>
      </c>
      <c r="AQ63" s="331">
        <f t="shared" ca="1" si="27"/>
        <v>1.7268290566430931</v>
      </c>
      <c r="AR63" s="331">
        <f t="shared" ca="1" si="28"/>
        <v>1.46</v>
      </c>
      <c r="AS63" s="1508">
        <f t="shared" ca="1" si="29"/>
        <v>1.182759627837735</v>
      </c>
    </row>
    <row r="64" spans="1:45">
      <c r="A64" s="672">
        <f t="shared" si="4"/>
        <v>38534</v>
      </c>
      <c r="C64" s="1484">
        <f ca="1">IF($A64&gt;Endyr,0,VLOOKUP($A64,Tariff_Table,Tariff!$G$33))</f>
        <v>7420.61</v>
      </c>
      <c r="D64" s="1480">
        <f ca="1">VLOOKUP($A64,Curves_Table,Escalation!$V$291)</f>
        <v>1.2346229437596627</v>
      </c>
      <c r="E64" s="1483">
        <f t="shared" ca="1" si="5"/>
        <v>9161.6553626923906</v>
      </c>
      <c r="F64" s="1480">
        <f ca="1">IF(Assm!$L$74=0,VLOOKUP($A64,Curves_Table,Escalation!$D$291),VLOOKUP($A64,Curves_Table,Escalation!$E$291))</f>
        <v>2.3054042996063471</v>
      </c>
      <c r="G64" s="113">
        <f ca="1">IF($A64&lt;EE_Date,VLOOKUP($A64,Curves_Table,Escalation!$D$291),Exch)</f>
        <v>1.0649999999999999</v>
      </c>
      <c r="H64" s="1483">
        <f t="shared" ca="1" si="6"/>
        <v>19832.225037241864</v>
      </c>
      <c r="I64" s="330">
        <f ca="1">VLOOKUP($A64,Plant_Table,'Plant Operations'!$C$270)</f>
        <v>480</v>
      </c>
      <c r="J64" s="1481">
        <f t="shared" ca="1" si="7"/>
        <v>9519.4680178760937</v>
      </c>
      <c r="K64" s="1480">
        <f t="shared" ca="1" si="8"/>
        <v>2.3054042996063471</v>
      </c>
      <c r="L64" s="384">
        <f t="shared" ca="1" si="9"/>
        <v>4129.1967831853026</v>
      </c>
      <c r="M64" s="692" t="str">
        <f t="shared" ca="1" si="0"/>
        <v xml:space="preserve"> </v>
      </c>
      <c r="O64" s="1482">
        <f ca="1">IF($A64&gt;Endyr,0,VLOOKUP($A64,Tariff_Table,Tariff!$H$33))</f>
        <v>6104.93</v>
      </c>
      <c r="P64" s="1480">
        <f t="shared" ca="1" si="10"/>
        <v>1.182759627837735</v>
      </c>
      <c r="Q64" s="1481">
        <f t="shared" ca="1" si="11"/>
        <v>7220.6647347754242</v>
      </c>
      <c r="R64" s="1480">
        <f t="shared" ca="1" si="12"/>
        <v>2.3054042996063471</v>
      </c>
      <c r="S64" s="113">
        <f t="shared" ca="1" si="13"/>
        <v>1.0649999999999999</v>
      </c>
      <c r="T64" s="1481">
        <f t="shared" ca="1" si="14"/>
        <v>15630.564812739141</v>
      </c>
      <c r="U64" s="330">
        <f t="shared" ca="1" si="15"/>
        <v>480</v>
      </c>
      <c r="V64" s="1481">
        <f t="shared" ca="1" si="16"/>
        <v>7502.6711101147876</v>
      </c>
      <c r="W64" s="1480">
        <f t="shared" ca="1" si="17"/>
        <v>2.3054042996063471</v>
      </c>
      <c r="X64" s="384">
        <f t="shared" ca="1" si="18"/>
        <v>3254.3841058142752</v>
      </c>
      <c r="Y64" s="692" t="str">
        <f t="shared" ca="1" si="1"/>
        <v xml:space="preserve"> </v>
      </c>
      <c r="AA64" s="1484">
        <f ca="1">IF($A64&gt;Endyr,0,VLOOKUP($A64,Tariff_Table,Tariff!$I$33))</f>
        <v>2.2999999999999998</v>
      </c>
      <c r="AB64" s="1480">
        <f t="shared" ca="1" si="2"/>
        <v>1.182759627837735</v>
      </c>
      <c r="AC64" s="1483">
        <f t="shared" ca="1" si="19"/>
        <v>2.7203471440267903</v>
      </c>
      <c r="AD64" s="1480">
        <f t="shared" ca="1" si="20"/>
        <v>2.3054042996063471</v>
      </c>
      <c r="AE64" s="113">
        <f t="shared" ca="1" si="21"/>
        <v>1.0649999999999999</v>
      </c>
      <c r="AF64" s="1483">
        <f t="shared" ca="1" si="22"/>
        <v>5.8887323964893987</v>
      </c>
      <c r="AG64" s="334">
        <f ca="1">VLOOKUP($A64,Plant_Table,'Plant Operations'!$M$270)</f>
        <v>298980.864</v>
      </c>
      <c r="AH64" s="1481">
        <f t="shared" ca="1" si="23"/>
        <v>1760.618299767191</v>
      </c>
      <c r="AI64" s="1480">
        <f t="shared" ca="1" si="24"/>
        <v>2.3054042996063471</v>
      </c>
      <c r="AJ64" s="335">
        <f t="shared" ca="1" si="25"/>
        <v>763.69177417940125</v>
      </c>
      <c r="AK64" s="698" t="str">
        <f t="shared" ca="1" si="3"/>
        <v xml:space="preserve"> </v>
      </c>
      <c r="AM64" s="697">
        <f ca="1">IF($A64&gt;Endyr,0,VLOOKUP($A64,Tariff_Table,Tariff!$L$33))</f>
        <v>1.21</v>
      </c>
      <c r="AN64" s="1504">
        <f ca="1">VLOOKUP($A64,Curves_Table,Escalation!$Z$291)</f>
        <v>1.2205198815232174</v>
      </c>
      <c r="AO64" s="331">
        <f t="shared" ca="1" si="26"/>
        <v>1.4768290566430931</v>
      </c>
      <c r="AP64" s="331">
        <f ca="1">IF($A64&gt;Endyr,0,VLOOKUP($A64,Tariff_Table,Tariff!$M$33))</f>
        <v>0.25</v>
      </c>
      <c r="AQ64" s="331">
        <f t="shared" ca="1" si="27"/>
        <v>1.7268290566430931</v>
      </c>
      <c r="AR64" s="331">
        <f t="shared" ca="1" si="28"/>
        <v>1.46</v>
      </c>
      <c r="AS64" s="1508">
        <f t="shared" ca="1" si="29"/>
        <v>1.182759627837735</v>
      </c>
    </row>
    <row r="65" spans="1:45">
      <c r="A65" s="672">
        <f t="shared" si="4"/>
        <v>38565</v>
      </c>
      <c r="C65" s="1484">
        <f ca="1">IF($A65&gt;Endyr,0,VLOOKUP($A65,Tariff_Table,Tariff!$G$33))</f>
        <v>7420.61</v>
      </c>
      <c r="D65" s="1480">
        <f ca="1">VLOOKUP($A65,Curves_Table,Escalation!$V$291)</f>
        <v>1.2346229437596627</v>
      </c>
      <c r="E65" s="1483">
        <f t="shared" ca="1" si="5"/>
        <v>9161.6553626923906</v>
      </c>
      <c r="F65" s="1480">
        <f ca="1">IF(Assm!$L$74=0,VLOOKUP($A65,Curves_Table,Escalation!$D$291),VLOOKUP($A65,Curves_Table,Escalation!$E$291))</f>
        <v>2.3107998685767535</v>
      </c>
      <c r="G65" s="113">
        <f ca="1">IF($A65&lt;EE_Date,VLOOKUP($A65,Curves_Table,Escalation!$D$291),Exch)</f>
        <v>1.0649999999999999</v>
      </c>
      <c r="H65" s="1483">
        <f t="shared" ca="1" si="6"/>
        <v>19878.640383150316</v>
      </c>
      <c r="I65" s="330">
        <f ca="1">VLOOKUP($A65,Plant_Table,'Plant Operations'!$C$270)</f>
        <v>480</v>
      </c>
      <c r="J65" s="1481">
        <f t="shared" ca="1" si="7"/>
        <v>9541.7473839121521</v>
      </c>
      <c r="K65" s="1480">
        <f t="shared" ca="1" si="8"/>
        <v>2.3107998685767535</v>
      </c>
      <c r="L65" s="384">
        <f t="shared" ca="1" si="9"/>
        <v>4129.1967831853035</v>
      </c>
      <c r="M65" s="692" t="str">
        <f t="shared" ca="1" si="0"/>
        <v xml:space="preserve"> </v>
      </c>
      <c r="O65" s="1482">
        <f ca="1">IF($A65&gt;Endyr,0,VLOOKUP($A65,Tariff_Table,Tariff!$H$33))</f>
        <v>6104.93</v>
      </c>
      <c r="P65" s="1480">
        <f t="shared" ca="1" si="10"/>
        <v>1.182759627837735</v>
      </c>
      <c r="Q65" s="1481">
        <f t="shared" ca="1" si="11"/>
        <v>7220.6647347754242</v>
      </c>
      <c r="R65" s="1480">
        <f t="shared" ca="1" si="12"/>
        <v>2.3107998685767535</v>
      </c>
      <c r="S65" s="113">
        <f t="shared" ca="1" si="13"/>
        <v>1.0649999999999999</v>
      </c>
      <c r="T65" s="1481">
        <f t="shared" ca="1" si="14"/>
        <v>15667.146591695635</v>
      </c>
      <c r="U65" s="330">
        <f t="shared" ca="1" si="15"/>
        <v>480</v>
      </c>
      <c r="V65" s="1481">
        <f t="shared" ca="1" si="16"/>
        <v>7520.2303640139044</v>
      </c>
      <c r="W65" s="1480">
        <f t="shared" ca="1" si="17"/>
        <v>2.3107998685767535</v>
      </c>
      <c r="X65" s="384">
        <f t="shared" ca="1" si="18"/>
        <v>3254.3841058142762</v>
      </c>
      <c r="Y65" s="692" t="str">
        <f t="shared" ca="1" si="1"/>
        <v xml:space="preserve"> </v>
      </c>
      <c r="AA65" s="1484">
        <f ca="1">IF($A65&gt;Endyr,0,VLOOKUP($A65,Tariff_Table,Tariff!$I$33))</f>
        <v>2.2999999999999998</v>
      </c>
      <c r="AB65" s="1480">
        <f t="shared" ca="1" si="2"/>
        <v>1.182759627837735</v>
      </c>
      <c r="AC65" s="1483">
        <f t="shared" ca="1" si="19"/>
        <v>2.7203471440267903</v>
      </c>
      <c r="AD65" s="1480">
        <f t="shared" ca="1" si="20"/>
        <v>2.3107998685767535</v>
      </c>
      <c r="AE65" s="113">
        <f t="shared" ca="1" si="21"/>
        <v>1.0649999999999999</v>
      </c>
      <c r="AF65" s="1483">
        <f t="shared" ca="1" si="22"/>
        <v>5.9025143876997692</v>
      </c>
      <c r="AG65" s="334">
        <f ca="1">VLOOKUP($A65,Plant_Table,'Plant Operations'!$M$270)</f>
        <v>298980.864</v>
      </c>
      <c r="AH65" s="1481">
        <f t="shared" ca="1" si="23"/>
        <v>1764.738851406908</v>
      </c>
      <c r="AI65" s="1480">
        <f t="shared" ca="1" si="24"/>
        <v>2.3107998685767535</v>
      </c>
      <c r="AJ65" s="335">
        <f t="shared" ca="1" si="25"/>
        <v>763.69177417940125</v>
      </c>
      <c r="AK65" s="698" t="str">
        <f t="shared" ca="1" si="3"/>
        <v xml:space="preserve"> </v>
      </c>
      <c r="AM65" s="697">
        <f ca="1">IF($A65&gt;Endyr,0,VLOOKUP($A65,Tariff_Table,Tariff!$L$33))</f>
        <v>1.21</v>
      </c>
      <c r="AN65" s="1504">
        <f ca="1">VLOOKUP($A65,Curves_Table,Escalation!$Z$291)</f>
        <v>1.2205198815232174</v>
      </c>
      <c r="AO65" s="331">
        <f t="shared" ca="1" si="26"/>
        <v>1.4768290566430931</v>
      </c>
      <c r="AP65" s="331">
        <f ca="1">IF($A65&gt;Endyr,0,VLOOKUP($A65,Tariff_Table,Tariff!$M$33))</f>
        <v>0.25</v>
      </c>
      <c r="AQ65" s="331">
        <f t="shared" ca="1" si="27"/>
        <v>1.7268290566430931</v>
      </c>
      <c r="AR65" s="331">
        <f t="shared" ca="1" si="28"/>
        <v>1.46</v>
      </c>
      <c r="AS65" s="1508">
        <f t="shared" ca="1" si="29"/>
        <v>1.182759627837735</v>
      </c>
    </row>
    <row r="66" spans="1:45">
      <c r="A66" s="672">
        <f t="shared" si="4"/>
        <v>38596</v>
      </c>
      <c r="C66" s="1484">
        <f ca="1">IF($A66&gt;Endyr,0,VLOOKUP($A66,Tariff_Table,Tariff!$G$33))</f>
        <v>7420.61</v>
      </c>
      <c r="D66" s="1480">
        <f ca="1">VLOOKUP($A66,Curves_Table,Escalation!$V$291)</f>
        <v>1.2346229437596627</v>
      </c>
      <c r="E66" s="1483">
        <f t="shared" ca="1" si="5"/>
        <v>9161.6553626923906</v>
      </c>
      <c r="F66" s="1480">
        <f ca="1">IF(Assm!$L$74=0,VLOOKUP($A66,Curves_Table,Escalation!$D$291),VLOOKUP($A66,Curves_Table,Escalation!$E$291))</f>
        <v>2.316208065338528</v>
      </c>
      <c r="G66" s="113">
        <f ca="1">IF($A66&lt;EE_Date,VLOOKUP($A66,Curves_Table,Escalation!$D$291),Exch)</f>
        <v>1.0649999999999999</v>
      </c>
      <c r="H66" s="1483">
        <f t="shared" ca="1" si="6"/>
        <v>19925.164359549381</v>
      </c>
      <c r="I66" s="330">
        <f ca="1">VLOOKUP($A66,Plant_Table,'Plant Operations'!$C$270)</f>
        <v>480</v>
      </c>
      <c r="J66" s="1481">
        <f t="shared" ca="1" si="7"/>
        <v>9564.0788925837023</v>
      </c>
      <c r="K66" s="1480">
        <f t="shared" ca="1" si="8"/>
        <v>2.316208065338528</v>
      </c>
      <c r="L66" s="384">
        <f t="shared" ca="1" si="9"/>
        <v>4129.1967831853026</v>
      </c>
      <c r="M66" s="692" t="str">
        <f t="shared" ca="1" si="0"/>
        <v xml:space="preserve"> </v>
      </c>
      <c r="O66" s="1482">
        <f ca="1">IF($A66&gt;Endyr,0,VLOOKUP($A66,Tariff_Table,Tariff!$H$33))</f>
        <v>6104.93</v>
      </c>
      <c r="P66" s="1480">
        <f t="shared" ca="1" si="10"/>
        <v>1.182759627837735</v>
      </c>
      <c r="Q66" s="1481">
        <f t="shared" ca="1" si="11"/>
        <v>7220.6647347754242</v>
      </c>
      <c r="R66" s="1480">
        <f t="shared" ca="1" si="12"/>
        <v>2.316208065338528</v>
      </c>
      <c r="S66" s="113">
        <f t="shared" ca="1" si="13"/>
        <v>1.0649999999999999</v>
      </c>
      <c r="T66" s="1481">
        <f t="shared" ca="1" si="14"/>
        <v>15703.813986659457</v>
      </c>
      <c r="U66" s="330">
        <f t="shared" ca="1" si="15"/>
        <v>480</v>
      </c>
      <c r="V66" s="1481">
        <f t="shared" ca="1" si="16"/>
        <v>7537.8307135965397</v>
      </c>
      <c r="W66" s="1480">
        <f t="shared" ca="1" si="17"/>
        <v>2.316208065338528</v>
      </c>
      <c r="X66" s="384">
        <f t="shared" ca="1" si="18"/>
        <v>3254.3841058142762</v>
      </c>
      <c r="Y66" s="692" t="str">
        <f t="shared" ca="1" si="1"/>
        <v xml:space="preserve"> </v>
      </c>
      <c r="AA66" s="1484">
        <f ca="1">IF($A66&gt;Endyr,0,VLOOKUP($A66,Tariff_Table,Tariff!$I$33))</f>
        <v>2.2999999999999998</v>
      </c>
      <c r="AB66" s="1480">
        <f t="shared" ca="1" si="2"/>
        <v>1.182759627837735</v>
      </c>
      <c r="AC66" s="1483">
        <f t="shared" ca="1" si="19"/>
        <v>2.7203471440267903</v>
      </c>
      <c r="AD66" s="1480">
        <f t="shared" ca="1" si="20"/>
        <v>2.316208065338528</v>
      </c>
      <c r="AE66" s="113">
        <f t="shared" ca="1" si="21"/>
        <v>1.0649999999999999</v>
      </c>
      <c r="AF66" s="1483">
        <f t="shared" ca="1" si="22"/>
        <v>5.9163286342868382</v>
      </c>
      <c r="AG66" s="334">
        <f ca="1">VLOOKUP($A66,Plant_Table,'Plant Operations'!$M$270)</f>
        <v>289336.32000000001</v>
      </c>
      <c r="AH66" s="1481">
        <f t="shared" ca="1" si="23"/>
        <v>1711.8087549551794</v>
      </c>
      <c r="AI66" s="1480">
        <f t="shared" ca="1" si="24"/>
        <v>2.316208065338528</v>
      </c>
      <c r="AJ66" s="335">
        <f t="shared" ca="1" si="25"/>
        <v>739.05655565748498</v>
      </c>
      <c r="AK66" s="698" t="str">
        <f t="shared" ca="1" si="3"/>
        <v xml:space="preserve"> </v>
      </c>
      <c r="AM66" s="697">
        <f ca="1">IF($A66&gt;Endyr,0,VLOOKUP($A66,Tariff_Table,Tariff!$L$33))</f>
        <v>1.21</v>
      </c>
      <c r="AN66" s="1504">
        <f ca="1">VLOOKUP($A66,Curves_Table,Escalation!$Z$291)</f>
        <v>1.2205198815232174</v>
      </c>
      <c r="AO66" s="331">
        <f t="shared" ca="1" si="26"/>
        <v>1.4768290566430931</v>
      </c>
      <c r="AP66" s="331">
        <f ca="1">IF($A66&gt;Endyr,0,VLOOKUP($A66,Tariff_Table,Tariff!$M$33))</f>
        <v>0.25</v>
      </c>
      <c r="AQ66" s="331">
        <f t="shared" ca="1" si="27"/>
        <v>1.7268290566430931</v>
      </c>
      <c r="AR66" s="331">
        <f t="shared" ca="1" si="28"/>
        <v>1.46</v>
      </c>
      <c r="AS66" s="1508">
        <f t="shared" ca="1" si="29"/>
        <v>1.182759627837735</v>
      </c>
    </row>
    <row r="67" spans="1:45">
      <c r="A67" s="672">
        <f t="shared" si="4"/>
        <v>38626</v>
      </c>
      <c r="C67" s="1484">
        <f ca="1">IF($A67&gt;Endyr,0,VLOOKUP($A67,Tariff_Table,Tariff!$G$33))</f>
        <v>7420.61</v>
      </c>
      <c r="D67" s="1480">
        <f ca="1">VLOOKUP($A67,Curves_Table,Escalation!$V$291)</f>
        <v>1.2346229437596627</v>
      </c>
      <c r="E67" s="1483">
        <f t="shared" ca="1" si="5"/>
        <v>9161.6553626923906</v>
      </c>
      <c r="F67" s="1480">
        <f ca="1">IF(Assm!$L$74=0,VLOOKUP($A67,Curves_Table,Escalation!$D$291),VLOOKUP($A67,Curves_Table,Escalation!$E$291))</f>
        <v>2.3216289194457573</v>
      </c>
      <c r="G67" s="113">
        <f ca="1">IF($A67&lt;EE_Date,VLOOKUP($A67,Curves_Table,Escalation!$D$291),Exch)</f>
        <v>1.0649999999999999</v>
      </c>
      <c r="H67" s="1483">
        <f t="shared" ca="1" si="6"/>
        <v>19971.797220677898</v>
      </c>
      <c r="I67" s="330">
        <f ca="1">VLOOKUP($A67,Plant_Table,'Plant Operations'!$C$270)</f>
        <v>480</v>
      </c>
      <c r="J67" s="1481">
        <f t="shared" ca="1" si="7"/>
        <v>9586.4626659253918</v>
      </c>
      <c r="K67" s="1480">
        <f t="shared" ca="1" si="8"/>
        <v>2.3216289194457573</v>
      </c>
      <c r="L67" s="384">
        <f t="shared" ca="1" si="9"/>
        <v>4129.1967831853026</v>
      </c>
      <c r="M67" s="692" t="str">
        <f t="shared" ca="1" si="0"/>
        <v xml:space="preserve"> </v>
      </c>
      <c r="O67" s="1482">
        <f ca="1">IF($A67&gt;Endyr,0,VLOOKUP($A67,Tariff_Table,Tariff!$H$33))</f>
        <v>6104.93</v>
      </c>
      <c r="P67" s="1480">
        <f t="shared" ca="1" si="10"/>
        <v>1.182759627837735</v>
      </c>
      <c r="Q67" s="1481">
        <f t="shared" ca="1" si="11"/>
        <v>7220.6647347754242</v>
      </c>
      <c r="R67" s="1480">
        <f t="shared" ca="1" si="12"/>
        <v>2.3216289194457573</v>
      </c>
      <c r="S67" s="113">
        <f t="shared" ca="1" si="13"/>
        <v>1.0649999999999999</v>
      </c>
      <c r="T67" s="1481">
        <f t="shared" ca="1" si="14"/>
        <v>15740.567198006343</v>
      </c>
      <c r="U67" s="330">
        <f t="shared" ca="1" si="15"/>
        <v>480</v>
      </c>
      <c r="V67" s="1481">
        <f t="shared" ca="1" si="16"/>
        <v>7555.4722550430442</v>
      </c>
      <c r="W67" s="1480">
        <f t="shared" ca="1" si="17"/>
        <v>2.3216289194457573</v>
      </c>
      <c r="X67" s="384">
        <f t="shared" ca="1" si="18"/>
        <v>3254.3841058142757</v>
      </c>
      <c r="Y67" s="692" t="str">
        <f t="shared" ca="1" si="1"/>
        <v xml:space="preserve"> </v>
      </c>
      <c r="AA67" s="1484">
        <f ca="1">IF($A67&gt;Endyr,0,VLOOKUP($A67,Tariff_Table,Tariff!$I$33))</f>
        <v>2.2999999999999998</v>
      </c>
      <c r="AB67" s="1480">
        <f t="shared" ca="1" si="2"/>
        <v>1.182759627837735</v>
      </c>
      <c r="AC67" s="1483">
        <f t="shared" ca="1" si="19"/>
        <v>2.7203471440267903</v>
      </c>
      <c r="AD67" s="1480">
        <f t="shared" ca="1" si="20"/>
        <v>2.3216289194457573</v>
      </c>
      <c r="AE67" s="113">
        <f t="shared" ca="1" si="21"/>
        <v>1.0649999999999999</v>
      </c>
      <c r="AF67" s="1483">
        <f t="shared" ca="1" si="22"/>
        <v>5.9301752117410977</v>
      </c>
      <c r="AG67" s="334">
        <f ca="1">VLOOKUP($A67,Plant_Table,'Plant Operations'!$M$270)</f>
        <v>298980.864</v>
      </c>
      <c r="AH67" s="1481">
        <f t="shared" ca="1" si="23"/>
        <v>1773.0089084777364</v>
      </c>
      <c r="AI67" s="1480">
        <f t="shared" ca="1" si="24"/>
        <v>2.3216289194457573</v>
      </c>
      <c r="AJ67" s="335">
        <f t="shared" ca="1" si="25"/>
        <v>763.69177417940114</v>
      </c>
      <c r="AK67" s="698" t="str">
        <f t="shared" ca="1" si="3"/>
        <v xml:space="preserve"> </v>
      </c>
      <c r="AM67" s="697">
        <f ca="1">IF($A67&gt;Endyr,0,VLOOKUP($A67,Tariff_Table,Tariff!$L$33))</f>
        <v>1.21</v>
      </c>
      <c r="AN67" s="1504">
        <f ca="1">VLOOKUP($A67,Curves_Table,Escalation!$Z$291)</f>
        <v>1.2205198815232174</v>
      </c>
      <c r="AO67" s="331">
        <f t="shared" ca="1" si="26"/>
        <v>1.4768290566430931</v>
      </c>
      <c r="AP67" s="331">
        <f ca="1">IF($A67&gt;Endyr,0,VLOOKUP($A67,Tariff_Table,Tariff!$M$33))</f>
        <v>0.25</v>
      </c>
      <c r="AQ67" s="331">
        <f t="shared" ca="1" si="27"/>
        <v>1.7268290566430931</v>
      </c>
      <c r="AR67" s="331">
        <f t="shared" ca="1" si="28"/>
        <v>1.46</v>
      </c>
      <c r="AS67" s="1508">
        <f t="shared" ca="1" si="29"/>
        <v>1.182759627837735</v>
      </c>
    </row>
    <row r="68" spans="1:45">
      <c r="A68" s="672">
        <f t="shared" si="4"/>
        <v>38657</v>
      </c>
      <c r="C68" s="1484">
        <f ca="1">IF($A68&gt;Endyr,0,VLOOKUP($A68,Tariff_Table,Tariff!$G$33))</f>
        <v>7420.61</v>
      </c>
      <c r="D68" s="1480">
        <f ca="1">VLOOKUP($A68,Curves_Table,Escalation!$V$291)</f>
        <v>1.2346229437596627</v>
      </c>
      <c r="E68" s="1483">
        <f t="shared" ca="1" si="5"/>
        <v>9161.6553626923906</v>
      </c>
      <c r="F68" s="1480">
        <f ca="1">IF(Assm!$L$74=0,VLOOKUP($A68,Curves_Table,Escalation!$D$291),VLOOKUP($A68,Curves_Table,Escalation!$E$291))</f>
        <v>2.3270624605216974</v>
      </c>
      <c r="G68" s="113">
        <f ca="1">IF($A68&lt;EE_Date,VLOOKUP($A68,Curves_Table,Escalation!$D$291),Exch)</f>
        <v>1.0649999999999999</v>
      </c>
      <c r="H68" s="1483">
        <f t="shared" ca="1" si="6"/>
        <v>20018.539221369727</v>
      </c>
      <c r="I68" s="330">
        <f ca="1">VLOOKUP($A68,Plant_Table,'Plant Operations'!$C$270)</f>
        <v>480</v>
      </c>
      <c r="J68" s="1481">
        <f t="shared" ca="1" si="7"/>
        <v>9608.8988262574694</v>
      </c>
      <c r="K68" s="1480">
        <f t="shared" ca="1" si="8"/>
        <v>2.3270624605216974</v>
      </c>
      <c r="L68" s="384">
        <f t="shared" ca="1" si="9"/>
        <v>4129.1967831853035</v>
      </c>
      <c r="M68" s="692" t="str">
        <f t="shared" ca="1" si="0"/>
        <v xml:space="preserve"> </v>
      </c>
      <c r="O68" s="1482">
        <f ca="1">IF($A68&gt;Endyr,0,VLOOKUP($A68,Tariff_Table,Tariff!$H$33))</f>
        <v>6104.93</v>
      </c>
      <c r="P68" s="1480">
        <f t="shared" ca="1" si="10"/>
        <v>1.182759627837735</v>
      </c>
      <c r="Q68" s="1481">
        <f t="shared" ca="1" si="11"/>
        <v>7220.6647347754242</v>
      </c>
      <c r="R68" s="1480">
        <f t="shared" ca="1" si="12"/>
        <v>2.3270624605216974</v>
      </c>
      <c r="S68" s="113">
        <f t="shared" ca="1" si="13"/>
        <v>1.0649999999999999</v>
      </c>
      <c r="T68" s="1481">
        <f t="shared" ca="1" si="14"/>
        <v>15777.406426580985</v>
      </c>
      <c r="U68" s="330">
        <f t="shared" ca="1" si="15"/>
        <v>480</v>
      </c>
      <c r="V68" s="1481">
        <f t="shared" ca="1" si="16"/>
        <v>7573.1550847588733</v>
      </c>
      <c r="W68" s="1480">
        <f t="shared" ca="1" si="17"/>
        <v>2.3270624605216974</v>
      </c>
      <c r="X68" s="384">
        <f t="shared" ca="1" si="18"/>
        <v>3254.3841058142762</v>
      </c>
      <c r="Y68" s="692" t="str">
        <f t="shared" ca="1" si="1"/>
        <v xml:space="preserve"> </v>
      </c>
      <c r="AA68" s="1484">
        <f ca="1">IF($A68&gt;Endyr,0,VLOOKUP($A68,Tariff_Table,Tariff!$I$33))</f>
        <v>2.2999999999999998</v>
      </c>
      <c r="AB68" s="1480">
        <f t="shared" ca="1" si="2"/>
        <v>1.182759627837735</v>
      </c>
      <c r="AC68" s="1483">
        <f t="shared" ca="1" si="19"/>
        <v>2.7203471440267903</v>
      </c>
      <c r="AD68" s="1480">
        <f t="shared" ca="1" si="20"/>
        <v>2.3270624605216974</v>
      </c>
      <c r="AE68" s="113">
        <f t="shared" ca="1" si="21"/>
        <v>1.0649999999999999</v>
      </c>
      <c r="AF68" s="1483">
        <f t="shared" ca="1" si="22"/>
        <v>5.9440541957297235</v>
      </c>
      <c r="AG68" s="334">
        <f ca="1">VLOOKUP($A68,Plant_Table,'Plant Operations'!$M$270)</f>
        <v>289336.32000000001</v>
      </c>
      <c r="AH68" s="1481">
        <f t="shared" ca="1" si="23"/>
        <v>1719.8307668729979</v>
      </c>
      <c r="AI68" s="1480">
        <f t="shared" ca="1" si="24"/>
        <v>2.3270624605216974</v>
      </c>
      <c r="AJ68" s="335">
        <f t="shared" ca="1" si="25"/>
        <v>739.05655565748498</v>
      </c>
      <c r="AK68" s="698" t="str">
        <f t="shared" ca="1" si="3"/>
        <v xml:space="preserve"> </v>
      </c>
      <c r="AM68" s="697">
        <f ca="1">IF($A68&gt;Endyr,0,VLOOKUP($A68,Tariff_Table,Tariff!$L$33))</f>
        <v>1.21</v>
      </c>
      <c r="AN68" s="1504">
        <f ca="1">VLOOKUP($A68,Curves_Table,Escalation!$Z$291)</f>
        <v>1.2205198815232174</v>
      </c>
      <c r="AO68" s="331">
        <f t="shared" ca="1" si="26"/>
        <v>1.4768290566430931</v>
      </c>
      <c r="AP68" s="331">
        <f ca="1">IF($A68&gt;Endyr,0,VLOOKUP($A68,Tariff_Table,Tariff!$M$33))</f>
        <v>0.25</v>
      </c>
      <c r="AQ68" s="331">
        <f t="shared" ca="1" si="27"/>
        <v>1.7268290566430931</v>
      </c>
      <c r="AR68" s="331">
        <f t="shared" ca="1" si="28"/>
        <v>1.46</v>
      </c>
      <c r="AS68" s="1508">
        <f t="shared" ca="1" si="29"/>
        <v>1.182759627837735</v>
      </c>
    </row>
    <row r="69" spans="1:45">
      <c r="A69" s="672">
        <f t="shared" si="4"/>
        <v>38687</v>
      </c>
      <c r="C69" s="1484">
        <f ca="1">IF($A69&gt;Endyr,0,VLOOKUP($A69,Tariff_Table,Tariff!$G$33))</f>
        <v>7420.61</v>
      </c>
      <c r="D69" s="1480">
        <f ca="1">VLOOKUP($A69,Curves_Table,Escalation!$V$291)</f>
        <v>1.2346229437596627</v>
      </c>
      <c r="E69" s="1483">
        <f t="shared" ca="1" si="5"/>
        <v>9161.6553626923906</v>
      </c>
      <c r="F69" s="1480">
        <f ca="1">IF(Assm!$L$74=0,VLOOKUP($A69,Curves_Table,Escalation!$D$291),VLOOKUP($A69,Curves_Table,Escalation!$E$291))</f>
        <v>2.3325087182589361</v>
      </c>
      <c r="G69" s="113">
        <f ca="1">IF($A69&lt;EE_Date,VLOOKUP($A69,Curves_Table,Escalation!$D$291),Exch)</f>
        <v>1.0649999999999999</v>
      </c>
      <c r="H69" s="1483">
        <f t="shared" ca="1" si="6"/>
        <v>20065.390617055153</v>
      </c>
      <c r="I69" s="330">
        <f ca="1">VLOOKUP($A69,Plant_Table,'Plant Operations'!$C$270)</f>
        <v>480</v>
      </c>
      <c r="J69" s="1481">
        <f t="shared" ca="1" si="7"/>
        <v>9631.3874961864731</v>
      </c>
      <c r="K69" s="1480">
        <f t="shared" ca="1" si="8"/>
        <v>2.3325087182589361</v>
      </c>
      <c r="L69" s="384">
        <f t="shared" ca="1" si="9"/>
        <v>4129.1967831853026</v>
      </c>
      <c r="M69" s="692">
        <f t="shared" ca="1" si="0"/>
        <v>49116.713487804074</v>
      </c>
      <c r="O69" s="1482">
        <f ca="1">IF($A69&gt;Endyr,0,VLOOKUP($A69,Tariff_Table,Tariff!$H$33))</f>
        <v>6104.93</v>
      </c>
      <c r="P69" s="1480">
        <f t="shared" ca="1" si="10"/>
        <v>1.182759627837735</v>
      </c>
      <c r="Q69" s="1481">
        <f t="shared" ca="1" si="11"/>
        <v>7220.6647347754242</v>
      </c>
      <c r="R69" s="1480">
        <f t="shared" ca="1" si="12"/>
        <v>2.3325087182589361</v>
      </c>
      <c r="S69" s="113">
        <f t="shared" ca="1" si="13"/>
        <v>1.0649999999999999</v>
      </c>
      <c r="T69" s="1481">
        <f t="shared" ca="1" si="14"/>
        <v>15814.331873698147</v>
      </c>
      <c r="U69" s="330">
        <f t="shared" ca="1" si="15"/>
        <v>480</v>
      </c>
      <c r="V69" s="1481">
        <f t="shared" ca="1" si="16"/>
        <v>7590.8792993751103</v>
      </c>
      <c r="W69" s="1480">
        <f t="shared" ca="1" si="17"/>
        <v>2.3325087182589361</v>
      </c>
      <c r="X69" s="384">
        <f t="shared" ca="1" si="18"/>
        <v>3254.3841058142757</v>
      </c>
      <c r="Y69" s="692">
        <f t="shared" ca="1" si="1"/>
        <v>38848.214704316539</v>
      </c>
      <c r="AA69" s="1484">
        <f ca="1">IF($A69&gt;Endyr,0,VLOOKUP($A69,Tariff_Table,Tariff!$I$33))</f>
        <v>2.2999999999999998</v>
      </c>
      <c r="AB69" s="1480">
        <f t="shared" ca="1" si="2"/>
        <v>1.182759627837735</v>
      </c>
      <c r="AC69" s="1483">
        <f t="shared" ca="1" si="19"/>
        <v>2.7203471440267903</v>
      </c>
      <c r="AD69" s="1480">
        <f t="shared" ca="1" si="20"/>
        <v>2.3325087182589361</v>
      </c>
      <c r="AE69" s="113">
        <f t="shared" ca="1" si="21"/>
        <v>1.0649999999999999</v>
      </c>
      <c r="AF69" s="1483">
        <f t="shared" ca="1" si="22"/>
        <v>5.9579656620969832</v>
      </c>
      <c r="AG69" s="334">
        <f ca="1">VLOOKUP($A69,Plant_Table,'Plant Operations'!$M$270)</f>
        <v>298980.864</v>
      </c>
      <c r="AH69" s="1481">
        <f t="shared" ca="1" si="23"/>
        <v>1781.3177213360882</v>
      </c>
      <c r="AI69" s="1480">
        <f t="shared" ca="1" si="24"/>
        <v>2.3325087182589361</v>
      </c>
      <c r="AJ69" s="335">
        <f t="shared" ca="1" si="25"/>
        <v>763.69177417940125</v>
      </c>
      <c r="AK69" s="698">
        <f t="shared" ca="1" si="3"/>
        <v>8940.2329541338295</v>
      </c>
      <c r="AM69" s="697">
        <f ca="1">IF($A69&gt;Endyr,0,VLOOKUP($A69,Tariff_Table,Tariff!$L$33))</f>
        <v>1.21</v>
      </c>
      <c r="AN69" s="1504">
        <f ca="1">VLOOKUP($A69,Curves_Table,Escalation!$Z$291)</f>
        <v>1.2205198815232174</v>
      </c>
      <c r="AO69" s="331">
        <f t="shared" ca="1" si="26"/>
        <v>1.4768290566430931</v>
      </c>
      <c r="AP69" s="331">
        <f ca="1">IF($A69&gt;Endyr,0,VLOOKUP($A69,Tariff_Table,Tariff!$M$33))</f>
        <v>0.25</v>
      </c>
      <c r="AQ69" s="331">
        <f t="shared" ca="1" si="27"/>
        <v>1.7268290566430931</v>
      </c>
      <c r="AR69" s="331">
        <f t="shared" ca="1" si="28"/>
        <v>1.46</v>
      </c>
      <c r="AS69" s="1508">
        <f t="shared" ca="1" si="29"/>
        <v>1.182759627837735</v>
      </c>
    </row>
    <row r="70" spans="1:45">
      <c r="A70" s="672">
        <f t="shared" si="4"/>
        <v>38718</v>
      </c>
      <c r="C70" s="1484">
        <f ca="1">IF($A70&gt;Endyr,0,VLOOKUP($A70,Tariff_Table,Tariff!$G$33))</f>
        <v>7420.61</v>
      </c>
      <c r="D70" s="1480">
        <f ca="1">VLOOKUP($A70,Curves_Table,Escalation!$V$291)</f>
        <v>1.2346229437596627</v>
      </c>
      <c r="E70" s="1483">
        <f t="shared" ca="1" si="5"/>
        <v>9161.6553626923906</v>
      </c>
      <c r="F70" s="1480">
        <f ca="1">IF(Assm!$L$74=0,VLOOKUP($A70,Curves_Table,Escalation!$D$291),VLOOKUP($A70,Curves_Table,Escalation!$E$291))</f>
        <v>2.3378826174225127</v>
      </c>
      <c r="G70" s="113">
        <f ca="1">IF($A70&lt;EE_Date,VLOOKUP($A70,Curves_Table,Escalation!$D$291),Exch)</f>
        <v>1.0649999999999999</v>
      </c>
      <c r="H70" s="1483">
        <f t="shared" ca="1" si="6"/>
        <v>20111.619548595572</v>
      </c>
      <c r="I70" s="330">
        <f ca="1">VLOOKUP($A70,Plant_Table,'Plant Operations'!$C$270)</f>
        <v>480</v>
      </c>
      <c r="J70" s="1481">
        <f t="shared" ca="1" si="7"/>
        <v>9653.5773833258754</v>
      </c>
      <c r="K70" s="1480">
        <f t="shared" ca="1" si="8"/>
        <v>2.3378826174225127</v>
      </c>
      <c r="L70" s="384">
        <f t="shared" ca="1" si="9"/>
        <v>4129.1967831853026</v>
      </c>
      <c r="M70" s="692" t="str">
        <f t="shared" ca="1" si="0"/>
        <v xml:space="preserve"> </v>
      </c>
      <c r="O70" s="1482">
        <f ca="1">IF($A70&gt;Endyr,0,VLOOKUP($A70,Tariff_Table,Tariff!$H$33))</f>
        <v>6104.93</v>
      </c>
      <c r="P70" s="1480">
        <f t="shared" ca="1" si="10"/>
        <v>1.182759627837735</v>
      </c>
      <c r="Q70" s="1481">
        <f t="shared" ca="1" si="11"/>
        <v>7220.6647347754242</v>
      </c>
      <c r="R70" s="1480">
        <f t="shared" ca="1" si="12"/>
        <v>2.3378826174225127</v>
      </c>
      <c r="S70" s="113">
        <f t="shared" ca="1" si="13"/>
        <v>1.0649999999999999</v>
      </c>
      <c r="T70" s="1481">
        <f t="shared" ca="1" si="14"/>
        <v>15850.766732081878</v>
      </c>
      <c r="U70" s="330">
        <f t="shared" ca="1" si="15"/>
        <v>480</v>
      </c>
      <c r="V70" s="1481">
        <f t="shared" ca="1" si="16"/>
        <v>7608.3680313993009</v>
      </c>
      <c r="W70" s="1480">
        <f t="shared" ca="1" si="17"/>
        <v>2.3378826174225127</v>
      </c>
      <c r="X70" s="384">
        <f t="shared" ca="1" si="18"/>
        <v>3254.3841058142752</v>
      </c>
      <c r="Y70" s="692" t="str">
        <f t="shared" ca="1" si="1"/>
        <v xml:space="preserve"> </v>
      </c>
      <c r="AA70" s="1484">
        <f ca="1">IF($A70&gt;Endyr,0,VLOOKUP($A70,Tariff_Table,Tariff!$I$33))</f>
        <v>2.2999999999999998</v>
      </c>
      <c r="AB70" s="1480">
        <f t="shared" ca="1" si="2"/>
        <v>1.182759627837735</v>
      </c>
      <c r="AC70" s="1483">
        <f t="shared" ca="1" si="19"/>
        <v>2.7203471440267903</v>
      </c>
      <c r="AD70" s="1480">
        <f t="shared" ca="1" si="20"/>
        <v>2.3378826174225127</v>
      </c>
      <c r="AE70" s="113">
        <f t="shared" ca="1" si="21"/>
        <v>1.0649999999999999</v>
      </c>
      <c r="AF70" s="1483">
        <f t="shared" ca="1" si="22"/>
        <v>5.9716923017607604</v>
      </c>
      <c r="AG70" s="334">
        <f ca="1">VLOOKUP($A70,Plant_Table,'Plant Operations'!$M$270)</f>
        <v>298980.864</v>
      </c>
      <c r="AH70" s="1481">
        <f t="shared" ca="1" si="23"/>
        <v>1785.4217239225809</v>
      </c>
      <c r="AI70" s="1480">
        <f t="shared" ca="1" si="24"/>
        <v>2.3378826174225127</v>
      </c>
      <c r="AJ70" s="335">
        <f t="shared" ca="1" si="25"/>
        <v>763.69177417940114</v>
      </c>
      <c r="AK70" s="698" t="str">
        <f t="shared" ca="1" si="3"/>
        <v xml:space="preserve"> </v>
      </c>
      <c r="AM70" s="697">
        <f ca="1">IF($A70&gt;Endyr,0,VLOOKUP($A70,Tariff_Table,Tariff!$L$33))</f>
        <v>1.21</v>
      </c>
      <c r="AN70" s="1504">
        <f ca="1">VLOOKUP($A70,Curves_Table,Escalation!$Z$291)</f>
        <v>1.2205198815232174</v>
      </c>
      <c r="AO70" s="331">
        <f t="shared" ca="1" si="26"/>
        <v>1.4768290566430931</v>
      </c>
      <c r="AP70" s="331">
        <f ca="1">IF($A70&gt;Endyr,0,VLOOKUP($A70,Tariff_Table,Tariff!$M$33))</f>
        <v>0.25</v>
      </c>
      <c r="AQ70" s="331">
        <f t="shared" ca="1" si="27"/>
        <v>1.7268290566430931</v>
      </c>
      <c r="AR70" s="331">
        <f t="shared" ca="1" si="28"/>
        <v>1.46</v>
      </c>
      <c r="AS70" s="1508">
        <f t="shared" ca="1" si="29"/>
        <v>1.182759627837735</v>
      </c>
    </row>
    <row r="71" spans="1:45">
      <c r="A71" s="672">
        <f t="shared" si="4"/>
        <v>38749</v>
      </c>
      <c r="C71" s="1484">
        <f ca="1">IF($A71&gt;Endyr,0,VLOOKUP($A71,Tariff_Table,Tariff!$G$33))</f>
        <v>7420.61</v>
      </c>
      <c r="D71" s="1480">
        <f ca="1">VLOOKUP($A71,Curves_Table,Escalation!$V$291)</f>
        <v>1.2346229437596627</v>
      </c>
      <c r="E71" s="1483">
        <f t="shared" ca="1" si="5"/>
        <v>9161.6553626923906</v>
      </c>
      <c r="F71" s="1480">
        <f ca="1">IF(Assm!$L$74=0,VLOOKUP($A71,Curves_Table,Escalation!$D$291),VLOOKUP($A71,Curves_Table,Escalation!$E$291))</f>
        <v>2.3432688975868521</v>
      </c>
      <c r="G71" s="113">
        <f ca="1">IF($A71&lt;EE_Date,VLOOKUP($A71,Curves_Table,Escalation!$D$291),Exch)</f>
        <v>1.0649999999999999</v>
      </c>
      <c r="H71" s="1483">
        <f t="shared" ca="1" si="6"/>
        <v>20157.954987612084</v>
      </c>
      <c r="I71" s="330">
        <f ca="1">VLOOKUP($A71,Plant_Table,'Plant Operations'!$C$270)</f>
        <v>480</v>
      </c>
      <c r="J71" s="1481">
        <f t="shared" ca="1" si="7"/>
        <v>9675.8183940538001</v>
      </c>
      <c r="K71" s="1480">
        <f t="shared" ca="1" si="8"/>
        <v>2.3432688975868521</v>
      </c>
      <c r="L71" s="384">
        <f t="shared" ca="1" si="9"/>
        <v>4129.1967831853026</v>
      </c>
      <c r="M71" s="692" t="str">
        <f t="shared" ca="1" si="0"/>
        <v xml:space="preserve"> </v>
      </c>
      <c r="O71" s="1482">
        <f ca="1">IF($A71&gt;Endyr,0,VLOOKUP($A71,Tariff_Table,Tariff!$H$33))</f>
        <v>6104.93</v>
      </c>
      <c r="P71" s="1480">
        <f t="shared" ca="1" si="10"/>
        <v>1.182759627837735</v>
      </c>
      <c r="Q71" s="1481">
        <f t="shared" ca="1" si="11"/>
        <v>7220.6647347754242</v>
      </c>
      <c r="R71" s="1480">
        <f t="shared" ca="1" si="12"/>
        <v>2.3432688975868521</v>
      </c>
      <c r="S71" s="113">
        <f t="shared" ca="1" si="13"/>
        <v>1.0649999999999999</v>
      </c>
      <c r="T71" s="1481">
        <f t="shared" ca="1" si="14"/>
        <v>15887.285533240814</v>
      </c>
      <c r="U71" s="330">
        <f t="shared" ca="1" si="15"/>
        <v>480</v>
      </c>
      <c r="V71" s="1481">
        <f t="shared" ca="1" si="16"/>
        <v>7625.897055955591</v>
      </c>
      <c r="W71" s="1480">
        <f t="shared" ca="1" si="17"/>
        <v>2.3432688975868521</v>
      </c>
      <c r="X71" s="384">
        <f t="shared" ca="1" si="18"/>
        <v>3254.3841058142757</v>
      </c>
      <c r="Y71" s="692" t="str">
        <f t="shared" ca="1" si="1"/>
        <v xml:space="preserve"> </v>
      </c>
      <c r="AA71" s="1484">
        <f ca="1">IF($A71&gt;Endyr,0,VLOOKUP($A71,Tariff_Table,Tariff!$I$33))</f>
        <v>2.2999999999999998</v>
      </c>
      <c r="AB71" s="1480">
        <f t="shared" ca="1" si="2"/>
        <v>1.182759627837735</v>
      </c>
      <c r="AC71" s="1483">
        <f t="shared" ca="1" si="19"/>
        <v>2.7203471440267903</v>
      </c>
      <c r="AD71" s="1480">
        <f t="shared" ca="1" si="20"/>
        <v>2.3432688975868521</v>
      </c>
      <c r="AE71" s="113">
        <f t="shared" ca="1" si="21"/>
        <v>1.0649999999999999</v>
      </c>
      <c r="AF71" s="1483">
        <f t="shared" ca="1" si="22"/>
        <v>5.9854505664199049</v>
      </c>
      <c r="AG71" s="334">
        <f ca="1">VLOOKUP($A71,Plant_Table,'Plant Operations'!$M$270)</f>
        <v>270047.23200000002</v>
      </c>
      <c r="AH71" s="1481">
        <f t="shared" ca="1" si="23"/>
        <v>1616.3543577345276</v>
      </c>
      <c r="AI71" s="1480">
        <f t="shared" ca="1" si="24"/>
        <v>2.3432688975868521</v>
      </c>
      <c r="AJ71" s="335">
        <f t="shared" ca="1" si="25"/>
        <v>689.78611861365277</v>
      </c>
      <c r="AK71" s="698" t="str">
        <f t="shared" ca="1" si="3"/>
        <v xml:space="preserve"> </v>
      </c>
      <c r="AM71" s="697">
        <f ca="1">IF($A71&gt;Endyr,0,VLOOKUP($A71,Tariff_Table,Tariff!$L$33))</f>
        <v>1.21</v>
      </c>
      <c r="AN71" s="1504">
        <f ca="1">VLOOKUP($A71,Curves_Table,Escalation!$Z$291)</f>
        <v>1.2205198815232174</v>
      </c>
      <c r="AO71" s="331">
        <f t="shared" ca="1" si="26"/>
        <v>1.4768290566430931</v>
      </c>
      <c r="AP71" s="331">
        <f ca="1">IF($A71&gt;Endyr,0,VLOOKUP($A71,Tariff_Table,Tariff!$M$33))</f>
        <v>0.25</v>
      </c>
      <c r="AQ71" s="331">
        <f t="shared" ca="1" si="27"/>
        <v>1.7268290566430931</v>
      </c>
      <c r="AR71" s="331">
        <f t="shared" ca="1" si="28"/>
        <v>1.46</v>
      </c>
      <c r="AS71" s="1508">
        <f t="shared" ca="1" si="29"/>
        <v>1.182759627837735</v>
      </c>
    </row>
    <row r="72" spans="1:45">
      <c r="A72" s="672">
        <f t="shared" si="4"/>
        <v>38777</v>
      </c>
      <c r="C72" s="1484">
        <f ca="1">IF($A72&gt;Endyr,0,VLOOKUP($A72,Tariff_Table,Tariff!$G$33))</f>
        <v>7420.61</v>
      </c>
      <c r="D72" s="1480">
        <f ca="1">VLOOKUP($A72,Curves_Table,Escalation!$V$291)</f>
        <v>1.2346229437596627</v>
      </c>
      <c r="E72" s="1483">
        <f t="shared" ca="1" si="5"/>
        <v>9161.6553626923906</v>
      </c>
      <c r="F72" s="1480">
        <f ca="1">IF(Assm!$L$74=0,VLOOKUP($A72,Curves_Table,Escalation!$D$291),VLOOKUP($A72,Curves_Table,Escalation!$E$291))</f>
        <v>2.3486675872767138</v>
      </c>
      <c r="G72" s="113">
        <f ca="1">IF($A72&lt;EE_Date,VLOOKUP($A72,Curves_Table,Escalation!$D$291),Exch)</f>
        <v>1.0649999999999999</v>
      </c>
      <c r="H72" s="1483">
        <f t="shared" ca="1" si="6"/>
        <v>20204.397179488733</v>
      </c>
      <c r="I72" s="330">
        <f ca="1">VLOOKUP($A72,Plant_Table,'Plant Operations'!$C$270)</f>
        <v>480</v>
      </c>
      <c r="J72" s="1481">
        <f t="shared" ca="1" si="7"/>
        <v>9698.1106461545914</v>
      </c>
      <c r="K72" s="1480">
        <f t="shared" ca="1" si="8"/>
        <v>2.3486675872767138</v>
      </c>
      <c r="L72" s="384">
        <f t="shared" ca="1" si="9"/>
        <v>4129.1967831853026</v>
      </c>
      <c r="M72" s="692" t="str">
        <f t="shared" ca="1" si="0"/>
        <v xml:space="preserve"> </v>
      </c>
      <c r="O72" s="1482">
        <f ca="1">IF($A72&gt;Endyr,0,VLOOKUP($A72,Tariff_Table,Tariff!$H$33))</f>
        <v>6104.93</v>
      </c>
      <c r="P72" s="1480">
        <f t="shared" ca="1" si="10"/>
        <v>1.182759627837735</v>
      </c>
      <c r="Q72" s="1481">
        <f t="shared" ca="1" si="11"/>
        <v>7220.6647347754242</v>
      </c>
      <c r="R72" s="1480">
        <f t="shared" ca="1" si="12"/>
        <v>2.3486675872767138</v>
      </c>
      <c r="S72" s="113">
        <f t="shared" ca="1" si="13"/>
        <v>1.0649999999999999</v>
      </c>
      <c r="T72" s="1481">
        <f t="shared" ca="1" si="14"/>
        <v>15923.888470571876</v>
      </c>
      <c r="U72" s="330">
        <f t="shared" ca="1" si="15"/>
        <v>480</v>
      </c>
      <c r="V72" s="1481">
        <f t="shared" ca="1" si="16"/>
        <v>7643.4664658745005</v>
      </c>
      <c r="W72" s="1480">
        <f t="shared" ca="1" si="17"/>
        <v>2.3486675872767138</v>
      </c>
      <c r="X72" s="384">
        <f t="shared" ca="1" si="18"/>
        <v>3254.3841058142757</v>
      </c>
      <c r="Y72" s="692" t="str">
        <f t="shared" ca="1" si="1"/>
        <v xml:space="preserve"> </v>
      </c>
      <c r="AA72" s="1484">
        <f ca="1">IF($A72&gt;Endyr,0,VLOOKUP($A72,Tariff_Table,Tariff!$I$33))</f>
        <v>2.2999999999999998</v>
      </c>
      <c r="AB72" s="1480">
        <f t="shared" ca="1" si="2"/>
        <v>1.182759627837735</v>
      </c>
      <c r="AC72" s="1483">
        <f t="shared" ca="1" si="19"/>
        <v>2.7203471440267903</v>
      </c>
      <c r="AD72" s="1480">
        <f t="shared" ca="1" si="20"/>
        <v>2.3486675872767138</v>
      </c>
      <c r="AE72" s="113">
        <f t="shared" ca="1" si="21"/>
        <v>1.0649999999999999</v>
      </c>
      <c r="AF72" s="1483">
        <f t="shared" ca="1" si="22"/>
        <v>5.9992405289356823</v>
      </c>
      <c r="AG72" s="334">
        <f ca="1">VLOOKUP($A72,Plant_Table,'Plant Operations'!$M$270)</f>
        <v>298980.864</v>
      </c>
      <c r="AH72" s="1481">
        <f t="shared" ca="1" si="23"/>
        <v>1793.6581166850071</v>
      </c>
      <c r="AI72" s="1480">
        <f t="shared" ca="1" si="24"/>
        <v>2.3486675872767138</v>
      </c>
      <c r="AJ72" s="335">
        <f t="shared" ca="1" si="25"/>
        <v>763.69177417940125</v>
      </c>
      <c r="AK72" s="698" t="str">
        <f t="shared" ca="1" si="3"/>
        <v xml:space="preserve"> </v>
      </c>
      <c r="AM72" s="697">
        <f ca="1">IF($A72&gt;Endyr,0,VLOOKUP($A72,Tariff_Table,Tariff!$L$33))</f>
        <v>1.21</v>
      </c>
      <c r="AN72" s="1504">
        <f ca="1">VLOOKUP($A72,Curves_Table,Escalation!$Z$291)</f>
        <v>1.2205198815232174</v>
      </c>
      <c r="AO72" s="331">
        <f t="shared" ca="1" si="26"/>
        <v>1.4768290566430931</v>
      </c>
      <c r="AP72" s="331">
        <f ca="1">IF($A72&gt;Endyr,0,VLOOKUP($A72,Tariff_Table,Tariff!$M$33))</f>
        <v>0.25</v>
      </c>
      <c r="AQ72" s="331">
        <f t="shared" ca="1" si="27"/>
        <v>1.7268290566430931</v>
      </c>
      <c r="AR72" s="331">
        <f t="shared" ca="1" si="28"/>
        <v>1.46</v>
      </c>
      <c r="AS72" s="1508">
        <f t="shared" ca="1" si="29"/>
        <v>1.182759627837735</v>
      </c>
    </row>
    <row r="73" spans="1:45">
      <c r="A73" s="672">
        <f t="shared" si="4"/>
        <v>38808</v>
      </c>
      <c r="C73" s="1484">
        <f ca="1">IF($A73&gt;Endyr,0,VLOOKUP($A73,Tariff_Table,Tariff!$G$33))</f>
        <v>7420.61</v>
      </c>
      <c r="D73" s="1480">
        <f ca="1">VLOOKUP($A73,Curves_Table,Escalation!$V$291)</f>
        <v>1.2346229437596627</v>
      </c>
      <c r="E73" s="1483">
        <f t="shared" ca="1" si="5"/>
        <v>9161.6553626923906</v>
      </c>
      <c r="F73" s="1480">
        <f ca="1">IF(Assm!$L$74=0,VLOOKUP($A73,Curves_Table,Escalation!$D$291),VLOOKUP($A73,Curves_Table,Escalation!$E$291))</f>
        <v>2.3540787150825753</v>
      </c>
      <c r="G73" s="113">
        <f ca="1">IF($A73&lt;EE_Date,VLOOKUP($A73,Curves_Table,Escalation!$D$291),Exch)</f>
        <v>1.0649999999999999</v>
      </c>
      <c r="H73" s="1483">
        <f t="shared" ca="1" si="6"/>
        <v>20250.946370174919</v>
      </c>
      <c r="I73" s="330">
        <f ca="1">VLOOKUP($A73,Plant_Table,'Plant Operations'!$C$270)</f>
        <v>480</v>
      </c>
      <c r="J73" s="1481">
        <f t="shared" ca="1" si="7"/>
        <v>9720.4542576839613</v>
      </c>
      <c r="K73" s="1480">
        <f t="shared" ca="1" si="8"/>
        <v>2.3540787150825753</v>
      </c>
      <c r="L73" s="384">
        <f t="shared" ca="1" si="9"/>
        <v>4129.1967831853026</v>
      </c>
      <c r="M73" s="692" t="str">
        <f t="shared" ca="1" si="0"/>
        <v xml:space="preserve"> </v>
      </c>
      <c r="O73" s="1482">
        <f ca="1">IF($A73&gt;Endyr,0,VLOOKUP($A73,Tariff_Table,Tariff!$H$33))</f>
        <v>6104.93</v>
      </c>
      <c r="P73" s="1480">
        <f t="shared" ca="1" si="10"/>
        <v>1.182759627837735</v>
      </c>
      <c r="Q73" s="1481">
        <f t="shared" ca="1" si="11"/>
        <v>7220.6647347754242</v>
      </c>
      <c r="R73" s="1480">
        <f t="shared" ca="1" si="12"/>
        <v>2.3540787150825753</v>
      </c>
      <c r="S73" s="113">
        <f t="shared" ca="1" si="13"/>
        <v>1.0649999999999999</v>
      </c>
      <c r="T73" s="1481">
        <f t="shared" ca="1" si="14"/>
        <v>15960.575737917554</v>
      </c>
      <c r="U73" s="330">
        <f t="shared" ca="1" si="15"/>
        <v>480</v>
      </c>
      <c r="V73" s="1481">
        <f t="shared" ca="1" si="16"/>
        <v>7661.0763542004252</v>
      </c>
      <c r="W73" s="1480">
        <f t="shared" ca="1" si="17"/>
        <v>2.3540787150825753</v>
      </c>
      <c r="X73" s="384">
        <f t="shared" ca="1" si="18"/>
        <v>3254.3841058142752</v>
      </c>
      <c r="Y73" s="692" t="str">
        <f t="shared" ca="1" si="1"/>
        <v xml:space="preserve"> </v>
      </c>
      <c r="AA73" s="1484">
        <f ca="1">IF($A73&gt;Endyr,0,VLOOKUP($A73,Tariff_Table,Tariff!$I$33))</f>
        <v>2.2999999999999998</v>
      </c>
      <c r="AB73" s="1480">
        <f t="shared" ca="1" si="2"/>
        <v>1.182759627837735</v>
      </c>
      <c r="AC73" s="1483">
        <f t="shared" ca="1" si="19"/>
        <v>2.7203471440267903</v>
      </c>
      <c r="AD73" s="1480">
        <f t="shared" ca="1" si="20"/>
        <v>2.3540787150825753</v>
      </c>
      <c r="AE73" s="113">
        <f t="shared" ca="1" si="21"/>
        <v>1.0649999999999999</v>
      </c>
      <c r="AF73" s="1483">
        <f t="shared" ca="1" si="22"/>
        <v>6.013062262337221</v>
      </c>
      <c r="AG73" s="334">
        <f ca="1">VLOOKUP($A73,Plant_Table,'Plant Operations'!$M$270)</f>
        <v>289336.32000000001</v>
      </c>
      <c r="AH73" s="1481">
        <f t="shared" ca="1" si="23"/>
        <v>1739.797306915526</v>
      </c>
      <c r="AI73" s="1480">
        <f t="shared" ca="1" si="24"/>
        <v>2.3540787150825753</v>
      </c>
      <c r="AJ73" s="335">
        <f t="shared" ca="1" si="25"/>
        <v>739.05655565748498</v>
      </c>
      <c r="AK73" s="698" t="str">
        <f t="shared" ca="1" si="3"/>
        <v xml:space="preserve"> </v>
      </c>
      <c r="AM73" s="697">
        <f ca="1">IF($A73&gt;Endyr,0,VLOOKUP($A73,Tariff_Table,Tariff!$L$33))</f>
        <v>1.21</v>
      </c>
      <c r="AN73" s="1504">
        <f ca="1">VLOOKUP($A73,Curves_Table,Escalation!$Z$291)</f>
        <v>1.2205198815232174</v>
      </c>
      <c r="AO73" s="331">
        <f t="shared" ca="1" si="26"/>
        <v>1.4768290566430931</v>
      </c>
      <c r="AP73" s="331">
        <f ca="1">IF($A73&gt;Endyr,0,VLOOKUP($A73,Tariff_Table,Tariff!$M$33))</f>
        <v>0.25</v>
      </c>
      <c r="AQ73" s="331">
        <f t="shared" ca="1" si="27"/>
        <v>1.7268290566430931</v>
      </c>
      <c r="AR73" s="331">
        <f t="shared" ca="1" si="28"/>
        <v>1.46</v>
      </c>
      <c r="AS73" s="1508">
        <f t="shared" ca="1" si="29"/>
        <v>1.182759627837735</v>
      </c>
    </row>
    <row r="74" spans="1:45">
      <c r="A74" s="672">
        <f t="shared" si="4"/>
        <v>38838</v>
      </c>
      <c r="C74" s="1484">
        <f ca="1">IF($A74&gt;Endyr,0,VLOOKUP($A74,Tariff_Table,Tariff!$G$33))</f>
        <v>7429.43</v>
      </c>
      <c r="D74" s="1480">
        <f ca="1">VLOOKUP($A74,Curves_Table,Escalation!$V$291)</f>
        <v>1.2691909562879884</v>
      </c>
      <c r="E74" s="1483">
        <f t="shared" ca="1" si="5"/>
        <v>9429.36536637467</v>
      </c>
      <c r="F74" s="1480">
        <f ca="1">IF(Assm!$L$74=0,VLOOKUP($A74,Curves_Table,Escalation!$D$291),VLOOKUP($A74,Curves_Table,Escalation!$E$291))</f>
        <v>2.3595023096607846</v>
      </c>
      <c r="G74" s="113">
        <f ca="1">IF($A74&lt;EE_Date,VLOOKUP($A74,Curves_Table,Escalation!$D$291),Exch)</f>
        <v>1.0649999999999999</v>
      </c>
      <c r="H74" s="1483">
        <f t="shared" ca="1" si="6"/>
        <v>20890.713014644549</v>
      </c>
      <c r="I74" s="330">
        <f ca="1">VLOOKUP($A74,Plant_Table,'Plant Operations'!$C$270)</f>
        <v>480</v>
      </c>
      <c r="J74" s="1481">
        <f t="shared" ca="1" si="7"/>
        <v>10027.542247029383</v>
      </c>
      <c r="K74" s="1480">
        <f t="shared" ca="1" si="8"/>
        <v>2.3595023096607846</v>
      </c>
      <c r="L74" s="384">
        <f t="shared" ca="1" si="9"/>
        <v>4249.8548130139361</v>
      </c>
      <c r="M74" s="692" t="str">
        <f t="shared" ca="1" si="0"/>
        <v xml:space="preserve"> </v>
      </c>
      <c r="O74" s="1482">
        <f ca="1">IF($A74&gt;Endyr,0,VLOOKUP($A74,Tariff_Table,Tariff!$H$33))</f>
        <v>6133.73</v>
      </c>
      <c r="P74" s="1480">
        <f t="shared" ca="1" si="10"/>
        <v>1.2085523884766651</v>
      </c>
      <c r="Q74" s="1481">
        <f t="shared" ca="1" si="11"/>
        <v>7412.9340417709745</v>
      </c>
      <c r="R74" s="1480">
        <f t="shared" ca="1" si="12"/>
        <v>2.3595023096607846</v>
      </c>
      <c r="S74" s="113">
        <f t="shared" ca="1" si="13"/>
        <v>1.0649999999999999</v>
      </c>
      <c r="T74" s="1481">
        <f t="shared" ca="1" si="14"/>
        <v>16423.319242179969</v>
      </c>
      <c r="U74" s="330">
        <f t="shared" ca="1" si="15"/>
        <v>480</v>
      </c>
      <c r="V74" s="1481">
        <f t="shared" ca="1" si="16"/>
        <v>7883.1932362463849</v>
      </c>
      <c r="W74" s="1480">
        <f t="shared" ca="1" si="17"/>
        <v>2.3595023096607846</v>
      </c>
      <c r="X74" s="384">
        <f t="shared" ca="1" si="18"/>
        <v>3341.0406948826922</v>
      </c>
      <c r="Y74" s="692" t="str">
        <f t="shared" ca="1" si="1"/>
        <v xml:space="preserve"> </v>
      </c>
      <c r="AA74" s="1484">
        <f ca="1">IF($A74&gt;Endyr,0,VLOOKUP($A74,Tariff_Table,Tariff!$I$33))</f>
        <v>2.31</v>
      </c>
      <c r="AB74" s="1480">
        <f t="shared" ca="1" si="2"/>
        <v>1.2085523884766651</v>
      </c>
      <c r="AC74" s="1483">
        <f t="shared" ca="1" si="19"/>
        <v>2.7917560173810965</v>
      </c>
      <c r="AD74" s="1480">
        <f t="shared" ca="1" si="20"/>
        <v>2.3595023096607846</v>
      </c>
      <c r="AE74" s="113">
        <f t="shared" ca="1" si="21"/>
        <v>1.0649999999999999</v>
      </c>
      <c r="AF74" s="1483">
        <f t="shared" ca="1" si="22"/>
        <v>6.1851218507230898</v>
      </c>
      <c r="AG74" s="334">
        <f ca="1">VLOOKUP($A74,Plant_Table,'Plant Operations'!$M$270)</f>
        <v>298980.864</v>
      </c>
      <c r="AH74" s="1481">
        <f t="shared" ca="1" si="23"/>
        <v>1849.2330748744685</v>
      </c>
      <c r="AI74" s="1480">
        <f t="shared" ca="1" si="24"/>
        <v>2.3595023096607846</v>
      </c>
      <c r="AJ74" s="335">
        <f t="shared" ca="1" si="25"/>
        <v>783.73861610685378</v>
      </c>
      <c r="AK74" s="698" t="str">
        <f t="shared" ca="1" si="3"/>
        <v xml:space="preserve"> </v>
      </c>
      <c r="AM74" s="697">
        <f ca="1">IF($A74&gt;Endyr,0,VLOOKUP($A74,Tariff_Table,Tariff!$L$33))</f>
        <v>1.21</v>
      </c>
      <c r="AN74" s="1504">
        <f ca="1">VLOOKUP($A74,Curves_Table,Escalation!$Z$291)</f>
        <v>1.2516417249387861</v>
      </c>
      <c r="AO74" s="331">
        <f t="shared" ca="1" si="26"/>
        <v>1.5144864871759312</v>
      </c>
      <c r="AP74" s="331">
        <f ca="1">IF($A74&gt;Endyr,0,VLOOKUP($A74,Tariff_Table,Tariff!$M$33))</f>
        <v>0.25</v>
      </c>
      <c r="AQ74" s="331">
        <f t="shared" ca="1" si="27"/>
        <v>1.7644864871759312</v>
      </c>
      <c r="AR74" s="331">
        <f t="shared" ca="1" si="28"/>
        <v>1.46</v>
      </c>
      <c r="AS74" s="1508">
        <f t="shared" ca="1" si="29"/>
        <v>1.2085523884766651</v>
      </c>
    </row>
    <row r="75" spans="1:45">
      <c r="A75" s="672">
        <f t="shared" si="4"/>
        <v>38869</v>
      </c>
      <c r="C75" s="1484">
        <f ca="1">IF($A75&gt;Endyr,0,VLOOKUP($A75,Tariff_Table,Tariff!$G$33))</f>
        <v>7429.43</v>
      </c>
      <c r="D75" s="1480">
        <f ca="1">VLOOKUP($A75,Curves_Table,Escalation!$V$291)</f>
        <v>1.2691909562879884</v>
      </c>
      <c r="E75" s="1483">
        <f t="shared" ca="1" si="5"/>
        <v>9429.36536637467</v>
      </c>
      <c r="F75" s="1480">
        <f ca="1">IF(Assm!$L$74=0,VLOOKUP($A75,Curves_Table,Escalation!$D$291),VLOOKUP($A75,Curves_Table,Escalation!$E$291))</f>
        <v>2.3649383997337114</v>
      </c>
      <c r="G75" s="113">
        <f ca="1">IF($A75&lt;EE_Date,VLOOKUP($A75,Curves_Table,Escalation!$D$291),Exch)</f>
        <v>1.0649999999999999</v>
      </c>
      <c r="H75" s="1483">
        <f t="shared" ca="1" si="6"/>
        <v>20938.843417895394</v>
      </c>
      <c r="I75" s="330">
        <f ca="1">VLOOKUP($A75,Plant_Table,'Plant Operations'!$C$270)</f>
        <v>480</v>
      </c>
      <c r="J75" s="1481">
        <f t="shared" ca="1" si="7"/>
        <v>10050.64484058979</v>
      </c>
      <c r="K75" s="1480">
        <f t="shared" ca="1" si="8"/>
        <v>2.3649383997337114</v>
      </c>
      <c r="L75" s="384">
        <f t="shared" ca="1" si="9"/>
        <v>4249.8548130139361</v>
      </c>
      <c r="M75" s="692" t="str">
        <f t="shared" ca="1" si="0"/>
        <v xml:space="preserve"> </v>
      </c>
      <c r="O75" s="1482">
        <f ca="1">IF($A75&gt;Endyr,0,VLOOKUP($A75,Tariff_Table,Tariff!$H$33))</f>
        <v>6133.73</v>
      </c>
      <c r="P75" s="1480">
        <f t="shared" ca="1" si="10"/>
        <v>1.2085523884766651</v>
      </c>
      <c r="Q75" s="1481">
        <f t="shared" ca="1" si="11"/>
        <v>7412.9340417709745</v>
      </c>
      <c r="R75" s="1480">
        <f t="shared" ca="1" si="12"/>
        <v>2.3649383997337114</v>
      </c>
      <c r="S75" s="113">
        <f t="shared" ca="1" si="13"/>
        <v>1.0649999999999999</v>
      </c>
      <c r="T75" s="1481">
        <f t="shared" ca="1" si="14"/>
        <v>16461.157155002256</v>
      </c>
      <c r="U75" s="330">
        <f t="shared" ca="1" si="15"/>
        <v>480</v>
      </c>
      <c r="V75" s="1481">
        <f t="shared" ca="1" si="16"/>
        <v>7901.3554344010827</v>
      </c>
      <c r="W75" s="1480">
        <f t="shared" ca="1" si="17"/>
        <v>2.3649383997337114</v>
      </c>
      <c r="X75" s="384">
        <f t="shared" ca="1" si="18"/>
        <v>3341.0406948826926</v>
      </c>
      <c r="Y75" s="692" t="str">
        <f t="shared" ca="1" si="1"/>
        <v xml:space="preserve"> </v>
      </c>
      <c r="AA75" s="1484">
        <f ca="1">IF($A75&gt;Endyr,0,VLOOKUP($A75,Tariff_Table,Tariff!$I$33))</f>
        <v>2.31</v>
      </c>
      <c r="AB75" s="1480">
        <f t="shared" ca="1" si="2"/>
        <v>1.2085523884766651</v>
      </c>
      <c r="AC75" s="1483">
        <f t="shared" ca="1" si="19"/>
        <v>2.7917560173810965</v>
      </c>
      <c r="AD75" s="1480">
        <f t="shared" ca="1" si="20"/>
        <v>2.3649383997337114</v>
      </c>
      <c r="AE75" s="113">
        <f t="shared" ca="1" si="21"/>
        <v>1.0649999999999999</v>
      </c>
      <c r="AF75" s="1483">
        <f t="shared" ca="1" si="22"/>
        <v>6.1993718386781316</v>
      </c>
      <c r="AG75" s="334">
        <f ca="1">VLOOKUP($A75,Plant_Table,'Plant Operations'!$M$270)</f>
        <v>289336.32000000001</v>
      </c>
      <c r="AH75" s="1481">
        <f t="shared" ca="1" si="23"/>
        <v>1793.7034341147641</v>
      </c>
      <c r="AI75" s="1480">
        <f t="shared" ca="1" si="24"/>
        <v>2.3649383997337114</v>
      </c>
      <c r="AJ75" s="335">
        <f t="shared" ca="1" si="25"/>
        <v>758.45672526469718</v>
      </c>
      <c r="AK75" s="698" t="str">
        <f t="shared" ca="1" si="3"/>
        <v xml:space="preserve"> </v>
      </c>
      <c r="AM75" s="697">
        <f ca="1">IF($A75&gt;Endyr,0,VLOOKUP($A75,Tariff_Table,Tariff!$L$33))</f>
        <v>1.21</v>
      </c>
      <c r="AN75" s="1504">
        <f ca="1">VLOOKUP($A75,Curves_Table,Escalation!$Z$291)</f>
        <v>1.2516417249387861</v>
      </c>
      <c r="AO75" s="331">
        <f t="shared" ca="1" si="26"/>
        <v>1.5144864871759312</v>
      </c>
      <c r="AP75" s="331">
        <f ca="1">IF($A75&gt;Endyr,0,VLOOKUP($A75,Tariff_Table,Tariff!$M$33))</f>
        <v>0.25</v>
      </c>
      <c r="AQ75" s="331">
        <f t="shared" ca="1" si="27"/>
        <v>1.7644864871759312</v>
      </c>
      <c r="AR75" s="331">
        <f t="shared" ca="1" si="28"/>
        <v>1.46</v>
      </c>
      <c r="AS75" s="1508">
        <f t="shared" ca="1" si="29"/>
        <v>1.2085523884766651</v>
      </c>
    </row>
    <row r="76" spans="1:45">
      <c r="A76" s="672">
        <f t="shared" si="4"/>
        <v>38899</v>
      </c>
      <c r="C76" s="1484">
        <f ca="1">IF($A76&gt;Endyr,0,VLOOKUP($A76,Tariff_Table,Tariff!$G$33))</f>
        <v>7429.43</v>
      </c>
      <c r="D76" s="1480">
        <f ca="1">VLOOKUP($A76,Curves_Table,Escalation!$V$291)</f>
        <v>1.2691909562879884</v>
      </c>
      <c r="E76" s="1483">
        <f t="shared" ca="1" si="5"/>
        <v>9429.36536637467</v>
      </c>
      <c r="F76" s="1480">
        <f ca="1">IF(Assm!$L$74=0,VLOOKUP($A76,Curves_Table,Escalation!$D$291),VLOOKUP($A76,Curves_Table,Escalation!$E$291))</f>
        <v>2.370387014089899</v>
      </c>
      <c r="G76" s="113">
        <f ca="1">IF($A76&lt;EE_Date,VLOOKUP($A76,Curves_Table,Escalation!$D$291),Exch)</f>
        <v>1.0649999999999999</v>
      </c>
      <c r="H76" s="1483">
        <f t="shared" ca="1" si="6"/>
        <v>20987.084709449355</v>
      </c>
      <c r="I76" s="330">
        <f ca="1">VLOOKUP($A76,Plant_Table,'Plant Operations'!$C$270)</f>
        <v>480</v>
      </c>
      <c r="J76" s="1481">
        <f t="shared" ca="1" si="7"/>
        <v>10073.80066053569</v>
      </c>
      <c r="K76" s="1480">
        <f t="shared" ca="1" si="8"/>
        <v>2.370387014089899</v>
      </c>
      <c r="L76" s="384">
        <f t="shared" ca="1" si="9"/>
        <v>4249.8548130139361</v>
      </c>
      <c r="M76" s="692" t="str">
        <f t="shared" ref="M76:M139" ca="1" si="30">IF(MONTH($A76)=12,SUM(L65:L76)," ")</f>
        <v xml:space="preserve"> </v>
      </c>
      <c r="O76" s="1482">
        <f ca="1">IF($A76&gt;Endyr,0,VLOOKUP($A76,Tariff_Table,Tariff!$H$33))</f>
        <v>6133.73</v>
      </c>
      <c r="P76" s="1480">
        <f t="shared" ca="1" si="10"/>
        <v>1.2085523884766651</v>
      </c>
      <c r="Q76" s="1481">
        <f t="shared" ca="1" si="11"/>
        <v>7412.9340417709745</v>
      </c>
      <c r="R76" s="1480">
        <f t="shared" ca="1" si="12"/>
        <v>2.370387014089899</v>
      </c>
      <c r="S76" s="113">
        <f t="shared" ca="1" si="13"/>
        <v>1.0649999999999999</v>
      </c>
      <c r="T76" s="1481">
        <f t="shared" ca="1" si="14"/>
        <v>16499.082243116307</v>
      </c>
      <c r="U76" s="330">
        <f t="shared" ca="1" si="15"/>
        <v>480</v>
      </c>
      <c r="V76" s="1481">
        <f t="shared" ca="1" si="16"/>
        <v>7919.5594766958275</v>
      </c>
      <c r="W76" s="1480">
        <f t="shared" ca="1" si="17"/>
        <v>2.370387014089899</v>
      </c>
      <c r="X76" s="384">
        <f t="shared" ca="1" si="18"/>
        <v>3341.0406948826926</v>
      </c>
      <c r="Y76" s="692" t="str">
        <f t="shared" ref="Y76:Y139" ca="1" si="31">IF(MONTH($A76)=12,SUM(X65:X76)," ")</f>
        <v xml:space="preserve"> </v>
      </c>
      <c r="AA76" s="1484">
        <f ca="1">IF($A76&gt;Endyr,0,VLOOKUP($A76,Tariff_Table,Tariff!$I$33))</f>
        <v>2.31</v>
      </c>
      <c r="AB76" s="1480">
        <f t="shared" ref="AB76:AB139" ca="1" si="32">$AS76</f>
        <v>1.2085523884766651</v>
      </c>
      <c r="AC76" s="1483">
        <f t="shared" ca="1" si="19"/>
        <v>2.7917560173810965</v>
      </c>
      <c r="AD76" s="1480">
        <f t="shared" ca="1" si="20"/>
        <v>2.370387014089899</v>
      </c>
      <c r="AE76" s="113">
        <f t="shared" ca="1" si="21"/>
        <v>1.0649999999999999</v>
      </c>
      <c r="AF76" s="1483">
        <f t="shared" ca="1" si="22"/>
        <v>6.213654657377921</v>
      </c>
      <c r="AG76" s="334">
        <f ca="1">VLOOKUP($A76,Plant_Table,'Plant Operations'!$M$270)</f>
        <v>298980.864</v>
      </c>
      <c r="AH76" s="1481">
        <f t="shared" ca="1" si="23"/>
        <v>1857.7638380604747</v>
      </c>
      <c r="AI76" s="1480">
        <f t="shared" ca="1" si="24"/>
        <v>2.370387014089899</v>
      </c>
      <c r="AJ76" s="335">
        <f t="shared" ca="1" si="25"/>
        <v>783.73861610685367</v>
      </c>
      <c r="AK76" s="698" t="str">
        <f t="shared" ref="AK76:AK139" ca="1" si="33">IF(MONTH($A76)=12,SUM(AJ65:AJ76)," ")</f>
        <v xml:space="preserve"> </v>
      </c>
      <c r="AM76" s="697">
        <f ca="1">IF($A76&gt;Endyr,0,VLOOKUP($A76,Tariff_Table,Tariff!$L$33))</f>
        <v>1.21</v>
      </c>
      <c r="AN76" s="1504">
        <f ca="1">VLOOKUP($A76,Curves_Table,Escalation!$Z$291)</f>
        <v>1.2516417249387861</v>
      </c>
      <c r="AO76" s="331">
        <f t="shared" ca="1" si="26"/>
        <v>1.5144864871759312</v>
      </c>
      <c r="AP76" s="331">
        <f ca="1">IF($A76&gt;Endyr,0,VLOOKUP($A76,Tariff_Table,Tariff!$M$33))</f>
        <v>0.25</v>
      </c>
      <c r="AQ76" s="331">
        <f t="shared" ca="1" si="27"/>
        <v>1.7644864871759312</v>
      </c>
      <c r="AR76" s="331">
        <f t="shared" ca="1" si="28"/>
        <v>1.46</v>
      </c>
      <c r="AS76" s="1508">
        <f t="shared" ca="1" si="29"/>
        <v>1.2085523884766651</v>
      </c>
    </row>
    <row r="77" spans="1:45">
      <c r="A77" s="672">
        <f t="shared" ref="A77:A140" si="34">EDATE(A76,1)</f>
        <v>38930</v>
      </c>
      <c r="C77" s="1484">
        <f ca="1">IF($A77&gt;Endyr,0,VLOOKUP($A77,Tariff_Table,Tariff!$G$33))</f>
        <v>7429.43</v>
      </c>
      <c r="D77" s="1480">
        <f ca="1">VLOOKUP($A77,Curves_Table,Escalation!$V$291)</f>
        <v>1.2691909562879884</v>
      </c>
      <c r="E77" s="1483">
        <f t="shared" ref="E77:E140" ca="1" si="35">C77*D77</f>
        <v>9429.36536637467</v>
      </c>
      <c r="F77" s="1480">
        <f ca="1">IF(Assm!$L$74=0,VLOOKUP($A77,Curves_Table,Escalation!$D$291),VLOOKUP($A77,Curves_Table,Escalation!$E$291))</f>
        <v>2.3758481815842174</v>
      </c>
      <c r="G77" s="113">
        <f ca="1">IF($A77&lt;EE_Date,VLOOKUP($A77,Curves_Table,Escalation!$D$291),Exch)</f>
        <v>1.0649999999999999</v>
      </c>
      <c r="H77" s="1483">
        <f t="shared" ref="H77:H140" ca="1" si="36">E77*F77/G77</f>
        <v>21035.437144783529</v>
      </c>
      <c r="I77" s="330">
        <f ca="1">VLOOKUP($A77,Plant_Table,'Plant Operations'!$C$270)</f>
        <v>480</v>
      </c>
      <c r="J77" s="1481">
        <f t="shared" ref="J77:J140" ca="1" si="37">H77*I77/1000</f>
        <v>10097.009829496094</v>
      </c>
      <c r="K77" s="1480">
        <f t="shared" ref="K77:K140" ca="1" si="38">F77</f>
        <v>2.3758481815842174</v>
      </c>
      <c r="L77" s="384">
        <f t="shared" ref="L77:L140" ca="1" si="39">J77/K77</f>
        <v>4249.8548130139361</v>
      </c>
      <c r="M77" s="692" t="str">
        <f t="shared" ca="1" si="30"/>
        <v xml:space="preserve"> </v>
      </c>
      <c r="O77" s="1482">
        <f ca="1">IF($A77&gt;Endyr,0,VLOOKUP($A77,Tariff_Table,Tariff!$H$33))</f>
        <v>6133.73</v>
      </c>
      <c r="P77" s="1480">
        <f t="shared" ref="P77:P140" ca="1" si="40">$AS77</f>
        <v>1.2085523884766651</v>
      </c>
      <c r="Q77" s="1481">
        <f t="shared" ref="Q77:Q140" ca="1" si="41">O77*P77</f>
        <v>7412.9340417709745</v>
      </c>
      <c r="R77" s="1480">
        <f t="shared" ref="R77:R140" ca="1" si="42">$F77</f>
        <v>2.3758481815842174</v>
      </c>
      <c r="S77" s="113">
        <f t="shared" ref="S77:S140" ca="1" si="43">$G77</f>
        <v>1.0649999999999999</v>
      </c>
      <c r="T77" s="1481">
        <f t="shared" ref="T77:T140" ca="1" si="44">Q77*R77/S77</f>
        <v>16537.09470736649</v>
      </c>
      <c r="U77" s="330">
        <f t="shared" ref="U77:U140" ca="1" si="45">$I77</f>
        <v>480</v>
      </c>
      <c r="V77" s="1481">
        <f t="shared" ref="V77:V140" ca="1" si="46">T77*U77/1000</f>
        <v>7937.8054595359154</v>
      </c>
      <c r="W77" s="1480">
        <f t="shared" ref="W77:W140" ca="1" si="47">R77</f>
        <v>2.3758481815842174</v>
      </c>
      <c r="X77" s="384">
        <f t="shared" ref="X77:X140" ca="1" si="48">V77/W77</f>
        <v>3341.0406948826926</v>
      </c>
      <c r="Y77" s="692" t="str">
        <f t="shared" ca="1" si="31"/>
        <v xml:space="preserve"> </v>
      </c>
      <c r="AA77" s="1484">
        <f ca="1">IF($A77&gt;Endyr,0,VLOOKUP($A77,Tariff_Table,Tariff!$I$33))</f>
        <v>2.31</v>
      </c>
      <c r="AB77" s="1480">
        <f t="shared" ca="1" si="32"/>
        <v>1.2085523884766651</v>
      </c>
      <c r="AC77" s="1483">
        <f t="shared" ref="AC77:AC140" ca="1" si="49">AA77*AB77</f>
        <v>2.7917560173810965</v>
      </c>
      <c r="AD77" s="1480">
        <f t="shared" ref="AD77:AD140" ca="1" si="50">$F77</f>
        <v>2.3758481815842174</v>
      </c>
      <c r="AE77" s="113">
        <f t="shared" ref="AE77:AE140" ca="1" si="51">$G77</f>
        <v>1.0649999999999999</v>
      </c>
      <c r="AF77" s="1483">
        <f t="shared" ref="AF77:AF140" ca="1" si="52">AC77*AD77/AE77</f>
        <v>6.2279703824616668</v>
      </c>
      <c r="AG77" s="334">
        <f ca="1">VLOOKUP($A77,Plant_Table,'Plant Operations'!$M$270)</f>
        <v>298980.864</v>
      </c>
      <c r="AH77" s="1481">
        <f t="shared" ref="AH77:AH140" ca="1" si="53">AF77*AG77/1000</f>
        <v>1862.0439659147996</v>
      </c>
      <c r="AI77" s="1480">
        <f t="shared" ref="AI77:AI140" ca="1" si="54">AD77</f>
        <v>2.3758481815842174</v>
      </c>
      <c r="AJ77" s="335">
        <f t="shared" ref="AJ77:AJ140" ca="1" si="55">AH77/AI77</f>
        <v>783.73861610685378</v>
      </c>
      <c r="AK77" s="698" t="str">
        <f t="shared" ca="1" si="33"/>
        <v xml:space="preserve"> </v>
      </c>
      <c r="AM77" s="697">
        <f ca="1">IF($A77&gt;Endyr,0,VLOOKUP($A77,Tariff_Table,Tariff!$L$33))</f>
        <v>1.21</v>
      </c>
      <c r="AN77" s="1504">
        <f ca="1">VLOOKUP($A77,Curves_Table,Escalation!$Z$291)</f>
        <v>1.2516417249387861</v>
      </c>
      <c r="AO77" s="331">
        <f t="shared" ref="AO77:AO140" ca="1" si="56">AM77*AN77</f>
        <v>1.5144864871759312</v>
      </c>
      <c r="AP77" s="331">
        <f ca="1">IF($A77&gt;Endyr,0,VLOOKUP($A77,Tariff_Table,Tariff!$M$33))</f>
        <v>0.25</v>
      </c>
      <c r="AQ77" s="331">
        <f t="shared" ref="AQ77:AQ140" ca="1" si="57">SUM(AO77,AP77)</f>
        <v>1.7644864871759312</v>
      </c>
      <c r="AR77" s="331">
        <f t="shared" ref="AR77:AR140" ca="1" si="58">SUM(AM77,AP77)</f>
        <v>1.46</v>
      </c>
      <c r="AS77" s="1508">
        <f t="shared" ref="AS77:AS140" ca="1" si="59">IF(AR77=0,0,AQ77/AR77)</f>
        <v>1.2085523884766651</v>
      </c>
    </row>
    <row r="78" spans="1:45">
      <c r="A78" s="672">
        <f t="shared" si="34"/>
        <v>38961</v>
      </c>
      <c r="C78" s="1484">
        <f ca="1">IF($A78&gt;Endyr,0,VLOOKUP($A78,Tariff_Table,Tariff!$G$33))</f>
        <v>7429.43</v>
      </c>
      <c r="D78" s="1480">
        <f ca="1">VLOOKUP($A78,Curves_Table,Escalation!$V$291)</f>
        <v>1.2691909562879884</v>
      </c>
      <c r="E78" s="1483">
        <f t="shared" ca="1" si="35"/>
        <v>9429.36536637467</v>
      </c>
      <c r="F78" s="1480">
        <f ca="1">IF(Assm!$L$74=0,VLOOKUP($A78,Curves_Table,Escalation!$D$291),VLOOKUP($A78,Curves_Table,Escalation!$E$291))</f>
        <v>2.3813219311380154</v>
      </c>
      <c r="G78" s="113">
        <f ca="1">IF($A78&lt;EE_Date,VLOOKUP($A78,Curves_Table,Escalation!$D$291),Exch)</f>
        <v>1.0649999999999999</v>
      </c>
      <c r="H78" s="1483">
        <f t="shared" ca="1" si="36"/>
        <v>21083.900979963615</v>
      </c>
      <c r="I78" s="330">
        <f ca="1">VLOOKUP($A78,Plant_Table,'Plant Operations'!$C$270)</f>
        <v>480</v>
      </c>
      <c r="J78" s="1481">
        <f t="shared" ca="1" si="37"/>
        <v>10120.272470382535</v>
      </c>
      <c r="K78" s="1480">
        <f t="shared" ca="1" si="38"/>
        <v>2.3813219311380154</v>
      </c>
      <c r="L78" s="384">
        <f t="shared" ca="1" si="39"/>
        <v>4249.8548130139361</v>
      </c>
      <c r="M78" s="692" t="str">
        <f t="shared" ca="1" si="30"/>
        <v xml:space="preserve"> </v>
      </c>
      <c r="O78" s="1482">
        <f ca="1">IF($A78&gt;Endyr,0,VLOOKUP($A78,Tariff_Table,Tariff!$H$33))</f>
        <v>6133.73</v>
      </c>
      <c r="P78" s="1480">
        <f t="shared" ca="1" si="40"/>
        <v>1.2085523884766651</v>
      </c>
      <c r="Q78" s="1481">
        <f t="shared" ca="1" si="41"/>
        <v>7412.9340417709745</v>
      </c>
      <c r="R78" s="1480">
        <f t="shared" ca="1" si="42"/>
        <v>2.3813219311380154</v>
      </c>
      <c r="S78" s="113">
        <f t="shared" ca="1" si="43"/>
        <v>1.0649999999999999</v>
      </c>
      <c r="T78" s="1481">
        <f t="shared" ca="1" si="44"/>
        <v>16575.194749059901</v>
      </c>
      <c r="U78" s="330">
        <f t="shared" ca="1" si="45"/>
        <v>480</v>
      </c>
      <c r="V78" s="1481">
        <f t="shared" ca="1" si="46"/>
        <v>7956.0934795487519</v>
      </c>
      <c r="W78" s="1480">
        <f t="shared" ca="1" si="47"/>
        <v>2.3813219311380154</v>
      </c>
      <c r="X78" s="384">
        <f t="shared" ca="1" si="48"/>
        <v>3341.0406948826931</v>
      </c>
      <c r="Y78" s="692" t="str">
        <f t="shared" ca="1" si="31"/>
        <v xml:space="preserve"> </v>
      </c>
      <c r="AA78" s="1484">
        <f ca="1">IF($A78&gt;Endyr,0,VLOOKUP($A78,Tariff_Table,Tariff!$I$33))</f>
        <v>2.31</v>
      </c>
      <c r="AB78" s="1480">
        <f t="shared" ca="1" si="32"/>
        <v>1.2085523884766651</v>
      </c>
      <c r="AC78" s="1483">
        <f t="shared" ca="1" si="49"/>
        <v>2.7917560173810965</v>
      </c>
      <c r="AD78" s="1480">
        <f t="shared" ca="1" si="50"/>
        <v>2.3813219311380154</v>
      </c>
      <c r="AE78" s="113">
        <f t="shared" ca="1" si="51"/>
        <v>1.0649999999999999</v>
      </c>
      <c r="AF78" s="1483">
        <f t="shared" ca="1" si="52"/>
        <v>6.2423190897428427</v>
      </c>
      <c r="AG78" s="334">
        <f ca="1">VLOOKUP($A78,Plant_Table,'Plant Operations'!$M$270)</f>
        <v>289336.32000000001</v>
      </c>
      <c r="AH78" s="1481">
        <f t="shared" ca="1" si="53"/>
        <v>1806.129633691944</v>
      </c>
      <c r="AI78" s="1480">
        <f t="shared" ca="1" si="54"/>
        <v>2.3813219311380154</v>
      </c>
      <c r="AJ78" s="335">
        <f t="shared" ca="1" si="55"/>
        <v>758.4567252646973</v>
      </c>
      <c r="AK78" s="698" t="str">
        <f t="shared" ca="1" si="33"/>
        <v xml:space="preserve"> </v>
      </c>
      <c r="AM78" s="697">
        <f ca="1">IF($A78&gt;Endyr,0,VLOOKUP($A78,Tariff_Table,Tariff!$L$33))</f>
        <v>1.21</v>
      </c>
      <c r="AN78" s="1504">
        <f ca="1">VLOOKUP($A78,Curves_Table,Escalation!$Z$291)</f>
        <v>1.2516417249387861</v>
      </c>
      <c r="AO78" s="331">
        <f t="shared" ca="1" si="56"/>
        <v>1.5144864871759312</v>
      </c>
      <c r="AP78" s="331">
        <f ca="1">IF($A78&gt;Endyr,0,VLOOKUP($A78,Tariff_Table,Tariff!$M$33))</f>
        <v>0.25</v>
      </c>
      <c r="AQ78" s="331">
        <f t="shared" ca="1" si="57"/>
        <v>1.7644864871759312</v>
      </c>
      <c r="AR78" s="331">
        <f t="shared" ca="1" si="58"/>
        <v>1.46</v>
      </c>
      <c r="AS78" s="1508">
        <f t="shared" ca="1" si="59"/>
        <v>1.2085523884766651</v>
      </c>
    </row>
    <row r="79" spans="1:45">
      <c r="A79" s="672">
        <f t="shared" si="34"/>
        <v>38991</v>
      </c>
      <c r="C79" s="1484">
        <f ca="1">IF($A79&gt;Endyr,0,VLOOKUP($A79,Tariff_Table,Tariff!$G$33))</f>
        <v>7429.43</v>
      </c>
      <c r="D79" s="1480">
        <f ca="1">VLOOKUP($A79,Curves_Table,Escalation!$V$291)</f>
        <v>1.2691909562879884</v>
      </c>
      <c r="E79" s="1483">
        <f t="shared" ca="1" si="35"/>
        <v>9429.36536637467</v>
      </c>
      <c r="F79" s="1480">
        <f ca="1">IF(Assm!$L$74=0,VLOOKUP($A79,Curves_Table,Escalation!$D$291),VLOOKUP($A79,Curves_Table,Escalation!$E$291))</f>
        <v>2.3868082917392743</v>
      </c>
      <c r="G79" s="113">
        <f ca="1">IF($A79&lt;EE_Date,VLOOKUP($A79,Curves_Table,Escalation!$D$291),Exch)</f>
        <v>1.0649999999999999</v>
      </c>
      <c r="H79" s="1483">
        <f t="shared" ca="1" si="36"/>
        <v>21132.476471645263</v>
      </c>
      <c r="I79" s="330">
        <f ca="1">VLOOKUP($A79,Plant_Table,'Plant Operations'!$C$270)</f>
        <v>480</v>
      </c>
      <c r="J79" s="1481">
        <f t="shared" ca="1" si="37"/>
        <v>10143.588706389724</v>
      </c>
      <c r="K79" s="1480">
        <f t="shared" ca="1" si="38"/>
        <v>2.3868082917392743</v>
      </c>
      <c r="L79" s="384">
        <f t="shared" ca="1" si="39"/>
        <v>4249.8548130139352</v>
      </c>
      <c r="M79" s="692" t="str">
        <f t="shared" ca="1" si="30"/>
        <v xml:space="preserve"> </v>
      </c>
      <c r="O79" s="1482">
        <f ca="1">IF($A79&gt;Endyr,0,VLOOKUP($A79,Tariff_Table,Tariff!$H$33))</f>
        <v>6133.73</v>
      </c>
      <c r="P79" s="1480">
        <f t="shared" ca="1" si="40"/>
        <v>1.2085523884766651</v>
      </c>
      <c r="Q79" s="1481">
        <f t="shared" ca="1" si="41"/>
        <v>7412.9340417709745</v>
      </c>
      <c r="R79" s="1480">
        <f t="shared" ca="1" si="42"/>
        <v>2.3868082917392743</v>
      </c>
      <c r="S79" s="113">
        <f t="shared" ca="1" si="43"/>
        <v>1.0649999999999999</v>
      </c>
      <c r="T79" s="1481">
        <f t="shared" ca="1" si="44"/>
        <v>16613.382569967413</v>
      </c>
      <c r="U79" s="330">
        <f t="shared" ca="1" si="45"/>
        <v>480</v>
      </c>
      <c r="V79" s="1481">
        <f t="shared" ca="1" si="46"/>
        <v>7974.423633584358</v>
      </c>
      <c r="W79" s="1480">
        <f t="shared" ca="1" si="47"/>
        <v>2.3868082917392743</v>
      </c>
      <c r="X79" s="384">
        <f t="shared" ca="1" si="48"/>
        <v>3341.0406948826926</v>
      </c>
      <c r="Y79" s="692" t="str">
        <f t="shared" ca="1" si="31"/>
        <v xml:space="preserve"> </v>
      </c>
      <c r="AA79" s="1484">
        <f ca="1">IF($A79&gt;Endyr,0,VLOOKUP($A79,Tariff_Table,Tariff!$I$33))</f>
        <v>2.31</v>
      </c>
      <c r="AB79" s="1480">
        <f t="shared" ca="1" si="32"/>
        <v>1.2085523884766651</v>
      </c>
      <c r="AC79" s="1483">
        <f t="shared" ca="1" si="49"/>
        <v>2.7917560173810965</v>
      </c>
      <c r="AD79" s="1480">
        <f t="shared" ca="1" si="50"/>
        <v>2.3868082917392743</v>
      </c>
      <c r="AE79" s="113">
        <f t="shared" ca="1" si="51"/>
        <v>1.0649999999999999</v>
      </c>
      <c r="AF79" s="1483">
        <f t="shared" ca="1" si="52"/>
        <v>6.2567008552095915</v>
      </c>
      <c r="AG79" s="334">
        <f ca="1">VLOOKUP($A79,Plant_Table,'Plant Operations'!$M$270)</f>
        <v>298980.864</v>
      </c>
      <c r="AH79" s="1481">
        <f t="shared" ca="1" si="53"/>
        <v>1870.6338274801026</v>
      </c>
      <c r="AI79" s="1480">
        <f t="shared" ca="1" si="54"/>
        <v>2.3868082917392743</v>
      </c>
      <c r="AJ79" s="335">
        <f t="shared" ca="1" si="55"/>
        <v>783.73861610685378</v>
      </c>
      <c r="AK79" s="698" t="str">
        <f t="shared" ca="1" si="33"/>
        <v xml:space="preserve"> </v>
      </c>
      <c r="AM79" s="697">
        <f ca="1">IF($A79&gt;Endyr,0,VLOOKUP($A79,Tariff_Table,Tariff!$L$33))</f>
        <v>1.21</v>
      </c>
      <c r="AN79" s="1504">
        <f ca="1">VLOOKUP($A79,Curves_Table,Escalation!$Z$291)</f>
        <v>1.2516417249387861</v>
      </c>
      <c r="AO79" s="331">
        <f t="shared" ca="1" si="56"/>
        <v>1.5144864871759312</v>
      </c>
      <c r="AP79" s="331">
        <f ca="1">IF($A79&gt;Endyr,0,VLOOKUP($A79,Tariff_Table,Tariff!$M$33))</f>
        <v>0.25</v>
      </c>
      <c r="AQ79" s="331">
        <f t="shared" ca="1" si="57"/>
        <v>1.7644864871759312</v>
      </c>
      <c r="AR79" s="331">
        <f t="shared" ca="1" si="58"/>
        <v>1.46</v>
      </c>
      <c r="AS79" s="1508">
        <f t="shared" ca="1" si="59"/>
        <v>1.2085523884766651</v>
      </c>
    </row>
    <row r="80" spans="1:45">
      <c r="A80" s="672">
        <f t="shared" si="34"/>
        <v>39022</v>
      </c>
      <c r="C80" s="1484">
        <f ca="1">IF($A80&gt;Endyr,0,VLOOKUP($A80,Tariff_Table,Tariff!$G$33))</f>
        <v>7429.43</v>
      </c>
      <c r="D80" s="1480">
        <f ca="1">VLOOKUP($A80,Curves_Table,Escalation!$V$291)</f>
        <v>1.2691909562879884</v>
      </c>
      <c r="E80" s="1483">
        <f t="shared" ca="1" si="35"/>
        <v>9429.36536637467</v>
      </c>
      <c r="F80" s="1480">
        <f ca="1">IF(Assm!$L$74=0,VLOOKUP($A80,Curves_Table,Escalation!$D$291),VLOOKUP($A80,Curves_Table,Escalation!$E$291))</f>
        <v>2.3923072924427613</v>
      </c>
      <c r="G80" s="113">
        <f ca="1">IF($A80&lt;EE_Date,VLOOKUP($A80,Curves_Table,Escalation!$D$291),Exch)</f>
        <v>1.0649999999999999</v>
      </c>
      <c r="H80" s="1483">
        <f t="shared" ca="1" si="36"/>
        <v>21181.163877075429</v>
      </c>
      <c r="I80" s="330">
        <f ca="1">VLOOKUP($A80,Plant_Table,'Plant Operations'!$C$270)</f>
        <v>480</v>
      </c>
      <c r="J80" s="1481">
        <f t="shared" ca="1" si="37"/>
        <v>10166.958660996206</v>
      </c>
      <c r="K80" s="1480">
        <f t="shared" ca="1" si="38"/>
        <v>2.3923072924427613</v>
      </c>
      <c r="L80" s="384">
        <f t="shared" ca="1" si="39"/>
        <v>4249.8548130139361</v>
      </c>
      <c r="M80" s="692" t="str">
        <f t="shared" ca="1" si="30"/>
        <v xml:space="preserve"> </v>
      </c>
      <c r="O80" s="1482">
        <f ca="1">IF($A80&gt;Endyr,0,VLOOKUP($A80,Tariff_Table,Tariff!$H$33))</f>
        <v>6133.73</v>
      </c>
      <c r="P80" s="1480">
        <f t="shared" ca="1" si="40"/>
        <v>1.2085523884766651</v>
      </c>
      <c r="Q80" s="1481">
        <f t="shared" ca="1" si="41"/>
        <v>7412.9340417709745</v>
      </c>
      <c r="R80" s="1480">
        <f t="shared" ca="1" si="42"/>
        <v>2.3923072924427613</v>
      </c>
      <c r="S80" s="113">
        <f t="shared" ca="1" si="43"/>
        <v>1.0649999999999999</v>
      </c>
      <c r="T80" s="1481">
        <f t="shared" ca="1" si="44"/>
        <v>16651.658372324786</v>
      </c>
      <c r="U80" s="330">
        <f t="shared" ca="1" si="45"/>
        <v>480</v>
      </c>
      <c r="V80" s="1481">
        <f t="shared" ca="1" si="46"/>
        <v>7992.7960187158978</v>
      </c>
      <c r="W80" s="1480">
        <f t="shared" ca="1" si="47"/>
        <v>2.3923072924427613</v>
      </c>
      <c r="X80" s="384">
        <f t="shared" ca="1" si="48"/>
        <v>3341.0406948826935</v>
      </c>
      <c r="Y80" s="692" t="str">
        <f t="shared" ca="1" si="31"/>
        <v xml:space="preserve"> </v>
      </c>
      <c r="AA80" s="1484">
        <f ca="1">IF($A80&gt;Endyr,0,VLOOKUP($A80,Tariff_Table,Tariff!$I$33))</f>
        <v>2.31</v>
      </c>
      <c r="AB80" s="1480">
        <f t="shared" ca="1" si="32"/>
        <v>1.2085523884766651</v>
      </c>
      <c r="AC80" s="1483">
        <f t="shared" ca="1" si="49"/>
        <v>2.7917560173810965</v>
      </c>
      <c r="AD80" s="1480">
        <f t="shared" ca="1" si="50"/>
        <v>2.3923072924427613</v>
      </c>
      <c r="AE80" s="113">
        <f t="shared" ca="1" si="51"/>
        <v>1.0649999999999999</v>
      </c>
      <c r="AF80" s="1483">
        <f t="shared" ca="1" si="52"/>
        <v>6.2711157550251251</v>
      </c>
      <c r="AG80" s="334">
        <f ca="1">VLOOKUP($A80,Plant_Table,'Plant Operations'!$M$270)</f>
        <v>289336.32000000001</v>
      </c>
      <c r="AH80" s="1481">
        <f t="shared" ca="1" si="53"/>
        <v>1814.4615548529912</v>
      </c>
      <c r="AI80" s="1480">
        <f t="shared" ca="1" si="54"/>
        <v>2.3923072924427613</v>
      </c>
      <c r="AJ80" s="335">
        <f t="shared" ca="1" si="55"/>
        <v>758.4567252646973</v>
      </c>
      <c r="AK80" s="698" t="str">
        <f t="shared" ca="1" si="33"/>
        <v xml:space="preserve"> </v>
      </c>
      <c r="AM80" s="697">
        <f ca="1">IF($A80&gt;Endyr,0,VLOOKUP($A80,Tariff_Table,Tariff!$L$33))</f>
        <v>1.21</v>
      </c>
      <c r="AN80" s="1504">
        <f ca="1">VLOOKUP($A80,Curves_Table,Escalation!$Z$291)</f>
        <v>1.2516417249387861</v>
      </c>
      <c r="AO80" s="331">
        <f t="shared" ca="1" si="56"/>
        <v>1.5144864871759312</v>
      </c>
      <c r="AP80" s="331">
        <f ca="1">IF($A80&gt;Endyr,0,VLOOKUP($A80,Tariff_Table,Tariff!$M$33))</f>
        <v>0.25</v>
      </c>
      <c r="AQ80" s="331">
        <f t="shared" ca="1" si="57"/>
        <v>1.7644864871759312</v>
      </c>
      <c r="AR80" s="331">
        <f t="shared" ca="1" si="58"/>
        <v>1.46</v>
      </c>
      <c r="AS80" s="1508">
        <f t="shared" ca="1" si="59"/>
        <v>1.2085523884766651</v>
      </c>
    </row>
    <row r="81" spans="1:45">
      <c r="A81" s="672">
        <f t="shared" si="34"/>
        <v>39052</v>
      </c>
      <c r="C81" s="1484">
        <f ca="1">IF($A81&gt;Endyr,0,VLOOKUP($A81,Tariff_Table,Tariff!$G$33))</f>
        <v>7429.43</v>
      </c>
      <c r="D81" s="1480">
        <f ca="1">VLOOKUP($A81,Curves_Table,Escalation!$V$291)</f>
        <v>1.2691909562879884</v>
      </c>
      <c r="E81" s="1483">
        <f t="shared" ca="1" si="35"/>
        <v>9429.36536637467</v>
      </c>
      <c r="F81" s="1480">
        <f ca="1">IF(Assm!$L$74=0,VLOOKUP($A81,Curves_Table,Escalation!$D$291),VLOOKUP($A81,Curves_Table,Escalation!$E$291))</f>
        <v>2.39781896237018</v>
      </c>
      <c r="G81" s="113">
        <f ca="1">IF($A81&lt;EE_Date,VLOOKUP($A81,Curves_Table,Escalation!$D$291),Exch)</f>
        <v>1.0649999999999999</v>
      </c>
      <c r="H81" s="1483">
        <f t="shared" ca="1" si="36"/>
        <v>21229.963454093733</v>
      </c>
      <c r="I81" s="330">
        <f ca="1">VLOOKUP($A81,Plant_Table,'Plant Operations'!$C$270)</f>
        <v>480</v>
      </c>
      <c r="J81" s="1481">
        <f t="shared" ca="1" si="37"/>
        <v>10190.382457964992</v>
      </c>
      <c r="K81" s="1480">
        <f t="shared" ca="1" si="38"/>
        <v>2.39781896237018</v>
      </c>
      <c r="L81" s="384">
        <f t="shared" ca="1" si="39"/>
        <v>4249.8548130139361</v>
      </c>
      <c r="M81" s="692">
        <f t="shared" ca="1" si="30"/>
        <v>50515.62563685271</v>
      </c>
      <c r="O81" s="1482">
        <f ca="1">IF($A81&gt;Endyr,0,VLOOKUP($A81,Tariff_Table,Tariff!$H$33))</f>
        <v>6133.73</v>
      </c>
      <c r="P81" s="1480">
        <f t="shared" ca="1" si="40"/>
        <v>1.2085523884766651</v>
      </c>
      <c r="Q81" s="1481">
        <f t="shared" ca="1" si="41"/>
        <v>7412.9340417709745</v>
      </c>
      <c r="R81" s="1480">
        <f t="shared" ca="1" si="42"/>
        <v>2.39781896237018</v>
      </c>
      <c r="S81" s="113">
        <f t="shared" ca="1" si="43"/>
        <v>1.0649999999999999</v>
      </c>
      <c r="T81" s="1481">
        <f t="shared" ca="1" si="44"/>
        <v>16690.022358833678</v>
      </c>
      <c r="U81" s="330">
        <f t="shared" ca="1" si="45"/>
        <v>480</v>
      </c>
      <c r="V81" s="1481">
        <f t="shared" ca="1" si="46"/>
        <v>8011.2107322401653</v>
      </c>
      <c r="W81" s="1480">
        <f t="shared" ca="1" si="47"/>
        <v>2.39781896237018</v>
      </c>
      <c r="X81" s="384">
        <f t="shared" ca="1" si="48"/>
        <v>3341.0406948826935</v>
      </c>
      <c r="Y81" s="692">
        <f t="shared" ca="1" si="31"/>
        <v>39745.861982318645</v>
      </c>
      <c r="AA81" s="1484">
        <f ca="1">IF($A81&gt;Endyr,0,VLOOKUP($A81,Tariff_Table,Tariff!$I$33))</f>
        <v>2.31</v>
      </c>
      <c r="AB81" s="1480">
        <f t="shared" ca="1" si="32"/>
        <v>1.2085523884766651</v>
      </c>
      <c r="AC81" s="1483">
        <f t="shared" ca="1" si="49"/>
        <v>2.7917560173810965</v>
      </c>
      <c r="AD81" s="1480">
        <f t="shared" ca="1" si="50"/>
        <v>2.39781896237018</v>
      </c>
      <c r="AE81" s="113">
        <f t="shared" ca="1" si="51"/>
        <v>1.0649999999999999</v>
      </c>
      <c r="AF81" s="1483">
        <f t="shared" ca="1" si="52"/>
        <v>6.2855638655281201</v>
      </c>
      <c r="AG81" s="334">
        <f ca="1">VLOOKUP($A81,Plant_Table,'Plant Operations'!$M$270)</f>
        <v>298980.864</v>
      </c>
      <c r="AH81" s="1481">
        <f t="shared" ca="1" si="53"/>
        <v>1879.263315242777</v>
      </c>
      <c r="AI81" s="1480">
        <f t="shared" ca="1" si="54"/>
        <v>2.39781896237018</v>
      </c>
      <c r="AJ81" s="335">
        <f t="shared" ca="1" si="55"/>
        <v>783.73861610685378</v>
      </c>
      <c r="AK81" s="698">
        <f t="shared" ca="1" si="33"/>
        <v>9150.2894789582988</v>
      </c>
      <c r="AM81" s="697">
        <f ca="1">IF($A81&gt;Endyr,0,VLOOKUP($A81,Tariff_Table,Tariff!$L$33))</f>
        <v>1.21</v>
      </c>
      <c r="AN81" s="1504">
        <f ca="1">VLOOKUP($A81,Curves_Table,Escalation!$Z$291)</f>
        <v>1.2516417249387861</v>
      </c>
      <c r="AO81" s="331">
        <f t="shared" ca="1" si="56"/>
        <v>1.5144864871759312</v>
      </c>
      <c r="AP81" s="331">
        <f ca="1">IF($A81&gt;Endyr,0,VLOOKUP($A81,Tariff_Table,Tariff!$M$33))</f>
        <v>0.25</v>
      </c>
      <c r="AQ81" s="331">
        <f t="shared" ca="1" si="57"/>
        <v>1.7644864871759312</v>
      </c>
      <c r="AR81" s="331">
        <f t="shared" ca="1" si="58"/>
        <v>1.46</v>
      </c>
      <c r="AS81" s="1508">
        <f t="shared" ca="1" si="59"/>
        <v>1.2085523884766651</v>
      </c>
    </row>
    <row r="82" spans="1:45">
      <c r="A82" s="672">
        <f t="shared" si="34"/>
        <v>39083</v>
      </c>
      <c r="C82" s="1484">
        <f ca="1">IF($A82&gt;Endyr,0,VLOOKUP($A82,Tariff_Table,Tariff!$G$33))</f>
        <v>7429.43</v>
      </c>
      <c r="D82" s="1480">
        <f ca="1">VLOOKUP($A82,Curves_Table,Escalation!$V$291)</f>
        <v>1.2691909562879884</v>
      </c>
      <c r="E82" s="1483">
        <f t="shared" ca="1" si="35"/>
        <v>9429.36536637467</v>
      </c>
      <c r="F82" s="1480">
        <f ca="1">IF(Assm!$L$74=0,VLOOKUP($A82,Curves_Table,Escalation!$D$291),VLOOKUP($A82,Curves_Table,Escalation!$E$291))</f>
        <v>2.4031820782557931</v>
      </c>
      <c r="G82" s="113">
        <f ca="1">IF($A82&lt;EE_Date,VLOOKUP($A82,Curves_Table,Escalation!$D$291),Exch)</f>
        <v>1.0649999999999999</v>
      </c>
      <c r="H82" s="1483">
        <f t="shared" ca="1" si="36"/>
        <v>21277.44775380045</v>
      </c>
      <c r="I82" s="330">
        <f ca="1">VLOOKUP($A82,Plant_Table,'Plant Operations'!$C$270)</f>
        <v>480</v>
      </c>
      <c r="J82" s="1481">
        <f t="shared" ca="1" si="37"/>
        <v>10213.174921824217</v>
      </c>
      <c r="K82" s="1480">
        <f t="shared" ca="1" si="38"/>
        <v>2.4031820782557931</v>
      </c>
      <c r="L82" s="384">
        <f t="shared" ca="1" si="39"/>
        <v>4249.8548130139361</v>
      </c>
      <c r="M82" s="692" t="str">
        <f t="shared" ca="1" si="30"/>
        <v xml:space="preserve"> </v>
      </c>
      <c r="O82" s="1482">
        <f ca="1">IF($A82&gt;Endyr,0,VLOOKUP($A82,Tariff_Table,Tariff!$H$33))</f>
        <v>6133.73</v>
      </c>
      <c r="P82" s="1480">
        <f t="shared" ca="1" si="40"/>
        <v>1.2085523884766651</v>
      </c>
      <c r="Q82" s="1481">
        <f t="shared" ca="1" si="41"/>
        <v>7412.9340417709745</v>
      </c>
      <c r="R82" s="1480">
        <f t="shared" ca="1" si="42"/>
        <v>2.4031820782557931</v>
      </c>
      <c r="S82" s="113">
        <f t="shared" ca="1" si="43"/>
        <v>1.0649999999999999</v>
      </c>
      <c r="T82" s="1481">
        <f t="shared" ca="1" si="44"/>
        <v>16727.352334719519</v>
      </c>
      <c r="U82" s="330">
        <f t="shared" ca="1" si="45"/>
        <v>480</v>
      </c>
      <c r="V82" s="1481">
        <f t="shared" ca="1" si="46"/>
        <v>8029.1291206653686</v>
      </c>
      <c r="W82" s="1480">
        <f t="shared" ca="1" si="47"/>
        <v>2.4031820782557931</v>
      </c>
      <c r="X82" s="384">
        <f t="shared" ca="1" si="48"/>
        <v>3341.0406948826926</v>
      </c>
      <c r="Y82" s="692" t="str">
        <f t="shared" ca="1" si="31"/>
        <v xml:space="preserve"> </v>
      </c>
      <c r="AA82" s="1484">
        <f ca="1">IF($A82&gt;Endyr,0,VLOOKUP($A82,Tariff_Table,Tariff!$I$33))</f>
        <v>2.31</v>
      </c>
      <c r="AB82" s="1480">
        <f t="shared" ca="1" si="32"/>
        <v>1.2085523884766651</v>
      </c>
      <c r="AC82" s="1483">
        <f t="shared" ca="1" si="49"/>
        <v>2.7917560173810965</v>
      </c>
      <c r="AD82" s="1480">
        <f t="shared" ca="1" si="50"/>
        <v>2.4031820782557931</v>
      </c>
      <c r="AE82" s="113">
        <f t="shared" ca="1" si="51"/>
        <v>1.0649999999999999</v>
      </c>
      <c r="AF82" s="1483">
        <f t="shared" ca="1" si="52"/>
        <v>6.2996225613455588</v>
      </c>
      <c r="AG82" s="334">
        <f ca="1">VLOOKUP($A82,Plant_Table,'Plant Operations'!$M$270)</f>
        <v>298980.864</v>
      </c>
      <c r="AH82" s="1481">
        <f t="shared" ca="1" si="53"/>
        <v>1883.4665962649881</v>
      </c>
      <c r="AI82" s="1480">
        <f t="shared" ca="1" si="54"/>
        <v>2.4031820782557931</v>
      </c>
      <c r="AJ82" s="335">
        <f t="shared" ca="1" si="55"/>
        <v>783.73861610685378</v>
      </c>
      <c r="AK82" s="698" t="str">
        <f t="shared" ca="1" si="33"/>
        <v xml:space="preserve"> </v>
      </c>
      <c r="AM82" s="697">
        <f ca="1">IF($A82&gt;Endyr,0,VLOOKUP($A82,Tariff_Table,Tariff!$L$33))</f>
        <v>1.21</v>
      </c>
      <c r="AN82" s="1504">
        <f ca="1">VLOOKUP($A82,Curves_Table,Escalation!$Z$291)</f>
        <v>1.2516417249387861</v>
      </c>
      <c r="AO82" s="331">
        <f t="shared" ca="1" si="56"/>
        <v>1.5144864871759312</v>
      </c>
      <c r="AP82" s="331">
        <f ca="1">IF($A82&gt;Endyr,0,VLOOKUP($A82,Tariff_Table,Tariff!$M$33))</f>
        <v>0.25</v>
      </c>
      <c r="AQ82" s="331">
        <f t="shared" ca="1" si="57"/>
        <v>1.7644864871759312</v>
      </c>
      <c r="AR82" s="331">
        <f t="shared" ca="1" si="58"/>
        <v>1.46</v>
      </c>
      <c r="AS82" s="1508">
        <f t="shared" ca="1" si="59"/>
        <v>1.2085523884766651</v>
      </c>
    </row>
    <row r="83" spans="1:45">
      <c r="A83" s="672">
        <f t="shared" si="34"/>
        <v>39114</v>
      </c>
      <c r="C83" s="1484">
        <f ca="1">IF($A83&gt;Endyr,0,VLOOKUP($A83,Tariff_Table,Tariff!$G$33))</f>
        <v>7429.43</v>
      </c>
      <c r="D83" s="1480">
        <f ca="1">VLOOKUP($A83,Curves_Table,Escalation!$V$291)</f>
        <v>1.2691909562879884</v>
      </c>
      <c r="E83" s="1483">
        <f t="shared" ca="1" si="35"/>
        <v>9429.36536637467</v>
      </c>
      <c r="F83" s="1480">
        <f ca="1">IF(Assm!$L$74=0,VLOOKUP($A83,Curves_Table,Escalation!$D$291),VLOOKUP($A83,Curves_Table,Escalation!$E$291))</f>
        <v>2.4085571896308298</v>
      </c>
      <c r="G83" s="113">
        <f ca="1">IF($A83&lt;EE_Date,VLOOKUP($A83,Curves_Table,Escalation!$D$291),Exch)</f>
        <v>1.0649999999999999</v>
      </c>
      <c r="H83" s="1483">
        <f t="shared" ca="1" si="36"/>
        <v>21325.038259941459</v>
      </c>
      <c r="I83" s="330">
        <f ca="1">VLOOKUP($A83,Plant_Table,'Plant Operations'!$C$270)</f>
        <v>480</v>
      </c>
      <c r="J83" s="1481">
        <f t="shared" ca="1" si="37"/>
        <v>10236.0183647719</v>
      </c>
      <c r="K83" s="1480">
        <f t="shared" ca="1" si="38"/>
        <v>2.4085571896308298</v>
      </c>
      <c r="L83" s="384">
        <f t="shared" ca="1" si="39"/>
        <v>4249.8548130139361</v>
      </c>
      <c r="M83" s="692" t="str">
        <f t="shared" ca="1" si="30"/>
        <v xml:space="preserve"> </v>
      </c>
      <c r="O83" s="1482">
        <f ca="1">IF($A83&gt;Endyr,0,VLOOKUP($A83,Tariff_Table,Tariff!$H$33))</f>
        <v>6133.73</v>
      </c>
      <c r="P83" s="1480">
        <f t="shared" ca="1" si="40"/>
        <v>1.2085523884766651</v>
      </c>
      <c r="Q83" s="1481">
        <f t="shared" ca="1" si="41"/>
        <v>7412.9340417709745</v>
      </c>
      <c r="R83" s="1480">
        <f t="shared" ca="1" si="42"/>
        <v>2.4085571896308298</v>
      </c>
      <c r="S83" s="113">
        <f t="shared" ca="1" si="43"/>
        <v>1.0649999999999999</v>
      </c>
      <c r="T83" s="1481">
        <f t="shared" ca="1" si="44"/>
        <v>16764.765805226863</v>
      </c>
      <c r="U83" s="330">
        <f t="shared" ca="1" si="45"/>
        <v>480</v>
      </c>
      <c r="V83" s="1481">
        <f t="shared" ca="1" si="46"/>
        <v>8047.0875865088947</v>
      </c>
      <c r="W83" s="1480">
        <f t="shared" ca="1" si="47"/>
        <v>2.4085571896308298</v>
      </c>
      <c r="X83" s="384">
        <f t="shared" ca="1" si="48"/>
        <v>3341.0406948826935</v>
      </c>
      <c r="Y83" s="692" t="str">
        <f t="shared" ca="1" si="31"/>
        <v xml:space="preserve"> </v>
      </c>
      <c r="AA83" s="1484">
        <f ca="1">IF($A83&gt;Endyr,0,VLOOKUP($A83,Tariff_Table,Tariff!$I$33))</f>
        <v>2.31</v>
      </c>
      <c r="AB83" s="1480">
        <f t="shared" ca="1" si="32"/>
        <v>1.2085523884766651</v>
      </c>
      <c r="AC83" s="1483">
        <f t="shared" ca="1" si="49"/>
        <v>2.7917560173810965</v>
      </c>
      <c r="AD83" s="1480">
        <f t="shared" ca="1" si="50"/>
        <v>2.4085571896308298</v>
      </c>
      <c r="AE83" s="113">
        <f t="shared" ca="1" si="51"/>
        <v>1.0649999999999999</v>
      </c>
      <c r="AF83" s="1483">
        <f t="shared" ca="1" si="52"/>
        <v>6.3137127017449499</v>
      </c>
      <c r="AG83" s="334">
        <f ca="1">VLOOKUP($A83,Plant_Table,'Plant Operations'!$M$270)</f>
        <v>270047.23200000002</v>
      </c>
      <c r="AH83" s="1481">
        <f t="shared" ca="1" si="53"/>
        <v>1705.0006387494655</v>
      </c>
      <c r="AI83" s="1480">
        <f t="shared" ca="1" si="54"/>
        <v>2.4085571896308298</v>
      </c>
      <c r="AJ83" s="335">
        <f t="shared" ca="1" si="55"/>
        <v>707.8929435803841</v>
      </c>
      <c r="AK83" s="698" t="str">
        <f t="shared" ca="1" si="33"/>
        <v xml:space="preserve"> </v>
      </c>
      <c r="AM83" s="697">
        <f ca="1">IF($A83&gt;Endyr,0,VLOOKUP($A83,Tariff_Table,Tariff!$L$33))</f>
        <v>1.21</v>
      </c>
      <c r="AN83" s="1504">
        <f ca="1">VLOOKUP($A83,Curves_Table,Escalation!$Z$291)</f>
        <v>1.2516417249387861</v>
      </c>
      <c r="AO83" s="331">
        <f t="shared" ca="1" si="56"/>
        <v>1.5144864871759312</v>
      </c>
      <c r="AP83" s="331">
        <f ca="1">IF($A83&gt;Endyr,0,VLOOKUP($A83,Tariff_Table,Tariff!$M$33))</f>
        <v>0.25</v>
      </c>
      <c r="AQ83" s="331">
        <f t="shared" ca="1" si="57"/>
        <v>1.7644864871759312</v>
      </c>
      <c r="AR83" s="331">
        <f t="shared" ca="1" si="58"/>
        <v>1.46</v>
      </c>
      <c r="AS83" s="1508">
        <f t="shared" ca="1" si="59"/>
        <v>1.2085523884766651</v>
      </c>
    </row>
    <row r="84" spans="1:45">
      <c r="A84" s="672">
        <f t="shared" si="34"/>
        <v>39142</v>
      </c>
      <c r="C84" s="1484">
        <f ca="1">IF($A84&gt;Endyr,0,VLOOKUP($A84,Tariff_Table,Tariff!$G$33))</f>
        <v>7429.43</v>
      </c>
      <c r="D84" s="1480">
        <f ca="1">VLOOKUP($A84,Curves_Table,Escalation!$V$291)</f>
        <v>1.2691909562879884</v>
      </c>
      <c r="E84" s="1483">
        <f t="shared" ca="1" si="35"/>
        <v>9429.36536637467</v>
      </c>
      <c r="F84" s="1480">
        <f ca="1">IF(Assm!$L$74=0,VLOOKUP($A84,Curves_Table,Escalation!$D$291),VLOOKUP($A84,Curves_Table,Escalation!$E$291))</f>
        <v>2.4139443233251718</v>
      </c>
      <c r="G84" s="113">
        <f ca="1">IF($A84&lt;EE_Date,VLOOKUP($A84,Curves_Table,Escalation!$D$291),Exch)</f>
        <v>1.0649999999999999</v>
      </c>
      <c r="H84" s="1483">
        <f t="shared" ca="1" si="36"/>
        <v>21372.735210064897</v>
      </c>
      <c r="I84" s="330">
        <f ca="1">VLOOKUP($A84,Plant_Table,'Plant Operations'!$C$270)</f>
        <v>480</v>
      </c>
      <c r="J84" s="1481">
        <f t="shared" ca="1" si="37"/>
        <v>10258.91290083115</v>
      </c>
      <c r="K84" s="1480">
        <f t="shared" ca="1" si="38"/>
        <v>2.4139443233251718</v>
      </c>
      <c r="L84" s="384">
        <f t="shared" ca="1" si="39"/>
        <v>4249.8548130139361</v>
      </c>
      <c r="M84" s="692" t="str">
        <f t="shared" ca="1" si="30"/>
        <v xml:space="preserve"> </v>
      </c>
      <c r="O84" s="1482">
        <f ca="1">IF($A84&gt;Endyr,0,VLOOKUP($A84,Tariff_Table,Tariff!$H$33))</f>
        <v>6133.73</v>
      </c>
      <c r="P84" s="1480">
        <f t="shared" ca="1" si="40"/>
        <v>1.2085523884766651</v>
      </c>
      <c r="Q84" s="1481">
        <f t="shared" ca="1" si="41"/>
        <v>7412.9340417709745</v>
      </c>
      <c r="R84" s="1480">
        <f t="shared" ca="1" si="42"/>
        <v>2.4139443233251718</v>
      </c>
      <c r="S84" s="113">
        <f t="shared" ca="1" si="43"/>
        <v>1.0649999999999999</v>
      </c>
      <c r="T84" s="1481">
        <f t="shared" ca="1" si="44"/>
        <v>16802.262957105133</v>
      </c>
      <c r="U84" s="330">
        <f t="shared" ca="1" si="45"/>
        <v>480</v>
      </c>
      <c r="V84" s="1481">
        <f t="shared" ca="1" si="46"/>
        <v>8065.0862194104639</v>
      </c>
      <c r="W84" s="1480">
        <f t="shared" ca="1" si="47"/>
        <v>2.4139443233251718</v>
      </c>
      <c r="X84" s="384">
        <f t="shared" ca="1" si="48"/>
        <v>3341.0406948826931</v>
      </c>
      <c r="Y84" s="692" t="str">
        <f t="shared" ca="1" si="31"/>
        <v xml:space="preserve"> </v>
      </c>
      <c r="AA84" s="1484">
        <f ca="1">IF($A84&gt;Endyr,0,VLOOKUP($A84,Tariff_Table,Tariff!$I$33))</f>
        <v>2.31</v>
      </c>
      <c r="AB84" s="1480">
        <f t="shared" ca="1" si="32"/>
        <v>1.2085523884766651</v>
      </c>
      <c r="AC84" s="1483">
        <f t="shared" ca="1" si="49"/>
        <v>2.7917560173810965</v>
      </c>
      <c r="AD84" s="1480">
        <f t="shared" ca="1" si="50"/>
        <v>2.4139443233251718</v>
      </c>
      <c r="AE84" s="113">
        <f t="shared" ca="1" si="51"/>
        <v>1.0649999999999999</v>
      </c>
      <c r="AF84" s="1483">
        <f t="shared" ca="1" si="52"/>
        <v>6.3278343570572657</v>
      </c>
      <c r="AG84" s="334">
        <f ca="1">VLOOKUP($A84,Plant_Table,'Plant Operations'!$M$270)</f>
        <v>298980.864</v>
      </c>
      <c r="AH84" s="1481">
        <f t="shared" ca="1" si="53"/>
        <v>1891.9013833218658</v>
      </c>
      <c r="AI84" s="1480">
        <f t="shared" ca="1" si="54"/>
        <v>2.4139443233251718</v>
      </c>
      <c r="AJ84" s="335">
        <f t="shared" ca="1" si="55"/>
        <v>783.73861610685378</v>
      </c>
      <c r="AK84" s="698" t="str">
        <f t="shared" ca="1" si="33"/>
        <v xml:space="preserve"> </v>
      </c>
      <c r="AM84" s="697">
        <f ca="1">IF($A84&gt;Endyr,0,VLOOKUP($A84,Tariff_Table,Tariff!$L$33))</f>
        <v>1.21</v>
      </c>
      <c r="AN84" s="1504">
        <f ca="1">VLOOKUP($A84,Curves_Table,Escalation!$Z$291)</f>
        <v>1.2516417249387861</v>
      </c>
      <c r="AO84" s="331">
        <f t="shared" ca="1" si="56"/>
        <v>1.5144864871759312</v>
      </c>
      <c r="AP84" s="331">
        <f ca="1">IF($A84&gt;Endyr,0,VLOOKUP($A84,Tariff_Table,Tariff!$M$33))</f>
        <v>0.25</v>
      </c>
      <c r="AQ84" s="331">
        <f t="shared" ca="1" si="57"/>
        <v>1.7644864871759312</v>
      </c>
      <c r="AR84" s="331">
        <f t="shared" ca="1" si="58"/>
        <v>1.46</v>
      </c>
      <c r="AS84" s="1508">
        <f t="shared" ca="1" si="59"/>
        <v>1.2085523884766651</v>
      </c>
    </row>
    <row r="85" spans="1:45">
      <c r="A85" s="672">
        <f t="shared" si="34"/>
        <v>39173</v>
      </c>
      <c r="C85" s="1484">
        <f ca="1">IF($A85&gt;Endyr,0,VLOOKUP($A85,Tariff_Table,Tariff!$G$33))</f>
        <v>7429.43</v>
      </c>
      <c r="D85" s="1480">
        <f ca="1">VLOOKUP($A85,Curves_Table,Escalation!$V$291)</f>
        <v>1.2691909562879884</v>
      </c>
      <c r="E85" s="1483">
        <f t="shared" ca="1" si="35"/>
        <v>9429.36536637467</v>
      </c>
      <c r="F85" s="1480">
        <f ca="1">IF(Assm!$L$74=0,VLOOKUP($A85,Curves_Table,Escalation!$D$291),VLOOKUP($A85,Curves_Table,Escalation!$E$291))</f>
        <v>2.419343506228711</v>
      </c>
      <c r="G85" s="113">
        <f ca="1">IF($A85&lt;EE_Date,VLOOKUP($A85,Curves_Table,Escalation!$D$291),Exch)</f>
        <v>1.0649999999999999</v>
      </c>
      <c r="H85" s="1483">
        <f t="shared" ca="1" si="36"/>
        <v>21420.538842250207</v>
      </c>
      <c r="I85" s="330">
        <f ca="1">VLOOKUP($A85,Plant_Table,'Plant Operations'!$C$270)</f>
        <v>480</v>
      </c>
      <c r="J85" s="1481">
        <f t="shared" ca="1" si="37"/>
        <v>10281.858644280101</v>
      </c>
      <c r="K85" s="1480">
        <f t="shared" ca="1" si="38"/>
        <v>2.419343506228711</v>
      </c>
      <c r="L85" s="384">
        <f t="shared" ca="1" si="39"/>
        <v>4249.854813013937</v>
      </c>
      <c r="M85" s="692" t="str">
        <f t="shared" ca="1" si="30"/>
        <v xml:space="preserve"> </v>
      </c>
      <c r="O85" s="1482">
        <f ca="1">IF($A85&gt;Endyr,0,VLOOKUP($A85,Tariff_Table,Tariff!$H$33))</f>
        <v>6133.73</v>
      </c>
      <c r="P85" s="1480">
        <f t="shared" ca="1" si="40"/>
        <v>1.2085523884766651</v>
      </c>
      <c r="Q85" s="1481">
        <f t="shared" ca="1" si="41"/>
        <v>7412.9340417709745</v>
      </c>
      <c r="R85" s="1480">
        <f t="shared" ca="1" si="42"/>
        <v>2.419343506228711</v>
      </c>
      <c r="S85" s="113">
        <f t="shared" ca="1" si="43"/>
        <v>1.0649999999999999</v>
      </c>
      <c r="T85" s="1481">
        <f t="shared" ca="1" si="44"/>
        <v>16839.843977521465</v>
      </c>
      <c r="U85" s="330">
        <f t="shared" ca="1" si="45"/>
        <v>480</v>
      </c>
      <c r="V85" s="1481">
        <f t="shared" ca="1" si="46"/>
        <v>8083.125109210303</v>
      </c>
      <c r="W85" s="1480">
        <f t="shared" ca="1" si="47"/>
        <v>2.419343506228711</v>
      </c>
      <c r="X85" s="384">
        <f t="shared" ca="1" si="48"/>
        <v>3341.0406948826926</v>
      </c>
      <c r="Y85" s="692" t="str">
        <f t="shared" ca="1" si="31"/>
        <v xml:space="preserve"> </v>
      </c>
      <c r="AA85" s="1484">
        <f ca="1">IF($A85&gt;Endyr,0,VLOOKUP($A85,Tariff_Table,Tariff!$I$33))</f>
        <v>2.31</v>
      </c>
      <c r="AB85" s="1480">
        <f t="shared" ca="1" si="32"/>
        <v>1.2085523884766651</v>
      </c>
      <c r="AC85" s="1483">
        <f t="shared" ca="1" si="49"/>
        <v>2.7917560173810965</v>
      </c>
      <c r="AD85" s="1480">
        <f t="shared" ca="1" si="50"/>
        <v>2.419343506228711</v>
      </c>
      <c r="AE85" s="113">
        <f t="shared" ca="1" si="51"/>
        <v>1.0649999999999999</v>
      </c>
      <c r="AF85" s="1483">
        <f t="shared" ca="1" si="52"/>
        <v>6.3419875977707836</v>
      </c>
      <c r="AG85" s="334">
        <f ca="1">VLOOKUP($A85,Plant_Table,'Plant Operations'!$M$270)</f>
        <v>289336.32000000001</v>
      </c>
      <c r="AH85" s="1481">
        <f t="shared" ca="1" si="53"/>
        <v>1834.9673530246387</v>
      </c>
      <c r="AI85" s="1480">
        <f t="shared" ca="1" si="54"/>
        <v>2.419343506228711</v>
      </c>
      <c r="AJ85" s="335">
        <f t="shared" ca="1" si="55"/>
        <v>758.45672526469718</v>
      </c>
      <c r="AK85" s="698" t="str">
        <f t="shared" ca="1" si="33"/>
        <v xml:space="preserve"> </v>
      </c>
      <c r="AM85" s="697">
        <f ca="1">IF($A85&gt;Endyr,0,VLOOKUP($A85,Tariff_Table,Tariff!$L$33))</f>
        <v>1.21</v>
      </c>
      <c r="AN85" s="1504">
        <f ca="1">VLOOKUP($A85,Curves_Table,Escalation!$Z$291)</f>
        <v>1.2516417249387861</v>
      </c>
      <c r="AO85" s="331">
        <f t="shared" ca="1" si="56"/>
        <v>1.5144864871759312</v>
      </c>
      <c r="AP85" s="331">
        <f ca="1">IF($A85&gt;Endyr,0,VLOOKUP($A85,Tariff_Table,Tariff!$M$33))</f>
        <v>0.25</v>
      </c>
      <c r="AQ85" s="331">
        <f t="shared" ca="1" si="57"/>
        <v>1.7644864871759312</v>
      </c>
      <c r="AR85" s="331">
        <f t="shared" ca="1" si="58"/>
        <v>1.46</v>
      </c>
      <c r="AS85" s="1508">
        <f t="shared" ca="1" si="59"/>
        <v>1.2085523884766651</v>
      </c>
    </row>
    <row r="86" spans="1:45">
      <c r="A86" s="672">
        <f t="shared" si="34"/>
        <v>39203</v>
      </c>
      <c r="C86" s="1484">
        <f ca="1">IF($A86&gt;Endyr,0,VLOOKUP($A86,Tariff_Table,Tariff!$G$33))</f>
        <v>7433.43</v>
      </c>
      <c r="D86" s="1480">
        <f ca="1">VLOOKUP($A86,Curves_Table,Escalation!$V$291)</f>
        <v>1.3038965761068158</v>
      </c>
      <c r="E86" s="1483">
        <f t="shared" ca="1" si="35"/>
        <v>9692.4239257296886</v>
      </c>
      <c r="F86" s="1480">
        <f ca="1">IF(Assm!$L$74=0,VLOOKUP($A86,Curves_Table,Escalation!$D$291),VLOOKUP($A86,Curves_Table,Escalation!$E$291))</f>
        <v>2.4247547652914823</v>
      </c>
      <c r="G86" s="113">
        <f ca="1">IF($A86&lt;EE_Date,VLOOKUP($A86,Curves_Table,Escalation!$D$291),Exch)</f>
        <v>1.0649999999999999</v>
      </c>
      <c r="H86" s="1483">
        <f t="shared" ca="1" si="36"/>
        <v>22067.371925951396</v>
      </c>
      <c r="I86" s="330">
        <f ca="1">VLOOKUP($A86,Plant_Table,'Plant Operations'!$C$270)</f>
        <v>480</v>
      </c>
      <c r="J86" s="1481">
        <f t="shared" ca="1" si="37"/>
        <v>10592.338524456671</v>
      </c>
      <c r="K86" s="1480">
        <f t="shared" ca="1" si="38"/>
        <v>2.4247547652914823</v>
      </c>
      <c r="L86" s="384">
        <f t="shared" ca="1" si="39"/>
        <v>4368.4164172302826</v>
      </c>
      <c r="M86" s="692" t="str">
        <f t="shared" ca="1" si="30"/>
        <v xml:space="preserve"> </v>
      </c>
      <c r="O86" s="1482">
        <f ca="1">IF($A86&gt;Endyr,0,VLOOKUP($A86,Tariff_Table,Tariff!$H$33))</f>
        <v>6146.82</v>
      </c>
      <c r="P86" s="1480">
        <f t="shared" ca="1" si="40"/>
        <v>1.2343242591995935</v>
      </c>
      <c r="Q86" s="1481">
        <f t="shared" ca="1" si="41"/>
        <v>7587.1690429332448</v>
      </c>
      <c r="R86" s="1480">
        <f t="shared" ca="1" si="42"/>
        <v>2.4247547652914823</v>
      </c>
      <c r="S86" s="113">
        <f t="shared" ca="1" si="43"/>
        <v>1.0649999999999999</v>
      </c>
      <c r="T86" s="1481">
        <f t="shared" ca="1" si="44"/>
        <v>17274.201213074557</v>
      </c>
      <c r="U86" s="330">
        <f t="shared" ca="1" si="45"/>
        <v>480</v>
      </c>
      <c r="V86" s="1481">
        <f t="shared" ca="1" si="46"/>
        <v>8291.6165822757866</v>
      </c>
      <c r="W86" s="1480">
        <f t="shared" ca="1" si="47"/>
        <v>2.4247547652914823</v>
      </c>
      <c r="X86" s="384">
        <f t="shared" ca="1" si="48"/>
        <v>3419.5691461107585</v>
      </c>
      <c r="Y86" s="692" t="str">
        <f t="shared" ca="1" si="31"/>
        <v xml:space="preserve"> </v>
      </c>
      <c r="AA86" s="1484">
        <f ca="1">IF($A86&gt;Endyr,0,VLOOKUP($A86,Tariff_Table,Tariff!$I$33))</f>
        <v>2.3199999999999998</v>
      </c>
      <c r="AB86" s="1480">
        <f t="shared" ca="1" si="32"/>
        <v>1.2343242591995935</v>
      </c>
      <c r="AC86" s="1483">
        <f t="shared" ca="1" si="49"/>
        <v>2.8636322813430568</v>
      </c>
      <c r="AD86" s="1480">
        <f t="shared" ca="1" si="50"/>
        <v>2.4247547652914823</v>
      </c>
      <c r="AE86" s="113">
        <f t="shared" ca="1" si="51"/>
        <v>1.0649999999999999</v>
      </c>
      <c r="AF86" s="1483">
        <f t="shared" ca="1" si="52"/>
        <v>6.5198178593700433</v>
      </c>
      <c r="AG86" s="334">
        <f ca="1">VLOOKUP($A86,Plant_Table,'Plant Operations'!$M$270)</f>
        <v>298980.864</v>
      </c>
      <c r="AH86" s="1481">
        <f t="shared" ca="1" si="53"/>
        <v>1949.3007767170861</v>
      </c>
      <c r="AI86" s="1480">
        <f t="shared" ca="1" si="54"/>
        <v>2.4247547652914823</v>
      </c>
      <c r="AJ86" s="335">
        <f t="shared" ca="1" si="55"/>
        <v>803.91667009787636</v>
      </c>
      <c r="AK86" s="698" t="str">
        <f t="shared" ca="1" si="33"/>
        <v xml:space="preserve"> </v>
      </c>
      <c r="AM86" s="697">
        <f ca="1">IF($A86&gt;Endyr,0,VLOOKUP($A86,Tariff_Table,Tariff!$L$33))</f>
        <v>1.21</v>
      </c>
      <c r="AN86" s="1504">
        <f ca="1">VLOOKUP($A86,Curves_Table,Escalation!$Z$291)</f>
        <v>1.2827383623400055</v>
      </c>
      <c r="AO86" s="331">
        <f t="shared" ca="1" si="56"/>
        <v>1.5521134184314065</v>
      </c>
      <c r="AP86" s="331">
        <f ca="1">IF($A86&gt;Endyr,0,VLOOKUP($A86,Tariff_Table,Tariff!$M$33))</f>
        <v>0.25</v>
      </c>
      <c r="AQ86" s="331">
        <f t="shared" ca="1" si="57"/>
        <v>1.8021134184314065</v>
      </c>
      <c r="AR86" s="331">
        <f t="shared" ca="1" si="58"/>
        <v>1.46</v>
      </c>
      <c r="AS86" s="1508">
        <f t="shared" ca="1" si="59"/>
        <v>1.2343242591995935</v>
      </c>
    </row>
    <row r="87" spans="1:45">
      <c r="A87" s="672">
        <f t="shared" si="34"/>
        <v>39234</v>
      </c>
      <c r="C87" s="1484">
        <f ca="1">IF($A87&gt;Endyr,0,VLOOKUP($A87,Tariff_Table,Tariff!$G$33))</f>
        <v>7433.43</v>
      </c>
      <c r="D87" s="1480">
        <f ca="1">VLOOKUP($A87,Curves_Table,Escalation!$V$291)</f>
        <v>1.3038965761068158</v>
      </c>
      <c r="E87" s="1483">
        <f t="shared" ca="1" si="35"/>
        <v>9692.4239257296886</v>
      </c>
      <c r="F87" s="1480">
        <f ca="1">IF(Assm!$L$74=0,VLOOKUP($A87,Curves_Table,Escalation!$D$291),VLOOKUP($A87,Curves_Table,Escalation!$E$291))</f>
        <v>2.4301781275237988</v>
      </c>
      <c r="G87" s="113">
        <f ca="1">IF($A87&lt;EE_Date,VLOOKUP($A87,Curves_Table,Escalation!$D$291),Exch)</f>
        <v>1.0649999999999999</v>
      </c>
      <c r="H87" s="1483">
        <f t="shared" ca="1" si="36"/>
        <v>22116.729227226897</v>
      </c>
      <c r="I87" s="330">
        <f ca="1">VLOOKUP($A87,Plant_Table,'Plant Operations'!$C$270)</f>
        <v>480</v>
      </c>
      <c r="J87" s="1481">
        <f t="shared" ca="1" si="37"/>
        <v>10616.03002906891</v>
      </c>
      <c r="K87" s="1480">
        <f t="shared" ca="1" si="38"/>
        <v>2.4301781275237988</v>
      </c>
      <c r="L87" s="384">
        <f t="shared" ca="1" si="39"/>
        <v>4368.4164172302826</v>
      </c>
      <c r="M87" s="692" t="str">
        <f t="shared" ca="1" si="30"/>
        <v xml:space="preserve"> </v>
      </c>
      <c r="O87" s="1482">
        <f ca="1">IF($A87&gt;Endyr,0,VLOOKUP($A87,Tariff_Table,Tariff!$H$33))</f>
        <v>6146.82</v>
      </c>
      <c r="P87" s="1480">
        <f t="shared" ca="1" si="40"/>
        <v>1.2343242591995935</v>
      </c>
      <c r="Q87" s="1481">
        <f t="shared" ca="1" si="41"/>
        <v>7587.1690429332448</v>
      </c>
      <c r="R87" s="1480">
        <f t="shared" ca="1" si="42"/>
        <v>2.4301781275237988</v>
      </c>
      <c r="S87" s="113">
        <f t="shared" ca="1" si="43"/>
        <v>1.0649999999999999</v>
      </c>
      <c r="T87" s="1481">
        <f t="shared" ca="1" si="44"/>
        <v>17312.837800903329</v>
      </c>
      <c r="U87" s="330">
        <f t="shared" ca="1" si="45"/>
        <v>480</v>
      </c>
      <c r="V87" s="1481">
        <f t="shared" ca="1" si="46"/>
        <v>8310.1621444335979</v>
      </c>
      <c r="W87" s="1480">
        <f t="shared" ca="1" si="47"/>
        <v>2.4301781275237988</v>
      </c>
      <c r="X87" s="384">
        <f t="shared" ca="1" si="48"/>
        <v>3419.5691461107581</v>
      </c>
      <c r="Y87" s="692" t="str">
        <f t="shared" ca="1" si="31"/>
        <v xml:space="preserve"> </v>
      </c>
      <c r="AA87" s="1484">
        <f ca="1">IF($A87&gt;Endyr,0,VLOOKUP($A87,Tariff_Table,Tariff!$I$33))</f>
        <v>2.3199999999999998</v>
      </c>
      <c r="AB87" s="1480">
        <f t="shared" ca="1" si="32"/>
        <v>1.2343242591995935</v>
      </c>
      <c r="AC87" s="1483">
        <f t="shared" ca="1" si="49"/>
        <v>2.8636322813430568</v>
      </c>
      <c r="AD87" s="1480">
        <f t="shared" ca="1" si="50"/>
        <v>2.4301781275237988</v>
      </c>
      <c r="AE87" s="113">
        <f t="shared" ca="1" si="51"/>
        <v>1.0649999999999999</v>
      </c>
      <c r="AF87" s="1483">
        <f t="shared" ca="1" si="52"/>
        <v>6.5344005027145302</v>
      </c>
      <c r="AG87" s="334">
        <f ca="1">VLOOKUP($A87,Plant_Table,'Plant Operations'!$M$270)</f>
        <v>289336.32000000001</v>
      </c>
      <c r="AH87" s="1481">
        <f t="shared" ca="1" si="53"/>
        <v>1890.6393948615721</v>
      </c>
      <c r="AI87" s="1480">
        <f t="shared" ca="1" si="54"/>
        <v>2.4301781275237988</v>
      </c>
      <c r="AJ87" s="335">
        <f t="shared" ca="1" si="55"/>
        <v>777.98387428826743</v>
      </c>
      <c r="AK87" s="698" t="str">
        <f t="shared" ca="1" si="33"/>
        <v xml:space="preserve"> </v>
      </c>
      <c r="AM87" s="697">
        <f ca="1">IF($A87&gt;Endyr,0,VLOOKUP($A87,Tariff_Table,Tariff!$L$33))</f>
        <v>1.21</v>
      </c>
      <c r="AN87" s="1504">
        <f ca="1">VLOOKUP($A87,Curves_Table,Escalation!$Z$291)</f>
        <v>1.2827383623400055</v>
      </c>
      <c r="AO87" s="331">
        <f t="shared" ca="1" si="56"/>
        <v>1.5521134184314065</v>
      </c>
      <c r="AP87" s="331">
        <f ca="1">IF($A87&gt;Endyr,0,VLOOKUP($A87,Tariff_Table,Tariff!$M$33))</f>
        <v>0.25</v>
      </c>
      <c r="AQ87" s="331">
        <f t="shared" ca="1" si="57"/>
        <v>1.8021134184314065</v>
      </c>
      <c r="AR87" s="331">
        <f t="shared" ca="1" si="58"/>
        <v>1.46</v>
      </c>
      <c r="AS87" s="1508">
        <f t="shared" ca="1" si="59"/>
        <v>1.2343242591995935</v>
      </c>
    </row>
    <row r="88" spans="1:45">
      <c r="A88" s="672">
        <f t="shared" si="34"/>
        <v>39264</v>
      </c>
      <c r="C88" s="1484">
        <f ca="1">IF($A88&gt;Endyr,0,VLOOKUP($A88,Tariff_Table,Tariff!$G$33))</f>
        <v>7433.43</v>
      </c>
      <c r="D88" s="1480">
        <f ca="1">VLOOKUP($A88,Curves_Table,Escalation!$V$291)</f>
        <v>1.3038965761068158</v>
      </c>
      <c r="E88" s="1483">
        <f t="shared" ca="1" si="35"/>
        <v>9692.4239257296886</v>
      </c>
      <c r="F88" s="1480">
        <f ca="1">IF(Assm!$L$74=0,VLOOKUP($A88,Curves_Table,Escalation!$D$291),VLOOKUP($A88,Curves_Table,Escalation!$E$291))</f>
        <v>2.4356136199963871</v>
      </c>
      <c r="G88" s="113">
        <f ca="1">IF($A88&lt;EE_Date,VLOOKUP($A88,Curves_Table,Escalation!$D$291),Exch)</f>
        <v>1.0649999999999999</v>
      </c>
      <c r="H88" s="1483">
        <f t="shared" ca="1" si="36"/>
        <v>22166.196924212283</v>
      </c>
      <c r="I88" s="330">
        <f ca="1">VLOOKUP($A88,Plant_Table,'Plant Operations'!$C$270)</f>
        <v>480</v>
      </c>
      <c r="J88" s="1481">
        <f t="shared" ca="1" si="37"/>
        <v>10639.774523621896</v>
      </c>
      <c r="K88" s="1480">
        <f t="shared" ca="1" si="38"/>
        <v>2.4356136199963871</v>
      </c>
      <c r="L88" s="384">
        <f t="shared" ca="1" si="39"/>
        <v>4368.4164172302826</v>
      </c>
      <c r="M88" s="692" t="str">
        <f t="shared" ca="1" si="30"/>
        <v xml:space="preserve"> </v>
      </c>
      <c r="O88" s="1482">
        <f ca="1">IF($A88&gt;Endyr,0,VLOOKUP($A88,Tariff_Table,Tariff!$H$33))</f>
        <v>6146.82</v>
      </c>
      <c r="P88" s="1480">
        <f t="shared" ca="1" si="40"/>
        <v>1.2343242591995935</v>
      </c>
      <c r="Q88" s="1481">
        <f t="shared" ca="1" si="41"/>
        <v>7587.1690429332448</v>
      </c>
      <c r="R88" s="1480">
        <f t="shared" ca="1" si="42"/>
        <v>2.4356136199963871</v>
      </c>
      <c r="S88" s="113">
        <f t="shared" ca="1" si="43"/>
        <v>1.0649999999999999</v>
      </c>
      <c r="T88" s="1481">
        <f t="shared" ca="1" si="44"/>
        <v>17351.560805805791</v>
      </c>
      <c r="U88" s="330">
        <f t="shared" ca="1" si="45"/>
        <v>480</v>
      </c>
      <c r="V88" s="1481">
        <f t="shared" ca="1" si="46"/>
        <v>8328.7491867867793</v>
      </c>
      <c r="W88" s="1480">
        <f t="shared" ca="1" si="47"/>
        <v>2.4356136199963871</v>
      </c>
      <c r="X88" s="384">
        <f t="shared" ca="1" si="48"/>
        <v>3419.5691461107585</v>
      </c>
      <c r="Y88" s="692" t="str">
        <f t="shared" ca="1" si="31"/>
        <v xml:space="preserve"> </v>
      </c>
      <c r="AA88" s="1484">
        <f ca="1">IF($A88&gt;Endyr,0,VLOOKUP($A88,Tariff_Table,Tariff!$I$33))</f>
        <v>2.3199999999999998</v>
      </c>
      <c r="AB88" s="1480">
        <f t="shared" ca="1" si="32"/>
        <v>1.2343242591995935</v>
      </c>
      <c r="AC88" s="1483">
        <f t="shared" ca="1" si="49"/>
        <v>2.8636322813430568</v>
      </c>
      <c r="AD88" s="1480">
        <f t="shared" ca="1" si="50"/>
        <v>2.4356136199963871</v>
      </c>
      <c r="AE88" s="113">
        <f t="shared" ca="1" si="51"/>
        <v>1.0649999999999999</v>
      </c>
      <c r="AF88" s="1483">
        <f t="shared" ca="1" si="52"/>
        <v>6.5490157625356575</v>
      </c>
      <c r="AG88" s="334">
        <f ca="1">VLOOKUP($A88,Plant_Table,'Plant Operations'!$M$270)</f>
        <v>298980.864</v>
      </c>
      <c r="AH88" s="1481">
        <f t="shared" ca="1" si="53"/>
        <v>1958.0303910325297</v>
      </c>
      <c r="AI88" s="1480">
        <f t="shared" ca="1" si="54"/>
        <v>2.4356136199963871</v>
      </c>
      <c r="AJ88" s="335">
        <f t="shared" ca="1" si="55"/>
        <v>803.91667009787625</v>
      </c>
      <c r="AK88" s="698" t="str">
        <f t="shared" ca="1" si="33"/>
        <v xml:space="preserve"> </v>
      </c>
      <c r="AM88" s="697">
        <f ca="1">IF($A88&gt;Endyr,0,VLOOKUP($A88,Tariff_Table,Tariff!$L$33))</f>
        <v>1.21</v>
      </c>
      <c r="AN88" s="1504">
        <f ca="1">VLOOKUP($A88,Curves_Table,Escalation!$Z$291)</f>
        <v>1.2827383623400055</v>
      </c>
      <c r="AO88" s="331">
        <f t="shared" ca="1" si="56"/>
        <v>1.5521134184314065</v>
      </c>
      <c r="AP88" s="331">
        <f ca="1">IF($A88&gt;Endyr,0,VLOOKUP($A88,Tariff_Table,Tariff!$M$33))</f>
        <v>0.25</v>
      </c>
      <c r="AQ88" s="331">
        <f t="shared" ca="1" si="57"/>
        <v>1.8021134184314065</v>
      </c>
      <c r="AR88" s="331">
        <f t="shared" ca="1" si="58"/>
        <v>1.46</v>
      </c>
      <c r="AS88" s="1508">
        <f t="shared" ca="1" si="59"/>
        <v>1.2343242591995935</v>
      </c>
    </row>
    <row r="89" spans="1:45">
      <c r="A89" s="672">
        <f t="shared" si="34"/>
        <v>39295</v>
      </c>
      <c r="C89" s="1484">
        <f ca="1">IF($A89&gt;Endyr,0,VLOOKUP($A89,Tariff_Table,Tariff!$G$33))</f>
        <v>7433.43</v>
      </c>
      <c r="D89" s="1480">
        <f ca="1">VLOOKUP($A89,Curves_Table,Escalation!$V$291)</f>
        <v>1.3038965761068158</v>
      </c>
      <c r="E89" s="1483">
        <f t="shared" ca="1" si="35"/>
        <v>9692.4239257296886</v>
      </c>
      <c r="F89" s="1480">
        <f ca="1">IF(Assm!$L$74=0,VLOOKUP($A89,Curves_Table,Escalation!$D$291),VLOOKUP($A89,Curves_Table,Escalation!$E$291))</f>
        <v>2.4410612698405219</v>
      </c>
      <c r="G89" s="113">
        <f ca="1">IF($A89&lt;EE_Date,VLOOKUP($A89,Curves_Table,Escalation!$D$291),Exch)</f>
        <v>1.0649999999999999</v>
      </c>
      <c r="H89" s="1483">
        <f t="shared" ca="1" si="36"/>
        <v>22215.775263825701</v>
      </c>
      <c r="I89" s="330">
        <f ca="1">VLOOKUP($A89,Plant_Table,'Plant Operations'!$C$270)</f>
        <v>480</v>
      </c>
      <c r="J89" s="1481">
        <f t="shared" ca="1" si="37"/>
        <v>10663.572126636336</v>
      </c>
      <c r="K89" s="1480">
        <f t="shared" ca="1" si="38"/>
        <v>2.4410612698405219</v>
      </c>
      <c r="L89" s="384">
        <f t="shared" ca="1" si="39"/>
        <v>4368.4164172302826</v>
      </c>
      <c r="M89" s="692" t="str">
        <f t="shared" ca="1" si="30"/>
        <v xml:space="preserve"> </v>
      </c>
      <c r="O89" s="1482">
        <f ca="1">IF($A89&gt;Endyr,0,VLOOKUP($A89,Tariff_Table,Tariff!$H$33))</f>
        <v>6146.82</v>
      </c>
      <c r="P89" s="1480">
        <f t="shared" ca="1" si="40"/>
        <v>1.2343242591995935</v>
      </c>
      <c r="Q89" s="1481">
        <f t="shared" ca="1" si="41"/>
        <v>7587.1690429332448</v>
      </c>
      <c r="R89" s="1480">
        <f t="shared" ca="1" si="42"/>
        <v>2.4410612698405219</v>
      </c>
      <c r="S89" s="113">
        <f t="shared" ca="1" si="43"/>
        <v>1.0649999999999999</v>
      </c>
      <c r="T89" s="1481">
        <f t="shared" ca="1" si="44"/>
        <v>17390.370421067913</v>
      </c>
      <c r="U89" s="330">
        <f t="shared" ca="1" si="45"/>
        <v>480</v>
      </c>
      <c r="V89" s="1481">
        <f t="shared" ca="1" si="46"/>
        <v>8347.3778021125981</v>
      </c>
      <c r="W89" s="1480">
        <f t="shared" ca="1" si="47"/>
        <v>2.4410612698405219</v>
      </c>
      <c r="X89" s="384">
        <f t="shared" ca="1" si="48"/>
        <v>3419.569146110759</v>
      </c>
      <c r="Y89" s="692" t="str">
        <f t="shared" ca="1" si="31"/>
        <v xml:space="preserve"> </v>
      </c>
      <c r="AA89" s="1484">
        <f ca="1">IF($A89&gt;Endyr,0,VLOOKUP($A89,Tariff_Table,Tariff!$I$33))</f>
        <v>2.3199999999999998</v>
      </c>
      <c r="AB89" s="1480">
        <f t="shared" ca="1" si="32"/>
        <v>1.2343242591995935</v>
      </c>
      <c r="AC89" s="1483">
        <f t="shared" ca="1" si="49"/>
        <v>2.8636322813430568</v>
      </c>
      <c r="AD89" s="1480">
        <f t="shared" ca="1" si="50"/>
        <v>2.4410612698405219</v>
      </c>
      <c r="AE89" s="113">
        <f t="shared" ca="1" si="51"/>
        <v>1.0649999999999999</v>
      </c>
      <c r="AF89" s="1483">
        <f t="shared" ca="1" si="52"/>
        <v>6.5636637117855336</v>
      </c>
      <c r="AG89" s="334">
        <f ca="1">VLOOKUP($A89,Plant_Table,'Plant Operations'!$M$270)</f>
        <v>298980.864</v>
      </c>
      <c r="AH89" s="1481">
        <f t="shared" ca="1" si="53"/>
        <v>1962.4098475550859</v>
      </c>
      <c r="AI89" s="1480">
        <f t="shared" ca="1" si="54"/>
        <v>2.4410612698405219</v>
      </c>
      <c r="AJ89" s="335">
        <f t="shared" ca="1" si="55"/>
        <v>803.91667009787636</v>
      </c>
      <c r="AK89" s="698" t="str">
        <f t="shared" ca="1" si="33"/>
        <v xml:space="preserve"> </v>
      </c>
      <c r="AM89" s="697">
        <f ca="1">IF($A89&gt;Endyr,0,VLOOKUP($A89,Tariff_Table,Tariff!$L$33))</f>
        <v>1.21</v>
      </c>
      <c r="AN89" s="1504">
        <f ca="1">VLOOKUP($A89,Curves_Table,Escalation!$Z$291)</f>
        <v>1.2827383623400055</v>
      </c>
      <c r="AO89" s="331">
        <f t="shared" ca="1" si="56"/>
        <v>1.5521134184314065</v>
      </c>
      <c r="AP89" s="331">
        <f ca="1">IF($A89&gt;Endyr,0,VLOOKUP($A89,Tariff_Table,Tariff!$M$33))</f>
        <v>0.25</v>
      </c>
      <c r="AQ89" s="331">
        <f t="shared" ca="1" si="57"/>
        <v>1.8021134184314065</v>
      </c>
      <c r="AR89" s="331">
        <f t="shared" ca="1" si="58"/>
        <v>1.46</v>
      </c>
      <c r="AS89" s="1508">
        <f t="shared" ca="1" si="59"/>
        <v>1.2343242591995935</v>
      </c>
    </row>
    <row r="90" spans="1:45">
      <c r="A90" s="672">
        <f t="shared" si="34"/>
        <v>39326</v>
      </c>
      <c r="C90" s="1484">
        <f ca="1">IF($A90&gt;Endyr,0,VLOOKUP($A90,Tariff_Table,Tariff!$G$33))</f>
        <v>7433.43</v>
      </c>
      <c r="D90" s="1480">
        <f ca="1">VLOOKUP($A90,Curves_Table,Escalation!$V$291)</f>
        <v>1.3038965761068158</v>
      </c>
      <c r="E90" s="1483">
        <f t="shared" ca="1" si="35"/>
        <v>9692.4239257296886</v>
      </c>
      <c r="F90" s="1480">
        <f ca="1">IF(Assm!$L$74=0,VLOOKUP($A90,Curves_Table,Escalation!$D$291),VLOOKUP($A90,Curves_Table,Escalation!$E$291))</f>
        <v>2.4465211042481605</v>
      </c>
      <c r="G90" s="113">
        <f ca="1">IF($A90&lt;EE_Date,VLOOKUP($A90,Curves_Table,Escalation!$D$291),Exch)</f>
        <v>1.0649999999999999</v>
      </c>
      <c r="H90" s="1483">
        <f t="shared" ca="1" si="36"/>
        <v>22265.464493537551</v>
      </c>
      <c r="I90" s="330">
        <f ca="1">VLOOKUP($A90,Plant_Table,'Plant Operations'!$C$270)</f>
        <v>480</v>
      </c>
      <c r="J90" s="1481">
        <f t="shared" ca="1" si="37"/>
        <v>10687.422956898024</v>
      </c>
      <c r="K90" s="1480">
        <f t="shared" ca="1" si="38"/>
        <v>2.4465211042481605</v>
      </c>
      <c r="L90" s="384">
        <f t="shared" ca="1" si="39"/>
        <v>4368.4164172302826</v>
      </c>
      <c r="M90" s="692" t="str">
        <f t="shared" ca="1" si="30"/>
        <v xml:space="preserve"> </v>
      </c>
      <c r="O90" s="1482">
        <f ca="1">IF($A90&gt;Endyr,0,VLOOKUP($A90,Tariff_Table,Tariff!$H$33))</f>
        <v>6146.82</v>
      </c>
      <c r="P90" s="1480">
        <f t="shared" ca="1" si="40"/>
        <v>1.2343242591995935</v>
      </c>
      <c r="Q90" s="1481">
        <f t="shared" ca="1" si="41"/>
        <v>7587.1690429332448</v>
      </c>
      <c r="R90" s="1480">
        <f t="shared" ca="1" si="42"/>
        <v>2.4465211042481605</v>
      </c>
      <c r="S90" s="113">
        <f t="shared" ca="1" si="43"/>
        <v>1.0649999999999999</v>
      </c>
      <c r="T90" s="1481">
        <f t="shared" ca="1" si="44"/>
        <v>17429.266840407985</v>
      </c>
      <c r="U90" s="330">
        <f t="shared" ca="1" si="45"/>
        <v>480</v>
      </c>
      <c r="V90" s="1481">
        <f t="shared" ca="1" si="46"/>
        <v>8366.0480833958336</v>
      </c>
      <c r="W90" s="1480">
        <f t="shared" ca="1" si="47"/>
        <v>2.4465211042481605</v>
      </c>
      <c r="X90" s="384">
        <f t="shared" ca="1" si="48"/>
        <v>3419.569146110759</v>
      </c>
      <c r="Y90" s="692" t="str">
        <f t="shared" ca="1" si="31"/>
        <v xml:space="preserve"> </v>
      </c>
      <c r="AA90" s="1484">
        <f ca="1">IF($A90&gt;Endyr,0,VLOOKUP($A90,Tariff_Table,Tariff!$I$33))</f>
        <v>2.3199999999999998</v>
      </c>
      <c r="AB90" s="1480">
        <f t="shared" ca="1" si="32"/>
        <v>1.2343242591995935</v>
      </c>
      <c r="AC90" s="1483">
        <f t="shared" ca="1" si="49"/>
        <v>2.8636322813430568</v>
      </c>
      <c r="AD90" s="1480">
        <f t="shared" ca="1" si="50"/>
        <v>2.4465211042481605</v>
      </c>
      <c r="AE90" s="113">
        <f t="shared" ca="1" si="51"/>
        <v>1.0649999999999999</v>
      </c>
      <c r="AF90" s="1483">
        <f t="shared" ca="1" si="52"/>
        <v>6.5783444235794315</v>
      </c>
      <c r="AG90" s="334">
        <f ca="1">VLOOKUP($A90,Plant_Table,'Plant Operations'!$M$270)</f>
        <v>289336.32000000001</v>
      </c>
      <c r="AH90" s="1481">
        <f t="shared" ca="1" si="53"/>
        <v>1903.3539672109939</v>
      </c>
      <c r="AI90" s="1480">
        <f t="shared" ca="1" si="54"/>
        <v>2.4465211042481605</v>
      </c>
      <c r="AJ90" s="335">
        <f t="shared" ca="1" si="55"/>
        <v>777.98387428826732</v>
      </c>
      <c r="AK90" s="698" t="str">
        <f t="shared" ca="1" si="33"/>
        <v xml:space="preserve"> </v>
      </c>
      <c r="AM90" s="697">
        <f ca="1">IF($A90&gt;Endyr,0,VLOOKUP($A90,Tariff_Table,Tariff!$L$33))</f>
        <v>1.21</v>
      </c>
      <c r="AN90" s="1504">
        <f ca="1">VLOOKUP($A90,Curves_Table,Escalation!$Z$291)</f>
        <v>1.2827383623400055</v>
      </c>
      <c r="AO90" s="331">
        <f t="shared" ca="1" si="56"/>
        <v>1.5521134184314065</v>
      </c>
      <c r="AP90" s="331">
        <f ca="1">IF($A90&gt;Endyr,0,VLOOKUP($A90,Tariff_Table,Tariff!$M$33))</f>
        <v>0.25</v>
      </c>
      <c r="AQ90" s="331">
        <f t="shared" ca="1" si="57"/>
        <v>1.8021134184314065</v>
      </c>
      <c r="AR90" s="331">
        <f t="shared" ca="1" si="58"/>
        <v>1.46</v>
      </c>
      <c r="AS90" s="1508">
        <f t="shared" ca="1" si="59"/>
        <v>1.2343242591995935</v>
      </c>
    </row>
    <row r="91" spans="1:45">
      <c r="A91" s="672">
        <f t="shared" si="34"/>
        <v>39356</v>
      </c>
      <c r="C91" s="1484">
        <f ca="1">IF($A91&gt;Endyr,0,VLOOKUP($A91,Tariff_Table,Tariff!$G$33))</f>
        <v>7433.43</v>
      </c>
      <c r="D91" s="1480">
        <f ca="1">VLOOKUP($A91,Curves_Table,Escalation!$V$291)</f>
        <v>1.3038965761068158</v>
      </c>
      <c r="E91" s="1483">
        <f t="shared" ca="1" si="35"/>
        <v>9692.4239257296886</v>
      </c>
      <c r="F91" s="1480">
        <f ca="1">IF(Assm!$L$74=0,VLOOKUP($A91,Curves_Table,Escalation!$D$291),VLOOKUP($A91,Curves_Table,Escalation!$E$291))</f>
        <v>2.4519931504720804</v>
      </c>
      <c r="G91" s="113">
        <f ca="1">IF($A91&lt;EE_Date,VLOOKUP($A91,Curves_Table,Escalation!$D$291),Exch)</f>
        <v>1.0649999999999999</v>
      </c>
      <c r="H91" s="1483">
        <f t="shared" ca="1" si="36"/>
        <v>22315.264861371747</v>
      </c>
      <c r="I91" s="330">
        <f ca="1">VLOOKUP($A91,Plant_Table,'Plant Operations'!$C$270)</f>
        <v>480</v>
      </c>
      <c r="J91" s="1481">
        <f t="shared" ca="1" si="37"/>
        <v>10711.327133458439</v>
      </c>
      <c r="K91" s="1480">
        <f t="shared" ca="1" si="38"/>
        <v>2.4519931504720804</v>
      </c>
      <c r="L91" s="384">
        <f t="shared" ca="1" si="39"/>
        <v>4368.4164172302826</v>
      </c>
      <c r="M91" s="692" t="str">
        <f t="shared" ca="1" si="30"/>
        <v xml:space="preserve"> </v>
      </c>
      <c r="O91" s="1482">
        <f ca="1">IF($A91&gt;Endyr,0,VLOOKUP($A91,Tariff_Table,Tariff!$H$33))</f>
        <v>6146.82</v>
      </c>
      <c r="P91" s="1480">
        <f t="shared" ca="1" si="40"/>
        <v>1.2343242591995935</v>
      </c>
      <c r="Q91" s="1481">
        <f t="shared" ca="1" si="41"/>
        <v>7587.1690429332448</v>
      </c>
      <c r="R91" s="1480">
        <f t="shared" ca="1" si="42"/>
        <v>2.4519931504720804</v>
      </c>
      <c r="S91" s="113">
        <f t="shared" ca="1" si="43"/>
        <v>1.0649999999999999</v>
      </c>
      <c r="T91" s="1481">
        <f t="shared" ca="1" si="44"/>
        <v>17468.250257977583</v>
      </c>
      <c r="U91" s="330">
        <f t="shared" ca="1" si="45"/>
        <v>480</v>
      </c>
      <c r="V91" s="1481">
        <f t="shared" ca="1" si="46"/>
        <v>8384.7601238292391</v>
      </c>
      <c r="W91" s="1480">
        <f t="shared" ca="1" si="47"/>
        <v>2.4519931504720804</v>
      </c>
      <c r="X91" s="384">
        <f t="shared" ca="1" si="48"/>
        <v>3419.5691461107576</v>
      </c>
      <c r="Y91" s="692" t="str">
        <f t="shared" ca="1" si="31"/>
        <v xml:space="preserve"> </v>
      </c>
      <c r="AA91" s="1484">
        <f ca="1">IF($A91&gt;Endyr,0,VLOOKUP($A91,Tariff_Table,Tariff!$I$33))</f>
        <v>2.3199999999999998</v>
      </c>
      <c r="AB91" s="1480">
        <f t="shared" ca="1" si="32"/>
        <v>1.2343242591995935</v>
      </c>
      <c r="AC91" s="1483">
        <f t="shared" ca="1" si="49"/>
        <v>2.8636322813430568</v>
      </c>
      <c r="AD91" s="1480">
        <f t="shared" ca="1" si="50"/>
        <v>2.4519931504720804</v>
      </c>
      <c r="AE91" s="113">
        <f t="shared" ca="1" si="51"/>
        <v>1.0649999999999999</v>
      </c>
      <c r="AF91" s="1483">
        <f t="shared" ca="1" si="52"/>
        <v>6.5930579711961625</v>
      </c>
      <c r="AG91" s="334">
        <f ca="1">VLOOKUP($A91,Plant_Table,'Plant Operations'!$M$270)</f>
        <v>298980.864</v>
      </c>
      <c r="AH91" s="1481">
        <f t="shared" ca="1" si="53"/>
        <v>1971.1981686303156</v>
      </c>
      <c r="AI91" s="1480">
        <f t="shared" ca="1" si="54"/>
        <v>2.4519931504720804</v>
      </c>
      <c r="AJ91" s="335">
        <f t="shared" ca="1" si="55"/>
        <v>803.91667009787625</v>
      </c>
      <c r="AK91" s="698" t="str">
        <f t="shared" ca="1" si="33"/>
        <v xml:space="preserve"> </v>
      </c>
      <c r="AM91" s="697">
        <f ca="1">IF($A91&gt;Endyr,0,VLOOKUP($A91,Tariff_Table,Tariff!$L$33))</f>
        <v>1.21</v>
      </c>
      <c r="AN91" s="1504">
        <f ca="1">VLOOKUP($A91,Curves_Table,Escalation!$Z$291)</f>
        <v>1.2827383623400055</v>
      </c>
      <c r="AO91" s="331">
        <f t="shared" ca="1" si="56"/>
        <v>1.5521134184314065</v>
      </c>
      <c r="AP91" s="331">
        <f ca="1">IF($A91&gt;Endyr,0,VLOOKUP($A91,Tariff_Table,Tariff!$M$33))</f>
        <v>0.25</v>
      </c>
      <c r="AQ91" s="331">
        <f t="shared" ca="1" si="57"/>
        <v>1.8021134184314065</v>
      </c>
      <c r="AR91" s="331">
        <f t="shared" ca="1" si="58"/>
        <v>1.46</v>
      </c>
      <c r="AS91" s="1508">
        <f t="shared" ca="1" si="59"/>
        <v>1.2343242591995935</v>
      </c>
    </row>
    <row r="92" spans="1:45">
      <c r="A92" s="672">
        <f t="shared" si="34"/>
        <v>39387</v>
      </c>
      <c r="C92" s="1484">
        <f ca="1">IF($A92&gt;Endyr,0,VLOOKUP($A92,Tariff_Table,Tariff!$G$33))</f>
        <v>7433.43</v>
      </c>
      <c r="D92" s="1480">
        <f ca="1">VLOOKUP($A92,Curves_Table,Escalation!$V$291)</f>
        <v>1.3038965761068158</v>
      </c>
      <c r="E92" s="1483">
        <f t="shared" ca="1" si="35"/>
        <v>9692.4239257296886</v>
      </c>
      <c r="F92" s="1480">
        <f ca="1">IF(Assm!$L$74=0,VLOOKUP($A92,Curves_Table,Escalation!$D$291),VLOOKUP($A92,Curves_Table,Escalation!$E$291))</f>
        <v>2.4574774358260143</v>
      </c>
      <c r="G92" s="113">
        <f ca="1">IF($A92&lt;EE_Date,VLOOKUP($A92,Curves_Table,Escalation!$D$291),Exch)</f>
        <v>1.0649999999999999</v>
      </c>
      <c r="H92" s="1483">
        <f t="shared" ca="1" si="36"/>
        <v>22365.176615906956</v>
      </c>
      <c r="I92" s="330">
        <f ca="1">VLOOKUP($A92,Plant_Table,'Plant Operations'!$C$270)</f>
        <v>480</v>
      </c>
      <c r="J92" s="1481">
        <f t="shared" ca="1" si="37"/>
        <v>10735.284775635339</v>
      </c>
      <c r="K92" s="1480">
        <f t="shared" ca="1" si="38"/>
        <v>2.4574774358260143</v>
      </c>
      <c r="L92" s="384">
        <f t="shared" ca="1" si="39"/>
        <v>4368.4164172302826</v>
      </c>
      <c r="M92" s="692" t="str">
        <f t="shared" ca="1" si="30"/>
        <v xml:space="preserve"> </v>
      </c>
      <c r="O92" s="1482">
        <f ca="1">IF($A92&gt;Endyr,0,VLOOKUP($A92,Tariff_Table,Tariff!$H$33))</f>
        <v>6146.82</v>
      </c>
      <c r="P92" s="1480">
        <f t="shared" ca="1" si="40"/>
        <v>1.2343242591995935</v>
      </c>
      <c r="Q92" s="1481">
        <f t="shared" ca="1" si="41"/>
        <v>7587.1690429332448</v>
      </c>
      <c r="R92" s="1480">
        <f t="shared" ca="1" si="42"/>
        <v>2.4574774358260143</v>
      </c>
      <c r="S92" s="113">
        <f t="shared" ca="1" si="43"/>
        <v>1.0649999999999999</v>
      </c>
      <c r="T92" s="1481">
        <f t="shared" ca="1" si="44"/>
        <v>17507.320868362542</v>
      </c>
      <c r="U92" s="330">
        <f t="shared" ca="1" si="45"/>
        <v>480</v>
      </c>
      <c r="V92" s="1481">
        <f t="shared" ca="1" si="46"/>
        <v>8403.5140168140188</v>
      </c>
      <c r="W92" s="1480">
        <f t="shared" ca="1" si="47"/>
        <v>2.4574774358260143</v>
      </c>
      <c r="X92" s="384">
        <f t="shared" ca="1" si="48"/>
        <v>3419.5691461107581</v>
      </c>
      <c r="Y92" s="692" t="str">
        <f t="shared" ca="1" si="31"/>
        <v xml:space="preserve"> </v>
      </c>
      <c r="AA92" s="1484">
        <f ca="1">IF($A92&gt;Endyr,0,VLOOKUP($A92,Tariff_Table,Tariff!$I$33))</f>
        <v>2.3199999999999998</v>
      </c>
      <c r="AB92" s="1480">
        <f t="shared" ca="1" si="32"/>
        <v>1.2343242591995935</v>
      </c>
      <c r="AC92" s="1483">
        <f t="shared" ca="1" si="49"/>
        <v>2.8636322813430568</v>
      </c>
      <c r="AD92" s="1480">
        <f t="shared" ca="1" si="50"/>
        <v>2.4574774358260143</v>
      </c>
      <c r="AE92" s="113">
        <f t="shared" ca="1" si="51"/>
        <v>1.0649999999999999</v>
      </c>
      <c r="AF92" s="1483">
        <f t="shared" ca="1" si="52"/>
        <v>6.6078044280784365</v>
      </c>
      <c r="AG92" s="334">
        <f ca="1">VLOOKUP($A92,Plant_Table,'Plant Operations'!$M$270)</f>
        <v>289336.32000000001</v>
      </c>
      <c r="AH92" s="1481">
        <f t="shared" ca="1" si="53"/>
        <v>1911.8778164999196</v>
      </c>
      <c r="AI92" s="1480">
        <f t="shared" ca="1" si="54"/>
        <v>2.4574774358260143</v>
      </c>
      <c r="AJ92" s="335">
        <f t="shared" ca="1" si="55"/>
        <v>777.98387428826743</v>
      </c>
      <c r="AK92" s="698" t="str">
        <f t="shared" ca="1" si="33"/>
        <v xml:space="preserve"> </v>
      </c>
      <c r="AM92" s="697">
        <f ca="1">IF($A92&gt;Endyr,0,VLOOKUP($A92,Tariff_Table,Tariff!$L$33))</f>
        <v>1.21</v>
      </c>
      <c r="AN92" s="1504">
        <f ca="1">VLOOKUP($A92,Curves_Table,Escalation!$Z$291)</f>
        <v>1.2827383623400055</v>
      </c>
      <c r="AO92" s="331">
        <f t="shared" ca="1" si="56"/>
        <v>1.5521134184314065</v>
      </c>
      <c r="AP92" s="331">
        <f ca="1">IF($A92&gt;Endyr,0,VLOOKUP($A92,Tariff_Table,Tariff!$M$33))</f>
        <v>0.25</v>
      </c>
      <c r="AQ92" s="331">
        <f t="shared" ca="1" si="57"/>
        <v>1.8021134184314065</v>
      </c>
      <c r="AR92" s="331">
        <f t="shared" ca="1" si="58"/>
        <v>1.46</v>
      </c>
      <c r="AS92" s="1508">
        <f t="shared" ca="1" si="59"/>
        <v>1.2343242591995935</v>
      </c>
    </row>
    <row r="93" spans="1:45">
      <c r="A93" s="672">
        <f t="shared" si="34"/>
        <v>39417</v>
      </c>
      <c r="C93" s="1484">
        <f ca="1">IF($A93&gt;Endyr,0,VLOOKUP($A93,Tariff_Table,Tariff!$G$33))</f>
        <v>7433.43</v>
      </c>
      <c r="D93" s="1480">
        <f ca="1">VLOOKUP($A93,Curves_Table,Escalation!$V$291)</f>
        <v>1.3038965761068158</v>
      </c>
      <c r="E93" s="1483">
        <f t="shared" ca="1" si="35"/>
        <v>9692.4239257296886</v>
      </c>
      <c r="F93" s="1480">
        <f ca="1">IF(Assm!$L$74=0,VLOOKUP($A93,Curves_Table,Escalation!$D$291),VLOOKUP($A93,Curves_Table,Escalation!$E$291))</f>
        <v>2.4629739876847867</v>
      </c>
      <c r="G93" s="113">
        <f ca="1">IF($A93&lt;EE_Date,VLOOKUP($A93,Curves_Table,Escalation!$D$291),Exch)</f>
        <v>1.0649999999999999</v>
      </c>
      <c r="H93" s="1483">
        <f t="shared" ca="1" si="36"/>
        <v>22415.200006277828</v>
      </c>
      <c r="I93" s="330">
        <f ca="1">VLOOKUP($A93,Plant_Table,'Plant Operations'!$C$270)</f>
        <v>480</v>
      </c>
      <c r="J93" s="1481">
        <f t="shared" ca="1" si="37"/>
        <v>10759.296003013358</v>
      </c>
      <c r="K93" s="1480">
        <f t="shared" ca="1" si="38"/>
        <v>2.4629739876847867</v>
      </c>
      <c r="L93" s="384">
        <f t="shared" ca="1" si="39"/>
        <v>4368.4164172302826</v>
      </c>
      <c r="M93" s="692">
        <f t="shared" ca="1" si="30"/>
        <v>51946.750589898023</v>
      </c>
      <c r="O93" s="1482">
        <f ca="1">IF($A93&gt;Endyr,0,VLOOKUP($A93,Tariff_Table,Tariff!$H$33))</f>
        <v>6146.82</v>
      </c>
      <c r="P93" s="1480">
        <f t="shared" ca="1" si="40"/>
        <v>1.2343242591995935</v>
      </c>
      <c r="Q93" s="1481">
        <f t="shared" ca="1" si="41"/>
        <v>7587.1690429332448</v>
      </c>
      <c r="R93" s="1480">
        <f t="shared" ca="1" si="42"/>
        <v>2.4629739876847867</v>
      </c>
      <c r="S93" s="113">
        <f t="shared" ca="1" si="43"/>
        <v>1.0649999999999999</v>
      </c>
      <c r="T93" s="1481">
        <f t="shared" ca="1" si="44"/>
        <v>17546.478866583908</v>
      </c>
      <c r="U93" s="330">
        <f t="shared" ca="1" si="45"/>
        <v>480</v>
      </c>
      <c r="V93" s="1481">
        <f t="shared" ca="1" si="46"/>
        <v>8422.3098559602768</v>
      </c>
      <c r="W93" s="1480">
        <f t="shared" ca="1" si="47"/>
        <v>2.4629739876847867</v>
      </c>
      <c r="X93" s="384">
        <f t="shared" ca="1" si="48"/>
        <v>3419.569146110759</v>
      </c>
      <c r="Y93" s="692">
        <f t="shared" ca="1" si="31"/>
        <v>40720.715948416844</v>
      </c>
      <c r="AA93" s="1484">
        <f ca="1">IF($A93&gt;Endyr,0,VLOOKUP($A93,Tariff_Table,Tariff!$I$33))</f>
        <v>2.3199999999999998</v>
      </c>
      <c r="AB93" s="1480">
        <f t="shared" ca="1" si="32"/>
        <v>1.2343242591995935</v>
      </c>
      <c r="AC93" s="1483">
        <f t="shared" ca="1" si="49"/>
        <v>2.8636322813430568</v>
      </c>
      <c r="AD93" s="1480">
        <f t="shared" ca="1" si="50"/>
        <v>2.4629739876847867</v>
      </c>
      <c r="AE93" s="113">
        <f t="shared" ca="1" si="51"/>
        <v>1.0649999999999999</v>
      </c>
      <c r="AF93" s="1483">
        <f t="shared" ca="1" si="52"/>
        <v>6.6225838678332316</v>
      </c>
      <c r="AG93" s="334">
        <f ca="1">VLOOKUP($A93,Plant_Table,'Plant Operations'!$M$270)</f>
        <v>298980.864</v>
      </c>
      <c r="AH93" s="1481">
        <f t="shared" ca="1" si="53"/>
        <v>1980.0258467172414</v>
      </c>
      <c r="AI93" s="1480">
        <f t="shared" ca="1" si="54"/>
        <v>2.4629739876847867</v>
      </c>
      <c r="AJ93" s="335">
        <f t="shared" ca="1" si="55"/>
        <v>803.91667009787625</v>
      </c>
      <c r="AK93" s="698">
        <f t="shared" ca="1" si="33"/>
        <v>9387.3618744129744</v>
      </c>
      <c r="AM93" s="697">
        <f ca="1">IF($A93&gt;Endyr,0,VLOOKUP($A93,Tariff_Table,Tariff!$L$33))</f>
        <v>1.21</v>
      </c>
      <c r="AN93" s="1504">
        <f ca="1">VLOOKUP($A93,Curves_Table,Escalation!$Z$291)</f>
        <v>1.2827383623400055</v>
      </c>
      <c r="AO93" s="331">
        <f t="shared" ca="1" si="56"/>
        <v>1.5521134184314065</v>
      </c>
      <c r="AP93" s="331">
        <f ca="1">IF($A93&gt;Endyr,0,VLOOKUP($A93,Tariff_Table,Tariff!$M$33))</f>
        <v>0.25</v>
      </c>
      <c r="AQ93" s="331">
        <f t="shared" ca="1" si="57"/>
        <v>1.8021134184314065</v>
      </c>
      <c r="AR93" s="331">
        <f t="shared" ca="1" si="58"/>
        <v>1.46</v>
      </c>
      <c r="AS93" s="1508">
        <f t="shared" ca="1" si="59"/>
        <v>1.2343242591995935</v>
      </c>
    </row>
    <row r="94" spans="1:45">
      <c r="A94" s="672">
        <f t="shared" si="34"/>
        <v>39448</v>
      </c>
      <c r="C94" s="1484">
        <f ca="1">IF($A94&gt;Endyr,0,VLOOKUP($A94,Tariff_Table,Tariff!$G$33))</f>
        <v>7433.43</v>
      </c>
      <c r="D94" s="1480">
        <f ca="1">VLOOKUP($A94,Curves_Table,Escalation!$V$291)</f>
        <v>1.3038965761068158</v>
      </c>
      <c r="E94" s="1483">
        <f t="shared" ca="1" si="35"/>
        <v>9692.4239257296886</v>
      </c>
      <c r="F94" s="1480">
        <f ca="1">IF(Assm!$L$74=0,VLOOKUP($A94,Curves_Table,Escalation!$D$291),VLOOKUP($A94,Curves_Table,Escalation!$E$291))</f>
        <v>2.4681826378384035</v>
      </c>
      <c r="G94" s="113">
        <f ca="1">IF($A94&lt;EE_Date,VLOOKUP($A94,Curves_Table,Escalation!$D$291),Exch)</f>
        <v>1.0649999999999999</v>
      </c>
      <c r="H94" s="1483">
        <f t="shared" ca="1" si="36"/>
        <v>22462.603241366724</v>
      </c>
      <c r="I94" s="330">
        <f ca="1">VLOOKUP($A94,Plant_Table,'Plant Operations'!$C$270)</f>
        <v>480</v>
      </c>
      <c r="J94" s="1481">
        <f t="shared" ca="1" si="37"/>
        <v>10782.049555856027</v>
      </c>
      <c r="K94" s="1480">
        <f t="shared" ca="1" si="38"/>
        <v>2.4681826378384035</v>
      </c>
      <c r="L94" s="384">
        <f t="shared" ca="1" si="39"/>
        <v>4368.4164172302826</v>
      </c>
      <c r="M94" s="692" t="str">
        <f t="shared" ca="1" si="30"/>
        <v xml:space="preserve"> </v>
      </c>
      <c r="O94" s="1482">
        <f ca="1">IF($A94&gt;Endyr,0,VLOOKUP($A94,Tariff_Table,Tariff!$H$33))</f>
        <v>6146.82</v>
      </c>
      <c r="P94" s="1480">
        <f t="shared" ca="1" si="40"/>
        <v>1.2343242591995935</v>
      </c>
      <c r="Q94" s="1481">
        <f t="shared" ca="1" si="41"/>
        <v>7587.1690429332448</v>
      </c>
      <c r="R94" s="1480">
        <f t="shared" ca="1" si="42"/>
        <v>2.4681826378384035</v>
      </c>
      <c r="S94" s="113">
        <f t="shared" ca="1" si="43"/>
        <v>1.0649999999999999</v>
      </c>
      <c r="T94" s="1481">
        <f t="shared" ca="1" si="44"/>
        <v>17583.585823580142</v>
      </c>
      <c r="U94" s="330">
        <f t="shared" ca="1" si="45"/>
        <v>480</v>
      </c>
      <c r="V94" s="1481">
        <f t="shared" ca="1" si="46"/>
        <v>8440.1211953184684</v>
      </c>
      <c r="W94" s="1480">
        <f t="shared" ca="1" si="47"/>
        <v>2.4681826378384035</v>
      </c>
      <c r="X94" s="384">
        <f t="shared" ca="1" si="48"/>
        <v>3419.5691461107581</v>
      </c>
      <c r="Y94" s="692" t="str">
        <f t="shared" ca="1" si="31"/>
        <v xml:space="preserve"> </v>
      </c>
      <c r="AA94" s="1484">
        <f ca="1">IF($A94&gt;Endyr,0,VLOOKUP($A94,Tariff_Table,Tariff!$I$33))</f>
        <v>2.3199999999999998</v>
      </c>
      <c r="AB94" s="1480">
        <f t="shared" ca="1" si="32"/>
        <v>1.2343242591995935</v>
      </c>
      <c r="AC94" s="1483">
        <f t="shared" ca="1" si="49"/>
        <v>2.8636322813430568</v>
      </c>
      <c r="AD94" s="1480">
        <f t="shared" ca="1" si="50"/>
        <v>2.4681826378384035</v>
      </c>
      <c r="AE94" s="113">
        <f t="shared" ca="1" si="51"/>
        <v>1.0649999999999999</v>
      </c>
      <c r="AF94" s="1483">
        <f t="shared" ca="1" si="52"/>
        <v>6.6365891811873343</v>
      </c>
      <c r="AG94" s="334">
        <f ca="1">VLOOKUP($A94,Plant_Table,'Plant Operations'!$M$270)</f>
        <v>298980.864</v>
      </c>
      <c r="AH94" s="1481">
        <f t="shared" ca="1" si="53"/>
        <v>1984.2131674044419</v>
      </c>
      <c r="AI94" s="1480">
        <f t="shared" ca="1" si="54"/>
        <v>2.4681826378384035</v>
      </c>
      <c r="AJ94" s="335">
        <f t="shared" ca="1" si="55"/>
        <v>803.91667009787625</v>
      </c>
      <c r="AK94" s="698" t="str">
        <f t="shared" ca="1" si="33"/>
        <v xml:space="preserve"> </v>
      </c>
      <c r="AM94" s="697">
        <f ca="1">IF($A94&gt;Endyr,0,VLOOKUP($A94,Tariff_Table,Tariff!$L$33))</f>
        <v>1.21</v>
      </c>
      <c r="AN94" s="1504">
        <f ca="1">VLOOKUP($A94,Curves_Table,Escalation!$Z$291)</f>
        <v>1.2827383623400055</v>
      </c>
      <c r="AO94" s="331">
        <f t="shared" ca="1" si="56"/>
        <v>1.5521134184314065</v>
      </c>
      <c r="AP94" s="331">
        <f ca="1">IF($A94&gt;Endyr,0,VLOOKUP($A94,Tariff_Table,Tariff!$M$33))</f>
        <v>0.25</v>
      </c>
      <c r="AQ94" s="331">
        <f t="shared" ca="1" si="57"/>
        <v>1.8021134184314065</v>
      </c>
      <c r="AR94" s="331">
        <f t="shared" ca="1" si="58"/>
        <v>1.46</v>
      </c>
      <c r="AS94" s="1508">
        <f t="shared" ca="1" si="59"/>
        <v>1.2343242591995935</v>
      </c>
    </row>
    <row r="95" spans="1:45">
      <c r="A95" s="672">
        <f t="shared" si="34"/>
        <v>39479</v>
      </c>
      <c r="C95" s="1484">
        <f ca="1">IF($A95&gt;Endyr,0,VLOOKUP($A95,Tariff_Table,Tariff!$G$33))</f>
        <v>7433.43</v>
      </c>
      <c r="D95" s="1480">
        <f ca="1">VLOOKUP($A95,Curves_Table,Escalation!$V$291)</f>
        <v>1.3038965761068158</v>
      </c>
      <c r="E95" s="1483">
        <f t="shared" ca="1" si="35"/>
        <v>9692.4239257296886</v>
      </c>
      <c r="F95" s="1480">
        <f ca="1">IF(Assm!$L$74=0,VLOOKUP($A95,Curves_Table,Escalation!$D$291),VLOOKUP($A95,Curves_Table,Escalation!$E$291))</f>
        <v>2.4734023031454724</v>
      </c>
      <c r="G95" s="113">
        <f ca="1">IF($A95&lt;EE_Date,VLOOKUP($A95,Curves_Table,Escalation!$D$291),Exch)</f>
        <v>1.0649999999999999</v>
      </c>
      <c r="H95" s="1483">
        <f t="shared" ca="1" si="36"/>
        <v>22510.106723908069</v>
      </c>
      <c r="I95" s="330">
        <f ca="1">VLOOKUP($A95,Plant_Table,'Plant Operations'!$C$270)</f>
        <v>480</v>
      </c>
      <c r="J95" s="1481">
        <f t="shared" ca="1" si="37"/>
        <v>10804.851227475874</v>
      </c>
      <c r="K95" s="1480">
        <f t="shared" ca="1" si="38"/>
        <v>2.4734023031454724</v>
      </c>
      <c r="L95" s="384">
        <f t="shared" ca="1" si="39"/>
        <v>4368.4164172302826</v>
      </c>
      <c r="M95" s="692" t="str">
        <f t="shared" ca="1" si="30"/>
        <v xml:space="preserve"> </v>
      </c>
      <c r="O95" s="1482">
        <f ca="1">IF($A95&gt;Endyr,0,VLOOKUP($A95,Tariff_Table,Tariff!$H$33))</f>
        <v>6146.82</v>
      </c>
      <c r="P95" s="1480">
        <f t="shared" ca="1" si="40"/>
        <v>1.2343242591995935</v>
      </c>
      <c r="Q95" s="1481">
        <f t="shared" ca="1" si="41"/>
        <v>7587.1690429332448</v>
      </c>
      <c r="R95" s="1480">
        <f t="shared" ca="1" si="42"/>
        <v>2.4734023031454724</v>
      </c>
      <c r="S95" s="113">
        <f t="shared" ca="1" si="43"/>
        <v>1.0649999999999999</v>
      </c>
      <c r="T95" s="1481">
        <f t="shared" ca="1" si="44"/>
        <v>17620.771253657389</v>
      </c>
      <c r="U95" s="330">
        <f t="shared" ca="1" si="45"/>
        <v>480</v>
      </c>
      <c r="V95" s="1481">
        <f t="shared" ca="1" si="46"/>
        <v>8457.9702017555464</v>
      </c>
      <c r="W95" s="1480">
        <f t="shared" ca="1" si="47"/>
        <v>2.4734023031454724</v>
      </c>
      <c r="X95" s="384">
        <f t="shared" ca="1" si="48"/>
        <v>3419.5691461107585</v>
      </c>
      <c r="Y95" s="692" t="str">
        <f t="shared" ca="1" si="31"/>
        <v xml:space="preserve"> </v>
      </c>
      <c r="AA95" s="1484">
        <f ca="1">IF($A95&gt;Endyr,0,VLOOKUP($A95,Tariff_Table,Tariff!$I$33))</f>
        <v>2.3199999999999998</v>
      </c>
      <c r="AB95" s="1480">
        <f t="shared" ca="1" si="32"/>
        <v>1.2343242591995935</v>
      </c>
      <c r="AC95" s="1483">
        <f t="shared" ca="1" si="49"/>
        <v>2.8636322813430568</v>
      </c>
      <c r="AD95" s="1480">
        <f t="shared" ca="1" si="50"/>
        <v>2.4734023031454724</v>
      </c>
      <c r="AE95" s="113">
        <f t="shared" ca="1" si="51"/>
        <v>1.0649999999999999</v>
      </c>
      <c r="AF95" s="1483">
        <f t="shared" ca="1" si="52"/>
        <v>6.6506241127095214</v>
      </c>
      <c r="AG95" s="334">
        <f ca="1">VLOOKUP($A95,Plant_Table,'Plant Operations'!$M$270)</f>
        <v>279691.77600000001</v>
      </c>
      <c r="AH95" s="1481">
        <f t="shared" ca="1" si="53"/>
        <v>1860.1248695921502</v>
      </c>
      <c r="AI95" s="1480">
        <f t="shared" ca="1" si="54"/>
        <v>2.4734023031454724</v>
      </c>
      <c r="AJ95" s="335">
        <f t="shared" ca="1" si="55"/>
        <v>752.05107847865838</v>
      </c>
      <c r="AK95" s="698" t="str">
        <f t="shared" ca="1" si="33"/>
        <v xml:space="preserve"> </v>
      </c>
      <c r="AM95" s="697">
        <f ca="1">IF($A95&gt;Endyr,0,VLOOKUP($A95,Tariff_Table,Tariff!$L$33))</f>
        <v>1.21</v>
      </c>
      <c r="AN95" s="1504">
        <f ca="1">VLOOKUP($A95,Curves_Table,Escalation!$Z$291)</f>
        <v>1.2827383623400055</v>
      </c>
      <c r="AO95" s="331">
        <f t="shared" ca="1" si="56"/>
        <v>1.5521134184314065</v>
      </c>
      <c r="AP95" s="331">
        <f ca="1">IF($A95&gt;Endyr,0,VLOOKUP($A95,Tariff_Table,Tariff!$M$33))</f>
        <v>0.25</v>
      </c>
      <c r="AQ95" s="331">
        <f t="shared" ca="1" si="57"/>
        <v>1.8021134184314065</v>
      </c>
      <c r="AR95" s="331">
        <f t="shared" ca="1" si="58"/>
        <v>1.46</v>
      </c>
      <c r="AS95" s="1508">
        <f t="shared" ca="1" si="59"/>
        <v>1.2343242591995935</v>
      </c>
    </row>
    <row r="96" spans="1:45">
      <c r="A96" s="672">
        <f t="shared" si="34"/>
        <v>39508</v>
      </c>
      <c r="C96" s="1484">
        <f ca="1">IF($A96&gt;Endyr,0,VLOOKUP($A96,Tariff_Table,Tariff!$G$33))</f>
        <v>7433.43</v>
      </c>
      <c r="D96" s="1480">
        <f ca="1">VLOOKUP($A96,Curves_Table,Escalation!$V$291)</f>
        <v>1.3038965761068158</v>
      </c>
      <c r="E96" s="1483">
        <f t="shared" ca="1" si="35"/>
        <v>9692.4239257296886</v>
      </c>
      <c r="F96" s="1480">
        <f ca="1">IF(Assm!$L$74=0,VLOOKUP($A96,Curves_Table,Escalation!$D$291),VLOOKUP($A96,Curves_Table,Escalation!$E$291))</f>
        <v>2.4786330069006288</v>
      </c>
      <c r="G96" s="113">
        <f ca="1">IF($A96&lt;EE_Date,VLOOKUP($A96,Curves_Table,Escalation!$D$291),Exch)</f>
        <v>1.0649999999999999</v>
      </c>
      <c r="H96" s="1483">
        <f t="shared" ca="1" si="36"/>
        <v>22557.710665903265</v>
      </c>
      <c r="I96" s="330">
        <f ca="1">VLOOKUP($A96,Plant_Table,'Plant Operations'!$C$270)</f>
        <v>480</v>
      </c>
      <c r="J96" s="1481">
        <f t="shared" ca="1" si="37"/>
        <v>10827.701119633566</v>
      </c>
      <c r="K96" s="1480">
        <f t="shared" ca="1" si="38"/>
        <v>2.4786330069006288</v>
      </c>
      <c r="L96" s="384">
        <f t="shared" ca="1" si="39"/>
        <v>4368.4164172302817</v>
      </c>
      <c r="M96" s="692" t="str">
        <f t="shared" ca="1" si="30"/>
        <v xml:space="preserve"> </v>
      </c>
      <c r="O96" s="1482">
        <f ca="1">IF($A96&gt;Endyr,0,VLOOKUP($A96,Tariff_Table,Tariff!$H$33))</f>
        <v>6146.82</v>
      </c>
      <c r="P96" s="1480">
        <f t="shared" ca="1" si="40"/>
        <v>1.2343242591995935</v>
      </c>
      <c r="Q96" s="1481">
        <f t="shared" ca="1" si="41"/>
        <v>7587.1690429332448</v>
      </c>
      <c r="R96" s="1480">
        <f t="shared" ca="1" si="42"/>
        <v>2.4786330069006288</v>
      </c>
      <c r="S96" s="113">
        <f t="shared" ca="1" si="43"/>
        <v>1.0649999999999999</v>
      </c>
      <c r="T96" s="1481">
        <f t="shared" ca="1" si="44"/>
        <v>17658.03532276901</v>
      </c>
      <c r="U96" s="330">
        <f t="shared" ca="1" si="45"/>
        <v>480</v>
      </c>
      <c r="V96" s="1481">
        <f t="shared" ca="1" si="46"/>
        <v>8475.8569549291242</v>
      </c>
      <c r="W96" s="1480">
        <f t="shared" ca="1" si="47"/>
        <v>2.4786330069006288</v>
      </c>
      <c r="X96" s="384">
        <f t="shared" ca="1" si="48"/>
        <v>3419.5691461107581</v>
      </c>
      <c r="Y96" s="692" t="str">
        <f t="shared" ca="1" si="31"/>
        <v xml:space="preserve"> </v>
      </c>
      <c r="AA96" s="1484">
        <f ca="1">IF($A96&gt;Endyr,0,VLOOKUP($A96,Tariff_Table,Tariff!$I$33))</f>
        <v>2.3199999999999998</v>
      </c>
      <c r="AB96" s="1480">
        <f t="shared" ca="1" si="32"/>
        <v>1.2343242591995935</v>
      </c>
      <c r="AC96" s="1483">
        <f t="shared" ca="1" si="49"/>
        <v>2.8636322813430568</v>
      </c>
      <c r="AD96" s="1480">
        <f t="shared" ca="1" si="50"/>
        <v>2.4786330069006288</v>
      </c>
      <c r="AE96" s="113">
        <f t="shared" ca="1" si="51"/>
        <v>1.0649999999999999</v>
      </c>
      <c r="AF96" s="1483">
        <f t="shared" ca="1" si="52"/>
        <v>6.6646887250357265</v>
      </c>
      <c r="AG96" s="334">
        <f ca="1">VLOOKUP($A96,Plant_Table,'Plant Operations'!$M$270)</f>
        <v>298980.864</v>
      </c>
      <c r="AH96" s="1481">
        <f t="shared" ca="1" si="53"/>
        <v>1992.6143933022399</v>
      </c>
      <c r="AI96" s="1480">
        <f t="shared" ca="1" si="54"/>
        <v>2.4786330069006288</v>
      </c>
      <c r="AJ96" s="335">
        <f t="shared" ca="1" si="55"/>
        <v>803.91667009787625</v>
      </c>
      <c r="AK96" s="698" t="str">
        <f t="shared" ca="1" si="33"/>
        <v xml:space="preserve"> </v>
      </c>
      <c r="AM96" s="697">
        <f ca="1">IF($A96&gt;Endyr,0,VLOOKUP($A96,Tariff_Table,Tariff!$L$33))</f>
        <v>1.21</v>
      </c>
      <c r="AN96" s="1504">
        <f ca="1">VLOOKUP($A96,Curves_Table,Escalation!$Z$291)</f>
        <v>1.2827383623400055</v>
      </c>
      <c r="AO96" s="331">
        <f t="shared" ca="1" si="56"/>
        <v>1.5521134184314065</v>
      </c>
      <c r="AP96" s="331">
        <f ca="1">IF($A96&gt;Endyr,0,VLOOKUP($A96,Tariff_Table,Tariff!$M$33))</f>
        <v>0.25</v>
      </c>
      <c r="AQ96" s="331">
        <f t="shared" ca="1" si="57"/>
        <v>1.8021134184314065</v>
      </c>
      <c r="AR96" s="331">
        <f t="shared" ca="1" si="58"/>
        <v>1.46</v>
      </c>
      <c r="AS96" s="1508">
        <f t="shared" ca="1" si="59"/>
        <v>1.2343242591995935</v>
      </c>
    </row>
    <row r="97" spans="1:45">
      <c r="A97" s="672">
        <f t="shared" si="34"/>
        <v>39539</v>
      </c>
      <c r="C97" s="1484">
        <f ca="1">IF($A97&gt;Endyr,0,VLOOKUP($A97,Tariff_Table,Tariff!$G$33))</f>
        <v>7433.43</v>
      </c>
      <c r="D97" s="1480">
        <f ca="1">VLOOKUP($A97,Curves_Table,Escalation!$V$291)</f>
        <v>1.3038965761068158</v>
      </c>
      <c r="E97" s="1483">
        <f t="shared" ca="1" si="35"/>
        <v>9692.4239257296886</v>
      </c>
      <c r="F97" s="1480">
        <f ca="1">IF(Assm!$L$74=0,VLOOKUP($A97,Curves_Table,Escalation!$D$291),VLOOKUP($A97,Curves_Table,Escalation!$E$291))</f>
        <v>2.4838747724477708</v>
      </c>
      <c r="G97" s="113">
        <f ca="1">IF($A97&lt;EE_Date,VLOOKUP($A97,Curves_Table,Escalation!$D$291),Exch)</f>
        <v>1.0649999999999999</v>
      </c>
      <c r="H97" s="1483">
        <f t="shared" ca="1" si="36"/>
        <v>22605.41527980203</v>
      </c>
      <c r="I97" s="330">
        <f ca="1">VLOOKUP($A97,Plant_Table,'Plant Operations'!$C$270)</f>
        <v>480</v>
      </c>
      <c r="J97" s="1481">
        <f t="shared" ca="1" si="37"/>
        <v>10850.599334304974</v>
      </c>
      <c r="K97" s="1480">
        <f t="shared" ca="1" si="38"/>
        <v>2.4838747724477708</v>
      </c>
      <c r="L97" s="384">
        <f t="shared" ca="1" si="39"/>
        <v>4368.4164172302826</v>
      </c>
      <c r="M97" s="692" t="str">
        <f t="shared" ca="1" si="30"/>
        <v xml:space="preserve"> </v>
      </c>
      <c r="O97" s="1482">
        <f ca="1">IF($A97&gt;Endyr,0,VLOOKUP($A97,Tariff_Table,Tariff!$H$33))</f>
        <v>6146.82</v>
      </c>
      <c r="P97" s="1480">
        <f t="shared" ca="1" si="40"/>
        <v>1.2343242591995935</v>
      </c>
      <c r="Q97" s="1481">
        <f t="shared" ca="1" si="41"/>
        <v>7587.1690429332448</v>
      </c>
      <c r="R97" s="1480">
        <f t="shared" ca="1" si="42"/>
        <v>2.4838747724477708</v>
      </c>
      <c r="S97" s="113">
        <f t="shared" ca="1" si="43"/>
        <v>1.0649999999999999</v>
      </c>
      <c r="T97" s="1481">
        <f t="shared" ca="1" si="44"/>
        <v>17695.378197219328</v>
      </c>
      <c r="U97" s="330">
        <f t="shared" ca="1" si="45"/>
        <v>480</v>
      </c>
      <c r="V97" s="1481">
        <f t="shared" ca="1" si="46"/>
        <v>8493.7815346652769</v>
      </c>
      <c r="W97" s="1480">
        <f t="shared" ca="1" si="47"/>
        <v>2.4838747724477708</v>
      </c>
      <c r="X97" s="384">
        <f t="shared" ca="1" si="48"/>
        <v>3419.5691461107581</v>
      </c>
      <c r="Y97" s="692" t="str">
        <f t="shared" ca="1" si="31"/>
        <v xml:space="preserve"> </v>
      </c>
      <c r="AA97" s="1484">
        <f ca="1">IF($A97&gt;Endyr,0,VLOOKUP($A97,Tariff_Table,Tariff!$I$33))</f>
        <v>2.3199999999999998</v>
      </c>
      <c r="AB97" s="1480">
        <f t="shared" ca="1" si="32"/>
        <v>1.2343242591995935</v>
      </c>
      <c r="AC97" s="1483">
        <f t="shared" ca="1" si="49"/>
        <v>2.8636322813430568</v>
      </c>
      <c r="AD97" s="1480">
        <f t="shared" ca="1" si="50"/>
        <v>2.4838747724477708</v>
      </c>
      <c r="AE97" s="113">
        <f t="shared" ca="1" si="51"/>
        <v>1.0649999999999999</v>
      </c>
      <c r="AF97" s="1483">
        <f t="shared" ca="1" si="52"/>
        <v>6.6787830809343438</v>
      </c>
      <c r="AG97" s="334">
        <f ca="1">VLOOKUP($A97,Plant_Table,'Plant Operations'!$M$270)</f>
        <v>289336.32000000001</v>
      </c>
      <c r="AH97" s="1481">
        <f t="shared" ca="1" si="53"/>
        <v>1932.4145187158051</v>
      </c>
      <c r="AI97" s="1480">
        <f t="shared" ca="1" si="54"/>
        <v>2.4838747724477708</v>
      </c>
      <c r="AJ97" s="335">
        <f t="shared" ca="1" si="55"/>
        <v>777.98387428826732</v>
      </c>
      <c r="AK97" s="698" t="str">
        <f t="shared" ca="1" si="33"/>
        <v xml:space="preserve"> </v>
      </c>
      <c r="AM97" s="697">
        <f ca="1">IF($A97&gt;Endyr,0,VLOOKUP($A97,Tariff_Table,Tariff!$L$33))</f>
        <v>1.21</v>
      </c>
      <c r="AN97" s="1504">
        <f ca="1">VLOOKUP($A97,Curves_Table,Escalation!$Z$291)</f>
        <v>1.2827383623400055</v>
      </c>
      <c r="AO97" s="331">
        <f t="shared" ca="1" si="56"/>
        <v>1.5521134184314065</v>
      </c>
      <c r="AP97" s="331">
        <f ca="1">IF($A97&gt;Endyr,0,VLOOKUP($A97,Tariff_Table,Tariff!$M$33))</f>
        <v>0.25</v>
      </c>
      <c r="AQ97" s="331">
        <f t="shared" ca="1" si="57"/>
        <v>1.8021134184314065</v>
      </c>
      <c r="AR97" s="331">
        <f t="shared" ca="1" si="58"/>
        <v>1.46</v>
      </c>
      <c r="AS97" s="1508">
        <f t="shared" ca="1" si="59"/>
        <v>1.2343242591995935</v>
      </c>
    </row>
    <row r="98" spans="1:45">
      <c r="A98" s="672">
        <f t="shared" si="34"/>
        <v>39569</v>
      </c>
      <c r="C98" s="1484">
        <f ca="1">IF($A98&gt;Endyr,0,VLOOKUP($A98,Tariff_Table,Tariff!$G$33))</f>
        <v>7424.62</v>
      </c>
      <c r="D98" s="1480">
        <f ca="1">VLOOKUP($A98,Curves_Table,Escalation!$V$291)</f>
        <v>1.3387797805891259</v>
      </c>
      <c r="E98" s="1483">
        <f t="shared" ca="1" si="35"/>
        <v>9939.9311345576352</v>
      </c>
      <c r="F98" s="1480">
        <f ca="1">IF(Assm!$L$74=0,VLOOKUP($A98,Curves_Table,Escalation!$D$291),VLOOKUP($A98,Curves_Table,Escalation!$E$291))</f>
        <v>2.4891276231801638</v>
      </c>
      <c r="G98" s="113">
        <f ca="1">IF($A98&lt;EE_Date,VLOOKUP($A98,Curves_Table,Escalation!$D$291),Exch)</f>
        <v>1.0649999999999999</v>
      </c>
      <c r="H98" s="1483">
        <f t="shared" ca="1" si="36"/>
        <v>23231.696863414043</v>
      </c>
      <c r="I98" s="330">
        <f ca="1">VLOOKUP($A98,Plant_Table,'Plant Operations'!$C$270)</f>
        <v>480</v>
      </c>
      <c r="J98" s="1481">
        <f t="shared" ca="1" si="37"/>
        <v>11151.214494438742</v>
      </c>
      <c r="K98" s="1480">
        <f t="shared" ca="1" si="38"/>
        <v>2.4891276231801638</v>
      </c>
      <c r="L98" s="384">
        <f t="shared" ca="1" si="39"/>
        <v>4479.9689620541458</v>
      </c>
      <c r="M98" s="692" t="str">
        <f t="shared" ca="1" si="30"/>
        <v xml:space="preserve"> </v>
      </c>
      <c r="O98" s="1482">
        <f ca="1">IF($A98&gt;Endyr,0,VLOOKUP($A98,Tariff_Table,Tariff!$H$33))</f>
        <v>6118.02</v>
      </c>
      <c r="P98" s="1480">
        <f t="shared" ca="1" si="40"/>
        <v>1.2601074629140934</v>
      </c>
      <c r="Q98" s="1481">
        <f t="shared" ca="1" si="41"/>
        <v>7709.3626602576824</v>
      </c>
      <c r="R98" s="1480">
        <f t="shared" ca="1" si="42"/>
        <v>2.4891276231801638</v>
      </c>
      <c r="S98" s="113">
        <f t="shared" ca="1" si="43"/>
        <v>1.0649999999999999</v>
      </c>
      <c r="T98" s="1481">
        <f t="shared" ca="1" si="44"/>
        <v>18018.392070198228</v>
      </c>
      <c r="U98" s="330">
        <f t="shared" ca="1" si="45"/>
        <v>480</v>
      </c>
      <c r="V98" s="1481">
        <f t="shared" ca="1" si="46"/>
        <v>8648.8281936951498</v>
      </c>
      <c r="W98" s="1480">
        <f t="shared" ca="1" si="47"/>
        <v>2.4891276231801638</v>
      </c>
      <c r="X98" s="384">
        <f t="shared" ca="1" si="48"/>
        <v>3474.6423257499423</v>
      </c>
      <c r="Y98" s="692" t="str">
        <f t="shared" ca="1" si="31"/>
        <v xml:space="preserve"> </v>
      </c>
      <c r="AA98" s="1484">
        <f ca="1">IF($A98&gt;Endyr,0,VLOOKUP($A98,Tariff_Table,Tariff!$I$33))</f>
        <v>2.31</v>
      </c>
      <c r="AB98" s="1480">
        <f t="shared" ca="1" si="32"/>
        <v>1.2601074629140934</v>
      </c>
      <c r="AC98" s="1483">
        <f t="shared" ca="1" si="49"/>
        <v>2.9108482393315556</v>
      </c>
      <c r="AD98" s="1480">
        <f t="shared" ca="1" si="50"/>
        <v>2.4891276231801638</v>
      </c>
      <c r="AE98" s="113">
        <f t="shared" ca="1" si="51"/>
        <v>1.0649999999999999</v>
      </c>
      <c r="AF98" s="1483">
        <f t="shared" ca="1" si="52"/>
        <v>6.8032608069535394</v>
      </c>
      <c r="AG98" s="334">
        <f ca="1">VLOOKUP($A98,Plant_Table,'Plant Operations'!$M$270)</f>
        <v>298980.864</v>
      </c>
      <c r="AH98" s="1481">
        <f t="shared" ca="1" si="53"/>
        <v>2034.0447940803065</v>
      </c>
      <c r="AI98" s="1480">
        <f t="shared" ca="1" si="54"/>
        <v>2.4891276231801638</v>
      </c>
      <c r="AJ98" s="335">
        <f t="shared" ca="1" si="55"/>
        <v>817.17175734105854</v>
      </c>
      <c r="AK98" s="698" t="str">
        <f t="shared" ca="1" si="33"/>
        <v xml:space="preserve"> </v>
      </c>
      <c r="AM98" s="697">
        <f ca="1">IF($A98&gt;Endyr,0,VLOOKUP($A98,Tariff_Table,Tariff!$L$33))</f>
        <v>1.21</v>
      </c>
      <c r="AN98" s="1504">
        <f ca="1">VLOOKUP($A98,Curves_Table,Escalation!$Z$291)</f>
        <v>1.3138486742599804</v>
      </c>
      <c r="AO98" s="331">
        <f t="shared" ca="1" si="56"/>
        <v>1.5897568958545762</v>
      </c>
      <c r="AP98" s="331">
        <f ca="1">IF($A98&gt;Endyr,0,VLOOKUP($A98,Tariff_Table,Tariff!$M$33))</f>
        <v>0.25</v>
      </c>
      <c r="AQ98" s="331">
        <f t="shared" ca="1" si="57"/>
        <v>1.8397568958545762</v>
      </c>
      <c r="AR98" s="331">
        <f t="shared" ca="1" si="58"/>
        <v>1.46</v>
      </c>
      <c r="AS98" s="1508">
        <f t="shared" ca="1" si="59"/>
        <v>1.2601074629140934</v>
      </c>
    </row>
    <row r="99" spans="1:45">
      <c r="A99" s="672">
        <f t="shared" si="34"/>
        <v>39600</v>
      </c>
      <c r="C99" s="1484">
        <f ca="1">IF($A99&gt;Endyr,0,VLOOKUP($A99,Tariff_Table,Tariff!$G$33))</f>
        <v>7424.62</v>
      </c>
      <c r="D99" s="1480">
        <f ca="1">VLOOKUP($A99,Curves_Table,Escalation!$V$291)</f>
        <v>1.3387797805891259</v>
      </c>
      <c r="E99" s="1483">
        <f t="shared" ca="1" si="35"/>
        <v>9939.9311345576352</v>
      </c>
      <c r="F99" s="1480">
        <f ca="1">IF(Assm!$L$74=0,VLOOKUP($A99,Curves_Table,Escalation!$D$291),VLOOKUP($A99,Curves_Table,Escalation!$E$291))</f>
        <v>2.4943915825405454</v>
      </c>
      <c r="G99" s="113">
        <f ca="1">IF($A99&lt;EE_Date,VLOOKUP($A99,Curves_Table,Escalation!$D$291),Exch)</f>
        <v>1.0649999999999999</v>
      </c>
      <c r="H99" s="1483">
        <f t="shared" ca="1" si="36"/>
        <v>23280.826810397426</v>
      </c>
      <c r="I99" s="330">
        <f ca="1">VLOOKUP($A99,Plant_Table,'Plant Operations'!$C$270)</f>
        <v>480</v>
      </c>
      <c r="J99" s="1481">
        <f t="shared" ca="1" si="37"/>
        <v>11174.796868990765</v>
      </c>
      <c r="K99" s="1480">
        <f t="shared" ca="1" si="38"/>
        <v>2.4943915825405454</v>
      </c>
      <c r="L99" s="384">
        <f t="shared" ca="1" si="39"/>
        <v>4479.9689620541458</v>
      </c>
      <c r="M99" s="692" t="str">
        <f t="shared" ca="1" si="30"/>
        <v xml:space="preserve"> </v>
      </c>
      <c r="O99" s="1482">
        <f ca="1">IF($A99&gt;Endyr,0,VLOOKUP($A99,Tariff_Table,Tariff!$H$33))</f>
        <v>6118.02</v>
      </c>
      <c r="P99" s="1480">
        <f t="shared" ca="1" si="40"/>
        <v>1.2601074629140934</v>
      </c>
      <c r="Q99" s="1481">
        <f t="shared" ca="1" si="41"/>
        <v>7709.3626602576824</v>
      </c>
      <c r="R99" s="1480">
        <f t="shared" ca="1" si="42"/>
        <v>2.4943915825405454</v>
      </c>
      <c r="S99" s="113">
        <f t="shared" ca="1" si="43"/>
        <v>1.0649999999999999</v>
      </c>
      <c r="T99" s="1481">
        <f t="shared" ca="1" si="44"/>
        <v>18056.497020186995</v>
      </c>
      <c r="U99" s="330">
        <f t="shared" ca="1" si="45"/>
        <v>480</v>
      </c>
      <c r="V99" s="1481">
        <f t="shared" ca="1" si="46"/>
        <v>8667.1185696897574</v>
      </c>
      <c r="W99" s="1480">
        <f t="shared" ca="1" si="47"/>
        <v>2.4943915825405454</v>
      </c>
      <c r="X99" s="384">
        <f t="shared" ca="1" si="48"/>
        <v>3474.6423257499414</v>
      </c>
      <c r="Y99" s="692" t="str">
        <f t="shared" ca="1" si="31"/>
        <v xml:space="preserve"> </v>
      </c>
      <c r="AA99" s="1484">
        <f ca="1">IF($A99&gt;Endyr,0,VLOOKUP($A99,Tariff_Table,Tariff!$I$33))</f>
        <v>2.31</v>
      </c>
      <c r="AB99" s="1480">
        <f t="shared" ca="1" si="32"/>
        <v>1.2601074629140934</v>
      </c>
      <c r="AC99" s="1483">
        <f t="shared" ca="1" si="49"/>
        <v>2.9108482393315556</v>
      </c>
      <c r="AD99" s="1480">
        <f t="shared" ca="1" si="50"/>
        <v>2.4943915825405454</v>
      </c>
      <c r="AE99" s="113">
        <f t="shared" ca="1" si="51"/>
        <v>1.0649999999999999</v>
      </c>
      <c r="AF99" s="1483">
        <f t="shared" ca="1" si="52"/>
        <v>6.8176482124334266</v>
      </c>
      <c r="AG99" s="334">
        <f ca="1">VLOOKUP($A99,Plant_Table,'Plant Operations'!$M$270)</f>
        <v>289336.32000000001</v>
      </c>
      <c r="AH99" s="1481">
        <f t="shared" ca="1" si="53"/>
        <v>1972.5932448400658</v>
      </c>
      <c r="AI99" s="1480">
        <f t="shared" ca="1" si="54"/>
        <v>2.4943915825405454</v>
      </c>
      <c r="AJ99" s="335">
        <f t="shared" ca="1" si="55"/>
        <v>790.81137807199207</v>
      </c>
      <c r="AK99" s="698" t="str">
        <f t="shared" ca="1" si="33"/>
        <v xml:space="preserve"> </v>
      </c>
      <c r="AM99" s="697">
        <f ca="1">IF($A99&gt;Endyr,0,VLOOKUP($A99,Tariff_Table,Tariff!$L$33))</f>
        <v>1.21</v>
      </c>
      <c r="AN99" s="1504">
        <f ca="1">VLOOKUP($A99,Curves_Table,Escalation!$Z$291)</f>
        <v>1.3138486742599804</v>
      </c>
      <c r="AO99" s="331">
        <f t="shared" ca="1" si="56"/>
        <v>1.5897568958545762</v>
      </c>
      <c r="AP99" s="331">
        <f ca="1">IF($A99&gt;Endyr,0,VLOOKUP($A99,Tariff_Table,Tariff!$M$33))</f>
        <v>0.25</v>
      </c>
      <c r="AQ99" s="331">
        <f t="shared" ca="1" si="57"/>
        <v>1.8397568958545762</v>
      </c>
      <c r="AR99" s="331">
        <f t="shared" ca="1" si="58"/>
        <v>1.46</v>
      </c>
      <c r="AS99" s="1508">
        <f t="shared" ca="1" si="59"/>
        <v>1.2601074629140934</v>
      </c>
    </row>
    <row r="100" spans="1:45">
      <c r="A100" s="672">
        <f t="shared" si="34"/>
        <v>39630</v>
      </c>
      <c r="C100" s="1484">
        <f ca="1">IF($A100&gt;Endyr,0,VLOOKUP($A100,Tariff_Table,Tariff!$G$33))</f>
        <v>7424.62</v>
      </c>
      <c r="D100" s="1480">
        <f ca="1">VLOOKUP($A100,Curves_Table,Escalation!$V$291)</f>
        <v>1.3387797805891259</v>
      </c>
      <c r="E100" s="1483">
        <f t="shared" ca="1" si="35"/>
        <v>9939.9311345576352</v>
      </c>
      <c r="F100" s="1480">
        <f ca="1">IF(Assm!$L$74=0,VLOOKUP($A100,Curves_Table,Escalation!$D$291),VLOOKUP($A100,Curves_Table,Escalation!$E$291))</f>
        <v>2.4996666740212286</v>
      </c>
      <c r="G100" s="113">
        <f ca="1">IF($A100&lt;EE_Date,VLOOKUP($A100,Curves_Table,Escalation!$D$291),Exch)</f>
        <v>1.0649999999999999</v>
      </c>
      <c r="H100" s="1483">
        <f t="shared" ca="1" si="36"/>
        <v>23330.060656450463</v>
      </c>
      <c r="I100" s="330">
        <f ca="1">VLOOKUP($A100,Plant_Table,'Plant Operations'!$C$270)</f>
        <v>480</v>
      </c>
      <c r="J100" s="1481">
        <f t="shared" ca="1" si="37"/>
        <v>11198.429115096222</v>
      </c>
      <c r="K100" s="1480">
        <f t="shared" ca="1" si="38"/>
        <v>2.4996666740212286</v>
      </c>
      <c r="L100" s="384">
        <f t="shared" ca="1" si="39"/>
        <v>4479.9689620541458</v>
      </c>
      <c r="M100" s="692" t="str">
        <f t="shared" ca="1" si="30"/>
        <v xml:space="preserve"> </v>
      </c>
      <c r="O100" s="1482">
        <f ca="1">IF($A100&gt;Endyr,0,VLOOKUP($A100,Tariff_Table,Tariff!$H$33))</f>
        <v>6118.02</v>
      </c>
      <c r="P100" s="1480">
        <f t="shared" ca="1" si="40"/>
        <v>1.2601074629140934</v>
      </c>
      <c r="Q100" s="1481">
        <f t="shared" ca="1" si="41"/>
        <v>7709.3626602576824</v>
      </c>
      <c r="R100" s="1480">
        <f t="shared" ca="1" si="42"/>
        <v>2.4996666740212286</v>
      </c>
      <c r="S100" s="113">
        <f t="shared" ca="1" si="43"/>
        <v>1.0649999999999999</v>
      </c>
      <c r="T100" s="1481">
        <f t="shared" ca="1" si="44"/>
        <v>18094.682553793213</v>
      </c>
      <c r="U100" s="330">
        <f t="shared" ca="1" si="45"/>
        <v>480</v>
      </c>
      <c r="V100" s="1481">
        <f t="shared" ca="1" si="46"/>
        <v>8685.4476258207433</v>
      </c>
      <c r="W100" s="1480">
        <f t="shared" ca="1" si="47"/>
        <v>2.4996666740212286</v>
      </c>
      <c r="X100" s="384">
        <f t="shared" ca="1" si="48"/>
        <v>3474.6423257499418</v>
      </c>
      <c r="Y100" s="692" t="str">
        <f t="shared" ca="1" si="31"/>
        <v xml:space="preserve"> </v>
      </c>
      <c r="AA100" s="1484">
        <f ca="1">IF($A100&gt;Endyr,0,VLOOKUP($A100,Tariff_Table,Tariff!$I$33))</f>
        <v>2.31</v>
      </c>
      <c r="AB100" s="1480">
        <f t="shared" ca="1" si="32"/>
        <v>1.2601074629140934</v>
      </c>
      <c r="AC100" s="1483">
        <f t="shared" ca="1" si="49"/>
        <v>2.9108482393315556</v>
      </c>
      <c r="AD100" s="1480">
        <f t="shared" ca="1" si="50"/>
        <v>2.4996666740212286</v>
      </c>
      <c r="AE100" s="113">
        <f t="shared" ca="1" si="51"/>
        <v>1.0649999999999999</v>
      </c>
      <c r="AF100" s="1483">
        <f t="shared" ca="1" si="52"/>
        <v>6.832066044122497</v>
      </c>
      <c r="AG100" s="334">
        <f ca="1">VLOOKUP($A100,Plant_Table,'Plant Operations'!$M$270)</f>
        <v>298980.864</v>
      </c>
      <c r="AH100" s="1481">
        <f t="shared" ca="1" si="53"/>
        <v>2042.6570087768064</v>
      </c>
      <c r="AI100" s="1480">
        <f t="shared" ca="1" si="54"/>
        <v>2.4996666740212286</v>
      </c>
      <c r="AJ100" s="335">
        <f t="shared" ca="1" si="55"/>
        <v>817.17175734105854</v>
      </c>
      <c r="AK100" s="698" t="str">
        <f t="shared" ca="1" si="33"/>
        <v xml:space="preserve"> </v>
      </c>
      <c r="AM100" s="697">
        <f ca="1">IF($A100&gt;Endyr,0,VLOOKUP($A100,Tariff_Table,Tariff!$L$33))</f>
        <v>1.21</v>
      </c>
      <c r="AN100" s="1504">
        <f ca="1">VLOOKUP($A100,Curves_Table,Escalation!$Z$291)</f>
        <v>1.3138486742599804</v>
      </c>
      <c r="AO100" s="331">
        <f t="shared" ca="1" si="56"/>
        <v>1.5897568958545762</v>
      </c>
      <c r="AP100" s="331">
        <f ca="1">IF($A100&gt;Endyr,0,VLOOKUP($A100,Tariff_Table,Tariff!$M$33))</f>
        <v>0.25</v>
      </c>
      <c r="AQ100" s="331">
        <f t="shared" ca="1" si="57"/>
        <v>1.8397568958545762</v>
      </c>
      <c r="AR100" s="331">
        <f t="shared" ca="1" si="58"/>
        <v>1.46</v>
      </c>
      <c r="AS100" s="1508">
        <f t="shared" ca="1" si="59"/>
        <v>1.2601074629140934</v>
      </c>
    </row>
    <row r="101" spans="1:45">
      <c r="A101" s="672">
        <f t="shared" si="34"/>
        <v>39661</v>
      </c>
      <c r="C101" s="1484">
        <f ca="1">IF($A101&gt;Endyr,0,VLOOKUP($A101,Tariff_Table,Tariff!$G$33))</f>
        <v>7424.62</v>
      </c>
      <c r="D101" s="1480">
        <f ca="1">VLOOKUP($A101,Curves_Table,Escalation!$V$291)</f>
        <v>1.3387797805891259</v>
      </c>
      <c r="E101" s="1483">
        <f t="shared" ca="1" si="35"/>
        <v>9939.9311345576352</v>
      </c>
      <c r="F101" s="1480">
        <f ca="1">IF(Assm!$L$74=0,VLOOKUP($A101,Curves_Table,Escalation!$D$291),VLOOKUP($A101,Curves_Table,Escalation!$E$291))</f>
        <v>2.5049529211642083</v>
      </c>
      <c r="G101" s="113">
        <f ca="1">IF($A101&lt;EE_Date,VLOOKUP($A101,Curves_Table,Escalation!$D$291),Exch)</f>
        <v>1.0649999999999999</v>
      </c>
      <c r="H101" s="1483">
        <f t="shared" ca="1" si="36"/>
        <v>23379.398621296914</v>
      </c>
      <c r="I101" s="330">
        <f ca="1">VLOOKUP($A101,Plant_Table,'Plant Operations'!$C$270)</f>
        <v>480</v>
      </c>
      <c r="J101" s="1481">
        <f t="shared" ca="1" si="37"/>
        <v>11222.111338222519</v>
      </c>
      <c r="K101" s="1480">
        <f t="shared" ca="1" si="38"/>
        <v>2.5049529211642083</v>
      </c>
      <c r="L101" s="384">
        <f t="shared" ca="1" si="39"/>
        <v>4479.9689620541458</v>
      </c>
      <c r="M101" s="692" t="str">
        <f t="shared" ca="1" si="30"/>
        <v xml:space="preserve"> </v>
      </c>
      <c r="O101" s="1482">
        <f ca="1">IF($A101&gt;Endyr,0,VLOOKUP($A101,Tariff_Table,Tariff!$H$33))</f>
        <v>6118.02</v>
      </c>
      <c r="P101" s="1480">
        <f t="shared" ca="1" si="40"/>
        <v>1.2601074629140934</v>
      </c>
      <c r="Q101" s="1481">
        <f t="shared" ca="1" si="41"/>
        <v>7709.3626602576824</v>
      </c>
      <c r="R101" s="1480">
        <f t="shared" ca="1" si="42"/>
        <v>2.5049529211642083</v>
      </c>
      <c r="S101" s="113">
        <f t="shared" ca="1" si="43"/>
        <v>1.0649999999999999</v>
      </c>
      <c r="T101" s="1481">
        <f t="shared" ca="1" si="44"/>
        <v>18132.948841433572</v>
      </c>
      <c r="U101" s="330">
        <f t="shared" ca="1" si="45"/>
        <v>480</v>
      </c>
      <c r="V101" s="1481">
        <f t="shared" ca="1" si="46"/>
        <v>8703.8154438881156</v>
      </c>
      <c r="W101" s="1480">
        <f t="shared" ca="1" si="47"/>
        <v>2.5049529211642083</v>
      </c>
      <c r="X101" s="384">
        <f t="shared" ca="1" si="48"/>
        <v>3474.6423257499418</v>
      </c>
      <c r="Y101" s="692" t="str">
        <f t="shared" ca="1" si="31"/>
        <v xml:space="preserve"> </v>
      </c>
      <c r="AA101" s="1484">
        <f ca="1">IF($A101&gt;Endyr,0,VLOOKUP($A101,Tariff_Table,Tariff!$I$33))</f>
        <v>2.31</v>
      </c>
      <c r="AB101" s="1480">
        <f t="shared" ca="1" si="32"/>
        <v>1.2601074629140934</v>
      </c>
      <c r="AC101" s="1483">
        <f t="shared" ca="1" si="49"/>
        <v>2.9108482393315556</v>
      </c>
      <c r="AD101" s="1480">
        <f t="shared" ca="1" si="50"/>
        <v>2.5049529211642083</v>
      </c>
      <c r="AE101" s="113">
        <f t="shared" ca="1" si="51"/>
        <v>1.0649999999999999</v>
      </c>
      <c r="AF101" s="1483">
        <f t="shared" ca="1" si="52"/>
        <v>6.8465143663655148</v>
      </c>
      <c r="AG101" s="334">
        <f ca="1">VLOOKUP($A101,Plant_Table,'Plant Operations'!$M$270)</f>
        <v>298980.864</v>
      </c>
      <c r="AH101" s="1481">
        <f t="shared" ca="1" si="53"/>
        <v>2046.9767806443742</v>
      </c>
      <c r="AI101" s="1480">
        <f t="shared" ca="1" si="54"/>
        <v>2.5049529211642083</v>
      </c>
      <c r="AJ101" s="335">
        <f t="shared" ca="1" si="55"/>
        <v>817.17175734105854</v>
      </c>
      <c r="AK101" s="698" t="str">
        <f t="shared" ca="1" si="33"/>
        <v xml:space="preserve"> </v>
      </c>
      <c r="AM101" s="697">
        <f ca="1">IF($A101&gt;Endyr,0,VLOOKUP($A101,Tariff_Table,Tariff!$L$33))</f>
        <v>1.21</v>
      </c>
      <c r="AN101" s="1504">
        <f ca="1">VLOOKUP($A101,Curves_Table,Escalation!$Z$291)</f>
        <v>1.3138486742599804</v>
      </c>
      <c r="AO101" s="331">
        <f t="shared" ca="1" si="56"/>
        <v>1.5897568958545762</v>
      </c>
      <c r="AP101" s="331">
        <f ca="1">IF($A101&gt;Endyr,0,VLOOKUP($A101,Tariff_Table,Tariff!$M$33))</f>
        <v>0.25</v>
      </c>
      <c r="AQ101" s="331">
        <f t="shared" ca="1" si="57"/>
        <v>1.8397568958545762</v>
      </c>
      <c r="AR101" s="331">
        <f t="shared" ca="1" si="58"/>
        <v>1.46</v>
      </c>
      <c r="AS101" s="1508">
        <f t="shared" ca="1" si="59"/>
        <v>1.2601074629140934</v>
      </c>
    </row>
    <row r="102" spans="1:45">
      <c r="A102" s="672">
        <f t="shared" si="34"/>
        <v>39692</v>
      </c>
      <c r="C102" s="1484">
        <f ca="1">IF($A102&gt;Endyr,0,VLOOKUP($A102,Tariff_Table,Tariff!$G$33))</f>
        <v>7424.62</v>
      </c>
      <c r="D102" s="1480">
        <f ca="1">VLOOKUP($A102,Curves_Table,Escalation!$V$291)</f>
        <v>1.3387797805891259</v>
      </c>
      <c r="E102" s="1483">
        <f t="shared" ca="1" si="35"/>
        <v>9939.9311345576352</v>
      </c>
      <c r="F102" s="1480">
        <f ca="1">IF(Assm!$L$74=0,VLOOKUP($A102,Curves_Table,Escalation!$D$291),VLOOKUP($A102,Curves_Table,Escalation!$E$291))</f>
        <v>2.5102503475612647</v>
      </c>
      <c r="G102" s="113">
        <f ca="1">IF($A102&lt;EE_Date,VLOOKUP($A102,Curves_Table,Escalation!$D$291),Exch)</f>
        <v>1.0649999999999999</v>
      </c>
      <c r="H102" s="1483">
        <f t="shared" ca="1" si="36"/>
        <v>23428.840925125205</v>
      </c>
      <c r="I102" s="330">
        <f ca="1">VLOOKUP($A102,Plant_Table,'Plant Operations'!$C$270)</f>
        <v>480</v>
      </c>
      <c r="J102" s="1481">
        <f t="shared" ca="1" si="37"/>
        <v>11245.843644060098</v>
      </c>
      <c r="K102" s="1480">
        <f t="shared" ca="1" si="38"/>
        <v>2.5102503475612647</v>
      </c>
      <c r="L102" s="384">
        <f t="shared" ca="1" si="39"/>
        <v>4479.9689620541458</v>
      </c>
      <c r="M102" s="692" t="str">
        <f t="shared" ca="1" si="30"/>
        <v xml:space="preserve"> </v>
      </c>
      <c r="O102" s="1482">
        <f ca="1">IF($A102&gt;Endyr,0,VLOOKUP($A102,Tariff_Table,Tariff!$H$33))</f>
        <v>6118.02</v>
      </c>
      <c r="P102" s="1480">
        <f t="shared" ca="1" si="40"/>
        <v>1.2601074629140934</v>
      </c>
      <c r="Q102" s="1481">
        <f t="shared" ca="1" si="41"/>
        <v>7709.3626602576824</v>
      </c>
      <c r="R102" s="1480">
        <f t="shared" ca="1" si="42"/>
        <v>2.5102503475612647</v>
      </c>
      <c r="S102" s="113">
        <f t="shared" ca="1" si="43"/>
        <v>1.0649999999999999</v>
      </c>
      <c r="T102" s="1481">
        <f t="shared" ca="1" si="44"/>
        <v>18171.296053885151</v>
      </c>
      <c r="U102" s="330">
        <f t="shared" ca="1" si="45"/>
        <v>480</v>
      </c>
      <c r="V102" s="1481">
        <f t="shared" ca="1" si="46"/>
        <v>8722.2221058648738</v>
      </c>
      <c r="W102" s="1480">
        <f t="shared" ca="1" si="47"/>
        <v>2.5102503475612647</v>
      </c>
      <c r="X102" s="384">
        <f t="shared" ca="1" si="48"/>
        <v>3474.6423257499423</v>
      </c>
      <c r="Y102" s="692" t="str">
        <f t="shared" ca="1" si="31"/>
        <v xml:space="preserve"> </v>
      </c>
      <c r="AA102" s="1484">
        <f ca="1">IF($A102&gt;Endyr,0,VLOOKUP($A102,Tariff_Table,Tariff!$I$33))</f>
        <v>2.31</v>
      </c>
      <c r="AB102" s="1480">
        <f t="shared" ca="1" si="32"/>
        <v>1.2601074629140934</v>
      </c>
      <c r="AC102" s="1483">
        <f t="shared" ca="1" si="49"/>
        <v>2.9108482393315556</v>
      </c>
      <c r="AD102" s="1480">
        <f t="shared" ca="1" si="50"/>
        <v>2.5102503475612647</v>
      </c>
      <c r="AE102" s="113">
        <f t="shared" ca="1" si="51"/>
        <v>1.0649999999999999</v>
      </c>
      <c r="AF102" s="1483">
        <f t="shared" ca="1" si="52"/>
        <v>6.8609932436433176</v>
      </c>
      <c r="AG102" s="334">
        <f ca="1">VLOOKUP($A102,Plant_Table,'Plant Operations'!$M$270)</f>
        <v>289336.32000000001</v>
      </c>
      <c r="AH102" s="1481">
        <f t="shared" ca="1" si="53"/>
        <v>1985.1345366606211</v>
      </c>
      <c r="AI102" s="1480">
        <f t="shared" ca="1" si="54"/>
        <v>2.5102503475612647</v>
      </c>
      <c r="AJ102" s="335">
        <f t="shared" ca="1" si="55"/>
        <v>790.81137807199218</v>
      </c>
      <c r="AK102" s="698" t="str">
        <f t="shared" ca="1" si="33"/>
        <v xml:space="preserve"> </v>
      </c>
      <c r="AM102" s="697">
        <f ca="1">IF($A102&gt;Endyr,0,VLOOKUP($A102,Tariff_Table,Tariff!$L$33))</f>
        <v>1.21</v>
      </c>
      <c r="AN102" s="1504">
        <f ca="1">VLOOKUP($A102,Curves_Table,Escalation!$Z$291)</f>
        <v>1.3138486742599804</v>
      </c>
      <c r="AO102" s="331">
        <f t="shared" ca="1" si="56"/>
        <v>1.5897568958545762</v>
      </c>
      <c r="AP102" s="331">
        <f ca="1">IF($A102&gt;Endyr,0,VLOOKUP($A102,Tariff_Table,Tariff!$M$33))</f>
        <v>0.25</v>
      </c>
      <c r="AQ102" s="331">
        <f t="shared" ca="1" si="57"/>
        <v>1.8397568958545762</v>
      </c>
      <c r="AR102" s="331">
        <f t="shared" ca="1" si="58"/>
        <v>1.46</v>
      </c>
      <c r="AS102" s="1508">
        <f t="shared" ca="1" si="59"/>
        <v>1.2601074629140934</v>
      </c>
    </row>
    <row r="103" spans="1:45">
      <c r="A103" s="672">
        <f t="shared" si="34"/>
        <v>39722</v>
      </c>
      <c r="C103" s="1484">
        <f ca="1">IF($A103&gt;Endyr,0,VLOOKUP($A103,Tariff_Table,Tariff!$G$33))</f>
        <v>7424.62</v>
      </c>
      <c r="D103" s="1480">
        <f ca="1">VLOOKUP($A103,Curves_Table,Escalation!$V$291)</f>
        <v>1.3387797805891259</v>
      </c>
      <c r="E103" s="1483">
        <f t="shared" ca="1" si="35"/>
        <v>9939.9311345576352</v>
      </c>
      <c r="F103" s="1480">
        <f ca="1">IF(Assm!$L$74=0,VLOOKUP($A103,Curves_Table,Escalation!$D$291),VLOOKUP($A103,Curves_Table,Escalation!$E$291))</f>
        <v>2.5155589768540705</v>
      </c>
      <c r="G103" s="113">
        <f ca="1">IF($A103&lt;EE_Date,VLOOKUP($A103,Curves_Table,Escalation!$D$291),Exch)</f>
        <v>1.0649999999999999</v>
      </c>
      <c r="H103" s="1483">
        <f t="shared" ca="1" si="36"/>
        <v>23478.387788589414</v>
      </c>
      <c r="I103" s="330">
        <f ca="1">VLOOKUP($A103,Plant_Table,'Plant Operations'!$C$270)</f>
        <v>480</v>
      </c>
      <c r="J103" s="1481">
        <f t="shared" ca="1" si="37"/>
        <v>11269.626138522919</v>
      </c>
      <c r="K103" s="1480">
        <f t="shared" ca="1" si="38"/>
        <v>2.5155589768540705</v>
      </c>
      <c r="L103" s="384">
        <f t="shared" ca="1" si="39"/>
        <v>4479.9689620541458</v>
      </c>
      <c r="M103" s="692" t="str">
        <f t="shared" ca="1" si="30"/>
        <v xml:space="preserve"> </v>
      </c>
      <c r="O103" s="1482">
        <f ca="1">IF($A103&gt;Endyr,0,VLOOKUP($A103,Tariff_Table,Tariff!$H$33))</f>
        <v>6118.02</v>
      </c>
      <c r="P103" s="1480">
        <f t="shared" ca="1" si="40"/>
        <v>1.2601074629140934</v>
      </c>
      <c r="Q103" s="1481">
        <f t="shared" ca="1" si="41"/>
        <v>7709.3626602576824</v>
      </c>
      <c r="R103" s="1480">
        <f t="shared" ca="1" si="42"/>
        <v>2.5155589768540705</v>
      </c>
      <c r="S103" s="113">
        <f t="shared" ca="1" si="43"/>
        <v>1.0649999999999999</v>
      </c>
      <c r="T103" s="1481">
        <f t="shared" ca="1" si="44"/>
        <v>18209.72436228619</v>
      </c>
      <c r="U103" s="330">
        <f t="shared" ca="1" si="45"/>
        <v>480</v>
      </c>
      <c r="V103" s="1481">
        <f t="shared" ca="1" si="46"/>
        <v>8740.6676938973706</v>
      </c>
      <c r="W103" s="1480">
        <f t="shared" ca="1" si="47"/>
        <v>2.5155589768540705</v>
      </c>
      <c r="X103" s="384">
        <f t="shared" ca="1" si="48"/>
        <v>3474.6423257499414</v>
      </c>
      <c r="Y103" s="692" t="str">
        <f t="shared" ca="1" si="31"/>
        <v xml:space="preserve"> </v>
      </c>
      <c r="AA103" s="1484">
        <f ca="1">IF($A103&gt;Endyr,0,VLOOKUP($A103,Tariff_Table,Tariff!$I$33))</f>
        <v>2.31</v>
      </c>
      <c r="AB103" s="1480">
        <f t="shared" ca="1" si="32"/>
        <v>1.2601074629140934</v>
      </c>
      <c r="AC103" s="1483">
        <f t="shared" ca="1" si="49"/>
        <v>2.9108482393315556</v>
      </c>
      <c r="AD103" s="1480">
        <f t="shared" ca="1" si="50"/>
        <v>2.5155589768540705</v>
      </c>
      <c r="AE103" s="113">
        <f t="shared" ca="1" si="51"/>
        <v>1.0649999999999999</v>
      </c>
      <c r="AF103" s="1483">
        <f t="shared" ca="1" si="52"/>
        <v>6.8755027405731086</v>
      </c>
      <c r="AG103" s="334">
        <f ca="1">VLOOKUP($A103,Plant_Table,'Plant Operations'!$M$270)</f>
        <v>298980.864</v>
      </c>
      <c r="AH103" s="1481">
        <f t="shared" ca="1" si="53"/>
        <v>2055.6437498109158</v>
      </c>
      <c r="AI103" s="1480">
        <f t="shared" ca="1" si="54"/>
        <v>2.5155589768540705</v>
      </c>
      <c r="AJ103" s="335">
        <f t="shared" ca="1" si="55"/>
        <v>817.17175734105842</v>
      </c>
      <c r="AK103" s="698" t="str">
        <f t="shared" ca="1" si="33"/>
        <v xml:space="preserve"> </v>
      </c>
      <c r="AM103" s="697">
        <f ca="1">IF($A103&gt;Endyr,0,VLOOKUP($A103,Tariff_Table,Tariff!$L$33))</f>
        <v>1.21</v>
      </c>
      <c r="AN103" s="1504">
        <f ca="1">VLOOKUP($A103,Curves_Table,Escalation!$Z$291)</f>
        <v>1.3138486742599804</v>
      </c>
      <c r="AO103" s="331">
        <f t="shared" ca="1" si="56"/>
        <v>1.5897568958545762</v>
      </c>
      <c r="AP103" s="331">
        <f ca="1">IF($A103&gt;Endyr,0,VLOOKUP($A103,Tariff_Table,Tariff!$M$33))</f>
        <v>0.25</v>
      </c>
      <c r="AQ103" s="331">
        <f t="shared" ca="1" si="57"/>
        <v>1.8397568958545762</v>
      </c>
      <c r="AR103" s="331">
        <f t="shared" ca="1" si="58"/>
        <v>1.46</v>
      </c>
      <c r="AS103" s="1508">
        <f t="shared" ca="1" si="59"/>
        <v>1.2601074629140934</v>
      </c>
    </row>
    <row r="104" spans="1:45">
      <c r="A104" s="672">
        <f t="shared" si="34"/>
        <v>39753</v>
      </c>
      <c r="C104" s="1484">
        <f ca="1">IF($A104&gt;Endyr,0,VLOOKUP($A104,Tariff_Table,Tariff!$G$33))</f>
        <v>7424.62</v>
      </c>
      <c r="D104" s="1480">
        <f ca="1">VLOOKUP($A104,Curves_Table,Escalation!$V$291)</f>
        <v>1.3387797805891259</v>
      </c>
      <c r="E104" s="1483">
        <f t="shared" ca="1" si="35"/>
        <v>9939.9311345576352</v>
      </c>
      <c r="F104" s="1480">
        <f ca="1">IF(Assm!$L$74=0,VLOOKUP($A104,Curves_Table,Escalation!$D$291),VLOOKUP($A104,Curves_Table,Escalation!$E$291))</f>
        <v>2.5208788327342946</v>
      </c>
      <c r="G104" s="113">
        <f ca="1">IF($A104&lt;EE_Date,VLOOKUP($A104,Curves_Table,Escalation!$D$291),Exch)</f>
        <v>1.0649999999999999</v>
      </c>
      <c r="H104" s="1483">
        <f t="shared" ca="1" si="36"/>
        <v>23528.039432810259</v>
      </c>
      <c r="I104" s="330">
        <f ca="1">VLOOKUP($A104,Plant_Table,'Plant Operations'!$C$270)</f>
        <v>480</v>
      </c>
      <c r="J104" s="1481">
        <f t="shared" ca="1" si="37"/>
        <v>11293.458927748925</v>
      </c>
      <c r="K104" s="1480">
        <f t="shared" ca="1" si="38"/>
        <v>2.5208788327342946</v>
      </c>
      <c r="L104" s="384">
        <f t="shared" ca="1" si="39"/>
        <v>4479.9689620541458</v>
      </c>
      <c r="M104" s="692" t="str">
        <f t="shared" ca="1" si="30"/>
        <v xml:space="preserve"> </v>
      </c>
      <c r="O104" s="1482">
        <f ca="1">IF($A104&gt;Endyr,0,VLOOKUP($A104,Tariff_Table,Tariff!$H$33))</f>
        <v>6118.02</v>
      </c>
      <c r="P104" s="1480">
        <f t="shared" ca="1" si="40"/>
        <v>1.2601074629140934</v>
      </c>
      <c r="Q104" s="1481">
        <f t="shared" ca="1" si="41"/>
        <v>7709.3626602576824</v>
      </c>
      <c r="R104" s="1480">
        <f t="shared" ca="1" si="42"/>
        <v>2.5208788327342946</v>
      </c>
      <c r="S104" s="113">
        <f t="shared" ca="1" si="43"/>
        <v>1.0649999999999999</v>
      </c>
      <c r="T104" s="1481">
        <f t="shared" ca="1" si="44"/>
        <v>18248.233938136847</v>
      </c>
      <c r="U104" s="330">
        <f t="shared" ca="1" si="45"/>
        <v>480</v>
      </c>
      <c r="V104" s="1481">
        <f t="shared" ca="1" si="46"/>
        <v>8759.1522903056866</v>
      </c>
      <c r="W104" s="1480">
        <f t="shared" ca="1" si="47"/>
        <v>2.5208788327342946</v>
      </c>
      <c r="X104" s="384">
        <f t="shared" ca="1" si="48"/>
        <v>3474.6423257499414</v>
      </c>
      <c r="Y104" s="692" t="str">
        <f t="shared" ca="1" si="31"/>
        <v xml:space="preserve"> </v>
      </c>
      <c r="AA104" s="1484">
        <f ca="1">IF($A104&gt;Endyr,0,VLOOKUP($A104,Tariff_Table,Tariff!$I$33))</f>
        <v>2.31</v>
      </c>
      <c r="AB104" s="1480">
        <f t="shared" ca="1" si="32"/>
        <v>1.2601074629140934</v>
      </c>
      <c r="AC104" s="1483">
        <f t="shared" ca="1" si="49"/>
        <v>2.9108482393315556</v>
      </c>
      <c r="AD104" s="1480">
        <f t="shared" ca="1" si="50"/>
        <v>2.5208788327342946</v>
      </c>
      <c r="AE104" s="113">
        <f t="shared" ca="1" si="51"/>
        <v>1.0649999999999999</v>
      </c>
      <c r="AF104" s="1483">
        <f t="shared" ca="1" si="52"/>
        <v>6.8900429219087407</v>
      </c>
      <c r="AG104" s="334">
        <f ca="1">VLOOKUP($A104,Plant_Table,'Plant Operations'!$M$270)</f>
        <v>289336.32000000001</v>
      </c>
      <c r="AH104" s="1481">
        <f t="shared" ca="1" si="53"/>
        <v>1993.5396636671223</v>
      </c>
      <c r="AI104" s="1480">
        <f t="shared" ca="1" si="54"/>
        <v>2.5208788327342946</v>
      </c>
      <c r="AJ104" s="335">
        <f t="shared" ca="1" si="55"/>
        <v>790.81137807199207</v>
      </c>
      <c r="AK104" s="698" t="str">
        <f t="shared" ca="1" si="33"/>
        <v xml:space="preserve"> </v>
      </c>
      <c r="AM104" s="697">
        <f ca="1">IF($A104&gt;Endyr,0,VLOOKUP($A104,Tariff_Table,Tariff!$L$33))</f>
        <v>1.21</v>
      </c>
      <c r="AN104" s="1504">
        <f ca="1">VLOOKUP($A104,Curves_Table,Escalation!$Z$291)</f>
        <v>1.3138486742599804</v>
      </c>
      <c r="AO104" s="331">
        <f t="shared" ca="1" si="56"/>
        <v>1.5897568958545762</v>
      </c>
      <c r="AP104" s="331">
        <f ca="1">IF($A104&gt;Endyr,0,VLOOKUP($A104,Tariff_Table,Tariff!$M$33))</f>
        <v>0.25</v>
      </c>
      <c r="AQ104" s="331">
        <f t="shared" ca="1" si="57"/>
        <v>1.8397568958545762</v>
      </c>
      <c r="AR104" s="331">
        <f t="shared" ca="1" si="58"/>
        <v>1.46</v>
      </c>
      <c r="AS104" s="1508">
        <f t="shared" ca="1" si="59"/>
        <v>1.2601074629140934</v>
      </c>
    </row>
    <row r="105" spans="1:45">
      <c r="A105" s="672">
        <f t="shared" si="34"/>
        <v>39783</v>
      </c>
      <c r="C105" s="1484">
        <f ca="1">IF($A105&gt;Endyr,0,VLOOKUP($A105,Tariff_Table,Tariff!$G$33))</f>
        <v>7424.62</v>
      </c>
      <c r="D105" s="1480">
        <f ca="1">VLOOKUP($A105,Curves_Table,Escalation!$V$291)</f>
        <v>1.3387797805891259</v>
      </c>
      <c r="E105" s="1483">
        <f t="shared" ca="1" si="35"/>
        <v>9939.9311345576352</v>
      </c>
      <c r="F105" s="1480">
        <f ca="1">IF(Assm!$L$74=0,VLOOKUP($A105,Curves_Table,Escalation!$D$291),VLOOKUP($A105,Curves_Table,Escalation!$E$291))</f>
        <v>2.5262099389437069</v>
      </c>
      <c r="G105" s="113">
        <f ca="1">IF($A105&lt;EE_Date,VLOOKUP($A105,Curves_Table,Escalation!$D$291),Exch)</f>
        <v>1.0649999999999999</v>
      </c>
      <c r="H105" s="1483">
        <f t="shared" ca="1" si="36"/>
        <v>23577.79607937605</v>
      </c>
      <c r="I105" s="330">
        <f ca="1">VLOOKUP($A105,Plant_Table,'Plant Operations'!$C$270)</f>
        <v>480</v>
      </c>
      <c r="J105" s="1481">
        <f t="shared" ca="1" si="37"/>
        <v>11317.342118100503</v>
      </c>
      <c r="K105" s="1480">
        <f t="shared" ca="1" si="38"/>
        <v>2.5262099389437069</v>
      </c>
      <c r="L105" s="384">
        <f t="shared" ca="1" si="39"/>
        <v>4479.9689620541449</v>
      </c>
      <c r="M105" s="692">
        <f t="shared" ca="1" si="30"/>
        <v>53313.417365354304</v>
      </c>
      <c r="O105" s="1482">
        <f ca="1">IF($A105&gt;Endyr,0,VLOOKUP($A105,Tariff_Table,Tariff!$H$33))</f>
        <v>6118.02</v>
      </c>
      <c r="P105" s="1480">
        <f t="shared" ca="1" si="40"/>
        <v>1.2601074629140934</v>
      </c>
      <c r="Q105" s="1481">
        <f t="shared" ca="1" si="41"/>
        <v>7709.3626602576824</v>
      </c>
      <c r="R105" s="1480">
        <f t="shared" ca="1" si="42"/>
        <v>2.5262099389437069</v>
      </c>
      <c r="S105" s="113">
        <f t="shared" ca="1" si="43"/>
        <v>1.0649999999999999</v>
      </c>
      <c r="T105" s="1481">
        <f t="shared" ca="1" si="44"/>
        <v>18286.824953299958</v>
      </c>
      <c r="U105" s="330">
        <f t="shared" ca="1" si="45"/>
        <v>480</v>
      </c>
      <c r="V105" s="1481">
        <f t="shared" ca="1" si="46"/>
        <v>8777.6759775839801</v>
      </c>
      <c r="W105" s="1480">
        <f t="shared" ca="1" si="47"/>
        <v>2.5262099389437069</v>
      </c>
      <c r="X105" s="384">
        <f t="shared" ca="1" si="48"/>
        <v>3474.6423257499418</v>
      </c>
      <c r="Y105" s="692">
        <f t="shared" ca="1" si="31"/>
        <v>41475.41519044256</v>
      </c>
      <c r="AA105" s="1484">
        <f ca="1">IF($A105&gt;Endyr,0,VLOOKUP($A105,Tariff_Table,Tariff!$I$33))</f>
        <v>2.31</v>
      </c>
      <c r="AB105" s="1480">
        <f t="shared" ca="1" si="32"/>
        <v>1.2601074629140934</v>
      </c>
      <c r="AC105" s="1483">
        <f t="shared" ca="1" si="49"/>
        <v>2.9108482393315556</v>
      </c>
      <c r="AD105" s="1480">
        <f t="shared" ca="1" si="50"/>
        <v>2.5262099389437069</v>
      </c>
      <c r="AE105" s="113">
        <f t="shared" ca="1" si="51"/>
        <v>1.0649999999999999</v>
      </c>
      <c r="AF105" s="1483">
        <f t="shared" ca="1" si="52"/>
        <v>6.9046138525410008</v>
      </c>
      <c r="AG105" s="334">
        <f ca="1">VLOOKUP($A105,Plant_Table,'Plant Operations'!$M$270)</f>
        <v>298980.864</v>
      </c>
      <c r="AH105" s="1481">
        <f t="shared" ca="1" si="53"/>
        <v>2064.347415219077</v>
      </c>
      <c r="AI105" s="1480">
        <f t="shared" ca="1" si="54"/>
        <v>2.5262099389437069</v>
      </c>
      <c r="AJ105" s="335">
        <f t="shared" ca="1" si="55"/>
        <v>817.17175734105842</v>
      </c>
      <c r="AK105" s="698">
        <f t="shared" ca="1" si="33"/>
        <v>9596.1612138839482</v>
      </c>
      <c r="AM105" s="697">
        <f ca="1">IF($A105&gt;Endyr,0,VLOOKUP($A105,Tariff_Table,Tariff!$L$33))</f>
        <v>1.21</v>
      </c>
      <c r="AN105" s="1504">
        <f ca="1">VLOOKUP($A105,Curves_Table,Escalation!$Z$291)</f>
        <v>1.3138486742599804</v>
      </c>
      <c r="AO105" s="331">
        <f t="shared" ca="1" si="56"/>
        <v>1.5897568958545762</v>
      </c>
      <c r="AP105" s="331">
        <f ca="1">IF($A105&gt;Endyr,0,VLOOKUP($A105,Tariff_Table,Tariff!$M$33))</f>
        <v>0.25</v>
      </c>
      <c r="AQ105" s="331">
        <f t="shared" ca="1" si="57"/>
        <v>1.8397568958545762</v>
      </c>
      <c r="AR105" s="331">
        <f t="shared" ca="1" si="58"/>
        <v>1.46</v>
      </c>
      <c r="AS105" s="1508">
        <f t="shared" ca="1" si="59"/>
        <v>1.2601074629140934</v>
      </c>
    </row>
    <row r="106" spans="1:45">
      <c r="A106" s="672">
        <f t="shared" si="34"/>
        <v>39814</v>
      </c>
      <c r="C106" s="1484">
        <f ca="1">IF($A106&gt;Endyr,0,VLOOKUP($A106,Tariff_Table,Tariff!$G$33))</f>
        <v>7424.62</v>
      </c>
      <c r="D106" s="1480">
        <f ca="1">VLOOKUP($A106,Curves_Table,Escalation!$V$291)</f>
        <v>1.3387797805891259</v>
      </c>
      <c r="E106" s="1483">
        <f t="shared" ca="1" si="35"/>
        <v>9939.9311345576352</v>
      </c>
      <c r="F106" s="1480">
        <f ca="1">IF(Assm!$L$74=0,VLOOKUP($A106,Curves_Table,Escalation!$D$291),VLOOKUP($A106,Curves_Table,Escalation!$E$291))</f>
        <v>2.5314135178011798</v>
      </c>
      <c r="G106" s="113">
        <f ca="1">IF($A106&lt;EE_Date,VLOOKUP($A106,Curves_Table,Escalation!$D$291),Exch)</f>
        <v>1.0649999999999999</v>
      </c>
      <c r="H106" s="1483">
        <f t="shared" ca="1" si="36"/>
        <v>23626.362478903306</v>
      </c>
      <c r="I106" s="330">
        <f ca="1">VLOOKUP($A106,Plant_Table,'Plant Operations'!$C$270)</f>
        <v>480</v>
      </c>
      <c r="J106" s="1481">
        <f t="shared" ca="1" si="37"/>
        <v>11340.653989873586</v>
      </c>
      <c r="K106" s="1480">
        <f t="shared" ca="1" si="38"/>
        <v>2.5314135178011798</v>
      </c>
      <c r="L106" s="384">
        <f t="shared" ca="1" si="39"/>
        <v>4479.9689620541458</v>
      </c>
      <c r="M106" s="692" t="str">
        <f t="shared" ca="1" si="30"/>
        <v xml:space="preserve"> </v>
      </c>
      <c r="O106" s="1482">
        <f ca="1">IF($A106&gt;Endyr,0,VLOOKUP($A106,Tariff_Table,Tariff!$H$33))</f>
        <v>6118.02</v>
      </c>
      <c r="P106" s="1480">
        <f t="shared" ca="1" si="40"/>
        <v>1.2601074629140934</v>
      </c>
      <c r="Q106" s="1481">
        <f t="shared" ca="1" si="41"/>
        <v>7709.3626602576824</v>
      </c>
      <c r="R106" s="1480">
        <f t="shared" ca="1" si="42"/>
        <v>2.5314135178011798</v>
      </c>
      <c r="S106" s="113">
        <f t="shared" ca="1" si="43"/>
        <v>1.0649999999999999</v>
      </c>
      <c r="T106" s="1481">
        <f t="shared" ca="1" si="44"/>
        <v>18324.492818599025</v>
      </c>
      <c r="U106" s="330">
        <f t="shared" ca="1" si="45"/>
        <v>480</v>
      </c>
      <c r="V106" s="1481">
        <f t="shared" ca="1" si="46"/>
        <v>8795.7565529275307</v>
      </c>
      <c r="W106" s="1480">
        <f t="shared" ca="1" si="47"/>
        <v>2.5314135178011798</v>
      </c>
      <c r="X106" s="384">
        <f t="shared" ca="1" si="48"/>
        <v>3474.6423257499409</v>
      </c>
      <c r="Y106" s="692" t="str">
        <f t="shared" ca="1" si="31"/>
        <v xml:space="preserve"> </v>
      </c>
      <c r="AA106" s="1484">
        <f ca="1">IF($A106&gt;Endyr,0,VLOOKUP($A106,Tariff_Table,Tariff!$I$33))</f>
        <v>2.31</v>
      </c>
      <c r="AB106" s="1480">
        <f t="shared" ca="1" si="32"/>
        <v>1.2601074629140934</v>
      </c>
      <c r="AC106" s="1483">
        <f t="shared" ca="1" si="49"/>
        <v>2.9108482393315556</v>
      </c>
      <c r="AD106" s="1480">
        <f t="shared" ca="1" si="50"/>
        <v>2.5314135178011798</v>
      </c>
      <c r="AE106" s="113">
        <f t="shared" ca="1" si="51"/>
        <v>1.0649999999999999</v>
      </c>
      <c r="AF106" s="1483">
        <f t="shared" ca="1" si="52"/>
        <v>6.9188362265837222</v>
      </c>
      <c r="AG106" s="334">
        <f ca="1">VLOOKUP($A106,Plant_Table,'Plant Operations'!$M$270)</f>
        <v>298980.864</v>
      </c>
      <c r="AH106" s="1481">
        <f t="shared" ca="1" si="53"/>
        <v>2068.5996328985011</v>
      </c>
      <c r="AI106" s="1480">
        <f t="shared" ca="1" si="54"/>
        <v>2.5314135178011798</v>
      </c>
      <c r="AJ106" s="335">
        <f t="shared" ca="1" si="55"/>
        <v>817.17175734105854</v>
      </c>
      <c r="AK106" s="698" t="str">
        <f t="shared" ca="1" si="33"/>
        <v xml:space="preserve"> </v>
      </c>
      <c r="AM106" s="697">
        <f ca="1">IF($A106&gt;Endyr,0,VLOOKUP($A106,Tariff_Table,Tariff!$L$33))</f>
        <v>1.21</v>
      </c>
      <c r="AN106" s="1504">
        <f ca="1">VLOOKUP($A106,Curves_Table,Escalation!$Z$291)</f>
        <v>1.3138486742599804</v>
      </c>
      <c r="AO106" s="331">
        <f t="shared" ca="1" si="56"/>
        <v>1.5897568958545762</v>
      </c>
      <c r="AP106" s="331">
        <f ca="1">IF($A106&gt;Endyr,0,VLOOKUP($A106,Tariff_Table,Tariff!$M$33))</f>
        <v>0.25</v>
      </c>
      <c r="AQ106" s="331">
        <f t="shared" ca="1" si="57"/>
        <v>1.8397568958545762</v>
      </c>
      <c r="AR106" s="331">
        <f t="shared" ca="1" si="58"/>
        <v>1.46</v>
      </c>
      <c r="AS106" s="1508">
        <f t="shared" ca="1" si="59"/>
        <v>1.2601074629140934</v>
      </c>
    </row>
    <row r="107" spans="1:45">
      <c r="A107" s="672">
        <f t="shared" si="34"/>
        <v>39845</v>
      </c>
      <c r="C107" s="1484">
        <f ca="1">IF($A107&gt;Endyr,0,VLOOKUP($A107,Tariff_Table,Tariff!$G$33))</f>
        <v>7424.62</v>
      </c>
      <c r="D107" s="1480">
        <f ca="1">VLOOKUP($A107,Curves_Table,Escalation!$V$291)</f>
        <v>1.3387797805891259</v>
      </c>
      <c r="E107" s="1483">
        <f t="shared" ca="1" si="35"/>
        <v>9939.9311345576352</v>
      </c>
      <c r="F107" s="1480">
        <f ca="1">IF(Assm!$L$74=0,VLOOKUP($A107,Curves_Table,Escalation!$D$291),VLOOKUP($A107,Curves_Table,Escalation!$E$291))</f>
        <v>2.5366278151791164</v>
      </c>
      <c r="G107" s="113">
        <f ca="1">IF($A107&lt;EE_Date,VLOOKUP($A107,Curves_Table,Escalation!$D$291),Exch)</f>
        <v>1.0649999999999999</v>
      </c>
      <c r="H107" s="1483">
        <f t="shared" ca="1" si="36"/>
        <v>23675.028917261796</v>
      </c>
      <c r="I107" s="330">
        <f ca="1">VLOOKUP($A107,Plant_Table,'Plant Operations'!$C$270)</f>
        <v>480</v>
      </c>
      <c r="J107" s="1481">
        <f t="shared" ca="1" si="37"/>
        <v>11364.013880285662</v>
      </c>
      <c r="K107" s="1480">
        <f t="shared" ca="1" si="38"/>
        <v>2.5366278151791164</v>
      </c>
      <c r="L107" s="384">
        <f t="shared" ca="1" si="39"/>
        <v>4479.9689620541458</v>
      </c>
      <c r="M107" s="692" t="str">
        <f t="shared" ca="1" si="30"/>
        <v xml:space="preserve"> </v>
      </c>
      <c r="O107" s="1482">
        <f ca="1">IF($A107&gt;Endyr,0,VLOOKUP($A107,Tariff_Table,Tariff!$H$33))</f>
        <v>6118.02</v>
      </c>
      <c r="P107" s="1480">
        <f t="shared" ca="1" si="40"/>
        <v>1.2601074629140934</v>
      </c>
      <c r="Q107" s="1481">
        <f t="shared" ca="1" si="41"/>
        <v>7709.3626602576824</v>
      </c>
      <c r="R107" s="1480">
        <f t="shared" ca="1" si="42"/>
        <v>2.5366278151791164</v>
      </c>
      <c r="S107" s="113">
        <f t="shared" ca="1" si="43"/>
        <v>1.0649999999999999</v>
      </c>
      <c r="T107" s="1481">
        <f t="shared" ca="1" si="44"/>
        <v>18362.238273533247</v>
      </c>
      <c r="U107" s="330">
        <f t="shared" ca="1" si="45"/>
        <v>480</v>
      </c>
      <c r="V107" s="1481">
        <f t="shared" ca="1" si="46"/>
        <v>8813.8743712959586</v>
      </c>
      <c r="W107" s="1480">
        <f t="shared" ca="1" si="47"/>
        <v>2.5366278151791164</v>
      </c>
      <c r="X107" s="384">
        <f t="shared" ca="1" si="48"/>
        <v>3474.6423257499418</v>
      </c>
      <c r="Y107" s="692" t="str">
        <f t="shared" ca="1" si="31"/>
        <v xml:space="preserve"> </v>
      </c>
      <c r="AA107" s="1484">
        <f ca="1">IF($A107&gt;Endyr,0,VLOOKUP($A107,Tariff_Table,Tariff!$I$33))</f>
        <v>2.31</v>
      </c>
      <c r="AB107" s="1480">
        <f t="shared" ca="1" si="32"/>
        <v>1.2601074629140934</v>
      </c>
      <c r="AC107" s="1483">
        <f t="shared" ca="1" si="49"/>
        <v>2.9108482393315556</v>
      </c>
      <c r="AD107" s="1480">
        <f t="shared" ca="1" si="50"/>
        <v>2.5366278151791164</v>
      </c>
      <c r="AE107" s="113">
        <f t="shared" ca="1" si="51"/>
        <v>1.0649999999999999</v>
      </c>
      <c r="AF107" s="1483">
        <f t="shared" ca="1" si="52"/>
        <v>6.9330878963883391</v>
      </c>
      <c r="AG107" s="334">
        <f ca="1">VLOOKUP($A107,Plant_Table,'Plant Operations'!$M$270)</f>
        <v>270047.23200000002</v>
      </c>
      <c r="AH107" s="1481">
        <f t="shared" ca="1" si="53"/>
        <v>1872.261195632374</v>
      </c>
      <c r="AI107" s="1480">
        <f t="shared" ca="1" si="54"/>
        <v>2.5366278151791164</v>
      </c>
      <c r="AJ107" s="335">
        <f t="shared" ca="1" si="55"/>
        <v>738.09061953385935</v>
      </c>
      <c r="AK107" s="698" t="str">
        <f t="shared" ca="1" si="33"/>
        <v xml:space="preserve"> </v>
      </c>
      <c r="AM107" s="697">
        <f ca="1">IF($A107&gt;Endyr,0,VLOOKUP($A107,Tariff_Table,Tariff!$L$33))</f>
        <v>1.21</v>
      </c>
      <c r="AN107" s="1504">
        <f ca="1">VLOOKUP($A107,Curves_Table,Escalation!$Z$291)</f>
        <v>1.3138486742599804</v>
      </c>
      <c r="AO107" s="331">
        <f t="shared" ca="1" si="56"/>
        <v>1.5897568958545762</v>
      </c>
      <c r="AP107" s="331">
        <f ca="1">IF($A107&gt;Endyr,0,VLOOKUP($A107,Tariff_Table,Tariff!$M$33))</f>
        <v>0.25</v>
      </c>
      <c r="AQ107" s="331">
        <f t="shared" ca="1" si="57"/>
        <v>1.8397568958545762</v>
      </c>
      <c r="AR107" s="331">
        <f t="shared" ca="1" si="58"/>
        <v>1.46</v>
      </c>
      <c r="AS107" s="1508">
        <f t="shared" ca="1" si="59"/>
        <v>1.2601074629140934</v>
      </c>
    </row>
    <row r="108" spans="1:45">
      <c r="A108" s="672">
        <f t="shared" si="34"/>
        <v>39873</v>
      </c>
      <c r="C108" s="1484">
        <f ca="1">IF($A108&gt;Endyr,0,VLOOKUP($A108,Tariff_Table,Tariff!$G$33))</f>
        <v>7424.62</v>
      </c>
      <c r="D108" s="1480">
        <f ca="1">VLOOKUP($A108,Curves_Table,Escalation!$V$291)</f>
        <v>1.3387797805891259</v>
      </c>
      <c r="E108" s="1483">
        <f t="shared" ca="1" si="35"/>
        <v>9939.9311345576352</v>
      </c>
      <c r="F108" s="1480">
        <f ca="1">IF(Assm!$L$74=0,VLOOKUP($A108,Curves_Table,Escalation!$D$291),VLOOKUP($A108,Curves_Table,Escalation!$E$291))</f>
        <v>2.5418528531559139</v>
      </c>
      <c r="G108" s="113">
        <f ca="1">IF($A108&lt;EE_Date,VLOOKUP($A108,Curves_Table,Escalation!$D$291),Exch)</f>
        <v>1.0649999999999999</v>
      </c>
      <c r="H108" s="1483">
        <f t="shared" ca="1" si="36"/>
        <v>23723.795600515143</v>
      </c>
      <c r="I108" s="330">
        <f ca="1">VLOOKUP($A108,Plant_Table,'Plant Operations'!$C$270)</f>
        <v>480</v>
      </c>
      <c r="J108" s="1481">
        <f t="shared" ca="1" si="37"/>
        <v>11387.421888247269</v>
      </c>
      <c r="K108" s="1480">
        <f t="shared" ca="1" si="38"/>
        <v>2.5418528531559139</v>
      </c>
      <c r="L108" s="384">
        <f t="shared" ca="1" si="39"/>
        <v>4479.9689620541458</v>
      </c>
      <c r="M108" s="692" t="str">
        <f t="shared" ca="1" si="30"/>
        <v xml:space="preserve"> </v>
      </c>
      <c r="O108" s="1482">
        <f ca="1">IF($A108&gt;Endyr,0,VLOOKUP($A108,Tariff_Table,Tariff!$H$33))</f>
        <v>6118.02</v>
      </c>
      <c r="P108" s="1480">
        <f t="shared" ca="1" si="40"/>
        <v>1.2601074629140934</v>
      </c>
      <c r="Q108" s="1481">
        <f t="shared" ca="1" si="41"/>
        <v>7709.3626602576824</v>
      </c>
      <c r="R108" s="1480">
        <f t="shared" ca="1" si="42"/>
        <v>2.5418528531559139</v>
      </c>
      <c r="S108" s="113">
        <f t="shared" ca="1" si="43"/>
        <v>1.0649999999999999</v>
      </c>
      <c r="T108" s="1481">
        <f t="shared" ca="1" si="44"/>
        <v>18400.061477924562</v>
      </c>
      <c r="U108" s="330">
        <f t="shared" ca="1" si="45"/>
        <v>480</v>
      </c>
      <c r="V108" s="1481">
        <f t="shared" ca="1" si="46"/>
        <v>8832.0295094037901</v>
      </c>
      <c r="W108" s="1480">
        <f t="shared" ca="1" si="47"/>
        <v>2.5418528531559139</v>
      </c>
      <c r="X108" s="384">
        <f t="shared" ca="1" si="48"/>
        <v>3474.6423257499418</v>
      </c>
      <c r="Y108" s="692" t="str">
        <f t="shared" ca="1" si="31"/>
        <v xml:space="preserve"> </v>
      </c>
      <c r="AA108" s="1484">
        <f ca="1">IF($A108&gt;Endyr,0,VLOOKUP($A108,Tariff_Table,Tariff!$I$33))</f>
        <v>2.31</v>
      </c>
      <c r="AB108" s="1480">
        <f t="shared" ca="1" si="32"/>
        <v>1.2601074629140934</v>
      </c>
      <c r="AC108" s="1483">
        <f t="shared" ca="1" si="49"/>
        <v>2.9108482393315556</v>
      </c>
      <c r="AD108" s="1480">
        <f t="shared" ca="1" si="50"/>
        <v>2.5418528531559139</v>
      </c>
      <c r="AE108" s="113">
        <f t="shared" ca="1" si="51"/>
        <v>1.0649999999999999</v>
      </c>
      <c r="AF108" s="1483">
        <f t="shared" ca="1" si="52"/>
        <v>6.9473689222993267</v>
      </c>
      <c r="AG108" s="334">
        <f ca="1">VLOOKUP($A108,Plant_Table,'Plant Operations'!$M$270)</f>
        <v>298980.864</v>
      </c>
      <c r="AH108" s="1481">
        <f t="shared" ca="1" si="53"/>
        <v>2077.1303629158015</v>
      </c>
      <c r="AI108" s="1480">
        <f t="shared" ca="1" si="54"/>
        <v>2.5418528531559139</v>
      </c>
      <c r="AJ108" s="335">
        <f t="shared" ca="1" si="55"/>
        <v>817.17175734105842</v>
      </c>
      <c r="AK108" s="698" t="str">
        <f t="shared" ca="1" si="33"/>
        <v xml:space="preserve"> </v>
      </c>
      <c r="AM108" s="697">
        <f ca="1">IF($A108&gt;Endyr,0,VLOOKUP($A108,Tariff_Table,Tariff!$L$33))</f>
        <v>1.21</v>
      </c>
      <c r="AN108" s="1504">
        <f ca="1">VLOOKUP($A108,Curves_Table,Escalation!$Z$291)</f>
        <v>1.3138486742599804</v>
      </c>
      <c r="AO108" s="331">
        <f t="shared" ca="1" si="56"/>
        <v>1.5897568958545762</v>
      </c>
      <c r="AP108" s="331">
        <f ca="1">IF($A108&gt;Endyr,0,VLOOKUP($A108,Tariff_Table,Tariff!$M$33))</f>
        <v>0.25</v>
      </c>
      <c r="AQ108" s="331">
        <f t="shared" ca="1" si="57"/>
        <v>1.8397568958545762</v>
      </c>
      <c r="AR108" s="331">
        <f t="shared" ca="1" si="58"/>
        <v>1.46</v>
      </c>
      <c r="AS108" s="1508">
        <f t="shared" ca="1" si="59"/>
        <v>1.2601074629140934</v>
      </c>
    </row>
    <row r="109" spans="1:45">
      <c r="A109" s="672">
        <f t="shared" si="34"/>
        <v>39904</v>
      </c>
      <c r="C109" s="1484">
        <f ca="1">IF($A109&gt;Endyr,0,VLOOKUP($A109,Tariff_Table,Tariff!$G$33))</f>
        <v>7424.62</v>
      </c>
      <c r="D109" s="1480">
        <f ca="1">VLOOKUP($A109,Curves_Table,Escalation!$V$291)</f>
        <v>1.3387797805891259</v>
      </c>
      <c r="E109" s="1483">
        <f t="shared" ca="1" si="35"/>
        <v>9939.9311345576352</v>
      </c>
      <c r="F109" s="1480">
        <f ca="1">IF(Assm!$L$74=0,VLOOKUP($A109,Curves_Table,Escalation!$D$291),VLOOKUP($A109,Curves_Table,Escalation!$E$291))</f>
        <v>2.5470886538554471</v>
      </c>
      <c r="G109" s="113">
        <f ca="1">IF($A109&lt;EE_Date,VLOOKUP($A109,Curves_Table,Escalation!$D$291),Exch)</f>
        <v>1.0649999999999999</v>
      </c>
      <c r="H109" s="1483">
        <f t="shared" ca="1" si="36"/>
        <v>23772.662735151414</v>
      </c>
      <c r="I109" s="330">
        <f ca="1">VLOOKUP($A109,Plant_Table,'Plant Operations'!$C$270)</f>
        <v>480</v>
      </c>
      <c r="J109" s="1481">
        <f t="shared" ca="1" si="37"/>
        <v>11410.878112872679</v>
      </c>
      <c r="K109" s="1480">
        <f t="shared" ca="1" si="38"/>
        <v>2.5470886538554471</v>
      </c>
      <c r="L109" s="384">
        <f t="shared" ca="1" si="39"/>
        <v>4479.9689620541458</v>
      </c>
      <c r="M109" s="692" t="str">
        <f t="shared" ca="1" si="30"/>
        <v xml:space="preserve"> </v>
      </c>
      <c r="O109" s="1482">
        <f ca="1">IF($A109&gt;Endyr,0,VLOOKUP($A109,Tariff_Table,Tariff!$H$33))</f>
        <v>6118.02</v>
      </c>
      <c r="P109" s="1480">
        <f t="shared" ca="1" si="40"/>
        <v>1.2601074629140934</v>
      </c>
      <c r="Q109" s="1481">
        <f t="shared" ca="1" si="41"/>
        <v>7709.3626602576824</v>
      </c>
      <c r="R109" s="1480">
        <f t="shared" ca="1" si="42"/>
        <v>2.5470886538554471</v>
      </c>
      <c r="S109" s="113">
        <f t="shared" ca="1" si="43"/>
        <v>1.0649999999999999</v>
      </c>
      <c r="T109" s="1481">
        <f t="shared" ca="1" si="44"/>
        <v>18437.962591924123</v>
      </c>
      <c r="U109" s="330">
        <f t="shared" ca="1" si="45"/>
        <v>480</v>
      </c>
      <c r="V109" s="1481">
        <f t="shared" ca="1" si="46"/>
        <v>8850.2220441235786</v>
      </c>
      <c r="W109" s="1480">
        <f t="shared" ca="1" si="47"/>
        <v>2.5470886538554471</v>
      </c>
      <c r="X109" s="384">
        <f t="shared" ca="1" si="48"/>
        <v>3474.6423257499414</v>
      </c>
      <c r="Y109" s="692" t="str">
        <f t="shared" ca="1" si="31"/>
        <v xml:space="preserve"> </v>
      </c>
      <c r="AA109" s="1484">
        <f ca="1">IF($A109&gt;Endyr,0,VLOOKUP($A109,Tariff_Table,Tariff!$I$33))</f>
        <v>2.31</v>
      </c>
      <c r="AB109" s="1480">
        <f t="shared" ca="1" si="32"/>
        <v>1.2601074629140934</v>
      </c>
      <c r="AC109" s="1483">
        <f t="shared" ca="1" si="49"/>
        <v>2.9108482393315556</v>
      </c>
      <c r="AD109" s="1480">
        <f t="shared" ca="1" si="50"/>
        <v>2.5470886538554471</v>
      </c>
      <c r="AE109" s="113">
        <f t="shared" ca="1" si="51"/>
        <v>1.0649999999999999</v>
      </c>
      <c r="AF109" s="1483">
        <f t="shared" ca="1" si="52"/>
        <v>6.9616793647854562</v>
      </c>
      <c r="AG109" s="334">
        <f ca="1">VLOOKUP($A109,Plant_Table,'Plant Operations'!$M$270)</f>
        <v>289336.32000000001</v>
      </c>
      <c r="AH109" s="1481">
        <f t="shared" ca="1" si="53"/>
        <v>2014.2666884269618</v>
      </c>
      <c r="AI109" s="1480">
        <f t="shared" ca="1" si="54"/>
        <v>2.5470886538554471</v>
      </c>
      <c r="AJ109" s="335">
        <f t="shared" ca="1" si="55"/>
        <v>790.81137807199218</v>
      </c>
      <c r="AK109" s="698" t="str">
        <f t="shared" ca="1" si="33"/>
        <v xml:space="preserve"> </v>
      </c>
      <c r="AM109" s="697">
        <f ca="1">IF($A109&gt;Endyr,0,VLOOKUP($A109,Tariff_Table,Tariff!$L$33))</f>
        <v>1.21</v>
      </c>
      <c r="AN109" s="1504">
        <f ca="1">VLOOKUP($A109,Curves_Table,Escalation!$Z$291)</f>
        <v>1.3138486742599804</v>
      </c>
      <c r="AO109" s="331">
        <f t="shared" ca="1" si="56"/>
        <v>1.5897568958545762</v>
      </c>
      <c r="AP109" s="331">
        <f ca="1">IF($A109&gt;Endyr,0,VLOOKUP($A109,Tariff_Table,Tariff!$M$33))</f>
        <v>0.25</v>
      </c>
      <c r="AQ109" s="331">
        <f t="shared" ca="1" si="57"/>
        <v>1.8397568958545762</v>
      </c>
      <c r="AR109" s="331">
        <f t="shared" ca="1" si="58"/>
        <v>1.46</v>
      </c>
      <c r="AS109" s="1508">
        <f t="shared" ca="1" si="59"/>
        <v>1.2601074629140934</v>
      </c>
    </row>
    <row r="110" spans="1:45">
      <c r="A110" s="672">
        <f t="shared" si="34"/>
        <v>39934</v>
      </c>
      <c r="C110" s="1484">
        <f ca="1">IF($A110&gt;Endyr,0,VLOOKUP($A110,Tariff_Table,Tariff!$G$33))</f>
        <v>7431.57</v>
      </c>
      <c r="D110" s="1480">
        <f ca="1">VLOOKUP($A110,Curves_Table,Escalation!$V$291)</f>
        <v>1.3739510144936682</v>
      </c>
      <c r="E110" s="1483">
        <f t="shared" ca="1" si="35"/>
        <v>10210.61314078071</v>
      </c>
      <c r="F110" s="1480">
        <f ca="1">IF(Assm!$L$74=0,VLOOKUP($A110,Curves_Table,Escalation!$D$291),VLOOKUP($A110,Curves_Table,Escalation!$E$291))</f>
        <v>2.5523352394471628</v>
      </c>
      <c r="G110" s="113">
        <f ca="1">IF($A110&lt;EE_Date,VLOOKUP($A110,Curves_Table,Escalation!$D$291),Exch)</f>
        <v>1.0649999999999999</v>
      </c>
      <c r="H110" s="1483">
        <f t="shared" ca="1" si="36"/>
        <v>24470.335901950122</v>
      </c>
      <c r="I110" s="330">
        <f ca="1">VLOOKUP($A110,Plant_Table,'Plant Operations'!$C$270)</f>
        <v>480</v>
      </c>
      <c r="J110" s="1481">
        <f t="shared" ca="1" si="37"/>
        <v>11745.761232936058</v>
      </c>
      <c r="K110" s="1480">
        <f t="shared" ca="1" si="38"/>
        <v>2.5523352394471628</v>
      </c>
      <c r="L110" s="384">
        <f t="shared" ca="1" si="39"/>
        <v>4601.9664859856721</v>
      </c>
      <c r="M110" s="692" t="str">
        <f t="shared" ca="1" si="30"/>
        <v xml:space="preserve"> </v>
      </c>
      <c r="O110" s="1482">
        <f ca="1">IF($A110&gt;Endyr,0,VLOOKUP($A110,Tariff_Table,Tariff!$H$33))</f>
        <v>6140.72</v>
      </c>
      <c r="P110" s="1480">
        <f t="shared" ca="1" si="40"/>
        <v>1.2859912229375339</v>
      </c>
      <c r="Q110" s="1481">
        <f t="shared" ca="1" si="41"/>
        <v>7896.9120225169736</v>
      </c>
      <c r="R110" s="1480">
        <f t="shared" ca="1" si="42"/>
        <v>2.5523352394471628</v>
      </c>
      <c r="S110" s="113">
        <f t="shared" ca="1" si="43"/>
        <v>1.0649999999999999</v>
      </c>
      <c r="T110" s="1481">
        <f t="shared" ca="1" si="44"/>
        <v>18925.414871252618</v>
      </c>
      <c r="U110" s="330">
        <f t="shared" ca="1" si="45"/>
        <v>480</v>
      </c>
      <c r="V110" s="1481">
        <f t="shared" ca="1" si="46"/>
        <v>9084.1991382012566</v>
      </c>
      <c r="W110" s="1480">
        <f t="shared" ca="1" si="47"/>
        <v>2.5523352394471628</v>
      </c>
      <c r="X110" s="384">
        <f t="shared" ca="1" si="48"/>
        <v>3559.171615782298</v>
      </c>
      <c r="Y110" s="692" t="str">
        <f t="shared" ca="1" si="31"/>
        <v xml:space="preserve"> </v>
      </c>
      <c r="AA110" s="1484">
        <f ca="1">IF($A110&gt;Endyr,0,VLOOKUP($A110,Tariff_Table,Tariff!$I$33))</f>
        <v>2.31</v>
      </c>
      <c r="AB110" s="1480">
        <f t="shared" ca="1" si="32"/>
        <v>1.2859912229375339</v>
      </c>
      <c r="AC110" s="1483">
        <f t="shared" ca="1" si="49"/>
        <v>2.9706397249857033</v>
      </c>
      <c r="AD110" s="1480">
        <f t="shared" ca="1" si="50"/>
        <v>2.5523352394471628</v>
      </c>
      <c r="AE110" s="113">
        <f t="shared" ca="1" si="51"/>
        <v>1.0649999999999999</v>
      </c>
      <c r="AF110" s="1483">
        <f t="shared" ca="1" si="52"/>
        <v>7.1193131021433231</v>
      </c>
      <c r="AG110" s="334">
        <f ca="1">VLOOKUP($A110,Plant_Table,'Plant Operations'!$M$270)</f>
        <v>298980.864</v>
      </c>
      <c r="AH110" s="1481">
        <f t="shared" ca="1" si="53"/>
        <v>2128.538382365331</v>
      </c>
      <c r="AI110" s="1480">
        <f t="shared" ca="1" si="54"/>
        <v>2.5523352394471628</v>
      </c>
      <c r="AJ110" s="335">
        <f t="shared" ca="1" si="55"/>
        <v>833.95721277835491</v>
      </c>
      <c r="AK110" s="698" t="str">
        <f t="shared" ca="1" si="33"/>
        <v xml:space="preserve"> </v>
      </c>
      <c r="AM110" s="697">
        <f ca="1">IF($A110&gt;Endyr,0,VLOOKUP($A110,Tariff_Table,Tariff!$L$33))</f>
        <v>1.21</v>
      </c>
      <c r="AN110" s="1504">
        <f ca="1">VLOOKUP($A110,Curves_Table,Escalation!$Z$291)</f>
        <v>1.3450803185857847</v>
      </c>
      <c r="AO110" s="331">
        <f t="shared" ca="1" si="56"/>
        <v>1.6275471854887995</v>
      </c>
      <c r="AP110" s="331">
        <f ca="1">IF($A110&gt;Endyr,0,VLOOKUP($A110,Tariff_Table,Tariff!$M$33))</f>
        <v>0.25</v>
      </c>
      <c r="AQ110" s="331">
        <f t="shared" ca="1" si="57"/>
        <v>1.8775471854887995</v>
      </c>
      <c r="AR110" s="331">
        <f t="shared" ca="1" si="58"/>
        <v>1.46</v>
      </c>
      <c r="AS110" s="1508">
        <f t="shared" ca="1" si="59"/>
        <v>1.2859912229375339</v>
      </c>
    </row>
    <row r="111" spans="1:45">
      <c r="A111" s="672">
        <f t="shared" si="34"/>
        <v>39965</v>
      </c>
      <c r="C111" s="1484">
        <f ca="1">IF($A111&gt;Endyr,0,VLOOKUP($A111,Tariff_Table,Tariff!$G$33))</f>
        <v>7431.57</v>
      </c>
      <c r="D111" s="1480">
        <f ca="1">VLOOKUP($A111,Curves_Table,Escalation!$V$291)</f>
        <v>1.3739510144936682</v>
      </c>
      <c r="E111" s="1483">
        <f t="shared" ca="1" si="35"/>
        <v>10210.61314078071</v>
      </c>
      <c r="F111" s="1480">
        <f ca="1">IF(Assm!$L$74=0,VLOOKUP($A111,Curves_Table,Escalation!$D$291),VLOOKUP($A111,Curves_Table,Escalation!$E$291))</f>
        <v>2.5575926321461733</v>
      </c>
      <c r="G111" s="113">
        <f ca="1">IF($A111&lt;EE_Date,VLOOKUP($A111,Curves_Table,Escalation!$D$291),Exch)</f>
        <v>1.0649999999999999</v>
      </c>
      <c r="H111" s="1483">
        <f t="shared" ca="1" si="36"/>
        <v>24520.740787376188</v>
      </c>
      <c r="I111" s="330">
        <f ca="1">VLOOKUP($A111,Plant_Table,'Plant Operations'!$C$270)</f>
        <v>480</v>
      </c>
      <c r="J111" s="1481">
        <f t="shared" ca="1" si="37"/>
        <v>11769.955577940571</v>
      </c>
      <c r="K111" s="1480">
        <f t="shared" ca="1" si="38"/>
        <v>2.5575926321461733</v>
      </c>
      <c r="L111" s="384">
        <f t="shared" ca="1" si="39"/>
        <v>4601.9664859856721</v>
      </c>
      <c r="M111" s="692" t="str">
        <f t="shared" ca="1" si="30"/>
        <v xml:space="preserve"> </v>
      </c>
      <c r="O111" s="1482">
        <f ca="1">IF($A111&gt;Endyr,0,VLOOKUP($A111,Tariff_Table,Tariff!$H$33))</f>
        <v>6140.72</v>
      </c>
      <c r="P111" s="1480">
        <f t="shared" ca="1" si="40"/>
        <v>1.2859912229375339</v>
      </c>
      <c r="Q111" s="1481">
        <f t="shared" ca="1" si="41"/>
        <v>7896.9120225169736</v>
      </c>
      <c r="R111" s="1480">
        <f t="shared" ca="1" si="42"/>
        <v>2.5575926321461733</v>
      </c>
      <c r="S111" s="113">
        <f t="shared" ca="1" si="43"/>
        <v>1.0649999999999999</v>
      </c>
      <c r="T111" s="1481">
        <f t="shared" ca="1" si="44"/>
        <v>18964.398127226243</v>
      </c>
      <c r="U111" s="330">
        <f t="shared" ca="1" si="45"/>
        <v>480</v>
      </c>
      <c r="V111" s="1481">
        <f t="shared" ca="1" si="46"/>
        <v>9102.9111010685974</v>
      </c>
      <c r="W111" s="1480">
        <f t="shared" ca="1" si="47"/>
        <v>2.5575926321461733</v>
      </c>
      <c r="X111" s="384">
        <f t="shared" ca="1" si="48"/>
        <v>3559.1716157822984</v>
      </c>
      <c r="Y111" s="692" t="str">
        <f t="shared" ca="1" si="31"/>
        <v xml:space="preserve"> </v>
      </c>
      <c r="AA111" s="1484">
        <f ca="1">IF($A111&gt;Endyr,0,VLOOKUP($A111,Tariff_Table,Tariff!$I$33))</f>
        <v>2.31</v>
      </c>
      <c r="AB111" s="1480">
        <f t="shared" ca="1" si="32"/>
        <v>1.2859912229375339</v>
      </c>
      <c r="AC111" s="1483">
        <f t="shared" ca="1" si="49"/>
        <v>2.9706397249857033</v>
      </c>
      <c r="AD111" s="1480">
        <f t="shared" ca="1" si="50"/>
        <v>2.5575926321461733</v>
      </c>
      <c r="AE111" s="113">
        <f t="shared" ca="1" si="51"/>
        <v>1.0649999999999999</v>
      </c>
      <c r="AF111" s="1483">
        <f t="shared" ca="1" si="52"/>
        <v>7.1339777214874829</v>
      </c>
      <c r="AG111" s="334">
        <f ca="1">VLOOKUP($A111,Plant_Table,'Plant Operations'!$M$270)</f>
        <v>289336.32000000001</v>
      </c>
      <c r="AH111" s="1481">
        <f t="shared" ca="1" si="53"/>
        <v>2064.1188608971734</v>
      </c>
      <c r="AI111" s="1480">
        <f t="shared" ca="1" si="54"/>
        <v>2.5575926321461733</v>
      </c>
      <c r="AJ111" s="335">
        <f t="shared" ca="1" si="55"/>
        <v>807.05536720485964</v>
      </c>
      <c r="AK111" s="698" t="str">
        <f t="shared" ca="1" si="33"/>
        <v xml:space="preserve"> </v>
      </c>
      <c r="AM111" s="697">
        <f ca="1">IF($A111&gt;Endyr,0,VLOOKUP($A111,Tariff_Table,Tariff!$L$33))</f>
        <v>1.21</v>
      </c>
      <c r="AN111" s="1504">
        <f ca="1">VLOOKUP($A111,Curves_Table,Escalation!$Z$291)</f>
        <v>1.3450803185857847</v>
      </c>
      <c r="AO111" s="331">
        <f t="shared" ca="1" si="56"/>
        <v>1.6275471854887995</v>
      </c>
      <c r="AP111" s="331">
        <f ca="1">IF($A111&gt;Endyr,0,VLOOKUP($A111,Tariff_Table,Tariff!$M$33))</f>
        <v>0.25</v>
      </c>
      <c r="AQ111" s="331">
        <f t="shared" ca="1" si="57"/>
        <v>1.8775471854887995</v>
      </c>
      <c r="AR111" s="331">
        <f t="shared" ca="1" si="58"/>
        <v>1.46</v>
      </c>
      <c r="AS111" s="1508">
        <f t="shared" ca="1" si="59"/>
        <v>1.2859912229375339</v>
      </c>
    </row>
    <row r="112" spans="1:45">
      <c r="A112" s="672">
        <f t="shared" si="34"/>
        <v>39995</v>
      </c>
      <c r="C112" s="1484">
        <f ca="1">IF($A112&gt;Endyr,0,VLOOKUP($A112,Tariff_Table,Tariff!$G$33))</f>
        <v>7431.57</v>
      </c>
      <c r="D112" s="1480">
        <f ca="1">VLOOKUP($A112,Curves_Table,Escalation!$V$291)</f>
        <v>1.3739510144936682</v>
      </c>
      <c r="E112" s="1483">
        <f t="shared" ca="1" si="35"/>
        <v>10210.61314078071</v>
      </c>
      <c r="F112" s="1480">
        <f ca="1">IF(Assm!$L$74=0,VLOOKUP($A112,Curves_Table,Escalation!$D$291),VLOOKUP($A112,Curves_Table,Escalation!$E$291))</f>
        <v>2.56286085421335</v>
      </c>
      <c r="G112" s="113">
        <f ca="1">IF($A112&lt;EE_Date,VLOOKUP($A112,Curves_Table,Escalation!$D$291),Exch)</f>
        <v>1.0649999999999999</v>
      </c>
      <c r="H112" s="1483">
        <f t="shared" ca="1" si="36"/>
        <v>24571.249498613433</v>
      </c>
      <c r="I112" s="330">
        <f ca="1">VLOOKUP($A112,Plant_Table,'Plant Operations'!$C$270)</f>
        <v>480</v>
      </c>
      <c r="J112" s="1481">
        <f t="shared" ca="1" si="37"/>
        <v>11794.199759334449</v>
      </c>
      <c r="K112" s="1480">
        <f t="shared" ca="1" si="38"/>
        <v>2.56286085421335</v>
      </c>
      <c r="L112" s="384">
        <f t="shared" ca="1" si="39"/>
        <v>4601.966485985673</v>
      </c>
      <c r="M112" s="692" t="str">
        <f t="shared" ca="1" si="30"/>
        <v xml:space="preserve"> </v>
      </c>
      <c r="O112" s="1482">
        <f ca="1">IF($A112&gt;Endyr,0,VLOOKUP($A112,Tariff_Table,Tariff!$H$33))</f>
        <v>6140.72</v>
      </c>
      <c r="P112" s="1480">
        <f t="shared" ca="1" si="40"/>
        <v>1.2859912229375339</v>
      </c>
      <c r="Q112" s="1481">
        <f t="shared" ca="1" si="41"/>
        <v>7896.9120225169736</v>
      </c>
      <c r="R112" s="1480">
        <f t="shared" ca="1" si="42"/>
        <v>2.56286085421335</v>
      </c>
      <c r="S112" s="113">
        <f t="shared" ca="1" si="43"/>
        <v>1.0649999999999999</v>
      </c>
      <c r="T112" s="1481">
        <f t="shared" ca="1" si="44"/>
        <v>19003.461682324436</v>
      </c>
      <c r="U112" s="330">
        <f t="shared" ca="1" si="45"/>
        <v>480</v>
      </c>
      <c r="V112" s="1481">
        <f t="shared" ca="1" si="46"/>
        <v>9121.6616075157308</v>
      </c>
      <c r="W112" s="1480">
        <f t="shared" ca="1" si="47"/>
        <v>2.56286085421335</v>
      </c>
      <c r="X112" s="384">
        <f t="shared" ca="1" si="48"/>
        <v>3559.1716157822984</v>
      </c>
      <c r="Y112" s="692" t="str">
        <f t="shared" ca="1" si="31"/>
        <v xml:space="preserve"> </v>
      </c>
      <c r="AA112" s="1484">
        <f ca="1">IF($A112&gt;Endyr,0,VLOOKUP($A112,Tariff_Table,Tariff!$I$33))</f>
        <v>2.31</v>
      </c>
      <c r="AB112" s="1480">
        <f t="shared" ca="1" si="32"/>
        <v>1.2859912229375339</v>
      </c>
      <c r="AC112" s="1483">
        <f t="shared" ca="1" si="49"/>
        <v>2.9706397249857033</v>
      </c>
      <c r="AD112" s="1480">
        <f t="shared" ca="1" si="50"/>
        <v>2.56286085421335</v>
      </c>
      <c r="AE112" s="113">
        <f t="shared" ca="1" si="51"/>
        <v>1.0649999999999999</v>
      </c>
      <c r="AF112" s="1483">
        <f t="shared" ca="1" si="52"/>
        <v>7.1486725475464512</v>
      </c>
      <c r="AG112" s="334">
        <f ca="1">VLOOKUP($A112,Plant_Table,'Plant Operations'!$M$270)</f>
        <v>298980.864</v>
      </c>
      <c r="AH112" s="1481">
        <f t="shared" ca="1" si="53"/>
        <v>2137.3162947185187</v>
      </c>
      <c r="AI112" s="1480">
        <f t="shared" ca="1" si="54"/>
        <v>2.56286085421335</v>
      </c>
      <c r="AJ112" s="335">
        <f t="shared" ca="1" si="55"/>
        <v>833.9572127783548</v>
      </c>
      <c r="AK112" s="698" t="str">
        <f t="shared" ca="1" si="33"/>
        <v xml:space="preserve"> </v>
      </c>
      <c r="AM112" s="697">
        <f ca="1">IF($A112&gt;Endyr,0,VLOOKUP($A112,Tariff_Table,Tariff!$L$33))</f>
        <v>1.21</v>
      </c>
      <c r="AN112" s="1504">
        <f ca="1">VLOOKUP($A112,Curves_Table,Escalation!$Z$291)</f>
        <v>1.3450803185857847</v>
      </c>
      <c r="AO112" s="331">
        <f t="shared" ca="1" si="56"/>
        <v>1.6275471854887995</v>
      </c>
      <c r="AP112" s="331">
        <f ca="1">IF($A112&gt;Endyr,0,VLOOKUP($A112,Tariff_Table,Tariff!$M$33))</f>
        <v>0.25</v>
      </c>
      <c r="AQ112" s="331">
        <f t="shared" ca="1" si="57"/>
        <v>1.8775471854887995</v>
      </c>
      <c r="AR112" s="331">
        <f t="shared" ca="1" si="58"/>
        <v>1.46</v>
      </c>
      <c r="AS112" s="1508">
        <f t="shared" ca="1" si="59"/>
        <v>1.2859912229375339</v>
      </c>
    </row>
    <row r="113" spans="1:45">
      <c r="A113" s="672">
        <f t="shared" si="34"/>
        <v>40026</v>
      </c>
      <c r="C113" s="1484">
        <f ca="1">IF($A113&gt;Endyr,0,VLOOKUP($A113,Tariff_Table,Tariff!$G$33))</f>
        <v>7431.57</v>
      </c>
      <c r="D113" s="1480">
        <f ca="1">VLOOKUP($A113,Curves_Table,Escalation!$V$291)</f>
        <v>1.3739510144936682</v>
      </c>
      <c r="E113" s="1483">
        <f t="shared" ca="1" si="35"/>
        <v>10210.61314078071</v>
      </c>
      <c r="F113" s="1480">
        <f ca="1">IF(Assm!$L$74=0,VLOOKUP($A113,Curves_Table,Escalation!$D$291),VLOOKUP($A113,Curves_Table,Escalation!$E$291))</f>
        <v>2.5681399279554182</v>
      </c>
      <c r="G113" s="113">
        <f ca="1">IF($A113&lt;EE_Date,VLOOKUP($A113,Curves_Table,Escalation!$D$291),Exch)</f>
        <v>1.0649999999999999</v>
      </c>
      <c r="H113" s="1483">
        <f t="shared" ca="1" si="36"/>
        <v>24621.862249526028</v>
      </c>
      <c r="I113" s="330">
        <f ca="1">VLOOKUP($A113,Plant_Table,'Plant Operations'!$C$270)</f>
        <v>480</v>
      </c>
      <c r="J113" s="1481">
        <f t="shared" ca="1" si="37"/>
        <v>11818.493879772494</v>
      </c>
      <c r="K113" s="1480">
        <f t="shared" ca="1" si="38"/>
        <v>2.5681399279554182</v>
      </c>
      <c r="L113" s="384">
        <f t="shared" ca="1" si="39"/>
        <v>4601.9664859856721</v>
      </c>
      <c r="M113" s="692" t="str">
        <f t="shared" ca="1" si="30"/>
        <v xml:space="preserve"> </v>
      </c>
      <c r="O113" s="1482">
        <f ca="1">IF($A113&gt;Endyr,0,VLOOKUP($A113,Tariff_Table,Tariff!$H$33))</f>
        <v>6140.72</v>
      </c>
      <c r="P113" s="1480">
        <f t="shared" ca="1" si="40"/>
        <v>1.2859912229375339</v>
      </c>
      <c r="Q113" s="1481">
        <f t="shared" ca="1" si="41"/>
        <v>7896.9120225169736</v>
      </c>
      <c r="R113" s="1480">
        <f t="shared" ca="1" si="42"/>
        <v>2.5681399279554182</v>
      </c>
      <c r="S113" s="113">
        <f t="shared" ca="1" si="43"/>
        <v>1.0649999999999999</v>
      </c>
      <c r="T113" s="1481">
        <f t="shared" ca="1" si="44"/>
        <v>19042.605701950251</v>
      </c>
      <c r="U113" s="330">
        <f t="shared" ca="1" si="45"/>
        <v>480</v>
      </c>
      <c r="V113" s="1481">
        <f t="shared" ca="1" si="46"/>
        <v>9140.4507369361199</v>
      </c>
      <c r="W113" s="1480">
        <f t="shared" ca="1" si="47"/>
        <v>2.5681399279554182</v>
      </c>
      <c r="X113" s="384">
        <f t="shared" ca="1" si="48"/>
        <v>3559.171615782298</v>
      </c>
      <c r="Y113" s="692" t="str">
        <f t="shared" ca="1" si="31"/>
        <v xml:space="preserve"> </v>
      </c>
      <c r="AA113" s="1484">
        <f ca="1">IF($A113&gt;Endyr,0,VLOOKUP($A113,Tariff_Table,Tariff!$I$33))</f>
        <v>2.31</v>
      </c>
      <c r="AB113" s="1480">
        <f t="shared" ca="1" si="32"/>
        <v>1.2859912229375339</v>
      </c>
      <c r="AC113" s="1483">
        <f t="shared" ca="1" si="49"/>
        <v>2.9706397249857033</v>
      </c>
      <c r="AD113" s="1480">
        <f t="shared" ca="1" si="50"/>
        <v>2.5681399279554182</v>
      </c>
      <c r="AE113" s="113">
        <f t="shared" ca="1" si="51"/>
        <v>1.0649999999999999</v>
      </c>
      <c r="AF113" s="1483">
        <f t="shared" ca="1" si="52"/>
        <v>7.1633976425411152</v>
      </c>
      <c r="AG113" s="334">
        <f ca="1">VLOOKUP($A113,Plant_Table,'Plant Operations'!$M$270)</f>
        <v>298980.864</v>
      </c>
      <c r="AH113" s="1481">
        <f t="shared" ca="1" si="53"/>
        <v>2141.7188163425058</v>
      </c>
      <c r="AI113" s="1480">
        <f t="shared" ca="1" si="54"/>
        <v>2.5681399279554182</v>
      </c>
      <c r="AJ113" s="335">
        <f t="shared" ca="1" si="55"/>
        <v>833.95721277835491</v>
      </c>
      <c r="AK113" s="698" t="str">
        <f t="shared" ca="1" si="33"/>
        <v xml:space="preserve"> </v>
      </c>
      <c r="AM113" s="697">
        <f ca="1">IF($A113&gt;Endyr,0,VLOOKUP($A113,Tariff_Table,Tariff!$L$33))</f>
        <v>1.21</v>
      </c>
      <c r="AN113" s="1504">
        <f ca="1">VLOOKUP($A113,Curves_Table,Escalation!$Z$291)</f>
        <v>1.3450803185857847</v>
      </c>
      <c r="AO113" s="331">
        <f t="shared" ca="1" si="56"/>
        <v>1.6275471854887995</v>
      </c>
      <c r="AP113" s="331">
        <f ca="1">IF($A113&gt;Endyr,0,VLOOKUP($A113,Tariff_Table,Tariff!$M$33))</f>
        <v>0.25</v>
      </c>
      <c r="AQ113" s="331">
        <f t="shared" ca="1" si="57"/>
        <v>1.8775471854887995</v>
      </c>
      <c r="AR113" s="331">
        <f t="shared" ca="1" si="58"/>
        <v>1.46</v>
      </c>
      <c r="AS113" s="1508">
        <f t="shared" ca="1" si="59"/>
        <v>1.2859912229375339</v>
      </c>
    </row>
    <row r="114" spans="1:45">
      <c r="A114" s="672">
        <f t="shared" si="34"/>
        <v>40057</v>
      </c>
      <c r="C114" s="1484">
        <f ca="1">IF($A114&gt;Endyr,0,VLOOKUP($A114,Tariff_Table,Tariff!$G$33))</f>
        <v>7431.57</v>
      </c>
      <c r="D114" s="1480">
        <f ca="1">VLOOKUP($A114,Curves_Table,Escalation!$V$291)</f>
        <v>1.3739510144936682</v>
      </c>
      <c r="E114" s="1483">
        <f t="shared" ca="1" si="35"/>
        <v>10210.61314078071</v>
      </c>
      <c r="F114" s="1480">
        <f ca="1">IF(Assm!$L$74=0,VLOOKUP($A114,Curves_Table,Escalation!$D$291),VLOOKUP($A114,Curves_Table,Escalation!$E$291))</f>
        <v>2.5734298757250516</v>
      </c>
      <c r="G114" s="113">
        <f ca="1">IF($A114&lt;EE_Date,VLOOKUP($A114,Curves_Table,Escalation!$D$291),Exch)</f>
        <v>1.0649999999999999</v>
      </c>
      <c r="H114" s="1483">
        <f t="shared" ca="1" si="36"/>
        <v>24672.57925441867</v>
      </c>
      <c r="I114" s="330">
        <f ca="1">VLOOKUP($A114,Plant_Table,'Plant Operations'!$C$270)</f>
        <v>480</v>
      </c>
      <c r="J114" s="1481">
        <f t="shared" ca="1" si="37"/>
        <v>11842.838042120962</v>
      </c>
      <c r="K114" s="1480">
        <f t="shared" ca="1" si="38"/>
        <v>2.5734298757250516</v>
      </c>
      <c r="L114" s="384">
        <f t="shared" ca="1" si="39"/>
        <v>4601.966485985673</v>
      </c>
      <c r="M114" s="692" t="str">
        <f t="shared" ca="1" si="30"/>
        <v xml:space="preserve"> </v>
      </c>
      <c r="O114" s="1482">
        <f ca="1">IF($A114&gt;Endyr,0,VLOOKUP($A114,Tariff_Table,Tariff!$H$33))</f>
        <v>6140.72</v>
      </c>
      <c r="P114" s="1480">
        <f t="shared" ca="1" si="40"/>
        <v>1.2859912229375339</v>
      </c>
      <c r="Q114" s="1481">
        <f t="shared" ca="1" si="41"/>
        <v>7896.9120225169736</v>
      </c>
      <c r="R114" s="1480">
        <f t="shared" ca="1" si="42"/>
        <v>2.5734298757250516</v>
      </c>
      <c r="S114" s="113">
        <f t="shared" ca="1" si="43"/>
        <v>1.0649999999999999</v>
      </c>
      <c r="T114" s="1481">
        <f t="shared" ca="1" si="44"/>
        <v>19081.830351847439</v>
      </c>
      <c r="U114" s="330">
        <f t="shared" ca="1" si="45"/>
        <v>480</v>
      </c>
      <c r="V114" s="1481">
        <f t="shared" ca="1" si="46"/>
        <v>9159.2785688867698</v>
      </c>
      <c r="W114" s="1480">
        <f t="shared" ca="1" si="47"/>
        <v>2.5734298757250516</v>
      </c>
      <c r="X114" s="384">
        <f t="shared" ca="1" si="48"/>
        <v>3559.171615782298</v>
      </c>
      <c r="Y114" s="692" t="str">
        <f t="shared" ca="1" si="31"/>
        <v xml:space="preserve"> </v>
      </c>
      <c r="AA114" s="1484">
        <f ca="1">IF($A114&gt;Endyr,0,VLOOKUP($A114,Tariff_Table,Tariff!$I$33))</f>
        <v>2.31</v>
      </c>
      <c r="AB114" s="1480">
        <f t="shared" ca="1" si="32"/>
        <v>1.2859912229375339</v>
      </c>
      <c r="AC114" s="1483">
        <f t="shared" ca="1" si="49"/>
        <v>2.9706397249857033</v>
      </c>
      <c r="AD114" s="1480">
        <f t="shared" ca="1" si="50"/>
        <v>2.5734298757250516</v>
      </c>
      <c r="AE114" s="113">
        <f t="shared" ca="1" si="51"/>
        <v>1.0649999999999999</v>
      </c>
      <c r="AF114" s="1483">
        <f t="shared" ca="1" si="52"/>
        <v>7.1781530688205253</v>
      </c>
      <c r="AG114" s="334">
        <f ca="1">VLOOKUP($A114,Plant_Table,'Plant Operations'!$M$270)</f>
        <v>289336.32000000001</v>
      </c>
      <c r="AH114" s="1481">
        <f t="shared" ca="1" si="53"/>
        <v>2076.9003933292374</v>
      </c>
      <c r="AI114" s="1480">
        <f t="shared" ca="1" si="54"/>
        <v>2.5734298757250516</v>
      </c>
      <c r="AJ114" s="335">
        <f t="shared" ca="1" si="55"/>
        <v>807.05536720485952</v>
      </c>
      <c r="AK114" s="698" t="str">
        <f t="shared" ca="1" si="33"/>
        <v xml:space="preserve"> </v>
      </c>
      <c r="AM114" s="697">
        <f ca="1">IF($A114&gt;Endyr,0,VLOOKUP($A114,Tariff_Table,Tariff!$L$33))</f>
        <v>1.21</v>
      </c>
      <c r="AN114" s="1504">
        <f ca="1">VLOOKUP($A114,Curves_Table,Escalation!$Z$291)</f>
        <v>1.3450803185857847</v>
      </c>
      <c r="AO114" s="331">
        <f t="shared" ca="1" si="56"/>
        <v>1.6275471854887995</v>
      </c>
      <c r="AP114" s="331">
        <f ca="1">IF($A114&gt;Endyr,0,VLOOKUP($A114,Tariff_Table,Tariff!$M$33))</f>
        <v>0.25</v>
      </c>
      <c r="AQ114" s="331">
        <f t="shared" ca="1" si="57"/>
        <v>1.8775471854887995</v>
      </c>
      <c r="AR114" s="331">
        <f t="shared" ca="1" si="58"/>
        <v>1.46</v>
      </c>
      <c r="AS114" s="1508">
        <f t="shared" ca="1" si="59"/>
        <v>1.2859912229375339</v>
      </c>
    </row>
    <row r="115" spans="1:45">
      <c r="A115" s="672">
        <f t="shared" si="34"/>
        <v>40087</v>
      </c>
      <c r="C115" s="1484">
        <f ca="1">IF($A115&gt;Endyr,0,VLOOKUP($A115,Tariff_Table,Tariff!$G$33))</f>
        <v>7431.57</v>
      </c>
      <c r="D115" s="1480">
        <f ca="1">VLOOKUP($A115,Curves_Table,Escalation!$V$291)</f>
        <v>1.3739510144936682</v>
      </c>
      <c r="E115" s="1483">
        <f t="shared" ca="1" si="35"/>
        <v>10210.61314078071</v>
      </c>
      <c r="F115" s="1480">
        <f ca="1">IF(Assm!$L$74=0,VLOOKUP($A115,Curves_Table,Escalation!$D$291),VLOOKUP($A115,Curves_Table,Escalation!$E$291))</f>
        <v>2.5787307199209661</v>
      </c>
      <c r="G115" s="113">
        <f ca="1">IF($A115&lt;EE_Date,VLOOKUP($A115,Curves_Table,Escalation!$D$291),Exch)</f>
        <v>1.0649999999999999</v>
      </c>
      <c r="H115" s="1483">
        <f t="shared" ca="1" si="36"/>
        <v>24723.400728037479</v>
      </c>
      <c r="I115" s="330">
        <f ca="1">VLOOKUP($A115,Plant_Table,'Plant Operations'!$C$270)</f>
        <v>480</v>
      </c>
      <c r="J115" s="1481">
        <f t="shared" ca="1" si="37"/>
        <v>11867.23234945799</v>
      </c>
      <c r="K115" s="1480">
        <f t="shared" ca="1" si="38"/>
        <v>2.5787307199209661</v>
      </c>
      <c r="L115" s="384">
        <f t="shared" ca="1" si="39"/>
        <v>4601.9664859856721</v>
      </c>
      <c r="M115" s="692" t="str">
        <f t="shared" ca="1" si="30"/>
        <v xml:space="preserve"> </v>
      </c>
      <c r="O115" s="1482">
        <f ca="1">IF($A115&gt;Endyr,0,VLOOKUP($A115,Tariff_Table,Tariff!$H$33))</f>
        <v>6140.72</v>
      </c>
      <c r="P115" s="1480">
        <f t="shared" ca="1" si="40"/>
        <v>1.2859912229375339</v>
      </c>
      <c r="Q115" s="1481">
        <f t="shared" ca="1" si="41"/>
        <v>7896.9120225169736</v>
      </c>
      <c r="R115" s="1480">
        <f t="shared" ca="1" si="42"/>
        <v>2.5787307199209661</v>
      </c>
      <c r="S115" s="113">
        <f t="shared" ca="1" si="43"/>
        <v>1.0649999999999999</v>
      </c>
      <c r="T115" s="1481">
        <f t="shared" ca="1" si="44"/>
        <v>19121.135798101153</v>
      </c>
      <c r="U115" s="330">
        <f t="shared" ca="1" si="45"/>
        <v>480</v>
      </c>
      <c r="V115" s="1481">
        <f t="shared" ca="1" si="46"/>
        <v>9178.1451830885544</v>
      </c>
      <c r="W115" s="1480">
        <f t="shared" ca="1" si="47"/>
        <v>2.5787307199209661</v>
      </c>
      <c r="X115" s="384">
        <f t="shared" ca="1" si="48"/>
        <v>3559.1716157822984</v>
      </c>
      <c r="Y115" s="692" t="str">
        <f t="shared" ca="1" si="31"/>
        <v xml:space="preserve"> </v>
      </c>
      <c r="AA115" s="1484">
        <f ca="1">IF($A115&gt;Endyr,0,VLOOKUP($A115,Tariff_Table,Tariff!$I$33))</f>
        <v>2.31</v>
      </c>
      <c r="AB115" s="1480">
        <f t="shared" ca="1" si="32"/>
        <v>1.2859912229375339</v>
      </c>
      <c r="AC115" s="1483">
        <f t="shared" ca="1" si="49"/>
        <v>2.9706397249857033</v>
      </c>
      <c r="AD115" s="1480">
        <f t="shared" ca="1" si="50"/>
        <v>2.5787307199209661</v>
      </c>
      <c r="AE115" s="113">
        <f t="shared" ca="1" si="51"/>
        <v>1.0649999999999999</v>
      </c>
      <c r="AF115" s="1483">
        <f t="shared" ca="1" si="52"/>
        <v>7.1929388888621633</v>
      </c>
      <c r="AG115" s="334">
        <f ca="1">VLOOKUP($A115,Plant_Table,'Plant Operations'!$M$270)</f>
        <v>298980.864</v>
      </c>
      <c r="AH115" s="1481">
        <f t="shared" ca="1" si="53"/>
        <v>2150.5510836912094</v>
      </c>
      <c r="AI115" s="1480">
        <f t="shared" ca="1" si="54"/>
        <v>2.5787307199209661</v>
      </c>
      <c r="AJ115" s="335">
        <f t="shared" ca="1" si="55"/>
        <v>833.95721277835491</v>
      </c>
      <c r="AK115" s="698" t="str">
        <f t="shared" ca="1" si="33"/>
        <v xml:space="preserve"> </v>
      </c>
      <c r="AM115" s="697">
        <f ca="1">IF($A115&gt;Endyr,0,VLOOKUP($A115,Tariff_Table,Tariff!$L$33))</f>
        <v>1.21</v>
      </c>
      <c r="AN115" s="1504">
        <f ca="1">VLOOKUP($A115,Curves_Table,Escalation!$Z$291)</f>
        <v>1.3450803185857847</v>
      </c>
      <c r="AO115" s="331">
        <f t="shared" ca="1" si="56"/>
        <v>1.6275471854887995</v>
      </c>
      <c r="AP115" s="331">
        <f ca="1">IF($A115&gt;Endyr,0,VLOOKUP($A115,Tariff_Table,Tariff!$M$33))</f>
        <v>0.25</v>
      </c>
      <c r="AQ115" s="331">
        <f t="shared" ca="1" si="57"/>
        <v>1.8775471854887995</v>
      </c>
      <c r="AR115" s="331">
        <f t="shared" ca="1" si="58"/>
        <v>1.46</v>
      </c>
      <c r="AS115" s="1508">
        <f t="shared" ca="1" si="59"/>
        <v>1.2859912229375339</v>
      </c>
    </row>
    <row r="116" spans="1:45">
      <c r="A116" s="672">
        <f t="shared" si="34"/>
        <v>40118</v>
      </c>
      <c r="C116" s="1484">
        <f ca="1">IF($A116&gt;Endyr,0,VLOOKUP($A116,Tariff_Table,Tariff!$G$33))</f>
        <v>7431.57</v>
      </c>
      <c r="D116" s="1480">
        <f ca="1">VLOOKUP($A116,Curves_Table,Escalation!$V$291)</f>
        <v>1.3739510144936682</v>
      </c>
      <c r="E116" s="1483">
        <f t="shared" ca="1" si="35"/>
        <v>10210.61314078071</v>
      </c>
      <c r="F116" s="1480">
        <f ca="1">IF(Assm!$L$74=0,VLOOKUP($A116,Curves_Table,Escalation!$D$291),VLOOKUP($A116,Curves_Table,Escalation!$E$291))</f>
        <v>2.5840424829880164</v>
      </c>
      <c r="G116" s="113">
        <f ca="1">IF($A116&lt;EE_Date,VLOOKUP($A116,Curves_Table,Escalation!$D$291),Exch)</f>
        <v>1.0649999999999999</v>
      </c>
      <c r="H116" s="1483">
        <f t="shared" ca="1" si="36"/>
        <v>24774.326885570943</v>
      </c>
      <c r="I116" s="330">
        <f ca="1">VLOOKUP($A116,Plant_Table,'Plant Operations'!$C$270)</f>
        <v>480</v>
      </c>
      <c r="J116" s="1481">
        <f t="shared" ca="1" si="37"/>
        <v>11891.676905074053</v>
      </c>
      <c r="K116" s="1480">
        <f t="shared" ca="1" si="38"/>
        <v>2.5840424829880164</v>
      </c>
      <c r="L116" s="384">
        <f t="shared" ca="1" si="39"/>
        <v>4601.9664859856721</v>
      </c>
      <c r="M116" s="692" t="str">
        <f t="shared" ca="1" si="30"/>
        <v xml:space="preserve"> </v>
      </c>
      <c r="O116" s="1482">
        <f ca="1">IF($A116&gt;Endyr,0,VLOOKUP($A116,Tariff_Table,Tariff!$H$33))</f>
        <v>6140.72</v>
      </c>
      <c r="P116" s="1480">
        <f t="shared" ca="1" si="40"/>
        <v>1.2859912229375339</v>
      </c>
      <c r="Q116" s="1481">
        <f t="shared" ca="1" si="41"/>
        <v>7896.9120225169736</v>
      </c>
      <c r="R116" s="1480">
        <f t="shared" ca="1" si="42"/>
        <v>2.5840424829880164</v>
      </c>
      <c r="S116" s="113">
        <f t="shared" ca="1" si="43"/>
        <v>1.0649999999999999</v>
      </c>
      <c r="T116" s="1481">
        <f t="shared" ca="1" si="44"/>
        <v>19160.522207138667</v>
      </c>
      <c r="U116" s="330">
        <f t="shared" ca="1" si="45"/>
        <v>480</v>
      </c>
      <c r="V116" s="1481">
        <f t="shared" ca="1" si="46"/>
        <v>9197.0506594265607</v>
      </c>
      <c r="W116" s="1480">
        <f t="shared" ca="1" si="47"/>
        <v>2.5840424829880164</v>
      </c>
      <c r="X116" s="384">
        <f t="shared" ca="1" si="48"/>
        <v>3559.1716157822984</v>
      </c>
      <c r="Y116" s="692" t="str">
        <f t="shared" ca="1" si="31"/>
        <v xml:space="preserve"> </v>
      </c>
      <c r="AA116" s="1484">
        <f ca="1">IF($A116&gt;Endyr,0,VLOOKUP($A116,Tariff_Table,Tariff!$I$33))</f>
        <v>2.31</v>
      </c>
      <c r="AB116" s="1480">
        <f t="shared" ca="1" si="32"/>
        <v>1.2859912229375339</v>
      </c>
      <c r="AC116" s="1483">
        <f t="shared" ca="1" si="49"/>
        <v>2.9706397249857033</v>
      </c>
      <c r="AD116" s="1480">
        <f t="shared" ca="1" si="50"/>
        <v>2.5840424829880164</v>
      </c>
      <c r="AE116" s="113">
        <f t="shared" ca="1" si="51"/>
        <v>1.0649999999999999</v>
      </c>
      <c r="AF116" s="1483">
        <f t="shared" ca="1" si="52"/>
        <v>7.2077551652722018</v>
      </c>
      <c r="AG116" s="334">
        <f ca="1">VLOOKUP($A116,Plant_Table,'Plant Operations'!$M$270)</f>
        <v>289336.32000000001</v>
      </c>
      <c r="AH116" s="1481">
        <f t="shared" ca="1" si="53"/>
        <v>2085.4653549808509</v>
      </c>
      <c r="AI116" s="1480">
        <f t="shared" ca="1" si="54"/>
        <v>2.5840424829880164</v>
      </c>
      <c r="AJ116" s="335">
        <f t="shared" ca="1" si="55"/>
        <v>807.05536720485964</v>
      </c>
      <c r="AK116" s="698" t="str">
        <f t="shared" ca="1" si="33"/>
        <v xml:space="preserve"> </v>
      </c>
      <c r="AM116" s="697">
        <f ca="1">IF($A116&gt;Endyr,0,VLOOKUP($A116,Tariff_Table,Tariff!$L$33))</f>
        <v>1.21</v>
      </c>
      <c r="AN116" s="1504">
        <f ca="1">VLOOKUP($A116,Curves_Table,Escalation!$Z$291)</f>
        <v>1.3450803185857847</v>
      </c>
      <c r="AO116" s="331">
        <f t="shared" ca="1" si="56"/>
        <v>1.6275471854887995</v>
      </c>
      <c r="AP116" s="331">
        <f ca="1">IF($A116&gt;Endyr,0,VLOOKUP($A116,Tariff_Table,Tariff!$M$33))</f>
        <v>0.25</v>
      </c>
      <c r="AQ116" s="331">
        <f t="shared" ca="1" si="57"/>
        <v>1.8775471854887995</v>
      </c>
      <c r="AR116" s="331">
        <f t="shared" ca="1" si="58"/>
        <v>1.46</v>
      </c>
      <c r="AS116" s="1508">
        <f t="shared" ca="1" si="59"/>
        <v>1.2859912229375339</v>
      </c>
    </row>
    <row r="117" spans="1:45">
      <c r="A117" s="672">
        <f t="shared" si="34"/>
        <v>40148</v>
      </c>
      <c r="C117" s="1484">
        <f ca="1">IF($A117&gt;Endyr,0,VLOOKUP($A117,Tariff_Table,Tariff!$G$33))</f>
        <v>7431.57</v>
      </c>
      <c r="D117" s="1480">
        <f ca="1">VLOOKUP($A117,Curves_Table,Escalation!$V$291)</f>
        <v>1.3739510144936682</v>
      </c>
      <c r="E117" s="1483">
        <f t="shared" ca="1" si="35"/>
        <v>10210.61314078071</v>
      </c>
      <c r="F117" s="1480">
        <f ca="1">IF(Assm!$L$74=0,VLOOKUP($A117,Curves_Table,Escalation!$D$291),VLOOKUP($A117,Curves_Table,Escalation!$E$291))</f>
        <v>2.5893651874172878</v>
      </c>
      <c r="G117" s="113">
        <f ca="1">IF($A117&lt;EE_Date,VLOOKUP($A117,Curves_Table,Escalation!$D$291),Exch)</f>
        <v>1.0649999999999999</v>
      </c>
      <c r="H117" s="1483">
        <f t="shared" ca="1" si="36"/>
        <v>24825.357942650764</v>
      </c>
      <c r="I117" s="330">
        <f ca="1">VLOOKUP($A117,Plant_Table,'Plant Operations'!$C$270)</f>
        <v>480</v>
      </c>
      <c r="J117" s="1481">
        <f t="shared" ca="1" si="37"/>
        <v>11916.171812472367</v>
      </c>
      <c r="K117" s="1480">
        <f t="shared" ca="1" si="38"/>
        <v>2.5893651874172878</v>
      </c>
      <c r="L117" s="384">
        <f t="shared" ca="1" si="39"/>
        <v>4601.9664859856721</v>
      </c>
      <c r="M117" s="692">
        <f t="shared" ca="1" si="30"/>
        <v>54735.607736101956</v>
      </c>
      <c r="O117" s="1482">
        <f ca="1">IF($A117&gt;Endyr,0,VLOOKUP($A117,Tariff_Table,Tariff!$H$33))</f>
        <v>6140.72</v>
      </c>
      <c r="P117" s="1480">
        <f t="shared" ca="1" si="40"/>
        <v>1.2859912229375339</v>
      </c>
      <c r="Q117" s="1481">
        <f t="shared" ca="1" si="41"/>
        <v>7896.9120225169736</v>
      </c>
      <c r="R117" s="1480">
        <f t="shared" ca="1" si="42"/>
        <v>2.5893651874172878</v>
      </c>
      <c r="S117" s="113">
        <f t="shared" ca="1" si="43"/>
        <v>1.0649999999999999</v>
      </c>
      <c r="T117" s="1481">
        <f t="shared" ca="1" si="44"/>
        <v>19199.989745730043</v>
      </c>
      <c r="U117" s="330">
        <f t="shared" ca="1" si="45"/>
        <v>480</v>
      </c>
      <c r="V117" s="1481">
        <f t="shared" ca="1" si="46"/>
        <v>9215.9950779504197</v>
      </c>
      <c r="W117" s="1480">
        <f t="shared" ca="1" si="47"/>
        <v>2.5893651874172878</v>
      </c>
      <c r="X117" s="384">
        <f t="shared" ca="1" si="48"/>
        <v>3559.1716157822975</v>
      </c>
      <c r="Y117" s="692">
        <f t="shared" ca="1" si="31"/>
        <v>42371.942229258151</v>
      </c>
      <c r="AA117" s="1484">
        <f ca="1">IF($A117&gt;Endyr,0,VLOOKUP($A117,Tariff_Table,Tariff!$I$33))</f>
        <v>2.31</v>
      </c>
      <c r="AB117" s="1480">
        <f t="shared" ca="1" si="32"/>
        <v>1.2859912229375339</v>
      </c>
      <c r="AC117" s="1483">
        <f t="shared" ca="1" si="49"/>
        <v>2.9706397249857033</v>
      </c>
      <c r="AD117" s="1480">
        <f t="shared" ca="1" si="50"/>
        <v>2.5893651874172878</v>
      </c>
      <c r="AE117" s="113">
        <f t="shared" ca="1" si="51"/>
        <v>1.0649999999999999</v>
      </c>
      <c r="AF117" s="1483">
        <f t="shared" ca="1" si="52"/>
        <v>7.222601960785771</v>
      </c>
      <c r="AG117" s="334">
        <f ca="1">VLOOKUP($A117,Plant_Table,'Plant Operations'!$M$270)</f>
        <v>298980.864</v>
      </c>
      <c r="AH117" s="1481">
        <f t="shared" ca="1" si="53"/>
        <v>2159.4197745638239</v>
      </c>
      <c r="AI117" s="1480">
        <f t="shared" ca="1" si="54"/>
        <v>2.5893651874172878</v>
      </c>
      <c r="AJ117" s="335">
        <f t="shared" ca="1" si="55"/>
        <v>833.95721277835491</v>
      </c>
      <c r="AK117" s="698">
        <f t="shared" ca="1" si="33"/>
        <v>9754.1976777943237</v>
      </c>
      <c r="AM117" s="697">
        <f ca="1">IF($A117&gt;Endyr,0,VLOOKUP($A117,Tariff_Table,Tariff!$L$33))</f>
        <v>1.21</v>
      </c>
      <c r="AN117" s="1504">
        <f ca="1">VLOOKUP($A117,Curves_Table,Escalation!$Z$291)</f>
        <v>1.3450803185857847</v>
      </c>
      <c r="AO117" s="331">
        <f t="shared" ca="1" si="56"/>
        <v>1.6275471854887995</v>
      </c>
      <c r="AP117" s="331">
        <f ca="1">IF($A117&gt;Endyr,0,VLOOKUP($A117,Tariff_Table,Tariff!$M$33))</f>
        <v>0.25</v>
      </c>
      <c r="AQ117" s="331">
        <f t="shared" ca="1" si="57"/>
        <v>1.8775471854887995</v>
      </c>
      <c r="AR117" s="331">
        <f t="shared" ca="1" si="58"/>
        <v>1.46</v>
      </c>
      <c r="AS117" s="1508">
        <f t="shared" ca="1" si="59"/>
        <v>1.2859912229375339</v>
      </c>
    </row>
    <row r="118" spans="1:45">
      <c r="A118" s="672">
        <f t="shared" si="34"/>
        <v>40179</v>
      </c>
      <c r="C118" s="1484">
        <f ca="1">IF($A118&gt;Endyr,0,VLOOKUP($A118,Tariff_Table,Tariff!$G$33))</f>
        <v>7431.57</v>
      </c>
      <c r="D118" s="1480">
        <f ca="1">VLOOKUP($A118,Curves_Table,Escalation!$V$291)</f>
        <v>1.3739510144936682</v>
      </c>
      <c r="E118" s="1483">
        <f t="shared" ca="1" si="35"/>
        <v>10210.61314078071</v>
      </c>
      <c r="F118" s="1480">
        <f ca="1">IF(Assm!$L$74=0,VLOOKUP($A118,Curves_Table,Escalation!$D$291),VLOOKUP($A118,Curves_Table,Escalation!$E$291))</f>
        <v>2.5944082870946334</v>
      </c>
      <c r="G118" s="113">
        <f ca="1">IF($A118&lt;EE_Date,VLOOKUP($A118,Curves_Table,Escalation!$D$291),Exch)</f>
        <v>1.0649999999999999</v>
      </c>
      <c r="H118" s="1483">
        <f t="shared" ca="1" si="36"/>
        <v>24873.708308693745</v>
      </c>
      <c r="I118" s="330">
        <f ca="1">VLOOKUP($A118,Plant_Table,'Plant Operations'!$C$270)</f>
        <v>480</v>
      </c>
      <c r="J118" s="1481">
        <f t="shared" ca="1" si="37"/>
        <v>11939.379988172999</v>
      </c>
      <c r="K118" s="1480">
        <f t="shared" ca="1" si="38"/>
        <v>2.5944082870946334</v>
      </c>
      <c r="L118" s="384">
        <f t="shared" ca="1" si="39"/>
        <v>4601.966485985673</v>
      </c>
      <c r="M118" s="692" t="str">
        <f t="shared" ca="1" si="30"/>
        <v xml:space="preserve"> </v>
      </c>
      <c r="O118" s="1482">
        <f ca="1">IF($A118&gt;Endyr,0,VLOOKUP($A118,Tariff_Table,Tariff!$H$33))</f>
        <v>6140.72</v>
      </c>
      <c r="P118" s="1480">
        <f t="shared" ca="1" si="40"/>
        <v>1.2859912229375339</v>
      </c>
      <c r="Q118" s="1481">
        <f t="shared" ca="1" si="41"/>
        <v>7896.9120225169736</v>
      </c>
      <c r="R118" s="1480">
        <f t="shared" ca="1" si="42"/>
        <v>2.5944082870946334</v>
      </c>
      <c r="S118" s="113">
        <f t="shared" ca="1" si="43"/>
        <v>1.0649999999999999</v>
      </c>
      <c r="T118" s="1481">
        <f t="shared" ca="1" si="44"/>
        <v>19237.384031619978</v>
      </c>
      <c r="U118" s="330">
        <f t="shared" ca="1" si="45"/>
        <v>480</v>
      </c>
      <c r="V118" s="1481">
        <f t="shared" ca="1" si="46"/>
        <v>9233.9443351775899</v>
      </c>
      <c r="W118" s="1480">
        <f t="shared" ca="1" si="47"/>
        <v>2.5944082870946334</v>
      </c>
      <c r="X118" s="384">
        <f t="shared" ca="1" si="48"/>
        <v>3559.1716157822975</v>
      </c>
      <c r="Y118" s="692" t="str">
        <f t="shared" ca="1" si="31"/>
        <v xml:space="preserve"> </v>
      </c>
      <c r="AA118" s="1484">
        <f ca="1">IF($A118&gt;Endyr,0,VLOOKUP($A118,Tariff_Table,Tariff!$I$33))</f>
        <v>2.31</v>
      </c>
      <c r="AB118" s="1480">
        <f t="shared" ca="1" si="32"/>
        <v>1.2859912229375339</v>
      </c>
      <c r="AC118" s="1483">
        <f t="shared" ca="1" si="49"/>
        <v>2.9706397249857033</v>
      </c>
      <c r="AD118" s="1480">
        <f t="shared" ca="1" si="50"/>
        <v>2.5944082870946334</v>
      </c>
      <c r="AE118" s="113">
        <f t="shared" ca="1" si="51"/>
        <v>1.0649999999999999</v>
      </c>
      <c r="AF118" s="1483">
        <f t="shared" ca="1" si="52"/>
        <v>7.2366688455168369</v>
      </c>
      <c r="AG118" s="334">
        <f ca="1">VLOOKUP($A118,Plant_Table,'Plant Operations'!$M$270)</f>
        <v>298980.864</v>
      </c>
      <c r="AH118" s="1481">
        <f t="shared" ca="1" si="53"/>
        <v>2163.6255039145067</v>
      </c>
      <c r="AI118" s="1480">
        <f t="shared" ca="1" si="54"/>
        <v>2.5944082870946334</v>
      </c>
      <c r="AJ118" s="335">
        <f t="shared" ca="1" si="55"/>
        <v>833.95721277835503</v>
      </c>
      <c r="AK118" s="698" t="str">
        <f t="shared" ca="1" si="33"/>
        <v xml:space="preserve"> </v>
      </c>
      <c r="AM118" s="697">
        <f ca="1">IF($A118&gt;Endyr,0,VLOOKUP($A118,Tariff_Table,Tariff!$L$33))</f>
        <v>1.21</v>
      </c>
      <c r="AN118" s="1504">
        <f ca="1">VLOOKUP($A118,Curves_Table,Escalation!$Z$291)</f>
        <v>1.3450803185857847</v>
      </c>
      <c r="AO118" s="331">
        <f t="shared" ca="1" si="56"/>
        <v>1.6275471854887995</v>
      </c>
      <c r="AP118" s="331">
        <f ca="1">IF($A118&gt;Endyr,0,VLOOKUP($A118,Tariff_Table,Tariff!$M$33))</f>
        <v>0.25</v>
      </c>
      <c r="AQ118" s="331">
        <f t="shared" ca="1" si="57"/>
        <v>1.8775471854887995</v>
      </c>
      <c r="AR118" s="331">
        <f t="shared" ca="1" si="58"/>
        <v>1.46</v>
      </c>
      <c r="AS118" s="1508">
        <f t="shared" ca="1" si="59"/>
        <v>1.2859912229375339</v>
      </c>
    </row>
    <row r="119" spans="1:45">
      <c r="A119" s="672">
        <f t="shared" si="34"/>
        <v>40210</v>
      </c>
      <c r="C119" s="1484">
        <f ca="1">IF($A119&gt;Endyr,0,VLOOKUP($A119,Tariff_Table,Tariff!$G$33))</f>
        <v>7431.57</v>
      </c>
      <c r="D119" s="1480">
        <f ca="1">VLOOKUP($A119,Curves_Table,Escalation!$V$291)</f>
        <v>1.3739510144936682</v>
      </c>
      <c r="E119" s="1483">
        <f t="shared" ca="1" si="35"/>
        <v>10210.61314078071</v>
      </c>
      <c r="F119" s="1480">
        <f ca="1">IF(Assm!$L$74=0,VLOOKUP($A119,Curves_Table,Escalation!$D$291),VLOOKUP($A119,Curves_Table,Escalation!$E$291))</f>
        <v>2.5994612088142612</v>
      </c>
      <c r="G119" s="113">
        <f ca="1">IF($A119&lt;EE_Date,VLOOKUP($A119,Curves_Table,Escalation!$D$291),Exch)</f>
        <v>1.0649999999999999</v>
      </c>
      <c r="H119" s="1483">
        <f t="shared" ca="1" si="36"/>
        <v>24922.152842881318</v>
      </c>
      <c r="I119" s="330">
        <f ca="1">VLOOKUP($A119,Plant_Table,'Plant Operations'!$C$270)</f>
        <v>480</v>
      </c>
      <c r="J119" s="1481">
        <f t="shared" ca="1" si="37"/>
        <v>11962.633364583033</v>
      </c>
      <c r="K119" s="1480">
        <f t="shared" ca="1" si="38"/>
        <v>2.5994612088142612</v>
      </c>
      <c r="L119" s="384">
        <f t="shared" ca="1" si="39"/>
        <v>4601.9664859856721</v>
      </c>
      <c r="M119" s="692" t="str">
        <f t="shared" ca="1" si="30"/>
        <v xml:space="preserve"> </v>
      </c>
      <c r="O119" s="1482">
        <f ca="1">IF($A119&gt;Endyr,0,VLOOKUP($A119,Tariff_Table,Tariff!$H$33))</f>
        <v>6140.72</v>
      </c>
      <c r="P119" s="1480">
        <f t="shared" ca="1" si="40"/>
        <v>1.2859912229375339</v>
      </c>
      <c r="Q119" s="1481">
        <f t="shared" ca="1" si="41"/>
        <v>7896.9120225169736</v>
      </c>
      <c r="R119" s="1480">
        <f t="shared" ca="1" si="42"/>
        <v>2.5994612088142612</v>
      </c>
      <c r="S119" s="113">
        <f t="shared" ca="1" si="43"/>
        <v>1.0649999999999999</v>
      </c>
      <c r="T119" s="1481">
        <f t="shared" ca="1" si="44"/>
        <v>19274.851147372625</v>
      </c>
      <c r="U119" s="330">
        <f t="shared" ca="1" si="45"/>
        <v>480</v>
      </c>
      <c r="V119" s="1481">
        <f t="shared" ca="1" si="46"/>
        <v>9251.9285507388595</v>
      </c>
      <c r="W119" s="1480">
        <f t="shared" ca="1" si="47"/>
        <v>2.5994612088142612</v>
      </c>
      <c r="X119" s="384">
        <f t="shared" ca="1" si="48"/>
        <v>3559.171615782298</v>
      </c>
      <c r="Y119" s="692" t="str">
        <f t="shared" ca="1" si="31"/>
        <v xml:space="preserve"> </v>
      </c>
      <c r="AA119" s="1484">
        <f ca="1">IF($A119&gt;Endyr,0,VLOOKUP($A119,Tariff_Table,Tariff!$I$33))</f>
        <v>2.31</v>
      </c>
      <c r="AB119" s="1480">
        <f t="shared" ca="1" si="32"/>
        <v>1.2859912229375339</v>
      </c>
      <c r="AC119" s="1483">
        <f t="shared" ca="1" si="49"/>
        <v>2.9706397249857033</v>
      </c>
      <c r="AD119" s="1480">
        <f t="shared" ca="1" si="50"/>
        <v>2.5994612088142612</v>
      </c>
      <c r="AE119" s="113">
        <f t="shared" ca="1" si="51"/>
        <v>1.0649999999999999</v>
      </c>
      <c r="AF119" s="1483">
        <f t="shared" ca="1" si="52"/>
        <v>7.2507631271953059</v>
      </c>
      <c r="AG119" s="334">
        <f ca="1">VLOOKUP($A119,Plant_Table,'Plant Operations'!$M$270)</f>
        <v>270047.23200000002</v>
      </c>
      <c r="AH119" s="1481">
        <f t="shared" ca="1" si="53"/>
        <v>1958.0485123867566</v>
      </c>
      <c r="AI119" s="1480">
        <f t="shared" ca="1" si="54"/>
        <v>2.5994612088142612</v>
      </c>
      <c r="AJ119" s="335">
        <f t="shared" ca="1" si="55"/>
        <v>753.25167605786908</v>
      </c>
      <c r="AK119" s="698" t="str">
        <f t="shared" ca="1" si="33"/>
        <v xml:space="preserve"> </v>
      </c>
      <c r="AM119" s="697">
        <f ca="1">IF($A119&gt;Endyr,0,VLOOKUP($A119,Tariff_Table,Tariff!$L$33))</f>
        <v>1.21</v>
      </c>
      <c r="AN119" s="1504">
        <f ca="1">VLOOKUP($A119,Curves_Table,Escalation!$Z$291)</f>
        <v>1.3450803185857847</v>
      </c>
      <c r="AO119" s="331">
        <f t="shared" ca="1" si="56"/>
        <v>1.6275471854887995</v>
      </c>
      <c r="AP119" s="331">
        <f ca="1">IF($A119&gt;Endyr,0,VLOOKUP($A119,Tariff_Table,Tariff!$M$33))</f>
        <v>0.25</v>
      </c>
      <c r="AQ119" s="331">
        <f t="shared" ca="1" si="57"/>
        <v>1.8775471854887995</v>
      </c>
      <c r="AR119" s="331">
        <f t="shared" ca="1" si="58"/>
        <v>1.46</v>
      </c>
      <c r="AS119" s="1508">
        <f t="shared" ca="1" si="59"/>
        <v>1.2859912229375339</v>
      </c>
    </row>
    <row r="120" spans="1:45">
      <c r="A120" s="672">
        <f t="shared" si="34"/>
        <v>40238</v>
      </c>
      <c r="C120" s="1484">
        <f ca="1">IF($A120&gt;Endyr,0,VLOOKUP($A120,Tariff_Table,Tariff!$G$33))</f>
        <v>7431.57</v>
      </c>
      <c r="D120" s="1480">
        <f ca="1">VLOOKUP($A120,Curves_Table,Escalation!$V$291)</f>
        <v>1.3739510144936682</v>
      </c>
      <c r="E120" s="1483">
        <f t="shared" ca="1" si="35"/>
        <v>10210.61314078071</v>
      </c>
      <c r="F120" s="1480">
        <f ca="1">IF(Assm!$L$74=0,VLOOKUP($A120,Curves_Table,Escalation!$D$291),VLOOKUP($A120,Curves_Table,Escalation!$E$291))</f>
        <v>2.6045239717057789</v>
      </c>
      <c r="G120" s="113">
        <f ca="1">IF($A120&lt;EE_Date,VLOOKUP($A120,Curves_Table,Escalation!$D$291),Exch)</f>
        <v>1.0649999999999999</v>
      </c>
      <c r="H120" s="1483">
        <f t="shared" ca="1" si="36"/>
        <v>24970.691728617268</v>
      </c>
      <c r="I120" s="330">
        <f ca="1">VLOOKUP($A120,Plant_Table,'Plant Operations'!$C$270)</f>
        <v>480</v>
      </c>
      <c r="J120" s="1481">
        <f t="shared" ca="1" si="37"/>
        <v>11985.932029736288</v>
      </c>
      <c r="K120" s="1480">
        <f t="shared" ca="1" si="38"/>
        <v>2.6045239717057789</v>
      </c>
      <c r="L120" s="384">
        <f t="shared" ca="1" si="39"/>
        <v>4601.9664859856721</v>
      </c>
      <c r="M120" s="692" t="str">
        <f t="shared" ca="1" si="30"/>
        <v xml:space="preserve"> </v>
      </c>
      <c r="O120" s="1482">
        <f ca="1">IF($A120&gt;Endyr,0,VLOOKUP($A120,Tariff_Table,Tariff!$H$33))</f>
        <v>6140.72</v>
      </c>
      <c r="P120" s="1480">
        <f t="shared" ca="1" si="40"/>
        <v>1.2859912229375339</v>
      </c>
      <c r="Q120" s="1481">
        <f t="shared" ca="1" si="41"/>
        <v>7896.9120225169736</v>
      </c>
      <c r="R120" s="1480">
        <f t="shared" ca="1" si="42"/>
        <v>2.6045239717057789</v>
      </c>
      <c r="S120" s="113">
        <f t="shared" ca="1" si="43"/>
        <v>1.0649999999999999</v>
      </c>
      <c r="T120" s="1481">
        <f t="shared" ca="1" si="44"/>
        <v>19312.391234832889</v>
      </c>
      <c r="U120" s="330">
        <f t="shared" ca="1" si="45"/>
        <v>480</v>
      </c>
      <c r="V120" s="1481">
        <f t="shared" ca="1" si="46"/>
        <v>9269.9477927197877</v>
      </c>
      <c r="W120" s="1480">
        <f t="shared" ca="1" si="47"/>
        <v>2.6045239717057789</v>
      </c>
      <c r="X120" s="384">
        <f t="shared" ca="1" si="48"/>
        <v>3559.1716157822989</v>
      </c>
      <c r="Y120" s="692" t="str">
        <f t="shared" ca="1" si="31"/>
        <v xml:space="preserve"> </v>
      </c>
      <c r="AA120" s="1484">
        <f ca="1">IF($A120&gt;Endyr,0,VLOOKUP($A120,Tariff_Table,Tariff!$I$33))</f>
        <v>2.31</v>
      </c>
      <c r="AB120" s="1480">
        <f t="shared" ca="1" si="32"/>
        <v>1.2859912229375339</v>
      </c>
      <c r="AC120" s="1483">
        <f t="shared" ca="1" si="49"/>
        <v>2.9706397249857033</v>
      </c>
      <c r="AD120" s="1480">
        <f t="shared" ca="1" si="50"/>
        <v>2.6045239717057789</v>
      </c>
      <c r="AE120" s="113">
        <f t="shared" ca="1" si="51"/>
        <v>1.0649999999999999</v>
      </c>
      <c r="AF120" s="1483">
        <f t="shared" ca="1" si="52"/>
        <v>7.2648848591800252</v>
      </c>
      <c r="AG120" s="334">
        <f ca="1">VLOOKUP($A120,Plant_Table,'Plant Operations'!$M$270)</f>
        <v>298980.864</v>
      </c>
      <c r="AH120" s="1481">
        <f t="shared" ca="1" si="53"/>
        <v>2172.0615520581623</v>
      </c>
      <c r="AI120" s="1480">
        <f t="shared" ca="1" si="54"/>
        <v>2.6045239717057789</v>
      </c>
      <c r="AJ120" s="335">
        <f t="shared" ca="1" si="55"/>
        <v>833.95721277835491</v>
      </c>
      <c r="AK120" s="698" t="str">
        <f t="shared" ca="1" si="33"/>
        <v xml:space="preserve"> </v>
      </c>
      <c r="AM120" s="697">
        <f ca="1">IF($A120&gt;Endyr,0,VLOOKUP($A120,Tariff_Table,Tariff!$L$33))</f>
        <v>1.21</v>
      </c>
      <c r="AN120" s="1504">
        <f ca="1">VLOOKUP($A120,Curves_Table,Escalation!$Z$291)</f>
        <v>1.3450803185857847</v>
      </c>
      <c r="AO120" s="331">
        <f t="shared" ca="1" si="56"/>
        <v>1.6275471854887995</v>
      </c>
      <c r="AP120" s="331">
        <f ca="1">IF($A120&gt;Endyr,0,VLOOKUP($A120,Tariff_Table,Tariff!$M$33))</f>
        <v>0.25</v>
      </c>
      <c r="AQ120" s="331">
        <f t="shared" ca="1" si="57"/>
        <v>1.8775471854887995</v>
      </c>
      <c r="AR120" s="331">
        <f t="shared" ca="1" si="58"/>
        <v>1.46</v>
      </c>
      <c r="AS120" s="1508">
        <f t="shared" ca="1" si="59"/>
        <v>1.2859912229375339</v>
      </c>
    </row>
    <row r="121" spans="1:45">
      <c r="A121" s="672">
        <f t="shared" si="34"/>
        <v>40269</v>
      </c>
      <c r="C121" s="1484">
        <f ca="1">IF($A121&gt;Endyr,0,VLOOKUP($A121,Tariff_Table,Tariff!$G$33))</f>
        <v>7431.57</v>
      </c>
      <c r="D121" s="1480">
        <f ca="1">VLOOKUP($A121,Curves_Table,Escalation!$V$291)</f>
        <v>1.3739510144936682</v>
      </c>
      <c r="E121" s="1483">
        <f t="shared" ca="1" si="35"/>
        <v>10210.61314078071</v>
      </c>
      <c r="F121" s="1480">
        <f ca="1">IF(Assm!$L$74=0,VLOOKUP($A121,Curves_Table,Escalation!$D$291),VLOOKUP($A121,Curves_Table,Escalation!$E$291))</f>
        <v>2.60959659493605</v>
      </c>
      <c r="G121" s="113">
        <f ca="1">IF($A121&lt;EE_Date,VLOOKUP($A121,Curves_Table,Escalation!$D$291),Exch)</f>
        <v>1.0649999999999999</v>
      </c>
      <c r="H121" s="1483">
        <f t="shared" ca="1" si="36"/>
        <v>25019.325149662563</v>
      </c>
      <c r="I121" s="330">
        <f ca="1">VLOOKUP($A121,Plant_Table,'Plant Operations'!$C$270)</f>
        <v>480</v>
      </c>
      <c r="J121" s="1481">
        <f t="shared" ca="1" si="37"/>
        <v>12009.27607183803</v>
      </c>
      <c r="K121" s="1480">
        <f t="shared" ca="1" si="38"/>
        <v>2.60959659493605</v>
      </c>
      <c r="L121" s="384">
        <f t="shared" ca="1" si="39"/>
        <v>4601.9664859856721</v>
      </c>
      <c r="M121" s="692" t="str">
        <f t="shared" ca="1" si="30"/>
        <v xml:space="preserve"> </v>
      </c>
      <c r="O121" s="1482">
        <f ca="1">IF($A121&gt;Endyr,0,VLOOKUP($A121,Tariff_Table,Tariff!$H$33))</f>
        <v>6140.72</v>
      </c>
      <c r="P121" s="1480">
        <f t="shared" ca="1" si="40"/>
        <v>1.2859912229375339</v>
      </c>
      <c r="Q121" s="1481">
        <f t="shared" ca="1" si="41"/>
        <v>7896.9120225169736</v>
      </c>
      <c r="R121" s="1480">
        <f t="shared" ca="1" si="42"/>
        <v>2.60959659493605</v>
      </c>
      <c r="S121" s="113">
        <f t="shared" ca="1" si="43"/>
        <v>1.0649999999999999</v>
      </c>
      <c r="T121" s="1481">
        <f t="shared" ca="1" si="44"/>
        <v>19350.004436121926</v>
      </c>
      <c r="U121" s="330">
        <f t="shared" ca="1" si="45"/>
        <v>480</v>
      </c>
      <c r="V121" s="1481">
        <f t="shared" ca="1" si="46"/>
        <v>9288.0021293385253</v>
      </c>
      <c r="W121" s="1480">
        <f t="shared" ca="1" si="47"/>
        <v>2.60959659493605</v>
      </c>
      <c r="X121" s="384">
        <f t="shared" ca="1" si="48"/>
        <v>3559.1716157822984</v>
      </c>
      <c r="Y121" s="692" t="str">
        <f t="shared" ca="1" si="31"/>
        <v xml:space="preserve"> </v>
      </c>
      <c r="AA121" s="1484">
        <f ca="1">IF($A121&gt;Endyr,0,VLOOKUP($A121,Tariff_Table,Tariff!$I$33))</f>
        <v>2.31</v>
      </c>
      <c r="AB121" s="1480">
        <f t="shared" ca="1" si="32"/>
        <v>1.2859912229375339</v>
      </c>
      <c r="AC121" s="1483">
        <f t="shared" ca="1" si="49"/>
        <v>2.9706397249857033</v>
      </c>
      <c r="AD121" s="1480">
        <f t="shared" ca="1" si="50"/>
        <v>2.60959659493605</v>
      </c>
      <c r="AE121" s="113">
        <f t="shared" ca="1" si="51"/>
        <v>1.0649999999999999</v>
      </c>
      <c r="AF121" s="1483">
        <f t="shared" ca="1" si="52"/>
        <v>7.2790340949337615</v>
      </c>
      <c r="AG121" s="334">
        <f ca="1">VLOOKUP($A121,Plant_Table,'Plant Operations'!$M$270)</f>
        <v>289336.32000000001</v>
      </c>
      <c r="AH121" s="1481">
        <f t="shared" ca="1" si="53"/>
        <v>2106.0889381826651</v>
      </c>
      <c r="AI121" s="1480">
        <f t="shared" ca="1" si="54"/>
        <v>2.60959659493605</v>
      </c>
      <c r="AJ121" s="335">
        <f t="shared" ca="1" si="55"/>
        <v>807.05536720485964</v>
      </c>
      <c r="AK121" s="698" t="str">
        <f t="shared" ca="1" si="33"/>
        <v xml:space="preserve"> </v>
      </c>
      <c r="AM121" s="697">
        <f ca="1">IF($A121&gt;Endyr,0,VLOOKUP($A121,Tariff_Table,Tariff!$L$33))</f>
        <v>1.21</v>
      </c>
      <c r="AN121" s="1504">
        <f ca="1">VLOOKUP($A121,Curves_Table,Escalation!$Z$291)</f>
        <v>1.3450803185857847</v>
      </c>
      <c r="AO121" s="331">
        <f t="shared" ca="1" si="56"/>
        <v>1.6275471854887995</v>
      </c>
      <c r="AP121" s="331">
        <f ca="1">IF($A121&gt;Endyr,0,VLOOKUP($A121,Tariff_Table,Tariff!$M$33))</f>
        <v>0.25</v>
      </c>
      <c r="AQ121" s="331">
        <f t="shared" ca="1" si="57"/>
        <v>1.8775471854887995</v>
      </c>
      <c r="AR121" s="331">
        <f t="shared" ca="1" si="58"/>
        <v>1.46</v>
      </c>
      <c r="AS121" s="1508">
        <f t="shared" ca="1" si="59"/>
        <v>1.2859912229375339</v>
      </c>
    </row>
    <row r="122" spans="1:45">
      <c r="A122" s="672">
        <f t="shared" si="34"/>
        <v>40299</v>
      </c>
      <c r="C122" s="1484">
        <f ca="1">IF($A122&gt;Endyr,0,VLOOKUP($A122,Tariff_Table,Tariff!$G$33))</f>
        <v>7434.78</v>
      </c>
      <c r="D122" s="1480">
        <f ca="1">VLOOKUP($A122,Curves_Table,Escalation!$V$291)</f>
        <v>1.409454688092179</v>
      </c>
      <c r="E122" s="1483">
        <f t="shared" ca="1" si="35"/>
        <v>10478.985525933971</v>
      </c>
      <c r="F122" s="1480">
        <f ca="1">IF(Assm!$L$74=0,VLOOKUP($A122,Curves_Table,Escalation!$D$291),VLOOKUP($A122,Curves_Table,Escalation!$E$291))</f>
        <v>2.6146790977092684</v>
      </c>
      <c r="G122" s="113">
        <f ca="1">IF($A122&lt;EE_Date,VLOOKUP($A122,Curves_Table,Escalation!$D$291),Exch)</f>
        <v>1.0649999999999999</v>
      </c>
      <c r="H122" s="1483">
        <f t="shared" ca="1" si="36"/>
        <v>25726.933727565749</v>
      </c>
      <c r="I122" s="330">
        <f ca="1">VLOOKUP($A122,Plant_Table,'Plant Operations'!$C$270)</f>
        <v>480</v>
      </c>
      <c r="J122" s="1481">
        <f t="shared" ca="1" si="37"/>
        <v>12348.928189231559</v>
      </c>
      <c r="K122" s="1480">
        <f t="shared" ca="1" si="38"/>
        <v>2.6146790977092684</v>
      </c>
      <c r="L122" s="384">
        <f t="shared" ca="1" si="39"/>
        <v>4722.9230539420723</v>
      </c>
      <c r="M122" s="692" t="str">
        <f t="shared" ca="1" si="30"/>
        <v xml:space="preserve"> </v>
      </c>
      <c r="O122" s="1482">
        <f ca="1">IF($A122&gt;Endyr,0,VLOOKUP($A122,Tariff_Table,Tariff!$H$33))</f>
        <v>6151.18</v>
      </c>
      <c r="P122" s="1480">
        <f t="shared" ca="1" si="40"/>
        <v>1.3120103150934439</v>
      </c>
      <c r="Q122" s="1481">
        <f t="shared" ca="1" si="41"/>
        <v>8070.4116099964904</v>
      </c>
      <c r="R122" s="1480">
        <f t="shared" ca="1" si="42"/>
        <v>2.6146790977092684</v>
      </c>
      <c r="S122" s="113">
        <f t="shared" ca="1" si="43"/>
        <v>1.0649999999999999</v>
      </c>
      <c r="T122" s="1481">
        <f t="shared" ca="1" si="44"/>
        <v>19813.649339500495</v>
      </c>
      <c r="U122" s="330">
        <f t="shared" ca="1" si="45"/>
        <v>480</v>
      </c>
      <c r="V122" s="1481">
        <f t="shared" ca="1" si="46"/>
        <v>9510.5516829602384</v>
      </c>
      <c r="W122" s="1480">
        <f t="shared" ca="1" si="47"/>
        <v>2.6146790977092684</v>
      </c>
      <c r="X122" s="384">
        <f t="shared" ca="1" si="48"/>
        <v>3637.3686129561647</v>
      </c>
      <c r="Y122" s="692" t="str">
        <f t="shared" ca="1" si="31"/>
        <v xml:space="preserve"> </v>
      </c>
      <c r="AA122" s="1484">
        <f ca="1">IF($A122&gt;Endyr,0,VLOOKUP($A122,Tariff_Table,Tariff!$I$33))</f>
        <v>2.3199999999999998</v>
      </c>
      <c r="AB122" s="1480">
        <f t="shared" ca="1" si="32"/>
        <v>1.3120103150934439</v>
      </c>
      <c r="AC122" s="1483">
        <f t="shared" ca="1" si="49"/>
        <v>3.0438639310167894</v>
      </c>
      <c r="AD122" s="1480">
        <f t="shared" ca="1" si="50"/>
        <v>2.6146790977092684</v>
      </c>
      <c r="AE122" s="113">
        <f t="shared" ca="1" si="51"/>
        <v>1.0649999999999999</v>
      </c>
      <c r="AF122" s="1483">
        <f t="shared" ca="1" si="52"/>
        <v>7.4729834710805321</v>
      </c>
      <c r="AG122" s="334">
        <f ca="1">VLOOKUP($A122,Plant_Table,'Plant Operations'!$M$270)</f>
        <v>298980.864</v>
      </c>
      <c r="AH122" s="1481">
        <f t="shared" ca="1" si="53"/>
        <v>2234.2790548413764</v>
      </c>
      <c r="AI122" s="1480">
        <f t="shared" ca="1" si="54"/>
        <v>2.6146790977092684</v>
      </c>
      <c r="AJ122" s="335">
        <f t="shared" ca="1" si="55"/>
        <v>854.51367886745174</v>
      </c>
      <c r="AK122" s="698" t="str">
        <f t="shared" ca="1" si="33"/>
        <v xml:space="preserve"> </v>
      </c>
      <c r="AM122" s="697">
        <f ca="1">IF($A122&gt;Endyr,0,VLOOKUP($A122,Tariff_Table,Tariff!$L$33))</f>
        <v>1.21</v>
      </c>
      <c r="AN122" s="1504">
        <f ca="1">VLOOKUP($A122,Curves_Table,Escalation!$Z$291)</f>
        <v>1.376475256228453</v>
      </c>
      <c r="AO122" s="331">
        <f t="shared" ca="1" si="56"/>
        <v>1.665535060036428</v>
      </c>
      <c r="AP122" s="331">
        <f ca="1">IF($A122&gt;Endyr,0,VLOOKUP($A122,Tariff_Table,Tariff!$M$33))</f>
        <v>0.25</v>
      </c>
      <c r="AQ122" s="331">
        <f t="shared" ca="1" si="57"/>
        <v>1.915535060036428</v>
      </c>
      <c r="AR122" s="331">
        <f t="shared" ca="1" si="58"/>
        <v>1.46</v>
      </c>
      <c r="AS122" s="1508">
        <f t="shared" ca="1" si="59"/>
        <v>1.3120103150934439</v>
      </c>
    </row>
    <row r="123" spans="1:45">
      <c r="A123" s="672">
        <f t="shared" si="34"/>
        <v>40330</v>
      </c>
      <c r="C123" s="1484">
        <f ca="1">IF($A123&gt;Endyr,0,VLOOKUP($A123,Tariff_Table,Tariff!$G$33))</f>
        <v>7434.78</v>
      </c>
      <c r="D123" s="1480">
        <f ca="1">VLOOKUP($A123,Curves_Table,Escalation!$V$291)</f>
        <v>1.409454688092179</v>
      </c>
      <c r="E123" s="1483">
        <f t="shared" ca="1" si="35"/>
        <v>10478.985525933971</v>
      </c>
      <c r="F123" s="1480">
        <f ca="1">IF(Assm!$L$74=0,VLOOKUP($A123,Curves_Table,Escalation!$D$291),VLOOKUP($A123,Curves_Table,Escalation!$E$291))</f>
        <v>2.6197714992670309</v>
      </c>
      <c r="G123" s="113">
        <f ca="1">IF($A123&lt;EE_Date,VLOOKUP($A123,Curves_Table,Escalation!$D$291),Exch)</f>
        <v>1.0649999999999999</v>
      </c>
      <c r="H123" s="1483">
        <f t="shared" ca="1" si="36"/>
        <v>25777.040020726345</v>
      </c>
      <c r="I123" s="330">
        <f ca="1">VLOOKUP($A123,Plant_Table,'Plant Operations'!$C$270)</f>
        <v>480</v>
      </c>
      <c r="J123" s="1481">
        <f t="shared" ca="1" si="37"/>
        <v>12372.979209948646</v>
      </c>
      <c r="K123" s="1480">
        <f t="shared" ca="1" si="38"/>
        <v>2.6197714992670309</v>
      </c>
      <c r="L123" s="384">
        <f t="shared" ca="1" si="39"/>
        <v>4722.9230539420714</v>
      </c>
      <c r="M123" s="692" t="str">
        <f t="shared" ca="1" si="30"/>
        <v xml:space="preserve"> </v>
      </c>
      <c r="O123" s="1482">
        <f ca="1">IF($A123&gt;Endyr,0,VLOOKUP($A123,Tariff_Table,Tariff!$H$33))</f>
        <v>6151.18</v>
      </c>
      <c r="P123" s="1480">
        <f t="shared" ca="1" si="40"/>
        <v>1.3120103150934439</v>
      </c>
      <c r="Q123" s="1481">
        <f t="shared" ca="1" si="41"/>
        <v>8070.4116099964904</v>
      </c>
      <c r="R123" s="1480">
        <f t="shared" ca="1" si="42"/>
        <v>2.6197714992670309</v>
      </c>
      <c r="S123" s="113">
        <f t="shared" ca="1" si="43"/>
        <v>1.0649999999999999</v>
      </c>
      <c r="T123" s="1481">
        <f t="shared" ca="1" si="44"/>
        <v>19852.238801147945</v>
      </c>
      <c r="U123" s="330">
        <f t="shared" ca="1" si="45"/>
        <v>480</v>
      </c>
      <c r="V123" s="1481">
        <f t="shared" ca="1" si="46"/>
        <v>9529.0746245510127</v>
      </c>
      <c r="W123" s="1480">
        <f t="shared" ca="1" si="47"/>
        <v>2.6197714992670309</v>
      </c>
      <c r="X123" s="384">
        <f t="shared" ca="1" si="48"/>
        <v>3637.3686129561647</v>
      </c>
      <c r="Y123" s="692" t="str">
        <f t="shared" ca="1" si="31"/>
        <v xml:space="preserve"> </v>
      </c>
      <c r="AA123" s="1484">
        <f ca="1">IF($A123&gt;Endyr,0,VLOOKUP($A123,Tariff_Table,Tariff!$I$33))</f>
        <v>2.3199999999999998</v>
      </c>
      <c r="AB123" s="1480">
        <f t="shared" ca="1" si="32"/>
        <v>1.3120103150934439</v>
      </c>
      <c r="AC123" s="1483">
        <f t="shared" ca="1" si="49"/>
        <v>3.0438639310167894</v>
      </c>
      <c r="AD123" s="1480">
        <f t="shared" ca="1" si="50"/>
        <v>2.6197714992670309</v>
      </c>
      <c r="AE123" s="113">
        <f t="shared" ca="1" si="51"/>
        <v>1.0649999999999999</v>
      </c>
      <c r="AF123" s="1483">
        <f t="shared" ca="1" si="52"/>
        <v>7.4875380038729515</v>
      </c>
      <c r="AG123" s="334">
        <f ca="1">VLOOKUP($A123,Plant_Table,'Plant Operations'!$M$270)</f>
        <v>289336.32000000001</v>
      </c>
      <c r="AH123" s="1481">
        <f t="shared" ca="1" si="53"/>
        <v>2166.4166919007457</v>
      </c>
      <c r="AI123" s="1480">
        <f t="shared" ca="1" si="54"/>
        <v>2.6197714992670309</v>
      </c>
      <c r="AJ123" s="335">
        <f t="shared" ca="1" si="55"/>
        <v>826.94872148463082</v>
      </c>
      <c r="AK123" s="698" t="str">
        <f t="shared" ca="1" si="33"/>
        <v xml:space="preserve"> </v>
      </c>
      <c r="AM123" s="697">
        <f ca="1">IF($A123&gt;Endyr,0,VLOOKUP($A123,Tariff_Table,Tariff!$L$33))</f>
        <v>1.21</v>
      </c>
      <c r="AN123" s="1504">
        <f ca="1">VLOOKUP($A123,Curves_Table,Escalation!$Z$291)</f>
        <v>1.376475256228453</v>
      </c>
      <c r="AO123" s="331">
        <f t="shared" ca="1" si="56"/>
        <v>1.665535060036428</v>
      </c>
      <c r="AP123" s="331">
        <f ca="1">IF($A123&gt;Endyr,0,VLOOKUP($A123,Tariff_Table,Tariff!$M$33))</f>
        <v>0.25</v>
      </c>
      <c r="AQ123" s="331">
        <f t="shared" ca="1" si="57"/>
        <v>1.915535060036428</v>
      </c>
      <c r="AR123" s="331">
        <f t="shared" ca="1" si="58"/>
        <v>1.46</v>
      </c>
      <c r="AS123" s="1508">
        <f t="shared" ca="1" si="59"/>
        <v>1.3120103150934439</v>
      </c>
    </row>
    <row r="124" spans="1:45">
      <c r="A124" s="672">
        <f t="shared" si="34"/>
        <v>40360</v>
      </c>
      <c r="C124" s="1484">
        <f ca="1">IF($A124&gt;Endyr,0,VLOOKUP($A124,Tariff_Table,Tariff!$G$33))</f>
        <v>7434.78</v>
      </c>
      <c r="D124" s="1480">
        <f ca="1">VLOOKUP($A124,Curves_Table,Escalation!$V$291)</f>
        <v>1.409454688092179</v>
      </c>
      <c r="E124" s="1483">
        <f t="shared" ca="1" si="35"/>
        <v>10478.985525933971</v>
      </c>
      <c r="F124" s="1480">
        <f ca="1">IF(Assm!$L$74=0,VLOOKUP($A124,Curves_Table,Escalation!$D$291),VLOOKUP($A124,Curves_Table,Escalation!$E$291))</f>
        <v>2.6248738188884091</v>
      </c>
      <c r="G124" s="113">
        <f ca="1">IF($A124&lt;EE_Date,VLOOKUP($A124,Curves_Table,Escalation!$D$291),Exch)</f>
        <v>1.0649999999999999</v>
      </c>
      <c r="H124" s="1483">
        <f t="shared" ca="1" si="36"/>
        <v>25827.243901910486</v>
      </c>
      <c r="I124" s="330">
        <f ca="1">VLOOKUP($A124,Plant_Table,'Plant Operations'!$C$270)</f>
        <v>480</v>
      </c>
      <c r="J124" s="1481">
        <f t="shared" ca="1" si="37"/>
        <v>12397.077072917033</v>
      </c>
      <c r="K124" s="1480">
        <f t="shared" ca="1" si="38"/>
        <v>2.6248738188884091</v>
      </c>
      <c r="L124" s="384">
        <f t="shared" ca="1" si="39"/>
        <v>4722.9230539420714</v>
      </c>
      <c r="M124" s="692" t="str">
        <f t="shared" ca="1" si="30"/>
        <v xml:space="preserve"> </v>
      </c>
      <c r="O124" s="1482">
        <f ca="1">IF($A124&gt;Endyr,0,VLOOKUP($A124,Tariff_Table,Tariff!$H$33))</f>
        <v>6151.18</v>
      </c>
      <c r="P124" s="1480">
        <f t="shared" ca="1" si="40"/>
        <v>1.3120103150934439</v>
      </c>
      <c r="Q124" s="1481">
        <f t="shared" ca="1" si="41"/>
        <v>8070.4116099964904</v>
      </c>
      <c r="R124" s="1480">
        <f t="shared" ca="1" si="42"/>
        <v>2.6248738188884091</v>
      </c>
      <c r="S124" s="113">
        <f t="shared" ca="1" si="43"/>
        <v>1.0649999999999999</v>
      </c>
      <c r="T124" s="1481">
        <f t="shared" ca="1" si="44"/>
        <v>19890.903420406423</v>
      </c>
      <c r="U124" s="330">
        <f t="shared" ca="1" si="45"/>
        <v>480</v>
      </c>
      <c r="V124" s="1481">
        <f t="shared" ca="1" si="46"/>
        <v>9547.6336417950843</v>
      </c>
      <c r="W124" s="1480">
        <f t="shared" ca="1" si="47"/>
        <v>2.6248738188884091</v>
      </c>
      <c r="X124" s="384">
        <f t="shared" ca="1" si="48"/>
        <v>3637.3686129561647</v>
      </c>
      <c r="Y124" s="692" t="str">
        <f t="shared" ca="1" si="31"/>
        <v xml:space="preserve"> </v>
      </c>
      <c r="AA124" s="1484">
        <f ca="1">IF($A124&gt;Endyr,0,VLOOKUP($A124,Tariff_Table,Tariff!$I$33))</f>
        <v>2.3199999999999998</v>
      </c>
      <c r="AB124" s="1480">
        <f t="shared" ca="1" si="32"/>
        <v>1.3120103150934439</v>
      </c>
      <c r="AC124" s="1483">
        <f t="shared" ca="1" si="49"/>
        <v>3.0438639310167894</v>
      </c>
      <c r="AD124" s="1480">
        <f t="shared" ca="1" si="50"/>
        <v>2.6248738188884091</v>
      </c>
      <c r="AE124" s="113">
        <f t="shared" ca="1" si="51"/>
        <v>1.0649999999999999</v>
      </c>
      <c r="AF124" s="1483">
        <f t="shared" ca="1" si="52"/>
        <v>7.5021208833659392</v>
      </c>
      <c r="AG124" s="334">
        <f ca="1">VLOOKUP($A124,Plant_Table,'Plant Operations'!$M$270)</f>
        <v>298980.864</v>
      </c>
      <c r="AH124" s="1481">
        <f t="shared" ca="1" si="53"/>
        <v>2242.9905835411914</v>
      </c>
      <c r="AI124" s="1480">
        <f t="shared" ca="1" si="54"/>
        <v>2.6248738188884091</v>
      </c>
      <c r="AJ124" s="335">
        <f t="shared" ca="1" si="55"/>
        <v>854.51367886745163</v>
      </c>
      <c r="AK124" s="698" t="str">
        <f t="shared" ca="1" si="33"/>
        <v xml:space="preserve"> </v>
      </c>
      <c r="AM124" s="697">
        <f ca="1">IF($A124&gt;Endyr,0,VLOOKUP($A124,Tariff_Table,Tariff!$L$33))</f>
        <v>1.21</v>
      </c>
      <c r="AN124" s="1504">
        <f ca="1">VLOOKUP($A124,Curves_Table,Escalation!$Z$291)</f>
        <v>1.376475256228453</v>
      </c>
      <c r="AO124" s="331">
        <f t="shared" ca="1" si="56"/>
        <v>1.665535060036428</v>
      </c>
      <c r="AP124" s="331">
        <f ca="1">IF($A124&gt;Endyr,0,VLOOKUP($A124,Tariff_Table,Tariff!$M$33))</f>
        <v>0.25</v>
      </c>
      <c r="AQ124" s="331">
        <f t="shared" ca="1" si="57"/>
        <v>1.915535060036428</v>
      </c>
      <c r="AR124" s="331">
        <f t="shared" ca="1" si="58"/>
        <v>1.46</v>
      </c>
      <c r="AS124" s="1508">
        <f t="shared" ca="1" si="59"/>
        <v>1.3120103150934439</v>
      </c>
    </row>
    <row r="125" spans="1:45">
      <c r="A125" s="672">
        <f t="shared" si="34"/>
        <v>40391</v>
      </c>
      <c r="C125" s="1484">
        <f ca="1">IF($A125&gt;Endyr,0,VLOOKUP($A125,Tariff_Table,Tariff!$G$33))</f>
        <v>7434.78</v>
      </c>
      <c r="D125" s="1480">
        <f ca="1">VLOOKUP($A125,Curves_Table,Escalation!$V$291)</f>
        <v>1.409454688092179</v>
      </c>
      <c r="E125" s="1483">
        <f t="shared" ca="1" si="35"/>
        <v>10478.985525933971</v>
      </c>
      <c r="F125" s="1480">
        <f ca="1">IF(Assm!$L$74=0,VLOOKUP($A125,Curves_Table,Escalation!$D$291),VLOOKUP($A125,Curves_Table,Escalation!$E$291))</f>
        <v>2.6299860758900229</v>
      </c>
      <c r="G125" s="113">
        <f ca="1">IF($A125&lt;EE_Date,VLOOKUP($A125,Curves_Table,Escalation!$D$291),Exch)</f>
        <v>1.0649999999999999</v>
      </c>
      <c r="H125" s="1483">
        <f t="shared" ca="1" si="36"/>
        <v>25877.545561182564</v>
      </c>
      <c r="I125" s="330">
        <f ca="1">VLOOKUP($A125,Plant_Table,'Plant Operations'!$C$270)</f>
        <v>480</v>
      </c>
      <c r="J125" s="1481">
        <f t="shared" ca="1" si="37"/>
        <v>12421.221869367631</v>
      </c>
      <c r="K125" s="1480">
        <f t="shared" ca="1" si="38"/>
        <v>2.6299860758900229</v>
      </c>
      <c r="L125" s="384">
        <f t="shared" ca="1" si="39"/>
        <v>4722.9230539420714</v>
      </c>
      <c r="M125" s="692" t="str">
        <f t="shared" ca="1" si="30"/>
        <v xml:space="preserve"> </v>
      </c>
      <c r="O125" s="1482">
        <f ca="1">IF($A125&gt;Endyr,0,VLOOKUP($A125,Tariff_Table,Tariff!$H$33))</f>
        <v>6151.18</v>
      </c>
      <c r="P125" s="1480">
        <f t="shared" ca="1" si="40"/>
        <v>1.3120103150934439</v>
      </c>
      <c r="Q125" s="1481">
        <f t="shared" ca="1" si="41"/>
        <v>8070.4116099964904</v>
      </c>
      <c r="R125" s="1480">
        <f t="shared" ca="1" si="42"/>
        <v>2.6299860758900229</v>
      </c>
      <c r="S125" s="113">
        <f t="shared" ca="1" si="43"/>
        <v>1.0649999999999999</v>
      </c>
      <c r="T125" s="1481">
        <f t="shared" ca="1" si="44"/>
        <v>19929.643343654418</v>
      </c>
      <c r="U125" s="330">
        <f t="shared" ca="1" si="45"/>
        <v>480</v>
      </c>
      <c r="V125" s="1481">
        <f t="shared" ca="1" si="46"/>
        <v>9566.2288049541203</v>
      </c>
      <c r="W125" s="1480">
        <f t="shared" ca="1" si="47"/>
        <v>2.6299860758900229</v>
      </c>
      <c r="X125" s="384">
        <f t="shared" ca="1" si="48"/>
        <v>3637.3686129561652</v>
      </c>
      <c r="Y125" s="692" t="str">
        <f t="shared" ca="1" si="31"/>
        <v xml:space="preserve"> </v>
      </c>
      <c r="AA125" s="1484">
        <f ca="1">IF($A125&gt;Endyr,0,VLOOKUP($A125,Tariff_Table,Tariff!$I$33))</f>
        <v>2.3199999999999998</v>
      </c>
      <c r="AB125" s="1480">
        <f t="shared" ca="1" si="32"/>
        <v>1.3120103150934439</v>
      </c>
      <c r="AC125" s="1483">
        <f t="shared" ca="1" si="49"/>
        <v>3.0438639310167894</v>
      </c>
      <c r="AD125" s="1480">
        <f t="shared" ca="1" si="50"/>
        <v>2.6299860758900229</v>
      </c>
      <c r="AE125" s="113">
        <f t="shared" ca="1" si="51"/>
        <v>1.0649999999999999</v>
      </c>
      <c r="AF125" s="1483">
        <f t="shared" ca="1" si="52"/>
        <v>7.5167321647680989</v>
      </c>
      <c r="AG125" s="334">
        <f ca="1">VLOOKUP($A125,Plant_Table,'Plant Operations'!$M$270)</f>
        <v>298980.864</v>
      </c>
      <c r="AH125" s="1481">
        <f t="shared" ca="1" si="53"/>
        <v>2247.3590770789565</v>
      </c>
      <c r="AI125" s="1480">
        <f t="shared" ca="1" si="54"/>
        <v>2.6299860758900229</v>
      </c>
      <c r="AJ125" s="335">
        <f t="shared" ca="1" si="55"/>
        <v>854.51367886745174</v>
      </c>
      <c r="AK125" s="698" t="str">
        <f t="shared" ca="1" si="33"/>
        <v xml:space="preserve"> </v>
      </c>
      <c r="AM125" s="697">
        <f ca="1">IF($A125&gt;Endyr,0,VLOOKUP($A125,Tariff_Table,Tariff!$L$33))</f>
        <v>1.21</v>
      </c>
      <c r="AN125" s="1504">
        <f ca="1">VLOOKUP($A125,Curves_Table,Escalation!$Z$291)</f>
        <v>1.376475256228453</v>
      </c>
      <c r="AO125" s="331">
        <f t="shared" ca="1" si="56"/>
        <v>1.665535060036428</v>
      </c>
      <c r="AP125" s="331">
        <f ca="1">IF($A125&gt;Endyr,0,VLOOKUP($A125,Tariff_Table,Tariff!$M$33))</f>
        <v>0.25</v>
      </c>
      <c r="AQ125" s="331">
        <f t="shared" ca="1" si="57"/>
        <v>1.915535060036428</v>
      </c>
      <c r="AR125" s="331">
        <f t="shared" ca="1" si="58"/>
        <v>1.46</v>
      </c>
      <c r="AS125" s="1508">
        <f t="shared" ca="1" si="59"/>
        <v>1.3120103150934439</v>
      </c>
    </row>
    <row r="126" spans="1:45">
      <c r="A126" s="672">
        <f t="shared" si="34"/>
        <v>40422</v>
      </c>
      <c r="C126" s="1484">
        <f ca="1">IF($A126&gt;Endyr,0,VLOOKUP($A126,Tariff_Table,Tariff!$G$33))</f>
        <v>7434.78</v>
      </c>
      <c r="D126" s="1480">
        <f ca="1">VLOOKUP($A126,Curves_Table,Escalation!$V$291)</f>
        <v>1.409454688092179</v>
      </c>
      <c r="E126" s="1483">
        <f t="shared" ca="1" si="35"/>
        <v>10478.985525933971</v>
      </c>
      <c r="F126" s="1480">
        <f ca="1">IF(Assm!$L$74=0,VLOOKUP($A126,Curves_Table,Escalation!$D$291),VLOOKUP($A126,Curves_Table,Escalation!$E$291))</f>
        <v>2.6351082896261135</v>
      </c>
      <c r="G126" s="113">
        <f ca="1">IF($A126&lt;EE_Date,VLOOKUP($A126,Curves_Table,Escalation!$D$291),Exch)</f>
        <v>1.0649999999999999</v>
      </c>
      <c r="H126" s="1483">
        <f t="shared" ca="1" si="36"/>
        <v>25927.945188977155</v>
      </c>
      <c r="I126" s="330">
        <f ca="1">VLOOKUP($A126,Plant_Table,'Plant Operations'!$C$270)</f>
        <v>480</v>
      </c>
      <c r="J126" s="1481">
        <f t="shared" ca="1" si="37"/>
        <v>12445.413690709034</v>
      </c>
      <c r="K126" s="1480">
        <f t="shared" ca="1" si="38"/>
        <v>2.6351082896261135</v>
      </c>
      <c r="L126" s="384">
        <f t="shared" ca="1" si="39"/>
        <v>4722.9230539420723</v>
      </c>
      <c r="M126" s="692" t="str">
        <f t="shared" ca="1" si="30"/>
        <v xml:space="preserve"> </v>
      </c>
      <c r="O126" s="1482">
        <f ca="1">IF($A126&gt;Endyr,0,VLOOKUP($A126,Tariff_Table,Tariff!$H$33))</f>
        <v>6151.18</v>
      </c>
      <c r="P126" s="1480">
        <f t="shared" ca="1" si="40"/>
        <v>1.3120103150934439</v>
      </c>
      <c r="Q126" s="1481">
        <f t="shared" ca="1" si="41"/>
        <v>8070.4116099964904</v>
      </c>
      <c r="R126" s="1480">
        <f t="shared" ca="1" si="42"/>
        <v>2.6351082896261135</v>
      </c>
      <c r="S126" s="113">
        <f t="shared" ca="1" si="43"/>
        <v>1.0649999999999999</v>
      </c>
      <c r="T126" s="1481">
        <f t="shared" ca="1" si="44"/>
        <v>19968.458717555477</v>
      </c>
      <c r="U126" s="330">
        <f t="shared" ca="1" si="45"/>
        <v>480</v>
      </c>
      <c r="V126" s="1481">
        <f t="shared" ca="1" si="46"/>
        <v>9584.8601844266286</v>
      </c>
      <c r="W126" s="1480">
        <f t="shared" ca="1" si="47"/>
        <v>2.6351082896261135</v>
      </c>
      <c r="X126" s="384">
        <f t="shared" ca="1" si="48"/>
        <v>3637.3686129561647</v>
      </c>
      <c r="Y126" s="692" t="str">
        <f t="shared" ca="1" si="31"/>
        <v xml:space="preserve"> </v>
      </c>
      <c r="AA126" s="1484">
        <f ca="1">IF($A126&gt;Endyr,0,VLOOKUP($A126,Tariff_Table,Tariff!$I$33))</f>
        <v>2.3199999999999998</v>
      </c>
      <c r="AB126" s="1480">
        <f t="shared" ca="1" si="32"/>
        <v>1.3120103150934439</v>
      </c>
      <c r="AC126" s="1483">
        <f t="shared" ca="1" si="49"/>
        <v>3.0438639310167894</v>
      </c>
      <c r="AD126" s="1480">
        <f t="shared" ca="1" si="50"/>
        <v>2.6351082896261135</v>
      </c>
      <c r="AE126" s="113">
        <f t="shared" ca="1" si="51"/>
        <v>1.0649999999999999</v>
      </c>
      <c r="AF126" s="1483">
        <f t="shared" ca="1" si="52"/>
        <v>7.5313719033955593</v>
      </c>
      <c r="AG126" s="334">
        <f ca="1">VLOOKUP($A126,Plant_Table,'Plant Operations'!$M$270)</f>
        <v>289336.32000000001</v>
      </c>
      <c r="AH126" s="1481">
        <f t="shared" ca="1" si="53"/>
        <v>2179.0994310798669</v>
      </c>
      <c r="AI126" s="1480">
        <f t="shared" ca="1" si="54"/>
        <v>2.6351082896261135</v>
      </c>
      <c r="AJ126" s="335">
        <f t="shared" ca="1" si="55"/>
        <v>826.94872148463082</v>
      </c>
      <c r="AK126" s="698" t="str">
        <f t="shared" ca="1" si="33"/>
        <v xml:space="preserve"> </v>
      </c>
      <c r="AM126" s="697">
        <f ca="1">IF($A126&gt;Endyr,0,VLOOKUP($A126,Tariff_Table,Tariff!$L$33))</f>
        <v>1.21</v>
      </c>
      <c r="AN126" s="1504">
        <f ca="1">VLOOKUP($A126,Curves_Table,Escalation!$Z$291)</f>
        <v>1.376475256228453</v>
      </c>
      <c r="AO126" s="331">
        <f t="shared" ca="1" si="56"/>
        <v>1.665535060036428</v>
      </c>
      <c r="AP126" s="331">
        <f ca="1">IF($A126&gt;Endyr,0,VLOOKUP($A126,Tariff_Table,Tariff!$M$33))</f>
        <v>0.25</v>
      </c>
      <c r="AQ126" s="331">
        <f t="shared" ca="1" si="57"/>
        <v>1.915535060036428</v>
      </c>
      <c r="AR126" s="331">
        <f t="shared" ca="1" si="58"/>
        <v>1.46</v>
      </c>
      <c r="AS126" s="1508">
        <f t="shared" ca="1" si="59"/>
        <v>1.3120103150934439</v>
      </c>
    </row>
    <row r="127" spans="1:45">
      <c r="A127" s="672">
        <f t="shared" si="34"/>
        <v>40452</v>
      </c>
      <c r="C127" s="1484">
        <f ca="1">IF($A127&gt;Endyr,0,VLOOKUP($A127,Tariff_Table,Tariff!$G$33))</f>
        <v>7434.78</v>
      </c>
      <c r="D127" s="1480">
        <f ca="1">VLOOKUP($A127,Curves_Table,Escalation!$V$291)</f>
        <v>1.409454688092179</v>
      </c>
      <c r="E127" s="1483">
        <f t="shared" ca="1" si="35"/>
        <v>10478.985525933971</v>
      </c>
      <c r="F127" s="1480">
        <f ca="1">IF(Assm!$L$74=0,VLOOKUP($A127,Curves_Table,Escalation!$D$291),VLOOKUP($A127,Curves_Table,Escalation!$E$291))</f>
        <v>2.6402404794886176</v>
      </c>
      <c r="G127" s="113">
        <f ca="1">IF($A127&lt;EE_Date,VLOOKUP($A127,Curves_Table,Escalation!$D$291),Exch)</f>
        <v>1.0649999999999999</v>
      </c>
      <c r="H127" s="1483">
        <f t="shared" ca="1" si="36"/>
        <v>25978.442976099712</v>
      </c>
      <c r="I127" s="330">
        <f ca="1">VLOOKUP($A127,Plant_Table,'Plant Operations'!$C$270)</f>
        <v>480</v>
      </c>
      <c r="J127" s="1481">
        <f t="shared" ca="1" si="37"/>
        <v>12469.652628527861</v>
      </c>
      <c r="K127" s="1480">
        <f t="shared" ca="1" si="38"/>
        <v>2.6402404794886176</v>
      </c>
      <c r="L127" s="384">
        <f t="shared" ca="1" si="39"/>
        <v>4722.9230539420714</v>
      </c>
      <c r="M127" s="692" t="str">
        <f t="shared" ca="1" si="30"/>
        <v xml:space="preserve"> </v>
      </c>
      <c r="O127" s="1482">
        <f ca="1">IF($A127&gt;Endyr,0,VLOOKUP($A127,Tariff_Table,Tariff!$H$33))</f>
        <v>6151.18</v>
      </c>
      <c r="P127" s="1480">
        <f t="shared" ca="1" si="40"/>
        <v>1.3120103150934439</v>
      </c>
      <c r="Q127" s="1481">
        <f t="shared" ca="1" si="41"/>
        <v>8070.4116099964904</v>
      </c>
      <c r="R127" s="1480">
        <f t="shared" ca="1" si="42"/>
        <v>2.6402404794886176</v>
      </c>
      <c r="S127" s="113">
        <f t="shared" ca="1" si="43"/>
        <v>1.0649999999999999</v>
      </c>
      <c r="T127" s="1481">
        <f t="shared" ca="1" si="44"/>
        <v>20007.349689058818</v>
      </c>
      <c r="U127" s="330">
        <f t="shared" ca="1" si="45"/>
        <v>480</v>
      </c>
      <c r="V127" s="1481">
        <f t="shared" ca="1" si="46"/>
        <v>9603.5278507482308</v>
      </c>
      <c r="W127" s="1480">
        <f t="shared" ca="1" si="47"/>
        <v>2.6402404794886176</v>
      </c>
      <c r="X127" s="384">
        <f t="shared" ca="1" si="48"/>
        <v>3637.3686129561643</v>
      </c>
      <c r="Y127" s="692" t="str">
        <f t="shared" ca="1" si="31"/>
        <v xml:space="preserve"> </v>
      </c>
      <c r="AA127" s="1484">
        <f ca="1">IF($A127&gt;Endyr,0,VLOOKUP($A127,Tariff_Table,Tariff!$I$33))</f>
        <v>2.3199999999999998</v>
      </c>
      <c r="AB127" s="1480">
        <f t="shared" ca="1" si="32"/>
        <v>1.3120103150934439</v>
      </c>
      <c r="AC127" s="1483">
        <f t="shared" ca="1" si="49"/>
        <v>3.0438639310167894</v>
      </c>
      <c r="AD127" s="1480">
        <f t="shared" ca="1" si="50"/>
        <v>2.6402404794886176</v>
      </c>
      <c r="AE127" s="113">
        <f t="shared" ca="1" si="51"/>
        <v>1.0649999999999999</v>
      </c>
      <c r="AF127" s="1483">
        <f t="shared" ca="1" si="52"/>
        <v>7.5460401546721849</v>
      </c>
      <c r="AG127" s="334">
        <f ca="1">VLOOKUP($A127,Plant_Table,'Plant Operations'!$M$270)</f>
        <v>298980.864</v>
      </c>
      <c r="AH127" s="1481">
        <f t="shared" ca="1" si="53"/>
        <v>2256.1216052225832</v>
      </c>
      <c r="AI127" s="1480">
        <f t="shared" ca="1" si="54"/>
        <v>2.6402404794886176</v>
      </c>
      <c r="AJ127" s="335">
        <f t="shared" ca="1" si="55"/>
        <v>854.51367886745163</v>
      </c>
      <c r="AK127" s="698" t="str">
        <f t="shared" ca="1" si="33"/>
        <v xml:space="preserve"> </v>
      </c>
      <c r="AM127" s="697">
        <f ca="1">IF($A127&gt;Endyr,0,VLOOKUP($A127,Tariff_Table,Tariff!$L$33))</f>
        <v>1.21</v>
      </c>
      <c r="AN127" s="1504">
        <f ca="1">VLOOKUP($A127,Curves_Table,Escalation!$Z$291)</f>
        <v>1.376475256228453</v>
      </c>
      <c r="AO127" s="331">
        <f t="shared" ca="1" si="56"/>
        <v>1.665535060036428</v>
      </c>
      <c r="AP127" s="331">
        <f ca="1">IF($A127&gt;Endyr,0,VLOOKUP($A127,Tariff_Table,Tariff!$M$33))</f>
        <v>0.25</v>
      </c>
      <c r="AQ127" s="331">
        <f t="shared" ca="1" si="57"/>
        <v>1.915535060036428</v>
      </c>
      <c r="AR127" s="331">
        <f t="shared" ca="1" si="58"/>
        <v>1.46</v>
      </c>
      <c r="AS127" s="1508">
        <f t="shared" ca="1" si="59"/>
        <v>1.3120103150934439</v>
      </c>
    </row>
    <row r="128" spans="1:45">
      <c r="A128" s="672">
        <f t="shared" si="34"/>
        <v>40483</v>
      </c>
      <c r="C128" s="1484">
        <f ca="1">IF($A128&gt;Endyr,0,VLOOKUP($A128,Tariff_Table,Tariff!$G$33))</f>
        <v>7434.78</v>
      </c>
      <c r="D128" s="1480">
        <f ca="1">VLOOKUP($A128,Curves_Table,Escalation!$V$291)</f>
        <v>1.409454688092179</v>
      </c>
      <c r="E128" s="1483">
        <f t="shared" ca="1" si="35"/>
        <v>10478.985525933971</v>
      </c>
      <c r="F128" s="1480">
        <f ca="1">IF(Assm!$L$74=0,VLOOKUP($A128,Curves_Table,Escalation!$D$291),VLOOKUP($A128,Curves_Table,Escalation!$E$291))</f>
        <v>2.6453826649072392</v>
      </c>
      <c r="G128" s="113">
        <f ca="1">IF($A128&lt;EE_Date,VLOOKUP($A128,Curves_Table,Escalation!$D$291),Exch)</f>
        <v>1.0649999999999999</v>
      </c>
      <c r="H128" s="1483">
        <f t="shared" ca="1" si="36"/>
        <v>26029.039113727322</v>
      </c>
      <c r="I128" s="330">
        <f ca="1">VLOOKUP($A128,Plant_Table,'Plant Operations'!$C$270)</f>
        <v>480</v>
      </c>
      <c r="J128" s="1481">
        <f t="shared" ca="1" si="37"/>
        <v>12493.938774589114</v>
      </c>
      <c r="K128" s="1480">
        <f t="shared" ca="1" si="38"/>
        <v>2.6453826649072392</v>
      </c>
      <c r="L128" s="384">
        <f t="shared" ca="1" si="39"/>
        <v>4722.9230539420714</v>
      </c>
      <c r="M128" s="692" t="str">
        <f t="shared" ca="1" si="30"/>
        <v xml:space="preserve"> </v>
      </c>
      <c r="O128" s="1482">
        <f ca="1">IF($A128&gt;Endyr,0,VLOOKUP($A128,Tariff_Table,Tariff!$H$33))</f>
        <v>6151.18</v>
      </c>
      <c r="P128" s="1480">
        <f t="shared" ca="1" si="40"/>
        <v>1.3120103150934439</v>
      </c>
      <c r="Q128" s="1481">
        <f t="shared" ca="1" si="41"/>
        <v>8070.4116099964904</v>
      </c>
      <c r="R128" s="1480">
        <f t="shared" ca="1" si="42"/>
        <v>2.6453826649072392</v>
      </c>
      <c r="S128" s="113">
        <f t="shared" ca="1" si="43"/>
        <v>1.0649999999999999</v>
      </c>
      <c r="T128" s="1481">
        <f t="shared" ca="1" si="44"/>
        <v>20046.316405399848</v>
      </c>
      <c r="U128" s="330">
        <f t="shared" ca="1" si="45"/>
        <v>480</v>
      </c>
      <c r="V128" s="1481">
        <f t="shared" ca="1" si="46"/>
        <v>9622.2318745919274</v>
      </c>
      <c r="W128" s="1480">
        <f t="shared" ca="1" si="47"/>
        <v>2.6453826649072392</v>
      </c>
      <c r="X128" s="384">
        <f t="shared" ca="1" si="48"/>
        <v>3637.3686129561647</v>
      </c>
      <c r="Y128" s="692" t="str">
        <f t="shared" ca="1" si="31"/>
        <v xml:space="preserve"> </v>
      </c>
      <c r="AA128" s="1484">
        <f ca="1">IF($A128&gt;Endyr,0,VLOOKUP($A128,Tariff_Table,Tariff!$I$33))</f>
        <v>2.3199999999999998</v>
      </c>
      <c r="AB128" s="1480">
        <f t="shared" ca="1" si="32"/>
        <v>1.3120103150934439</v>
      </c>
      <c r="AC128" s="1483">
        <f t="shared" ca="1" si="49"/>
        <v>3.0438639310167894</v>
      </c>
      <c r="AD128" s="1480">
        <f t="shared" ca="1" si="50"/>
        <v>2.6453826649072392</v>
      </c>
      <c r="AE128" s="113">
        <f t="shared" ca="1" si="51"/>
        <v>1.0649999999999999</v>
      </c>
      <c r="AF128" s="1483">
        <f t="shared" ca="1" si="52"/>
        <v>7.5607369741297843</v>
      </c>
      <c r="AG128" s="334">
        <f ca="1">VLOOKUP($A128,Plant_Table,'Plant Operations'!$M$270)</f>
        <v>289336.32000000001</v>
      </c>
      <c r="AH128" s="1481">
        <f t="shared" ca="1" si="53"/>
        <v>2187.5958125826469</v>
      </c>
      <c r="AI128" s="1480">
        <f t="shared" ca="1" si="54"/>
        <v>2.6453826649072392</v>
      </c>
      <c r="AJ128" s="335">
        <f t="shared" ca="1" si="55"/>
        <v>826.94872148463082</v>
      </c>
      <c r="AK128" s="698" t="str">
        <f t="shared" ca="1" si="33"/>
        <v xml:space="preserve"> </v>
      </c>
      <c r="AM128" s="697">
        <f ca="1">IF($A128&gt;Endyr,0,VLOOKUP($A128,Tariff_Table,Tariff!$L$33))</f>
        <v>1.21</v>
      </c>
      <c r="AN128" s="1504">
        <f ca="1">VLOOKUP($A128,Curves_Table,Escalation!$Z$291)</f>
        <v>1.376475256228453</v>
      </c>
      <c r="AO128" s="331">
        <f t="shared" ca="1" si="56"/>
        <v>1.665535060036428</v>
      </c>
      <c r="AP128" s="331">
        <f ca="1">IF($A128&gt;Endyr,0,VLOOKUP($A128,Tariff_Table,Tariff!$M$33))</f>
        <v>0.25</v>
      </c>
      <c r="AQ128" s="331">
        <f t="shared" ca="1" si="57"/>
        <v>1.915535060036428</v>
      </c>
      <c r="AR128" s="331">
        <f t="shared" ca="1" si="58"/>
        <v>1.46</v>
      </c>
      <c r="AS128" s="1508">
        <f t="shared" ca="1" si="59"/>
        <v>1.3120103150934439</v>
      </c>
    </row>
    <row r="129" spans="1:45">
      <c r="A129" s="672">
        <f t="shared" si="34"/>
        <v>40513</v>
      </c>
      <c r="C129" s="1484">
        <f ca="1">IF($A129&gt;Endyr,0,VLOOKUP($A129,Tariff_Table,Tariff!$G$33))</f>
        <v>7434.78</v>
      </c>
      <c r="D129" s="1480">
        <f ca="1">VLOOKUP($A129,Curves_Table,Escalation!$V$291)</f>
        <v>1.409454688092179</v>
      </c>
      <c r="E129" s="1483">
        <f t="shared" ca="1" si="35"/>
        <v>10478.985525933971</v>
      </c>
      <c r="F129" s="1480">
        <f ca="1">IF(Assm!$L$74=0,VLOOKUP($A129,Curves_Table,Escalation!$D$291),VLOOKUP($A129,Curves_Table,Escalation!$E$291))</f>
        <v>2.6505348653495227</v>
      </c>
      <c r="G129" s="113">
        <f ca="1">IF($A129&lt;EE_Date,VLOOKUP($A129,Curves_Table,Escalation!$D$291),Exch)</f>
        <v>1.0649999999999999</v>
      </c>
      <c r="H129" s="1483">
        <f t="shared" ca="1" si="36"/>
        <v>26079.733793409385</v>
      </c>
      <c r="I129" s="330">
        <f ca="1">VLOOKUP($A129,Plant_Table,'Plant Operations'!$C$270)</f>
        <v>480</v>
      </c>
      <c r="J129" s="1481">
        <f t="shared" ca="1" si="37"/>
        <v>12518.272220836505</v>
      </c>
      <c r="K129" s="1480">
        <f t="shared" ca="1" si="38"/>
        <v>2.6505348653495227</v>
      </c>
      <c r="L129" s="384">
        <f t="shared" ca="1" si="39"/>
        <v>4722.9230539420714</v>
      </c>
      <c r="M129" s="692">
        <f t="shared" ca="1" si="30"/>
        <v>56191.250375479256</v>
      </c>
      <c r="O129" s="1482">
        <f ca="1">IF($A129&gt;Endyr,0,VLOOKUP($A129,Tariff_Table,Tariff!$H$33))</f>
        <v>6151.18</v>
      </c>
      <c r="P129" s="1480">
        <f t="shared" ca="1" si="40"/>
        <v>1.3120103150934439</v>
      </c>
      <c r="Q129" s="1481">
        <f t="shared" ca="1" si="41"/>
        <v>8070.4116099964904</v>
      </c>
      <c r="R129" s="1480">
        <f t="shared" ca="1" si="42"/>
        <v>2.6505348653495227</v>
      </c>
      <c r="S129" s="113">
        <f t="shared" ca="1" si="43"/>
        <v>1.0649999999999999</v>
      </c>
      <c r="T129" s="1481">
        <f t="shared" ca="1" si="44"/>
        <v>20085.359014100726</v>
      </c>
      <c r="U129" s="330">
        <f t="shared" ca="1" si="45"/>
        <v>480</v>
      </c>
      <c r="V129" s="1481">
        <f t="shared" ca="1" si="46"/>
        <v>9640.9723267683476</v>
      </c>
      <c r="W129" s="1480">
        <f t="shared" ca="1" si="47"/>
        <v>2.6505348653495227</v>
      </c>
      <c r="X129" s="384">
        <f t="shared" ca="1" si="48"/>
        <v>3637.3686129561647</v>
      </c>
      <c r="Y129" s="692">
        <f t="shared" ca="1" si="31"/>
        <v>43335.635366778515</v>
      </c>
      <c r="AA129" s="1484">
        <f ca="1">IF($A129&gt;Endyr,0,VLOOKUP($A129,Tariff_Table,Tariff!$I$33))</f>
        <v>2.3199999999999998</v>
      </c>
      <c r="AB129" s="1480">
        <f t="shared" ca="1" si="32"/>
        <v>1.3120103150934439</v>
      </c>
      <c r="AC129" s="1483">
        <f t="shared" ca="1" si="49"/>
        <v>3.0438639310167894</v>
      </c>
      <c r="AD129" s="1480">
        <f t="shared" ca="1" si="50"/>
        <v>2.6505348653495227</v>
      </c>
      <c r="AE129" s="113">
        <f t="shared" ca="1" si="51"/>
        <v>1.0649999999999999</v>
      </c>
      <c r="AF129" s="1483">
        <f t="shared" ca="1" si="52"/>
        <v>7.5754624174083141</v>
      </c>
      <c r="AG129" s="334">
        <f ca="1">VLOOKUP($A129,Plant_Table,'Plant Operations'!$M$270)</f>
        <v>298980.864</v>
      </c>
      <c r="AH129" s="1481">
        <f t="shared" ca="1" si="53"/>
        <v>2264.9182987562663</v>
      </c>
      <c r="AI129" s="1480">
        <f t="shared" ca="1" si="54"/>
        <v>2.6505348653495227</v>
      </c>
      <c r="AJ129" s="335">
        <f t="shared" ca="1" si="55"/>
        <v>854.51367886745163</v>
      </c>
      <c r="AK129" s="698">
        <f t="shared" ca="1" si="33"/>
        <v>9981.6360276105897</v>
      </c>
      <c r="AM129" s="697">
        <f ca="1">IF($A129&gt;Endyr,0,VLOOKUP($A129,Tariff_Table,Tariff!$L$33))</f>
        <v>1.21</v>
      </c>
      <c r="AN129" s="1504">
        <f ca="1">VLOOKUP($A129,Curves_Table,Escalation!$Z$291)</f>
        <v>1.376475256228453</v>
      </c>
      <c r="AO129" s="331">
        <f t="shared" ca="1" si="56"/>
        <v>1.665535060036428</v>
      </c>
      <c r="AP129" s="331">
        <f ca="1">IF($A129&gt;Endyr,0,VLOOKUP($A129,Tariff_Table,Tariff!$M$33))</f>
        <v>0.25</v>
      </c>
      <c r="AQ129" s="331">
        <f t="shared" ca="1" si="57"/>
        <v>1.915535060036428</v>
      </c>
      <c r="AR129" s="331">
        <f t="shared" ca="1" si="58"/>
        <v>1.46</v>
      </c>
      <c r="AS129" s="1508">
        <f t="shared" ca="1" si="59"/>
        <v>1.3120103150934439</v>
      </c>
    </row>
    <row r="130" spans="1:45">
      <c r="A130" s="672">
        <f t="shared" si="34"/>
        <v>40544</v>
      </c>
      <c r="C130" s="1484">
        <f ca="1">IF($A130&gt;Endyr,0,VLOOKUP($A130,Tariff_Table,Tariff!$G$33))</f>
        <v>7434.78</v>
      </c>
      <c r="D130" s="1480">
        <f ca="1">VLOOKUP($A130,Curves_Table,Escalation!$V$291)</f>
        <v>1.409454688092179</v>
      </c>
      <c r="E130" s="1483">
        <f t="shared" ca="1" si="35"/>
        <v>10478.985525933971</v>
      </c>
      <c r="F130" s="1480">
        <f ca="1">IF(Assm!$L$74=0,VLOOKUP($A130,Curves_Table,Escalation!$D$291),VLOOKUP($A130,Curves_Table,Escalation!$E$291))</f>
        <v>2.6551333521534075</v>
      </c>
      <c r="G130" s="113">
        <f ca="1">IF($A130&lt;EE_Date,VLOOKUP($A130,Curves_Table,Escalation!$D$291),Exch)</f>
        <v>1.0649999999999999</v>
      </c>
      <c r="H130" s="1483">
        <f t="shared" ca="1" si="36"/>
        <v>26124.980250366294</v>
      </c>
      <c r="I130" s="330">
        <f ca="1">VLOOKUP($A130,Plant_Table,'Plant Operations'!$C$270)</f>
        <v>480</v>
      </c>
      <c r="J130" s="1481">
        <f t="shared" ca="1" si="37"/>
        <v>12539.990520175823</v>
      </c>
      <c r="K130" s="1480">
        <f t="shared" ca="1" si="38"/>
        <v>2.6551333521534075</v>
      </c>
      <c r="L130" s="384">
        <f t="shared" ca="1" si="39"/>
        <v>4722.9230539420723</v>
      </c>
      <c r="M130" s="692" t="str">
        <f t="shared" ca="1" si="30"/>
        <v xml:space="preserve"> </v>
      </c>
      <c r="O130" s="1482">
        <f ca="1">IF($A130&gt;Endyr,0,VLOOKUP($A130,Tariff_Table,Tariff!$H$33))</f>
        <v>6151.18</v>
      </c>
      <c r="P130" s="1480">
        <f t="shared" ca="1" si="40"/>
        <v>1.3120103150934439</v>
      </c>
      <c r="Q130" s="1481">
        <f t="shared" ca="1" si="41"/>
        <v>8070.4116099964904</v>
      </c>
      <c r="R130" s="1480">
        <f t="shared" ca="1" si="42"/>
        <v>2.6551333521534075</v>
      </c>
      <c r="S130" s="113">
        <f t="shared" ca="1" si="43"/>
        <v>1.0649999999999999</v>
      </c>
      <c r="T130" s="1481">
        <f t="shared" ca="1" si="44"/>
        <v>20120.205663199773</v>
      </c>
      <c r="U130" s="330">
        <f t="shared" ca="1" si="45"/>
        <v>480</v>
      </c>
      <c r="V130" s="1481">
        <f t="shared" ca="1" si="46"/>
        <v>9657.6987183358906</v>
      </c>
      <c r="W130" s="1480">
        <f t="shared" ca="1" si="47"/>
        <v>2.6551333521534075</v>
      </c>
      <c r="X130" s="384">
        <f t="shared" ca="1" si="48"/>
        <v>3637.3686129561643</v>
      </c>
      <c r="Y130" s="692" t="str">
        <f t="shared" ca="1" si="31"/>
        <v xml:space="preserve"> </v>
      </c>
      <c r="AA130" s="1484">
        <f ca="1">IF($A130&gt;Endyr,0,VLOOKUP($A130,Tariff_Table,Tariff!$I$33))</f>
        <v>2.3199999999999998</v>
      </c>
      <c r="AB130" s="1480">
        <f t="shared" ca="1" si="32"/>
        <v>1.3120103150934439</v>
      </c>
      <c r="AC130" s="1483">
        <f t="shared" ca="1" si="49"/>
        <v>3.0438639310167894</v>
      </c>
      <c r="AD130" s="1480">
        <f t="shared" ca="1" si="50"/>
        <v>2.6551333521534075</v>
      </c>
      <c r="AE130" s="113">
        <f t="shared" ca="1" si="51"/>
        <v>1.0649999999999999</v>
      </c>
      <c r="AF130" s="1483">
        <f t="shared" ca="1" si="52"/>
        <v>7.5886052982717898</v>
      </c>
      <c r="AG130" s="334">
        <f ca="1">VLOOKUP($A130,Plant_Table,'Plant Operations'!$M$270)</f>
        <v>298980.864</v>
      </c>
      <c r="AH130" s="1481">
        <f t="shared" ca="1" si="53"/>
        <v>2268.8477686322772</v>
      </c>
      <c r="AI130" s="1480">
        <f t="shared" ca="1" si="54"/>
        <v>2.6551333521534075</v>
      </c>
      <c r="AJ130" s="335">
        <f t="shared" ca="1" si="55"/>
        <v>854.51367886745163</v>
      </c>
      <c r="AK130" s="698" t="str">
        <f t="shared" ca="1" si="33"/>
        <v xml:space="preserve"> </v>
      </c>
      <c r="AM130" s="697">
        <f ca="1">IF($A130&gt;Endyr,0,VLOOKUP($A130,Tariff_Table,Tariff!$L$33))</f>
        <v>1.21</v>
      </c>
      <c r="AN130" s="1504">
        <f ca="1">VLOOKUP($A130,Curves_Table,Escalation!$Z$291)</f>
        <v>1.376475256228453</v>
      </c>
      <c r="AO130" s="331">
        <f t="shared" ca="1" si="56"/>
        <v>1.665535060036428</v>
      </c>
      <c r="AP130" s="331">
        <f ca="1">IF($A130&gt;Endyr,0,VLOOKUP($A130,Tariff_Table,Tariff!$M$33))</f>
        <v>0.25</v>
      </c>
      <c r="AQ130" s="331">
        <f t="shared" ca="1" si="57"/>
        <v>1.915535060036428</v>
      </c>
      <c r="AR130" s="331">
        <f t="shared" ca="1" si="58"/>
        <v>1.46</v>
      </c>
      <c r="AS130" s="1508">
        <f t="shared" ca="1" si="59"/>
        <v>1.3120103150934439</v>
      </c>
    </row>
    <row r="131" spans="1:45">
      <c r="A131" s="672">
        <f t="shared" si="34"/>
        <v>40575</v>
      </c>
      <c r="C131" s="1484">
        <f ca="1">IF($A131&gt;Endyr,0,VLOOKUP($A131,Tariff_Table,Tariff!$G$33))</f>
        <v>7434.78</v>
      </c>
      <c r="D131" s="1480">
        <f ca="1">VLOOKUP($A131,Curves_Table,Escalation!$V$291)</f>
        <v>1.409454688092179</v>
      </c>
      <c r="E131" s="1483">
        <f t="shared" ca="1" si="35"/>
        <v>10478.985525933971</v>
      </c>
      <c r="F131" s="1480">
        <f ca="1">IF(Assm!$L$74=0,VLOOKUP($A131,Curves_Table,Escalation!$D$291),VLOOKUP($A131,Curves_Table,Escalation!$E$291))</f>
        <v>2.6597398170002005</v>
      </c>
      <c r="G131" s="113">
        <f ca="1">IF($A131&lt;EE_Date,VLOOKUP($A131,Curves_Table,Escalation!$D$291),Exch)</f>
        <v>1.0649999999999999</v>
      </c>
      <c r="H131" s="1483">
        <f t="shared" ca="1" si="36"/>
        <v>26170.30520666232</v>
      </c>
      <c r="I131" s="330">
        <f ca="1">VLOOKUP($A131,Plant_Table,'Plant Operations'!$C$270)</f>
        <v>480</v>
      </c>
      <c r="J131" s="1481">
        <f t="shared" ca="1" si="37"/>
        <v>12561.746499197914</v>
      </c>
      <c r="K131" s="1480">
        <f t="shared" ca="1" si="38"/>
        <v>2.6597398170002005</v>
      </c>
      <c r="L131" s="384">
        <f t="shared" ca="1" si="39"/>
        <v>4722.9230539420714</v>
      </c>
      <c r="M131" s="692" t="str">
        <f t="shared" ca="1" si="30"/>
        <v xml:space="preserve"> </v>
      </c>
      <c r="O131" s="1482">
        <f ca="1">IF($A131&gt;Endyr,0,VLOOKUP($A131,Tariff_Table,Tariff!$H$33))</f>
        <v>6151.18</v>
      </c>
      <c r="P131" s="1480">
        <f t="shared" ca="1" si="40"/>
        <v>1.3120103150934439</v>
      </c>
      <c r="Q131" s="1481">
        <f t="shared" ca="1" si="41"/>
        <v>8070.4116099964904</v>
      </c>
      <c r="R131" s="1480">
        <f t="shared" ca="1" si="42"/>
        <v>2.6597398170002005</v>
      </c>
      <c r="S131" s="113">
        <f t="shared" ca="1" si="43"/>
        <v>1.0649999999999999</v>
      </c>
      <c r="T131" s="1481">
        <f t="shared" ca="1" si="44"/>
        <v>20155.112768721461</v>
      </c>
      <c r="U131" s="330">
        <f t="shared" ca="1" si="45"/>
        <v>480</v>
      </c>
      <c r="V131" s="1481">
        <f t="shared" ca="1" si="46"/>
        <v>9674.4541289863009</v>
      </c>
      <c r="W131" s="1480">
        <f t="shared" ca="1" si="47"/>
        <v>2.6597398170002005</v>
      </c>
      <c r="X131" s="384">
        <f t="shared" ca="1" si="48"/>
        <v>3637.3686129561643</v>
      </c>
      <c r="Y131" s="692" t="str">
        <f t="shared" ca="1" si="31"/>
        <v xml:space="preserve"> </v>
      </c>
      <c r="AA131" s="1484">
        <f ca="1">IF($A131&gt;Endyr,0,VLOOKUP($A131,Tariff_Table,Tariff!$I$33))</f>
        <v>2.3199999999999998</v>
      </c>
      <c r="AB131" s="1480">
        <f t="shared" ca="1" si="32"/>
        <v>1.3120103150934439</v>
      </c>
      <c r="AC131" s="1483">
        <f t="shared" ca="1" si="49"/>
        <v>3.0438639310167894</v>
      </c>
      <c r="AD131" s="1480">
        <f t="shared" ca="1" si="50"/>
        <v>2.6597398170002005</v>
      </c>
      <c r="AE131" s="113">
        <f t="shared" ca="1" si="51"/>
        <v>1.0649999999999999</v>
      </c>
      <c r="AF131" s="1483">
        <f t="shared" ca="1" si="52"/>
        <v>7.6017709810855472</v>
      </c>
      <c r="AG131" s="334">
        <f ca="1">VLOOKUP($A131,Plant_Table,'Plant Operations'!$M$270)</f>
        <v>270047.23200000002</v>
      </c>
      <c r="AH131" s="1481">
        <f t="shared" ca="1" si="53"/>
        <v>2052.8372117400763</v>
      </c>
      <c r="AI131" s="1480">
        <f t="shared" ca="1" si="54"/>
        <v>2.6597398170002005</v>
      </c>
      <c r="AJ131" s="335">
        <f t="shared" ca="1" si="55"/>
        <v>771.81880671898875</v>
      </c>
      <c r="AK131" s="698" t="str">
        <f t="shared" ca="1" si="33"/>
        <v xml:space="preserve"> </v>
      </c>
      <c r="AM131" s="697">
        <f ca="1">IF($A131&gt;Endyr,0,VLOOKUP($A131,Tariff_Table,Tariff!$L$33))</f>
        <v>1.21</v>
      </c>
      <c r="AN131" s="1504">
        <f ca="1">VLOOKUP($A131,Curves_Table,Escalation!$Z$291)</f>
        <v>1.376475256228453</v>
      </c>
      <c r="AO131" s="331">
        <f t="shared" ca="1" si="56"/>
        <v>1.665535060036428</v>
      </c>
      <c r="AP131" s="331">
        <f ca="1">IF($A131&gt;Endyr,0,VLOOKUP($A131,Tariff_Table,Tariff!$M$33))</f>
        <v>0.25</v>
      </c>
      <c r="AQ131" s="331">
        <f t="shared" ca="1" si="57"/>
        <v>1.915535060036428</v>
      </c>
      <c r="AR131" s="331">
        <f t="shared" ca="1" si="58"/>
        <v>1.46</v>
      </c>
      <c r="AS131" s="1508">
        <f t="shared" ca="1" si="59"/>
        <v>1.3120103150934439</v>
      </c>
    </row>
    <row r="132" spans="1:45">
      <c r="A132" s="672">
        <f t="shared" si="34"/>
        <v>40603</v>
      </c>
      <c r="C132" s="1484">
        <f ca="1">IF($A132&gt;Endyr,0,VLOOKUP($A132,Tariff_Table,Tariff!$G$33))</f>
        <v>7434.78</v>
      </c>
      <c r="D132" s="1480">
        <f ca="1">VLOOKUP($A132,Curves_Table,Escalation!$V$291)</f>
        <v>1.409454688092179</v>
      </c>
      <c r="E132" s="1483">
        <f t="shared" ca="1" si="35"/>
        <v>10478.985525933971</v>
      </c>
      <c r="F132" s="1480">
        <f ca="1">IF(Assm!$L$74=0,VLOOKUP($A132,Curves_Table,Escalation!$D$291),VLOOKUP($A132,Curves_Table,Escalation!$E$291))</f>
        <v>2.6643542737312305</v>
      </c>
      <c r="G132" s="113">
        <f ca="1">IF($A132&lt;EE_Date,VLOOKUP($A132,Curves_Table,Escalation!$D$291),Exch)</f>
        <v>1.0649999999999999</v>
      </c>
      <c r="H132" s="1483">
        <f t="shared" ca="1" si="36"/>
        <v>26215.708798488155</v>
      </c>
      <c r="I132" s="330">
        <f ca="1">VLOOKUP($A132,Plant_Table,'Plant Operations'!$C$270)</f>
        <v>480</v>
      </c>
      <c r="J132" s="1481">
        <f t="shared" ca="1" si="37"/>
        <v>12583.540223274314</v>
      </c>
      <c r="K132" s="1480">
        <f t="shared" ca="1" si="38"/>
        <v>2.6643542737312305</v>
      </c>
      <c r="L132" s="384">
        <f t="shared" ca="1" si="39"/>
        <v>4722.9230539420723</v>
      </c>
      <c r="M132" s="692" t="str">
        <f t="shared" ca="1" si="30"/>
        <v xml:space="preserve"> </v>
      </c>
      <c r="O132" s="1482">
        <f ca="1">IF($A132&gt;Endyr,0,VLOOKUP($A132,Tariff_Table,Tariff!$H$33))</f>
        <v>6151.18</v>
      </c>
      <c r="P132" s="1480">
        <f t="shared" ca="1" si="40"/>
        <v>1.3120103150934439</v>
      </c>
      <c r="Q132" s="1481">
        <f t="shared" ca="1" si="41"/>
        <v>8070.4116099964904</v>
      </c>
      <c r="R132" s="1480">
        <f t="shared" ca="1" si="42"/>
        <v>2.6643542737312305</v>
      </c>
      <c r="S132" s="113">
        <f t="shared" ca="1" si="43"/>
        <v>1.0649999999999999</v>
      </c>
      <c r="T132" s="1481">
        <f t="shared" ca="1" si="44"/>
        <v>20190.080435553326</v>
      </c>
      <c r="U132" s="330">
        <f t="shared" ca="1" si="45"/>
        <v>480</v>
      </c>
      <c r="V132" s="1481">
        <f t="shared" ca="1" si="46"/>
        <v>9691.2386090655964</v>
      </c>
      <c r="W132" s="1480">
        <f t="shared" ca="1" si="47"/>
        <v>2.6643542737312305</v>
      </c>
      <c r="X132" s="384">
        <f t="shared" ca="1" si="48"/>
        <v>3637.3686129561652</v>
      </c>
      <c r="Y132" s="692" t="str">
        <f t="shared" ca="1" si="31"/>
        <v xml:space="preserve"> </v>
      </c>
      <c r="AA132" s="1484">
        <f ca="1">IF($A132&gt;Endyr,0,VLOOKUP($A132,Tariff_Table,Tariff!$I$33))</f>
        <v>2.3199999999999998</v>
      </c>
      <c r="AB132" s="1480">
        <f t="shared" ca="1" si="32"/>
        <v>1.3120103150934439</v>
      </c>
      <c r="AC132" s="1483">
        <f t="shared" ca="1" si="49"/>
        <v>3.0438639310167894</v>
      </c>
      <c r="AD132" s="1480">
        <f t="shared" ca="1" si="50"/>
        <v>2.6643542737312305</v>
      </c>
      <c r="AE132" s="113">
        <f t="shared" ca="1" si="51"/>
        <v>1.0649999999999999</v>
      </c>
      <c r="AF132" s="1483">
        <f t="shared" ca="1" si="52"/>
        <v>7.6149595054093204</v>
      </c>
      <c r="AG132" s="334">
        <f ca="1">VLOOKUP($A132,Plant_Table,'Plant Operations'!$M$270)</f>
        <v>298980.864</v>
      </c>
      <c r="AH132" s="1481">
        <f t="shared" ca="1" si="53"/>
        <v>2276.7271722522914</v>
      </c>
      <c r="AI132" s="1480">
        <f t="shared" ca="1" si="54"/>
        <v>2.6643542737312305</v>
      </c>
      <c r="AJ132" s="335">
        <f t="shared" ca="1" si="55"/>
        <v>854.51367886745174</v>
      </c>
      <c r="AK132" s="698" t="str">
        <f t="shared" ca="1" si="33"/>
        <v xml:space="preserve"> </v>
      </c>
      <c r="AM132" s="697">
        <f ca="1">IF($A132&gt;Endyr,0,VLOOKUP($A132,Tariff_Table,Tariff!$L$33))</f>
        <v>1.21</v>
      </c>
      <c r="AN132" s="1504">
        <f ca="1">VLOOKUP($A132,Curves_Table,Escalation!$Z$291)</f>
        <v>1.376475256228453</v>
      </c>
      <c r="AO132" s="331">
        <f t="shared" ca="1" si="56"/>
        <v>1.665535060036428</v>
      </c>
      <c r="AP132" s="331">
        <f ca="1">IF($A132&gt;Endyr,0,VLOOKUP($A132,Tariff_Table,Tariff!$M$33))</f>
        <v>0.25</v>
      </c>
      <c r="AQ132" s="331">
        <f t="shared" ca="1" si="57"/>
        <v>1.915535060036428</v>
      </c>
      <c r="AR132" s="331">
        <f t="shared" ca="1" si="58"/>
        <v>1.46</v>
      </c>
      <c r="AS132" s="1508">
        <f t="shared" ca="1" si="59"/>
        <v>1.3120103150934439</v>
      </c>
    </row>
    <row r="133" spans="1:45">
      <c r="A133" s="672">
        <f t="shared" si="34"/>
        <v>40634</v>
      </c>
      <c r="C133" s="1484">
        <f ca="1">IF($A133&gt;Endyr,0,VLOOKUP($A133,Tariff_Table,Tariff!$G$33))</f>
        <v>7434.78</v>
      </c>
      <c r="D133" s="1480">
        <f ca="1">VLOOKUP($A133,Curves_Table,Escalation!$V$291)</f>
        <v>1.409454688092179</v>
      </c>
      <c r="E133" s="1483">
        <f t="shared" ca="1" si="35"/>
        <v>10478.985525933971</v>
      </c>
      <c r="F133" s="1480">
        <f ca="1">IF(Assm!$L$74=0,VLOOKUP($A133,Curves_Table,Escalation!$D$291),VLOOKUP($A133,Curves_Table,Escalation!$E$291))</f>
        <v>2.6689767362118406</v>
      </c>
      <c r="G133" s="113">
        <f ca="1">IF($A133&lt;EE_Date,VLOOKUP($A133,Curves_Table,Escalation!$D$291),Exch)</f>
        <v>1.0649999999999999</v>
      </c>
      <c r="H133" s="1483">
        <f t="shared" ca="1" si="36"/>
        <v>26261.19116227077</v>
      </c>
      <c r="I133" s="330">
        <f ca="1">VLOOKUP($A133,Plant_Table,'Plant Operations'!$C$270)</f>
        <v>480</v>
      </c>
      <c r="J133" s="1481">
        <f t="shared" ca="1" si="37"/>
        <v>12605.371757889969</v>
      </c>
      <c r="K133" s="1480">
        <f t="shared" ca="1" si="38"/>
        <v>2.6689767362118406</v>
      </c>
      <c r="L133" s="384">
        <f t="shared" ca="1" si="39"/>
        <v>4722.9230539420714</v>
      </c>
      <c r="M133" s="692" t="str">
        <f t="shared" ca="1" si="30"/>
        <v xml:space="preserve"> </v>
      </c>
      <c r="O133" s="1482">
        <f ca="1">IF($A133&gt;Endyr,0,VLOOKUP($A133,Tariff_Table,Tariff!$H$33))</f>
        <v>6151.18</v>
      </c>
      <c r="P133" s="1480">
        <f t="shared" ca="1" si="40"/>
        <v>1.3120103150934439</v>
      </c>
      <c r="Q133" s="1481">
        <f t="shared" ca="1" si="41"/>
        <v>8070.4116099964904</v>
      </c>
      <c r="R133" s="1480">
        <f t="shared" ca="1" si="42"/>
        <v>2.6689767362118406</v>
      </c>
      <c r="S133" s="113">
        <f t="shared" ca="1" si="43"/>
        <v>1.0649999999999999</v>
      </c>
      <c r="T133" s="1481">
        <f t="shared" ca="1" si="44"/>
        <v>20225.108768764865</v>
      </c>
      <c r="U133" s="330">
        <f t="shared" ca="1" si="45"/>
        <v>480</v>
      </c>
      <c r="V133" s="1481">
        <f t="shared" ca="1" si="46"/>
        <v>9708.0522090071354</v>
      </c>
      <c r="W133" s="1480">
        <f t="shared" ca="1" si="47"/>
        <v>2.6689767362118406</v>
      </c>
      <c r="X133" s="384">
        <f t="shared" ca="1" si="48"/>
        <v>3637.3686129561652</v>
      </c>
      <c r="Y133" s="692" t="str">
        <f t="shared" ca="1" si="31"/>
        <v xml:space="preserve"> </v>
      </c>
      <c r="AA133" s="1484">
        <f ca="1">IF($A133&gt;Endyr,0,VLOOKUP($A133,Tariff_Table,Tariff!$I$33))</f>
        <v>2.3199999999999998</v>
      </c>
      <c r="AB133" s="1480">
        <f t="shared" ca="1" si="32"/>
        <v>1.3120103150934439</v>
      </c>
      <c r="AC133" s="1483">
        <f t="shared" ca="1" si="49"/>
        <v>3.0438639310167894</v>
      </c>
      <c r="AD133" s="1480">
        <f t="shared" ca="1" si="50"/>
        <v>2.6689767362118406</v>
      </c>
      <c r="AE133" s="113">
        <f t="shared" ca="1" si="51"/>
        <v>1.0649999999999999</v>
      </c>
      <c r="AF133" s="1483">
        <f t="shared" ca="1" si="52"/>
        <v>7.6281709108714875</v>
      </c>
      <c r="AG133" s="334">
        <f ca="1">VLOOKUP($A133,Plant_Table,'Plant Operations'!$M$270)</f>
        <v>289336.32000000001</v>
      </c>
      <c r="AH133" s="1481">
        <f t="shared" ca="1" si="53"/>
        <v>2207.1068996826043</v>
      </c>
      <c r="AI133" s="1480">
        <f t="shared" ca="1" si="54"/>
        <v>2.6689767362118406</v>
      </c>
      <c r="AJ133" s="335">
        <f t="shared" ca="1" si="55"/>
        <v>826.94872148463082</v>
      </c>
      <c r="AK133" s="698" t="str">
        <f t="shared" ca="1" si="33"/>
        <v xml:space="preserve"> </v>
      </c>
      <c r="AM133" s="697">
        <f ca="1">IF($A133&gt;Endyr,0,VLOOKUP($A133,Tariff_Table,Tariff!$L$33))</f>
        <v>1.21</v>
      </c>
      <c r="AN133" s="1504">
        <f ca="1">VLOOKUP($A133,Curves_Table,Escalation!$Z$291)</f>
        <v>1.376475256228453</v>
      </c>
      <c r="AO133" s="331">
        <f t="shared" ca="1" si="56"/>
        <v>1.665535060036428</v>
      </c>
      <c r="AP133" s="331">
        <f ca="1">IF($A133&gt;Endyr,0,VLOOKUP($A133,Tariff_Table,Tariff!$M$33))</f>
        <v>0.25</v>
      </c>
      <c r="AQ133" s="331">
        <f t="shared" ca="1" si="57"/>
        <v>1.915535060036428</v>
      </c>
      <c r="AR133" s="331">
        <f t="shared" ca="1" si="58"/>
        <v>1.46</v>
      </c>
      <c r="AS133" s="1508">
        <f t="shared" ca="1" si="59"/>
        <v>1.3120103150934439</v>
      </c>
    </row>
    <row r="134" spans="1:45">
      <c r="A134" s="672">
        <f t="shared" si="34"/>
        <v>40664</v>
      </c>
      <c r="C134" s="1484">
        <f ca="1">IF($A134&gt;Endyr,0,VLOOKUP($A134,Tariff_Table,Tariff!$G$33))</f>
        <v>7420.61</v>
      </c>
      <c r="D134" s="1480">
        <f ca="1">VLOOKUP($A134,Curves_Table,Escalation!$V$291)</f>
        <v>1.4453629302678073</v>
      </c>
      <c r="E134" s="1483">
        <f t="shared" ca="1" si="35"/>
        <v>10725.474613974593</v>
      </c>
      <c r="F134" s="1480">
        <f ca="1">IF(Assm!$L$74=0,VLOOKUP($A134,Curves_Table,Escalation!$D$291),VLOOKUP($A134,Curves_Table,Escalation!$E$291))</f>
        <v>2.6736072183314286</v>
      </c>
      <c r="G134" s="113">
        <f ca="1">IF($A134&lt;EE_Date,VLOOKUP($A134,Curves_Table,Escalation!$D$291),Exch)</f>
        <v>1.0649999999999999</v>
      </c>
      <c r="H134" s="1483">
        <f t="shared" ca="1" si="36"/>
        <v>26925.545866622502</v>
      </c>
      <c r="I134" s="330">
        <f ca="1">VLOOKUP($A134,Plant_Table,'Plant Operations'!$C$270)</f>
        <v>480</v>
      </c>
      <c r="J134" s="1481">
        <f t="shared" ca="1" si="37"/>
        <v>12924.262015978802</v>
      </c>
      <c r="K134" s="1480">
        <f t="shared" ca="1" si="38"/>
        <v>2.6736072183314286</v>
      </c>
      <c r="L134" s="384">
        <f t="shared" ca="1" si="39"/>
        <v>4834.0167274251689</v>
      </c>
      <c r="M134" s="692" t="str">
        <f t="shared" ca="1" si="30"/>
        <v xml:space="preserve"> </v>
      </c>
      <c r="O134" s="1482">
        <f ca="1">IF($A134&gt;Endyr,0,VLOOKUP($A134,Tariff_Table,Tariff!$H$33))</f>
        <v>6104.93</v>
      </c>
      <c r="P134" s="1480">
        <f t="shared" ca="1" si="40"/>
        <v>1.3382216062874861</v>
      </c>
      <c r="Q134" s="1481">
        <f t="shared" ca="1" si="41"/>
        <v>8169.7492308726632</v>
      </c>
      <c r="R134" s="1480">
        <f t="shared" ca="1" si="42"/>
        <v>2.6736072183314286</v>
      </c>
      <c r="S134" s="113">
        <f t="shared" ca="1" si="43"/>
        <v>1.0649999999999999</v>
      </c>
      <c r="T134" s="1481">
        <f t="shared" ca="1" si="44"/>
        <v>20509.577948937829</v>
      </c>
      <c r="U134" s="330">
        <f t="shared" ca="1" si="45"/>
        <v>480</v>
      </c>
      <c r="V134" s="1481">
        <f t="shared" ca="1" si="46"/>
        <v>9844.5974154901578</v>
      </c>
      <c r="W134" s="1480">
        <f t="shared" ca="1" si="47"/>
        <v>2.6736072183314286</v>
      </c>
      <c r="X134" s="384">
        <f t="shared" ca="1" si="48"/>
        <v>3682.1404984214819</v>
      </c>
      <c r="Y134" s="692" t="str">
        <f t="shared" ca="1" si="31"/>
        <v xml:space="preserve"> </v>
      </c>
      <c r="AA134" s="1484">
        <f ca="1">IF($A134&gt;Endyr,0,VLOOKUP($A134,Tariff_Table,Tariff!$I$33))</f>
        <v>2.2999999999999998</v>
      </c>
      <c r="AB134" s="1480">
        <f t="shared" ca="1" si="32"/>
        <v>1.3382216062874861</v>
      </c>
      <c r="AC134" s="1483">
        <f t="shared" ca="1" si="49"/>
        <v>3.0779096944612179</v>
      </c>
      <c r="AD134" s="1480">
        <f t="shared" ca="1" si="50"/>
        <v>2.6736072183314286</v>
      </c>
      <c r="AE134" s="113">
        <f t="shared" ca="1" si="51"/>
        <v>1.0649999999999999</v>
      </c>
      <c r="AF134" s="1483">
        <f t="shared" ca="1" si="52"/>
        <v>7.7268747197030923</v>
      </c>
      <c r="AG134" s="334">
        <f ca="1">VLOOKUP($A134,Plant_Table,'Plant Operations'!$M$270)</f>
        <v>298980.864</v>
      </c>
      <c r="AH134" s="1481">
        <f t="shared" ca="1" si="53"/>
        <v>2310.1876797165883</v>
      </c>
      <c r="AI134" s="1480">
        <f t="shared" ca="1" si="54"/>
        <v>2.6736072183314286</v>
      </c>
      <c r="AJ134" s="335">
        <f t="shared" ca="1" si="55"/>
        <v>864.07145517745619</v>
      </c>
      <c r="AK134" s="698" t="str">
        <f t="shared" ca="1" si="33"/>
        <v xml:space="preserve"> </v>
      </c>
      <c r="AM134" s="697">
        <f ca="1">IF($A134&gt;Endyr,0,VLOOKUP($A134,Tariff_Table,Tariff!$L$33))</f>
        <v>1.21</v>
      </c>
      <c r="AN134" s="1504">
        <f ca="1">VLOOKUP($A134,Curves_Table,Escalation!$Z$291)</f>
        <v>1.408102103454322</v>
      </c>
      <c r="AO134" s="331">
        <f t="shared" ca="1" si="56"/>
        <v>1.7038035451797295</v>
      </c>
      <c r="AP134" s="331">
        <f ca="1">IF($A134&gt;Endyr,0,VLOOKUP($A134,Tariff_Table,Tariff!$M$33))</f>
        <v>0.25</v>
      </c>
      <c r="AQ134" s="331">
        <f t="shared" ca="1" si="57"/>
        <v>1.9538035451797295</v>
      </c>
      <c r="AR134" s="331">
        <f t="shared" ca="1" si="58"/>
        <v>1.46</v>
      </c>
      <c r="AS134" s="1508">
        <f t="shared" ca="1" si="59"/>
        <v>1.3382216062874861</v>
      </c>
    </row>
    <row r="135" spans="1:45">
      <c r="A135" s="672">
        <f t="shared" si="34"/>
        <v>40695</v>
      </c>
      <c r="C135" s="1484">
        <f ca="1">IF($A135&gt;Endyr,0,VLOOKUP($A135,Tariff_Table,Tariff!$G$33))</f>
        <v>7420.61</v>
      </c>
      <c r="D135" s="1480">
        <f ca="1">VLOOKUP($A135,Curves_Table,Escalation!$V$291)</f>
        <v>1.4453629302678073</v>
      </c>
      <c r="E135" s="1483">
        <f t="shared" ca="1" si="35"/>
        <v>10725.474613974593</v>
      </c>
      <c r="F135" s="1480">
        <f ca="1">IF(Assm!$L$74=0,VLOOKUP($A135,Curves_Table,Escalation!$D$291),VLOOKUP($A135,Curves_Table,Escalation!$E$291))</f>
        <v>2.6782457340034895</v>
      </c>
      <c r="G135" s="113">
        <f ca="1">IF($A135&lt;EE_Date,VLOOKUP($A135,Curves_Table,Escalation!$D$291),Exch)</f>
        <v>1.0649999999999999</v>
      </c>
      <c r="H135" s="1483">
        <f t="shared" ca="1" si="36"/>
        <v>26972.2597465166</v>
      </c>
      <c r="I135" s="330">
        <f ca="1">VLOOKUP($A135,Plant_Table,'Plant Operations'!$C$270)</f>
        <v>480</v>
      </c>
      <c r="J135" s="1481">
        <f t="shared" ca="1" si="37"/>
        <v>12946.684678327969</v>
      </c>
      <c r="K135" s="1480">
        <f t="shared" ca="1" si="38"/>
        <v>2.6782457340034895</v>
      </c>
      <c r="L135" s="384">
        <f t="shared" ca="1" si="39"/>
        <v>4834.0167274251689</v>
      </c>
      <c r="M135" s="692" t="str">
        <f t="shared" ca="1" si="30"/>
        <v xml:space="preserve"> </v>
      </c>
      <c r="O135" s="1482">
        <f ca="1">IF($A135&gt;Endyr,0,VLOOKUP($A135,Tariff_Table,Tariff!$H$33))</f>
        <v>6104.93</v>
      </c>
      <c r="P135" s="1480">
        <f t="shared" ca="1" si="40"/>
        <v>1.3382216062874861</v>
      </c>
      <c r="Q135" s="1481">
        <f t="shared" ca="1" si="41"/>
        <v>8169.7492308726632</v>
      </c>
      <c r="R135" s="1480">
        <f t="shared" ca="1" si="42"/>
        <v>2.6782457340034895</v>
      </c>
      <c r="S135" s="113">
        <f t="shared" ca="1" si="43"/>
        <v>1.0649999999999999</v>
      </c>
      <c r="T135" s="1481">
        <f t="shared" ca="1" si="44"/>
        <v>20545.160587289203</v>
      </c>
      <c r="U135" s="330">
        <f t="shared" ca="1" si="45"/>
        <v>480</v>
      </c>
      <c r="V135" s="1481">
        <f t="shared" ca="1" si="46"/>
        <v>9861.6770818988171</v>
      </c>
      <c r="W135" s="1480">
        <f t="shared" ca="1" si="47"/>
        <v>2.6782457340034895</v>
      </c>
      <c r="X135" s="384">
        <f t="shared" ca="1" si="48"/>
        <v>3682.1404984214819</v>
      </c>
      <c r="Y135" s="692" t="str">
        <f t="shared" ca="1" si="31"/>
        <v xml:space="preserve"> </v>
      </c>
      <c r="AA135" s="1484">
        <f ca="1">IF($A135&gt;Endyr,0,VLOOKUP($A135,Tariff_Table,Tariff!$I$33))</f>
        <v>2.2999999999999998</v>
      </c>
      <c r="AB135" s="1480">
        <f t="shared" ca="1" si="32"/>
        <v>1.3382216062874861</v>
      </c>
      <c r="AC135" s="1483">
        <f t="shared" ca="1" si="49"/>
        <v>3.0779096944612179</v>
      </c>
      <c r="AD135" s="1480">
        <f t="shared" ca="1" si="50"/>
        <v>2.6782457340034895</v>
      </c>
      <c r="AE135" s="113">
        <f t="shared" ca="1" si="51"/>
        <v>1.0649999999999999</v>
      </c>
      <c r="AF135" s="1483">
        <f t="shared" ca="1" si="52"/>
        <v>7.7402802899894283</v>
      </c>
      <c r="AG135" s="334">
        <f ca="1">VLOOKUP($A135,Plant_Table,'Plant Operations'!$M$270)</f>
        <v>289336.32000000001</v>
      </c>
      <c r="AH135" s="1481">
        <f t="shared" ca="1" si="53"/>
        <v>2239.544214874074</v>
      </c>
      <c r="AI135" s="1480">
        <f t="shared" ca="1" si="54"/>
        <v>2.6782457340034895</v>
      </c>
      <c r="AJ135" s="335">
        <f t="shared" ca="1" si="55"/>
        <v>836.19818242979647</v>
      </c>
      <c r="AK135" s="698" t="str">
        <f t="shared" ca="1" si="33"/>
        <v xml:space="preserve"> </v>
      </c>
      <c r="AM135" s="697">
        <f ca="1">IF($A135&gt;Endyr,0,VLOOKUP($A135,Tariff_Table,Tariff!$L$33))</f>
        <v>1.21</v>
      </c>
      <c r="AN135" s="1504">
        <f ca="1">VLOOKUP($A135,Curves_Table,Escalation!$Z$291)</f>
        <v>1.408102103454322</v>
      </c>
      <c r="AO135" s="331">
        <f t="shared" ca="1" si="56"/>
        <v>1.7038035451797295</v>
      </c>
      <c r="AP135" s="331">
        <f ca="1">IF($A135&gt;Endyr,0,VLOOKUP($A135,Tariff_Table,Tariff!$M$33))</f>
        <v>0.25</v>
      </c>
      <c r="AQ135" s="331">
        <f t="shared" ca="1" si="57"/>
        <v>1.9538035451797295</v>
      </c>
      <c r="AR135" s="331">
        <f t="shared" ca="1" si="58"/>
        <v>1.46</v>
      </c>
      <c r="AS135" s="1508">
        <f t="shared" ca="1" si="59"/>
        <v>1.3382216062874861</v>
      </c>
    </row>
    <row r="136" spans="1:45">
      <c r="A136" s="672">
        <f t="shared" si="34"/>
        <v>40725</v>
      </c>
      <c r="C136" s="1484">
        <f ca="1">IF($A136&gt;Endyr,0,VLOOKUP($A136,Tariff_Table,Tariff!$G$33))</f>
        <v>7420.61</v>
      </c>
      <c r="D136" s="1480">
        <f ca="1">VLOOKUP($A136,Curves_Table,Escalation!$V$291)</f>
        <v>1.4453629302678073</v>
      </c>
      <c r="E136" s="1483">
        <f t="shared" ca="1" si="35"/>
        <v>10725.474613974593</v>
      </c>
      <c r="F136" s="1480">
        <f ca="1">IF(Assm!$L$74=0,VLOOKUP($A136,Curves_Table,Escalation!$D$291),VLOOKUP($A136,Curves_Table,Escalation!$E$291))</f>
        <v>2.6828922971656577</v>
      </c>
      <c r="G136" s="113">
        <f ca="1">IF($A136&lt;EE_Date,VLOOKUP($A136,Curves_Table,Escalation!$D$291),Exch)</f>
        <v>1.0649999999999999</v>
      </c>
      <c r="H136" s="1483">
        <f t="shared" ca="1" si="36"/>
        <v>27019.054671622762</v>
      </c>
      <c r="I136" s="330">
        <f ca="1">VLOOKUP($A136,Plant_Table,'Plant Operations'!$C$270)</f>
        <v>480</v>
      </c>
      <c r="J136" s="1481">
        <f t="shared" ca="1" si="37"/>
        <v>12969.146242378925</v>
      </c>
      <c r="K136" s="1480">
        <f t="shared" ca="1" si="38"/>
        <v>2.6828922971656577</v>
      </c>
      <c r="L136" s="384">
        <f t="shared" ca="1" si="39"/>
        <v>4834.0167274251689</v>
      </c>
      <c r="M136" s="692" t="str">
        <f t="shared" ca="1" si="30"/>
        <v xml:space="preserve"> </v>
      </c>
      <c r="O136" s="1482">
        <f ca="1">IF($A136&gt;Endyr,0,VLOOKUP($A136,Tariff_Table,Tariff!$H$33))</f>
        <v>6104.93</v>
      </c>
      <c r="P136" s="1480">
        <f t="shared" ca="1" si="40"/>
        <v>1.3382216062874861</v>
      </c>
      <c r="Q136" s="1481">
        <f t="shared" ca="1" si="41"/>
        <v>8169.7492308726632</v>
      </c>
      <c r="R136" s="1480">
        <f t="shared" ca="1" si="42"/>
        <v>2.6828922971656577</v>
      </c>
      <c r="S136" s="113">
        <f t="shared" ca="1" si="43"/>
        <v>1.0649999999999999</v>
      </c>
      <c r="T136" s="1481">
        <f t="shared" ca="1" si="44"/>
        <v>20580.804958951478</v>
      </c>
      <c r="U136" s="330">
        <f t="shared" ca="1" si="45"/>
        <v>480</v>
      </c>
      <c r="V136" s="1481">
        <f t="shared" ca="1" si="46"/>
        <v>9878.7863802967095</v>
      </c>
      <c r="W136" s="1480">
        <f t="shared" ca="1" si="47"/>
        <v>2.6828922971656577</v>
      </c>
      <c r="X136" s="384">
        <f t="shared" ca="1" si="48"/>
        <v>3682.1404984214819</v>
      </c>
      <c r="Y136" s="692" t="str">
        <f t="shared" ca="1" si="31"/>
        <v xml:space="preserve"> </v>
      </c>
      <c r="AA136" s="1484">
        <f ca="1">IF($A136&gt;Endyr,0,VLOOKUP($A136,Tariff_Table,Tariff!$I$33))</f>
        <v>2.2999999999999998</v>
      </c>
      <c r="AB136" s="1480">
        <f t="shared" ca="1" si="32"/>
        <v>1.3382216062874861</v>
      </c>
      <c r="AC136" s="1483">
        <f t="shared" ca="1" si="49"/>
        <v>3.0779096944612179</v>
      </c>
      <c r="AD136" s="1480">
        <f t="shared" ca="1" si="50"/>
        <v>2.6828922971656577</v>
      </c>
      <c r="AE136" s="113">
        <f t="shared" ca="1" si="51"/>
        <v>1.0649999999999999</v>
      </c>
      <c r="AF136" s="1483">
        <f t="shared" ca="1" si="52"/>
        <v>7.7537091179732434</v>
      </c>
      <c r="AG136" s="334">
        <f ca="1">VLOOKUP($A136,Plant_Table,'Plant Operations'!$M$270)</f>
        <v>298980.864</v>
      </c>
      <c r="AH136" s="1481">
        <f t="shared" ca="1" si="53"/>
        <v>2318.2106512963182</v>
      </c>
      <c r="AI136" s="1480">
        <f t="shared" ca="1" si="54"/>
        <v>2.6828922971656577</v>
      </c>
      <c r="AJ136" s="335">
        <f t="shared" ca="1" si="55"/>
        <v>864.0714551774563</v>
      </c>
      <c r="AK136" s="698" t="str">
        <f t="shared" ca="1" si="33"/>
        <v xml:space="preserve"> </v>
      </c>
      <c r="AM136" s="697">
        <f ca="1">IF($A136&gt;Endyr,0,VLOOKUP($A136,Tariff_Table,Tariff!$L$33))</f>
        <v>1.21</v>
      </c>
      <c r="AN136" s="1504">
        <f ca="1">VLOOKUP($A136,Curves_Table,Escalation!$Z$291)</f>
        <v>1.408102103454322</v>
      </c>
      <c r="AO136" s="331">
        <f t="shared" ca="1" si="56"/>
        <v>1.7038035451797295</v>
      </c>
      <c r="AP136" s="331">
        <f ca="1">IF($A136&gt;Endyr,0,VLOOKUP($A136,Tariff_Table,Tariff!$M$33))</f>
        <v>0.25</v>
      </c>
      <c r="AQ136" s="331">
        <f t="shared" ca="1" si="57"/>
        <v>1.9538035451797295</v>
      </c>
      <c r="AR136" s="331">
        <f t="shared" ca="1" si="58"/>
        <v>1.46</v>
      </c>
      <c r="AS136" s="1508">
        <f t="shared" ca="1" si="59"/>
        <v>1.3382216062874861</v>
      </c>
    </row>
    <row r="137" spans="1:45">
      <c r="A137" s="672">
        <f t="shared" si="34"/>
        <v>40756</v>
      </c>
      <c r="C137" s="1484">
        <f ca="1">IF($A137&gt;Endyr,0,VLOOKUP($A137,Tariff_Table,Tariff!$G$33))</f>
        <v>7420.61</v>
      </c>
      <c r="D137" s="1480">
        <f ca="1">VLOOKUP($A137,Curves_Table,Escalation!$V$291)</f>
        <v>1.4453629302678073</v>
      </c>
      <c r="E137" s="1483">
        <f t="shared" ca="1" si="35"/>
        <v>10725.474613974593</v>
      </c>
      <c r="F137" s="1480">
        <f ca="1">IF(Assm!$L$74=0,VLOOKUP($A137,Curves_Table,Escalation!$D$291),VLOOKUP($A137,Curves_Table,Escalation!$E$291))</f>
        <v>2.6875469217797479</v>
      </c>
      <c r="G137" s="113">
        <f ca="1">IF($A137&lt;EE_Date,VLOOKUP($A137,Curves_Table,Escalation!$D$291),Exch)</f>
        <v>1.0649999999999999</v>
      </c>
      <c r="H137" s="1483">
        <f t="shared" ca="1" si="36"/>
        <v>27065.930782548592</v>
      </c>
      <c r="I137" s="330">
        <f ca="1">VLOOKUP($A137,Plant_Table,'Plant Operations'!$C$270)</f>
        <v>480</v>
      </c>
      <c r="J137" s="1481">
        <f t="shared" ca="1" si="37"/>
        <v>12991.646775623323</v>
      </c>
      <c r="K137" s="1480">
        <f t="shared" ca="1" si="38"/>
        <v>2.6875469217797479</v>
      </c>
      <c r="L137" s="384">
        <f t="shared" ca="1" si="39"/>
        <v>4834.0167274251689</v>
      </c>
      <c r="M137" s="692" t="str">
        <f t="shared" ca="1" si="30"/>
        <v xml:space="preserve"> </v>
      </c>
      <c r="O137" s="1482">
        <f ca="1">IF($A137&gt;Endyr,0,VLOOKUP($A137,Tariff_Table,Tariff!$H$33))</f>
        <v>6104.93</v>
      </c>
      <c r="P137" s="1480">
        <f t="shared" ca="1" si="40"/>
        <v>1.3382216062874861</v>
      </c>
      <c r="Q137" s="1481">
        <f t="shared" ca="1" si="41"/>
        <v>8169.7492308726632</v>
      </c>
      <c r="R137" s="1480">
        <f t="shared" ca="1" si="42"/>
        <v>2.6875469217797479</v>
      </c>
      <c r="S137" s="113">
        <f t="shared" ca="1" si="43"/>
        <v>1.0649999999999999</v>
      </c>
      <c r="T137" s="1481">
        <f t="shared" ca="1" si="44"/>
        <v>20616.511171027501</v>
      </c>
      <c r="U137" s="330">
        <f t="shared" ca="1" si="45"/>
        <v>480</v>
      </c>
      <c r="V137" s="1481">
        <f t="shared" ca="1" si="46"/>
        <v>9895.9253620932013</v>
      </c>
      <c r="W137" s="1480">
        <f t="shared" ca="1" si="47"/>
        <v>2.6875469217797479</v>
      </c>
      <c r="X137" s="384">
        <f t="shared" ca="1" si="48"/>
        <v>3682.1404984214823</v>
      </c>
      <c r="Y137" s="692" t="str">
        <f t="shared" ca="1" si="31"/>
        <v xml:space="preserve"> </v>
      </c>
      <c r="AA137" s="1484">
        <f ca="1">IF($A137&gt;Endyr,0,VLOOKUP($A137,Tariff_Table,Tariff!$I$33))</f>
        <v>2.2999999999999998</v>
      </c>
      <c r="AB137" s="1480">
        <f t="shared" ca="1" si="32"/>
        <v>1.3382216062874861</v>
      </c>
      <c r="AC137" s="1483">
        <f t="shared" ca="1" si="49"/>
        <v>3.0779096944612179</v>
      </c>
      <c r="AD137" s="1480">
        <f t="shared" ca="1" si="50"/>
        <v>2.6875469217797479</v>
      </c>
      <c r="AE137" s="113">
        <f t="shared" ca="1" si="51"/>
        <v>1.0649999999999999</v>
      </c>
      <c r="AF137" s="1483">
        <f t="shared" ca="1" si="52"/>
        <v>7.7671612440049671</v>
      </c>
      <c r="AG137" s="334">
        <f ca="1">VLOOKUP($A137,Plant_Table,'Plant Operations'!$M$270)</f>
        <v>298980.864</v>
      </c>
      <c r="AH137" s="1481">
        <f t="shared" ca="1" si="53"/>
        <v>2322.2325795599199</v>
      </c>
      <c r="AI137" s="1480">
        <f t="shared" ca="1" si="54"/>
        <v>2.6875469217797479</v>
      </c>
      <c r="AJ137" s="335">
        <f t="shared" ca="1" si="55"/>
        <v>864.0714551774563</v>
      </c>
      <c r="AK137" s="698" t="str">
        <f t="shared" ca="1" si="33"/>
        <v xml:space="preserve"> </v>
      </c>
      <c r="AM137" s="697">
        <f ca="1">IF($A137&gt;Endyr,0,VLOOKUP($A137,Tariff_Table,Tariff!$L$33))</f>
        <v>1.21</v>
      </c>
      <c r="AN137" s="1504">
        <f ca="1">VLOOKUP($A137,Curves_Table,Escalation!$Z$291)</f>
        <v>1.408102103454322</v>
      </c>
      <c r="AO137" s="331">
        <f t="shared" ca="1" si="56"/>
        <v>1.7038035451797295</v>
      </c>
      <c r="AP137" s="331">
        <f ca="1">IF($A137&gt;Endyr,0,VLOOKUP($A137,Tariff_Table,Tariff!$M$33))</f>
        <v>0.25</v>
      </c>
      <c r="AQ137" s="331">
        <f t="shared" ca="1" si="57"/>
        <v>1.9538035451797295</v>
      </c>
      <c r="AR137" s="331">
        <f t="shared" ca="1" si="58"/>
        <v>1.46</v>
      </c>
      <c r="AS137" s="1508">
        <f t="shared" ca="1" si="59"/>
        <v>1.3382216062874861</v>
      </c>
    </row>
    <row r="138" spans="1:45">
      <c r="A138" s="672">
        <f t="shared" si="34"/>
        <v>40787</v>
      </c>
      <c r="C138" s="1484">
        <f ca="1">IF($A138&gt;Endyr,0,VLOOKUP($A138,Tariff_Table,Tariff!$G$33))</f>
        <v>7420.61</v>
      </c>
      <c r="D138" s="1480">
        <f ca="1">VLOOKUP($A138,Curves_Table,Escalation!$V$291)</f>
        <v>1.4453629302678073</v>
      </c>
      <c r="E138" s="1483">
        <f t="shared" ca="1" si="35"/>
        <v>10725.474613974593</v>
      </c>
      <c r="F138" s="1480">
        <f ca="1">IF(Assm!$L$74=0,VLOOKUP($A138,Curves_Table,Escalation!$D$291),VLOOKUP($A138,Curves_Table,Escalation!$E$291))</f>
        <v>2.6922096218317977</v>
      </c>
      <c r="G138" s="113">
        <f ca="1">IF($A138&lt;EE_Date,VLOOKUP($A138,Curves_Table,Escalation!$D$291),Exch)</f>
        <v>1.0649999999999999</v>
      </c>
      <c r="H138" s="1483">
        <f t="shared" ca="1" si="36"/>
        <v>27112.888220145622</v>
      </c>
      <c r="I138" s="330">
        <f ca="1">VLOOKUP($A138,Plant_Table,'Plant Operations'!$C$270)</f>
        <v>480</v>
      </c>
      <c r="J138" s="1481">
        <f t="shared" ca="1" si="37"/>
        <v>13014.186345669899</v>
      </c>
      <c r="K138" s="1480">
        <f t="shared" ca="1" si="38"/>
        <v>2.6922096218317977</v>
      </c>
      <c r="L138" s="384">
        <f t="shared" ca="1" si="39"/>
        <v>4834.0167274251689</v>
      </c>
      <c r="M138" s="692" t="str">
        <f t="shared" ca="1" si="30"/>
        <v xml:space="preserve"> </v>
      </c>
      <c r="O138" s="1482">
        <f ca="1">IF($A138&gt;Endyr,0,VLOOKUP($A138,Tariff_Table,Tariff!$H$33))</f>
        <v>6104.93</v>
      </c>
      <c r="P138" s="1480">
        <f t="shared" ca="1" si="40"/>
        <v>1.3382216062874861</v>
      </c>
      <c r="Q138" s="1481">
        <f t="shared" ca="1" si="41"/>
        <v>8169.7492308726632</v>
      </c>
      <c r="R138" s="1480">
        <f t="shared" ca="1" si="42"/>
        <v>2.6922096218317977</v>
      </c>
      <c r="S138" s="113">
        <f t="shared" ca="1" si="43"/>
        <v>1.0649999999999999</v>
      </c>
      <c r="T138" s="1481">
        <f t="shared" ca="1" si="44"/>
        <v>20652.279330805926</v>
      </c>
      <c r="U138" s="330">
        <f t="shared" ca="1" si="45"/>
        <v>480</v>
      </c>
      <c r="V138" s="1481">
        <f t="shared" ca="1" si="46"/>
        <v>9913.094078786844</v>
      </c>
      <c r="W138" s="1480">
        <f t="shared" ca="1" si="47"/>
        <v>2.6922096218317977</v>
      </c>
      <c r="X138" s="384">
        <f t="shared" ca="1" si="48"/>
        <v>3682.1404984214814</v>
      </c>
      <c r="Y138" s="692" t="str">
        <f t="shared" ca="1" si="31"/>
        <v xml:space="preserve"> </v>
      </c>
      <c r="AA138" s="1484">
        <f ca="1">IF($A138&gt;Endyr,0,VLOOKUP($A138,Tariff_Table,Tariff!$I$33))</f>
        <v>2.2999999999999998</v>
      </c>
      <c r="AB138" s="1480">
        <f t="shared" ca="1" si="32"/>
        <v>1.3382216062874861</v>
      </c>
      <c r="AC138" s="1483">
        <f t="shared" ca="1" si="49"/>
        <v>3.0779096944612179</v>
      </c>
      <c r="AD138" s="1480">
        <f t="shared" ca="1" si="50"/>
        <v>2.6922096218317977</v>
      </c>
      <c r="AE138" s="113">
        <f t="shared" ca="1" si="51"/>
        <v>1.0649999999999999</v>
      </c>
      <c r="AF138" s="1483">
        <f t="shared" ca="1" si="52"/>
        <v>7.7806367085050328</v>
      </c>
      <c r="AG138" s="334">
        <f ca="1">VLOOKUP($A138,Plant_Table,'Plant Operations'!$M$270)</f>
        <v>289336.32000000001</v>
      </c>
      <c r="AH138" s="1481">
        <f t="shared" ca="1" si="53"/>
        <v>2251.2207924957588</v>
      </c>
      <c r="AI138" s="1480">
        <f t="shared" ca="1" si="54"/>
        <v>2.6922096218317977</v>
      </c>
      <c r="AJ138" s="335">
        <f t="shared" ca="1" si="55"/>
        <v>836.19818242979647</v>
      </c>
      <c r="AK138" s="698" t="str">
        <f t="shared" ca="1" si="33"/>
        <v xml:space="preserve"> </v>
      </c>
      <c r="AM138" s="697">
        <f ca="1">IF($A138&gt;Endyr,0,VLOOKUP($A138,Tariff_Table,Tariff!$L$33))</f>
        <v>1.21</v>
      </c>
      <c r="AN138" s="1504">
        <f ca="1">VLOOKUP($A138,Curves_Table,Escalation!$Z$291)</f>
        <v>1.408102103454322</v>
      </c>
      <c r="AO138" s="331">
        <f t="shared" ca="1" si="56"/>
        <v>1.7038035451797295</v>
      </c>
      <c r="AP138" s="331">
        <f ca="1">IF($A138&gt;Endyr,0,VLOOKUP($A138,Tariff_Table,Tariff!$M$33))</f>
        <v>0.25</v>
      </c>
      <c r="AQ138" s="331">
        <f t="shared" ca="1" si="57"/>
        <v>1.9538035451797295</v>
      </c>
      <c r="AR138" s="331">
        <f t="shared" ca="1" si="58"/>
        <v>1.46</v>
      </c>
      <c r="AS138" s="1508">
        <f t="shared" ca="1" si="59"/>
        <v>1.3382216062874861</v>
      </c>
    </row>
    <row r="139" spans="1:45">
      <c r="A139" s="672">
        <f t="shared" si="34"/>
        <v>40817</v>
      </c>
      <c r="C139" s="1484">
        <f ca="1">IF($A139&gt;Endyr,0,VLOOKUP($A139,Tariff_Table,Tariff!$G$33))</f>
        <v>7420.61</v>
      </c>
      <c r="D139" s="1480">
        <f ca="1">VLOOKUP($A139,Curves_Table,Escalation!$V$291)</f>
        <v>1.4453629302678073</v>
      </c>
      <c r="E139" s="1483">
        <f t="shared" ca="1" si="35"/>
        <v>10725.474613974593</v>
      </c>
      <c r="F139" s="1480">
        <f ca="1">IF(Assm!$L$74=0,VLOOKUP($A139,Curves_Table,Escalation!$D$291),VLOOKUP($A139,Curves_Table,Escalation!$E$291))</f>
        <v>2.6968804113321094</v>
      </c>
      <c r="G139" s="113">
        <f ca="1">IF($A139&lt;EE_Date,VLOOKUP($A139,Curves_Table,Escalation!$D$291),Exch)</f>
        <v>1.0649999999999999</v>
      </c>
      <c r="H139" s="1483">
        <f t="shared" ca="1" si="36"/>
        <v>27159.927125509763</v>
      </c>
      <c r="I139" s="330">
        <f ca="1">VLOOKUP($A139,Plant_Table,'Plant Operations'!$C$270)</f>
        <v>480</v>
      </c>
      <c r="J139" s="1481">
        <f t="shared" ca="1" si="37"/>
        <v>13036.765020244686</v>
      </c>
      <c r="K139" s="1480">
        <f t="shared" ca="1" si="38"/>
        <v>2.6968804113321094</v>
      </c>
      <c r="L139" s="384">
        <f t="shared" ca="1" si="39"/>
        <v>4834.016727425168</v>
      </c>
      <c r="M139" s="692" t="str">
        <f t="shared" ca="1" si="30"/>
        <v xml:space="preserve"> </v>
      </c>
      <c r="O139" s="1482">
        <f ca="1">IF($A139&gt;Endyr,0,VLOOKUP($A139,Tariff_Table,Tariff!$H$33))</f>
        <v>6104.93</v>
      </c>
      <c r="P139" s="1480">
        <f t="shared" ca="1" si="40"/>
        <v>1.3382216062874861</v>
      </c>
      <c r="Q139" s="1481">
        <f t="shared" ca="1" si="41"/>
        <v>8169.7492308726632</v>
      </c>
      <c r="R139" s="1480">
        <f t="shared" ca="1" si="42"/>
        <v>2.6968804113321094</v>
      </c>
      <c r="S139" s="113">
        <f t="shared" ca="1" si="43"/>
        <v>1.0649999999999999</v>
      </c>
      <c r="T139" s="1481">
        <f t="shared" ca="1" si="44"/>
        <v>20688.109545761552</v>
      </c>
      <c r="U139" s="330">
        <f t="shared" ca="1" si="45"/>
        <v>480</v>
      </c>
      <c r="V139" s="1481">
        <f t="shared" ca="1" si="46"/>
        <v>9930.2925819655447</v>
      </c>
      <c r="W139" s="1480">
        <f t="shared" ca="1" si="47"/>
        <v>2.6968804113321094</v>
      </c>
      <c r="X139" s="384">
        <f t="shared" ca="1" si="48"/>
        <v>3682.1404984214819</v>
      </c>
      <c r="Y139" s="692" t="str">
        <f t="shared" ca="1" si="31"/>
        <v xml:space="preserve"> </v>
      </c>
      <c r="AA139" s="1484">
        <f ca="1">IF($A139&gt;Endyr,0,VLOOKUP($A139,Tariff_Table,Tariff!$I$33))</f>
        <v>2.2999999999999998</v>
      </c>
      <c r="AB139" s="1480">
        <f t="shared" ca="1" si="32"/>
        <v>1.3382216062874861</v>
      </c>
      <c r="AC139" s="1483">
        <f t="shared" ca="1" si="49"/>
        <v>3.0779096944612179</v>
      </c>
      <c r="AD139" s="1480">
        <f t="shared" ca="1" si="50"/>
        <v>2.6968804113321094</v>
      </c>
      <c r="AE139" s="113">
        <f t="shared" ca="1" si="51"/>
        <v>1.0649999999999999</v>
      </c>
      <c r="AF139" s="1483">
        <f t="shared" ca="1" si="52"/>
        <v>7.794135551963997</v>
      </c>
      <c r="AG139" s="334">
        <f ca="1">VLOOKUP($A139,Plant_Table,'Plant Operations'!$M$270)</f>
        <v>298980.864</v>
      </c>
      <c r="AH139" s="1481">
        <f t="shared" ca="1" si="53"/>
        <v>2330.2973814593124</v>
      </c>
      <c r="AI139" s="1480">
        <f t="shared" ca="1" si="54"/>
        <v>2.6968804113321094</v>
      </c>
      <c r="AJ139" s="335">
        <f t="shared" ca="1" si="55"/>
        <v>864.07145517745619</v>
      </c>
      <c r="AK139" s="698" t="str">
        <f t="shared" ca="1" si="33"/>
        <v xml:space="preserve"> </v>
      </c>
      <c r="AM139" s="697">
        <f ca="1">IF($A139&gt;Endyr,0,VLOOKUP($A139,Tariff_Table,Tariff!$L$33))</f>
        <v>1.21</v>
      </c>
      <c r="AN139" s="1504">
        <f ca="1">VLOOKUP($A139,Curves_Table,Escalation!$Z$291)</f>
        <v>1.408102103454322</v>
      </c>
      <c r="AO139" s="331">
        <f t="shared" ca="1" si="56"/>
        <v>1.7038035451797295</v>
      </c>
      <c r="AP139" s="331">
        <f ca="1">IF($A139&gt;Endyr,0,VLOOKUP($A139,Tariff_Table,Tariff!$M$33))</f>
        <v>0.25</v>
      </c>
      <c r="AQ139" s="331">
        <f t="shared" ca="1" si="57"/>
        <v>1.9538035451797295</v>
      </c>
      <c r="AR139" s="331">
        <f t="shared" ca="1" si="58"/>
        <v>1.46</v>
      </c>
      <c r="AS139" s="1508">
        <f t="shared" ca="1" si="59"/>
        <v>1.3382216062874861</v>
      </c>
    </row>
    <row r="140" spans="1:45">
      <c r="A140" s="672">
        <f t="shared" si="34"/>
        <v>40848</v>
      </c>
      <c r="C140" s="1484">
        <f ca="1">IF($A140&gt;Endyr,0,VLOOKUP($A140,Tariff_Table,Tariff!$G$33))</f>
        <v>7420.61</v>
      </c>
      <c r="D140" s="1480">
        <f ca="1">VLOOKUP($A140,Curves_Table,Escalation!$V$291)</f>
        <v>1.4453629302678073</v>
      </c>
      <c r="E140" s="1483">
        <f t="shared" ca="1" si="35"/>
        <v>10725.474613974593</v>
      </c>
      <c r="F140" s="1480">
        <f ca="1">IF(Assm!$L$74=0,VLOOKUP($A140,Curves_Table,Escalation!$D$291),VLOOKUP($A140,Curves_Table,Escalation!$E$291))</f>
        <v>2.7015593043152926</v>
      </c>
      <c r="G140" s="113">
        <f ca="1">IF($A140&lt;EE_Date,VLOOKUP($A140,Curves_Table,Escalation!$D$291),Exch)</f>
        <v>1.0649999999999999</v>
      </c>
      <c r="H140" s="1483">
        <f t="shared" ca="1" si="36"/>
        <v>27207.047639981723</v>
      </c>
      <c r="I140" s="330">
        <f ca="1">VLOOKUP($A140,Plant_Table,'Plant Operations'!$C$270)</f>
        <v>480</v>
      </c>
      <c r="J140" s="1481">
        <f t="shared" ca="1" si="37"/>
        <v>13059.382867191227</v>
      </c>
      <c r="K140" s="1480">
        <f t="shared" ca="1" si="38"/>
        <v>2.7015593043152926</v>
      </c>
      <c r="L140" s="384">
        <f t="shared" ca="1" si="39"/>
        <v>4834.0167274251689</v>
      </c>
      <c r="M140" s="692" t="str">
        <f t="shared" ref="M140:M203" ca="1" si="60">IF(MONTH($A140)=12,SUM(L129:L140)," ")</f>
        <v xml:space="preserve"> </v>
      </c>
      <c r="O140" s="1482">
        <f ca="1">IF($A140&gt;Endyr,0,VLOOKUP($A140,Tariff_Table,Tariff!$H$33))</f>
        <v>6104.93</v>
      </c>
      <c r="P140" s="1480">
        <f t="shared" ca="1" si="40"/>
        <v>1.3382216062874861</v>
      </c>
      <c r="Q140" s="1481">
        <f t="shared" ca="1" si="41"/>
        <v>8169.7492308726632</v>
      </c>
      <c r="R140" s="1480">
        <f t="shared" ca="1" si="42"/>
        <v>2.7015593043152926</v>
      </c>
      <c r="S140" s="113">
        <f t="shared" ca="1" si="43"/>
        <v>1.0649999999999999</v>
      </c>
      <c r="T140" s="1481">
        <f t="shared" ca="1" si="44"/>
        <v>20724.001923555632</v>
      </c>
      <c r="U140" s="330">
        <f t="shared" ca="1" si="45"/>
        <v>480</v>
      </c>
      <c r="V140" s="1481">
        <f t="shared" ca="1" si="46"/>
        <v>9947.5209233067035</v>
      </c>
      <c r="W140" s="1480">
        <f t="shared" ca="1" si="47"/>
        <v>2.7015593043152926</v>
      </c>
      <c r="X140" s="384">
        <f t="shared" ca="1" si="48"/>
        <v>3682.1404984214819</v>
      </c>
      <c r="Y140" s="692" t="str">
        <f t="shared" ref="Y140:Y203" ca="1" si="61">IF(MONTH($A140)=12,SUM(X129:X140)," ")</f>
        <v xml:space="preserve"> </v>
      </c>
      <c r="AA140" s="1484">
        <f ca="1">IF($A140&gt;Endyr,0,VLOOKUP($A140,Tariff_Table,Tariff!$I$33))</f>
        <v>2.2999999999999998</v>
      </c>
      <c r="AB140" s="1480">
        <f t="shared" ref="AB140:AB203" ca="1" si="62">$AS140</f>
        <v>1.3382216062874861</v>
      </c>
      <c r="AC140" s="1483">
        <f t="shared" ca="1" si="49"/>
        <v>3.0779096944612179</v>
      </c>
      <c r="AD140" s="1480">
        <f t="shared" ca="1" si="50"/>
        <v>2.7015593043152926</v>
      </c>
      <c r="AE140" s="113">
        <f t="shared" ca="1" si="51"/>
        <v>1.0649999999999999</v>
      </c>
      <c r="AF140" s="1483">
        <f t="shared" ca="1" si="52"/>
        <v>7.8076578149426696</v>
      </c>
      <c r="AG140" s="334">
        <f ca="1">VLOOKUP($A140,Plant_Table,'Plant Operations'!$M$270)</f>
        <v>289336.32000000001</v>
      </c>
      <c r="AH140" s="1481">
        <f t="shared" ca="1" si="53"/>
        <v>2259.0389799947529</v>
      </c>
      <c r="AI140" s="1480">
        <f t="shared" ca="1" si="54"/>
        <v>2.7015593043152926</v>
      </c>
      <c r="AJ140" s="335">
        <f t="shared" ca="1" si="55"/>
        <v>836.19818242979647</v>
      </c>
      <c r="AK140" s="698" t="str">
        <f t="shared" ref="AK140:AK203" ca="1" si="63">IF(MONTH($A140)=12,SUM(AJ129:AJ140)," ")</f>
        <v xml:space="preserve"> </v>
      </c>
      <c r="AM140" s="697">
        <f ca="1">IF($A140&gt;Endyr,0,VLOOKUP($A140,Tariff_Table,Tariff!$L$33))</f>
        <v>1.21</v>
      </c>
      <c r="AN140" s="1504">
        <f ca="1">VLOOKUP($A140,Curves_Table,Escalation!$Z$291)</f>
        <v>1.408102103454322</v>
      </c>
      <c r="AO140" s="331">
        <f t="shared" ca="1" si="56"/>
        <v>1.7038035451797295</v>
      </c>
      <c r="AP140" s="331">
        <f ca="1">IF($A140&gt;Endyr,0,VLOOKUP($A140,Tariff_Table,Tariff!$M$33))</f>
        <v>0.25</v>
      </c>
      <c r="AQ140" s="331">
        <f t="shared" ca="1" si="57"/>
        <v>1.9538035451797295</v>
      </c>
      <c r="AR140" s="331">
        <f t="shared" ca="1" si="58"/>
        <v>1.46</v>
      </c>
      <c r="AS140" s="1508">
        <f t="shared" ca="1" si="59"/>
        <v>1.3382216062874861</v>
      </c>
    </row>
    <row r="141" spans="1:45">
      <c r="A141" s="672">
        <f t="shared" ref="A141:A204" si="64">EDATE(A140,1)</f>
        <v>40878</v>
      </c>
      <c r="C141" s="1484">
        <f ca="1">IF($A141&gt;Endyr,0,VLOOKUP($A141,Tariff_Table,Tariff!$G$33))</f>
        <v>7420.61</v>
      </c>
      <c r="D141" s="1480">
        <f ca="1">VLOOKUP($A141,Curves_Table,Escalation!$V$291)</f>
        <v>1.4453629302678073</v>
      </c>
      <c r="E141" s="1483">
        <f t="shared" ref="E141:E204" ca="1" si="65">C141*D141</f>
        <v>10725.474613974593</v>
      </c>
      <c r="F141" s="1480">
        <f ca="1">IF(Assm!$L$74=0,VLOOKUP($A141,Curves_Table,Escalation!$D$291),VLOOKUP($A141,Curves_Table,Escalation!$E$291))</f>
        <v>2.7062463148403069</v>
      </c>
      <c r="G141" s="113">
        <f ca="1">IF($A141&lt;EE_Date,VLOOKUP($A141,Curves_Table,Escalation!$D$291),Exch)</f>
        <v>1.0649999999999999</v>
      </c>
      <c r="H141" s="1483">
        <f t="shared" ref="H141:H204" ca="1" si="66">E141*F141/G141</f>
        <v>27254.249905147422</v>
      </c>
      <c r="I141" s="330">
        <f ca="1">VLOOKUP($A141,Plant_Table,'Plant Operations'!$C$270)</f>
        <v>480</v>
      </c>
      <c r="J141" s="1481">
        <f t="shared" ref="J141:J204" ca="1" si="67">H141*I141/1000</f>
        <v>13082.039954470763</v>
      </c>
      <c r="K141" s="1480">
        <f t="shared" ref="K141:K204" ca="1" si="68">F141</f>
        <v>2.7062463148403069</v>
      </c>
      <c r="L141" s="384">
        <f t="shared" ref="L141:L204" ca="1" si="69">J141/K141</f>
        <v>4834.0167274251689</v>
      </c>
      <c r="M141" s="692">
        <f t="shared" ca="1" si="60"/>
        <v>57563.826035169637</v>
      </c>
      <c r="O141" s="1482">
        <f ca="1">IF($A141&gt;Endyr,0,VLOOKUP($A141,Tariff_Table,Tariff!$H$33))</f>
        <v>6104.93</v>
      </c>
      <c r="P141" s="1480">
        <f t="shared" ref="P141:P204" ca="1" si="70">$AS141</f>
        <v>1.3382216062874861</v>
      </c>
      <c r="Q141" s="1481">
        <f t="shared" ref="Q141:Q204" ca="1" si="71">O141*P141</f>
        <v>8169.7492308726632</v>
      </c>
      <c r="R141" s="1480">
        <f t="shared" ref="R141:R204" ca="1" si="72">$F141</f>
        <v>2.7062463148403069</v>
      </c>
      <c r="S141" s="113">
        <f t="shared" ref="S141:S204" ca="1" si="73">$G141</f>
        <v>1.0649999999999999</v>
      </c>
      <c r="T141" s="1481">
        <f t="shared" ref="T141:T204" ca="1" si="74">Q141*R141/S141</f>
        <v>20759.956572036222</v>
      </c>
      <c r="U141" s="330">
        <f t="shared" ref="U141:U204" ca="1" si="75">$I141</f>
        <v>480</v>
      </c>
      <c r="V141" s="1481">
        <f t="shared" ref="V141:V204" ca="1" si="76">T141*U141/1000</f>
        <v>9964.7791545773871</v>
      </c>
      <c r="W141" s="1480">
        <f t="shared" ref="W141:W204" ca="1" si="77">R141</f>
        <v>2.7062463148403069</v>
      </c>
      <c r="X141" s="384">
        <f t="shared" ref="X141:X204" ca="1" si="78">V141/W141</f>
        <v>3682.1404984214823</v>
      </c>
      <c r="Y141" s="692">
        <f t="shared" ca="1" si="61"/>
        <v>44006.598439196518</v>
      </c>
      <c r="AA141" s="1484">
        <f ca="1">IF($A141&gt;Endyr,0,VLOOKUP($A141,Tariff_Table,Tariff!$I$33))</f>
        <v>2.2999999999999998</v>
      </c>
      <c r="AB141" s="1480">
        <f t="shared" ca="1" si="62"/>
        <v>1.3382216062874861</v>
      </c>
      <c r="AC141" s="1483">
        <f t="shared" ref="AC141:AC204" ca="1" si="79">AA141*AB141</f>
        <v>3.0779096944612179</v>
      </c>
      <c r="AD141" s="1480">
        <f t="shared" ref="AD141:AD204" ca="1" si="80">$F141</f>
        <v>2.7062463148403069</v>
      </c>
      <c r="AE141" s="113">
        <f t="shared" ref="AE141:AE204" ca="1" si="81">$G141</f>
        <v>1.0649999999999999</v>
      </c>
      <c r="AF141" s="1483">
        <f t="shared" ref="AF141:AF204" ca="1" si="82">AC141*AD141/AE141</f>
        <v>7.82120353807223</v>
      </c>
      <c r="AG141" s="334">
        <f ca="1">VLOOKUP($A141,Plant_Table,'Plant Operations'!$M$270)</f>
        <v>298980.864</v>
      </c>
      <c r="AH141" s="1481">
        <f t="shared" ref="AH141:AH204" ca="1" si="83">AF141*AG141/1000</f>
        <v>2338.3901913326922</v>
      </c>
      <c r="AI141" s="1480">
        <f t="shared" ref="AI141:AI204" ca="1" si="84">AD141</f>
        <v>2.7062463148403069</v>
      </c>
      <c r="AJ141" s="335">
        <f t="shared" ref="AJ141:AJ204" ca="1" si="85">AH141/AI141</f>
        <v>864.07145517745619</v>
      </c>
      <c r="AK141" s="698">
        <f t="shared" ca="1" si="63"/>
        <v>10136.746709115192</v>
      </c>
      <c r="AM141" s="697">
        <f ca="1">IF($A141&gt;Endyr,0,VLOOKUP($A141,Tariff_Table,Tariff!$L$33))</f>
        <v>1.21</v>
      </c>
      <c r="AN141" s="1504">
        <f ca="1">VLOOKUP($A141,Curves_Table,Escalation!$Z$291)</f>
        <v>1.408102103454322</v>
      </c>
      <c r="AO141" s="331">
        <f t="shared" ref="AO141:AO204" ca="1" si="86">AM141*AN141</f>
        <v>1.7038035451797295</v>
      </c>
      <c r="AP141" s="331">
        <f ca="1">IF($A141&gt;Endyr,0,VLOOKUP($A141,Tariff_Table,Tariff!$M$33))</f>
        <v>0.25</v>
      </c>
      <c r="AQ141" s="331">
        <f t="shared" ref="AQ141:AQ204" ca="1" si="87">SUM(AO141,AP141)</f>
        <v>1.9538035451797295</v>
      </c>
      <c r="AR141" s="331">
        <f t="shared" ref="AR141:AR204" ca="1" si="88">SUM(AM141,AP141)</f>
        <v>1.46</v>
      </c>
      <c r="AS141" s="1508">
        <f t="shared" ref="AS141:AS204" ca="1" si="89">IF(AR141=0,0,AQ141/AR141)</f>
        <v>1.3382216062874861</v>
      </c>
    </row>
    <row r="142" spans="1:45">
      <c r="A142" s="672">
        <f t="shared" si="64"/>
        <v>40909</v>
      </c>
      <c r="C142" s="1484">
        <f ca="1">IF($A142&gt;Endyr,0,VLOOKUP($A142,Tariff_Table,Tariff!$G$33))</f>
        <v>7420.61</v>
      </c>
      <c r="D142" s="1480">
        <f ca="1">VLOOKUP($A142,Curves_Table,Escalation!$V$291)</f>
        <v>1.4453629302678073</v>
      </c>
      <c r="E142" s="1483">
        <f t="shared" ca="1" si="65"/>
        <v>10725.474613974593</v>
      </c>
      <c r="F142" s="1480">
        <f ca="1">IF(Assm!$L$74=0,VLOOKUP($A142,Curves_Table,Escalation!$D$291),VLOOKUP($A142,Curves_Table,Escalation!$E$291))</f>
        <v>2.7107133756643873</v>
      </c>
      <c r="G142" s="113">
        <f ca="1">IF($A142&lt;EE_Date,VLOOKUP($A142,Curves_Table,Escalation!$D$291),Exch)</f>
        <v>1.0649999999999999</v>
      </c>
      <c r="H142" s="1483">
        <f t="shared" ca="1" si="66"/>
        <v>27299.237085868321</v>
      </c>
      <c r="I142" s="330">
        <f ca="1">VLOOKUP($A142,Plant_Table,'Plant Operations'!$C$270)</f>
        <v>480</v>
      </c>
      <c r="J142" s="1481">
        <f t="shared" ca="1" si="67"/>
        <v>13103.633801216794</v>
      </c>
      <c r="K142" s="1480">
        <f t="shared" ca="1" si="68"/>
        <v>2.7107133756643873</v>
      </c>
      <c r="L142" s="384">
        <f t="shared" ca="1" si="69"/>
        <v>4834.0167274251689</v>
      </c>
      <c r="M142" s="692" t="str">
        <f t="shared" ca="1" si="60"/>
        <v xml:space="preserve"> </v>
      </c>
      <c r="O142" s="1482">
        <f ca="1">IF($A142&gt;Endyr,0,VLOOKUP($A142,Tariff_Table,Tariff!$H$33))</f>
        <v>6104.93</v>
      </c>
      <c r="P142" s="1480">
        <f t="shared" ca="1" si="70"/>
        <v>1.3382216062874861</v>
      </c>
      <c r="Q142" s="1481">
        <f t="shared" ca="1" si="71"/>
        <v>8169.7492308726632</v>
      </c>
      <c r="R142" s="1480">
        <f t="shared" ca="1" si="72"/>
        <v>2.7107133756643873</v>
      </c>
      <c r="S142" s="113">
        <f t="shared" ca="1" si="73"/>
        <v>1.0649999999999999</v>
      </c>
      <c r="T142" s="1481">
        <f t="shared" ca="1" si="74"/>
        <v>20794.223958638846</v>
      </c>
      <c r="U142" s="330">
        <f t="shared" ca="1" si="75"/>
        <v>480</v>
      </c>
      <c r="V142" s="1481">
        <f t="shared" ca="1" si="76"/>
        <v>9981.227500146646</v>
      </c>
      <c r="W142" s="1480">
        <f t="shared" ca="1" si="77"/>
        <v>2.7107133756643873</v>
      </c>
      <c r="X142" s="384">
        <f t="shared" ca="1" si="78"/>
        <v>3682.1404984214823</v>
      </c>
      <c r="Y142" s="692" t="str">
        <f t="shared" ca="1" si="61"/>
        <v xml:space="preserve"> </v>
      </c>
      <c r="AA142" s="1484">
        <f ca="1">IF($A142&gt;Endyr,0,VLOOKUP($A142,Tariff_Table,Tariff!$I$33))</f>
        <v>2.2999999999999998</v>
      </c>
      <c r="AB142" s="1480">
        <f t="shared" ca="1" si="62"/>
        <v>1.3382216062874861</v>
      </c>
      <c r="AC142" s="1483">
        <f t="shared" ca="1" si="79"/>
        <v>3.0779096944612179</v>
      </c>
      <c r="AD142" s="1480">
        <f t="shared" ca="1" si="80"/>
        <v>2.7107133756643873</v>
      </c>
      <c r="AE142" s="113">
        <f t="shared" ca="1" si="81"/>
        <v>1.0649999999999999</v>
      </c>
      <c r="AF142" s="1483">
        <f t="shared" ca="1" si="82"/>
        <v>7.8341135942376638</v>
      </c>
      <c r="AG142" s="334">
        <f ca="1">VLOOKUP($A142,Plant_Table,'Plant Operations'!$M$270)</f>
        <v>298980.864</v>
      </c>
      <c r="AH142" s="1481">
        <f t="shared" ca="1" si="83"/>
        <v>2342.250051079322</v>
      </c>
      <c r="AI142" s="1480">
        <f t="shared" ca="1" si="84"/>
        <v>2.7107133756643873</v>
      </c>
      <c r="AJ142" s="335">
        <f t="shared" ca="1" si="85"/>
        <v>864.0714551774563</v>
      </c>
      <c r="AK142" s="698" t="str">
        <f t="shared" ca="1" si="63"/>
        <v xml:space="preserve"> </v>
      </c>
      <c r="AM142" s="697">
        <f ca="1">IF($A142&gt;Endyr,0,VLOOKUP($A142,Tariff_Table,Tariff!$L$33))</f>
        <v>1.21</v>
      </c>
      <c r="AN142" s="1504">
        <f ca="1">VLOOKUP($A142,Curves_Table,Escalation!$Z$291)</f>
        <v>1.408102103454322</v>
      </c>
      <c r="AO142" s="331">
        <f t="shared" ca="1" si="86"/>
        <v>1.7038035451797295</v>
      </c>
      <c r="AP142" s="331">
        <f ca="1">IF($A142&gt;Endyr,0,VLOOKUP($A142,Tariff_Table,Tariff!$M$33))</f>
        <v>0.25</v>
      </c>
      <c r="AQ142" s="331">
        <f t="shared" ca="1" si="87"/>
        <v>1.9538035451797295</v>
      </c>
      <c r="AR142" s="331">
        <f t="shared" ca="1" si="88"/>
        <v>1.46</v>
      </c>
      <c r="AS142" s="1508">
        <f t="shared" ca="1" si="89"/>
        <v>1.3382216062874861</v>
      </c>
    </row>
    <row r="143" spans="1:45">
      <c r="A143" s="672">
        <f t="shared" si="64"/>
        <v>40940</v>
      </c>
      <c r="C143" s="1484">
        <f ca="1">IF($A143&gt;Endyr,0,VLOOKUP($A143,Tariff_Table,Tariff!$G$33))</f>
        <v>7420.61</v>
      </c>
      <c r="D143" s="1480">
        <f ca="1">VLOOKUP($A143,Curves_Table,Escalation!$V$291)</f>
        <v>1.4453629302678073</v>
      </c>
      <c r="E143" s="1483">
        <f t="shared" ca="1" si="65"/>
        <v>10725.474613974593</v>
      </c>
      <c r="F143" s="1480">
        <f ca="1">IF(Assm!$L$74=0,VLOOKUP($A143,Curves_Table,Escalation!$D$291),VLOOKUP($A143,Curves_Table,Escalation!$E$291))</f>
        <v>2.7151878100347324</v>
      </c>
      <c r="G143" s="113">
        <f ca="1">IF($A143&lt;EE_Date,VLOOKUP($A143,Curves_Table,Escalation!$D$291),Exch)</f>
        <v>1.0649999999999999</v>
      </c>
      <c r="H143" s="1483">
        <f t="shared" ca="1" si="66"/>
        <v>27344.298524601683</v>
      </c>
      <c r="I143" s="330">
        <f ca="1">VLOOKUP($A143,Plant_Table,'Plant Operations'!$C$270)</f>
        <v>480</v>
      </c>
      <c r="J143" s="1481">
        <f t="shared" ca="1" si="67"/>
        <v>13125.263291808807</v>
      </c>
      <c r="K143" s="1480">
        <f t="shared" ca="1" si="68"/>
        <v>2.7151878100347324</v>
      </c>
      <c r="L143" s="384">
        <f t="shared" ca="1" si="69"/>
        <v>4834.0167274251689</v>
      </c>
      <c r="M143" s="692" t="str">
        <f t="shared" ca="1" si="60"/>
        <v xml:space="preserve"> </v>
      </c>
      <c r="O143" s="1482">
        <f ca="1">IF($A143&gt;Endyr,0,VLOOKUP($A143,Tariff_Table,Tariff!$H$33))</f>
        <v>6104.93</v>
      </c>
      <c r="P143" s="1480">
        <f t="shared" ca="1" si="70"/>
        <v>1.3382216062874861</v>
      </c>
      <c r="Q143" s="1481">
        <f t="shared" ca="1" si="71"/>
        <v>8169.7492308726632</v>
      </c>
      <c r="R143" s="1480">
        <f t="shared" ca="1" si="72"/>
        <v>2.7151878100347324</v>
      </c>
      <c r="S143" s="113">
        <f t="shared" ca="1" si="73"/>
        <v>1.0649999999999999</v>
      </c>
      <c r="T143" s="1481">
        <f t="shared" ca="1" si="74"/>
        <v>20828.547908644214</v>
      </c>
      <c r="U143" s="330">
        <f t="shared" ca="1" si="75"/>
        <v>480</v>
      </c>
      <c r="V143" s="1481">
        <f t="shared" ca="1" si="76"/>
        <v>9997.7029961492226</v>
      </c>
      <c r="W143" s="1480">
        <f t="shared" ca="1" si="77"/>
        <v>2.7151878100347324</v>
      </c>
      <c r="X143" s="384">
        <f t="shared" ca="1" si="78"/>
        <v>3682.1404984214823</v>
      </c>
      <c r="Y143" s="692" t="str">
        <f t="shared" ca="1" si="61"/>
        <v xml:space="preserve"> </v>
      </c>
      <c r="AA143" s="1484">
        <f ca="1">IF($A143&gt;Endyr,0,VLOOKUP($A143,Tariff_Table,Tariff!$I$33))</f>
        <v>2.2999999999999998</v>
      </c>
      <c r="AB143" s="1480">
        <f t="shared" ca="1" si="62"/>
        <v>1.3382216062874861</v>
      </c>
      <c r="AC143" s="1483">
        <f t="shared" ca="1" si="79"/>
        <v>3.0779096944612179</v>
      </c>
      <c r="AD143" s="1480">
        <f t="shared" ca="1" si="80"/>
        <v>2.7151878100347324</v>
      </c>
      <c r="AE143" s="113">
        <f t="shared" ca="1" si="81"/>
        <v>1.0649999999999999</v>
      </c>
      <c r="AF143" s="1483">
        <f t="shared" ca="1" si="82"/>
        <v>7.8470449603650954</v>
      </c>
      <c r="AG143" s="334">
        <f ca="1">VLOOKUP($A143,Plant_Table,'Plant Operations'!$M$270)</f>
        <v>279691.77600000001</v>
      </c>
      <c r="AH143" s="1481">
        <f t="shared" ca="1" si="83"/>
        <v>2194.7539413163636</v>
      </c>
      <c r="AI143" s="1480">
        <f t="shared" ca="1" si="84"/>
        <v>2.7151878100347324</v>
      </c>
      <c r="AJ143" s="335">
        <f t="shared" ca="1" si="85"/>
        <v>808.32490968213665</v>
      </c>
      <c r="AK143" s="698" t="str">
        <f t="shared" ca="1" si="63"/>
        <v xml:space="preserve"> </v>
      </c>
      <c r="AM143" s="697">
        <f ca="1">IF($A143&gt;Endyr,0,VLOOKUP($A143,Tariff_Table,Tariff!$L$33))</f>
        <v>1.21</v>
      </c>
      <c r="AN143" s="1504">
        <f ca="1">VLOOKUP($A143,Curves_Table,Escalation!$Z$291)</f>
        <v>1.408102103454322</v>
      </c>
      <c r="AO143" s="331">
        <f t="shared" ca="1" si="86"/>
        <v>1.7038035451797295</v>
      </c>
      <c r="AP143" s="331">
        <f ca="1">IF($A143&gt;Endyr,0,VLOOKUP($A143,Tariff_Table,Tariff!$M$33))</f>
        <v>0.25</v>
      </c>
      <c r="AQ143" s="331">
        <f t="shared" ca="1" si="87"/>
        <v>1.9538035451797295</v>
      </c>
      <c r="AR143" s="331">
        <f t="shared" ca="1" si="88"/>
        <v>1.46</v>
      </c>
      <c r="AS143" s="1508">
        <f t="shared" ca="1" si="89"/>
        <v>1.3382216062874861</v>
      </c>
    </row>
    <row r="144" spans="1:45">
      <c r="A144" s="672">
        <f t="shared" si="64"/>
        <v>40969</v>
      </c>
      <c r="C144" s="1484">
        <f ca="1">IF($A144&gt;Endyr,0,VLOOKUP($A144,Tariff_Table,Tariff!$G$33))</f>
        <v>7420.61</v>
      </c>
      <c r="D144" s="1480">
        <f ca="1">VLOOKUP($A144,Curves_Table,Escalation!$V$291)</f>
        <v>1.4453629302678073</v>
      </c>
      <c r="E144" s="1483">
        <f t="shared" ca="1" si="65"/>
        <v>10725.474613974593</v>
      </c>
      <c r="F144" s="1480">
        <f ca="1">IF(Assm!$L$74=0,VLOOKUP($A144,Curves_Table,Escalation!$D$291),VLOOKUP($A144,Curves_Table,Escalation!$E$291))</f>
        <v>2.7196696301224734</v>
      </c>
      <c r="G144" s="113">
        <f ca="1">IF($A144&lt;EE_Date,VLOOKUP($A144,Curves_Table,Escalation!$D$291),Exch)</f>
        <v>1.0649999999999999</v>
      </c>
      <c r="H144" s="1483">
        <f t="shared" ca="1" si="66"/>
        <v>27389.43434392137</v>
      </c>
      <c r="I144" s="330">
        <f ca="1">VLOOKUP($A144,Plant_Table,'Plant Operations'!$C$270)</f>
        <v>480</v>
      </c>
      <c r="J144" s="1481">
        <f t="shared" ca="1" si="67"/>
        <v>13146.928485082257</v>
      </c>
      <c r="K144" s="1480">
        <f t="shared" ca="1" si="68"/>
        <v>2.7196696301224734</v>
      </c>
      <c r="L144" s="384">
        <f t="shared" ca="1" si="69"/>
        <v>4834.016727425168</v>
      </c>
      <c r="M144" s="692" t="str">
        <f t="shared" ca="1" si="60"/>
        <v xml:space="preserve"> </v>
      </c>
      <c r="O144" s="1482">
        <f ca="1">IF($A144&gt;Endyr,0,VLOOKUP($A144,Tariff_Table,Tariff!$H$33))</f>
        <v>6104.93</v>
      </c>
      <c r="P144" s="1480">
        <f t="shared" ca="1" si="70"/>
        <v>1.3382216062874861</v>
      </c>
      <c r="Q144" s="1481">
        <f t="shared" ca="1" si="71"/>
        <v>8169.7492308726632</v>
      </c>
      <c r="R144" s="1480">
        <f t="shared" ca="1" si="72"/>
        <v>2.7196696301224734</v>
      </c>
      <c r="S144" s="113">
        <f t="shared" ca="1" si="73"/>
        <v>1.0649999999999999</v>
      </c>
      <c r="T144" s="1481">
        <f t="shared" ca="1" si="74"/>
        <v>20862.928515418611</v>
      </c>
      <c r="U144" s="330">
        <f t="shared" ca="1" si="75"/>
        <v>480</v>
      </c>
      <c r="V144" s="1481">
        <f t="shared" ca="1" si="76"/>
        <v>10014.205687400934</v>
      </c>
      <c r="W144" s="1480">
        <f t="shared" ca="1" si="77"/>
        <v>2.7196696301224734</v>
      </c>
      <c r="X144" s="384">
        <f t="shared" ca="1" si="78"/>
        <v>3682.1404984214828</v>
      </c>
      <c r="Y144" s="692" t="str">
        <f t="shared" ca="1" si="61"/>
        <v xml:space="preserve"> </v>
      </c>
      <c r="AA144" s="1484">
        <f ca="1">IF($A144&gt;Endyr,0,VLOOKUP($A144,Tariff_Table,Tariff!$I$33))</f>
        <v>2.2999999999999998</v>
      </c>
      <c r="AB144" s="1480">
        <f t="shared" ca="1" si="62"/>
        <v>1.3382216062874861</v>
      </c>
      <c r="AC144" s="1483">
        <f t="shared" ca="1" si="79"/>
        <v>3.0779096944612179</v>
      </c>
      <c r="AD144" s="1480">
        <f t="shared" ca="1" si="80"/>
        <v>2.7196696301224734</v>
      </c>
      <c r="AE144" s="113">
        <f t="shared" ca="1" si="81"/>
        <v>1.0649999999999999</v>
      </c>
      <c r="AF144" s="1483">
        <f t="shared" ca="1" si="82"/>
        <v>7.859997671629781</v>
      </c>
      <c r="AG144" s="334">
        <f ca="1">VLOOKUP($A144,Plant_Table,'Plant Operations'!$M$270)</f>
        <v>298980.864</v>
      </c>
      <c r="AH144" s="1481">
        <f t="shared" ca="1" si="83"/>
        <v>2349.98889490186</v>
      </c>
      <c r="AI144" s="1480">
        <f t="shared" ca="1" si="84"/>
        <v>2.7196696301224734</v>
      </c>
      <c r="AJ144" s="335">
        <f t="shared" ca="1" si="85"/>
        <v>864.0714551774563</v>
      </c>
      <c r="AK144" s="698" t="str">
        <f t="shared" ca="1" si="63"/>
        <v xml:space="preserve"> </v>
      </c>
      <c r="AM144" s="697">
        <f ca="1">IF($A144&gt;Endyr,0,VLOOKUP($A144,Tariff_Table,Tariff!$L$33))</f>
        <v>1.21</v>
      </c>
      <c r="AN144" s="1504">
        <f ca="1">VLOOKUP($A144,Curves_Table,Escalation!$Z$291)</f>
        <v>1.408102103454322</v>
      </c>
      <c r="AO144" s="331">
        <f t="shared" ca="1" si="86"/>
        <v>1.7038035451797295</v>
      </c>
      <c r="AP144" s="331">
        <f ca="1">IF($A144&gt;Endyr,0,VLOOKUP($A144,Tariff_Table,Tariff!$M$33))</f>
        <v>0.25</v>
      </c>
      <c r="AQ144" s="331">
        <f t="shared" ca="1" si="87"/>
        <v>1.9538035451797295</v>
      </c>
      <c r="AR144" s="331">
        <f t="shared" ca="1" si="88"/>
        <v>1.46</v>
      </c>
      <c r="AS144" s="1508">
        <f t="shared" ca="1" si="89"/>
        <v>1.3382216062874861</v>
      </c>
    </row>
    <row r="145" spans="1:45">
      <c r="A145" s="672">
        <f t="shared" si="64"/>
        <v>41000</v>
      </c>
      <c r="C145" s="1484">
        <f ca="1">IF($A145&gt;Endyr,0,VLOOKUP($A145,Tariff_Table,Tariff!$G$33))</f>
        <v>7420.61</v>
      </c>
      <c r="D145" s="1480">
        <f ca="1">VLOOKUP($A145,Curves_Table,Escalation!$V$291)</f>
        <v>1.4453629302678073</v>
      </c>
      <c r="E145" s="1483">
        <f t="shared" ca="1" si="65"/>
        <v>10725.474613974593</v>
      </c>
      <c r="F145" s="1480">
        <f ca="1">IF(Assm!$L$74=0,VLOOKUP($A145,Curves_Table,Escalation!$D$291),VLOOKUP($A145,Curves_Table,Escalation!$E$291))</f>
        <v>2.7241588481188321</v>
      </c>
      <c r="G145" s="113">
        <f ca="1">IF($A145&lt;EE_Date,VLOOKUP($A145,Curves_Table,Escalation!$D$291),Exch)</f>
        <v>1.0649999999999999</v>
      </c>
      <c r="H145" s="1483">
        <f t="shared" ca="1" si="66"/>
        <v>27434.644666603574</v>
      </c>
      <c r="I145" s="330">
        <f ca="1">VLOOKUP($A145,Plant_Table,'Plant Operations'!$C$270)</f>
        <v>480</v>
      </c>
      <c r="J145" s="1481">
        <f t="shared" ca="1" si="67"/>
        <v>13168.629439969714</v>
      </c>
      <c r="K145" s="1480">
        <f t="shared" ca="1" si="68"/>
        <v>2.7241588481188321</v>
      </c>
      <c r="L145" s="384">
        <f t="shared" ca="1" si="69"/>
        <v>4834.0167274251689</v>
      </c>
      <c r="M145" s="692" t="str">
        <f t="shared" ca="1" si="60"/>
        <v xml:space="preserve"> </v>
      </c>
      <c r="O145" s="1482">
        <f ca="1">IF($A145&gt;Endyr,0,VLOOKUP($A145,Tariff_Table,Tariff!$H$33))</f>
        <v>6104.93</v>
      </c>
      <c r="P145" s="1480">
        <f t="shared" ca="1" si="70"/>
        <v>1.3382216062874861</v>
      </c>
      <c r="Q145" s="1481">
        <f t="shared" ca="1" si="71"/>
        <v>8169.7492308726632</v>
      </c>
      <c r="R145" s="1480">
        <f t="shared" ca="1" si="72"/>
        <v>2.7241588481188321</v>
      </c>
      <c r="S145" s="113">
        <f t="shared" ca="1" si="73"/>
        <v>1.0649999999999999</v>
      </c>
      <c r="T145" s="1481">
        <f t="shared" ca="1" si="74"/>
        <v>20897.365872482434</v>
      </c>
      <c r="U145" s="330">
        <f t="shared" ca="1" si="75"/>
        <v>480</v>
      </c>
      <c r="V145" s="1481">
        <f t="shared" ca="1" si="76"/>
        <v>10030.735618791568</v>
      </c>
      <c r="W145" s="1480">
        <f t="shared" ca="1" si="77"/>
        <v>2.7241588481188321</v>
      </c>
      <c r="X145" s="384">
        <f t="shared" ca="1" si="78"/>
        <v>3682.1404984214828</v>
      </c>
      <c r="Y145" s="692" t="str">
        <f t="shared" ca="1" si="61"/>
        <v xml:space="preserve"> </v>
      </c>
      <c r="AA145" s="1484">
        <f ca="1">IF($A145&gt;Endyr,0,VLOOKUP($A145,Tariff_Table,Tariff!$I$33))</f>
        <v>2.2999999999999998</v>
      </c>
      <c r="AB145" s="1480">
        <f t="shared" ca="1" si="62"/>
        <v>1.3382216062874861</v>
      </c>
      <c r="AC145" s="1483">
        <f t="shared" ca="1" si="79"/>
        <v>3.0779096944612179</v>
      </c>
      <c r="AD145" s="1480">
        <f t="shared" ca="1" si="80"/>
        <v>2.7241588481188321</v>
      </c>
      <c r="AE145" s="113">
        <f t="shared" ca="1" si="81"/>
        <v>1.0649999999999999</v>
      </c>
      <c r="AF145" s="1483">
        <f t="shared" ca="1" si="82"/>
        <v>7.8729717632650313</v>
      </c>
      <c r="AG145" s="334">
        <f ca="1">VLOOKUP($A145,Plant_Table,'Plant Operations'!$M$270)</f>
        <v>289336.32000000001</v>
      </c>
      <c r="AH145" s="1481">
        <f t="shared" ca="1" si="83"/>
        <v>2277.9366774470154</v>
      </c>
      <c r="AI145" s="1480">
        <f t="shared" ca="1" si="84"/>
        <v>2.7241588481188321</v>
      </c>
      <c r="AJ145" s="335">
        <f t="shared" ca="1" si="85"/>
        <v>836.19818242979647</v>
      </c>
      <c r="AK145" s="698" t="str">
        <f t="shared" ca="1" si="63"/>
        <v xml:space="preserve"> </v>
      </c>
      <c r="AM145" s="697">
        <f ca="1">IF($A145&gt;Endyr,0,VLOOKUP($A145,Tariff_Table,Tariff!$L$33))</f>
        <v>1.21</v>
      </c>
      <c r="AN145" s="1504">
        <f ca="1">VLOOKUP($A145,Curves_Table,Escalation!$Z$291)</f>
        <v>1.408102103454322</v>
      </c>
      <c r="AO145" s="331">
        <f t="shared" ca="1" si="86"/>
        <v>1.7038035451797295</v>
      </c>
      <c r="AP145" s="331">
        <f ca="1">IF($A145&gt;Endyr,0,VLOOKUP($A145,Tariff_Table,Tariff!$M$33))</f>
        <v>0.25</v>
      </c>
      <c r="AQ145" s="331">
        <f t="shared" ca="1" si="87"/>
        <v>1.9538035451797295</v>
      </c>
      <c r="AR145" s="331">
        <f t="shared" ca="1" si="88"/>
        <v>1.46</v>
      </c>
      <c r="AS145" s="1508">
        <f t="shared" ca="1" si="89"/>
        <v>1.3382216062874861</v>
      </c>
    </row>
    <row r="146" spans="1:45">
      <c r="A146" s="672">
        <f t="shared" si="64"/>
        <v>41030</v>
      </c>
      <c r="C146" s="1484">
        <f ca="1">IF($A146&gt;Endyr,0,VLOOKUP($A146,Tariff_Table,Tariff!$G$33))</f>
        <v>7429.43</v>
      </c>
      <c r="D146" s="1480">
        <f ca="1">VLOOKUP($A146,Curves_Table,Escalation!$V$291)</f>
        <v>1.4818086105109716</v>
      </c>
      <c r="E146" s="1483">
        <f t="shared" ca="1" si="65"/>
        <v>11008.993345188528</v>
      </c>
      <c r="F146" s="1480">
        <f ca="1">IF(Assm!$L$74=0,VLOOKUP($A146,Curves_Table,Escalation!$D$291),VLOOKUP($A146,Curves_Table,Escalation!$E$291))</f>
        <v>2.7286554762351538</v>
      </c>
      <c r="G146" s="113">
        <f ca="1">IF($A146&lt;EE_Date,VLOOKUP($A146,Curves_Table,Escalation!$D$291),Exch)</f>
        <v>1.0649999999999999</v>
      </c>
      <c r="H146" s="1483">
        <f t="shared" ca="1" si="66"/>
        <v>28206.338008624454</v>
      </c>
      <c r="I146" s="330">
        <f ca="1">VLOOKUP($A146,Plant_Table,'Plant Operations'!$C$270)</f>
        <v>480</v>
      </c>
      <c r="J146" s="1481">
        <f t="shared" ca="1" si="67"/>
        <v>13539.042244139739</v>
      </c>
      <c r="K146" s="1480">
        <f t="shared" ca="1" si="68"/>
        <v>2.7286554762351538</v>
      </c>
      <c r="L146" s="384">
        <f t="shared" ca="1" si="69"/>
        <v>4961.7998175497596</v>
      </c>
      <c r="M146" s="692" t="str">
        <f t="shared" ca="1" si="60"/>
        <v xml:space="preserve"> </v>
      </c>
      <c r="O146" s="1482">
        <f ca="1">IF($A146&gt;Endyr,0,VLOOKUP($A146,Tariff_Table,Tariff!$H$33))</f>
        <v>6133.73</v>
      </c>
      <c r="P146" s="1480">
        <f t="shared" ca="1" si="70"/>
        <v>1.3647304447658279</v>
      </c>
      <c r="Q146" s="1481">
        <f t="shared" ca="1" si="71"/>
        <v>8370.8880709735004</v>
      </c>
      <c r="R146" s="1480">
        <f t="shared" ca="1" si="72"/>
        <v>2.7286554762351538</v>
      </c>
      <c r="S146" s="113">
        <f t="shared" ca="1" si="73"/>
        <v>1.0649999999999999</v>
      </c>
      <c r="T146" s="1481">
        <f t="shared" ca="1" si="74"/>
        <v>21447.201479636962</v>
      </c>
      <c r="U146" s="330">
        <f t="shared" ca="1" si="75"/>
        <v>480</v>
      </c>
      <c r="V146" s="1481">
        <f t="shared" ca="1" si="76"/>
        <v>10294.656710225743</v>
      </c>
      <c r="W146" s="1480">
        <f t="shared" ca="1" si="77"/>
        <v>2.7286554762351538</v>
      </c>
      <c r="X146" s="384">
        <f t="shared" ca="1" si="78"/>
        <v>3772.7946235373529</v>
      </c>
      <c r="Y146" s="692" t="str">
        <f t="shared" ca="1" si="61"/>
        <v xml:space="preserve"> </v>
      </c>
      <c r="AA146" s="1484">
        <f ca="1">IF($A146&gt;Endyr,0,VLOOKUP($A146,Tariff_Table,Tariff!$I$33))</f>
        <v>2.31</v>
      </c>
      <c r="AB146" s="1480">
        <f t="shared" ca="1" si="62"/>
        <v>1.3647304447658279</v>
      </c>
      <c r="AC146" s="1483">
        <f t="shared" ca="1" si="79"/>
        <v>3.1525273274090626</v>
      </c>
      <c r="AD146" s="1480">
        <f t="shared" ca="1" si="80"/>
        <v>2.7286554762351538</v>
      </c>
      <c r="AE146" s="113">
        <f t="shared" ca="1" si="81"/>
        <v>1.0649999999999999</v>
      </c>
      <c r="AF146" s="1483">
        <f t="shared" ca="1" si="82"/>
        <v>8.0771464374795432</v>
      </c>
      <c r="AG146" s="334">
        <f ca="1">VLOOKUP($A146,Plant_Table,'Plant Operations'!$M$270)</f>
        <v>298980.864</v>
      </c>
      <c r="AH146" s="1481">
        <f t="shared" ca="1" si="83"/>
        <v>2414.9122205321555</v>
      </c>
      <c r="AI146" s="1480">
        <f t="shared" ca="1" si="84"/>
        <v>2.7286554762351538</v>
      </c>
      <c r="AJ146" s="335">
        <f t="shared" ca="1" si="85"/>
        <v>885.01910247171122</v>
      </c>
      <c r="AK146" s="698" t="str">
        <f t="shared" ca="1" si="63"/>
        <v xml:space="preserve"> </v>
      </c>
      <c r="AM146" s="697">
        <f ca="1">IF($A146&gt;Endyr,0,VLOOKUP($A146,Tariff_Table,Tariff!$L$33))</f>
        <v>1.21</v>
      </c>
      <c r="AN146" s="1504">
        <f ca="1">VLOOKUP($A146,Curves_Table,Escalation!$Z$291)</f>
        <v>1.4400879746761228</v>
      </c>
      <c r="AO146" s="331">
        <f t="shared" ca="1" si="86"/>
        <v>1.7425064493581086</v>
      </c>
      <c r="AP146" s="331">
        <f ca="1">IF($A146&gt;Endyr,0,VLOOKUP($A146,Tariff_Table,Tariff!$M$33))</f>
        <v>0.25</v>
      </c>
      <c r="AQ146" s="331">
        <f t="shared" ca="1" si="87"/>
        <v>1.9925064493581086</v>
      </c>
      <c r="AR146" s="331">
        <f t="shared" ca="1" si="88"/>
        <v>1.46</v>
      </c>
      <c r="AS146" s="1508">
        <f t="shared" ca="1" si="89"/>
        <v>1.3647304447658279</v>
      </c>
    </row>
    <row r="147" spans="1:45">
      <c r="A147" s="672">
        <f t="shared" si="64"/>
        <v>41061</v>
      </c>
      <c r="C147" s="1484">
        <f ca="1">IF($A147&gt;Endyr,0,VLOOKUP($A147,Tariff_Table,Tariff!$G$33))</f>
        <v>7429.43</v>
      </c>
      <c r="D147" s="1480">
        <f ca="1">VLOOKUP($A147,Curves_Table,Escalation!$V$291)</f>
        <v>1.4818086105109716</v>
      </c>
      <c r="E147" s="1483">
        <f t="shared" ca="1" si="65"/>
        <v>11008.993345188528</v>
      </c>
      <c r="F147" s="1480">
        <f ca="1">IF(Assm!$L$74=0,VLOOKUP($A147,Curves_Table,Escalation!$D$291),VLOOKUP($A147,Curves_Table,Escalation!$E$291))</f>
        <v>2.7331595267029405</v>
      </c>
      <c r="G147" s="113">
        <f ca="1">IF($A147&lt;EE_Date,VLOOKUP($A147,Curves_Table,Escalation!$D$291),Exch)</f>
        <v>1.0649999999999999</v>
      </c>
      <c r="H147" s="1483">
        <f t="shared" ca="1" si="66"/>
        <v>28252.896751935496</v>
      </c>
      <c r="I147" s="330">
        <f ca="1">VLOOKUP($A147,Plant_Table,'Plant Operations'!$C$270)</f>
        <v>480</v>
      </c>
      <c r="J147" s="1481">
        <f t="shared" ca="1" si="67"/>
        <v>13561.390440929039</v>
      </c>
      <c r="K147" s="1480">
        <f t="shared" ca="1" si="68"/>
        <v>2.7331595267029405</v>
      </c>
      <c r="L147" s="384">
        <f t="shared" ca="1" si="69"/>
        <v>4961.7998175497605</v>
      </c>
      <c r="M147" s="692" t="str">
        <f t="shared" ca="1" si="60"/>
        <v xml:space="preserve"> </v>
      </c>
      <c r="O147" s="1482">
        <f ca="1">IF($A147&gt;Endyr,0,VLOOKUP($A147,Tariff_Table,Tariff!$H$33))</f>
        <v>6133.73</v>
      </c>
      <c r="P147" s="1480">
        <f t="shared" ca="1" si="70"/>
        <v>1.3647304447658279</v>
      </c>
      <c r="Q147" s="1481">
        <f t="shared" ca="1" si="71"/>
        <v>8370.8880709735004</v>
      </c>
      <c r="R147" s="1480">
        <f t="shared" ca="1" si="72"/>
        <v>2.7331595267029405</v>
      </c>
      <c r="S147" s="113">
        <f t="shared" ca="1" si="73"/>
        <v>1.0649999999999999</v>
      </c>
      <c r="T147" s="1481">
        <f t="shared" ca="1" si="74"/>
        <v>21482.603265864062</v>
      </c>
      <c r="U147" s="330">
        <f t="shared" ca="1" si="75"/>
        <v>480</v>
      </c>
      <c r="V147" s="1481">
        <f t="shared" ca="1" si="76"/>
        <v>10311.64956761475</v>
      </c>
      <c r="W147" s="1480">
        <f t="shared" ca="1" si="77"/>
        <v>2.7331595267029405</v>
      </c>
      <c r="X147" s="384">
        <f t="shared" ca="1" si="78"/>
        <v>3772.7946235373529</v>
      </c>
      <c r="Y147" s="692" t="str">
        <f t="shared" ca="1" si="61"/>
        <v xml:space="preserve"> </v>
      </c>
      <c r="AA147" s="1484">
        <f ca="1">IF($A147&gt;Endyr,0,VLOOKUP($A147,Tariff_Table,Tariff!$I$33))</f>
        <v>2.31</v>
      </c>
      <c r="AB147" s="1480">
        <f t="shared" ca="1" si="62"/>
        <v>1.3647304447658279</v>
      </c>
      <c r="AC147" s="1483">
        <f t="shared" ca="1" si="79"/>
        <v>3.1525273274090626</v>
      </c>
      <c r="AD147" s="1480">
        <f t="shared" ca="1" si="80"/>
        <v>2.7331595267029405</v>
      </c>
      <c r="AE147" s="113">
        <f t="shared" ca="1" si="81"/>
        <v>1.0649999999999999</v>
      </c>
      <c r="AF147" s="1483">
        <f t="shared" ca="1" si="82"/>
        <v>8.0904789653515881</v>
      </c>
      <c r="AG147" s="334">
        <f ca="1">VLOOKUP($A147,Plant_Table,'Plant Operations'!$M$270)</f>
        <v>289336.32000000001</v>
      </c>
      <c r="AH147" s="1481">
        <f t="shared" ca="1" si="83"/>
        <v>2340.8694108722357</v>
      </c>
      <c r="AI147" s="1480">
        <f t="shared" ca="1" si="84"/>
        <v>2.7331595267029405</v>
      </c>
      <c r="AJ147" s="335">
        <f t="shared" ca="1" si="85"/>
        <v>856.47009916617219</v>
      </c>
      <c r="AK147" s="698" t="str">
        <f t="shared" ca="1" si="63"/>
        <v xml:space="preserve"> </v>
      </c>
      <c r="AM147" s="697">
        <f ca="1">IF($A147&gt;Endyr,0,VLOOKUP($A147,Tariff_Table,Tariff!$L$33))</f>
        <v>1.21</v>
      </c>
      <c r="AN147" s="1504">
        <f ca="1">VLOOKUP($A147,Curves_Table,Escalation!$Z$291)</f>
        <v>1.4400879746761228</v>
      </c>
      <c r="AO147" s="331">
        <f t="shared" ca="1" si="86"/>
        <v>1.7425064493581086</v>
      </c>
      <c r="AP147" s="331">
        <f ca="1">IF($A147&gt;Endyr,0,VLOOKUP($A147,Tariff_Table,Tariff!$M$33))</f>
        <v>0.25</v>
      </c>
      <c r="AQ147" s="331">
        <f t="shared" ca="1" si="87"/>
        <v>1.9925064493581086</v>
      </c>
      <c r="AR147" s="331">
        <f t="shared" ca="1" si="88"/>
        <v>1.46</v>
      </c>
      <c r="AS147" s="1508">
        <f t="shared" ca="1" si="89"/>
        <v>1.3647304447658279</v>
      </c>
    </row>
    <row r="148" spans="1:45">
      <c r="A148" s="672">
        <f t="shared" si="64"/>
        <v>41091</v>
      </c>
      <c r="C148" s="1484">
        <f ca="1">IF($A148&gt;Endyr,0,VLOOKUP($A148,Tariff_Table,Tariff!$G$33))</f>
        <v>7429.43</v>
      </c>
      <c r="D148" s="1480">
        <f ca="1">VLOOKUP($A148,Curves_Table,Escalation!$V$291)</f>
        <v>1.4818086105109716</v>
      </c>
      <c r="E148" s="1483">
        <f t="shared" ca="1" si="65"/>
        <v>11008.993345188528</v>
      </c>
      <c r="F148" s="1480">
        <f ca="1">IF(Assm!$L$74=0,VLOOKUP($A148,Curves_Table,Escalation!$D$291),VLOOKUP($A148,Curves_Table,Escalation!$E$291))</f>
        <v>2.7376710117738834</v>
      </c>
      <c r="G148" s="113">
        <f ca="1">IF($A148&lt;EE_Date,VLOOKUP($A148,Curves_Table,Escalation!$D$291),Exch)</f>
        <v>1.0649999999999999</v>
      </c>
      <c r="H148" s="1483">
        <f t="shared" ca="1" si="66"/>
        <v>28299.532347356082</v>
      </c>
      <c r="I148" s="330">
        <f ca="1">VLOOKUP($A148,Plant_Table,'Plant Operations'!$C$270)</f>
        <v>480</v>
      </c>
      <c r="J148" s="1481">
        <f t="shared" ca="1" si="67"/>
        <v>13583.775526730919</v>
      </c>
      <c r="K148" s="1480">
        <f t="shared" ca="1" si="68"/>
        <v>2.7376710117738834</v>
      </c>
      <c r="L148" s="384">
        <f t="shared" ca="1" si="69"/>
        <v>4961.7998175497587</v>
      </c>
      <c r="M148" s="692" t="str">
        <f t="shared" ca="1" si="60"/>
        <v xml:space="preserve"> </v>
      </c>
      <c r="O148" s="1482">
        <f ca="1">IF($A148&gt;Endyr,0,VLOOKUP($A148,Tariff_Table,Tariff!$H$33))</f>
        <v>6133.73</v>
      </c>
      <c r="P148" s="1480">
        <f t="shared" ca="1" si="70"/>
        <v>1.3647304447658279</v>
      </c>
      <c r="Q148" s="1481">
        <f t="shared" ca="1" si="71"/>
        <v>8370.8880709735004</v>
      </c>
      <c r="R148" s="1480">
        <f t="shared" ca="1" si="72"/>
        <v>2.7376710117738834</v>
      </c>
      <c r="S148" s="113">
        <f t="shared" ca="1" si="73"/>
        <v>1.0649999999999999</v>
      </c>
      <c r="T148" s="1481">
        <f t="shared" ca="1" si="74"/>
        <v>21518.063487988689</v>
      </c>
      <c r="U148" s="330">
        <f t="shared" ca="1" si="75"/>
        <v>480</v>
      </c>
      <c r="V148" s="1481">
        <f t="shared" ca="1" si="76"/>
        <v>10328.670474234572</v>
      </c>
      <c r="W148" s="1480">
        <f t="shared" ca="1" si="77"/>
        <v>2.7376710117738834</v>
      </c>
      <c r="X148" s="384">
        <f t="shared" ca="1" si="78"/>
        <v>3772.7946235373529</v>
      </c>
      <c r="Y148" s="692" t="str">
        <f t="shared" ca="1" si="61"/>
        <v xml:space="preserve"> </v>
      </c>
      <c r="AA148" s="1484">
        <f ca="1">IF($A148&gt;Endyr,0,VLOOKUP($A148,Tariff_Table,Tariff!$I$33))</f>
        <v>2.31</v>
      </c>
      <c r="AB148" s="1480">
        <f t="shared" ca="1" si="62"/>
        <v>1.3647304447658279</v>
      </c>
      <c r="AC148" s="1483">
        <f t="shared" ca="1" si="79"/>
        <v>3.1525273274090626</v>
      </c>
      <c r="AD148" s="1480">
        <f t="shared" ca="1" si="80"/>
        <v>2.7376710117738834</v>
      </c>
      <c r="AE148" s="113">
        <f t="shared" ca="1" si="81"/>
        <v>1.0649999999999999</v>
      </c>
      <c r="AF148" s="1483">
        <f t="shared" ca="1" si="82"/>
        <v>8.1038335005378261</v>
      </c>
      <c r="AG148" s="334">
        <f ca="1">VLOOKUP($A148,Plant_Table,'Plant Operations'!$M$270)</f>
        <v>298980.864</v>
      </c>
      <c r="AH148" s="1481">
        <f t="shared" ca="1" si="83"/>
        <v>2422.891141702944</v>
      </c>
      <c r="AI148" s="1480">
        <f t="shared" ca="1" si="84"/>
        <v>2.7376710117738834</v>
      </c>
      <c r="AJ148" s="335">
        <f t="shared" ca="1" si="85"/>
        <v>885.01910247171122</v>
      </c>
      <c r="AK148" s="698" t="str">
        <f t="shared" ca="1" si="63"/>
        <v xml:space="preserve"> </v>
      </c>
      <c r="AM148" s="697">
        <f ca="1">IF($A148&gt;Endyr,0,VLOOKUP($A148,Tariff_Table,Tariff!$L$33))</f>
        <v>1.21</v>
      </c>
      <c r="AN148" s="1504">
        <f ca="1">VLOOKUP($A148,Curves_Table,Escalation!$Z$291)</f>
        <v>1.4400879746761228</v>
      </c>
      <c r="AO148" s="331">
        <f t="shared" ca="1" si="86"/>
        <v>1.7425064493581086</v>
      </c>
      <c r="AP148" s="331">
        <f ca="1">IF($A148&gt;Endyr,0,VLOOKUP($A148,Tariff_Table,Tariff!$M$33))</f>
        <v>0.25</v>
      </c>
      <c r="AQ148" s="331">
        <f t="shared" ca="1" si="87"/>
        <v>1.9925064493581086</v>
      </c>
      <c r="AR148" s="331">
        <f t="shared" ca="1" si="88"/>
        <v>1.46</v>
      </c>
      <c r="AS148" s="1508">
        <f t="shared" ca="1" si="89"/>
        <v>1.3647304447658279</v>
      </c>
    </row>
    <row r="149" spans="1:45">
      <c r="A149" s="672">
        <f t="shared" si="64"/>
        <v>41122</v>
      </c>
      <c r="C149" s="1484">
        <f ca="1">IF($A149&gt;Endyr,0,VLOOKUP($A149,Tariff_Table,Tariff!$G$33))</f>
        <v>7429.43</v>
      </c>
      <c r="D149" s="1480">
        <f ca="1">VLOOKUP($A149,Curves_Table,Escalation!$V$291)</f>
        <v>1.4818086105109716</v>
      </c>
      <c r="E149" s="1483">
        <f t="shared" ca="1" si="65"/>
        <v>11008.993345188528</v>
      </c>
      <c r="F149" s="1480">
        <f ca="1">IF(Assm!$L$74=0,VLOOKUP($A149,Curves_Table,Escalation!$D$291),VLOOKUP($A149,Curves_Table,Escalation!$E$291))</f>
        <v>2.7421899437198975</v>
      </c>
      <c r="G149" s="113">
        <f ca="1">IF($A149&lt;EE_Date,VLOOKUP($A149,Curves_Table,Escalation!$D$291),Exch)</f>
        <v>1.0649999999999999</v>
      </c>
      <c r="H149" s="1483">
        <f t="shared" ca="1" si="66"/>
        <v>28346.244921742025</v>
      </c>
      <c r="I149" s="330">
        <f ca="1">VLOOKUP($A149,Plant_Table,'Plant Operations'!$C$270)</f>
        <v>480</v>
      </c>
      <c r="J149" s="1481">
        <f t="shared" ca="1" si="67"/>
        <v>13606.197562436173</v>
      </c>
      <c r="K149" s="1480">
        <f t="shared" ca="1" si="68"/>
        <v>2.7421899437198975</v>
      </c>
      <c r="L149" s="384">
        <f t="shared" ca="1" si="69"/>
        <v>4961.7998175497596</v>
      </c>
      <c r="M149" s="692" t="str">
        <f t="shared" ca="1" si="60"/>
        <v xml:space="preserve"> </v>
      </c>
      <c r="O149" s="1482">
        <f ca="1">IF($A149&gt;Endyr,0,VLOOKUP($A149,Tariff_Table,Tariff!$H$33))</f>
        <v>6133.73</v>
      </c>
      <c r="P149" s="1480">
        <f t="shared" ca="1" si="70"/>
        <v>1.3647304447658279</v>
      </c>
      <c r="Q149" s="1481">
        <f t="shared" ca="1" si="71"/>
        <v>8370.8880709735004</v>
      </c>
      <c r="R149" s="1480">
        <f t="shared" ca="1" si="72"/>
        <v>2.7421899437198975</v>
      </c>
      <c r="S149" s="113">
        <f t="shared" ca="1" si="73"/>
        <v>1.0649999999999999</v>
      </c>
      <c r="T149" s="1481">
        <f t="shared" ca="1" si="74"/>
        <v>21553.582242467968</v>
      </c>
      <c r="U149" s="330">
        <f t="shared" ca="1" si="75"/>
        <v>480</v>
      </c>
      <c r="V149" s="1481">
        <f t="shared" ca="1" si="76"/>
        <v>10345.719476384626</v>
      </c>
      <c r="W149" s="1480">
        <f t="shared" ca="1" si="77"/>
        <v>2.7421899437198975</v>
      </c>
      <c r="X149" s="384">
        <f t="shared" ca="1" si="78"/>
        <v>3772.7946235373529</v>
      </c>
      <c r="Y149" s="692" t="str">
        <f t="shared" ca="1" si="61"/>
        <v xml:space="preserve"> </v>
      </c>
      <c r="AA149" s="1484">
        <f ca="1">IF($A149&gt;Endyr,0,VLOOKUP($A149,Tariff_Table,Tariff!$I$33))</f>
        <v>2.31</v>
      </c>
      <c r="AB149" s="1480">
        <f t="shared" ca="1" si="62"/>
        <v>1.3647304447658279</v>
      </c>
      <c r="AC149" s="1483">
        <f t="shared" ca="1" si="79"/>
        <v>3.1525273274090626</v>
      </c>
      <c r="AD149" s="1480">
        <f t="shared" ca="1" si="80"/>
        <v>2.7421899437198975</v>
      </c>
      <c r="AE149" s="113">
        <f t="shared" ca="1" si="81"/>
        <v>1.0649999999999999</v>
      </c>
      <c r="AF149" s="1483">
        <f t="shared" ca="1" si="82"/>
        <v>8.1172100793645967</v>
      </c>
      <c r="AG149" s="334">
        <f ca="1">VLOOKUP($A149,Plant_Table,'Plant Operations'!$M$270)</f>
        <v>298980.864</v>
      </c>
      <c r="AH149" s="1481">
        <f t="shared" ca="1" si="83"/>
        <v>2426.8904827979354</v>
      </c>
      <c r="AI149" s="1480">
        <f t="shared" ca="1" si="84"/>
        <v>2.7421899437198975</v>
      </c>
      <c r="AJ149" s="335">
        <f t="shared" ca="1" si="85"/>
        <v>885.01910247171099</v>
      </c>
      <c r="AK149" s="698" t="str">
        <f t="shared" ca="1" si="63"/>
        <v xml:space="preserve"> </v>
      </c>
      <c r="AM149" s="697">
        <f ca="1">IF($A149&gt;Endyr,0,VLOOKUP($A149,Tariff_Table,Tariff!$L$33))</f>
        <v>1.21</v>
      </c>
      <c r="AN149" s="1504">
        <f ca="1">VLOOKUP($A149,Curves_Table,Escalation!$Z$291)</f>
        <v>1.4400879746761228</v>
      </c>
      <c r="AO149" s="331">
        <f t="shared" ca="1" si="86"/>
        <v>1.7425064493581086</v>
      </c>
      <c r="AP149" s="331">
        <f ca="1">IF($A149&gt;Endyr,0,VLOOKUP($A149,Tariff_Table,Tariff!$M$33))</f>
        <v>0.25</v>
      </c>
      <c r="AQ149" s="331">
        <f t="shared" ca="1" si="87"/>
        <v>1.9925064493581086</v>
      </c>
      <c r="AR149" s="331">
        <f t="shared" ca="1" si="88"/>
        <v>1.46</v>
      </c>
      <c r="AS149" s="1508">
        <f t="shared" ca="1" si="89"/>
        <v>1.3647304447658279</v>
      </c>
    </row>
    <row r="150" spans="1:45">
      <c r="A150" s="672">
        <f t="shared" si="64"/>
        <v>41153</v>
      </c>
      <c r="C150" s="1484">
        <f ca="1">IF($A150&gt;Endyr,0,VLOOKUP($A150,Tariff_Table,Tariff!$G$33))</f>
        <v>7429.43</v>
      </c>
      <c r="D150" s="1480">
        <f ca="1">VLOOKUP($A150,Curves_Table,Escalation!$V$291)</f>
        <v>1.4818086105109716</v>
      </c>
      <c r="E150" s="1483">
        <f t="shared" ca="1" si="65"/>
        <v>11008.993345188528</v>
      </c>
      <c r="F150" s="1480">
        <f ca="1">IF(Assm!$L$74=0,VLOOKUP($A150,Curves_Table,Escalation!$D$291),VLOOKUP($A150,Curves_Table,Escalation!$E$291))</f>
        <v>2.7467163348331547</v>
      </c>
      <c r="G150" s="113">
        <f ca="1">IF($A150&lt;EE_Date,VLOOKUP($A150,Curves_Table,Escalation!$D$291),Exch)</f>
        <v>1.0649999999999999</v>
      </c>
      <c r="H150" s="1483">
        <f t="shared" ca="1" si="66"/>
        <v>28393.034602158525</v>
      </c>
      <c r="I150" s="330">
        <f ca="1">VLOOKUP($A150,Plant_Table,'Plant Operations'!$C$270)</f>
        <v>480</v>
      </c>
      <c r="J150" s="1481">
        <f t="shared" ca="1" si="67"/>
        <v>13628.656609036092</v>
      </c>
      <c r="K150" s="1480">
        <f t="shared" ca="1" si="68"/>
        <v>2.7467163348331547</v>
      </c>
      <c r="L150" s="384">
        <f t="shared" ca="1" si="69"/>
        <v>4961.7998175497596</v>
      </c>
      <c r="M150" s="692" t="str">
        <f t="shared" ca="1" si="60"/>
        <v xml:space="preserve"> </v>
      </c>
      <c r="O150" s="1482">
        <f ca="1">IF($A150&gt;Endyr,0,VLOOKUP($A150,Tariff_Table,Tariff!$H$33))</f>
        <v>6133.73</v>
      </c>
      <c r="P150" s="1480">
        <f t="shared" ca="1" si="70"/>
        <v>1.3647304447658279</v>
      </c>
      <c r="Q150" s="1481">
        <f t="shared" ca="1" si="71"/>
        <v>8370.8880709735004</v>
      </c>
      <c r="R150" s="1480">
        <f t="shared" ca="1" si="72"/>
        <v>2.7467163348331547</v>
      </c>
      <c r="S150" s="113">
        <f t="shared" ca="1" si="73"/>
        <v>1.0649999999999999</v>
      </c>
      <c r="T150" s="1481">
        <f t="shared" ca="1" si="74"/>
        <v>21589.159625918226</v>
      </c>
      <c r="U150" s="330">
        <f t="shared" ca="1" si="75"/>
        <v>480</v>
      </c>
      <c r="V150" s="1481">
        <f t="shared" ca="1" si="76"/>
        <v>10362.796620440748</v>
      </c>
      <c r="W150" s="1480">
        <f t="shared" ca="1" si="77"/>
        <v>2.7467163348331547</v>
      </c>
      <c r="X150" s="384">
        <f t="shared" ca="1" si="78"/>
        <v>3772.794623537352</v>
      </c>
      <c r="Y150" s="692" t="str">
        <f t="shared" ca="1" si="61"/>
        <v xml:space="preserve"> </v>
      </c>
      <c r="AA150" s="1484">
        <f ca="1">IF($A150&gt;Endyr,0,VLOOKUP($A150,Tariff_Table,Tariff!$I$33))</f>
        <v>2.31</v>
      </c>
      <c r="AB150" s="1480">
        <f t="shared" ca="1" si="62"/>
        <v>1.3647304447658279</v>
      </c>
      <c r="AC150" s="1483">
        <f t="shared" ca="1" si="79"/>
        <v>3.1525273274090626</v>
      </c>
      <c r="AD150" s="1480">
        <f t="shared" ca="1" si="80"/>
        <v>2.7467163348331547</v>
      </c>
      <c r="AE150" s="113">
        <f t="shared" ca="1" si="81"/>
        <v>1.0649999999999999</v>
      </c>
      <c r="AF150" s="1483">
        <f t="shared" ca="1" si="82"/>
        <v>8.1306087382181982</v>
      </c>
      <c r="AG150" s="334">
        <f ca="1">VLOOKUP($A150,Plant_Table,'Plant Operations'!$M$270)</f>
        <v>289336.32000000001</v>
      </c>
      <c r="AH150" s="1481">
        <f t="shared" ca="1" si="83"/>
        <v>2352.4804116758969</v>
      </c>
      <c r="AI150" s="1480">
        <f t="shared" ca="1" si="84"/>
        <v>2.7467163348331547</v>
      </c>
      <c r="AJ150" s="335">
        <f t="shared" ca="1" si="85"/>
        <v>856.47009916617219</v>
      </c>
      <c r="AK150" s="698" t="str">
        <f t="shared" ca="1" si="63"/>
        <v xml:space="preserve"> </v>
      </c>
      <c r="AM150" s="697">
        <f ca="1">IF($A150&gt;Endyr,0,VLOOKUP($A150,Tariff_Table,Tariff!$L$33))</f>
        <v>1.21</v>
      </c>
      <c r="AN150" s="1504">
        <f ca="1">VLOOKUP($A150,Curves_Table,Escalation!$Z$291)</f>
        <v>1.4400879746761228</v>
      </c>
      <c r="AO150" s="331">
        <f t="shared" ca="1" si="86"/>
        <v>1.7425064493581086</v>
      </c>
      <c r="AP150" s="331">
        <f ca="1">IF($A150&gt;Endyr,0,VLOOKUP($A150,Tariff_Table,Tariff!$M$33))</f>
        <v>0.25</v>
      </c>
      <c r="AQ150" s="331">
        <f t="shared" ca="1" si="87"/>
        <v>1.9925064493581086</v>
      </c>
      <c r="AR150" s="331">
        <f t="shared" ca="1" si="88"/>
        <v>1.46</v>
      </c>
      <c r="AS150" s="1508">
        <f t="shared" ca="1" si="89"/>
        <v>1.3647304447658279</v>
      </c>
    </row>
    <row r="151" spans="1:45">
      <c r="A151" s="672">
        <f t="shared" si="64"/>
        <v>41183</v>
      </c>
      <c r="C151" s="1484">
        <f ca="1">IF($A151&gt;Endyr,0,VLOOKUP($A151,Tariff_Table,Tariff!$G$33))</f>
        <v>7429.43</v>
      </c>
      <c r="D151" s="1480">
        <f ca="1">VLOOKUP($A151,Curves_Table,Escalation!$V$291)</f>
        <v>1.4818086105109716</v>
      </c>
      <c r="E151" s="1483">
        <f t="shared" ca="1" si="65"/>
        <v>11008.993345188528</v>
      </c>
      <c r="F151" s="1480">
        <f ca="1">IF(Assm!$L$74=0,VLOOKUP($A151,Curves_Table,Escalation!$D$291),VLOOKUP($A151,Curves_Table,Escalation!$E$291))</f>
        <v>2.7512501974261161</v>
      </c>
      <c r="G151" s="113">
        <f ca="1">IF($A151&lt;EE_Date,VLOOKUP($A151,Curves_Table,Escalation!$D$291),Exch)</f>
        <v>1.0649999999999999</v>
      </c>
      <c r="H151" s="1483">
        <f t="shared" ca="1" si="66"/>
        <v>28439.901515880505</v>
      </c>
      <c r="I151" s="330">
        <f ca="1">VLOOKUP($A151,Plant_Table,'Plant Operations'!$C$270)</f>
        <v>480</v>
      </c>
      <c r="J151" s="1481">
        <f t="shared" ca="1" si="67"/>
        <v>13651.152727622642</v>
      </c>
      <c r="K151" s="1480">
        <f t="shared" ca="1" si="68"/>
        <v>2.7512501974261161</v>
      </c>
      <c r="L151" s="384">
        <f t="shared" ca="1" si="69"/>
        <v>4961.7998175497596</v>
      </c>
      <c r="M151" s="692" t="str">
        <f t="shared" ca="1" si="60"/>
        <v xml:space="preserve"> </v>
      </c>
      <c r="O151" s="1482">
        <f ca="1">IF($A151&gt;Endyr,0,VLOOKUP($A151,Tariff_Table,Tariff!$H$33))</f>
        <v>6133.73</v>
      </c>
      <c r="P151" s="1480">
        <f t="shared" ca="1" si="70"/>
        <v>1.3647304447658279</v>
      </c>
      <c r="Q151" s="1481">
        <f t="shared" ca="1" si="71"/>
        <v>8370.8880709735004</v>
      </c>
      <c r="R151" s="1480">
        <f t="shared" ca="1" si="72"/>
        <v>2.7512501974261161</v>
      </c>
      <c r="S151" s="113">
        <f t="shared" ca="1" si="73"/>
        <v>1.0649999999999999</v>
      </c>
      <c r="T151" s="1481">
        <f t="shared" ca="1" si="74"/>
        <v>21624.795735115273</v>
      </c>
      <c r="U151" s="330">
        <f t="shared" ca="1" si="75"/>
        <v>480</v>
      </c>
      <c r="V151" s="1481">
        <f t="shared" ca="1" si="76"/>
        <v>10379.901952855331</v>
      </c>
      <c r="W151" s="1480">
        <f t="shared" ca="1" si="77"/>
        <v>2.7512501974261161</v>
      </c>
      <c r="X151" s="384">
        <f t="shared" ca="1" si="78"/>
        <v>3772.7946235373524</v>
      </c>
      <c r="Y151" s="692" t="str">
        <f t="shared" ca="1" si="61"/>
        <v xml:space="preserve"> </v>
      </c>
      <c r="AA151" s="1484">
        <f ca="1">IF($A151&gt;Endyr,0,VLOOKUP($A151,Tariff_Table,Tariff!$I$33))</f>
        <v>2.31</v>
      </c>
      <c r="AB151" s="1480">
        <f t="shared" ca="1" si="62"/>
        <v>1.3647304447658279</v>
      </c>
      <c r="AC151" s="1483">
        <f t="shared" ca="1" si="79"/>
        <v>3.1525273274090626</v>
      </c>
      <c r="AD151" s="1480">
        <f t="shared" ca="1" si="80"/>
        <v>2.7512501974261161</v>
      </c>
      <c r="AE151" s="113">
        <f t="shared" ca="1" si="81"/>
        <v>1.0649999999999999</v>
      </c>
      <c r="AF151" s="1483">
        <f t="shared" ca="1" si="82"/>
        <v>8.1440295135449858</v>
      </c>
      <c r="AG151" s="334">
        <f ca="1">VLOOKUP($A151,Plant_Table,'Plant Operations'!$M$270)</f>
        <v>298980.864</v>
      </c>
      <c r="AH151" s="1481">
        <f t="shared" ca="1" si="83"/>
        <v>2434.9089804011796</v>
      </c>
      <c r="AI151" s="1480">
        <f t="shared" ca="1" si="84"/>
        <v>2.7512501974261161</v>
      </c>
      <c r="AJ151" s="335">
        <f t="shared" ca="1" si="85"/>
        <v>885.01910247171122</v>
      </c>
      <c r="AK151" s="698" t="str">
        <f t="shared" ca="1" si="63"/>
        <v xml:space="preserve"> </v>
      </c>
      <c r="AM151" s="697">
        <f ca="1">IF($A151&gt;Endyr,0,VLOOKUP($A151,Tariff_Table,Tariff!$L$33))</f>
        <v>1.21</v>
      </c>
      <c r="AN151" s="1504">
        <f ca="1">VLOOKUP($A151,Curves_Table,Escalation!$Z$291)</f>
        <v>1.4400879746761228</v>
      </c>
      <c r="AO151" s="331">
        <f t="shared" ca="1" si="86"/>
        <v>1.7425064493581086</v>
      </c>
      <c r="AP151" s="331">
        <f ca="1">IF($A151&gt;Endyr,0,VLOOKUP($A151,Tariff_Table,Tariff!$M$33))</f>
        <v>0.25</v>
      </c>
      <c r="AQ151" s="331">
        <f t="shared" ca="1" si="87"/>
        <v>1.9925064493581086</v>
      </c>
      <c r="AR151" s="331">
        <f t="shared" ca="1" si="88"/>
        <v>1.46</v>
      </c>
      <c r="AS151" s="1508">
        <f t="shared" ca="1" si="89"/>
        <v>1.3647304447658279</v>
      </c>
    </row>
    <row r="152" spans="1:45">
      <c r="A152" s="672">
        <f t="shared" si="64"/>
        <v>41214</v>
      </c>
      <c r="C152" s="1484">
        <f ca="1">IF($A152&gt;Endyr,0,VLOOKUP($A152,Tariff_Table,Tariff!$G$33))</f>
        <v>7429.43</v>
      </c>
      <c r="D152" s="1480">
        <f ca="1">VLOOKUP($A152,Curves_Table,Escalation!$V$291)</f>
        <v>1.4818086105109716</v>
      </c>
      <c r="E152" s="1483">
        <f t="shared" ca="1" si="65"/>
        <v>11008.993345188528</v>
      </c>
      <c r="F152" s="1480">
        <f ca="1">IF(Assm!$L$74=0,VLOOKUP($A152,Curves_Table,Escalation!$D$291),VLOOKUP($A152,Curves_Table,Escalation!$E$291))</f>
        <v>2.7557915438315672</v>
      </c>
      <c r="G152" s="113">
        <f ca="1">IF($A152&lt;EE_Date,VLOOKUP($A152,Curves_Table,Escalation!$D$291),Exch)</f>
        <v>1.0649999999999999</v>
      </c>
      <c r="H152" s="1483">
        <f t="shared" ca="1" si="66"/>
        <v>28486.845790392999</v>
      </c>
      <c r="I152" s="330">
        <f ca="1">VLOOKUP($A152,Plant_Table,'Plant Operations'!$C$270)</f>
        <v>480</v>
      </c>
      <c r="J152" s="1481">
        <f t="shared" ca="1" si="67"/>
        <v>13673.68597938864</v>
      </c>
      <c r="K152" s="1480">
        <f t="shared" ca="1" si="68"/>
        <v>2.7557915438315672</v>
      </c>
      <c r="L152" s="384">
        <f t="shared" ca="1" si="69"/>
        <v>4961.7998175497596</v>
      </c>
      <c r="M152" s="692" t="str">
        <f t="shared" ca="1" si="60"/>
        <v xml:space="preserve"> </v>
      </c>
      <c r="O152" s="1482">
        <f ca="1">IF($A152&gt;Endyr,0,VLOOKUP($A152,Tariff_Table,Tariff!$H$33))</f>
        <v>6133.73</v>
      </c>
      <c r="P152" s="1480">
        <f t="shared" ca="1" si="70"/>
        <v>1.3647304447658279</v>
      </c>
      <c r="Q152" s="1481">
        <f t="shared" ca="1" si="71"/>
        <v>8370.8880709735004</v>
      </c>
      <c r="R152" s="1480">
        <f t="shared" ca="1" si="72"/>
        <v>2.7557915438315672</v>
      </c>
      <c r="S152" s="113">
        <f t="shared" ca="1" si="73"/>
        <v>1.0649999999999999</v>
      </c>
      <c r="T152" s="1481">
        <f t="shared" ca="1" si="74"/>
        <v>21660.490666994658</v>
      </c>
      <c r="U152" s="330">
        <f t="shared" ca="1" si="75"/>
        <v>480</v>
      </c>
      <c r="V152" s="1481">
        <f t="shared" ca="1" si="76"/>
        <v>10397.035520157437</v>
      </c>
      <c r="W152" s="1480">
        <f t="shared" ca="1" si="77"/>
        <v>2.7557915438315672</v>
      </c>
      <c r="X152" s="384">
        <f t="shared" ca="1" si="78"/>
        <v>3772.7946235373524</v>
      </c>
      <c r="Y152" s="692" t="str">
        <f t="shared" ca="1" si="61"/>
        <v xml:space="preserve"> </v>
      </c>
      <c r="AA152" s="1484">
        <f ca="1">IF($A152&gt;Endyr,0,VLOOKUP($A152,Tariff_Table,Tariff!$I$33))</f>
        <v>2.31</v>
      </c>
      <c r="AB152" s="1480">
        <f t="shared" ca="1" si="62"/>
        <v>1.3647304447658279</v>
      </c>
      <c r="AC152" s="1483">
        <f t="shared" ca="1" si="79"/>
        <v>3.1525273274090626</v>
      </c>
      <c r="AD152" s="1480">
        <f t="shared" ca="1" si="80"/>
        <v>2.7557915438315672</v>
      </c>
      <c r="AE152" s="113">
        <f t="shared" ca="1" si="81"/>
        <v>1.0649999999999999</v>
      </c>
      <c r="AF152" s="1483">
        <f t="shared" ca="1" si="82"/>
        <v>8.1574724418514801</v>
      </c>
      <c r="AG152" s="334">
        <f ca="1">VLOOKUP($A152,Plant_Table,'Plant Operations'!$M$270)</f>
        <v>289336.32000000001</v>
      </c>
      <c r="AH152" s="1481">
        <f t="shared" ca="1" si="83"/>
        <v>2360.2530568267216</v>
      </c>
      <c r="AI152" s="1480">
        <f t="shared" ca="1" si="84"/>
        <v>2.7557915438315672</v>
      </c>
      <c r="AJ152" s="335">
        <f t="shared" ca="1" si="85"/>
        <v>856.47009916617242</v>
      </c>
      <c r="AK152" s="698" t="str">
        <f t="shared" ca="1" si="63"/>
        <v xml:space="preserve"> </v>
      </c>
      <c r="AM152" s="697">
        <f ca="1">IF($A152&gt;Endyr,0,VLOOKUP($A152,Tariff_Table,Tariff!$L$33))</f>
        <v>1.21</v>
      </c>
      <c r="AN152" s="1504">
        <f ca="1">VLOOKUP($A152,Curves_Table,Escalation!$Z$291)</f>
        <v>1.4400879746761228</v>
      </c>
      <c r="AO152" s="331">
        <f t="shared" ca="1" si="86"/>
        <v>1.7425064493581086</v>
      </c>
      <c r="AP152" s="331">
        <f ca="1">IF($A152&gt;Endyr,0,VLOOKUP($A152,Tariff_Table,Tariff!$M$33))</f>
        <v>0.25</v>
      </c>
      <c r="AQ152" s="331">
        <f t="shared" ca="1" si="87"/>
        <v>1.9925064493581086</v>
      </c>
      <c r="AR152" s="331">
        <f t="shared" ca="1" si="88"/>
        <v>1.46</v>
      </c>
      <c r="AS152" s="1508">
        <f t="shared" ca="1" si="89"/>
        <v>1.3647304447658279</v>
      </c>
    </row>
    <row r="153" spans="1:45">
      <c r="A153" s="672">
        <f t="shared" si="64"/>
        <v>41244</v>
      </c>
      <c r="C153" s="1484">
        <f ca="1">IF($A153&gt;Endyr,0,VLOOKUP($A153,Tariff_Table,Tariff!$G$33))</f>
        <v>7429.43</v>
      </c>
      <c r="D153" s="1480">
        <f ca="1">VLOOKUP($A153,Curves_Table,Escalation!$V$291)</f>
        <v>1.4818086105109716</v>
      </c>
      <c r="E153" s="1483">
        <f t="shared" ca="1" si="65"/>
        <v>11008.993345188528</v>
      </c>
      <c r="F153" s="1480">
        <f ca="1">IF(Assm!$L$74=0,VLOOKUP($A153,Curves_Table,Escalation!$D$291),VLOOKUP($A153,Curves_Table,Escalation!$E$291))</f>
        <v>2.7603403864026497</v>
      </c>
      <c r="G153" s="113">
        <f ca="1">IF($A153&lt;EE_Date,VLOOKUP($A153,Curves_Table,Escalation!$D$291),Exch)</f>
        <v>1.0649999999999999</v>
      </c>
      <c r="H153" s="1483">
        <f t="shared" ca="1" si="66"/>
        <v>28533.867553391457</v>
      </c>
      <c r="I153" s="330">
        <f ca="1">VLOOKUP($A153,Plant_Table,'Plant Operations'!$C$270)</f>
        <v>480</v>
      </c>
      <c r="J153" s="1481">
        <f t="shared" ca="1" si="67"/>
        <v>13696.2564256279</v>
      </c>
      <c r="K153" s="1480">
        <f t="shared" ca="1" si="68"/>
        <v>2.7603403864026497</v>
      </c>
      <c r="L153" s="384">
        <f t="shared" ca="1" si="69"/>
        <v>4961.7998175497596</v>
      </c>
      <c r="M153" s="692">
        <f t="shared" ca="1" si="60"/>
        <v>59030.465450098767</v>
      </c>
      <c r="O153" s="1482">
        <f ca="1">IF($A153&gt;Endyr,0,VLOOKUP($A153,Tariff_Table,Tariff!$H$33))</f>
        <v>6133.73</v>
      </c>
      <c r="P153" s="1480">
        <f t="shared" ca="1" si="70"/>
        <v>1.3647304447658279</v>
      </c>
      <c r="Q153" s="1481">
        <f t="shared" ca="1" si="71"/>
        <v>8370.8880709735004</v>
      </c>
      <c r="R153" s="1480">
        <f t="shared" ca="1" si="72"/>
        <v>2.7603403864026497</v>
      </c>
      <c r="S153" s="113">
        <f t="shared" ca="1" si="73"/>
        <v>1.0649999999999999</v>
      </c>
      <c r="T153" s="1481">
        <f t="shared" ca="1" si="74"/>
        <v>21696.244518651947</v>
      </c>
      <c r="U153" s="330">
        <f t="shared" ca="1" si="75"/>
        <v>480</v>
      </c>
      <c r="V153" s="1481">
        <f t="shared" ca="1" si="76"/>
        <v>10414.197368952933</v>
      </c>
      <c r="W153" s="1480">
        <f t="shared" ca="1" si="77"/>
        <v>2.7603403864026497</v>
      </c>
      <c r="X153" s="384">
        <f t="shared" ca="1" si="78"/>
        <v>3772.794623537352</v>
      </c>
      <c r="Y153" s="692">
        <f t="shared" ca="1" si="61"/>
        <v>44910.918981984752</v>
      </c>
      <c r="AA153" s="1484">
        <f ca="1">IF($A153&gt;Endyr,0,VLOOKUP($A153,Tariff_Table,Tariff!$I$33))</f>
        <v>2.31</v>
      </c>
      <c r="AB153" s="1480">
        <f t="shared" ca="1" si="62"/>
        <v>1.3647304447658279</v>
      </c>
      <c r="AC153" s="1483">
        <f t="shared" ca="1" si="79"/>
        <v>3.1525273274090626</v>
      </c>
      <c r="AD153" s="1480">
        <f t="shared" ca="1" si="80"/>
        <v>2.7603403864026497</v>
      </c>
      <c r="AE153" s="113">
        <f t="shared" ca="1" si="81"/>
        <v>1.0649999999999999</v>
      </c>
      <c r="AF153" s="1483">
        <f t="shared" ca="1" si="82"/>
        <v>8.1709375597044556</v>
      </c>
      <c r="AG153" s="334">
        <f ca="1">VLOOKUP($A153,Plant_Table,'Plant Operations'!$M$270)</f>
        <v>298980.864</v>
      </c>
      <c r="AH153" s="1481">
        <f t="shared" ca="1" si="83"/>
        <v>2442.9539712904898</v>
      </c>
      <c r="AI153" s="1480">
        <f t="shared" ca="1" si="84"/>
        <v>2.7603403864026497</v>
      </c>
      <c r="AJ153" s="335">
        <f t="shared" ca="1" si="85"/>
        <v>885.01910247171134</v>
      </c>
      <c r="AK153" s="698">
        <f t="shared" ca="1" si="63"/>
        <v>10367.171812323919</v>
      </c>
      <c r="AM153" s="697">
        <f ca="1">IF($A153&gt;Endyr,0,VLOOKUP($A153,Tariff_Table,Tariff!$L$33))</f>
        <v>1.21</v>
      </c>
      <c r="AN153" s="1504">
        <f ca="1">VLOOKUP($A153,Curves_Table,Escalation!$Z$291)</f>
        <v>1.4400879746761228</v>
      </c>
      <c r="AO153" s="331">
        <f t="shared" ca="1" si="86"/>
        <v>1.7425064493581086</v>
      </c>
      <c r="AP153" s="331">
        <f ca="1">IF($A153&gt;Endyr,0,VLOOKUP($A153,Tariff_Table,Tariff!$M$33))</f>
        <v>0.25</v>
      </c>
      <c r="AQ153" s="331">
        <f t="shared" ca="1" si="87"/>
        <v>1.9925064493581086</v>
      </c>
      <c r="AR153" s="331">
        <f t="shared" ca="1" si="88"/>
        <v>1.46</v>
      </c>
      <c r="AS153" s="1508">
        <f t="shared" ca="1" si="89"/>
        <v>1.3647304447658279</v>
      </c>
    </row>
    <row r="154" spans="1:45">
      <c r="A154" s="672">
        <f t="shared" si="64"/>
        <v>41275</v>
      </c>
      <c r="C154" s="1484">
        <f ca="1">IF($A154&gt;Endyr,0,VLOOKUP($A154,Tariff_Table,Tariff!$G$33))</f>
        <v>7429.43</v>
      </c>
      <c r="D154" s="1480">
        <f ca="1">VLOOKUP($A154,Curves_Table,Escalation!$V$291)</f>
        <v>1.4818086105109716</v>
      </c>
      <c r="E154" s="1483">
        <f t="shared" ca="1" si="65"/>
        <v>11008.993345188528</v>
      </c>
      <c r="F154" s="1480">
        <f ca="1">IF(Assm!$L$74=0,VLOOKUP($A154,Curves_Table,Escalation!$D$291),VLOOKUP($A154,Curves_Table,Escalation!$E$291))</f>
        <v>2.7649282340797861</v>
      </c>
      <c r="G154" s="113">
        <f ca="1">IF($A154&lt;EE_Date,VLOOKUP($A154,Curves_Table,Escalation!$D$291),Exch)</f>
        <v>1.0649999999999999</v>
      </c>
      <c r="H154" s="1483">
        <f t="shared" ca="1" si="66"/>
        <v>28581.292515406793</v>
      </c>
      <c r="I154" s="330">
        <f ca="1">VLOOKUP($A154,Plant_Table,'Plant Operations'!$C$270)</f>
        <v>480</v>
      </c>
      <c r="J154" s="1481">
        <f t="shared" ca="1" si="67"/>
        <v>13719.020407395261</v>
      </c>
      <c r="K154" s="1480">
        <f t="shared" ca="1" si="68"/>
        <v>2.7649282340797861</v>
      </c>
      <c r="L154" s="384">
        <f t="shared" ca="1" si="69"/>
        <v>4961.7998175497596</v>
      </c>
      <c r="M154" s="692" t="str">
        <f t="shared" ca="1" si="60"/>
        <v xml:space="preserve"> </v>
      </c>
      <c r="O154" s="1482">
        <f ca="1">IF($A154&gt;Endyr,0,VLOOKUP($A154,Tariff_Table,Tariff!$H$33))</f>
        <v>6133.73</v>
      </c>
      <c r="P154" s="1480">
        <f t="shared" ca="1" si="70"/>
        <v>1.3647304447658279</v>
      </c>
      <c r="Q154" s="1481">
        <f t="shared" ca="1" si="71"/>
        <v>8370.8880709735004</v>
      </c>
      <c r="R154" s="1480">
        <f t="shared" ca="1" si="72"/>
        <v>2.7649282340797861</v>
      </c>
      <c r="S154" s="113">
        <f t="shared" ca="1" si="73"/>
        <v>1.0649999999999999</v>
      </c>
      <c r="T154" s="1481">
        <f t="shared" ca="1" si="74"/>
        <v>21732.304950005924</v>
      </c>
      <c r="U154" s="330">
        <f t="shared" ca="1" si="75"/>
        <v>480</v>
      </c>
      <c r="V154" s="1481">
        <f t="shared" ca="1" si="76"/>
        <v>10431.506376002844</v>
      </c>
      <c r="W154" s="1480">
        <f t="shared" ca="1" si="77"/>
        <v>2.7649282340797861</v>
      </c>
      <c r="X154" s="384">
        <f t="shared" ca="1" si="78"/>
        <v>3772.7946235373529</v>
      </c>
      <c r="Y154" s="692" t="str">
        <f t="shared" ca="1" si="61"/>
        <v xml:space="preserve"> </v>
      </c>
      <c r="AA154" s="1484">
        <f ca="1">IF($A154&gt;Endyr,0,VLOOKUP($A154,Tariff_Table,Tariff!$I$33))</f>
        <v>2.31</v>
      </c>
      <c r="AB154" s="1480">
        <f t="shared" ca="1" si="62"/>
        <v>1.3647304447658279</v>
      </c>
      <c r="AC154" s="1483">
        <f t="shared" ca="1" si="79"/>
        <v>3.1525273274090626</v>
      </c>
      <c r="AD154" s="1480">
        <f t="shared" ca="1" si="80"/>
        <v>2.7649282340797861</v>
      </c>
      <c r="AE154" s="113">
        <f t="shared" ca="1" si="81"/>
        <v>1.0649999999999999</v>
      </c>
      <c r="AF154" s="1483">
        <f t="shared" ca="1" si="82"/>
        <v>8.1845181373346545</v>
      </c>
      <c r="AG154" s="334">
        <f ca="1">VLOOKUP($A154,Plant_Table,'Plant Operations'!$M$270)</f>
        <v>298980.864</v>
      </c>
      <c r="AH154" s="1481">
        <f t="shared" ca="1" si="83"/>
        <v>2447.0143041239858</v>
      </c>
      <c r="AI154" s="1480">
        <f t="shared" ca="1" si="84"/>
        <v>2.7649282340797861</v>
      </c>
      <c r="AJ154" s="335">
        <f t="shared" ca="1" si="85"/>
        <v>885.01910247171122</v>
      </c>
      <c r="AK154" s="698" t="str">
        <f t="shared" ca="1" si="63"/>
        <v xml:space="preserve"> </v>
      </c>
      <c r="AM154" s="697">
        <f ca="1">IF($A154&gt;Endyr,0,VLOOKUP($A154,Tariff_Table,Tariff!$L$33))</f>
        <v>1.21</v>
      </c>
      <c r="AN154" s="1504">
        <f ca="1">VLOOKUP($A154,Curves_Table,Escalation!$Z$291)</f>
        <v>1.4400879746761228</v>
      </c>
      <c r="AO154" s="331">
        <f t="shared" ca="1" si="86"/>
        <v>1.7425064493581086</v>
      </c>
      <c r="AP154" s="331">
        <f ca="1">IF($A154&gt;Endyr,0,VLOOKUP($A154,Tariff_Table,Tariff!$M$33))</f>
        <v>0.25</v>
      </c>
      <c r="AQ154" s="331">
        <f t="shared" ca="1" si="87"/>
        <v>1.9925064493581086</v>
      </c>
      <c r="AR154" s="331">
        <f t="shared" ca="1" si="88"/>
        <v>1.46</v>
      </c>
      <c r="AS154" s="1508">
        <f t="shared" ca="1" si="89"/>
        <v>1.3647304447658279</v>
      </c>
    </row>
    <row r="155" spans="1:45">
      <c r="A155" s="672">
        <f t="shared" si="64"/>
        <v>41306</v>
      </c>
      <c r="C155" s="1484">
        <f ca="1">IF($A155&gt;Endyr,0,VLOOKUP($A155,Tariff_Table,Tariff!$G$33))</f>
        <v>7429.43</v>
      </c>
      <c r="D155" s="1480">
        <f ca="1">VLOOKUP($A155,Curves_Table,Escalation!$V$291)</f>
        <v>1.4818086105109716</v>
      </c>
      <c r="E155" s="1483">
        <f t="shared" ca="1" si="65"/>
        <v>11008.993345188528</v>
      </c>
      <c r="F155" s="1480">
        <f ca="1">IF(Assm!$L$74=0,VLOOKUP($A155,Curves_Table,Escalation!$D$291),VLOOKUP($A155,Curves_Table,Escalation!$E$291))</f>
        <v>2.7695237070289402</v>
      </c>
      <c r="G155" s="113">
        <f ca="1">IF($A155&lt;EE_Date,VLOOKUP($A155,Curves_Table,Escalation!$D$291),Exch)</f>
        <v>1.0649999999999999</v>
      </c>
      <c r="H155" s="1483">
        <f t="shared" ca="1" si="66"/>
        <v>28628.796300491518</v>
      </c>
      <c r="I155" s="330">
        <f ca="1">VLOOKUP($A155,Plant_Table,'Plant Operations'!$C$270)</f>
        <v>480</v>
      </c>
      <c r="J155" s="1481">
        <f t="shared" ca="1" si="67"/>
        <v>13741.82222423593</v>
      </c>
      <c r="K155" s="1480">
        <f t="shared" ca="1" si="68"/>
        <v>2.7695237070289402</v>
      </c>
      <c r="L155" s="384">
        <f t="shared" ca="1" si="69"/>
        <v>4961.7998175497596</v>
      </c>
      <c r="M155" s="692" t="str">
        <f t="shared" ca="1" si="60"/>
        <v xml:space="preserve"> </v>
      </c>
      <c r="O155" s="1482">
        <f ca="1">IF($A155&gt;Endyr,0,VLOOKUP($A155,Tariff_Table,Tariff!$H$33))</f>
        <v>6133.73</v>
      </c>
      <c r="P155" s="1480">
        <f t="shared" ca="1" si="70"/>
        <v>1.3647304447658279</v>
      </c>
      <c r="Q155" s="1481">
        <f t="shared" ca="1" si="71"/>
        <v>8370.8880709735004</v>
      </c>
      <c r="R155" s="1480">
        <f t="shared" ca="1" si="72"/>
        <v>2.7695237070289402</v>
      </c>
      <c r="S155" s="113">
        <f t="shared" ca="1" si="73"/>
        <v>1.0649999999999999</v>
      </c>
      <c r="T155" s="1481">
        <f t="shared" ca="1" si="74"/>
        <v>21768.425315912551</v>
      </c>
      <c r="U155" s="330">
        <f t="shared" ca="1" si="75"/>
        <v>480</v>
      </c>
      <c r="V155" s="1481">
        <f t="shared" ca="1" si="76"/>
        <v>10448.844151638024</v>
      </c>
      <c r="W155" s="1480">
        <f t="shared" ca="1" si="77"/>
        <v>2.7695237070289402</v>
      </c>
      <c r="X155" s="384">
        <f t="shared" ca="1" si="78"/>
        <v>3772.7946235373529</v>
      </c>
      <c r="Y155" s="692" t="str">
        <f t="shared" ca="1" si="61"/>
        <v xml:space="preserve"> </v>
      </c>
      <c r="AA155" s="1484">
        <f ca="1">IF($A155&gt;Endyr,0,VLOOKUP($A155,Tariff_Table,Tariff!$I$33))</f>
        <v>2.31</v>
      </c>
      <c r="AB155" s="1480">
        <f t="shared" ca="1" si="62"/>
        <v>1.3647304447658279</v>
      </c>
      <c r="AC155" s="1483">
        <f t="shared" ca="1" si="79"/>
        <v>3.1525273274090626</v>
      </c>
      <c r="AD155" s="1480">
        <f t="shared" ca="1" si="80"/>
        <v>2.7695237070289402</v>
      </c>
      <c r="AE155" s="113">
        <f t="shared" ca="1" si="81"/>
        <v>1.0649999999999999</v>
      </c>
      <c r="AF155" s="1483">
        <f t="shared" ca="1" si="82"/>
        <v>8.1981212866816762</v>
      </c>
      <c r="AG155" s="334">
        <f ca="1">VLOOKUP($A155,Plant_Table,'Plant Operations'!$M$270)</f>
        <v>270047.23200000002</v>
      </c>
      <c r="AH155" s="1481">
        <f t="shared" ca="1" si="83"/>
        <v>2213.8799610686651</v>
      </c>
      <c r="AI155" s="1480">
        <f t="shared" ca="1" si="84"/>
        <v>2.7695237070289402</v>
      </c>
      <c r="AJ155" s="335">
        <f t="shared" ca="1" si="85"/>
        <v>799.37209255509401</v>
      </c>
      <c r="AK155" s="698" t="str">
        <f t="shared" ca="1" si="63"/>
        <v xml:space="preserve"> </v>
      </c>
      <c r="AM155" s="697">
        <f ca="1">IF($A155&gt;Endyr,0,VLOOKUP($A155,Tariff_Table,Tariff!$L$33))</f>
        <v>1.21</v>
      </c>
      <c r="AN155" s="1504">
        <f ca="1">VLOOKUP($A155,Curves_Table,Escalation!$Z$291)</f>
        <v>1.4400879746761228</v>
      </c>
      <c r="AO155" s="331">
        <f t="shared" ca="1" si="86"/>
        <v>1.7425064493581086</v>
      </c>
      <c r="AP155" s="331">
        <f ca="1">IF($A155&gt;Endyr,0,VLOOKUP($A155,Tariff_Table,Tariff!$M$33))</f>
        <v>0.25</v>
      </c>
      <c r="AQ155" s="331">
        <f t="shared" ca="1" si="87"/>
        <v>1.9925064493581086</v>
      </c>
      <c r="AR155" s="331">
        <f t="shared" ca="1" si="88"/>
        <v>1.46</v>
      </c>
      <c r="AS155" s="1508">
        <f t="shared" ca="1" si="89"/>
        <v>1.3647304447658279</v>
      </c>
    </row>
    <row r="156" spans="1:45">
      <c r="A156" s="672">
        <f t="shared" si="64"/>
        <v>41334</v>
      </c>
      <c r="C156" s="1484">
        <f ca="1">IF($A156&gt;Endyr,0,VLOOKUP($A156,Tariff_Table,Tariff!$G$33))</f>
        <v>7429.43</v>
      </c>
      <c r="D156" s="1480">
        <f ca="1">VLOOKUP($A156,Curves_Table,Escalation!$V$291)</f>
        <v>1.4818086105109716</v>
      </c>
      <c r="E156" s="1483">
        <f t="shared" ca="1" si="65"/>
        <v>11008.993345188528</v>
      </c>
      <c r="F156" s="1480">
        <f ca="1">IF(Assm!$L$74=0,VLOOKUP($A156,Curves_Table,Escalation!$D$291),VLOOKUP($A156,Curves_Table,Escalation!$E$291))</f>
        <v>2.7741268179237619</v>
      </c>
      <c r="G156" s="113">
        <f ca="1">IF($A156&lt;EE_Date,VLOOKUP($A156,Curves_Table,Escalation!$D$291),Exch)</f>
        <v>1.0649999999999999</v>
      </c>
      <c r="H156" s="1483">
        <f t="shared" ca="1" si="66"/>
        <v>28676.379039654199</v>
      </c>
      <c r="I156" s="330">
        <f ca="1">VLOOKUP($A156,Plant_Table,'Plant Operations'!$C$270)</f>
        <v>480</v>
      </c>
      <c r="J156" s="1481">
        <f t="shared" ca="1" si="67"/>
        <v>13764.661939034015</v>
      </c>
      <c r="K156" s="1480">
        <f t="shared" ca="1" si="68"/>
        <v>2.7741268179237619</v>
      </c>
      <c r="L156" s="384">
        <f t="shared" ca="1" si="69"/>
        <v>4961.7998175497587</v>
      </c>
      <c r="M156" s="692" t="str">
        <f t="shared" ca="1" si="60"/>
        <v xml:space="preserve"> </v>
      </c>
      <c r="O156" s="1482">
        <f ca="1">IF($A156&gt;Endyr,0,VLOOKUP($A156,Tariff_Table,Tariff!$H$33))</f>
        <v>6133.73</v>
      </c>
      <c r="P156" s="1480">
        <f t="shared" ca="1" si="70"/>
        <v>1.3647304447658279</v>
      </c>
      <c r="Q156" s="1481">
        <f t="shared" ca="1" si="71"/>
        <v>8370.8880709735004</v>
      </c>
      <c r="R156" s="1480">
        <f t="shared" ca="1" si="72"/>
        <v>2.7741268179237619</v>
      </c>
      <c r="S156" s="113">
        <f t="shared" ca="1" si="73"/>
        <v>1.0649999999999999</v>
      </c>
      <c r="T156" s="1481">
        <f t="shared" ca="1" si="74"/>
        <v>21804.605715986567</v>
      </c>
      <c r="U156" s="330">
        <f t="shared" ca="1" si="75"/>
        <v>480</v>
      </c>
      <c r="V156" s="1481">
        <f t="shared" ca="1" si="76"/>
        <v>10466.210743673551</v>
      </c>
      <c r="W156" s="1480">
        <f t="shared" ca="1" si="77"/>
        <v>2.7741268179237619</v>
      </c>
      <c r="X156" s="384">
        <f t="shared" ca="1" si="78"/>
        <v>3772.794623537352</v>
      </c>
      <c r="Y156" s="692" t="str">
        <f t="shared" ca="1" si="61"/>
        <v xml:space="preserve"> </v>
      </c>
      <c r="AA156" s="1484">
        <f ca="1">IF($A156&gt;Endyr,0,VLOOKUP($A156,Tariff_Table,Tariff!$I$33))</f>
        <v>2.31</v>
      </c>
      <c r="AB156" s="1480">
        <f t="shared" ca="1" si="62"/>
        <v>1.3647304447658279</v>
      </c>
      <c r="AC156" s="1483">
        <f t="shared" ca="1" si="79"/>
        <v>3.1525273274090626</v>
      </c>
      <c r="AD156" s="1480">
        <f t="shared" ca="1" si="80"/>
        <v>2.7741268179237619</v>
      </c>
      <c r="AE156" s="113">
        <f t="shared" ca="1" si="81"/>
        <v>1.0649999999999999</v>
      </c>
      <c r="AF156" s="1483">
        <f t="shared" ca="1" si="82"/>
        <v>8.2117470452610384</v>
      </c>
      <c r="AG156" s="334">
        <f ca="1">VLOOKUP($A156,Plant_Table,'Plant Operations'!$M$270)</f>
        <v>298980.864</v>
      </c>
      <c r="AH156" s="1481">
        <f t="shared" ca="1" si="83"/>
        <v>2455.1552265415921</v>
      </c>
      <c r="AI156" s="1480">
        <f t="shared" ca="1" si="84"/>
        <v>2.7741268179237619</v>
      </c>
      <c r="AJ156" s="335">
        <f t="shared" ca="1" si="85"/>
        <v>885.01910247171122</v>
      </c>
      <c r="AK156" s="698" t="str">
        <f t="shared" ca="1" si="63"/>
        <v xml:space="preserve"> </v>
      </c>
      <c r="AM156" s="697">
        <f ca="1">IF($A156&gt;Endyr,0,VLOOKUP($A156,Tariff_Table,Tariff!$L$33))</f>
        <v>1.21</v>
      </c>
      <c r="AN156" s="1504">
        <f ca="1">VLOOKUP($A156,Curves_Table,Escalation!$Z$291)</f>
        <v>1.4400879746761228</v>
      </c>
      <c r="AO156" s="331">
        <f t="shared" ca="1" si="86"/>
        <v>1.7425064493581086</v>
      </c>
      <c r="AP156" s="331">
        <f ca="1">IF($A156&gt;Endyr,0,VLOOKUP($A156,Tariff_Table,Tariff!$M$33))</f>
        <v>0.25</v>
      </c>
      <c r="AQ156" s="331">
        <f t="shared" ca="1" si="87"/>
        <v>1.9925064493581086</v>
      </c>
      <c r="AR156" s="331">
        <f t="shared" ca="1" si="88"/>
        <v>1.46</v>
      </c>
      <c r="AS156" s="1508">
        <f t="shared" ca="1" si="89"/>
        <v>1.3647304447658279</v>
      </c>
    </row>
    <row r="157" spans="1:45">
      <c r="A157" s="672">
        <f t="shared" si="64"/>
        <v>41365</v>
      </c>
      <c r="C157" s="1484">
        <f ca="1">IF($A157&gt;Endyr,0,VLOOKUP($A157,Tariff_Table,Tariff!$G$33))</f>
        <v>7429.43</v>
      </c>
      <c r="D157" s="1480">
        <f ca="1">VLOOKUP($A157,Curves_Table,Escalation!$V$291)</f>
        <v>1.4818086105109716</v>
      </c>
      <c r="E157" s="1483">
        <f t="shared" ca="1" si="65"/>
        <v>11008.993345188528</v>
      </c>
      <c r="F157" s="1480">
        <f ca="1">IF(Assm!$L$74=0,VLOOKUP($A157,Curves_Table,Escalation!$D$291),VLOOKUP($A157,Curves_Table,Escalation!$E$291))</f>
        <v>2.7787375794589648</v>
      </c>
      <c r="G157" s="113">
        <f ca="1">IF($A157&lt;EE_Date,VLOOKUP($A157,Curves_Table,Escalation!$D$291),Exch)</f>
        <v>1.0649999999999999</v>
      </c>
      <c r="H157" s="1483">
        <f t="shared" ca="1" si="66"/>
        <v>28724.040864121151</v>
      </c>
      <c r="I157" s="330">
        <f ca="1">VLOOKUP($A157,Plant_Table,'Plant Operations'!$C$270)</f>
        <v>480</v>
      </c>
      <c r="J157" s="1481">
        <f t="shared" ca="1" si="67"/>
        <v>13787.539614778152</v>
      </c>
      <c r="K157" s="1480">
        <f t="shared" ca="1" si="68"/>
        <v>2.7787375794589648</v>
      </c>
      <c r="L157" s="384">
        <f t="shared" ca="1" si="69"/>
        <v>4961.7998175497596</v>
      </c>
      <c r="M157" s="692" t="str">
        <f t="shared" ca="1" si="60"/>
        <v xml:space="preserve"> </v>
      </c>
      <c r="O157" s="1482">
        <f ca="1">IF($A157&gt;Endyr,0,VLOOKUP($A157,Tariff_Table,Tariff!$H$33))</f>
        <v>6133.73</v>
      </c>
      <c r="P157" s="1480">
        <f t="shared" ca="1" si="70"/>
        <v>1.3647304447658279</v>
      </c>
      <c r="Q157" s="1481">
        <f t="shared" ca="1" si="71"/>
        <v>8370.8880709735004</v>
      </c>
      <c r="R157" s="1480">
        <f t="shared" ca="1" si="72"/>
        <v>2.7787375794589648</v>
      </c>
      <c r="S157" s="113">
        <f t="shared" ca="1" si="73"/>
        <v>1.0649999999999999</v>
      </c>
      <c r="T157" s="1481">
        <f t="shared" ca="1" si="74"/>
        <v>21840.84625000829</v>
      </c>
      <c r="U157" s="330">
        <f t="shared" ca="1" si="75"/>
        <v>480</v>
      </c>
      <c r="V157" s="1481">
        <f t="shared" ca="1" si="76"/>
        <v>10483.60620000398</v>
      </c>
      <c r="W157" s="1480">
        <f t="shared" ca="1" si="77"/>
        <v>2.7787375794589648</v>
      </c>
      <c r="X157" s="384">
        <f t="shared" ca="1" si="78"/>
        <v>3772.7946235373529</v>
      </c>
      <c r="Y157" s="692" t="str">
        <f t="shared" ca="1" si="61"/>
        <v xml:space="preserve"> </v>
      </c>
      <c r="AA157" s="1484">
        <f ca="1">IF($A157&gt;Endyr,0,VLOOKUP($A157,Tariff_Table,Tariff!$I$33))</f>
        <v>2.31</v>
      </c>
      <c r="AB157" s="1480">
        <f t="shared" ca="1" si="62"/>
        <v>1.3647304447658279</v>
      </c>
      <c r="AC157" s="1483">
        <f t="shared" ca="1" si="79"/>
        <v>3.1525273274090626</v>
      </c>
      <c r="AD157" s="1480">
        <f t="shared" ca="1" si="80"/>
        <v>2.7787375794589648</v>
      </c>
      <c r="AE157" s="113">
        <f t="shared" ca="1" si="81"/>
        <v>1.0649999999999999</v>
      </c>
      <c r="AF157" s="1483">
        <f t="shared" ca="1" si="82"/>
        <v>8.2253954506506091</v>
      </c>
      <c r="AG157" s="334">
        <f ca="1">VLOOKUP($A157,Plant_Table,'Plant Operations'!$M$270)</f>
        <v>289336.32000000001</v>
      </c>
      <c r="AH157" s="1481">
        <f t="shared" ca="1" si="83"/>
        <v>2379.9056502359886</v>
      </c>
      <c r="AI157" s="1480">
        <f t="shared" ca="1" si="84"/>
        <v>2.7787375794589648</v>
      </c>
      <c r="AJ157" s="335">
        <f t="shared" ca="1" si="85"/>
        <v>856.47009916617208</v>
      </c>
      <c r="AK157" s="698" t="str">
        <f t="shared" ca="1" si="63"/>
        <v xml:space="preserve"> </v>
      </c>
      <c r="AM157" s="697">
        <f ca="1">IF($A157&gt;Endyr,0,VLOOKUP($A157,Tariff_Table,Tariff!$L$33))</f>
        <v>1.21</v>
      </c>
      <c r="AN157" s="1504">
        <f ca="1">VLOOKUP($A157,Curves_Table,Escalation!$Z$291)</f>
        <v>1.4400879746761228</v>
      </c>
      <c r="AO157" s="331">
        <f t="shared" ca="1" si="86"/>
        <v>1.7425064493581086</v>
      </c>
      <c r="AP157" s="331">
        <f ca="1">IF($A157&gt;Endyr,0,VLOOKUP($A157,Tariff_Table,Tariff!$M$33))</f>
        <v>0.25</v>
      </c>
      <c r="AQ157" s="331">
        <f t="shared" ca="1" si="87"/>
        <v>1.9925064493581086</v>
      </c>
      <c r="AR157" s="331">
        <f t="shared" ca="1" si="88"/>
        <v>1.46</v>
      </c>
      <c r="AS157" s="1508">
        <f t="shared" ca="1" si="89"/>
        <v>1.3647304447658279</v>
      </c>
    </row>
    <row r="158" spans="1:45">
      <c r="A158" s="672">
        <f t="shared" si="64"/>
        <v>41395</v>
      </c>
      <c r="C158" s="1484">
        <f ca="1">IF($A158&gt;Endyr,0,VLOOKUP($A158,Tariff_Table,Tariff!$G$33))</f>
        <v>7433.43</v>
      </c>
      <c r="D158" s="1480">
        <f ca="1">VLOOKUP($A158,Curves_Table,Escalation!$V$291)</f>
        <v>1.5190107088932228</v>
      </c>
      <c r="E158" s="1483">
        <f t="shared" ca="1" si="65"/>
        <v>11291.45977380815</v>
      </c>
      <c r="F158" s="1480">
        <f ca="1">IF(Assm!$L$74=0,VLOOKUP($A158,Curves_Table,Escalation!$D$291),VLOOKUP($A158,Curves_Table,Escalation!$E$291))</f>
        <v>2.7833560043503622</v>
      </c>
      <c r="G158" s="113">
        <f ca="1">IF($A158&lt;EE_Date,VLOOKUP($A158,Curves_Table,Escalation!$D$291),Exch)</f>
        <v>1.0649999999999999</v>
      </c>
      <c r="H158" s="1483">
        <f t="shared" ca="1" si="66"/>
        <v>29510.002215314082</v>
      </c>
      <c r="I158" s="330">
        <f ca="1">VLOOKUP($A158,Plant_Table,'Plant Operations'!$C$270)</f>
        <v>480</v>
      </c>
      <c r="J158" s="1481">
        <f t="shared" ca="1" si="67"/>
        <v>14164.80106335076</v>
      </c>
      <c r="K158" s="1480">
        <f t="shared" ca="1" si="68"/>
        <v>2.7833560043503622</v>
      </c>
      <c r="L158" s="384">
        <f t="shared" ca="1" si="69"/>
        <v>5089.1086304487435</v>
      </c>
      <c r="M158" s="692" t="str">
        <f t="shared" ca="1" si="60"/>
        <v xml:space="preserve"> </v>
      </c>
      <c r="O158" s="1482">
        <f ca="1">IF($A158&gt;Endyr,0,VLOOKUP($A158,Tariff_Table,Tariff!$H$33))</f>
        <v>6146.82</v>
      </c>
      <c r="P158" s="1480">
        <f t="shared" ca="1" si="70"/>
        <v>1.3917104988900268</v>
      </c>
      <c r="Q158" s="1481">
        <f t="shared" ca="1" si="71"/>
        <v>8554.5939287871952</v>
      </c>
      <c r="R158" s="1480">
        <f t="shared" ca="1" si="72"/>
        <v>2.7833560043503622</v>
      </c>
      <c r="S158" s="113">
        <f t="shared" ca="1" si="73"/>
        <v>1.0649999999999999</v>
      </c>
      <c r="T158" s="1481">
        <f t="shared" ca="1" si="74"/>
        <v>22357.258569454454</v>
      </c>
      <c r="U158" s="330">
        <f t="shared" ca="1" si="75"/>
        <v>480</v>
      </c>
      <c r="V158" s="1481">
        <f t="shared" ca="1" si="76"/>
        <v>10731.48411333814</v>
      </c>
      <c r="W158" s="1480">
        <f t="shared" ca="1" si="77"/>
        <v>2.7833560043503622</v>
      </c>
      <c r="X158" s="384">
        <f t="shared" ca="1" si="78"/>
        <v>3855.5916298759194</v>
      </c>
      <c r="Y158" s="692" t="str">
        <f t="shared" ca="1" si="61"/>
        <v xml:space="preserve"> </v>
      </c>
      <c r="AA158" s="1484">
        <f ca="1">IF($A158&gt;Endyr,0,VLOOKUP($A158,Tariff_Table,Tariff!$I$33))</f>
        <v>2.3199999999999998</v>
      </c>
      <c r="AB158" s="1480">
        <f t="shared" ca="1" si="62"/>
        <v>1.3917104988900268</v>
      </c>
      <c r="AC158" s="1483">
        <f t="shared" ca="1" si="79"/>
        <v>3.2287683574248622</v>
      </c>
      <c r="AD158" s="1480">
        <f t="shared" ca="1" si="80"/>
        <v>2.7833560043503622</v>
      </c>
      <c r="AE158" s="113">
        <f t="shared" ca="1" si="81"/>
        <v>1.0649999999999999</v>
      </c>
      <c r="AF158" s="1483">
        <f t="shared" ca="1" si="82"/>
        <v>8.4383209336102798</v>
      </c>
      <c r="AG158" s="334">
        <f ca="1">VLOOKUP($A158,Plant_Table,'Plant Operations'!$M$270)</f>
        <v>298980.864</v>
      </c>
      <c r="AH158" s="1481">
        <f t="shared" ca="1" si="83"/>
        <v>2522.8964834400881</v>
      </c>
      <c r="AI158" s="1480">
        <f t="shared" ca="1" si="84"/>
        <v>2.7833560043503622</v>
      </c>
      <c r="AJ158" s="335">
        <f t="shared" ca="1" si="85"/>
        <v>906.42249122886972</v>
      </c>
      <c r="AK158" s="698" t="str">
        <f t="shared" ca="1" si="63"/>
        <v xml:space="preserve"> </v>
      </c>
      <c r="AM158" s="697">
        <f ca="1">IF($A158&gt;Endyr,0,VLOOKUP($A158,Tariff_Table,Tariff!$L$33))</f>
        <v>1.21</v>
      </c>
      <c r="AN158" s="1504">
        <f ca="1">VLOOKUP($A158,Curves_Table,Escalation!$Z$291)</f>
        <v>1.4726424201482966</v>
      </c>
      <c r="AO158" s="331">
        <f t="shared" ca="1" si="86"/>
        <v>1.7818973283794388</v>
      </c>
      <c r="AP158" s="331">
        <f ca="1">IF($A158&gt;Endyr,0,VLOOKUP($A158,Tariff_Table,Tariff!$M$33))</f>
        <v>0.25</v>
      </c>
      <c r="AQ158" s="331">
        <f t="shared" ca="1" si="87"/>
        <v>2.031897328379439</v>
      </c>
      <c r="AR158" s="331">
        <f t="shared" ca="1" si="88"/>
        <v>1.46</v>
      </c>
      <c r="AS158" s="1508">
        <f t="shared" ca="1" si="89"/>
        <v>1.3917104988900268</v>
      </c>
    </row>
    <row r="159" spans="1:45">
      <c r="A159" s="672">
        <f t="shared" si="64"/>
        <v>41426</v>
      </c>
      <c r="C159" s="1484">
        <f ca="1">IF($A159&gt;Endyr,0,VLOOKUP($A159,Tariff_Table,Tariff!$G$33))</f>
        <v>7433.43</v>
      </c>
      <c r="D159" s="1480">
        <f ca="1">VLOOKUP($A159,Curves_Table,Escalation!$V$291)</f>
        <v>1.5190107088932228</v>
      </c>
      <c r="E159" s="1483">
        <f t="shared" ca="1" si="65"/>
        <v>11291.45977380815</v>
      </c>
      <c r="F159" s="1480">
        <f ca="1">IF(Assm!$L$74=0,VLOOKUP($A159,Curves_Table,Escalation!$D$291),VLOOKUP($A159,Curves_Table,Escalation!$E$291))</f>
        <v>2.7879821053349021</v>
      </c>
      <c r="G159" s="113">
        <f ca="1">IF($A159&lt;EE_Date,VLOOKUP($A159,Curves_Table,Escalation!$D$291),Exch)</f>
        <v>1.0649999999999999</v>
      </c>
      <c r="H159" s="1483">
        <f t="shared" ca="1" si="66"/>
        <v>29559.049570409392</v>
      </c>
      <c r="I159" s="330">
        <f ca="1">VLOOKUP($A159,Plant_Table,'Plant Operations'!$C$270)</f>
        <v>480</v>
      </c>
      <c r="J159" s="1481">
        <f t="shared" ca="1" si="67"/>
        <v>14188.343793796508</v>
      </c>
      <c r="K159" s="1480">
        <f t="shared" ca="1" si="68"/>
        <v>2.7879821053349021</v>
      </c>
      <c r="L159" s="384">
        <f t="shared" ca="1" si="69"/>
        <v>5089.1086304487435</v>
      </c>
      <c r="M159" s="692" t="str">
        <f t="shared" ca="1" si="60"/>
        <v xml:space="preserve"> </v>
      </c>
      <c r="O159" s="1482">
        <f ca="1">IF($A159&gt;Endyr,0,VLOOKUP($A159,Tariff_Table,Tariff!$H$33))</f>
        <v>6146.82</v>
      </c>
      <c r="P159" s="1480">
        <f t="shared" ca="1" si="70"/>
        <v>1.3917104988900268</v>
      </c>
      <c r="Q159" s="1481">
        <f t="shared" ca="1" si="71"/>
        <v>8554.5939287871952</v>
      </c>
      <c r="R159" s="1480">
        <f t="shared" ca="1" si="72"/>
        <v>2.7879821053349021</v>
      </c>
      <c r="S159" s="113">
        <f t="shared" ca="1" si="73"/>
        <v>1.0649999999999999</v>
      </c>
      <c r="T159" s="1481">
        <f t="shared" ca="1" si="74"/>
        <v>22394.41764494394</v>
      </c>
      <c r="U159" s="330">
        <f t="shared" ca="1" si="75"/>
        <v>480</v>
      </c>
      <c r="V159" s="1481">
        <f t="shared" ca="1" si="76"/>
        <v>10749.320469573091</v>
      </c>
      <c r="W159" s="1480">
        <f t="shared" ca="1" si="77"/>
        <v>2.7879821053349021</v>
      </c>
      <c r="X159" s="384">
        <f t="shared" ca="1" si="78"/>
        <v>3855.5916298759189</v>
      </c>
      <c r="Y159" s="692" t="str">
        <f t="shared" ca="1" si="61"/>
        <v xml:space="preserve"> </v>
      </c>
      <c r="AA159" s="1484">
        <f ca="1">IF($A159&gt;Endyr,0,VLOOKUP($A159,Tariff_Table,Tariff!$I$33))</f>
        <v>2.3199999999999998</v>
      </c>
      <c r="AB159" s="1480">
        <f t="shared" ca="1" si="62"/>
        <v>1.3917104988900268</v>
      </c>
      <c r="AC159" s="1483">
        <f t="shared" ca="1" si="79"/>
        <v>3.2287683574248622</v>
      </c>
      <c r="AD159" s="1480">
        <f t="shared" ca="1" si="80"/>
        <v>2.7879821053349021</v>
      </c>
      <c r="AE159" s="113">
        <f t="shared" ca="1" si="81"/>
        <v>1.0649999999999999</v>
      </c>
      <c r="AF159" s="1483">
        <f t="shared" ca="1" si="82"/>
        <v>8.4523459180958511</v>
      </c>
      <c r="AG159" s="334">
        <f ca="1">VLOOKUP($A159,Plant_Table,'Plant Operations'!$M$270)</f>
        <v>289336.32000000001</v>
      </c>
      <c r="AH159" s="1481">
        <f t="shared" ca="1" si="83"/>
        <v>2445.5706633088753</v>
      </c>
      <c r="AI159" s="1480">
        <f t="shared" ca="1" si="84"/>
        <v>2.7879821053349021</v>
      </c>
      <c r="AJ159" s="335">
        <f t="shared" ca="1" si="85"/>
        <v>877.18305602793851</v>
      </c>
      <c r="AK159" s="698" t="str">
        <f t="shared" ca="1" si="63"/>
        <v xml:space="preserve"> </v>
      </c>
      <c r="AM159" s="697">
        <f ca="1">IF($A159&gt;Endyr,0,VLOOKUP($A159,Tariff_Table,Tariff!$L$33))</f>
        <v>1.21</v>
      </c>
      <c r="AN159" s="1504">
        <f ca="1">VLOOKUP($A159,Curves_Table,Escalation!$Z$291)</f>
        <v>1.4726424201482966</v>
      </c>
      <c r="AO159" s="331">
        <f t="shared" ca="1" si="86"/>
        <v>1.7818973283794388</v>
      </c>
      <c r="AP159" s="331">
        <f ca="1">IF($A159&gt;Endyr,0,VLOOKUP($A159,Tariff_Table,Tariff!$M$33))</f>
        <v>0.25</v>
      </c>
      <c r="AQ159" s="331">
        <f t="shared" ca="1" si="87"/>
        <v>2.031897328379439</v>
      </c>
      <c r="AR159" s="331">
        <f t="shared" ca="1" si="88"/>
        <v>1.46</v>
      </c>
      <c r="AS159" s="1508">
        <f t="shared" ca="1" si="89"/>
        <v>1.3917104988900268</v>
      </c>
    </row>
    <row r="160" spans="1:45">
      <c r="A160" s="672">
        <f t="shared" si="64"/>
        <v>41456</v>
      </c>
      <c r="C160" s="1484">
        <f ca="1">IF($A160&gt;Endyr,0,VLOOKUP($A160,Tariff_Table,Tariff!$G$33))</f>
        <v>7433.43</v>
      </c>
      <c r="D160" s="1480">
        <f ca="1">VLOOKUP($A160,Curves_Table,Escalation!$V$291)</f>
        <v>1.5190107088932228</v>
      </c>
      <c r="E160" s="1483">
        <f t="shared" ca="1" si="65"/>
        <v>11291.45977380815</v>
      </c>
      <c r="F160" s="1480">
        <f ca="1">IF(Assm!$L$74=0,VLOOKUP($A160,Curves_Table,Escalation!$D$291),VLOOKUP($A160,Curves_Table,Escalation!$E$291))</f>
        <v>2.7926158951707012</v>
      </c>
      <c r="G160" s="113">
        <f ca="1">IF($A160&lt;EE_Date,VLOOKUP($A160,Curves_Table,Escalation!$D$291),Exch)</f>
        <v>1.0649999999999999</v>
      </c>
      <c r="H160" s="1483">
        <f t="shared" ca="1" si="66"/>
        <v>29608.178445086585</v>
      </c>
      <c r="I160" s="330">
        <f ca="1">VLOOKUP($A160,Plant_Table,'Plant Operations'!$C$270)</f>
        <v>480</v>
      </c>
      <c r="J160" s="1481">
        <f t="shared" ca="1" si="67"/>
        <v>14211.925653641561</v>
      </c>
      <c r="K160" s="1480">
        <f t="shared" ca="1" si="68"/>
        <v>2.7926158951707012</v>
      </c>
      <c r="L160" s="384">
        <f t="shared" ca="1" si="69"/>
        <v>5089.1086304487444</v>
      </c>
      <c r="M160" s="692" t="str">
        <f t="shared" ca="1" si="60"/>
        <v xml:space="preserve"> </v>
      </c>
      <c r="O160" s="1482">
        <f ca="1">IF($A160&gt;Endyr,0,VLOOKUP($A160,Tariff_Table,Tariff!$H$33))</f>
        <v>6146.82</v>
      </c>
      <c r="P160" s="1480">
        <f t="shared" ca="1" si="70"/>
        <v>1.3917104988900268</v>
      </c>
      <c r="Q160" s="1481">
        <f t="shared" ca="1" si="71"/>
        <v>8554.5939287871952</v>
      </c>
      <c r="R160" s="1480">
        <f t="shared" ca="1" si="72"/>
        <v>2.7926158951707012</v>
      </c>
      <c r="S160" s="113">
        <f t="shared" ca="1" si="73"/>
        <v>1.0649999999999999</v>
      </c>
      <c r="T160" s="1481">
        <f t="shared" ca="1" si="74"/>
        <v>22431.638480997088</v>
      </c>
      <c r="U160" s="330">
        <f t="shared" ca="1" si="75"/>
        <v>480</v>
      </c>
      <c r="V160" s="1481">
        <f t="shared" ca="1" si="76"/>
        <v>10767.186470878603</v>
      </c>
      <c r="W160" s="1480">
        <f t="shared" ca="1" si="77"/>
        <v>2.7926158951707012</v>
      </c>
      <c r="X160" s="384">
        <f t="shared" ca="1" si="78"/>
        <v>3855.5916298759194</v>
      </c>
      <c r="Y160" s="692" t="str">
        <f t="shared" ca="1" si="61"/>
        <v xml:space="preserve"> </v>
      </c>
      <c r="AA160" s="1484">
        <f ca="1">IF($A160&gt;Endyr,0,VLOOKUP($A160,Tariff_Table,Tariff!$I$33))</f>
        <v>2.3199999999999998</v>
      </c>
      <c r="AB160" s="1480">
        <f t="shared" ca="1" si="62"/>
        <v>1.3917104988900268</v>
      </c>
      <c r="AC160" s="1483">
        <f t="shared" ca="1" si="79"/>
        <v>3.2287683574248622</v>
      </c>
      <c r="AD160" s="1480">
        <f t="shared" ca="1" si="80"/>
        <v>2.7926158951707012</v>
      </c>
      <c r="AE160" s="113">
        <f t="shared" ca="1" si="81"/>
        <v>1.0649999999999999</v>
      </c>
      <c r="AF160" s="1483">
        <f t="shared" ca="1" si="82"/>
        <v>8.4663942129285132</v>
      </c>
      <c r="AG160" s="334">
        <f ca="1">VLOOKUP($A160,Plant_Table,'Plant Operations'!$M$270)</f>
        <v>298980.864</v>
      </c>
      <c r="AH160" s="1481">
        <f t="shared" ca="1" si="83"/>
        <v>2531.2898567459665</v>
      </c>
      <c r="AI160" s="1480">
        <f t="shared" ca="1" si="84"/>
        <v>2.7926158951707012</v>
      </c>
      <c r="AJ160" s="335">
        <f t="shared" ca="1" si="85"/>
        <v>906.42249122886949</v>
      </c>
      <c r="AK160" s="698" t="str">
        <f t="shared" ca="1" si="63"/>
        <v xml:space="preserve"> </v>
      </c>
      <c r="AM160" s="697">
        <f ca="1">IF($A160&gt;Endyr,0,VLOOKUP($A160,Tariff_Table,Tariff!$L$33))</f>
        <v>1.21</v>
      </c>
      <c r="AN160" s="1504">
        <f ca="1">VLOOKUP($A160,Curves_Table,Escalation!$Z$291)</f>
        <v>1.4726424201482966</v>
      </c>
      <c r="AO160" s="331">
        <f t="shared" ca="1" si="86"/>
        <v>1.7818973283794388</v>
      </c>
      <c r="AP160" s="331">
        <f ca="1">IF($A160&gt;Endyr,0,VLOOKUP($A160,Tariff_Table,Tariff!$M$33))</f>
        <v>0.25</v>
      </c>
      <c r="AQ160" s="331">
        <f t="shared" ca="1" si="87"/>
        <v>2.031897328379439</v>
      </c>
      <c r="AR160" s="331">
        <f t="shared" ca="1" si="88"/>
        <v>1.46</v>
      </c>
      <c r="AS160" s="1508">
        <f t="shared" ca="1" si="89"/>
        <v>1.3917104988900268</v>
      </c>
    </row>
    <row r="161" spans="1:45">
      <c r="A161" s="672">
        <f t="shared" si="64"/>
        <v>41487</v>
      </c>
      <c r="C161" s="1484">
        <f ca="1">IF($A161&gt;Endyr,0,VLOOKUP($A161,Tariff_Table,Tariff!$G$33))</f>
        <v>7433.43</v>
      </c>
      <c r="D161" s="1480">
        <f ca="1">VLOOKUP($A161,Curves_Table,Escalation!$V$291)</f>
        <v>1.5190107088932228</v>
      </c>
      <c r="E161" s="1483">
        <f t="shared" ca="1" si="65"/>
        <v>11291.45977380815</v>
      </c>
      <c r="F161" s="1480">
        <f ca="1">IF(Assm!$L$74=0,VLOOKUP($A161,Curves_Table,Escalation!$D$291),VLOOKUP($A161,Curves_Table,Escalation!$E$291))</f>
        <v>2.7972573866370816</v>
      </c>
      <c r="G161" s="113">
        <f ca="1">IF($A161&lt;EE_Date,VLOOKUP($A161,Curves_Table,Escalation!$D$291),Exch)</f>
        <v>1.0649999999999999</v>
      </c>
      <c r="H161" s="1483">
        <f t="shared" ca="1" si="66"/>
        <v>29657.38897483598</v>
      </c>
      <c r="I161" s="330">
        <f ca="1">VLOOKUP($A161,Plant_Table,'Plant Operations'!$C$270)</f>
        <v>480</v>
      </c>
      <c r="J161" s="1481">
        <f t="shared" ca="1" si="67"/>
        <v>14235.54670792127</v>
      </c>
      <c r="K161" s="1480">
        <f t="shared" ca="1" si="68"/>
        <v>2.7972573866370816</v>
      </c>
      <c r="L161" s="384">
        <f t="shared" ca="1" si="69"/>
        <v>5089.1086304487435</v>
      </c>
      <c r="M161" s="692" t="str">
        <f t="shared" ca="1" si="60"/>
        <v xml:space="preserve"> </v>
      </c>
      <c r="O161" s="1482">
        <f ca="1">IF($A161&gt;Endyr,0,VLOOKUP($A161,Tariff_Table,Tariff!$H$33))</f>
        <v>6146.82</v>
      </c>
      <c r="P161" s="1480">
        <f t="shared" ca="1" si="70"/>
        <v>1.3917104988900268</v>
      </c>
      <c r="Q161" s="1481">
        <f t="shared" ca="1" si="71"/>
        <v>8554.5939287871952</v>
      </c>
      <c r="R161" s="1480">
        <f t="shared" ca="1" si="72"/>
        <v>2.7972573866370816</v>
      </c>
      <c r="S161" s="113">
        <f t="shared" ca="1" si="73"/>
        <v>1.0649999999999999</v>
      </c>
      <c r="T161" s="1481">
        <f t="shared" ca="1" si="74"/>
        <v>22468.921180263584</v>
      </c>
      <c r="U161" s="330">
        <f t="shared" ca="1" si="75"/>
        <v>480</v>
      </c>
      <c r="V161" s="1481">
        <f t="shared" ca="1" si="76"/>
        <v>10785.082166526521</v>
      </c>
      <c r="W161" s="1480">
        <f t="shared" ca="1" si="77"/>
        <v>2.7972573866370816</v>
      </c>
      <c r="X161" s="384">
        <f t="shared" ca="1" si="78"/>
        <v>3855.5916298759198</v>
      </c>
      <c r="Y161" s="692" t="str">
        <f t="shared" ca="1" si="61"/>
        <v xml:space="preserve"> </v>
      </c>
      <c r="AA161" s="1484">
        <f ca="1">IF($A161&gt;Endyr,0,VLOOKUP($A161,Tariff_Table,Tariff!$I$33))</f>
        <v>2.3199999999999998</v>
      </c>
      <c r="AB161" s="1480">
        <f t="shared" ca="1" si="62"/>
        <v>1.3917104988900268</v>
      </c>
      <c r="AC161" s="1483">
        <f t="shared" ca="1" si="79"/>
        <v>3.2287683574248622</v>
      </c>
      <c r="AD161" s="1480">
        <f t="shared" ca="1" si="80"/>
        <v>2.7972573866370816</v>
      </c>
      <c r="AE161" s="113">
        <f t="shared" ca="1" si="81"/>
        <v>1.0649999999999999</v>
      </c>
      <c r="AF161" s="1483">
        <f t="shared" ca="1" si="82"/>
        <v>8.4804658568514295</v>
      </c>
      <c r="AG161" s="334">
        <f ca="1">VLOOKUP($A161,Plant_Table,'Plant Operations'!$M$270)</f>
        <v>298980.864</v>
      </c>
      <c r="AH161" s="1481">
        <f t="shared" ca="1" si="83"/>
        <v>2535.4970090039405</v>
      </c>
      <c r="AI161" s="1480">
        <f t="shared" ca="1" si="84"/>
        <v>2.7972573866370816</v>
      </c>
      <c r="AJ161" s="335">
        <f t="shared" ca="1" si="85"/>
        <v>906.42249122886949</v>
      </c>
      <c r="AK161" s="698" t="str">
        <f t="shared" ca="1" si="63"/>
        <v xml:space="preserve"> </v>
      </c>
      <c r="AM161" s="697">
        <f ca="1">IF($A161&gt;Endyr,0,VLOOKUP($A161,Tariff_Table,Tariff!$L$33))</f>
        <v>1.21</v>
      </c>
      <c r="AN161" s="1504">
        <f ca="1">VLOOKUP($A161,Curves_Table,Escalation!$Z$291)</f>
        <v>1.4726424201482966</v>
      </c>
      <c r="AO161" s="331">
        <f t="shared" ca="1" si="86"/>
        <v>1.7818973283794388</v>
      </c>
      <c r="AP161" s="331">
        <f ca="1">IF($A161&gt;Endyr,0,VLOOKUP($A161,Tariff_Table,Tariff!$M$33))</f>
        <v>0.25</v>
      </c>
      <c r="AQ161" s="331">
        <f t="shared" ca="1" si="87"/>
        <v>2.031897328379439</v>
      </c>
      <c r="AR161" s="331">
        <f t="shared" ca="1" si="88"/>
        <v>1.46</v>
      </c>
      <c r="AS161" s="1508">
        <f t="shared" ca="1" si="89"/>
        <v>1.3917104988900268</v>
      </c>
    </row>
    <row r="162" spans="1:45">
      <c r="A162" s="672">
        <f t="shared" si="64"/>
        <v>41518</v>
      </c>
      <c r="C162" s="1484">
        <f ca="1">IF($A162&gt;Endyr,0,VLOOKUP($A162,Tariff_Table,Tariff!$G$33))</f>
        <v>7433.43</v>
      </c>
      <c r="D162" s="1480">
        <f ca="1">VLOOKUP($A162,Curves_Table,Escalation!$V$291)</f>
        <v>1.5190107088932228</v>
      </c>
      <c r="E162" s="1483">
        <f t="shared" ca="1" si="65"/>
        <v>11291.45977380815</v>
      </c>
      <c r="F162" s="1480">
        <f ca="1">IF(Assm!$L$74=0,VLOOKUP($A162,Curves_Table,Escalation!$D$291),VLOOKUP($A162,Curves_Table,Escalation!$E$291))</f>
        <v>2.8019065925346047</v>
      </c>
      <c r="G162" s="113">
        <f ca="1">IF($A162&lt;EE_Date,VLOOKUP($A162,Curves_Table,Escalation!$D$291),Exch)</f>
        <v>1.0649999999999999</v>
      </c>
      <c r="H162" s="1483">
        <f t="shared" ca="1" si="66"/>
        <v>29706.681295373102</v>
      </c>
      <c r="I162" s="330">
        <f ca="1">VLOOKUP($A162,Plant_Table,'Plant Operations'!$C$270)</f>
        <v>480</v>
      </c>
      <c r="J162" s="1481">
        <f t="shared" ca="1" si="67"/>
        <v>14259.207021779088</v>
      </c>
      <c r="K162" s="1480">
        <f t="shared" ca="1" si="68"/>
        <v>2.8019065925346047</v>
      </c>
      <c r="L162" s="384">
        <f t="shared" ca="1" si="69"/>
        <v>5089.1086304487435</v>
      </c>
      <c r="M162" s="692" t="str">
        <f t="shared" ca="1" si="60"/>
        <v xml:space="preserve"> </v>
      </c>
      <c r="O162" s="1482">
        <f ca="1">IF($A162&gt;Endyr,0,VLOOKUP($A162,Tariff_Table,Tariff!$H$33))</f>
        <v>6146.82</v>
      </c>
      <c r="P162" s="1480">
        <f t="shared" ca="1" si="70"/>
        <v>1.3917104988900268</v>
      </c>
      <c r="Q162" s="1481">
        <f t="shared" ca="1" si="71"/>
        <v>8554.5939287871952</v>
      </c>
      <c r="R162" s="1480">
        <f t="shared" ca="1" si="72"/>
        <v>2.8019065925346047</v>
      </c>
      <c r="S162" s="113">
        <f t="shared" ca="1" si="73"/>
        <v>1.0649999999999999</v>
      </c>
      <c r="T162" s="1481">
        <f t="shared" ca="1" si="74"/>
        <v>22506.265845563707</v>
      </c>
      <c r="U162" s="330">
        <f t="shared" ca="1" si="75"/>
        <v>480</v>
      </c>
      <c r="V162" s="1481">
        <f t="shared" ca="1" si="76"/>
        <v>10803.007605870578</v>
      </c>
      <c r="W162" s="1480">
        <f t="shared" ca="1" si="77"/>
        <v>2.8019065925346047</v>
      </c>
      <c r="X162" s="384">
        <f t="shared" ca="1" si="78"/>
        <v>3855.5916298759184</v>
      </c>
      <c r="Y162" s="692" t="str">
        <f t="shared" ca="1" si="61"/>
        <v xml:space="preserve"> </v>
      </c>
      <c r="AA162" s="1484">
        <f ca="1">IF($A162&gt;Endyr,0,VLOOKUP($A162,Tariff_Table,Tariff!$I$33))</f>
        <v>2.3199999999999998</v>
      </c>
      <c r="AB162" s="1480">
        <f t="shared" ca="1" si="62"/>
        <v>1.3917104988900268</v>
      </c>
      <c r="AC162" s="1483">
        <f t="shared" ca="1" si="79"/>
        <v>3.2287683574248622</v>
      </c>
      <c r="AD162" s="1480">
        <f t="shared" ca="1" si="80"/>
        <v>2.8019065925346047</v>
      </c>
      <c r="AE162" s="113">
        <f t="shared" ca="1" si="81"/>
        <v>1.0649999999999999</v>
      </c>
      <c r="AF162" s="1483">
        <f t="shared" ca="1" si="82"/>
        <v>8.494560888672158</v>
      </c>
      <c r="AG162" s="334">
        <f ca="1">VLOOKUP($A162,Plant_Table,'Plant Operations'!$M$270)</f>
        <v>289336.32000000001</v>
      </c>
      <c r="AH162" s="1481">
        <f t="shared" ca="1" si="83"/>
        <v>2457.7849875443321</v>
      </c>
      <c r="AI162" s="1480">
        <f t="shared" ca="1" si="84"/>
        <v>2.8019065925346047</v>
      </c>
      <c r="AJ162" s="335">
        <f t="shared" ca="1" si="85"/>
        <v>877.18305602793839</v>
      </c>
      <c r="AK162" s="698" t="str">
        <f t="shared" ca="1" si="63"/>
        <v xml:space="preserve"> </v>
      </c>
      <c r="AM162" s="697">
        <f ca="1">IF($A162&gt;Endyr,0,VLOOKUP($A162,Tariff_Table,Tariff!$L$33))</f>
        <v>1.21</v>
      </c>
      <c r="AN162" s="1504">
        <f ca="1">VLOOKUP($A162,Curves_Table,Escalation!$Z$291)</f>
        <v>1.4726424201482966</v>
      </c>
      <c r="AO162" s="331">
        <f t="shared" ca="1" si="86"/>
        <v>1.7818973283794388</v>
      </c>
      <c r="AP162" s="331">
        <f ca="1">IF($A162&gt;Endyr,0,VLOOKUP($A162,Tariff_Table,Tariff!$M$33))</f>
        <v>0.25</v>
      </c>
      <c r="AQ162" s="331">
        <f t="shared" ca="1" si="87"/>
        <v>2.031897328379439</v>
      </c>
      <c r="AR162" s="331">
        <f t="shared" ca="1" si="88"/>
        <v>1.46</v>
      </c>
      <c r="AS162" s="1508">
        <f t="shared" ca="1" si="89"/>
        <v>1.3917104988900268</v>
      </c>
    </row>
    <row r="163" spans="1:45">
      <c r="A163" s="672">
        <f t="shared" si="64"/>
        <v>41548</v>
      </c>
      <c r="C163" s="1484">
        <f ca="1">IF($A163&gt;Endyr,0,VLOOKUP($A163,Tariff_Table,Tariff!$G$33))</f>
        <v>7433.43</v>
      </c>
      <c r="D163" s="1480">
        <f ca="1">VLOOKUP($A163,Curves_Table,Escalation!$V$291)</f>
        <v>1.5190107088932228</v>
      </c>
      <c r="E163" s="1483">
        <f t="shared" ca="1" si="65"/>
        <v>11291.45977380815</v>
      </c>
      <c r="F163" s="1480">
        <f ca="1">IF(Assm!$L$74=0,VLOOKUP($A163,Curves_Table,Escalation!$D$291),VLOOKUP($A163,Curves_Table,Escalation!$E$291))</f>
        <v>2.8065635256851085</v>
      </c>
      <c r="G163" s="113">
        <f ca="1">IF($A163&lt;EE_Date,VLOOKUP($A163,Curves_Table,Escalation!$D$291),Exch)</f>
        <v>1.0649999999999999</v>
      </c>
      <c r="H163" s="1483">
        <f t="shared" ca="1" si="66"/>
        <v>29756.055542639042</v>
      </c>
      <c r="I163" s="330">
        <f ca="1">VLOOKUP($A163,Plant_Table,'Plant Operations'!$C$270)</f>
        <v>480</v>
      </c>
      <c r="J163" s="1481">
        <f t="shared" ca="1" si="67"/>
        <v>14282.906660466741</v>
      </c>
      <c r="K163" s="1480">
        <f t="shared" ca="1" si="68"/>
        <v>2.8065635256851085</v>
      </c>
      <c r="L163" s="384">
        <f t="shared" ca="1" si="69"/>
        <v>5089.1086304487435</v>
      </c>
      <c r="M163" s="692" t="str">
        <f t="shared" ca="1" si="60"/>
        <v xml:space="preserve"> </v>
      </c>
      <c r="O163" s="1482">
        <f ca="1">IF($A163&gt;Endyr,0,VLOOKUP($A163,Tariff_Table,Tariff!$H$33))</f>
        <v>6146.82</v>
      </c>
      <c r="P163" s="1480">
        <f t="shared" ca="1" si="70"/>
        <v>1.3917104988900268</v>
      </c>
      <c r="Q163" s="1481">
        <f t="shared" ca="1" si="71"/>
        <v>8554.5939287871952</v>
      </c>
      <c r="R163" s="1480">
        <f t="shared" ca="1" si="72"/>
        <v>2.8065635256851085</v>
      </c>
      <c r="S163" s="113">
        <f t="shared" ca="1" si="73"/>
        <v>1.0649999999999999</v>
      </c>
      <c r="T163" s="1481">
        <f t="shared" ca="1" si="74"/>
        <v>22543.672579888655</v>
      </c>
      <c r="U163" s="330">
        <f t="shared" ca="1" si="75"/>
        <v>480</v>
      </c>
      <c r="V163" s="1481">
        <f t="shared" ca="1" si="76"/>
        <v>10820.962838346553</v>
      </c>
      <c r="W163" s="1480">
        <f t="shared" ca="1" si="77"/>
        <v>2.8065635256851085</v>
      </c>
      <c r="X163" s="384">
        <f t="shared" ca="1" si="78"/>
        <v>3855.5916298759189</v>
      </c>
      <c r="Y163" s="692" t="str">
        <f t="shared" ca="1" si="61"/>
        <v xml:space="preserve"> </v>
      </c>
      <c r="AA163" s="1484">
        <f ca="1">IF($A163&gt;Endyr,0,VLOOKUP($A163,Tariff_Table,Tariff!$I$33))</f>
        <v>2.3199999999999998</v>
      </c>
      <c r="AB163" s="1480">
        <f t="shared" ca="1" si="62"/>
        <v>1.3917104988900268</v>
      </c>
      <c r="AC163" s="1483">
        <f t="shared" ca="1" si="79"/>
        <v>3.2287683574248622</v>
      </c>
      <c r="AD163" s="1480">
        <f t="shared" ca="1" si="80"/>
        <v>2.8065635256851085</v>
      </c>
      <c r="AE163" s="113">
        <f t="shared" ca="1" si="81"/>
        <v>1.0649999999999999</v>
      </c>
      <c r="AF163" s="1483">
        <f t="shared" ca="1" si="82"/>
        <v>8.5086793472627598</v>
      </c>
      <c r="AG163" s="334">
        <f ca="1">VLOOKUP($A163,Plant_Table,'Plant Operations'!$M$270)</f>
        <v>298980.864</v>
      </c>
      <c r="AH163" s="1481">
        <f t="shared" ca="1" si="83"/>
        <v>2543.9323027435762</v>
      </c>
      <c r="AI163" s="1480">
        <f t="shared" ca="1" si="84"/>
        <v>2.8065635256851085</v>
      </c>
      <c r="AJ163" s="335">
        <f t="shared" ca="1" si="85"/>
        <v>906.42249122886983</v>
      </c>
      <c r="AK163" s="698" t="str">
        <f t="shared" ca="1" si="63"/>
        <v xml:space="preserve"> </v>
      </c>
      <c r="AM163" s="697">
        <f ca="1">IF($A163&gt;Endyr,0,VLOOKUP($A163,Tariff_Table,Tariff!$L$33))</f>
        <v>1.21</v>
      </c>
      <c r="AN163" s="1504">
        <f ca="1">VLOOKUP($A163,Curves_Table,Escalation!$Z$291)</f>
        <v>1.4726424201482966</v>
      </c>
      <c r="AO163" s="331">
        <f t="shared" ca="1" si="86"/>
        <v>1.7818973283794388</v>
      </c>
      <c r="AP163" s="331">
        <f ca="1">IF($A163&gt;Endyr,0,VLOOKUP($A163,Tariff_Table,Tariff!$M$33))</f>
        <v>0.25</v>
      </c>
      <c r="AQ163" s="331">
        <f t="shared" ca="1" si="87"/>
        <v>2.031897328379439</v>
      </c>
      <c r="AR163" s="331">
        <f t="shared" ca="1" si="88"/>
        <v>1.46</v>
      </c>
      <c r="AS163" s="1508">
        <f t="shared" ca="1" si="89"/>
        <v>1.3917104988900268</v>
      </c>
    </row>
    <row r="164" spans="1:45">
      <c r="A164" s="672">
        <f t="shared" si="64"/>
        <v>41579</v>
      </c>
      <c r="C164" s="1484">
        <f ca="1">IF($A164&gt;Endyr,0,VLOOKUP($A164,Tariff_Table,Tariff!$G$33))</f>
        <v>7433.43</v>
      </c>
      <c r="D164" s="1480">
        <f ca="1">VLOOKUP($A164,Curves_Table,Escalation!$V$291)</f>
        <v>1.5190107088932228</v>
      </c>
      <c r="E164" s="1483">
        <f t="shared" ca="1" si="65"/>
        <v>11291.45977380815</v>
      </c>
      <c r="F164" s="1480">
        <f ca="1">IF(Assm!$L$74=0,VLOOKUP($A164,Curves_Table,Escalation!$D$291),VLOOKUP($A164,Curves_Table,Escalation!$E$291))</f>
        <v>2.8112281989317403</v>
      </c>
      <c r="G164" s="113">
        <f ca="1">IF($A164&lt;EE_Date,VLOOKUP($A164,Curves_Table,Escalation!$D$291),Exch)</f>
        <v>1.0649999999999999</v>
      </c>
      <c r="H164" s="1483">
        <f t="shared" ca="1" si="66"/>
        <v>29805.511852800832</v>
      </c>
      <c r="I164" s="330">
        <f ca="1">VLOOKUP($A164,Plant_Table,'Plant Operations'!$C$270)</f>
        <v>480</v>
      </c>
      <c r="J164" s="1481">
        <f t="shared" ca="1" si="67"/>
        <v>14306.645689344399</v>
      </c>
      <c r="K164" s="1480">
        <f t="shared" ca="1" si="68"/>
        <v>2.8112281989317403</v>
      </c>
      <c r="L164" s="384">
        <f t="shared" ca="1" si="69"/>
        <v>5089.1086304487444</v>
      </c>
      <c r="M164" s="692" t="str">
        <f t="shared" ca="1" si="60"/>
        <v xml:space="preserve"> </v>
      </c>
      <c r="O164" s="1482">
        <f ca="1">IF($A164&gt;Endyr,0,VLOOKUP($A164,Tariff_Table,Tariff!$H$33))</f>
        <v>6146.82</v>
      </c>
      <c r="P164" s="1480">
        <f t="shared" ca="1" si="70"/>
        <v>1.3917104988900268</v>
      </c>
      <c r="Q164" s="1481">
        <f t="shared" ca="1" si="71"/>
        <v>8554.5939287871952</v>
      </c>
      <c r="R164" s="1480">
        <f t="shared" ca="1" si="72"/>
        <v>2.8112281989317403</v>
      </c>
      <c r="S164" s="113">
        <f t="shared" ca="1" si="73"/>
        <v>1.0649999999999999</v>
      </c>
      <c r="T164" s="1481">
        <f t="shared" ca="1" si="74"/>
        <v>22581.141486400775</v>
      </c>
      <c r="U164" s="330">
        <f t="shared" ca="1" si="75"/>
        <v>480</v>
      </c>
      <c r="V164" s="1481">
        <f t="shared" ca="1" si="76"/>
        <v>10838.947913472372</v>
      </c>
      <c r="W164" s="1480">
        <f t="shared" ca="1" si="77"/>
        <v>2.8112281989317403</v>
      </c>
      <c r="X164" s="384">
        <f t="shared" ca="1" si="78"/>
        <v>3855.5916298759184</v>
      </c>
      <c r="Y164" s="692" t="str">
        <f t="shared" ca="1" si="61"/>
        <v xml:space="preserve"> </v>
      </c>
      <c r="AA164" s="1484">
        <f ca="1">IF($A164&gt;Endyr,0,VLOOKUP($A164,Tariff_Table,Tariff!$I$33))</f>
        <v>2.3199999999999998</v>
      </c>
      <c r="AB164" s="1480">
        <f t="shared" ca="1" si="62"/>
        <v>1.3917104988900268</v>
      </c>
      <c r="AC164" s="1483">
        <f t="shared" ca="1" si="79"/>
        <v>3.2287683574248622</v>
      </c>
      <c r="AD164" s="1480">
        <f t="shared" ca="1" si="80"/>
        <v>2.8112281989317403</v>
      </c>
      <c r="AE164" s="113">
        <f t="shared" ca="1" si="81"/>
        <v>1.0649999999999999</v>
      </c>
      <c r="AF164" s="1483">
        <f t="shared" ca="1" si="82"/>
        <v>8.5228212715598968</v>
      </c>
      <c r="AG164" s="334">
        <f ca="1">VLOOKUP($A164,Plant_Table,'Plant Operations'!$M$270)</f>
        <v>289336.32000000001</v>
      </c>
      <c r="AH164" s="1481">
        <f t="shared" ca="1" si="83"/>
        <v>2465.9617427308613</v>
      </c>
      <c r="AI164" s="1480">
        <f t="shared" ca="1" si="84"/>
        <v>2.8112281989317403</v>
      </c>
      <c r="AJ164" s="335">
        <f t="shared" ca="1" si="85"/>
        <v>877.18305602793851</v>
      </c>
      <c r="AK164" s="698" t="str">
        <f t="shared" ca="1" si="63"/>
        <v xml:space="preserve"> </v>
      </c>
      <c r="AM164" s="697">
        <f ca="1">IF($A164&gt;Endyr,0,VLOOKUP($A164,Tariff_Table,Tariff!$L$33))</f>
        <v>1.21</v>
      </c>
      <c r="AN164" s="1504">
        <f ca="1">VLOOKUP($A164,Curves_Table,Escalation!$Z$291)</f>
        <v>1.4726424201482966</v>
      </c>
      <c r="AO164" s="331">
        <f t="shared" ca="1" si="86"/>
        <v>1.7818973283794388</v>
      </c>
      <c r="AP164" s="331">
        <f ca="1">IF($A164&gt;Endyr,0,VLOOKUP($A164,Tariff_Table,Tariff!$M$33))</f>
        <v>0.25</v>
      </c>
      <c r="AQ164" s="331">
        <f t="shared" ca="1" si="87"/>
        <v>2.031897328379439</v>
      </c>
      <c r="AR164" s="331">
        <f t="shared" ca="1" si="88"/>
        <v>1.46</v>
      </c>
      <c r="AS164" s="1508">
        <f t="shared" ca="1" si="89"/>
        <v>1.3917104988900268</v>
      </c>
    </row>
    <row r="165" spans="1:45">
      <c r="A165" s="672">
        <f t="shared" si="64"/>
        <v>41609</v>
      </c>
      <c r="C165" s="1484">
        <f ca="1">IF($A165&gt;Endyr,0,VLOOKUP($A165,Tariff_Table,Tariff!$G$33))</f>
        <v>7433.43</v>
      </c>
      <c r="D165" s="1480">
        <f ca="1">VLOOKUP($A165,Curves_Table,Escalation!$V$291)</f>
        <v>1.5190107088932228</v>
      </c>
      <c r="E165" s="1483">
        <f t="shared" ca="1" si="65"/>
        <v>11291.45977380815</v>
      </c>
      <c r="F165" s="1480">
        <f ca="1">IF(Assm!$L$74=0,VLOOKUP($A165,Curves_Table,Escalation!$D$291),VLOOKUP($A165,Curves_Table,Escalation!$E$291))</f>
        <v>2.8159006251389909</v>
      </c>
      <c r="G165" s="113">
        <f ca="1">IF($A165&lt;EE_Date,VLOOKUP($A165,Curves_Table,Escalation!$D$291),Exch)</f>
        <v>1.0649999999999999</v>
      </c>
      <c r="H165" s="1483">
        <f t="shared" ca="1" si="66"/>
        <v>29855.050362251772</v>
      </c>
      <c r="I165" s="330">
        <f ca="1">VLOOKUP($A165,Plant_Table,'Plant Operations'!$C$270)</f>
        <v>480</v>
      </c>
      <c r="J165" s="1481">
        <f t="shared" ca="1" si="67"/>
        <v>14330.424173880851</v>
      </c>
      <c r="K165" s="1480">
        <f t="shared" ca="1" si="68"/>
        <v>2.8159006251389909</v>
      </c>
      <c r="L165" s="384">
        <f t="shared" ca="1" si="69"/>
        <v>5089.1086304487435</v>
      </c>
      <c r="M165" s="692">
        <f t="shared" ca="1" si="60"/>
        <v>60560.068313788986</v>
      </c>
      <c r="O165" s="1482">
        <f ca="1">IF($A165&gt;Endyr,0,VLOOKUP($A165,Tariff_Table,Tariff!$H$33))</f>
        <v>6146.82</v>
      </c>
      <c r="P165" s="1480">
        <f t="shared" ca="1" si="70"/>
        <v>1.3917104988900268</v>
      </c>
      <c r="Q165" s="1481">
        <f t="shared" ca="1" si="71"/>
        <v>8554.5939287871952</v>
      </c>
      <c r="R165" s="1480">
        <f t="shared" ca="1" si="72"/>
        <v>2.8159006251389909</v>
      </c>
      <c r="S165" s="113">
        <f t="shared" ca="1" si="73"/>
        <v>1.0649999999999999</v>
      </c>
      <c r="T165" s="1481">
        <f t="shared" ca="1" si="74"/>
        <v>22618.672668433879</v>
      </c>
      <c r="U165" s="330">
        <f t="shared" ca="1" si="75"/>
        <v>480</v>
      </c>
      <c r="V165" s="1481">
        <f t="shared" ca="1" si="76"/>
        <v>10856.962880848263</v>
      </c>
      <c r="W165" s="1480">
        <f t="shared" ca="1" si="77"/>
        <v>2.8159006251389909</v>
      </c>
      <c r="X165" s="384">
        <f t="shared" ca="1" si="78"/>
        <v>3855.5916298759198</v>
      </c>
      <c r="Y165" s="692">
        <f t="shared" ca="1" si="61"/>
        <v>45935.911533156759</v>
      </c>
      <c r="AA165" s="1484">
        <f ca="1">IF($A165&gt;Endyr,0,VLOOKUP($A165,Tariff_Table,Tariff!$I$33))</f>
        <v>2.3199999999999998</v>
      </c>
      <c r="AB165" s="1480">
        <f t="shared" ca="1" si="62"/>
        <v>1.3917104988900268</v>
      </c>
      <c r="AC165" s="1483">
        <f t="shared" ca="1" si="79"/>
        <v>3.2287683574248622</v>
      </c>
      <c r="AD165" s="1480">
        <f t="shared" ca="1" si="80"/>
        <v>2.8159006251389909</v>
      </c>
      <c r="AE165" s="113">
        <f t="shared" ca="1" si="81"/>
        <v>1.0649999999999999</v>
      </c>
      <c r="AF165" s="1483">
        <f t="shared" ca="1" si="82"/>
        <v>8.5369867005649418</v>
      </c>
      <c r="AG165" s="334">
        <f ca="1">VLOOKUP($A165,Plant_Table,'Plant Operations'!$M$270)</f>
        <v>298980.864</v>
      </c>
      <c r="AH165" s="1481">
        <f t="shared" ca="1" si="83"/>
        <v>2552.3956596914159</v>
      </c>
      <c r="AI165" s="1480">
        <f t="shared" ca="1" si="84"/>
        <v>2.8159006251389909</v>
      </c>
      <c r="AJ165" s="335">
        <f t="shared" ca="1" si="85"/>
        <v>906.42249122886972</v>
      </c>
      <c r="AK165" s="698">
        <f t="shared" ca="1" si="63"/>
        <v>10589.542020892852</v>
      </c>
      <c r="AM165" s="697">
        <f ca="1">IF($A165&gt;Endyr,0,VLOOKUP($A165,Tariff_Table,Tariff!$L$33))</f>
        <v>1.21</v>
      </c>
      <c r="AN165" s="1504">
        <f ca="1">VLOOKUP($A165,Curves_Table,Escalation!$Z$291)</f>
        <v>1.4726424201482966</v>
      </c>
      <c r="AO165" s="331">
        <f t="shared" ca="1" si="86"/>
        <v>1.7818973283794388</v>
      </c>
      <c r="AP165" s="331">
        <f ca="1">IF($A165&gt;Endyr,0,VLOOKUP($A165,Tariff_Table,Tariff!$M$33))</f>
        <v>0.25</v>
      </c>
      <c r="AQ165" s="331">
        <f t="shared" ca="1" si="87"/>
        <v>2.031897328379439</v>
      </c>
      <c r="AR165" s="331">
        <f t="shared" ca="1" si="88"/>
        <v>1.46</v>
      </c>
      <c r="AS165" s="1508">
        <f t="shared" ca="1" si="89"/>
        <v>1.3917104988900268</v>
      </c>
    </row>
    <row r="166" spans="1:45">
      <c r="A166" s="672">
        <f t="shared" si="64"/>
        <v>41640</v>
      </c>
      <c r="C166" s="1484">
        <f ca="1">IF($A166&gt;Endyr,0,VLOOKUP($A166,Tariff_Table,Tariff!$G$33))</f>
        <v>7433.43</v>
      </c>
      <c r="D166" s="1480">
        <f ca="1">VLOOKUP($A166,Curves_Table,Escalation!$V$291)</f>
        <v>1.5190107088932228</v>
      </c>
      <c r="E166" s="1483">
        <f t="shared" ca="1" si="65"/>
        <v>11291.45977380815</v>
      </c>
      <c r="F166" s="1480">
        <f ca="1">IF(Assm!$L$74=0,VLOOKUP($A166,Curves_Table,Escalation!$D$291),VLOOKUP($A166,Curves_Table,Escalation!$E$291))</f>
        <v>2.8205502274907825</v>
      </c>
      <c r="G166" s="113">
        <f ca="1">IF($A166&lt;EE_Date,VLOOKUP($A166,Curves_Table,Escalation!$D$291),Exch)</f>
        <v>1.0649999999999999</v>
      </c>
      <c r="H166" s="1483">
        <f t="shared" ca="1" si="66"/>
        <v>29904.346886119813</v>
      </c>
      <c r="I166" s="330">
        <f ca="1">VLOOKUP($A166,Plant_Table,'Plant Operations'!$C$270)</f>
        <v>480</v>
      </c>
      <c r="J166" s="1481">
        <f t="shared" ca="1" si="67"/>
        <v>14354.086505337511</v>
      </c>
      <c r="K166" s="1480">
        <f t="shared" ca="1" si="68"/>
        <v>2.8205502274907825</v>
      </c>
      <c r="L166" s="384">
        <f t="shared" ca="1" si="69"/>
        <v>5089.1086304487444</v>
      </c>
      <c r="M166" s="692" t="str">
        <f t="shared" ca="1" si="60"/>
        <v xml:space="preserve"> </v>
      </c>
      <c r="O166" s="1482">
        <f ca="1">IF($A166&gt;Endyr,0,VLOOKUP($A166,Tariff_Table,Tariff!$H$33))</f>
        <v>6146.82</v>
      </c>
      <c r="P166" s="1480">
        <f t="shared" ca="1" si="70"/>
        <v>1.3917104988900268</v>
      </c>
      <c r="Q166" s="1481">
        <f t="shared" ca="1" si="71"/>
        <v>8554.5939287871952</v>
      </c>
      <c r="R166" s="1480">
        <f t="shared" ca="1" si="72"/>
        <v>2.8205502274907825</v>
      </c>
      <c r="S166" s="113">
        <f t="shared" ca="1" si="73"/>
        <v>1.0649999999999999</v>
      </c>
      <c r="T166" s="1481">
        <f t="shared" ca="1" si="74"/>
        <v>22656.020518246001</v>
      </c>
      <c r="U166" s="330">
        <f t="shared" ca="1" si="75"/>
        <v>480</v>
      </c>
      <c r="V166" s="1481">
        <f t="shared" ca="1" si="76"/>
        <v>10874.889848758081</v>
      </c>
      <c r="W166" s="1480">
        <f t="shared" ca="1" si="77"/>
        <v>2.8205502274907825</v>
      </c>
      <c r="X166" s="384">
        <f t="shared" ca="1" si="78"/>
        <v>3855.5916298759194</v>
      </c>
      <c r="Y166" s="692" t="str">
        <f t="shared" ca="1" si="61"/>
        <v xml:space="preserve"> </v>
      </c>
      <c r="AA166" s="1484">
        <f ca="1">IF($A166&gt;Endyr,0,VLOOKUP($A166,Tariff_Table,Tariff!$I$33))</f>
        <v>2.3199999999999998</v>
      </c>
      <c r="AB166" s="1480">
        <f t="shared" ca="1" si="62"/>
        <v>1.3917104988900268</v>
      </c>
      <c r="AC166" s="1483">
        <f t="shared" ca="1" si="79"/>
        <v>3.2287683574248622</v>
      </c>
      <c r="AD166" s="1480">
        <f t="shared" ca="1" si="80"/>
        <v>2.8205502274907825</v>
      </c>
      <c r="AE166" s="113">
        <f t="shared" ca="1" si="81"/>
        <v>1.0649999999999999</v>
      </c>
      <c r="AF166" s="1483">
        <f t="shared" ca="1" si="82"/>
        <v>8.5510829343190018</v>
      </c>
      <c r="AG166" s="334">
        <f ca="1">VLOOKUP($A166,Plant_Table,'Plant Operations'!$M$270)</f>
        <v>298980.864</v>
      </c>
      <c r="AH166" s="1481">
        <f t="shared" ca="1" si="83"/>
        <v>2556.6101638383502</v>
      </c>
      <c r="AI166" s="1480">
        <f t="shared" ca="1" si="84"/>
        <v>2.8205502274907825</v>
      </c>
      <c r="AJ166" s="335">
        <f t="shared" ca="1" si="85"/>
        <v>906.42249122886972</v>
      </c>
      <c r="AK166" s="698" t="str">
        <f t="shared" ca="1" si="63"/>
        <v xml:space="preserve"> </v>
      </c>
      <c r="AM166" s="697">
        <f ca="1">IF($A166&gt;Endyr,0,VLOOKUP($A166,Tariff_Table,Tariff!$L$33))</f>
        <v>1.21</v>
      </c>
      <c r="AN166" s="1504">
        <f ca="1">VLOOKUP($A166,Curves_Table,Escalation!$Z$291)</f>
        <v>1.4726424201482966</v>
      </c>
      <c r="AO166" s="331">
        <f t="shared" ca="1" si="86"/>
        <v>1.7818973283794388</v>
      </c>
      <c r="AP166" s="331">
        <f ca="1">IF($A166&gt;Endyr,0,VLOOKUP($A166,Tariff_Table,Tariff!$M$33))</f>
        <v>0.25</v>
      </c>
      <c r="AQ166" s="331">
        <f t="shared" ca="1" si="87"/>
        <v>2.031897328379439</v>
      </c>
      <c r="AR166" s="331">
        <f t="shared" ca="1" si="88"/>
        <v>1.46</v>
      </c>
      <c r="AS166" s="1508">
        <f t="shared" ca="1" si="89"/>
        <v>1.3917104988900268</v>
      </c>
    </row>
    <row r="167" spans="1:45">
      <c r="A167" s="672">
        <f t="shared" si="64"/>
        <v>41671</v>
      </c>
      <c r="C167" s="1484">
        <f ca="1">IF($A167&gt;Endyr,0,VLOOKUP($A167,Tariff_Table,Tariff!$G$33))</f>
        <v>7433.43</v>
      </c>
      <c r="D167" s="1480">
        <f ca="1">VLOOKUP($A167,Curves_Table,Escalation!$V$291)</f>
        <v>1.5190107088932228</v>
      </c>
      <c r="E167" s="1483">
        <f t="shared" ca="1" si="65"/>
        <v>11291.45977380815</v>
      </c>
      <c r="F167" s="1480">
        <f ca="1">IF(Assm!$L$74=0,VLOOKUP($A167,Curves_Table,Escalation!$D$291),VLOOKUP($A167,Curves_Table,Escalation!$E$291))</f>
        <v>2.8252075072449077</v>
      </c>
      <c r="G167" s="113">
        <f ca="1">IF($A167&lt;EE_Date,VLOOKUP($A167,Curves_Table,Escalation!$D$291),Exch)</f>
        <v>1.0649999999999999</v>
      </c>
      <c r="H167" s="1483">
        <f t="shared" ca="1" si="66"/>
        <v>29953.72480818467</v>
      </c>
      <c r="I167" s="330">
        <f ca="1">VLOOKUP($A167,Plant_Table,'Plant Operations'!$C$270)</f>
        <v>480</v>
      </c>
      <c r="J167" s="1481">
        <f t="shared" ca="1" si="67"/>
        <v>14377.787907928641</v>
      </c>
      <c r="K167" s="1480">
        <f t="shared" ca="1" si="68"/>
        <v>2.8252075072449077</v>
      </c>
      <c r="L167" s="384">
        <f t="shared" ca="1" si="69"/>
        <v>5089.1086304487435</v>
      </c>
      <c r="M167" s="692" t="str">
        <f t="shared" ca="1" si="60"/>
        <v xml:space="preserve"> </v>
      </c>
      <c r="O167" s="1482">
        <f ca="1">IF($A167&gt;Endyr,0,VLOOKUP($A167,Tariff_Table,Tariff!$H$33))</f>
        <v>6146.82</v>
      </c>
      <c r="P167" s="1480">
        <f t="shared" ca="1" si="70"/>
        <v>1.3917104988900268</v>
      </c>
      <c r="Q167" s="1481">
        <f t="shared" ca="1" si="71"/>
        <v>8554.5939287871952</v>
      </c>
      <c r="R167" s="1480">
        <f t="shared" ca="1" si="72"/>
        <v>2.8252075072449077</v>
      </c>
      <c r="S167" s="113">
        <f t="shared" ca="1" si="73"/>
        <v>1.0649999999999999</v>
      </c>
      <c r="T167" s="1481">
        <f t="shared" ca="1" si="74"/>
        <v>22693.43003665849</v>
      </c>
      <c r="U167" s="330">
        <f t="shared" ca="1" si="75"/>
        <v>480</v>
      </c>
      <c r="V167" s="1481">
        <f t="shared" ca="1" si="76"/>
        <v>10892.846417596076</v>
      </c>
      <c r="W167" s="1480">
        <f t="shared" ca="1" si="77"/>
        <v>2.8252075072449077</v>
      </c>
      <c r="X167" s="384">
        <f t="shared" ca="1" si="78"/>
        <v>3855.5916298759194</v>
      </c>
      <c r="Y167" s="692" t="str">
        <f t="shared" ca="1" si="61"/>
        <v xml:space="preserve"> </v>
      </c>
      <c r="AA167" s="1484">
        <f ca="1">IF($A167&gt;Endyr,0,VLOOKUP($A167,Tariff_Table,Tariff!$I$33))</f>
        <v>2.3199999999999998</v>
      </c>
      <c r="AB167" s="1480">
        <f t="shared" ca="1" si="62"/>
        <v>1.3917104988900268</v>
      </c>
      <c r="AC167" s="1483">
        <f t="shared" ca="1" si="79"/>
        <v>3.2287683574248622</v>
      </c>
      <c r="AD167" s="1480">
        <f t="shared" ca="1" si="80"/>
        <v>2.8252075072449077</v>
      </c>
      <c r="AE167" s="113">
        <f t="shared" ca="1" si="81"/>
        <v>1.0649999999999999</v>
      </c>
      <c r="AF167" s="1483">
        <f t="shared" ca="1" si="82"/>
        <v>8.5652024437103584</v>
      </c>
      <c r="AG167" s="334">
        <f ca="1">VLOOKUP($A167,Plant_Table,'Plant Operations'!$M$270)</f>
        <v>270047.23200000002</v>
      </c>
      <c r="AH167" s="1481">
        <f t="shared" ca="1" si="83"/>
        <v>2313.0092114436184</v>
      </c>
      <c r="AI167" s="1480">
        <f t="shared" ca="1" si="84"/>
        <v>2.8252075072449077</v>
      </c>
      <c r="AJ167" s="335">
        <f t="shared" ca="1" si="85"/>
        <v>818.70418562607597</v>
      </c>
      <c r="AK167" s="698" t="str">
        <f t="shared" ca="1" si="63"/>
        <v xml:space="preserve"> </v>
      </c>
      <c r="AM167" s="697">
        <f ca="1">IF($A167&gt;Endyr,0,VLOOKUP($A167,Tariff_Table,Tariff!$L$33))</f>
        <v>1.21</v>
      </c>
      <c r="AN167" s="1504">
        <f ca="1">VLOOKUP($A167,Curves_Table,Escalation!$Z$291)</f>
        <v>1.4726424201482966</v>
      </c>
      <c r="AO167" s="331">
        <f t="shared" ca="1" si="86"/>
        <v>1.7818973283794388</v>
      </c>
      <c r="AP167" s="331">
        <f ca="1">IF($A167&gt;Endyr,0,VLOOKUP($A167,Tariff_Table,Tariff!$M$33))</f>
        <v>0.25</v>
      </c>
      <c r="AQ167" s="331">
        <f t="shared" ca="1" si="87"/>
        <v>2.031897328379439</v>
      </c>
      <c r="AR167" s="331">
        <f t="shared" ca="1" si="88"/>
        <v>1.46</v>
      </c>
      <c r="AS167" s="1508">
        <f t="shared" ca="1" si="89"/>
        <v>1.3917104988900268</v>
      </c>
    </row>
    <row r="168" spans="1:45">
      <c r="A168" s="672">
        <f t="shared" si="64"/>
        <v>41699</v>
      </c>
      <c r="C168" s="1484">
        <f ca="1">IF($A168&gt;Endyr,0,VLOOKUP($A168,Tariff_Table,Tariff!$G$33))</f>
        <v>7433.43</v>
      </c>
      <c r="D168" s="1480">
        <f ca="1">VLOOKUP($A168,Curves_Table,Escalation!$V$291)</f>
        <v>1.5190107088932228</v>
      </c>
      <c r="E168" s="1483">
        <f t="shared" ca="1" si="65"/>
        <v>11291.45977380815</v>
      </c>
      <c r="F168" s="1480">
        <f ca="1">IF(Assm!$L$74=0,VLOOKUP($A168,Curves_Table,Escalation!$D$291),VLOOKUP($A168,Curves_Table,Escalation!$E$291))</f>
        <v>2.8298724770782577</v>
      </c>
      <c r="G168" s="113">
        <f ca="1">IF($A168&lt;EE_Date,VLOOKUP($A168,Curves_Table,Escalation!$D$291),Exch)</f>
        <v>1.0649999999999999</v>
      </c>
      <c r="H168" s="1483">
        <f t="shared" ca="1" si="66"/>
        <v>30003.184262850678</v>
      </c>
      <c r="I168" s="330">
        <f ca="1">VLOOKUP($A168,Plant_Table,'Plant Operations'!$C$270)</f>
        <v>480</v>
      </c>
      <c r="J168" s="1481">
        <f t="shared" ca="1" si="67"/>
        <v>14401.528446168326</v>
      </c>
      <c r="K168" s="1480">
        <f t="shared" ca="1" si="68"/>
        <v>2.8298724770782577</v>
      </c>
      <c r="L168" s="384">
        <f t="shared" ca="1" si="69"/>
        <v>5089.1086304487435</v>
      </c>
      <c r="M168" s="692" t="str">
        <f t="shared" ca="1" si="60"/>
        <v xml:space="preserve"> </v>
      </c>
      <c r="O168" s="1482">
        <f ca="1">IF($A168&gt;Endyr,0,VLOOKUP($A168,Tariff_Table,Tariff!$H$33))</f>
        <v>6146.82</v>
      </c>
      <c r="P168" s="1480">
        <f t="shared" ca="1" si="70"/>
        <v>1.3917104988900268</v>
      </c>
      <c r="Q168" s="1481">
        <f t="shared" ca="1" si="71"/>
        <v>8554.5939287871952</v>
      </c>
      <c r="R168" s="1480">
        <f t="shared" ca="1" si="72"/>
        <v>2.8298724770782577</v>
      </c>
      <c r="S168" s="113">
        <f t="shared" ca="1" si="73"/>
        <v>1.0649999999999999</v>
      </c>
      <c r="T168" s="1481">
        <f t="shared" ca="1" si="74"/>
        <v>22730.90132549826</v>
      </c>
      <c r="U168" s="330">
        <f t="shared" ca="1" si="75"/>
        <v>480</v>
      </c>
      <c r="V168" s="1481">
        <f t="shared" ca="1" si="76"/>
        <v>10910.832636239165</v>
      </c>
      <c r="W168" s="1480">
        <f t="shared" ca="1" si="77"/>
        <v>2.8298724770782577</v>
      </c>
      <c r="X168" s="384">
        <f t="shared" ca="1" si="78"/>
        <v>3855.5916298759194</v>
      </c>
      <c r="Y168" s="692" t="str">
        <f t="shared" ca="1" si="61"/>
        <v xml:space="preserve"> </v>
      </c>
      <c r="AA168" s="1484">
        <f ca="1">IF($A168&gt;Endyr,0,VLOOKUP($A168,Tariff_Table,Tariff!$I$33))</f>
        <v>2.3199999999999998</v>
      </c>
      <c r="AB168" s="1480">
        <f t="shared" ca="1" si="62"/>
        <v>1.3917104988900268</v>
      </c>
      <c r="AC168" s="1483">
        <f t="shared" ca="1" si="79"/>
        <v>3.2287683574248622</v>
      </c>
      <c r="AD168" s="1480">
        <f t="shared" ca="1" si="80"/>
        <v>2.8298724770782577</v>
      </c>
      <c r="AE168" s="113">
        <f t="shared" ca="1" si="81"/>
        <v>1.0649999999999999</v>
      </c>
      <c r="AF168" s="1483">
        <f t="shared" ca="1" si="82"/>
        <v>8.5793452671716377</v>
      </c>
      <c r="AG168" s="334">
        <f ca="1">VLOOKUP($A168,Plant_Table,'Plant Operations'!$M$270)</f>
        <v>298980.864</v>
      </c>
      <c r="AH168" s="1481">
        <f t="shared" ca="1" si="83"/>
        <v>2565.060060533287</v>
      </c>
      <c r="AI168" s="1480">
        <f t="shared" ca="1" si="84"/>
        <v>2.8298724770782577</v>
      </c>
      <c r="AJ168" s="335">
        <f t="shared" ca="1" si="85"/>
        <v>906.42249122886972</v>
      </c>
      <c r="AK168" s="698" t="str">
        <f t="shared" ca="1" si="63"/>
        <v xml:space="preserve"> </v>
      </c>
      <c r="AM168" s="697">
        <f ca="1">IF($A168&gt;Endyr,0,VLOOKUP($A168,Tariff_Table,Tariff!$L$33))</f>
        <v>1.21</v>
      </c>
      <c r="AN168" s="1504">
        <f ca="1">VLOOKUP($A168,Curves_Table,Escalation!$Z$291)</f>
        <v>1.4726424201482966</v>
      </c>
      <c r="AO168" s="331">
        <f t="shared" ca="1" si="86"/>
        <v>1.7818973283794388</v>
      </c>
      <c r="AP168" s="331">
        <f ca="1">IF($A168&gt;Endyr,0,VLOOKUP($A168,Tariff_Table,Tariff!$M$33))</f>
        <v>0.25</v>
      </c>
      <c r="AQ168" s="331">
        <f t="shared" ca="1" si="87"/>
        <v>2.031897328379439</v>
      </c>
      <c r="AR168" s="331">
        <f t="shared" ca="1" si="88"/>
        <v>1.46</v>
      </c>
      <c r="AS168" s="1508">
        <f t="shared" ca="1" si="89"/>
        <v>1.3917104988900268</v>
      </c>
    </row>
    <row r="169" spans="1:45">
      <c r="A169" s="672">
        <f t="shared" si="64"/>
        <v>41730</v>
      </c>
      <c r="C169" s="1484">
        <f ca="1">IF($A169&gt;Endyr,0,VLOOKUP($A169,Tariff_Table,Tariff!$G$33))</f>
        <v>7433.43</v>
      </c>
      <c r="D169" s="1480">
        <f ca="1">VLOOKUP($A169,Curves_Table,Escalation!$V$291)</f>
        <v>1.5190107088932228</v>
      </c>
      <c r="E169" s="1483">
        <f t="shared" ca="1" si="65"/>
        <v>11291.45977380815</v>
      </c>
      <c r="F169" s="1480">
        <f ca="1">IF(Assm!$L$74=0,VLOOKUP($A169,Curves_Table,Escalation!$D$291),VLOOKUP($A169,Curves_Table,Escalation!$E$291))</f>
        <v>2.8345451496886573</v>
      </c>
      <c r="G169" s="113">
        <f ca="1">IF($A169&lt;EE_Date,VLOOKUP($A169,Curves_Table,Escalation!$D$291),Exch)</f>
        <v>1.0649999999999999</v>
      </c>
      <c r="H169" s="1483">
        <f t="shared" ca="1" si="66"/>
        <v>30052.72538474411</v>
      </c>
      <c r="I169" s="330">
        <f ca="1">VLOOKUP($A169,Plant_Table,'Plant Operations'!$C$270)</f>
        <v>480</v>
      </c>
      <c r="J169" s="1481">
        <f t="shared" ca="1" si="67"/>
        <v>14425.308184677173</v>
      </c>
      <c r="K169" s="1480">
        <f t="shared" ca="1" si="68"/>
        <v>2.8345451496886573</v>
      </c>
      <c r="L169" s="384">
        <f t="shared" ca="1" si="69"/>
        <v>5089.1086304487444</v>
      </c>
      <c r="M169" s="692" t="str">
        <f t="shared" ca="1" si="60"/>
        <v xml:space="preserve"> </v>
      </c>
      <c r="O169" s="1482">
        <f ca="1">IF($A169&gt;Endyr,0,VLOOKUP($A169,Tariff_Table,Tariff!$H$33))</f>
        <v>6146.82</v>
      </c>
      <c r="P169" s="1480">
        <f t="shared" ca="1" si="70"/>
        <v>1.3917104988900268</v>
      </c>
      <c r="Q169" s="1481">
        <f t="shared" ca="1" si="71"/>
        <v>8554.5939287871952</v>
      </c>
      <c r="R169" s="1480">
        <f t="shared" ca="1" si="72"/>
        <v>2.8345451496886573</v>
      </c>
      <c r="S169" s="113">
        <f t="shared" ca="1" si="73"/>
        <v>1.0649999999999999</v>
      </c>
      <c r="T169" s="1481">
        <f t="shared" ca="1" si="74"/>
        <v>22768.434486760358</v>
      </c>
      <c r="U169" s="330">
        <f t="shared" ca="1" si="75"/>
        <v>480</v>
      </c>
      <c r="V169" s="1481">
        <f t="shared" ca="1" si="76"/>
        <v>10928.848553644972</v>
      </c>
      <c r="W169" s="1480">
        <f t="shared" ca="1" si="77"/>
        <v>2.8345451496886573</v>
      </c>
      <c r="X169" s="384">
        <f t="shared" ca="1" si="78"/>
        <v>3855.5916298759194</v>
      </c>
      <c r="Y169" s="692" t="str">
        <f t="shared" ca="1" si="61"/>
        <v xml:space="preserve"> </v>
      </c>
      <c r="AA169" s="1484">
        <f ca="1">IF($A169&gt;Endyr,0,VLOOKUP($A169,Tariff_Table,Tariff!$I$33))</f>
        <v>2.3199999999999998</v>
      </c>
      <c r="AB169" s="1480">
        <f t="shared" ca="1" si="62"/>
        <v>1.3917104988900268</v>
      </c>
      <c r="AC169" s="1483">
        <f t="shared" ca="1" si="79"/>
        <v>3.2287683574248622</v>
      </c>
      <c r="AD169" s="1480">
        <f t="shared" ca="1" si="80"/>
        <v>2.8345451496886573</v>
      </c>
      <c r="AE169" s="113">
        <f t="shared" ca="1" si="81"/>
        <v>1.0649999999999999</v>
      </c>
      <c r="AF169" s="1483">
        <f t="shared" ca="1" si="82"/>
        <v>8.5935114431989277</v>
      </c>
      <c r="AG169" s="334">
        <f ca="1">VLOOKUP($A169,Plant_Table,'Plant Operations'!$M$270)</f>
        <v>289336.32000000001</v>
      </c>
      <c r="AH169" s="1481">
        <f t="shared" ca="1" si="83"/>
        <v>2486.4149768530669</v>
      </c>
      <c r="AI169" s="1480">
        <f t="shared" ca="1" si="84"/>
        <v>2.8345451496886573</v>
      </c>
      <c r="AJ169" s="335">
        <f t="shared" ca="1" si="85"/>
        <v>877.18305602793851</v>
      </c>
      <c r="AK169" s="698" t="str">
        <f t="shared" ca="1" si="63"/>
        <v xml:space="preserve"> </v>
      </c>
      <c r="AM169" s="697">
        <f ca="1">IF($A169&gt;Endyr,0,VLOOKUP($A169,Tariff_Table,Tariff!$L$33))</f>
        <v>1.21</v>
      </c>
      <c r="AN169" s="1504">
        <f ca="1">VLOOKUP($A169,Curves_Table,Escalation!$Z$291)</f>
        <v>1.4726424201482966</v>
      </c>
      <c r="AO169" s="331">
        <f t="shared" ca="1" si="86"/>
        <v>1.7818973283794388</v>
      </c>
      <c r="AP169" s="331">
        <f ca="1">IF($A169&gt;Endyr,0,VLOOKUP($A169,Tariff_Table,Tariff!$M$33))</f>
        <v>0.25</v>
      </c>
      <c r="AQ169" s="331">
        <f t="shared" ca="1" si="87"/>
        <v>2.031897328379439</v>
      </c>
      <c r="AR169" s="331">
        <f t="shared" ca="1" si="88"/>
        <v>1.46</v>
      </c>
      <c r="AS169" s="1508">
        <f t="shared" ca="1" si="89"/>
        <v>1.3917104988900268</v>
      </c>
    </row>
    <row r="170" spans="1:45">
      <c r="A170" s="672">
        <f t="shared" si="64"/>
        <v>41760</v>
      </c>
      <c r="C170" s="1484">
        <f ca="1">IF($A170&gt;Endyr,0,VLOOKUP($A170,Tariff_Table,Tariff!$G$33))</f>
        <v>7424.62</v>
      </c>
      <c r="D170" s="1480">
        <f ca="1">VLOOKUP($A170,Curves_Table,Escalation!$V$291)</f>
        <v>1.5573978315409176</v>
      </c>
      <c r="E170" s="1483">
        <f t="shared" ca="1" si="65"/>
        <v>11563.087088015327</v>
      </c>
      <c r="F170" s="1480">
        <f ca="1">IF(Assm!$L$74=0,VLOOKUP($A170,Curves_Table,Escalation!$D$291),VLOOKUP($A170,Curves_Table,Escalation!$E$291))</f>
        <v>2.8392255377948965</v>
      </c>
      <c r="G170" s="113">
        <f ca="1">IF($A170&lt;EE_Date,VLOOKUP($A170,Curves_Table,Escalation!$D$291),Exch)</f>
        <v>1.0649999999999999</v>
      </c>
      <c r="H170" s="1483">
        <f t="shared" ca="1" si="66"/>
        <v>30826.49028736107</v>
      </c>
      <c r="I170" s="330">
        <f ca="1">VLOOKUP($A170,Plant_Table,'Plant Operations'!$C$270)</f>
        <v>480</v>
      </c>
      <c r="J170" s="1481">
        <f t="shared" ca="1" si="67"/>
        <v>14796.715337933314</v>
      </c>
      <c r="K170" s="1480">
        <f t="shared" ca="1" si="68"/>
        <v>2.8392255377948965</v>
      </c>
      <c r="L170" s="384">
        <f t="shared" ca="1" si="69"/>
        <v>5211.5322086829647</v>
      </c>
      <c r="M170" s="692" t="str">
        <f t="shared" ca="1" si="60"/>
        <v xml:space="preserve"> </v>
      </c>
      <c r="O170" s="1482">
        <f ca="1">IF($A170&gt;Endyr,0,VLOOKUP($A170,Tariff_Table,Tariff!$H$33))</f>
        <v>6118.02</v>
      </c>
      <c r="P170" s="1480">
        <f t="shared" ca="1" si="70"/>
        <v>1.4195021579474738</v>
      </c>
      <c r="Q170" s="1481">
        <f t="shared" ca="1" si="71"/>
        <v>8684.542592365804</v>
      </c>
      <c r="R170" s="1480">
        <f t="shared" ca="1" si="72"/>
        <v>2.8392255377948965</v>
      </c>
      <c r="S170" s="113">
        <f t="shared" ca="1" si="73"/>
        <v>1.0649999999999999</v>
      </c>
      <c r="T170" s="1481">
        <f t="shared" ca="1" si="74"/>
        <v>23152.464894190129</v>
      </c>
      <c r="U170" s="330">
        <f t="shared" ca="1" si="75"/>
        <v>480</v>
      </c>
      <c r="V170" s="1481">
        <f t="shared" ca="1" si="76"/>
        <v>11113.183149211261</v>
      </c>
      <c r="W170" s="1480">
        <f t="shared" ca="1" si="77"/>
        <v>2.8392255377948965</v>
      </c>
      <c r="X170" s="384">
        <f t="shared" ca="1" si="78"/>
        <v>3914.1600416296583</v>
      </c>
      <c r="Y170" s="692" t="str">
        <f t="shared" ca="1" si="61"/>
        <v xml:space="preserve"> </v>
      </c>
      <c r="AA170" s="1484">
        <f ca="1">IF($A170&gt;Endyr,0,VLOOKUP($A170,Tariff_Table,Tariff!$I$33))</f>
        <v>2.31</v>
      </c>
      <c r="AB170" s="1480">
        <f t="shared" ca="1" si="62"/>
        <v>1.4195021579474738</v>
      </c>
      <c r="AC170" s="1483">
        <f t="shared" ca="1" si="79"/>
        <v>3.2790499848586645</v>
      </c>
      <c r="AD170" s="1480">
        <f t="shared" ca="1" si="80"/>
        <v>2.8392255377948965</v>
      </c>
      <c r="AE170" s="113">
        <f t="shared" ca="1" si="81"/>
        <v>1.0649999999999999</v>
      </c>
      <c r="AF170" s="1483">
        <f t="shared" ca="1" si="82"/>
        <v>8.741748785649472</v>
      </c>
      <c r="AG170" s="334">
        <f ca="1">VLOOKUP($A170,Plant_Table,'Plant Operations'!$M$270)</f>
        <v>298980.864</v>
      </c>
      <c r="AH170" s="1481">
        <f t="shared" ca="1" si="83"/>
        <v>2613.6156048044299</v>
      </c>
      <c r="AI170" s="1480">
        <f t="shared" ca="1" si="84"/>
        <v>2.8392255377948965</v>
      </c>
      <c r="AJ170" s="335">
        <f t="shared" ca="1" si="85"/>
        <v>920.53821368284537</v>
      </c>
      <c r="AK170" s="698" t="str">
        <f t="shared" ca="1" si="63"/>
        <v xml:space="preserve"> </v>
      </c>
      <c r="AM170" s="697">
        <f ca="1">IF($A170&gt;Endyr,0,VLOOKUP($A170,Tariff_Table,Tariff!$L$33))</f>
        <v>1.21</v>
      </c>
      <c r="AN170" s="1504">
        <f ca="1">VLOOKUP($A170,Curves_Table,Escalation!$Z$291)</f>
        <v>1.5061761575233978</v>
      </c>
      <c r="AO170" s="331">
        <f t="shared" ca="1" si="86"/>
        <v>1.8224731506033114</v>
      </c>
      <c r="AP170" s="331">
        <f ca="1">IF($A170&gt;Endyr,0,VLOOKUP($A170,Tariff_Table,Tariff!$M$33))</f>
        <v>0.25</v>
      </c>
      <c r="AQ170" s="331">
        <f t="shared" ca="1" si="87"/>
        <v>2.0724731506033116</v>
      </c>
      <c r="AR170" s="331">
        <f t="shared" ca="1" si="88"/>
        <v>1.46</v>
      </c>
      <c r="AS170" s="1508">
        <f t="shared" ca="1" si="89"/>
        <v>1.4195021579474738</v>
      </c>
    </row>
    <row r="171" spans="1:45">
      <c r="A171" s="672">
        <f t="shared" si="64"/>
        <v>41791</v>
      </c>
      <c r="C171" s="1484">
        <f ca="1">IF($A171&gt;Endyr,0,VLOOKUP($A171,Tariff_Table,Tariff!$G$33))</f>
        <v>7424.62</v>
      </c>
      <c r="D171" s="1480">
        <f ca="1">VLOOKUP($A171,Curves_Table,Escalation!$V$291)</f>
        <v>1.5573978315409176</v>
      </c>
      <c r="E171" s="1483">
        <f t="shared" ca="1" si="65"/>
        <v>11563.087088015327</v>
      </c>
      <c r="F171" s="1480">
        <f ca="1">IF(Assm!$L$74=0,VLOOKUP($A171,Curves_Table,Escalation!$D$291),VLOOKUP($A171,Curves_Table,Escalation!$E$291))</f>
        <v>2.8439136541367671</v>
      </c>
      <c r="G171" s="113">
        <f ca="1">IF($A171&lt;EE_Date,VLOOKUP($A171,Curves_Table,Escalation!$D$291),Exch)</f>
        <v>1.0649999999999999</v>
      </c>
      <c r="H171" s="1483">
        <f t="shared" ca="1" si="66"/>
        <v>30877.390848431307</v>
      </c>
      <c r="I171" s="330">
        <f ca="1">VLOOKUP($A171,Plant_Table,'Plant Operations'!$C$270)</f>
        <v>480</v>
      </c>
      <c r="J171" s="1481">
        <f t="shared" ca="1" si="67"/>
        <v>14821.147607247027</v>
      </c>
      <c r="K171" s="1480">
        <f t="shared" ca="1" si="68"/>
        <v>2.8439136541367671</v>
      </c>
      <c r="L171" s="384">
        <f t="shared" ca="1" si="69"/>
        <v>5211.5322086829647</v>
      </c>
      <c r="M171" s="692" t="str">
        <f t="shared" ca="1" si="60"/>
        <v xml:space="preserve"> </v>
      </c>
      <c r="O171" s="1482">
        <f ca="1">IF($A171&gt;Endyr,0,VLOOKUP($A171,Tariff_Table,Tariff!$H$33))</f>
        <v>6118.02</v>
      </c>
      <c r="P171" s="1480">
        <f t="shared" ca="1" si="70"/>
        <v>1.4195021579474738</v>
      </c>
      <c r="Q171" s="1481">
        <f t="shared" ca="1" si="71"/>
        <v>8684.542592365804</v>
      </c>
      <c r="R171" s="1480">
        <f t="shared" ca="1" si="72"/>
        <v>2.8439136541367671</v>
      </c>
      <c r="S171" s="113">
        <f t="shared" ca="1" si="73"/>
        <v>1.0649999999999999</v>
      </c>
      <c r="T171" s="1481">
        <f t="shared" ca="1" si="74"/>
        <v>23190.694139306503</v>
      </c>
      <c r="U171" s="330">
        <f t="shared" ca="1" si="75"/>
        <v>480</v>
      </c>
      <c r="V171" s="1481">
        <f t="shared" ca="1" si="76"/>
        <v>11131.533186867122</v>
      </c>
      <c r="W171" s="1480">
        <f t="shared" ca="1" si="77"/>
        <v>2.8439136541367671</v>
      </c>
      <c r="X171" s="384">
        <f t="shared" ca="1" si="78"/>
        <v>3914.1600416296583</v>
      </c>
      <c r="Y171" s="692" t="str">
        <f t="shared" ca="1" si="61"/>
        <v xml:space="preserve"> </v>
      </c>
      <c r="AA171" s="1484">
        <f ca="1">IF($A171&gt;Endyr,0,VLOOKUP($A171,Tariff_Table,Tariff!$I$33))</f>
        <v>2.31</v>
      </c>
      <c r="AB171" s="1480">
        <f t="shared" ca="1" si="62"/>
        <v>1.4195021579474738</v>
      </c>
      <c r="AC171" s="1483">
        <f t="shared" ca="1" si="79"/>
        <v>3.2790499848586645</v>
      </c>
      <c r="AD171" s="1480">
        <f t="shared" ca="1" si="80"/>
        <v>2.8439136541367671</v>
      </c>
      <c r="AE171" s="113">
        <f t="shared" ca="1" si="81"/>
        <v>1.0649999999999999</v>
      </c>
      <c r="AF171" s="1483">
        <f t="shared" ca="1" si="82"/>
        <v>8.7561831216305315</v>
      </c>
      <c r="AG171" s="334">
        <f ca="1">VLOOKUP($A171,Plant_Table,'Plant Operations'!$M$270)</f>
        <v>289336.32000000001</v>
      </c>
      <c r="AH171" s="1481">
        <f t="shared" ca="1" si="83"/>
        <v>2533.4818016586905</v>
      </c>
      <c r="AI171" s="1480">
        <f t="shared" ca="1" si="84"/>
        <v>2.8439136541367671</v>
      </c>
      <c r="AJ171" s="335">
        <f t="shared" ca="1" si="85"/>
        <v>890.84343259630214</v>
      </c>
      <c r="AK171" s="698" t="str">
        <f t="shared" ca="1" si="63"/>
        <v xml:space="preserve"> </v>
      </c>
      <c r="AM171" s="697">
        <f ca="1">IF($A171&gt;Endyr,0,VLOOKUP($A171,Tariff_Table,Tariff!$L$33))</f>
        <v>1.21</v>
      </c>
      <c r="AN171" s="1504">
        <f ca="1">VLOOKUP($A171,Curves_Table,Escalation!$Z$291)</f>
        <v>1.5061761575233978</v>
      </c>
      <c r="AO171" s="331">
        <f t="shared" ca="1" si="86"/>
        <v>1.8224731506033114</v>
      </c>
      <c r="AP171" s="331">
        <f ca="1">IF($A171&gt;Endyr,0,VLOOKUP($A171,Tariff_Table,Tariff!$M$33))</f>
        <v>0.25</v>
      </c>
      <c r="AQ171" s="331">
        <f t="shared" ca="1" si="87"/>
        <v>2.0724731506033116</v>
      </c>
      <c r="AR171" s="331">
        <f t="shared" ca="1" si="88"/>
        <v>1.46</v>
      </c>
      <c r="AS171" s="1508">
        <f t="shared" ca="1" si="89"/>
        <v>1.4195021579474738</v>
      </c>
    </row>
    <row r="172" spans="1:45">
      <c r="A172" s="672">
        <f t="shared" si="64"/>
        <v>41821</v>
      </c>
      <c r="C172" s="1484">
        <f ca="1">IF($A172&gt;Endyr,0,VLOOKUP($A172,Tariff_Table,Tariff!$G$33))</f>
        <v>7424.62</v>
      </c>
      <c r="D172" s="1480">
        <f ca="1">VLOOKUP($A172,Curves_Table,Escalation!$V$291)</f>
        <v>1.5573978315409176</v>
      </c>
      <c r="E172" s="1483">
        <f t="shared" ca="1" si="65"/>
        <v>11563.087088015327</v>
      </c>
      <c r="F172" s="1480">
        <f ca="1">IF(Assm!$L$74=0,VLOOKUP($A172,Curves_Table,Escalation!$D$291),VLOOKUP($A172,Curves_Table,Escalation!$E$291))</f>
        <v>2.8486095114750971</v>
      </c>
      <c r="G172" s="113">
        <f ca="1">IF($A172&lt;EE_Date,VLOOKUP($A172,Curves_Table,Escalation!$D$291),Exch)</f>
        <v>1.0649999999999999</v>
      </c>
      <c r="H172" s="1483">
        <f t="shared" ca="1" si="66"/>
        <v>30928.375456277321</v>
      </c>
      <c r="I172" s="330">
        <f ca="1">VLOOKUP($A172,Plant_Table,'Plant Operations'!$C$270)</f>
        <v>480</v>
      </c>
      <c r="J172" s="1481">
        <f t="shared" ca="1" si="67"/>
        <v>14845.620219013113</v>
      </c>
      <c r="K172" s="1480">
        <f t="shared" ca="1" si="68"/>
        <v>2.8486095114750971</v>
      </c>
      <c r="L172" s="384">
        <f t="shared" ca="1" si="69"/>
        <v>5211.5322086829647</v>
      </c>
      <c r="M172" s="692" t="str">
        <f t="shared" ca="1" si="60"/>
        <v xml:space="preserve"> </v>
      </c>
      <c r="O172" s="1482">
        <f ca="1">IF($A172&gt;Endyr,0,VLOOKUP($A172,Tariff_Table,Tariff!$H$33))</f>
        <v>6118.02</v>
      </c>
      <c r="P172" s="1480">
        <f t="shared" ca="1" si="70"/>
        <v>1.4195021579474738</v>
      </c>
      <c r="Q172" s="1481">
        <f t="shared" ca="1" si="71"/>
        <v>8684.542592365804</v>
      </c>
      <c r="R172" s="1480">
        <f t="shared" ca="1" si="72"/>
        <v>2.8486095114750971</v>
      </c>
      <c r="S172" s="113">
        <f t="shared" ca="1" si="73"/>
        <v>1.0649999999999999</v>
      </c>
      <c r="T172" s="1481">
        <f t="shared" ca="1" si="74"/>
        <v>23228.986508379181</v>
      </c>
      <c r="U172" s="330">
        <f t="shared" ca="1" si="75"/>
        <v>480</v>
      </c>
      <c r="V172" s="1481">
        <f t="shared" ca="1" si="76"/>
        <v>11149.913524022008</v>
      </c>
      <c r="W172" s="1480">
        <f t="shared" ca="1" si="77"/>
        <v>2.8486095114750971</v>
      </c>
      <c r="X172" s="384">
        <f t="shared" ca="1" si="78"/>
        <v>3914.1600416296587</v>
      </c>
      <c r="Y172" s="692" t="str">
        <f t="shared" ca="1" si="61"/>
        <v xml:space="preserve"> </v>
      </c>
      <c r="AA172" s="1484">
        <f ca="1">IF($A172&gt;Endyr,0,VLOOKUP($A172,Tariff_Table,Tariff!$I$33))</f>
        <v>2.31</v>
      </c>
      <c r="AB172" s="1480">
        <f t="shared" ca="1" si="62"/>
        <v>1.4195021579474738</v>
      </c>
      <c r="AC172" s="1483">
        <f t="shared" ca="1" si="79"/>
        <v>3.2790499848586645</v>
      </c>
      <c r="AD172" s="1480">
        <f t="shared" ca="1" si="80"/>
        <v>2.8486095114750971</v>
      </c>
      <c r="AE172" s="113">
        <f t="shared" ca="1" si="81"/>
        <v>1.0649999999999999</v>
      </c>
      <c r="AF172" s="1483">
        <f t="shared" ca="1" si="82"/>
        <v>8.770641291521752</v>
      </c>
      <c r="AG172" s="334">
        <f ca="1">VLOOKUP($A172,Plant_Table,'Plant Operations'!$M$270)</f>
        <v>298980.864</v>
      </c>
      <c r="AH172" s="1481">
        <f t="shared" ca="1" si="83"/>
        <v>2622.253911173249</v>
      </c>
      <c r="AI172" s="1480">
        <f t="shared" ca="1" si="84"/>
        <v>2.8486095114750971</v>
      </c>
      <c r="AJ172" s="335">
        <f t="shared" ca="1" si="85"/>
        <v>920.53821368284548</v>
      </c>
      <c r="AK172" s="698" t="str">
        <f t="shared" ca="1" si="63"/>
        <v xml:space="preserve"> </v>
      </c>
      <c r="AM172" s="697">
        <f ca="1">IF($A172&gt;Endyr,0,VLOOKUP($A172,Tariff_Table,Tariff!$L$33))</f>
        <v>1.21</v>
      </c>
      <c r="AN172" s="1504">
        <f ca="1">VLOOKUP($A172,Curves_Table,Escalation!$Z$291)</f>
        <v>1.5061761575233978</v>
      </c>
      <c r="AO172" s="331">
        <f t="shared" ca="1" si="86"/>
        <v>1.8224731506033114</v>
      </c>
      <c r="AP172" s="331">
        <f ca="1">IF($A172&gt;Endyr,0,VLOOKUP($A172,Tariff_Table,Tariff!$M$33))</f>
        <v>0.25</v>
      </c>
      <c r="AQ172" s="331">
        <f t="shared" ca="1" si="87"/>
        <v>2.0724731506033116</v>
      </c>
      <c r="AR172" s="331">
        <f t="shared" ca="1" si="88"/>
        <v>1.46</v>
      </c>
      <c r="AS172" s="1508">
        <f t="shared" ca="1" si="89"/>
        <v>1.4195021579474738</v>
      </c>
    </row>
    <row r="173" spans="1:45">
      <c r="A173" s="672">
        <f t="shared" si="64"/>
        <v>41852</v>
      </c>
      <c r="C173" s="1484">
        <f ca="1">IF($A173&gt;Endyr,0,VLOOKUP($A173,Tariff_Table,Tariff!$G$33))</f>
        <v>7424.62</v>
      </c>
      <c r="D173" s="1480">
        <f ca="1">VLOOKUP($A173,Curves_Table,Escalation!$V$291)</f>
        <v>1.5573978315409176</v>
      </c>
      <c r="E173" s="1483">
        <f t="shared" ca="1" si="65"/>
        <v>11563.087088015327</v>
      </c>
      <c r="F173" s="1480">
        <f ca="1">IF(Assm!$L$74=0,VLOOKUP($A173,Curves_Table,Escalation!$D$291),VLOOKUP($A173,Curves_Table,Escalation!$E$291))</f>
        <v>2.8533131225917847</v>
      </c>
      <c r="G173" s="113">
        <f ca="1">IF($A173&lt;EE_Date,VLOOKUP($A173,Curves_Table,Escalation!$D$291),Exch)</f>
        <v>1.0649999999999999</v>
      </c>
      <c r="H173" s="1483">
        <f t="shared" ca="1" si="66"/>
        <v>30979.444249676773</v>
      </c>
      <c r="I173" s="330">
        <f ca="1">VLOOKUP($A173,Plant_Table,'Plant Operations'!$C$270)</f>
        <v>480</v>
      </c>
      <c r="J173" s="1481">
        <f t="shared" ca="1" si="67"/>
        <v>14870.13323984485</v>
      </c>
      <c r="K173" s="1480">
        <f t="shared" ca="1" si="68"/>
        <v>2.8533131225917847</v>
      </c>
      <c r="L173" s="384">
        <f t="shared" ca="1" si="69"/>
        <v>5211.5322086829647</v>
      </c>
      <c r="M173" s="692" t="str">
        <f t="shared" ca="1" si="60"/>
        <v xml:space="preserve"> </v>
      </c>
      <c r="O173" s="1482">
        <f ca="1">IF($A173&gt;Endyr,0,VLOOKUP($A173,Tariff_Table,Tariff!$H$33))</f>
        <v>6118.02</v>
      </c>
      <c r="P173" s="1480">
        <f t="shared" ca="1" si="70"/>
        <v>1.4195021579474738</v>
      </c>
      <c r="Q173" s="1481">
        <f t="shared" ca="1" si="71"/>
        <v>8684.542592365804</v>
      </c>
      <c r="R173" s="1480">
        <f t="shared" ca="1" si="72"/>
        <v>2.8533131225917847</v>
      </c>
      <c r="S173" s="113">
        <f t="shared" ca="1" si="73"/>
        <v>1.0649999999999999</v>
      </c>
      <c r="T173" s="1481">
        <f t="shared" ca="1" si="74"/>
        <v>23267.342105638145</v>
      </c>
      <c r="U173" s="330">
        <f t="shared" ca="1" si="75"/>
        <v>480</v>
      </c>
      <c r="V173" s="1481">
        <f t="shared" ca="1" si="76"/>
        <v>11168.324210706311</v>
      </c>
      <c r="W173" s="1480">
        <f t="shared" ca="1" si="77"/>
        <v>2.8533131225917847</v>
      </c>
      <c r="X173" s="384">
        <f t="shared" ca="1" si="78"/>
        <v>3914.1600416296583</v>
      </c>
      <c r="Y173" s="692" t="str">
        <f t="shared" ca="1" si="61"/>
        <v xml:space="preserve"> </v>
      </c>
      <c r="AA173" s="1484">
        <f ca="1">IF($A173&gt;Endyr,0,VLOOKUP($A173,Tariff_Table,Tariff!$I$33))</f>
        <v>2.31</v>
      </c>
      <c r="AB173" s="1480">
        <f t="shared" ca="1" si="62"/>
        <v>1.4195021579474738</v>
      </c>
      <c r="AC173" s="1483">
        <f t="shared" ca="1" si="79"/>
        <v>3.2790499848586645</v>
      </c>
      <c r="AD173" s="1480">
        <f t="shared" ca="1" si="80"/>
        <v>2.8533131225917847</v>
      </c>
      <c r="AE173" s="113">
        <f t="shared" ca="1" si="81"/>
        <v>1.0649999999999999</v>
      </c>
      <c r="AF173" s="1483">
        <f t="shared" ca="1" si="82"/>
        <v>8.7851233346775786</v>
      </c>
      <c r="AG173" s="334">
        <f ca="1">VLOOKUP($A173,Plant_Table,'Plant Operations'!$M$270)</f>
        <v>298980.864</v>
      </c>
      <c r="AH173" s="1481">
        <f t="shared" ca="1" si="83"/>
        <v>2626.5837649484633</v>
      </c>
      <c r="AI173" s="1480">
        <f t="shared" ca="1" si="84"/>
        <v>2.8533131225917847</v>
      </c>
      <c r="AJ173" s="335">
        <f t="shared" ca="1" si="85"/>
        <v>920.53821368284548</v>
      </c>
      <c r="AK173" s="698" t="str">
        <f t="shared" ca="1" si="63"/>
        <v xml:space="preserve"> </v>
      </c>
      <c r="AM173" s="697">
        <f ca="1">IF($A173&gt;Endyr,0,VLOOKUP($A173,Tariff_Table,Tariff!$L$33))</f>
        <v>1.21</v>
      </c>
      <c r="AN173" s="1504">
        <f ca="1">VLOOKUP($A173,Curves_Table,Escalation!$Z$291)</f>
        <v>1.5061761575233978</v>
      </c>
      <c r="AO173" s="331">
        <f t="shared" ca="1" si="86"/>
        <v>1.8224731506033114</v>
      </c>
      <c r="AP173" s="331">
        <f ca="1">IF($A173&gt;Endyr,0,VLOOKUP($A173,Tariff_Table,Tariff!$M$33))</f>
        <v>0.25</v>
      </c>
      <c r="AQ173" s="331">
        <f t="shared" ca="1" si="87"/>
        <v>2.0724731506033116</v>
      </c>
      <c r="AR173" s="331">
        <f t="shared" ca="1" si="88"/>
        <v>1.46</v>
      </c>
      <c r="AS173" s="1508">
        <f t="shared" ca="1" si="89"/>
        <v>1.4195021579474738</v>
      </c>
    </row>
    <row r="174" spans="1:45">
      <c r="A174" s="672">
        <f t="shared" si="64"/>
        <v>41883</v>
      </c>
      <c r="C174" s="1484">
        <f ca="1">IF($A174&gt;Endyr,0,VLOOKUP($A174,Tariff_Table,Tariff!$G$33))</f>
        <v>7424.62</v>
      </c>
      <c r="D174" s="1480">
        <f ca="1">VLOOKUP($A174,Curves_Table,Escalation!$V$291)</f>
        <v>1.5573978315409176</v>
      </c>
      <c r="E174" s="1483">
        <f t="shared" ca="1" si="65"/>
        <v>11563.087088015327</v>
      </c>
      <c r="F174" s="1480">
        <f ca="1">IF(Assm!$L$74=0,VLOOKUP($A174,Curves_Table,Escalation!$D$291),VLOOKUP($A174,Curves_Table,Escalation!$E$291))</f>
        <v>2.8580245002898335</v>
      </c>
      <c r="G174" s="113">
        <f ca="1">IF($A174&lt;EE_Date,VLOOKUP($A174,Curves_Table,Escalation!$D$291),Exch)</f>
        <v>1.0649999999999999</v>
      </c>
      <c r="H174" s="1483">
        <f t="shared" ca="1" si="66"/>
        <v>31030.597367636463</v>
      </c>
      <c r="I174" s="330">
        <f ca="1">VLOOKUP($A174,Plant_Table,'Plant Operations'!$C$270)</f>
        <v>480</v>
      </c>
      <c r="J174" s="1481">
        <f t="shared" ca="1" si="67"/>
        <v>14894.686736465503</v>
      </c>
      <c r="K174" s="1480">
        <f t="shared" ca="1" si="68"/>
        <v>2.8580245002898335</v>
      </c>
      <c r="L174" s="384">
        <f t="shared" ca="1" si="69"/>
        <v>5211.5322086829647</v>
      </c>
      <c r="M174" s="692" t="str">
        <f t="shared" ca="1" si="60"/>
        <v xml:space="preserve"> </v>
      </c>
      <c r="O174" s="1482">
        <f ca="1">IF($A174&gt;Endyr,0,VLOOKUP($A174,Tariff_Table,Tariff!$H$33))</f>
        <v>6118.02</v>
      </c>
      <c r="P174" s="1480">
        <f t="shared" ca="1" si="70"/>
        <v>1.4195021579474738</v>
      </c>
      <c r="Q174" s="1481">
        <f t="shared" ca="1" si="71"/>
        <v>8684.542592365804</v>
      </c>
      <c r="R174" s="1480">
        <f t="shared" ca="1" si="72"/>
        <v>2.8580245002898335</v>
      </c>
      <c r="S174" s="113">
        <f t="shared" ca="1" si="73"/>
        <v>1.0649999999999999</v>
      </c>
      <c r="T174" s="1481">
        <f t="shared" ca="1" si="74"/>
        <v>23305.761035485495</v>
      </c>
      <c r="U174" s="330">
        <f t="shared" ca="1" si="75"/>
        <v>480</v>
      </c>
      <c r="V174" s="1481">
        <f t="shared" ca="1" si="76"/>
        <v>11186.765297033038</v>
      </c>
      <c r="W174" s="1480">
        <f t="shared" ca="1" si="77"/>
        <v>2.8580245002898335</v>
      </c>
      <c r="X174" s="384">
        <f t="shared" ca="1" si="78"/>
        <v>3914.1600416296583</v>
      </c>
      <c r="Y174" s="692" t="str">
        <f t="shared" ca="1" si="61"/>
        <v xml:space="preserve"> </v>
      </c>
      <c r="AA174" s="1484">
        <f ca="1">IF($A174&gt;Endyr,0,VLOOKUP($A174,Tariff_Table,Tariff!$I$33))</f>
        <v>2.31</v>
      </c>
      <c r="AB174" s="1480">
        <f t="shared" ca="1" si="62"/>
        <v>1.4195021579474738</v>
      </c>
      <c r="AC174" s="1483">
        <f t="shared" ca="1" si="79"/>
        <v>3.2790499848586645</v>
      </c>
      <c r="AD174" s="1480">
        <f t="shared" ca="1" si="80"/>
        <v>2.8580245002898335</v>
      </c>
      <c r="AE174" s="113">
        <f t="shared" ca="1" si="81"/>
        <v>1.0649999999999999</v>
      </c>
      <c r="AF174" s="1483">
        <f t="shared" ca="1" si="82"/>
        <v>8.7996292905174371</v>
      </c>
      <c r="AG174" s="334">
        <f ca="1">VLOOKUP($A174,Plant_Table,'Plant Operations'!$M$270)</f>
        <v>289336.32000000001</v>
      </c>
      <c r="AH174" s="1481">
        <f t="shared" ca="1" si="83"/>
        <v>2546.052356282526</v>
      </c>
      <c r="AI174" s="1480">
        <f t="shared" ca="1" si="84"/>
        <v>2.8580245002898335</v>
      </c>
      <c r="AJ174" s="335">
        <f t="shared" ca="1" si="85"/>
        <v>890.84343259630202</v>
      </c>
      <c r="AK174" s="698" t="str">
        <f t="shared" ca="1" si="63"/>
        <v xml:space="preserve"> </v>
      </c>
      <c r="AM174" s="697">
        <f ca="1">IF($A174&gt;Endyr,0,VLOOKUP($A174,Tariff_Table,Tariff!$L$33))</f>
        <v>1.21</v>
      </c>
      <c r="AN174" s="1504">
        <f ca="1">VLOOKUP($A174,Curves_Table,Escalation!$Z$291)</f>
        <v>1.5061761575233978</v>
      </c>
      <c r="AO174" s="331">
        <f t="shared" ca="1" si="86"/>
        <v>1.8224731506033114</v>
      </c>
      <c r="AP174" s="331">
        <f ca="1">IF($A174&gt;Endyr,0,VLOOKUP($A174,Tariff_Table,Tariff!$M$33))</f>
        <v>0.25</v>
      </c>
      <c r="AQ174" s="331">
        <f t="shared" ca="1" si="87"/>
        <v>2.0724731506033116</v>
      </c>
      <c r="AR174" s="331">
        <f t="shared" ca="1" si="88"/>
        <v>1.46</v>
      </c>
      <c r="AS174" s="1508">
        <f t="shared" ca="1" si="89"/>
        <v>1.4195021579474738</v>
      </c>
    </row>
    <row r="175" spans="1:45">
      <c r="A175" s="672">
        <f t="shared" si="64"/>
        <v>41913</v>
      </c>
      <c r="C175" s="1484">
        <f ca="1">IF($A175&gt;Endyr,0,VLOOKUP($A175,Tariff_Table,Tariff!$G$33))</f>
        <v>7424.62</v>
      </c>
      <c r="D175" s="1480">
        <f ca="1">VLOOKUP($A175,Curves_Table,Escalation!$V$291)</f>
        <v>1.5573978315409176</v>
      </c>
      <c r="E175" s="1483">
        <f t="shared" ca="1" si="65"/>
        <v>11563.087088015327</v>
      </c>
      <c r="F175" s="1480">
        <f ca="1">IF(Assm!$L$74=0,VLOOKUP($A175,Curves_Table,Escalation!$D$291),VLOOKUP($A175,Curves_Table,Escalation!$E$291))</f>
        <v>2.8627436573933873</v>
      </c>
      <c r="G175" s="113">
        <f ca="1">IF($A175&lt;EE_Date,VLOOKUP($A175,Curves_Table,Escalation!$D$291),Exch)</f>
        <v>1.0649999999999999</v>
      </c>
      <c r="H175" s="1483">
        <f t="shared" ca="1" si="66"/>
        <v>31081.834949392724</v>
      </c>
      <c r="I175" s="330">
        <f ca="1">VLOOKUP($A175,Plant_Table,'Plant Operations'!$C$270)</f>
        <v>480</v>
      </c>
      <c r="J175" s="1481">
        <f t="shared" ca="1" si="67"/>
        <v>14919.280775708508</v>
      </c>
      <c r="K175" s="1480">
        <f t="shared" ca="1" si="68"/>
        <v>2.8627436573933873</v>
      </c>
      <c r="L175" s="384">
        <f t="shared" ca="1" si="69"/>
        <v>5211.5322086829647</v>
      </c>
      <c r="M175" s="692" t="str">
        <f t="shared" ca="1" si="60"/>
        <v xml:space="preserve"> </v>
      </c>
      <c r="O175" s="1482">
        <f ca="1">IF($A175&gt;Endyr,0,VLOOKUP($A175,Tariff_Table,Tariff!$H$33))</f>
        <v>6118.02</v>
      </c>
      <c r="P175" s="1480">
        <f t="shared" ca="1" si="70"/>
        <v>1.4195021579474738</v>
      </c>
      <c r="Q175" s="1481">
        <f t="shared" ca="1" si="71"/>
        <v>8684.542592365804</v>
      </c>
      <c r="R175" s="1480">
        <f t="shared" ca="1" si="72"/>
        <v>2.8627436573933873</v>
      </c>
      <c r="S175" s="113">
        <f t="shared" ca="1" si="73"/>
        <v>1.0649999999999999</v>
      </c>
      <c r="T175" s="1481">
        <f t="shared" ca="1" si="74"/>
        <v>23344.243402495711</v>
      </c>
      <c r="U175" s="330">
        <f t="shared" ca="1" si="75"/>
        <v>480</v>
      </c>
      <c r="V175" s="1481">
        <f t="shared" ca="1" si="76"/>
        <v>11205.236833197941</v>
      </c>
      <c r="W175" s="1480">
        <f t="shared" ca="1" si="77"/>
        <v>2.8627436573933873</v>
      </c>
      <c r="X175" s="384">
        <f t="shared" ca="1" si="78"/>
        <v>3914.1600416296583</v>
      </c>
      <c r="Y175" s="692" t="str">
        <f t="shared" ca="1" si="61"/>
        <v xml:space="preserve"> </v>
      </c>
      <c r="AA175" s="1484">
        <f ca="1">IF($A175&gt;Endyr,0,VLOOKUP($A175,Tariff_Table,Tariff!$I$33))</f>
        <v>2.31</v>
      </c>
      <c r="AB175" s="1480">
        <f t="shared" ca="1" si="62"/>
        <v>1.4195021579474738</v>
      </c>
      <c r="AC175" s="1483">
        <f t="shared" ca="1" si="79"/>
        <v>3.2790499848586645</v>
      </c>
      <c r="AD175" s="1480">
        <f t="shared" ca="1" si="80"/>
        <v>2.8627436573933873</v>
      </c>
      <c r="AE175" s="113">
        <f t="shared" ca="1" si="81"/>
        <v>1.0649999999999999</v>
      </c>
      <c r="AF175" s="1483">
        <f t="shared" ca="1" si="82"/>
        <v>8.8141591985258447</v>
      </c>
      <c r="AG175" s="334">
        <f ca="1">VLOOKUP($A175,Plant_Table,'Plant Operations'!$M$270)</f>
        <v>298980.864</v>
      </c>
      <c r="AH175" s="1481">
        <f t="shared" ca="1" si="83"/>
        <v>2635.2649326088049</v>
      </c>
      <c r="AI175" s="1480">
        <f t="shared" ca="1" si="84"/>
        <v>2.8627436573933873</v>
      </c>
      <c r="AJ175" s="335">
        <f t="shared" ca="1" si="85"/>
        <v>920.53821368284559</v>
      </c>
      <c r="AK175" s="698" t="str">
        <f t="shared" ca="1" si="63"/>
        <v xml:space="preserve"> </v>
      </c>
      <c r="AM175" s="697">
        <f ca="1">IF($A175&gt;Endyr,0,VLOOKUP($A175,Tariff_Table,Tariff!$L$33))</f>
        <v>1.21</v>
      </c>
      <c r="AN175" s="1504">
        <f ca="1">VLOOKUP($A175,Curves_Table,Escalation!$Z$291)</f>
        <v>1.5061761575233978</v>
      </c>
      <c r="AO175" s="331">
        <f t="shared" ca="1" si="86"/>
        <v>1.8224731506033114</v>
      </c>
      <c r="AP175" s="331">
        <f ca="1">IF($A175&gt;Endyr,0,VLOOKUP($A175,Tariff_Table,Tariff!$M$33))</f>
        <v>0.25</v>
      </c>
      <c r="AQ175" s="331">
        <f t="shared" ca="1" si="87"/>
        <v>2.0724731506033116</v>
      </c>
      <c r="AR175" s="331">
        <f t="shared" ca="1" si="88"/>
        <v>1.46</v>
      </c>
      <c r="AS175" s="1508">
        <f t="shared" ca="1" si="89"/>
        <v>1.4195021579474738</v>
      </c>
    </row>
    <row r="176" spans="1:45">
      <c r="A176" s="672">
        <f t="shared" si="64"/>
        <v>41944</v>
      </c>
      <c r="C176" s="1484">
        <f ca="1">IF($A176&gt;Endyr,0,VLOOKUP($A176,Tariff_Table,Tariff!$G$33))</f>
        <v>7424.62</v>
      </c>
      <c r="D176" s="1480">
        <f ca="1">VLOOKUP($A176,Curves_Table,Escalation!$V$291)</f>
        <v>1.5573978315409176</v>
      </c>
      <c r="E176" s="1483">
        <f t="shared" ca="1" si="65"/>
        <v>11563.087088015327</v>
      </c>
      <c r="F176" s="1480">
        <f ca="1">IF(Assm!$L$74=0,VLOOKUP($A176,Curves_Table,Escalation!$D$291),VLOOKUP($A176,Curves_Table,Escalation!$E$291))</f>
        <v>2.8674706067477653</v>
      </c>
      <c r="G176" s="113">
        <f ca="1">IF($A176&lt;EE_Date,VLOOKUP($A176,Curves_Table,Escalation!$D$291),Exch)</f>
        <v>1.0649999999999999</v>
      </c>
      <c r="H176" s="1483">
        <f t="shared" ca="1" si="66"/>
        <v>31133.157134411795</v>
      </c>
      <c r="I176" s="330">
        <f ca="1">VLOOKUP($A176,Plant_Table,'Plant Operations'!$C$270)</f>
        <v>480</v>
      </c>
      <c r="J176" s="1481">
        <f t="shared" ca="1" si="67"/>
        <v>14943.915424517661</v>
      </c>
      <c r="K176" s="1480">
        <f t="shared" ca="1" si="68"/>
        <v>2.8674706067477653</v>
      </c>
      <c r="L176" s="384">
        <f t="shared" ca="1" si="69"/>
        <v>5211.5322086829647</v>
      </c>
      <c r="M176" s="692" t="str">
        <f t="shared" ca="1" si="60"/>
        <v xml:space="preserve"> </v>
      </c>
      <c r="O176" s="1482">
        <f ca="1">IF($A176&gt;Endyr,0,VLOOKUP($A176,Tariff_Table,Tariff!$H$33))</f>
        <v>6118.02</v>
      </c>
      <c r="P176" s="1480">
        <f t="shared" ca="1" si="70"/>
        <v>1.4195021579474738</v>
      </c>
      <c r="Q176" s="1481">
        <f t="shared" ca="1" si="71"/>
        <v>8684.542592365804</v>
      </c>
      <c r="R176" s="1480">
        <f t="shared" ca="1" si="72"/>
        <v>2.8674706067477653</v>
      </c>
      <c r="S176" s="113">
        <f t="shared" ca="1" si="73"/>
        <v>1.0649999999999999</v>
      </c>
      <c r="T176" s="1481">
        <f t="shared" ca="1" si="74"/>
        <v>23382.789311415949</v>
      </c>
      <c r="U176" s="330">
        <f t="shared" ca="1" si="75"/>
        <v>480</v>
      </c>
      <c r="V176" s="1481">
        <f t="shared" ca="1" si="76"/>
        <v>11223.738869479655</v>
      </c>
      <c r="W176" s="1480">
        <f t="shared" ca="1" si="77"/>
        <v>2.8674706067477653</v>
      </c>
      <c r="X176" s="384">
        <f t="shared" ca="1" si="78"/>
        <v>3914.1600416296587</v>
      </c>
      <c r="Y176" s="692" t="str">
        <f t="shared" ca="1" si="61"/>
        <v xml:space="preserve"> </v>
      </c>
      <c r="AA176" s="1484">
        <f ca="1">IF($A176&gt;Endyr,0,VLOOKUP($A176,Tariff_Table,Tariff!$I$33))</f>
        <v>2.31</v>
      </c>
      <c r="AB176" s="1480">
        <f t="shared" ca="1" si="62"/>
        <v>1.4195021579474738</v>
      </c>
      <c r="AC176" s="1483">
        <f t="shared" ca="1" si="79"/>
        <v>3.2790499848586645</v>
      </c>
      <c r="AD176" s="1480">
        <f t="shared" ca="1" si="80"/>
        <v>2.8674706067477653</v>
      </c>
      <c r="AE176" s="113">
        <f t="shared" ca="1" si="81"/>
        <v>1.0649999999999999</v>
      </c>
      <c r="AF176" s="1483">
        <f t="shared" ca="1" si="82"/>
        <v>8.8287130982525124</v>
      </c>
      <c r="AG176" s="334">
        <f ca="1">VLOOKUP($A176,Plant_Table,'Plant Operations'!$M$270)</f>
        <v>289336.32000000001</v>
      </c>
      <c r="AH176" s="1481">
        <f t="shared" ca="1" si="83"/>
        <v>2554.4673581841803</v>
      </c>
      <c r="AI176" s="1480">
        <f t="shared" ca="1" si="84"/>
        <v>2.8674706067477653</v>
      </c>
      <c r="AJ176" s="335">
        <f t="shared" ca="1" si="85"/>
        <v>890.84343259630202</v>
      </c>
      <c r="AK176" s="698" t="str">
        <f t="shared" ca="1" si="63"/>
        <v xml:space="preserve"> </v>
      </c>
      <c r="AM176" s="697">
        <f ca="1">IF($A176&gt;Endyr,0,VLOOKUP($A176,Tariff_Table,Tariff!$L$33))</f>
        <v>1.21</v>
      </c>
      <c r="AN176" s="1504">
        <f ca="1">VLOOKUP($A176,Curves_Table,Escalation!$Z$291)</f>
        <v>1.5061761575233978</v>
      </c>
      <c r="AO176" s="331">
        <f t="shared" ca="1" si="86"/>
        <v>1.8224731506033114</v>
      </c>
      <c r="AP176" s="331">
        <f ca="1">IF($A176&gt;Endyr,0,VLOOKUP($A176,Tariff_Table,Tariff!$M$33))</f>
        <v>0.25</v>
      </c>
      <c r="AQ176" s="331">
        <f t="shared" ca="1" si="87"/>
        <v>2.0724731506033116</v>
      </c>
      <c r="AR176" s="331">
        <f t="shared" ca="1" si="88"/>
        <v>1.46</v>
      </c>
      <c r="AS176" s="1508">
        <f t="shared" ca="1" si="89"/>
        <v>1.4195021579474738</v>
      </c>
    </row>
    <row r="177" spans="1:45">
      <c r="A177" s="672">
        <f t="shared" si="64"/>
        <v>41974</v>
      </c>
      <c r="C177" s="1484">
        <f ca="1">IF($A177&gt;Endyr,0,VLOOKUP($A177,Tariff_Table,Tariff!$G$33))</f>
        <v>7424.62</v>
      </c>
      <c r="D177" s="1480">
        <f ca="1">VLOOKUP($A177,Curves_Table,Escalation!$V$291)</f>
        <v>1.5573978315409176</v>
      </c>
      <c r="E177" s="1483">
        <f t="shared" ca="1" si="65"/>
        <v>11563.087088015327</v>
      </c>
      <c r="F177" s="1480">
        <f ca="1">IF(Assm!$L$74=0,VLOOKUP($A177,Curves_Table,Escalation!$D$291),VLOOKUP($A177,Curves_Table,Escalation!$E$291))</f>
        <v>2.8722053612194949</v>
      </c>
      <c r="G177" s="113">
        <f ca="1">IF($A177&lt;EE_Date,VLOOKUP($A177,Curves_Table,Escalation!$D$291),Exch)</f>
        <v>1.0649999999999999</v>
      </c>
      <c r="H177" s="1483">
        <f t="shared" ca="1" si="66"/>
        <v>31184.564062390178</v>
      </c>
      <c r="I177" s="330">
        <f ca="1">VLOOKUP($A177,Plant_Table,'Plant Operations'!$C$270)</f>
        <v>480</v>
      </c>
      <c r="J177" s="1481">
        <f t="shared" ca="1" si="67"/>
        <v>14968.590749947285</v>
      </c>
      <c r="K177" s="1480">
        <f t="shared" ca="1" si="68"/>
        <v>2.8722053612194949</v>
      </c>
      <c r="L177" s="384">
        <f t="shared" ca="1" si="69"/>
        <v>5211.5322086829638</v>
      </c>
      <c r="M177" s="692">
        <f t="shared" ca="1" si="60"/>
        <v>62048.692191258677</v>
      </c>
      <c r="O177" s="1482">
        <f ca="1">IF($A177&gt;Endyr,0,VLOOKUP($A177,Tariff_Table,Tariff!$H$33))</f>
        <v>6118.02</v>
      </c>
      <c r="P177" s="1480">
        <f t="shared" ca="1" si="70"/>
        <v>1.4195021579474738</v>
      </c>
      <c r="Q177" s="1481">
        <f t="shared" ca="1" si="71"/>
        <v>8684.542592365804</v>
      </c>
      <c r="R177" s="1480">
        <f t="shared" ca="1" si="72"/>
        <v>2.8722053612194949</v>
      </c>
      <c r="S177" s="113">
        <f t="shared" ca="1" si="73"/>
        <v>1.0649999999999999</v>
      </c>
      <c r="T177" s="1481">
        <f t="shared" ca="1" si="74"/>
        <v>23421.398867166303</v>
      </c>
      <c r="U177" s="330">
        <f t="shared" ca="1" si="75"/>
        <v>480</v>
      </c>
      <c r="V177" s="1481">
        <f t="shared" ca="1" si="76"/>
        <v>11242.271456239825</v>
      </c>
      <c r="W177" s="1480">
        <f t="shared" ca="1" si="77"/>
        <v>2.8722053612194949</v>
      </c>
      <c r="X177" s="384">
        <f t="shared" ca="1" si="78"/>
        <v>3914.1600416296578</v>
      </c>
      <c r="Y177" s="692">
        <f t="shared" ca="1" si="61"/>
        <v>46735.646852540936</v>
      </c>
      <c r="AA177" s="1484">
        <f ca="1">IF($A177&gt;Endyr,0,VLOOKUP($A177,Tariff_Table,Tariff!$I$33))</f>
        <v>2.31</v>
      </c>
      <c r="AB177" s="1480">
        <f t="shared" ca="1" si="62"/>
        <v>1.4195021579474738</v>
      </c>
      <c r="AC177" s="1483">
        <f t="shared" ca="1" si="79"/>
        <v>3.2790499848586645</v>
      </c>
      <c r="AD177" s="1480">
        <f t="shared" ca="1" si="80"/>
        <v>2.8722053612194949</v>
      </c>
      <c r="AE177" s="113">
        <f t="shared" ca="1" si="81"/>
        <v>1.0649999999999999</v>
      </c>
      <c r="AF177" s="1483">
        <f t="shared" ca="1" si="82"/>
        <v>8.84329102931245</v>
      </c>
      <c r="AG177" s="334">
        <f ca="1">VLOOKUP($A177,Plant_Table,'Plant Operations'!$M$270)</f>
        <v>298980.864</v>
      </c>
      <c r="AH177" s="1481">
        <f t="shared" ca="1" si="83"/>
        <v>2643.9747925472857</v>
      </c>
      <c r="AI177" s="1480">
        <f t="shared" ca="1" si="84"/>
        <v>2.8722053612194949</v>
      </c>
      <c r="AJ177" s="335">
        <f t="shared" ca="1" si="85"/>
        <v>920.53821368284548</v>
      </c>
      <c r="AK177" s="698">
        <f t="shared" ca="1" si="63"/>
        <v>10783.953590314888</v>
      </c>
      <c r="AM177" s="697">
        <f ca="1">IF($A177&gt;Endyr,0,VLOOKUP($A177,Tariff_Table,Tariff!$L$33))</f>
        <v>1.21</v>
      </c>
      <c r="AN177" s="1504">
        <f ca="1">VLOOKUP($A177,Curves_Table,Escalation!$Z$291)</f>
        <v>1.5061761575233978</v>
      </c>
      <c r="AO177" s="331">
        <f t="shared" ca="1" si="86"/>
        <v>1.8224731506033114</v>
      </c>
      <c r="AP177" s="331">
        <f ca="1">IF($A177&gt;Endyr,0,VLOOKUP($A177,Tariff_Table,Tariff!$M$33))</f>
        <v>0.25</v>
      </c>
      <c r="AQ177" s="331">
        <f t="shared" ca="1" si="87"/>
        <v>2.0724731506033116</v>
      </c>
      <c r="AR177" s="331">
        <f t="shared" ca="1" si="88"/>
        <v>1.46</v>
      </c>
      <c r="AS177" s="1508">
        <f t="shared" ca="1" si="89"/>
        <v>1.4195021579474738</v>
      </c>
    </row>
    <row r="178" spans="1:45">
      <c r="A178" s="672">
        <f t="shared" si="64"/>
        <v>42005</v>
      </c>
      <c r="C178" s="1484">
        <f ca="1">IF($A178&gt;Endyr,0,VLOOKUP($A178,Tariff_Table,Tariff!$G$33))</f>
        <v>7424.62</v>
      </c>
      <c r="D178" s="1480">
        <f ca="1">VLOOKUP($A178,Curves_Table,Escalation!$V$291)</f>
        <v>1.5573978315409176</v>
      </c>
      <c r="E178" s="1483">
        <f t="shared" ca="1" si="65"/>
        <v>11563.087088015327</v>
      </c>
      <c r="F178" s="1480">
        <f ca="1">IF(Assm!$L$74=0,VLOOKUP($A178,Curves_Table,Escalation!$D$291),VLOOKUP($A178,Curves_Table,Escalation!$E$291))</f>
        <v>2.8769423701861823</v>
      </c>
      <c r="G178" s="113">
        <f ca="1">IF($A178&lt;EE_Date,VLOOKUP($A178,Curves_Table,Escalation!$D$291),Exch)</f>
        <v>1.0649999999999999</v>
      </c>
      <c r="H178" s="1483">
        <f t="shared" ca="1" si="66"/>
        <v>31235.995468229161</v>
      </c>
      <c r="I178" s="330">
        <f ca="1">VLOOKUP($A178,Plant_Table,'Plant Operations'!$C$270)</f>
        <v>480</v>
      </c>
      <c r="J178" s="1481">
        <f t="shared" ca="1" si="67"/>
        <v>14993.277824749997</v>
      </c>
      <c r="K178" s="1480">
        <f t="shared" ca="1" si="68"/>
        <v>2.8769423701861823</v>
      </c>
      <c r="L178" s="384">
        <f t="shared" ca="1" si="69"/>
        <v>5211.5322086829647</v>
      </c>
      <c r="M178" s="692" t="str">
        <f t="shared" ca="1" si="60"/>
        <v xml:space="preserve"> </v>
      </c>
      <c r="O178" s="1482">
        <f ca="1">IF($A178&gt;Endyr,0,VLOOKUP($A178,Tariff_Table,Tariff!$H$33))</f>
        <v>6118.02</v>
      </c>
      <c r="P178" s="1480">
        <f t="shared" ca="1" si="70"/>
        <v>1.4195021579474738</v>
      </c>
      <c r="Q178" s="1481">
        <f t="shared" ca="1" si="71"/>
        <v>8684.542592365804</v>
      </c>
      <c r="R178" s="1480">
        <f t="shared" ca="1" si="72"/>
        <v>2.8769423701861823</v>
      </c>
      <c r="S178" s="113">
        <f t="shared" ca="1" si="73"/>
        <v>1.0649999999999999</v>
      </c>
      <c r="T178" s="1481">
        <f t="shared" ca="1" si="74"/>
        <v>23460.026807195991</v>
      </c>
      <c r="U178" s="330">
        <f t="shared" ca="1" si="75"/>
        <v>480</v>
      </c>
      <c r="V178" s="1481">
        <f t="shared" ca="1" si="76"/>
        <v>11260.812867454077</v>
      </c>
      <c r="W178" s="1480">
        <f t="shared" ca="1" si="77"/>
        <v>2.8769423701861823</v>
      </c>
      <c r="X178" s="384">
        <f t="shared" ca="1" si="78"/>
        <v>3914.1600416296587</v>
      </c>
      <c r="Y178" s="692" t="str">
        <f t="shared" ca="1" si="61"/>
        <v xml:space="preserve"> </v>
      </c>
      <c r="AA178" s="1484">
        <f ca="1">IF($A178&gt;Endyr,0,VLOOKUP($A178,Tariff_Table,Tariff!$I$33))</f>
        <v>2.31</v>
      </c>
      <c r="AB178" s="1480">
        <f t="shared" ca="1" si="62"/>
        <v>1.4195021579474738</v>
      </c>
      <c r="AC178" s="1483">
        <f t="shared" ca="1" si="79"/>
        <v>3.2790499848586645</v>
      </c>
      <c r="AD178" s="1480">
        <f t="shared" ca="1" si="80"/>
        <v>2.8769423701861823</v>
      </c>
      <c r="AE178" s="113">
        <f t="shared" ca="1" si="81"/>
        <v>1.0649999999999999</v>
      </c>
      <c r="AF178" s="1483">
        <f t="shared" ca="1" si="82"/>
        <v>8.8578759017823963</v>
      </c>
      <c r="AG178" s="334">
        <f ca="1">VLOOKUP($A178,Plant_Table,'Plant Operations'!$M$270)</f>
        <v>298980.864</v>
      </c>
      <c r="AH178" s="1481">
        <f t="shared" ca="1" si="83"/>
        <v>2648.3353903196798</v>
      </c>
      <c r="AI178" s="1480">
        <f t="shared" ca="1" si="84"/>
        <v>2.8769423701861823</v>
      </c>
      <c r="AJ178" s="335">
        <f t="shared" ca="1" si="85"/>
        <v>920.53821368284548</v>
      </c>
      <c r="AK178" s="698" t="str">
        <f t="shared" ca="1" si="63"/>
        <v xml:space="preserve"> </v>
      </c>
      <c r="AM178" s="697">
        <f ca="1">IF($A178&gt;Endyr,0,VLOOKUP($A178,Tariff_Table,Tariff!$L$33))</f>
        <v>1.21</v>
      </c>
      <c r="AN178" s="1504">
        <f ca="1">VLOOKUP($A178,Curves_Table,Escalation!$Z$291)</f>
        <v>1.5061761575233978</v>
      </c>
      <c r="AO178" s="331">
        <f t="shared" ca="1" si="86"/>
        <v>1.8224731506033114</v>
      </c>
      <c r="AP178" s="331">
        <f ca="1">IF($A178&gt;Endyr,0,VLOOKUP($A178,Tariff_Table,Tariff!$M$33))</f>
        <v>0.25</v>
      </c>
      <c r="AQ178" s="331">
        <f t="shared" ca="1" si="87"/>
        <v>2.0724731506033116</v>
      </c>
      <c r="AR178" s="331">
        <f t="shared" ca="1" si="88"/>
        <v>1.46</v>
      </c>
      <c r="AS178" s="1508">
        <f t="shared" ca="1" si="89"/>
        <v>1.4195021579474738</v>
      </c>
    </row>
    <row r="179" spans="1:45">
      <c r="A179" s="672">
        <f t="shared" si="64"/>
        <v>42036</v>
      </c>
      <c r="C179" s="1484">
        <f ca="1">IF($A179&gt;Endyr,0,VLOOKUP($A179,Tariff_Table,Tariff!$G$33))</f>
        <v>7424.62</v>
      </c>
      <c r="D179" s="1480">
        <f ca="1">VLOOKUP($A179,Curves_Table,Escalation!$V$291)</f>
        <v>1.5573978315409176</v>
      </c>
      <c r="E179" s="1483">
        <f t="shared" ca="1" si="65"/>
        <v>11563.087088015327</v>
      </c>
      <c r="F179" s="1480">
        <f ca="1">IF(Assm!$L$74=0,VLOOKUP($A179,Curves_Table,Escalation!$D$291),VLOOKUP($A179,Curves_Table,Escalation!$E$291))</f>
        <v>2.8816871917049434</v>
      </c>
      <c r="G179" s="113">
        <f ca="1">IF($A179&lt;EE_Date,VLOOKUP($A179,Curves_Table,Escalation!$D$291),Exch)</f>
        <v>1.0649999999999999</v>
      </c>
      <c r="H179" s="1483">
        <f t="shared" ca="1" si="66"/>
        <v>31287.511697748905</v>
      </c>
      <c r="I179" s="330">
        <f ca="1">VLOOKUP($A179,Plant_Table,'Plant Operations'!$C$270)</f>
        <v>480</v>
      </c>
      <c r="J179" s="1481">
        <f t="shared" ca="1" si="67"/>
        <v>15018.005614919475</v>
      </c>
      <c r="K179" s="1480">
        <f t="shared" ca="1" si="68"/>
        <v>2.8816871917049434</v>
      </c>
      <c r="L179" s="384">
        <f t="shared" ca="1" si="69"/>
        <v>5211.5322086829656</v>
      </c>
      <c r="M179" s="692" t="str">
        <f t="shared" ca="1" si="60"/>
        <v xml:space="preserve"> </v>
      </c>
      <c r="O179" s="1482">
        <f ca="1">IF($A179&gt;Endyr,0,VLOOKUP($A179,Tariff_Table,Tariff!$H$33))</f>
        <v>6118.02</v>
      </c>
      <c r="P179" s="1480">
        <f t="shared" ca="1" si="70"/>
        <v>1.4195021579474738</v>
      </c>
      <c r="Q179" s="1481">
        <f t="shared" ca="1" si="71"/>
        <v>8684.542592365804</v>
      </c>
      <c r="R179" s="1480">
        <f t="shared" ca="1" si="72"/>
        <v>2.8816871917049434</v>
      </c>
      <c r="S179" s="113">
        <f t="shared" ca="1" si="73"/>
        <v>1.0649999999999999</v>
      </c>
      <c r="T179" s="1481">
        <f t="shared" ca="1" si="74"/>
        <v>23498.718454682235</v>
      </c>
      <c r="U179" s="330">
        <f t="shared" ca="1" si="75"/>
        <v>480</v>
      </c>
      <c r="V179" s="1481">
        <f t="shared" ca="1" si="76"/>
        <v>11279.384858247473</v>
      </c>
      <c r="W179" s="1480">
        <f t="shared" ca="1" si="77"/>
        <v>2.8816871917049434</v>
      </c>
      <c r="X179" s="384">
        <f t="shared" ca="1" si="78"/>
        <v>3914.1600416296578</v>
      </c>
      <c r="Y179" s="692" t="str">
        <f t="shared" ca="1" si="61"/>
        <v xml:space="preserve"> </v>
      </c>
      <c r="AA179" s="1484">
        <f ca="1">IF($A179&gt;Endyr,0,VLOOKUP($A179,Tariff_Table,Tariff!$I$33))</f>
        <v>2.31</v>
      </c>
      <c r="AB179" s="1480">
        <f t="shared" ca="1" si="62"/>
        <v>1.4195021579474738</v>
      </c>
      <c r="AC179" s="1483">
        <f t="shared" ca="1" si="79"/>
        <v>3.2790499848586645</v>
      </c>
      <c r="AD179" s="1480">
        <f t="shared" ca="1" si="80"/>
        <v>2.8816871917049434</v>
      </c>
      <c r="AE179" s="113">
        <f t="shared" ca="1" si="81"/>
        <v>1.0649999999999999</v>
      </c>
      <c r="AF179" s="1483">
        <f t="shared" ca="1" si="82"/>
        <v>8.8724848284765283</v>
      </c>
      <c r="AG179" s="334">
        <f ca="1">VLOOKUP($A179,Plant_Table,'Plant Operations'!$M$270)</f>
        <v>270047.23200000002</v>
      </c>
      <c r="AH179" s="1481">
        <f t="shared" ca="1" si="83"/>
        <v>2395.9899688920814</v>
      </c>
      <c r="AI179" s="1480">
        <f t="shared" ca="1" si="84"/>
        <v>2.8816871917049434</v>
      </c>
      <c r="AJ179" s="335">
        <f t="shared" ca="1" si="85"/>
        <v>831.45387042321533</v>
      </c>
      <c r="AK179" s="698" t="str">
        <f t="shared" ca="1" si="63"/>
        <v xml:space="preserve"> </v>
      </c>
      <c r="AM179" s="697">
        <f ca="1">IF($A179&gt;Endyr,0,VLOOKUP($A179,Tariff_Table,Tariff!$L$33))</f>
        <v>1.21</v>
      </c>
      <c r="AN179" s="1504">
        <f ca="1">VLOOKUP($A179,Curves_Table,Escalation!$Z$291)</f>
        <v>1.5061761575233978</v>
      </c>
      <c r="AO179" s="331">
        <f t="shared" ca="1" si="86"/>
        <v>1.8224731506033114</v>
      </c>
      <c r="AP179" s="331">
        <f ca="1">IF($A179&gt;Endyr,0,VLOOKUP($A179,Tariff_Table,Tariff!$M$33))</f>
        <v>0.25</v>
      </c>
      <c r="AQ179" s="331">
        <f t="shared" ca="1" si="87"/>
        <v>2.0724731506033116</v>
      </c>
      <c r="AR179" s="331">
        <f t="shared" ca="1" si="88"/>
        <v>1.46</v>
      </c>
      <c r="AS179" s="1508">
        <f t="shared" ca="1" si="89"/>
        <v>1.4195021579474738</v>
      </c>
    </row>
    <row r="180" spans="1:45">
      <c r="A180" s="672">
        <f t="shared" si="64"/>
        <v>42064</v>
      </c>
      <c r="C180" s="1484">
        <f ca="1">IF($A180&gt;Endyr,0,VLOOKUP($A180,Tariff_Table,Tariff!$G$33))</f>
        <v>7424.62</v>
      </c>
      <c r="D180" s="1480">
        <f ca="1">VLOOKUP($A180,Curves_Table,Escalation!$V$291)</f>
        <v>1.5573978315409176</v>
      </c>
      <c r="E180" s="1483">
        <f t="shared" ca="1" si="65"/>
        <v>11563.087088015327</v>
      </c>
      <c r="F180" s="1480">
        <f ca="1">IF(Assm!$L$74=0,VLOOKUP($A180,Curves_Table,Escalation!$D$291),VLOOKUP($A180,Curves_Table,Escalation!$E$291))</f>
        <v>2.8864398386606953</v>
      </c>
      <c r="G180" s="113">
        <f ca="1">IF($A180&lt;EE_Date,VLOOKUP($A180,Curves_Table,Escalation!$D$291),Exch)</f>
        <v>1.0649999999999999</v>
      </c>
      <c r="H180" s="1483">
        <f t="shared" ca="1" si="66"/>
        <v>31339.112890845572</v>
      </c>
      <c r="I180" s="330">
        <f ca="1">VLOOKUP($A180,Plant_Table,'Plant Operations'!$C$270)</f>
        <v>480</v>
      </c>
      <c r="J180" s="1481">
        <f t="shared" ca="1" si="67"/>
        <v>15042.774187605875</v>
      </c>
      <c r="K180" s="1480">
        <f t="shared" ca="1" si="68"/>
        <v>2.8864398386606953</v>
      </c>
      <c r="L180" s="384">
        <f t="shared" ca="1" si="69"/>
        <v>5211.5322086829656</v>
      </c>
      <c r="M180" s="692" t="str">
        <f t="shared" ca="1" si="60"/>
        <v xml:space="preserve"> </v>
      </c>
      <c r="O180" s="1482">
        <f ca="1">IF($A180&gt;Endyr,0,VLOOKUP($A180,Tariff_Table,Tariff!$H$33))</f>
        <v>6118.02</v>
      </c>
      <c r="P180" s="1480">
        <f t="shared" ca="1" si="70"/>
        <v>1.4195021579474738</v>
      </c>
      <c r="Q180" s="1481">
        <f t="shared" ca="1" si="71"/>
        <v>8684.542592365804</v>
      </c>
      <c r="R180" s="1480">
        <f t="shared" ca="1" si="72"/>
        <v>2.8864398386606953</v>
      </c>
      <c r="S180" s="113">
        <f t="shared" ca="1" si="73"/>
        <v>1.0649999999999999</v>
      </c>
      <c r="T180" s="1481">
        <f t="shared" ca="1" si="74"/>
        <v>23537.473914695107</v>
      </c>
      <c r="U180" s="330">
        <f t="shared" ca="1" si="75"/>
        <v>480</v>
      </c>
      <c r="V180" s="1481">
        <f t="shared" ca="1" si="76"/>
        <v>11297.987479053652</v>
      </c>
      <c r="W180" s="1480">
        <f t="shared" ca="1" si="77"/>
        <v>2.8864398386606953</v>
      </c>
      <c r="X180" s="384">
        <f t="shared" ca="1" si="78"/>
        <v>3914.1600416296587</v>
      </c>
      <c r="Y180" s="692" t="str">
        <f t="shared" ca="1" si="61"/>
        <v xml:space="preserve"> </v>
      </c>
      <c r="AA180" s="1484">
        <f ca="1">IF($A180&gt;Endyr,0,VLOOKUP($A180,Tariff_Table,Tariff!$I$33))</f>
        <v>2.31</v>
      </c>
      <c r="AB180" s="1480">
        <f t="shared" ca="1" si="62"/>
        <v>1.4195021579474738</v>
      </c>
      <c r="AC180" s="1483">
        <f t="shared" ca="1" si="79"/>
        <v>3.2790499848586645</v>
      </c>
      <c r="AD180" s="1480">
        <f t="shared" ca="1" si="80"/>
        <v>2.8864398386606953</v>
      </c>
      <c r="AE180" s="113">
        <f t="shared" ca="1" si="81"/>
        <v>1.0649999999999999</v>
      </c>
      <c r="AF180" s="1483">
        <f t="shared" ca="1" si="82"/>
        <v>8.8871178490664793</v>
      </c>
      <c r="AG180" s="334">
        <f ca="1">VLOOKUP($A180,Plant_Table,'Plant Operations'!$M$270)</f>
        <v>298980.864</v>
      </c>
      <c r="AH180" s="1481">
        <f t="shared" ca="1" si="83"/>
        <v>2657.0781729837176</v>
      </c>
      <c r="AI180" s="1480">
        <f t="shared" ca="1" si="84"/>
        <v>2.8864398386606953</v>
      </c>
      <c r="AJ180" s="335">
        <f t="shared" ca="1" si="85"/>
        <v>920.53821368284559</v>
      </c>
      <c r="AK180" s="698" t="str">
        <f t="shared" ca="1" si="63"/>
        <v xml:space="preserve"> </v>
      </c>
      <c r="AM180" s="697">
        <f ca="1">IF($A180&gt;Endyr,0,VLOOKUP($A180,Tariff_Table,Tariff!$L$33))</f>
        <v>1.21</v>
      </c>
      <c r="AN180" s="1504">
        <f ca="1">VLOOKUP($A180,Curves_Table,Escalation!$Z$291)</f>
        <v>1.5061761575233978</v>
      </c>
      <c r="AO180" s="331">
        <f t="shared" ca="1" si="86"/>
        <v>1.8224731506033114</v>
      </c>
      <c r="AP180" s="331">
        <f ca="1">IF($A180&gt;Endyr,0,VLOOKUP($A180,Tariff_Table,Tariff!$M$33))</f>
        <v>0.25</v>
      </c>
      <c r="AQ180" s="331">
        <f t="shared" ca="1" si="87"/>
        <v>2.0724731506033116</v>
      </c>
      <c r="AR180" s="331">
        <f t="shared" ca="1" si="88"/>
        <v>1.46</v>
      </c>
      <c r="AS180" s="1508">
        <f t="shared" ca="1" si="89"/>
        <v>1.4195021579474738</v>
      </c>
    </row>
    <row r="181" spans="1:45">
      <c r="A181" s="672">
        <f t="shared" si="64"/>
        <v>42095</v>
      </c>
      <c r="C181" s="1484">
        <f ca="1">IF($A181&gt;Endyr,0,VLOOKUP($A181,Tariff_Table,Tariff!$G$33))</f>
        <v>7424.62</v>
      </c>
      <c r="D181" s="1480">
        <f ca="1">VLOOKUP($A181,Curves_Table,Escalation!$V$291)</f>
        <v>1.5573978315409176</v>
      </c>
      <c r="E181" s="1483">
        <f t="shared" ca="1" si="65"/>
        <v>11563.087088015327</v>
      </c>
      <c r="F181" s="1480">
        <f ca="1">IF(Assm!$L$74=0,VLOOKUP($A181,Curves_Table,Escalation!$D$291),VLOOKUP($A181,Curves_Table,Escalation!$E$291))</f>
        <v>2.8912003239596067</v>
      </c>
      <c r="G181" s="113">
        <f ca="1">IF($A181&lt;EE_Date,VLOOKUP($A181,Curves_Table,Escalation!$D$291),Exch)</f>
        <v>1.0649999999999999</v>
      </c>
      <c r="H181" s="1483">
        <f t="shared" ca="1" si="66"/>
        <v>31390.799187646069</v>
      </c>
      <c r="I181" s="330">
        <f ca="1">VLOOKUP($A181,Plant_Table,'Plant Operations'!$C$270)</f>
        <v>480</v>
      </c>
      <c r="J181" s="1481">
        <f t="shared" ca="1" si="67"/>
        <v>15067.583610070113</v>
      </c>
      <c r="K181" s="1480">
        <f t="shared" ca="1" si="68"/>
        <v>2.8912003239596067</v>
      </c>
      <c r="L181" s="384">
        <f t="shared" ca="1" si="69"/>
        <v>5211.5322086829647</v>
      </c>
      <c r="M181" s="692" t="str">
        <f t="shared" ca="1" si="60"/>
        <v xml:space="preserve"> </v>
      </c>
      <c r="O181" s="1482">
        <f ca="1">IF($A181&gt;Endyr,0,VLOOKUP($A181,Tariff_Table,Tariff!$H$33))</f>
        <v>6118.02</v>
      </c>
      <c r="P181" s="1480">
        <f t="shared" ca="1" si="70"/>
        <v>1.4195021579474738</v>
      </c>
      <c r="Q181" s="1481">
        <f t="shared" ca="1" si="71"/>
        <v>8684.542592365804</v>
      </c>
      <c r="R181" s="1480">
        <f t="shared" ca="1" si="72"/>
        <v>2.8912003239596067</v>
      </c>
      <c r="S181" s="113">
        <f t="shared" ca="1" si="73"/>
        <v>1.0649999999999999</v>
      </c>
      <c r="T181" s="1481">
        <f t="shared" ca="1" si="74"/>
        <v>23576.293292477949</v>
      </c>
      <c r="U181" s="330">
        <f t="shared" ca="1" si="75"/>
        <v>480</v>
      </c>
      <c r="V181" s="1481">
        <f t="shared" ca="1" si="76"/>
        <v>11316.620780389416</v>
      </c>
      <c r="W181" s="1480">
        <f t="shared" ca="1" si="77"/>
        <v>2.8912003239596067</v>
      </c>
      <c r="X181" s="384">
        <f t="shared" ca="1" si="78"/>
        <v>3914.1600416296583</v>
      </c>
      <c r="Y181" s="692" t="str">
        <f t="shared" ca="1" si="61"/>
        <v xml:space="preserve"> </v>
      </c>
      <c r="AA181" s="1484">
        <f ca="1">IF($A181&gt;Endyr,0,VLOOKUP($A181,Tariff_Table,Tariff!$I$33))</f>
        <v>2.31</v>
      </c>
      <c r="AB181" s="1480">
        <f t="shared" ca="1" si="62"/>
        <v>1.4195021579474738</v>
      </c>
      <c r="AC181" s="1483">
        <f t="shared" ca="1" si="79"/>
        <v>3.2790499848586645</v>
      </c>
      <c r="AD181" s="1480">
        <f t="shared" ca="1" si="80"/>
        <v>2.8912003239596067</v>
      </c>
      <c r="AE181" s="113">
        <f t="shared" ca="1" si="81"/>
        <v>1.0649999999999999</v>
      </c>
      <c r="AF181" s="1483">
        <f t="shared" ca="1" si="82"/>
        <v>8.9017750032893108</v>
      </c>
      <c r="AG181" s="334">
        <f ca="1">VLOOKUP($A181,Plant_Table,'Plant Operations'!$M$270)</f>
        <v>289336.32000000001</v>
      </c>
      <c r="AH181" s="1481">
        <f t="shared" ca="1" si="83"/>
        <v>2575.6068209197174</v>
      </c>
      <c r="AI181" s="1480">
        <f t="shared" ca="1" si="84"/>
        <v>2.8912003239596067</v>
      </c>
      <c r="AJ181" s="335">
        <f t="shared" ca="1" si="85"/>
        <v>890.84343259630236</v>
      </c>
      <c r="AK181" s="698" t="str">
        <f t="shared" ca="1" si="63"/>
        <v xml:space="preserve"> </v>
      </c>
      <c r="AM181" s="697">
        <f ca="1">IF($A181&gt;Endyr,0,VLOOKUP($A181,Tariff_Table,Tariff!$L$33))</f>
        <v>1.21</v>
      </c>
      <c r="AN181" s="1504">
        <f ca="1">VLOOKUP($A181,Curves_Table,Escalation!$Z$291)</f>
        <v>1.5061761575233978</v>
      </c>
      <c r="AO181" s="331">
        <f t="shared" ca="1" si="86"/>
        <v>1.8224731506033114</v>
      </c>
      <c r="AP181" s="331">
        <f ca="1">IF($A181&gt;Endyr,0,VLOOKUP($A181,Tariff_Table,Tariff!$M$33))</f>
        <v>0.25</v>
      </c>
      <c r="AQ181" s="331">
        <f t="shared" ca="1" si="87"/>
        <v>2.0724731506033116</v>
      </c>
      <c r="AR181" s="331">
        <f t="shared" ca="1" si="88"/>
        <v>1.46</v>
      </c>
      <c r="AS181" s="1508">
        <f t="shared" ca="1" si="89"/>
        <v>1.4195021579474738</v>
      </c>
    </row>
    <row r="182" spans="1:45">
      <c r="A182" s="672">
        <f t="shared" si="64"/>
        <v>42125</v>
      </c>
      <c r="C182" s="1484">
        <f ca="1">IF($A182&gt;Endyr,0,VLOOKUP($A182,Tariff_Table,Tariff!$G$33))</f>
        <v>7431.57</v>
      </c>
      <c r="D182" s="1480">
        <f ca="1">VLOOKUP($A182,Curves_Table,Escalation!$V$291)</f>
        <v>1.5973303982415077</v>
      </c>
      <c r="E182" s="1483">
        <f t="shared" ca="1" si="65"/>
        <v>11870.672667659641</v>
      </c>
      <c r="F182" s="1480">
        <f ca="1">IF(Assm!$L$74=0,VLOOKUP($A182,Curves_Table,Escalation!$D$291),VLOOKUP($A182,Curves_Table,Escalation!$E$291))</f>
        <v>2.8959686605291308</v>
      </c>
      <c r="G182" s="113">
        <f ca="1">IF($A182&lt;EE_Date,VLOOKUP($A182,Curves_Table,Escalation!$D$291),Exch)</f>
        <v>1.0649999999999999</v>
      </c>
      <c r="H182" s="1483">
        <f t="shared" ca="1" si="66"/>
        <v>32278.963403701458</v>
      </c>
      <c r="I182" s="330">
        <f ca="1">VLOOKUP($A182,Plant_Table,'Plant Operations'!$C$270)</f>
        <v>480</v>
      </c>
      <c r="J182" s="1481">
        <f t="shared" ca="1" si="67"/>
        <v>15493.9024337767</v>
      </c>
      <c r="K182" s="1480">
        <f t="shared" ca="1" si="68"/>
        <v>2.8959686605291308</v>
      </c>
      <c r="L182" s="384">
        <f t="shared" ca="1" si="69"/>
        <v>5350.1623290860352</v>
      </c>
      <c r="M182" s="692" t="str">
        <f t="shared" ca="1" si="60"/>
        <v xml:space="preserve"> </v>
      </c>
      <c r="O182" s="1482">
        <f ca="1">IF($A182&gt;Endyr,0,VLOOKUP($A182,Tariff_Table,Tariff!$H$33))</f>
        <v>6140.72</v>
      </c>
      <c r="P182" s="1480">
        <f t="shared" ca="1" si="70"/>
        <v>1.4483878194931001</v>
      </c>
      <c r="Q182" s="1481">
        <f t="shared" ca="1" si="71"/>
        <v>8894.14405091767</v>
      </c>
      <c r="R182" s="1480">
        <f t="shared" ca="1" si="72"/>
        <v>2.8959686605291308</v>
      </c>
      <c r="S182" s="113">
        <f t="shared" ca="1" si="73"/>
        <v>1.0649999999999999</v>
      </c>
      <c r="T182" s="1481">
        <f t="shared" ca="1" si="74"/>
        <v>24185.129045717546</v>
      </c>
      <c r="U182" s="330">
        <f t="shared" ca="1" si="75"/>
        <v>480</v>
      </c>
      <c r="V182" s="1481">
        <f t="shared" ca="1" si="76"/>
        <v>11608.861941944422</v>
      </c>
      <c r="W182" s="1480">
        <f t="shared" ca="1" si="77"/>
        <v>2.8959686605291308</v>
      </c>
      <c r="X182" s="384">
        <f t="shared" ca="1" si="78"/>
        <v>4008.6283046389503</v>
      </c>
      <c r="Y182" s="692" t="str">
        <f t="shared" ca="1" si="61"/>
        <v xml:space="preserve"> </v>
      </c>
      <c r="AA182" s="1484">
        <f ca="1">IF($A182&gt;Endyr,0,VLOOKUP($A182,Tariff_Table,Tariff!$I$33))</f>
        <v>2.31</v>
      </c>
      <c r="AB182" s="1480">
        <f t="shared" ca="1" si="62"/>
        <v>1.4483878194931001</v>
      </c>
      <c r="AC182" s="1483">
        <f t="shared" ca="1" si="79"/>
        <v>3.3457758630290613</v>
      </c>
      <c r="AD182" s="1480">
        <f t="shared" ca="1" si="80"/>
        <v>2.8959686605291308</v>
      </c>
      <c r="AE182" s="113">
        <f t="shared" ca="1" si="81"/>
        <v>1.0649999999999999</v>
      </c>
      <c r="AF182" s="1483">
        <f t="shared" ca="1" si="82"/>
        <v>9.0978986333210958</v>
      </c>
      <c r="AG182" s="334">
        <f ca="1">VLOOKUP($A182,Plant_Table,'Plant Operations'!$M$270)</f>
        <v>298980.864</v>
      </c>
      <c r="AH182" s="1481">
        <f t="shared" ca="1" si="83"/>
        <v>2720.0975939747605</v>
      </c>
      <c r="AI182" s="1480">
        <f t="shared" ca="1" si="84"/>
        <v>2.8959686605291308</v>
      </c>
      <c r="AJ182" s="335">
        <f t="shared" ca="1" si="85"/>
        <v>939.2703833603515</v>
      </c>
      <c r="AK182" s="698" t="str">
        <f t="shared" ca="1" si="63"/>
        <v xml:space="preserve"> </v>
      </c>
      <c r="AM182" s="697">
        <f ca="1">IF($A182&gt;Endyr,0,VLOOKUP($A182,Tariff_Table,Tariff!$L$33))</f>
        <v>1.21</v>
      </c>
      <c r="AN182" s="1504">
        <f ca="1">VLOOKUP($A182,Curves_Table,Escalation!$Z$291)</f>
        <v>1.5410299309586164</v>
      </c>
      <c r="AO182" s="331">
        <f t="shared" ca="1" si="86"/>
        <v>1.8646462164599258</v>
      </c>
      <c r="AP182" s="331">
        <f ca="1">IF($A182&gt;Endyr,0,VLOOKUP($A182,Tariff_Table,Tariff!$M$33))</f>
        <v>0.25</v>
      </c>
      <c r="AQ182" s="331">
        <f t="shared" ca="1" si="87"/>
        <v>2.114646216459926</v>
      </c>
      <c r="AR182" s="331">
        <f t="shared" ca="1" si="88"/>
        <v>1.46</v>
      </c>
      <c r="AS182" s="1508">
        <f t="shared" ca="1" si="89"/>
        <v>1.4483878194931001</v>
      </c>
    </row>
    <row r="183" spans="1:45">
      <c r="A183" s="672">
        <f t="shared" si="64"/>
        <v>42156</v>
      </c>
      <c r="C183" s="1484">
        <f ca="1">IF($A183&gt;Endyr,0,VLOOKUP($A183,Tariff_Table,Tariff!$G$33))</f>
        <v>7431.57</v>
      </c>
      <c r="D183" s="1480">
        <f ca="1">VLOOKUP($A183,Curves_Table,Escalation!$V$291)</f>
        <v>1.5973303982415077</v>
      </c>
      <c r="E183" s="1483">
        <f t="shared" ca="1" si="65"/>
        <v>11870.672667659641</v>
      </c>
      <c r="F183" s="1480">
        <f ca="1">IF(Assm!$L$74=0,VLOOKUP($A183,Curves_Table,Escalation!$D$291),VLOOKUP($A183,Curves_Table,Escalation!$E$291))</f>
        <v>2.9007448613180422</v>
      </c>
      <c r="G183" s="113">
        <f ca="1">IF($A183&lt;EE_Date,VLOOKUP($A183,Curves_Table,Escalation!$D$291),Exch)</f>
        <v>1.0649999999999999</v>
      </c>
      <c r="H183" s="1483">
        <f t="shared" ca="1" si="66"/>
        <v>32332.199756903512</v>
      </c>
      <c r="I183" s="330">
        <f ca="1">VLOOKUP($A183,Plant_Table,'Plant Operations'!$C$270)</f>
        <v>480</v>
      </c>
      <c r="J183" s="1481">
        <f t="shared" ca="1" si="67"/>
        <v>15519.455883313685</v>
      </c>
      <c r="K183" s="1480">
        <f t="shared" ca="1" si="68"/>
        <v>2.9007448613180422</v>
      </c>
      <c r="L183" s="384">
        <f t="shared" ca="1" si="69"/>
        <v>5350.1623290860352</v>
      </c>
      <c r="M183" s="692" t="str">
        <f t="shared" ca="1" si="60"/>
        <v xml:space="preserve"> </v>
      </c>
      <c r="O183" s="1482">
        <f ca="1">IF($A183&gt;Endyr,0,VLOOKUP($A183,Tariff_Table,Tariff!$H$33))</f>
        <v>6140.72</v>
      </c>
      <c r="P183" s="1480">
        <f t="shared" ca="1" si="70"/>
        <v>1.4483878194931001</v>
      </c>
      <c r="Q183" s="1481">
        <f t="shared" ca="1" si="71"/>
        <v>8894.14405091767</v>
      </c>
      <c r="R183" s="1480">
        <f t="shared" ca="1" si="72"/>
        <v>2.9007448613180422</v>
      </c>
      <c r="S183" s="113">
        <f t="shared" ca="1" si="73"/>
        <v>1.0649999999999999</v>
      </c>
      <c r="T183" s="1481">
        <f t="shared" ca="1" si="74"/>
        <v>24225.016574198937</v>
      </c>
      <c r="U183" s="330">
        <f t="shared" ca="1" si="75"/>
        <v>480</v>
      </c>
      <c r="V183" s="1481">
        <f t="shared" ca="1" si="76"/>
        <v>11628.007955615489</v>
      </c>
      <c r="W183" s="1480">
        <f t="shared" ca="1" si="77"/>
        <v>2.9007448613180422</v>
      </c>
      <c r="X183" s="384">
        <f t="shared" ca="1" si="78"/>
        <v>4008.6283046389499</v>
      </c>
      <c r="Y183" s="692" t="str">
        <f t="shared" ca="1" si="61"/>
        <v xml:space="preserve"> </v>
      </c>
      <c r="AA183" s="1484">
        <f ca="1">IF($A183&gt;Endyr,0,VLOOKUP($A183,Tariff_Table,Tariff!$I$33))</f>
        <v>2.31</v>
      </c>
      <c r="AB183" s="1480">
        <f t="shared" ca="1" si="62"/>
        <v>1.4483878194931001</v>
      </c>
      <c r="AC183" s="1483">
        <f t="shared" ca="1" si="79"/>
        <v>3.3457758630290613</v>
      </c>
      <c r="AD183" s="1480">
        <f t="shared" ca="1" si="80"/>
        <v>2.9007448613180422</v>
      </c>
      <c r="AE183" s="113">
        <f t="shared" ca="1" si="81"/>
        <v>1.0649999999999999</v>
      </c>
      <c r="AF183" s="1483">
        <f t="shared" ca="1" si="82"/>
        <v>9.1129034195337919</v>
      </c>
      <c r="AG183" s="334">
        <f ca="1">VLOOKUP($A183,Plant_Table,'Plant Operations'!$M$270)</f>
        <v>289336.32000000001</v>
      </c>
      <c r="AH183" s="1481">
        <f t="shared" ca="1" si="83"/>
        <v>2636.6939399233238</v>
      </c>
      <c r="AI183" s="1480">
        <f t="shared" ca="1" si="84"/>
        <v>2.9007448613180422</v>
      </c>
      <c r="AJ183" s="335">
        <f t="shared" ca="1" si="85"/>
        <v>908.97133873582425</v>
      </c>
      <c r="AK183" s="698" t="str">
        <f t="shared" ca="1" si="63"/>
        <v xml:space="preserve"> </v>
      </c>
      <c r="AM183" s="697">
        <f ca="1">IF($A183&gt;Endyr,0,VLOOKUP($A183,Tariff_Table,Tariff!$L$33))</f>
        <v>1.21</v>
      </c>
      <c r="AN183" s="1504">
        <f ca="1">VLOOKUP($A183,Curves_Table,Escalation!$Z$291)</f>
        <v>1.5410299309586164</v>
      </c>
      <c r="AO183" s="331">
        <f t="shared" ca="1" si="86"/>
        <v>1.8646462164599258</v>
      </c>
      <c r="AP183" s="331">
        <f ca="1">IF($A183&gt;Endyr,0,VLOOKUP($A183,Tariff_Table,Tariff!$M$33))</f>
        <v>0.25</v>
      </c>
      <c r="AQ183" s="331">
        <f t="shared" ca="1" si="87"/>
        <v>2.114646216459926</v>
      </c>
      <c r="AR183" s="331">
        <f t="shared" ca="1" si="88"/>
        <v>1.46</v>
      </c>
      <c r="AS183" s="1508">
        <f t="shared" ca="1" si="89"/>
        <v>1.4483878194931001</v>
      </c>
    </row>
    <row r="184" spans="1:45">
      <c r="A184" s="672">
        <f t="shared" si="64"/>
        <v>42186</v>
      </c>
      <c r="C184" s="1484">
        <f ca="1">IF($A184&gt;Endyr,0,VLOOKUP($A184,Tariff_Table,Tariff!$G$33))</f>
        <v>7431.57</v>
      </c>
      <c r="D184" s="1480">
        <f ca="1">VLOOKUP($A184,Curves_Table,Escalation!$V$291)</f>
        <v>1.5973303982415077</v>
      </c>
      <c r="E184" s="1483">
        <f t="shared" ca="1" si="65"/>
        <v>11870.672667659641</v>
      </c>
      <c r="F184" s="1480">
        <f ca="1">IF(Assm!$L$74=0,VLOOKUP($A184,Curves_Table,Escalation!$D$291),VLOOKUP($A184,Curves_Table,Escalation!$E$291))</f>
        <v>2.9055289392964712</v>
      </c>
      <c r="G184" s="113">
        <f ca="1">IF($A184&lt;EE_Date,VLOOKUP($A184,Curves_Table,Escalation!$D$291),Exch)</f>
        <v>1.0649999999999999</v>
      </c>
      <c r="H184" s="1483">
        <f t="shared" ca="1" si="66"/>
        <v>32385.523910611013</v>
      </c>
      <c r="I184" s="330">
        <f ca="1">VLOOKUP($A184,Plant_Table,'Plant Operations'!$C$270)</f>
        <v>480</v>
      </c>
      <c r="J184" s="1481">
        <f t="shared" ca="1" si="67"/>
        <v>15545.051477093286</v>
      </c>
      <c r="K184" s="1480">
        <f t="shared" ca="1" si="68"/>
        <v>2.9055289392964712</v>
      </c>
      <c r="L184" s="384">
        <f t="shared" ca="1" si="69"/>
        <v>5350.1623290860352</v>
      </c>
      <c r="M184" s="692" t="str">
        <f t="shared" ca="1" si="60"/>
        <v xml:space="preserve"> </v>
      </c>
      <c r="O184" s="1482">
        <f ca="1">IF($A184&gt;Endyr,0,VLOOKUP($A184,Tariff_Table,Tariff!$H$33))</f>
        <v>6140.72</v>
      </c>
      <c r="P184" s="1480">
        <f t="shared" ca="1" si="70"/>
        <v>1.4483878194931001</v>
      </c>
      <c r="Q184" s="1481">
        <f t="shared" ca="1" si="71"/>
        <v>8894.14405091767</v>
      </c>
      <c r="R184" s="1480">
        <f t="shared" ca="1" si="72"/>
        <v>2.9055289392964712</v>
      </c>
      <c r="S184" s="113">
        <f t="shared" ca="1" si="73"/>
        <v>1.0649999999999999</v>
      </c>
      <c r="T184" s="1481">
        <f t="shared" ca="1" si="74"/>
        <v>24264.969887523792</v>
      </c>
      <c r="U184" s="330">
        <f t="shared" ca="1" si="75"/>
        <v>480</v>
      </c>
      <c r="V184" s="1481">
        <f t="shared" ca="1" si="76"/>
        <v>11647.18554601142</v>
      </c>
      <c r="W184" s="1480">
        <f t="shared" ca="1" si="77"/>
        <v>2.9055289392964712</v>
      </c>
      <c r="X184" s="384">
        <f t="shared" ca="1" si="78"/>
        <v>4008.6283046389503</v>
      </c>
      <c r="Y184" s="692" t="str">
        <f t="shared" ca="1" si="61"/>
        <v xml:space="preserve"> </v>
      </c>
      <c r="AA184" s="1484">
        <f ca="1">IF($A184&gt;Endyr,0,VLOOKUP($A184,Tariff_Table,Tariff!$I$33))</f>
        <v>2.31</v>
      </c>
      <c r="AB184" s="1480">
        <f t="shared" ca="1" si="62"/>
        <v>1.4483878194931001</v>
      </c>
      <c r="AC184" s="1483">
        <f t="shared" ca="1" si="79"/>
        <v>3.3457758630290613</v>
      </c>
      <c r="AD184" s="1480">
        <f t="shared" ca="1" si="80"/>
        <v>2.9055289392964712</v>
      </c>
      <c r="AE184" s="113">
        <f t="shared" ca="1" si="81"/>
        <v>1.0649999999999999</v>
      </c>
      <c r="AF184" s="1483">
        <f t="shared" ca="1" si="82"/>
        <v>9.1279329525169626</v>
      </c>
      <c r="AG184" s="334">
        <f ca="1">VLOOKUP($A184,Plant_Table,'Plant Operations'!$M$270)</f>
        <v>298980.864</v>
      </c>
      <c r="AH184" s="1481">
        <f t="shared" ca="1" si="83"/>
        <v>2729.0772806775922</v>
      </c>
      <c r="AI184" s="1480">
        <f t="shared" ca="1" si="84"/>
        <v>2.9055289392964712</v>
      </c>
      <c r="AJ184" s="335">
        <f t="shared" ca="1" si="85"/>
        <v>939.27038336035162</v>
      </c>
      <c r="AK184" s="698" t="str">
        <f t="shared" ca="1" si="63"/>
        <v xml:space="preserve"> </v>
      </c>
      <c r="AM184" s="697">
        <f ca="1">IF($A184&gt;Endyr,0,VLOOKUP($A184,Tariff_Table,Tariff!$L$33))</f>
        <v>1.21</v>
      </c>
      <c r="AN184" s="1504">
        <f ca="1">VLOOKUP($A184,Curves_Table,Escalation!$Z$291)</f>
        <v>1.5410299309586164</v>
      </c>
      <c r="AO184" s="331">
        <f t="shared" ca="1" si="86"/>
        <v>1.8646462164599258</v>
      </c>
      <c r="AP184" s="331">
        <f ca="1">IF($A184&gt;Endyr,0,VLOOKUP($A184,Tariff_Table,Tariff!$M$33))</f>
        <v>0.25</v>
      </c>
      <c r="AQ184" s="331">
        <f t="shared" ca="1" si="87"/>
        <v>2.114646216459926</v>
      </c>
      <c r="AR184" s="331">
        <f t="shared" ca="1" si="88"/>
        <v>1.46</v>
      </c>
      <c r="AS184" s="1508">
        <f t="shared" ca="1" si="89"/>
        <v>1.4483878194931001</v>
      </c>
    </row>
    <row r="185" spans="1:45">
      <c r="A185" s="672">
        <f t="shared" si="64"/>
        <v>42217</v>
      </c>
      <c r="C185" s="1484">
        <f ca="1">IF($A185&gt;Endyr,0,VLOOKUP($A185,Tariff_Table,Tariff!$G$33))</f>
        <v>7431.57</v>
      </c>
      <c r="D185" s="1480">
        <f ca="1">VLOOKUP($A185,Curves_Table,Escalation!$V$291)</f>
        <v>1.5973303982415077</v>
      </c>
      <c r="E185" s="1483">
        <f t="shared" ca="1" si="65"/>
        <v>11870.672667659641</v>
      </c>
      <c r="F185" s="1480">
        <f ca="1">IF(Assm!$L$74=0,VLOOKUP($A185,Curves_Table,Escalation!$D$291),VLOOKUP($A185,Curves_Table,Escalation!$E$291))</f>
        <v>2.9103209074559393</v>
      </c>
      <c r="G185" s="113">
        <f ca="1">IF($A185&lt;EE_Date,VLOOKUP($A185,Curves_Table,Escalation!$D$291),Exch)</f>
        <v>1.0649999999999999</v>
      </c>
      <c r="H185" s="1483">
        <f t="shared" ca="1" si="66"/>
        <v>32438.936009629695</v>
      </c>
      <c r="I185" s="330">
        <f ca="1">VLOOKUP($A185,Plant_Table,'Plant Operations'!$C$270)</f>
        <v>480</v>
      </c>
      <c r="J185" s="1481">
        <f t="shared" ca="1" si="67"/>
        <v>15570.689284622254</v>
      </c>
      <c r="K185" s="1480">
        <f t="shared" ca="1" si="68"/>
        <v>2.9103209074559393</v>
      </c>
      <c r="L185" s="384">
        <f t="shared" ca="1" si="69"/>
        <v>5350.1623290860362</v>
      </c>
      <c r="M185" s="692" t="str">
        <f t="shared" ca="1" si="60"/>
        <v xml:space="preserve"> </v>
      </c>
      <c r="O185" s="1482">
        <f ca="1">IF($A185&gt;Endyr,0,VLOOKUP($A185,Tariff_Table,Tariff!$H$33))</f>
        <v>6140.72</v>
      </c>
      <c r="P185" s="1480">
        <f t="shared" ca="1" si="70"/>
        <v>1.4483878194931001</v>
      </c>
      <c r="Q185" s="1481">
        <f t="shared" ca="1" si="71"/>
        <v>8894.14405091767</v>
      </c>
      <c r="R185" s="1480">
        <f t="shared" ca="1" si="72"/>
        <v>2.9103209074559393</v>
      </c>
      <c r="S185" s="113">
        <f t="shared" ca="1" si="73"/>
        <v>1.0649999999999999</v>
      </c>
      <c r="T185" s="1481">
        <f t="shared" ca="1" si="74"/>
        <v>24304.989094188317</v>
      </c>
      <c r="U185" s="330">
        <f t="shared" ca="1" si="75"/>
        <v>480</v>
      </c>
      <c r="V185" s="1481">
        <f t="shared" ca="1" si="76"/>
        <v>11666.394765210393</v>
      </c>
      <c r="W185" s="1480">
        <f t="shared" ca="1" si="77"/>
        <v>2.9103209074559393</v>
      </c>
      <c r="X185" s="384">
        <f t="shared" ca="1" si="78"/>
        <v>4008.6283046389499</v>
      </c>
      <c r="Y185" s="692" t="str">
        <f t="shared" ca="1" si="61"/>
        <v xml:space="preserve"> </v>
      </c>
      <c r="AA185" s="1484">
        <f ca="1">IF($A185&gt;Endyr,0,VLOOKUP($A185,Tariff_Table,Tariff!$I$33))</f>
        <v>2.31</v>
      </c>
      <c r="AB185" s="1480">
        <f t="shared" ca="1" si="62"/>
        <v>1.4483878194931001</v>
      </c>
      <c r="AC185" s="1483">
        <f t="shared" ca="1" si="79"/>
        <v>3.3457758630290613</v>
      </c>
      <c r="AD185" s="1480">
        <f t="shared" ca="1" si="80"/>
        <v>2.9103209074559393</v>
      </c>
      <c r="AE185" s="113">
        <f t="shared" ca="1" si="81"/>
        <v>1.0649999999999999</v>
      </c>
      <c r="AF185" s="1483">
        <f t="shared" ca="1" si="82"/>
        <v>9.1429872730844295</v>
      </c>
      <c r="AG185" s="334">
        <f ca="1">VLOOKUP($A185,Plant_Table,'Plant Operations'!$M$270)</f>
        <v>298980.864</v>
      </c>
      <c r="AH185" s="1481">
        <f t="shared" ca="1" si="83"/>
        <v>2733.5782344477866</v>
      </c>
      <c r="AI185" s="1480">
        <f t="shared" ca="1" si="84"/>
        <v>2.9103209074559393</v>
      </c>
      <c r="AJ185" s="335">
        <f t="shared" ca="1" si="85"/>
        <v>939.27038336035162</v>
      </c>
      <c r="AK185" s="698" t="str">
        <f t="shared" ca="1" si="63"/>
        <v xml:space="preserve"> </v>
      </c>
      <c r="AM185" s="697">
        <f ca="1">IF($A185&gt;Endyr,0,VLOOKUP($A185,Tariff_Table,Tariff!$L$33))</f>
        <v>1.21</v>
      </c>
      <c r="AN185" s="1504">
        <f ca="1">VLOOKUP($A185,Curves_Table,Escalation!$Z$291)</f>
        <v>1.5410299309586164</v>
      </c>
      <c r="AO185" s="331">
        <f t="shared" ca="1" si="86"/>
        <v>1.8646462164599258</v>
      </c>
      <c r="AP185" s="331">
        <f ca="1">IF($A185&gt;Endyr,0,VLOOKUP($A185,Tariff_Table,Tariff!$M$33))</f>
        <v>0.25</v>
      </c>
      <c r="AQ185" s="331">
        <f t="shared" ca="1" si="87"/>
        <v>2.114646216459926</v>
      </c>
      <c r="AR185" s="331">
        <f t="shared" ca="1" si="88"/>
        <v>1.46</v>
      </c>
      <c r="AS185" s="1508">
        <f t="shared" ca="1" si="89"/>
        <v>1.4483878194931001</v>
      </c>
    </row>
    <row r="186" spans="1:45">
      <c r="A186" s="672">
        <f t="shared" si="64"/>
        <v>42248</v>
      </c>
      <c r="C186" s="1484">
        <f ca="1">IF($A186&gt;Endyr,0,VLOOKUP($A186,Tariff_Table,Tariff!$G$33))</f>
        <v>7431.57</v>
      </c>
      <c r="D186" s="1480">
        <f ca="1">VLOOKUP($A186,Curves_Table,Escalation!$V$291)</f>
        <v>1.5973303982415077</v>
      </c>
      <c r="E186" s="1483">
        <f t="shared" ca="1" si="65"/>
        <v>11870.672667659641</v>
      </c>
      <c r="F186" s="1480">
        <f ca="1">IF(Assm!$L$74=0,VLOOKUP($A186,Curves_Table,Escalation!$D$291),VLOOKUP($A186,Curves_Table,Escalation!$E$291))</f>
        <v>2.9151207788093942</v>
      </c>
      <c r="G186" s="113">
        <f ca="1">IF($A186&lt;EE_Date,VLOOKUP($A186,Curves_Table,Escalation!$D$291),Exch)</f>
        <v>1.0649999999999999</v>
      </c>
      <c r="H186" s="1483">
        <f t="shared" ca="1" si="66"/>
        <v>32492.4361990041</v>
      </c>
      <c r="I186" s="330">
        <f ca="1">VLOOKUP($A186,Plant_Table,'Plant Operations'!$C$270)</f>
        <v>480</v>
      </c>
      <c r="J186" s="1481">
        <f t="shared" ca="1" si="67"/>
        <v>15596.369375521967</v>
      </c>
      <c r="K186" s="1480">
        <f t="shared" ca="1" si="68"/>
        <v>2.9151207788093942</v>
      </c>
      <c r="L186" s="384">
        <f t="shared" ca="1" si="69"/>
        <v>5350.1623290860352</v>
      </c>
      <c r="M186" s="692" t="str">
        <f t="shared" ca="1" si="60"/>
        <v xml:space="preserve"> </v>
      </c>
      <c r="O186" s="1482">
        <f ca="1">IF($A186&gt;Endyr,0,VLOOKUP($A186,Tariff_Table,Tariff!$H$33))</f>
        <v>6140.72</v>
      </c>
      <c r="P186" s="1480">
        <f t="shared" ca="1" si="70"/>
        <v>1.4483878194931001</v>
      </c>
      <c r="Q186" s="1481">
        <f t="shared" ca="1" si="71"/>
        <v>8894.14405091767</v>
      </c>
      <c r="R186" s="1480">
        <f t="shared" ca="1" si="72"/>
        <v>2.9151207788093942</v>
      </c>
      <c r="S186" s="113">
        <f t="shared" ca="1" si="73"/>
        <v>1.0649999999999999</v>
      </c>
      <c r="T186" s="1481">
        <f t="shared" ca="1" si="74"/>
        <v>24345.074302867662</v>
      </c>
      <c r="U186" s="330">
        <f t="shared" ca="1" si="75"/>
        <v>480</v>
      </c>
      <c r="V186" s="1481">
        <f t="shared" ca="1" si="76"/>
        <v>11685.63566537648</v>
      </c>
      <c r="W186" s="1480">
        <f t="shared" ca="1" si="77"/>
        <v>2.9151207788093942</v>
      </c>
      <c r="X186" s="384">
        <f t="shared" ca="1" si="78"/>
        <v>4008.6283046389508</v>
      </c>
      <c r="Y186" s="692" t="str">
        <f t="shared" ca="1" si="61"/>
        <v xml:space="preserve"> </v>
      </c>
      <c r="AA186" s="1484">
        <f ca="1">IF($A186&gt;Endyr,0,VLOOKUP($A186,Tariff_Table,Tariff!$I$33))</f>
        <v>2.31</v>
      </c>
      <c r="AB186" s="1480">
        <f t="shared" ca="1" si="62"/>
        <v>1.4483878194931001</v>
      </c>
      <c r="AC186" s="1483">
        <f t="shared" ca="1" si="79"/>
        <v>3.3457758630290613</v>
      </c>
      <c r="AD186" s="1480">
        <f t="shared" ca="1" si="80"/>
        <v>2.9151207788093942</v>
      </c>
      <c r="AE186" s="113">
        <f t="shared" ca="1" si="81"/>
        <v>1.0649999999999999</v>
      </c>
      <c r="AF186" s="1483">
        <f t="shared" ca="1" si="82"/>
        <v>9.158066422117324</v>
      </c>
      <c r="AG186" s="334">
        <f ca="1">VLOOKUP($A186,Plant_Table,'Plant Operations'!$M$270)</f>
        <v>289336.32000000001</v>
      </c>
      <c r="AH186" s="1481">
        <f t="shared" ca="1" si="83"/>
        <v>2649.7612368909931</v>
      </c>
      <c r="AI186" s="1480">
        <f t="shared" ca="1" si="84"/>
        <v>2.9151207788093942</v>
      </c>
      <c r="AJ186" s="335">
        <f t="shared" ca="1" si="85"/>
        <v>908.97133873582402</v>
      </c>
      <c r="AK186" s="698" t="str">
        <f t="shared" ca="1" si="63"/>
        <v xml:space="preserve"> </v>
      </c>
      <c r="AM186" s="697">
        <f ca="1">IF($A186&gt;Endyr,0,VLOOKUP($A186,Tariff_Table,Tariff!$L$33))</f>
        <v>1.21</v>
      </c>
      <c r="AN186" s="1504">
        <f ca="1">VLOOKUP($A186,Curves_Table,Escalation!$Z$291)</f>
        <v>1.5410299309586164</v>
      </c>
      <c r="AO186" s="331">
        <f t="shared" ca="1" si="86"/>
        <v>1.8646462164599258</v>
      </c>
      <c r="AP186" s="331">
        <f ca="1">IF($A186&gt;Endyr,0,VLOOKUP($A186,Tariff_Table,Tariff!$M$33))</f>
        <v>0.25</v>
      </c>
      <c r="AQ186" s="331">
        <f t="shared" ca="1" si="87"/>
        <v>2.114646216459926</v>
      </c>
      <c r="AR186" s="331">
        <f t="shared" ca="1" si="88"/>
        <v>1.46</v>
      </c>
      <c r="AS186" s="1508">
        <f t="shared" ca="1" si="89"/>
        <v>1.4483878194931001</v>
      </c>
    </row>
    <row r="187" spans="1:45">
      <c r="A187" s="672">
        <f t="shared" si="64"/>
        <v>42278</v>
      </c>
      <c r="C187" s="1484">
        <f ca="1">IF($A187&gt;Endyr,0,VLOOKUP($A187,Tariff_Table,Tariff!$G$33))</f>
        <v>7431.57</v>
      </c>
      <c r="D187" s="1480">
        <f ca="1">VLOOKUP($A187,Curves_Table,Escalation!$V$291)</f>
        <v>1.5973303982415077</v>
      </c>
      <c r="E187" s="1483">
        <f t="shared" ca="1" si="65"/>
        <v>11870.672667659641</v>
      </c>
      <c r="F187" s="1480">
        <f ca="1">IF(Assm!$L$74=0,VLOOKUP($A187,Curves_Table,Escalation!$D$291),VLOOKUP($A187,Curves_Table,Escalation!$E$291))</f>
        <v>2.9199285663912451</v>
      </c>
      <c r="G187" s="113">
        <f ca="1">IF($A187&lt;EE_Date,VLOOKUP($A187,Curves_Table,Escalation!$D$291),Exch)</f>
        <v>1.0649999999999999</v>
      </c>
      <c r="H187" s="1483">
        <f t="shared" ca="1" si="66"/>
        <v>32546.024624017984</v>
      </c>
      <c r="I187" s="330">
        <f ca="1">VLOOKUP($A187,Plant_Table,'Plant Operations'!$C$270)</f>
        <v>480</v>
      </c>
      <c r="J187" s="1481">
        <f t="shared" ca="1" si="67"/>
        <v>15622.091819528632</v>
      </c>
      <c r="K187" s="1480">
        <f t="shared" ca="1" si="68"/>
        <v>2.9199285663912451</v>
      </c>
      <c r="L187" s="384">
        <f t="shared" ca="1" si="69"/>
        <v>5350.1623290860352</v>
      </c>
      <c r="M187" s="692" t="str">
        <f t="shared" ca="1" si="60"/>
        <v xml:space="preserve"> </v>
      </c>
      <c r="O187" s="1482">
        <f ca="1">IF($A187&gt;Endyr,0,VLOOKUP($A187,Tariff_Table,Tariff!$H$33))</f>
        <v>6140.72</v>
      </c>
      <c r="P187" s="1480">
        <f t="shared" ca="1" si="70"/>
        <v>1.4483878194931001</v>
      </c>
      <c r="Q187" s="1481">
        <f t="shared" ca="1" si="71"/>
        <v>8894.14405091767</v>
      </c>
      <c r="R187" s="1480">
        <f t="shared" ca="1" si="72"/>
        <v>2.9199285663912451</v>
      </c>
      <c r="S187" s="113">
        <f t="shared" ca="1" si="73"/>
        <v>1.0649999999999999</v>
      </c>
      <c r="T187" s="1481">
        <f t="shared" ca="1" si="74"/>
        <v>24385.225622416205</v>
      </c>
      <c r="U187" s="330">
        <f t="shared" ca="1" si="75"/>
        <v>480</v>
      </c>
      <c r="V187" s="1481">
        <f t="shared" ca="1" si="76"/>
        <v>11704.908298759779</v>
      </c>
      <c r="W187" s="1480">
        <f t="shared" ca="1" si="77"/>
        <v>2.9199285663912451</v>
      </c>
      <c r="X187" s="384">
        <f t="shared" ca="1" si="78"/>
        <v>4008.6283046389508</v>
      </c>
      <c r="Y187" s="692" t="str">
        <f t="shared" ca="1" si="61"/>
        <v xml:space="preserve"> </v>
      </c>
      <c r="AA187" s="1484">
        <f ca="1">IF($A187&gt;Endyr,0,VLOOKUP($A187,Tariff_Table,Tariff!$I$33))</f>
        <v>2.31</v>
      </c>
      <c r="AB187" s="1480">
        <f t="shared" ca="1" si="62"/>
        <v>1.4483878194931001</v>
      </c>
      <c r="AC187" s="1483">
        <f t="shared" ca="1" si="79"/>
        <v>3.3457758630290613</v>
      </c>
      <c r="AD187" s="1480">
        <f t="shared" ca="1" si="80"/>
        <v>2.9199285663912451</v>
      </c>
      <c r="AE187" s="113">
        <f t="shared" ca="1" si="81"/>
        <v>1.0649999999999999</v>
      </c>
      <c r="AF187" s="1483">
        <f t="shared" ca="1" si="82"/>
        <v>9.1731704405642045</v>
      </c>
      <c r="AG187" s="334">
        <f ca="1">VLOOKUP($A187,Plant_Table,'Plant Operations'!$M$270)</f>
        <v>298980.864</v>
      </c>
      <c r="AH187" s="1481">
        <f t="shared" ca="1" si="83"/>
        <v>2742.6024239391468</v>
      </c>
      <c r="AI187" s="1480">
        <f t="shared" ca="1" si="84"/>
        <v>2.9199285663912451</v>
      </c>
      <c r="AJ187" s="335">
        <f t="shared" ca="1" si="85"/>
        <v>939.27038336035162</v>
      </c>
      <c r="AK187" s="698" t="str">
        <f t="shared" ca="1" si="63"/>
        <v xml:space="preserve"> </v>
      </c>
      <c r="AM187" s="697">
        <f ca="1">IF($A187&gt;Endyr,0,VLOOKUP($A187,Tariff_Table,Tariff!$L$33))</f>
        <v>1.21</v>
      </c>
      <c r="AN187" s="1504">
        <f ca="1">VLOOKUP($A187,Curves_Table,Escalation!$Z$291)</f>
        <v>1.5410299309586164</v>
      </c>
      <c r="AO187" s="331">
        <f t="shared" ca="1" si="86"/>
        <v>1.8646462164599258</v>
      </c>
      <c r="AP187" s="331">
        <f ca="1">IF($A187&gt;Endyr,0,VLOOKUP($A187,Tariff_Table,Tariff!$M$33))</f>
        <v>0.25</v>
      </c>
      <c r="AQ187" s="331">
        <f t="shared" ca="1" si="87"/>
        <v>2.114646216459926</v>
      </c>
      <c r="AR187" s="331">
        <f t="shared" ca="1" si="88"/>
        <v>1.46</v>
      </c>
      <c r="AS187" s="1508">
        <f t="shared" ca="1" si="89"/>
        <v>1.4483878194931001</v>
      </c>
    </row>
    <row r="188" spans="1:45">
      <c r="A188" s="672">
        <f t="shared" si="64"/>
        <v>42309</v>
      </c>
      <c r="C188" s="1484">
        <f ca="1">IF($A188&gt;Endyr,0,VLOOKUP($A188,Tariff_Table,Tariff!$G$33))</f>
        <v>7431.57</v>
      </c>
      <c r="D188" s="1480">
        <f ca="1">VLOOKUP($A188,Curves_Table,Escalation!$V$291)</f>
        <v>1.5973303982415077</v>
      </c>
      <c r="E188" s="1483">
        <f t="shared" ca="1" si="65"/>
        <v>11870.672667659641</v>
      </c>
      <c r="F188" s="1480">
        <f ca="1">IF(Assm!$L$74=0,VLOOKUP($A188,Curves_Table,Escalation!$D$291),VLOOKUP($A188,Curves_Table,Escalation!$E$291))</f>
        <v>2.9247442832573989</v>
      </c>
      <c r="G188" s="113">
        <f ca="1">IF($A188&lt;EE_Date,VLOOKUP($A188,Curves_Table,Escalation!$D$291),Exch)</f>
        <v>1.0649999999999999</v>
      </c>
      <c r="H188" s="1483">
        <f t="shared" ca="1" si="66"/>
        <v>32599.701430194738</v>
      </c>
      <c r="I188" s="330">
        <f ca="1">VLOOKUP($A188,Plant_Table,'Plant Operations'!$C$270)</f>
        <v>480</v>
      </c>
      <c r="J188" s="1481">
        <f t="shared" ca="1" si="67"/>
        <v>15647.856686493475</v>
      </c>
      <c r="K188" s="1480">
        <f t="shared" ca="1" si="68"/>
        <v>2.9247442832573989</v>
      </c>
      <c r="L188" s="384">
        <f t="shared" ca="1" si="69"/>
        <v>5350.1623290860362</v>
      </c>
      <c r="M188" s="692" t="str">
        <f t="shared" ca="1" si="60"/>
        <v xml:space="preserve"> </v>
      </c>
      <c r="O188" s="1482">
        <f ca="1">IF($A188&gt;Endyr,0,VLOOKUP($A188,Tariff_Table,Tariff!$H$33))</f>
        <v>6140.72</v>
      </c>
      <c r="P188" s="1480">
        <f t="shared" ca="1" si="70"/>
        <v>1.4483878194931001</v>
      </c>
      <c r="Q188" s="1481">
        <f t="shared" ca="1" si="71"/>
        <v>8894.14405091767</v>
      </c>
      <c r="R188" s="1480">
        <f t="shared" ca="1" si="72"/>
        <v>2.9247442832573989</v>
      </c>
      <c r="S188" s="113">
        <f t="shared" ca="1" si="73"/>
        <v>1.0649999999999999</v>
      </c>
      <c r="T188" s="1481">
        <f t="shared" ca="1" si="74"/>
        <v>24425.44316186785</v>
      </c>
      <c r="U188" s="330">
        <f t="shared" ca="1" si="75"/>
        <v>480</v>
      </c>
      <c r="V188" s="1481">
        <f t="shared" ca="1" si="76"/>
        <v>11724.212717696568</v>
      </c>
      <c r="W188" s="1480">
        <f t="shared" ca="1" si="77"/>
        <v>2.9247442832573989</v>
      </c>
      <c r="X188" s="384">
        <f t="shared" ca="1" si="78"/>
        <v>4008.6283046389499</v>
      </c>
      <c r="Y188" s="692" t="str">
        <f t="shared" ca="1" si="61"/>
        <v xml:space="preserve"> </v>
      </c>
      <c r="AA188" s="1484">
        <f ca="1">IF($A188&gt;Endyr,0,VLOOKUP($A188,Tariff_Table,Tariff!$I$33))</f>
        <v>2.31</v>
      </c>
      <c r="AB188" s="1480">
        <f t="shared" ca="1" si="62"/>
        <v>1.4483878194931001</v>
      </c>
      <c r="AC188" s="1483">
        <f t="shared" ca="1" si="79"/>
        <v>3.3457758630290613</v>
      </c>
      <c r="AD188" s="1480">
        <f t="shared" ca="1" si="80"/>
        <v>2.9247442832573989</v>
      </c>
      <c r="AE188" s="113">
        <f t="shared" ca="1" si="81"/>
        <v>1.0649999999999999</v>
      </c>
      <c r="AF188" s="1483">
        <f t="shared" ca="1" si="82"/>
        <v>9.188299369441161</v>
      </c>
      <c r="AG188" s="334">
        <f ca="1">VLOOKUP($A188,Plant_Table,'Plant Operations'!$M$270)</f>
        <v>289336.32000000001</v>
      </c>
      <c r="AH188" s="1481">
        <f t="shared" ca="1" si="83"/>
        <v>2658.508726612426</v>
      </c>
      <c r="AI188" s="1480">
        <f t="shared" ca="1" si="84"/>
        <v>2.9247442832573989</v>
      </c>
      <c r="AJ188" s="335">
        <f t="shared" ca="1" si="85"/>
        <v>908.97133873582402</v>
      </c>
      <c r="AK188" s="698" t="str">
        <f t="shared" ca="1" si="63"/>
        <v xml:space="preserve"> </v>
      </c>
      <c r="AM188" s="697">
        <f ca="1">IF($A188&gt;Endyr,0,VLOOKUP($A188,Tariff_Table,Tariff!$L$33))</f>
        <v>1.21</v>
      </c>
      <c r="AN188" s="1504">
        <f ca="1">VLOOKUP($A188,Curves_Table,Escalation!$Z$291)</f>
        <v>1.5410299309586164</v>
      </c>
      <c r="AO188" s="331">
        <f t="shared" ca="1" si="86"/>
        <v>1.8646462164599258</v>
      </c>
      <c r="AP188" s="331">
        <f ca="1">IF($A188&gt;Endyr,0,VLOOKUP($A188,Tariff_Table,Tariff!$M$33))</f>
        <v>0.25</v>
      </c>
      <c r="AQ188" s="331">
        <f t="shared" ca="1" si="87"/>
        <v>2.114646216459926</v>
      </c>
      <c r="AR188" s="331">
        <f t="shared" ca="1" si="88"/>
        <v>1.46</v>
      </c>
      <c r="AS188" s="1508">
        <f t="shared" ca="1" si="89"/>
        <v>1.4483878194931001</v>
      </c>
    </row>
    <row r="189" spans="1:45">
      <c r="A189" s="672">
        <f t="shared" si="64"/>
        <v>42339</v>
      </c>
      <c r="C189" s="1484">
        <f ca="1">IF($A189&gt;Endyr,0,VLOOKUP($A189,Tariff_Table,Tariff!$G$33))</f>
        <v>7431.57</v>
      </c>
      <c r="D189" s="1480">
        <f ca="1">VLOOKUP($A189,Curves_Table,Escalation!$V$291)</f>
        <v>1.5973303982415077</v>
      </c>
      <c r="E189" s="1483">
        <f t="shared" ca="1" si="65"/>
        <v>11870.672667659641</v>
      </c>
      <c r="F189" s="1480">
        <f ca="1">IF(Assm!$L$74=0,VLOOKUP($A189,Curves_Table,Escalation!$D$291),VLOOKUP($A189,Curves_Table,Escalation!$E$291))</f>
        <v>2.9295679424852956</v>
      </c>
      <c r="G189" s="113">
        <f ca="1">IF($A189&lt;EE_Date,VLOOKUP($A189,Curves_Table,Escalation!$D$291),Exch)</f>
        <v>1.0649999999999999</v>
      </c>
      <c r="H189" s="1483">
        <f t="shared" ca="1" si="66"/>
        <v>32653.466763297736</v>
      </c>
      <c r="I189" s="330">
        <f ca="1">VLOOKUP($A189,Plant_Table,'Plant Operations'!$C$270)</f>
        <v>480</v>
      </c>
      <c r="J189" s="1481">
        <f t="shared" ca="1" si="67"/>
        <v>15673.664046382914</v>
      </c>
      <c r="K189" s="1480">
        <f t="shared" ca="1" si="68"/>
        <v>2.9295679424852956</v>
      </c>
      <c r="L189" s="384">
        <f t="shared" ca="1" si="69"/>
        <v>5350.1623290860352</v>
      </c>
      <c r="M189" s="692">
        <f t="shared" ca="1" si="60"/>
        <v>63647.427467420159</v>
      </c>
      <c r="O189" s="1482">
        <f ca="1">IF($A189&gt;Endyr,0,VLOOKUP($A189,Tariff_Table,Tariff!$H$33))</f>
        <v>6140.72</v>
      </c>
      <c r="P189" s="1480">
        <f t="shared" ca="1" si="70"/>
        <v>1.4483878194931001</v>
      </c>
      <c r="Q189" s="1481">
        <f t="shared" ca="1" si="71"/>
        <v>8894.14405091767</v>
      </c>
      <c r="R189" s="1480">
        <f t="shared" ca="1" si="72"/>
        <v>2.9295679424852956</v>
      </c>
      <c r="S189" s="113">
        <f t="shared" ca="1" si="73"/>
        <v>1.0649999999999999</v>
      </c>
      <c r="T189" s="1481">
        <f t="shared" ca="1" si="74"/>
        <v>24465.727030436348</v>
      </c>
      <c r="U189" s="330">
        <f t="shared" ca="1" si="75"/>
        <v>480</v>
      </c>
      <c r="V189" s="1481">
        <f t="shared" ca="1" si="76"/>
        <v>11743.548974609448</v>
      </c>
      <c r="W189" s="1480">
        <f t="shared" ca="1" si="77"/>
        <v>2.9295679424852956</v>
      </c>
      <c r="X189" s="384">
        <f t="shared" ca="1" si="78"/>
        <v>4008.6283046389503</v>
      </c>
      <c r="Y189" s="692">
        <f t="shared" ca="1" si="61"/>
        <v>47725.666603630241</v>
      </c>
      <c r="AA189" s="1484">
        <f ca="1">IF($A189&gt;Endyr,0,VLOOKUP($A189,Tariff_Table,Tariff!$I$33))</f>
        <v>2.31</v>
      </c>
      <c r="AB189" s="1480">
        <f t="shared" ca="1" si="62"/>
        <v>1.4483878194931001</v>
      </c>
      <c r="AC189" s="1483">
        <f t="shared" ca="1" si="79"/>
        <v>3.3457758630290613</v>
      </c>
      <c r="AD189" s="1480">
        <f t="shared" ca="1" si="80"/>
        <v>2.9295679424852956</v>
      </c>
      <c r="AE189" s="113">
        <f t="shared" ca="1" si="81"/>
        <v>1.0649999999999999</v>
      </c>
      <c r="AF189" s="1483">
        <f t="shared" ca="1" si="82"/>
        <v>9.2034532498319361</v>
      </c>
      <c r="AG189" s="334">
        <f ca="1">VLOOKUP($A189,Plant_Table,'Plant Operations'!$M$270)</f>
        <v>298980.864</v>
      </c>
      <c r="AH189" s="1481">
        <f t="shared" ca="1" si="83"/>
        <v>2751.6564044183601</v>
      </c>
      <c r="AI189" s="1480">
        <f t="shared" ca="1" si="84"/>
        <v>2.9295679424852956</v>
      </c>
      <c r="AJ189" s="335">
        <f t="shared" ca="1" si="85"/>
        <v>939.27038336035162</v>
      </c>
      <c r="AK189" s="698">
        <f t="shared" ca="1" si="63"/>
        <v>10986.639663394441</v>
      </c>
      <c r="AM189" s="697">
        <f ca="1">IF($A189&gt;Endyr,0,VLOOKUP($A189,Tariff_Table,Tariff!$L$33))</f>
        <v>1.21</v>
      </c>
      <c r="AN189" s="1504">
        <f ca="1">VLOOKUP($A189,Curves_Table,Escalation!$Z$291)</f>
        <v>1.5410299309586164</v>
      </c>
      <c r="AO189" s="331">
        <f t="shared" ca="1" si="86"/>
        <v>1.8646462164599258</v>
      </c>
      <c r="AP189" s="331">
        <f ca="1">IF($A189&gt;Endyr,0,VLOOKUP($A189,Tariff_Table,Tariff!$M$33))</f>
        <v>0.25</v>
      </c>
      <c r="AQ189" s="331">
        <f t="shared" ca="1" si="87"/>
        <v>2.114646216459926</v>
      </c>
      <c r="AR189" s="331">
        <f t="shared" ca="1" si="88"/>
        <v>1.46</v>
      </c>
      <c r="AS189" s="1508">
        <f t="shared" ca="1" si="89"/>
        <v>1.4483878194931001</v>
      </c>
    </row>
    <row r="190" spans="1:45">
      <c r="A190" s="672">
        <f t="shared" si="64"/>
        <v>42370</v>
      </c>
      <c r="C190" s="1484">
        <f ca="1">IF($A190&gt;Endyr,0,VLOOKUP($A190,Tariff_Table,Tariff!$G$33))</f>
        <v>7431.57</v>
      </c>
      <c r="D190" s="1480">
        <f ca="1">VLOOKUP($A190,Curves_Table,Escalation!$V$291)</f>
        <v>1.5973303982415077</v>
      </c>
      <c r="E190" s="1483">
        <f t="shared" ca="1" si="65"/>
        <v>11870.672667659641</v>
      </c>
      <c r="F190" s="1480">
        <f ca="1">IF(Assm!$L$74=0,VLOOKUP($A190,Curves_Table,Escalation!$D$291),VLOOKUP($A190,Curves_Table,Escalation!$E$291))</f>
        <v>2.9344084151188023</v>
      </c>
      <c r="G190" s="113">
        <f ca="1">IF($A190&lt;EE_Date,VLOOKUP($A190,Curves_Table,Escalation!$D$291),Exch)</f>
        <v>1.0649999999999999</v>
      </c>
      <c r="H190" s="1483">
        <f t="shared" ca="1" si="66"/>
        <v>32707.419501503486</v>
      </c>
      <c r="I190" s="330">
        <f ca="1">VLOOKUP($A190,Plant_Table,'Plant Operations'!$C$270)</f>
        <v>480</v>
      </c>
      <c r="J190" s="1481">
        <f t="shared" ca="1" si="67"/>
        <v>15699.561360721675</v>
      </c>
      <c r="K190" s="1480">
        <f t="shared" ca="1" si="68"/>
        <v>2.9344084151188023</v>
      </c>
      <c r="L190" s="384">
        <f t="shared" ca="1" si="69"/>
        <v>5350.1623290860362</v>
      </c>
      <c r="M190" s="692" t="str">
        <f t="shared" ca="1" si="60"/>
        <v xml:space="preserve"> </v>
      </c>
      <c r="O190" s="1482">
        <f ca="1">IF($A190&gt;Endyr,0,VLOOKUP($A190,Tariff_Table,Tariff!$H$33))</f>
        <v>6140.72</v>
      </c>
      <c r="P190" s="1480">
        <f t="shared" ca="1" si="70"/>
        <v>1.4483878194931001</v>
      </c>
      <c r="Q190" s="1481">
        <f t="shared" ca="1" si="71"/>
        <v>8894.14405091767</v>
      </c>
      <c r="R190" s="1480">
        <f t="shared" ca="1" si="72"/>
        <v>2.9344084151188023</v>
      </c>
      <c r="S190" s="113">
        <f t="shared" ca="1" si="73"/>
        <v>1.0649999999999999</v>
      </c>
      <c r="T190" s="1481">
        <f t="shared" ca="1" si="74"/>
        <v>24506.151312949904</v>
      </c>
      <c r="U190" s="330">
        <f t="shared" ca="1" si="75"/>
        <v>480</v>
      </c>
      <c r="V190" s="1481">
        <f t="shared" ca="1" si="76"/>
        <v>11762.952630215954</v>
      </c>
      <c r="W190" s="1480">
        <f t="shared" ca="1" si="77"/>
        <v>2.9344084151188023</v>
      </c>
      <c r="X190" s="384">
        <f t="shared" ca="1" si="78"/>
        <v>4008.6283046389503</v>
      </c>
      <c r="Y190" s="692" t="str">
        <f t="shared" ca="1" si="61"/>
        <v xml:space="preserve"> </v>
      </c>
      <c r="AA190" s="1484">
        <f ca="1">IF($A190&gt;Endyr,0,VLOOKUP($A190,Tariff_Table,Tariff!$I$33))</f>
        <v>2.31</v>
      </c>
      <c r="AB190" s="1480">
        <f t="shared" ca="1" si="62"/>
        <v>1.4483878194931001</v>
      </c>
      <c r="AC190" s="1483">
        <f t="shared" ca="1" si="79"/>
        <v>3.3457758630290613</v>
      </c>
      <c r="AD190" s="1480">
        <f t="shared" ca="1" si="80"/>
        <v>2.9344084151188023</v>
      </c>
      <c r="AE190" s="113">
        <f t="shared" ca="1" si="81"/>
        <v>1.0649999999999999</v>
      </c>
      <c r="AF190" s="1483">
        <f t="shared" ca="1" si="82"/>
        <v>9.2186599507735689</v>
      </c>
      <c r="AG190" s="334">
        <f ca="1">VLOOKUP($A190,Plant_Table,'Plant Operations'!$M$270)</f>
        <v>298980.864</v>
      </c>
      <c r="AH190" s="1481">
        <f t="shared" ca="1" si="83"/>
        <v>2756.2029170044789</v>
      </c>
      <c r="AI190" s="1480">
        <f t="shared" ca="1" si="84"/>
        <v>2.9344084151188023</v>
      </c>
      <c r="AJ190" s="335">
        <f t="shared" ca="1" si="85"/>
        <v>939.2703833603515</v>
      </c>
      <c r="AK190" s="698" t="str">
        <f t="shared" ca="1" si="63"/>
        <v xml:space="preserve"> </v>
      </c>
      <c r="AM190" s="697">
        <f ca="1">IF($A190&gt;Endyr,0,VLOOKUP($A190,Tariff_Table,Tariff!$L$33))</f>
        <v>1.21</v>
      </c>
      <c r="AN190" s="1504">
        <f ca="1">VLOOKUP($A190,Curves_Table,Escalation!$Z$291)</f>
        <v>1.5410299309586164</v>
      </c>
      <c r="AO190" s="331">
        <f t="shared" ca="1" si="86"/>
        <v>1.8646462164599258</v>
      </c>
      <c r="AP190" s="331">
        <f ca="1">IF($A190&gt;Endyr,0,VLOOKUP($A190,Tariff_Table,Tariff!$M$33))</f>
        <v>0.25</v>
      </c>
      <c r="AQ190" s="331">
        <f t="shared" ca="1" si="87"/>
        <v>2.114646216459926</v>
      </c>
      <c r="AR190" s="331">
        <f t="shared" ca="1" si="88"/>
        <v>1.46</v>
      </c>
      <c r="AS190" s="1508">
        <f t="shared" ca="1" si="89"/>
        <v>1.4483878194931001</v>
      </c>
    </row>
    <row r="191" spans="1:45">
      <c r="A191" s="672">
        <f t="shared" si="64"/>
        <v>42401</v>
      </c>
      <c r="C191" s="1484">
        <f ca="1">IF($A191&gt;Endyr,0,VLOOKUP($A191,Tariff_Table,Tariff!$G$33))</f>
        <v>7431.57</v>
      </c>
      <c r="D191" s="1480">
        <f ca="1">VLOOKUP($A191,Curves_Table,Escalation!$V$291)</f>
        <v>1.5973303982415077</v>
      </c>
      <c r="E191" s="1483">
        <f t="shared" ca="1" si="65"/>
        <v>11870.672667659641</v>
      </c>
      <c r="F191" s="1480">
        <f ca="1">IF(Assm!$L$74=0,VLOOKUP($A191,Curves_Table,Escalation!$D$291),VLOOKUP($A191,Curves_Table,Escalation!$E$291))</f>
        <v>2.939256885578533</v>
      </c>
      <c r="G191" s="113">
        <f ca="1">IF($A191&lt;EE_Date,VLOOKUP($A191,Curves_Table,Escalation!$D$291),Exch)</f>
        <v>1.0649999999999999</v>
      </c>
      <c r="H191" s="1483">
        <f t="shared" ca="1" si="66"/>
        <v>32761.461384852108</v>
      </c>
      <c r="I191" s="330">
        <f ca="1">VLOOKUP($A191,Plant_Table,'Plant Operations'!$C$270)</f>
        <v>480</v>
      </c>
      <c r="J191" s="1481">
        <f t="shared" ca="1" si="67"/>
        <v>15725.501464729012</v>
      </c>
      <c r="K191" s="1480">
        <f t="shared" ca="1" si="68"/>
        <v>2.939256885578533</v>
      </c>
      <c r="L191" s="384">
        <f t="shared" ca="1" si="69"/>
        <v>5350.1623290860352</v>
      </c>
      <c r="M191" s="692" t="str">
        <f t="shared" ca="1" si="60"/>
        <v xml:space="preserve"> </v>
      </c>
      <c r="O191" s="1482">
        <f ca="1">IF($A191&gt;Endyr,0,VLOOKUP($A191,Tariff_Table,Tariff!$H$33))</f>
        <v>6140.72</v>
      </c>
      <c r="P191" s="1480">
        <f t="shared" ca="1" si="70"/>
        <v>1.4483878194931001</v>
      </c>
      <c r="Q191" s="1481">
        <f t="shared" ca="1" si="71"/>
        <v>8894.14405091767</v>
      </c>
      <c r="R191" s="1480">
        <f t="shared" ca="1" si="72"/>
        <v>2.939256885578533</v>
      </c>
      <c r="S191" s="113">
        <f t="shared" ca="1" si="73"/>
        <v>1.0649999999999999</v>
      </c>
      <c r="T191" s="1481">
        <f t="shared" ca="1" si="74"/>
        <v>24546.642387781321</v>
      </c>
      <c r="U191" s="330">
        <f t="shared" ca="1" si="75"/>
        <v>480</v>
      </c>
      <c r="V191" s="1481">
        <f t="shared" ca="1" si="76"/>
        <v>11782.388346135036</v>
      </c>
      <c r="W191" s="1480">
        <f t="shared" ca="1" si="77"/>
        <v>2.939256885578533</v>
      </c>
      <c r="X191" s="384">
        <f t="shared" ca="1" si="78"/>
        <v>4008.6283046389503</v>
      </c>
      <c r="Y191" s="692" t="str">
        <f t="shared" ca="1" si="61"/>
        <v xml:space="preserve"> </v>
      </c>
      <c r="AA191" s="1484">
        <f ca="1">IF($A191&gt;Endyr,0,VLOOKUP($A191,Tariff_Table,Tariff!$I$33))</f>
        <v>2.31</v>
      </c>
      <c r="AB191" s="1480">
        <f t="shared" ca="1" si="62"/>
        <v>1.4483878194931001</v>
      </c>
      <c r="AC191" s="1483">
        <f t="shared" ca="1" si="79"/>
        <v>3.3457758630290613</v>
      </c>
      <c r="AD191" s="1480">
        <f t="shared" ca="1" si="80"/>
        <v>2.939256885578533</v>
      </c>
      <c r="AE191" s="113">
        <f t="shared" ca="1" si="81"/>
        <v>1.0649999999999999</v>
      </c>
      <c r="AF191" s="1483">
        <f t="shared" ca="1" si="82"/>
        <v>9.2338917774747689</v>
      </c>
      <c r="AG191" s="334">
        <f ca="1">VLOOKUP($A191,Plant_Table,'Plant Operations'!$M$270)</f>
        <v>279691.77600000001</v>
      </c>
      <c r="AH191" s="1481">
        <f t="shared" ca="1" si="83"/>
        <v>2582.6435906337151</v>
      </c>
      <c r="AI191" s="1480">
        <f t="shared" ca="1" si="84"/>
        <v>2.939256885578533</v>
      </c>
      <c r="AJ191" s="335">
        <f t="shared" ca="1" si="85"/>
        <v>878.67229411129688</v>
      </c>
      <c r="AK191" s="698" t="str">
        <f t="shared" ca="1" si="63"/>
        <v xml:space="preserve"> </v>
      </c>
      <c r="AM191" s="697">
        <f ca="1">IF($A191&gt;Endyr,0,VLOOKUP($A191,Tariff_Table,Tariff!$L$33))</f>
        <v>1.21</v>
      </c>
      <c r="AN191" s="1504">
        <f ca="1">VLOOKUP($A191,Curves_Table,Escalation!$Z$291)</f>
        <v>1.5410299309586164</v>
      </c>
      <c r="AO191" s="331">
        <f t="shared" ca="1" si="86"/>
        <v>1.8646462164599258</v>
      </c>
      <c r="AP191" s="331">
        <f ca="1">IF($A191&gt;Endyr,0,VLOOKUP($A191,Tariff_Table,Tariff!$M$33))</f>
        <v>0.25</v>
      </c>
      <c r="AQ191" s="331">
        <f t="shared" ca="1" si="87"/>
        <v>2.114646216459926</v>
      </c>
      <c r="AR191" s="331">
        <f t="shared" ca="1" si="88"/>
        <v>1.46</v>
      </c>
      <c r="AS191" s="1508">
        <f t="shared" ca="1" si="89"/>
        <v>1.4483878194931001</v>
      </c>
    </row>
    <row r="192" spans="1:45">
      <c r="A192" s="672">
        <f t="shared" si="64"/>
        <v>42430</v>
      </c>
      <c r="C192" s="1484">
        <f ca="1">IF($A192&gt;Endyr,0,VLOOKUP($A192,Tariff_Table,Tariff!$G$33))</f>
        <v>7431.57</v>
      </c>
      <c r="D192" s="1480">
        <f ca="1">VLOOKUP($A192,Curves_Table,Escalation!$V$291)</f>
        <v>1.5973303982415077</v>
      </c>
      <c r="E192" s="1483">
        <f t="shared" ca="1" si="65"/>
        <v>11870.672667659641</v>
      </c>
      <c r="F192" s="1480">
        <f ca="1">IF(Assm!$L$74=0,VLOOKUP($A192,Curves_Table,Escalation!$D$291),VLOOKUP($A192,Curves_Table,Escalation!$E$291))</f>
        <v>2.9441133670791526</v>
      </c>
      <c r="G192" s="113">
        <f ca="1">IF($A192&lt;EE_Date,VLOOKUP($A192,Curves_Table,Escalation!$D$291),Exch)</f>
        <v>1.0649999999999999</v>
      </c>
      <c r="H192" s="1483">
        <f t="shared" ca="1" si="66"/>
        <v>32815.59256063652</v>
      </c>
      <c r="I192" s="330">
        <f ca="1">VLOOKUP($A192,Plant_Table,'Plant Operations'!$C$270)</f>
        <v>480</v>
      </c>
      <c r="J192" s="1481">
        <f t="shared" ca="1" si="67"/>
        <v>15751.484429105529</v>
      </c>
      <c r="K192" s="1480">
        <f t="shared" ca="1" si="68"/>
        <v>2.9441133670791526</v>
      </c>
      <c r="L192" s="384">
        <f t="shared" ca="1" si="69"/>
        <v>5350.1623290860352</v>
      </c>
      <c r="M192" s="692" t="str">
        <f t="shared" ca="1" si="60"/>
        <v xml:space="preserve"> </v>
      </c>
      <c r="O192" s="1482">
        <f ca="1">IF($A192&gt;Endyr,0,VLOOKUP($A192,Tariff_Table,Tariff!$H$33))</f>
        <v>6140.72</v>
      </c>
      <c r="P192" s="1480">
        <f t="shared" ca="1" si="70"/>
        <v>1.4483878194931001</v>
      </c>
      <c r="Q192" s="1481">
        <f t="shared" ca="1" si="71"/>
        <v>8894.14405091767</v>
      </c>
      <c r="R192" s="1480">
        <f t="shared" ca="1" si="72"/>
        <v>2.9441133670791526</v>
      </c>
      <c r="S192" s="113">
        <f t="shared" ca="1" si="73"/>
        <v>1.0649999999999999</v>
      </c>
      <c r="T192" s="1481">
        <f t="shared" ca="1" si="74"/>
        <v>24587.200365290362</v>
      </c>
      <c r="U192" s="330">
        <f t="shared" ca="1" si="75"/>
        <v>480</v>
      </c>
      <c r="V192" s="1481">
        <f t="shared" ca="1" si="76"/>
        <v>11801.856175339375</v>
      </c>
      <c r="W192" s="1480">
        <f t="shared" ca="1" si="77"/>
        <v>2.9441133670791526</v>
      </c>
      <c r="X192" s="384">
        <f t="shared" ca="1" si="78"/>
        <v>4008.6283046389503</v>
      </c>
      <c r="Y192" s="692" t="str">
        <f t="shared" ca="1" si="61"/>
        <v xml:space="preserve"> </v>
      </c>
      <c r="AA192" s="1484">
        <f ca="1">IF($A192&gt;Endyr,0,VLOOKUP($A192,Tariff_Table,Tariff!$I$33))</f>
        <v>2.31</v>
      </c>
      <c r="AB192" s="1480">
        <f t="shared" ca="1" si="62"/>
        <v>1.4483878194931001</v>
      </c>
      <c r="AC192" s="1483">
        <f t="shared" ca="1" si="79"/>
        <v>3.3457758630290613</v>
      </c>
      <c r="AD192" s="1480">
        <f t="shared" ca="1" si="80"/>
        <v>2.9441133670791526</v>
      </c>
      <c r="AE192" s="113">
        <f t="shared" ca="1" si="81"/>
        <v>1.0649999999999999</v>
      </c>
      <c r="AF192" s="1483">
        <f t="shared" ca="1" si="82"/>
        <v>9.2491487714503737</v>
      </c>
      <c r="AG192" s="334">
        <f ca="1">VLOOKUP($A192,Plant_Table,'Plant Operations'!$M$270)</f>
        <v>298980.864</v>
      </c>
      <c r="AH192" s="1481">
        <f t="shared" ca="1" si="83"/>
        <v>2765.3184909527713</v>
      </c>
      <c r="AI192" s="1480">
        <f t="shared" ca="1" si="84"/>
        <v>2.9441133670791526</v>
      </c>
      <c r="AJ192" s="335">
        <f t="shared" ca="1" si="85"/>
        <v>939.27038336035162</v>
      </c>
      <c r="AK192" s="698" t="str">
        <f t="shared" ca="1" si="63"/>
        <v xml:space="preserve"> </v>
      </c>
      <c r="AM192" s="697">
        <f ca="1">IF($A192&gt;Endyr,0,VLOOKUP($A192,Tariff_Table,Tariff!$L$33))</f>
        <v>1.21</v>
      </c>
      <c r="AN192" s="1504">
        <f ca="1">VLOOKUP($A192,Curves_Table,Escalation!$Z$291)</f>
        <v>1.5410299309586164</v>
      </c>
      <c r="AO192" s="331">
        <f t="shared" ca="1" si="86"/>
        <v>1.8646462164599258</v>
      </c>
      <c r="AP192" s="331">
        <f ca="1">IF($A192&gt;Endyr,0,VLOOKUP($A192,Tariff_Table,Tariff!$M$33))</f>
        <v>0.25</v>
      </c>
      <c r="AQ192" s="331">
        <f t="shared" ca="1" si="87"/>
        <v>2.114646216459926</v>
      </c>
      <c r="AR192" s="331">
        <f t="shared" ca="1" si="88"/>
        <v>1.46</v>
      </c>
      <c r="AS192" s="1508">
        <f t="shared" ca="1" si="89"/>
        <v>1.4483878194931001</v>
      </c>
    </row>
    <row r="193" spans="1:45">
      <c r="A193" s="672">
        <f t="shared" si="64"/>
        <v>42461</v>
      </c>
      <c r="C193" s="1484">
        <f ca="1">IF($A193&gt;Endyr,0,VLOOKUP($A193,Tariff_Table,Tariff!$G$33))</f>
        <v>7431.57</v>
      </c>
      <c r="D193" s="1480">
        <f ca="1">VLOOKUP($A193,Curves_Table,Escalation!$V$291)</f>
        <v>1.5973303982415077</v>
      </c>
      <c r="E193" s="1483">
        <f t="shared" ca="1" si="65"/>
        <v>11870.672667659641</v>
      </c>
      <c r="F193" s="1480">
        <f ca="1">IF(Assm!$L$74=0,VLOOKUP($A193,Curves_Table,Escalation!$D$291),VLOOKUP($A193,Curves_Table,Escalation!$E$291))</f>
        <v>2.948977872857161</v>
      </c>
      <c r="G193" s="113">
        <f ca="1">IF($A193&lt;EE_Date,VLOOKUP($A193,Curves_Table,Escalation!$D$291),Exch)</f>
        <v>1.0649999999999999</v>
      </c>
      <c r="H193" s="1483">
        <f t="shared" ca="1" si="66"/>
        <v>32869.813176393021</v>
      </c>
      <c r="I193" s="330">
        <f ca="1">VLOOKUP($A193,Plant_Table,'Plant Operations'!$C$270)</f>
        <v>480</v>
      </c>
      <c r="J193" s="1481">
        <f t="shared" ca="1" si="67"/>
        <v>15777.51032466865</v>
      </c>
      <c r="K193" s="1480">
        <f t="shared" ca="1" si="68"/>
        <v>2.948977872857161</v>
      </c>
      <c r="L193" s="384">
        <f t="shared" ca="1" si="69"/>
        <v>5350.1623290860352</v>
      </c>
      <c r="M193" s="692" t="str">
        <f t="shared" ca="1" si="60"/>
        <v xml:space="preserve"> </v>
      </c>
      <c r="O193" s="1482">
        <f ca="1">IF($A193&gt;Endyr,0,VLOOKUP($A193,Tariff_Table,Tariff!$H$33))</f>
        <v>6140.72</v>
      </c>
      <c r="P193" s="1480">
        <f t="shared" ca="1" si="70"/>
        <v>1.4483878194931001</v>
      </c>
      <c r="Q193" s="1481">
        <f t="shared" ca="1" si="71"/>
        <v>8894.14405091767</v>
      </c>
      <c r="R193" s="1480">
        <f t="shared" ca="1" si="72"/>
        <v>2.948977872857161</v>
      </c>
      <c r="S193" s="113">
        <f t="shared" ca="1" si="73"/>
        <v>1.0649999999999999</v>
      </c>
      <c r="T193" s="1481">
        <f t="shared" ca="1" si="74"/>
        <v>24627.825356019119</v>
      </c>
      <c r="U193" s="330">
        <f t="shared" ca="1" si="75"/>
        <v>480</v>
      </c>
      <c r="V193" s="1481">
        <f t="shared" ca="1" si="76"/>
        <v>11821.356170889176</v>
      </c>
      <c r="W193" s="1480">
        <f t="shared" ca="1" si="77"/>
        <v>2.948977872857161</v>
      </c>
      <c r="X193" s="384">
        <f t="shared" ca="1" si="78"/>
        <v>4008.628304638949</v>
      </c>
      <c r="Y193" s="692" t="str">
        <f t="shared" ca="1" si="61"/>
        <v xml:space="preserve"> </v>
      </c>
      <c r="AA193" s="1484">
        <f ca="1">IF($A193&gt;Endyr,0,VLOOKUP($A193,Tariff_Table,Tariff!$I$33))</f>
        <v>2.31</v>
      </c>
      <c r="AB193" s="1480">
        <f t="shared" ca="1" si="62"/>
        <v>1.4483878194931001</v>
      </c>
      <c r="AC193" s="1483">
        <f t="shared" ca="1" si="79"/>
        <v>3.3457758630290613</v>
      </c>
      <c r="AD193" s="1480">
        <f t="shared" ca="1" si="80"/>
        <v>2.948977872857161</v>
      </c>
      <c r="AE193" s="113">
        <f t="shared" ca="1" si="81"/>
        <v>1.0649999999999999</v>
      </c>
      <c r="AF193" s="1483">
        <f t="shared" ca="1" si="82"/>
        <v>9.264430974283826</v>
      </c>
      <c r="AG193" s="334">
        <f ca="1">VLOOKUP($A193,Plant_Table,'Plant Operations'!$M$270)</f>
        <v>289336.32000000001</v>
      </c>
      <c r="AH193" s="1481">
        <f t="shared" ca="1" si="83"/>
        <v>2680.536364993297</v>
      </c>
      <c r="AI193" s="1480">
        <f t="shared" ca="1" si="84"/>
        <v>2.948977872857161</v>
      </c>
      <c r="AJ193" s="335">
        <f t="shared" ca="1" si="85"/>
        <v>908.97133873582425</v>
      </c>
      <c r="AK193" s="698" t="str">
        <f t="shared" ca="1" si="63"/>
        <v xml:space="preserve"> </v>
      </c>
      <c r="AM193" s="697">
        <f ca="1">IF($A193&gt;Endyr,0,VLOOKUP($A193,Tariff_Table,Tariff!$L$33))</f>
        <v>1.21</v>
      </c>
      <c r="AN193" s="1504">
        <f ca="1">VLOOKUP($A193,Curves_Table,Escalation!$Z$291)</f>
        <v>1.5410299309586164</v>
      </c>
      <c r="AO193" s="331">
        <f t="shared" ca="1" si="86"/>
        <v>1.8646462164599258</v>
      </c>
      <c r="AP193" s="331">
        <f ca="1">IF($A193&gt;Endyr,0,VLOOKUP($A193,Tariff_Table,Tariff!$M$33))</f>
        <v>0.25</v>
      </c>
      <c r="AQ193" s="331">
        <f t="shared" ca="1" si="87"/>
        <v>2.114646216459926</v>
      </c>
      <c r="AR193" s="331">
        <f t="shared" ca="1" si="88"/>
        <v>1.46</v>
      </c>
      <c r="AS193" s="1508">
        <f t="shared" ca="1" si="89"/>
        <v>1.4483878194931001</v>
      </c>
    </row>
    <row r="194" spans="1:45">
      <c r="A194" s="672">
        <f t="shared" si="64"/>
        <v>42491</v>
      </c>
      <c r="C194" s="1484">
        <f ca="1">IF($A194&gt;Endyr,0,VLOOKUP($A194,Tariff_Table,Tariff!$G$33))</f>
        <v>7434.78</v>
      </c>
      <c r="D194" s="1480">
        <f ca="1">VLOOKUP($A194,Curves_Table,Escalation!$V$291)</f>
        <v>1.6389834445299432</v>
      </c>
      <c r="E194" s="1483">
        <f t="shared" ca="1" si="65"/>
        <v>12185.48133372233</v>
      </c>
      <c r="F194" s="1480">
        <f ca="1">IF(Assm!$L$74=0,VLOOKUP($A194,Curves_Table,Escalation!$D$291),VLOOKUP($A194,Curves_Table,Escalation!$E$291))</f>
        <v>2.9538504161709276</v>
      </c>
      <c r="G194" s="113">
        <f ca="1">IF($A194&lt;EE_Date,VLOOKUP($A194,Curves_Table,Escalation!$D$291),Exch)</f>
        <v>1.0649999999999999</v>
      </c>
      <c r="H194" s="1483">
        <f t="shared" ca="1" si="66"/>
        <v>33797.266768881476</v>
      </c>
      <c r="I194" s="330">
        <f ca="1">VLOOKUP($A194,Plant_Table,'Plant Operations'!$C$270)</f>
        <v>480</v>
      </c>
      <c r="J194" s="1481">
        <f t="shared" ca="1" si="67"/>
        <v>16222.688049063108</v>
      </c>
      <c r="K194" s="1480">
        <f t="shared" ca="1" si="68"/>
        <v>2.9538504161709276</v>
      </c>
      <c r="L194" s="384">
        <f t="shared" ca="1" si="69"/>
        <v>5492.047925057951</v>
      </c>
      <c r="M194" s="692" t="str">
        <f t="shared" ca="1" si="60"/>
        <v xml:space="preserve"> </v>
      </c>
      <c r="O194" s="1482">
        <f ca="1">IF($A194&gt;Endyr,0,VLOOKUP($A194,Tariff_Table,Tariff!$H$33))</f>
        <v>6151.18</v>
      </c>
      <c r="P194" s="1480">
        <f t="shared" ca="1" si="70"/>
        <v>1.4784988710129867</v>
      </c>
      <c r="Q194" s="1481">
        <f t="shared" ca="1" si="71"/>
        <v>9094.5126853976635</v>
      </c>
      <c r="R194" s="1480">
        <f t="shared" ca="1" si="72"/>
        <v>2.9538504161709276</v>
      </c>
      <c r="S194" s="113">
        <f t="shared" ca="1" si="73"/>
        <v>1.0649999999999999</v>
      </c>
      <c r="T194" s="1481">
        <f t="shared" ca="1" si="74"/>
        <v>25224.253596839128</v>
      </c>
      <c r="U194" s="330">
        <f t="shared" ca="1" si="75"/>
        <v>480</v>
      </c>
      <c r="V194" s="1481">
        <f t="shared" ca="1" si="76"/>
        <v>12107.641726482781</v>
      </c>
      <c r="W194" s="1480">
        <f t="shared" ca="1" si="77"/>
        <v>2.9538504161709276</v>
      </c>
      <c r="X194" s="384">
        <f t="shared" ca="1" si="78"/>
        <v>4098.9352948271162</v>
      </c>
      <c r="Y194" s="692" t="str">
        <f t="shared" ca="1" si="61"/>
        <v xml:space="preserve"> </v>
      </c>
      <c r="AA194" s="1484">
        <f ca="1">IF($A194&gt;Endyr,0,VLOOKUP($A194,Tariff_Table,Tariff!$I$33))</f>
        <v>2.3199999999999998</v>
      </c>
      <c r="AB194" s="1480">
        <f t="shared" ca="1" si="62"/>
        <v>1.4784988710129867</v>
      </c>
      <c r="AC194" s="1483">
        <f t="shared" ca="1" si="79"/>
        <v>3.4301173807501288</v>
      </c>
      <c r="AD194" s="1480">
        <f t="shared" ca="1" si="80"/>
        <v>2.9538504161709276</v>
      </c>
      <c r="AE194" s="113">
        <f t="shared" ca="1" si="81"/>
        <v>1.0649999999999999</v>
      </c>
      <c r="AF194" s="1483">
        <f t="shared" ca="1" si="82"/>
        <v>9.5136654015435695</v>
      </c>
      <c r="AG194" s="334">
        <f ca="1">VLOOKUP($A194,Plant_Table,'Plant Operations'!$M$270)</f>
        <v>298980.864</v>
      </c>
      <c r="AH194" s="1481">
        <f t="shared" ca="1" si="83"/>
        <v>2844.4039015604035</v>
      </c>
      <c r="AI194" s="1480">
        <f t="shared" ca="1" si="84"/>
        <v>2.9538504161709276</v>
      </c>
      <c r="AJ194" s="335">
        <f t="shared" ca="1" si="85"/>
        <v>962.94784799820718</v>
      </c>
      <c r="AK194" s="698" t="str">
        <f t="shared" ca="1" si="63"/>
        <v xml:space="preserve"> </v>
      </c>
      <c r="AM194" s="697">
        <f ca="1">IF($A194&gt;Endyr,0,VLOOKUP($A194,Tariff_Table,Tariff!$L$33))</f>
        <v>1.21</v>
      </c>
      <c r="AN194" s="1504">
        <f ca="1">VLOOKUP($A194,Curves_Table,Escalation!$Z$291)</f>
        <v>1.5773622741148436</v>
      </c>
      <c r="AO194" s="331">
        <f t="shared" ca="1" si="86"/>
        <v>1.9086083516789607</v>
      </c>
      <c r="AP194" s="331">
        <f ca="1">IF($A194&gt;Endyr,0,VLOOKUP($A194,Tariff_Table,Tariff!$M$33))</f>
        <v>0.25</v>
      </c>
      <c r="AQ194" s="331">
        <f t="shared" ca="1" si="87"/>
        <v>2.1586083516789607</v>
      </c>
      <c r="AR194" s="331">
        <f t="shared" ca="1" si="88"/>
        <v>1.46</v>
      </c>
      <c r="AS194" s="1508">
        <f t="shared" ca="1" si="89"/>
        <v>1.4784988710129867</v>
      </c>
    </row>
    <row r="195" spans="1:45">
      <c r="A195" s="672">
        <f t="shared" si="64"/>
        <v>42522</v>
      </c>
      <c r="C195" s="1484">
        <f ca="1">IF($A195&gt;Endyr,0,VLOOKUP($A195,Tariff_Table,Tariff!$G$33))</f>
        <v>7434.78</v>
      </c>
      <c r="D195" s="1480">
        <f ca="1">VLOOKUP($A195,Curves_Table,Escalation!$V$291)</f>
        <v>1.6389834445299432</v>
      </c>
      <c r="E195" s="1483">
        <f t="shared" ca="1" si="65"/>
        <v>12185.48133372233</v>
      </c>
      <c r="F195" s="1480">
        <f ca="1">IF(Assm!$L$74=0,VLOOKUP($A195,Curves_Table,Escalation!$D$291),VLOOKUP($A195,Curves_Table,Escalation!$E$291))</f>
        <v>2.9587310103007285</v>
      </c>
      <c r="G195" s="113">
        <f ca="1">IF($A195&lt;EE_Date,VLOOKUP($A195,Curves_Table,Escalation!$D$291),Exch)</f>
        <v>1.0649999999999999</v>
      </c>
      <c r="H195" s="1483">
        <f t="shared" ca="1" si="66"/>
        <v>33853.109387347358</v>
      </c>
      <c r="I195" s="330">
        <f ca="1">VLOOKUP($A195,Plant_Table,'Plant Operations'!$C$270)</f>
        <v>480</v>
      </c>
      <c r="J195" s="1481">
        <f t="shared" ca="1" si="67"/>
        <v>16249.492505926732</v>
      </c>
      <c r="K195" s="1480">
        <f t="shared" ca="1" si="68"/>
        <v>2.9587310103007285</v>
      </c>
      <c r="L195" s="384">
        <f t="shared" ca="1" si="69"/>
        <v>5492.047925057951</v>
      </c>
      <c r="M195" s="692" t="str">
        <f t="shared" ca="1" si="60"/>
        <v xml:space="preserve"> </v>
      </c>
      <c r="O195" s="1482">
        <f ca="1">IF($A195&gt;Endyr,0,VLOOKUP($A195,Tariff_Table,Tariff!$H$33))</f>
        <v>6151.18</v>
      </c>
      <c r="P195" s="1480">
        <f t="shared" ca="1" si="70"/>
        <v>1.4784988710129867</v>
      </c>
      <c r="Q195" s="1481">
        <f t="shared" ca="1" si="71"/>
        <v>9094.5126853976635</v>
      </c>
      <c r="R195" s="1480">
        <f t="shared" ca="1" si="72"/>
        <v>2.9587310103007285</v>
      </c>
      <c r="S195" s="113">
        <f t="shared" ca="1" si="73"/>
        <v>1.0649999999999999</v>
      </c>
      <c r="T195" s="1481">
        <f t="shared" ca="1" si="74"/>
        <v>25265.931179210726</v>
      </c>
      <c r="U195" s="330">
        <f t="shared" ca="1" si="75"/>
        <v>480</v>
      </c>
      <c r="V195" s="1481">
        <f t="shared" ca="1" si="76"/>
        <v>12127.646966021148</v>
      </c>
      <c r="W195" s="1480">
        <f t="shared" ca="1" si="77"/>
        <v>2.9587310103007285</v>
      </c>
      <c r="X195" s="384">
        <f t="shared" ca="1" si="78"/>
        <v>4098.9352948271162</v>
      </c>
      <c r="Y195" s="692" t="str">
        <f t="shared" ca="1" si="61"/>
        <v xml:space="preserve"> </v>
      </c>
      <c r="AA195" s="1484">
        <f ca="1">IF($A195&gt;Endyr,0,VLOOKUP($A195,Tariff_Table,Tariff!$I$33))</f>
        <v>2.3199999999999998</v>
      </c>
      <c r="AB195" s="1480">
        <f t="shared" ca="1" si="62"/>
        <v>1.4784988710129867</v>
      </c>
      <c r="AC195" s="1483">
        <f t="shared" ca="1" si="79"/>
        <v>3.4301173807501288</v>
      </c>
      <c r="AD195" s="1480">
        <f t="shared" ca="1" si="80"/>
        <v>2.9587310103007285</v>
      </c>
      <c r="AE195" s="113">
        <f t="shared" ca="1" si="81"/>
        <v>1.0649999999999999</v>
      </c>
      <c r="AF195" s="1483">
        <f t="shared" ca="1" si="82"/>
        <v>9.5293846604665884</v>
      </c>
      <c r="AG195" s="334">
        <f ca="1">VLOOKUP($A195,Plant_Table,'Plant Operations'!$M$270)</f>
        <v>289336.32000000001</v>
      </c>
      <c r="AH195" s="1481">
        <f t="shared" ca="1" si="83"/>
        <v>2757.1970895238524</v>
      </c>
      <c r="AI195" s="1480">
        <f t="shared" ca="1" si="84"/>
        <v>2.9587310103007285</v>
      </c>
      <c r="AJ195" s="335">
        <f t="shared" ca="1" si="85"/>
        <v>931.8850141918133</v>
      </c>
      <c r="AK195" s="698" t="str">
        <f t="shared" ca="1" si="63"/>
        <v xml:space="preserve"> </v>
      </c>
      <c r="AM195" s="697">
        <f ca="1">IF($A195&gt;Endyr,0,VLOOKUP($A195,Tariff_Table,Tariff!$L$33))</f>
        <v>1.21</v>
      </c>
      <c r="AN195" s="1504">
        <f ca="1">VLOOKUP($A195,Curves_Table,Escalation!$Z$291)</f>
        <v>1.5773622741148436</v>
      </c>
      <c r="AO195" s="331">
        <f t="shared" ca="1" si="86"/>
        <v>1.9086083516789607</v>
      </c>
      <c r="AP195" s="331">
        <f ca="1">IF($A195&gt;Endyr,0,VLOOKUP($A195,Tariff_Table,Tariff!$M$33))</f>
        <v>0.25</v>
      </c>
      <c r="AQ195" s="331">
        <f t="shared" ca="1" si="87"/>
        <v>2.1586083516789607</v>
      </c>
      <c r="AR195" s="331">
        <f t="shared" ca="1" si="88"/>
        <v>1.46</v>
      </c>
      <c r="AS195" s="1508">
        <f t="shared" ca="1" si="89"/>
        <v>1.4784988710129867</v>
      </c>
    </row>
    <row r="196" spans="1:45">
      <c r="A196" s="672">
        <f t="shared" si="64"/>
        <v>42552</v>
      </c>
      <c r="C196" s="1484">
        <f ca="1">IF($A196&gt;Endyr,0,VLOOKUP($A196,Tariff_Table,Tariff!$G$33))</f>
        <v>7434.78</v>
      </c>
      <c r="D196" s="1480">
        <f ca="1">VLOOKUP($A196,Curves_Table,Escalation!$V$291)</f>
        <v>1.6389834445299432</v>
      </c>
      <c r="E196" s="1483">
        <f t="shared" ca="1" si="65"/>
        <v>12185.48133372233</v>
      </c>
      <c r="F196" s="1480">
        <f ca="1">IF(Assm!$L$74=0,VLOOKUP($A196,Curves_Table,Escalation!$D$291),VLOOKUP($A196,Curves_Table,Escalation!$E$291))</f>
        <v>2.9636196685487834</v>
      </c>
      <c r="G196" s="113">
        <f ca="1">IF($A196&lt;EE_Date,VLOOKUP($A196,Curves_Table,Escalation!$D$291),Exch)</f>
        <v>1.0649999999999999</v>
      </c>
      <c r="H196" s="1483">
        <f t="shared" ca="1" si="66"/>
        <v>33909.044273571417</v>
      </c>
      <c r="I196" s="330">
        <f ca="1">VLOOKUP($A196,Plant_Table,'Plant Operations'!$C$270)</f>
        <v>480</v>
      </c>
      <c r="J196" s="1481">
        <f t="shared" ca="1" si="67"/>
        <v>16276.341251314281</v>
      </c>
      <c r="K196" s="1480">
        <f t="shared" ca="1" si="68"/>
        <v>2.9636196685487834</v>
      </c>
      <c r="L196" s="384">
        <f t="shared" ca="1" si="69"/>
        <v>5492.0479250579519</v>
      </c>
      <c r="M196" s="692" t="str">
        <f t="shared" ca="1" si="60"/>
        <v xml:space="preserve"> </v>
      </c>
      <c r="O196" s="1482">
        <f ca="1">IF($A196&gt;Endyr,0,VLOOKUP($A196,Tariff_Table,Tariff!$H$33))</f>
        <v>6151.18</v>
      </c>
      <c r="P196" s="1480">
        <f t="shared" ca="1" si="70"/>
        <v>1.4784988710129867</v>
      </c>
      <c r="Q196" s="1481">
        <f t="shared" ca="1" si="71"/>
        <v>9094.5126853976635</v>
      </c>
      <c r="R196" s="1480">
        <f t="shared" ca="1" si="72"/>
        <v>2.9636196685487834</v>
      </c>
      <c r="S196" s="113">
        <f t="shared" ca="1" si="73"/>
        <v>1.0649999999999999</v>
      </c>
      <c r="T196" s="1481">
        <f t="shared" ca="1" si="74"/>
        <v>25307.677624705102</v>
      </c>
      <c r="U196" s="330">
        <f t="shared" ca="1" si="75"/>
        <v>480</v>
      </c>
      <c r="V196" s="1481">
        <f t="shared" ca="1" si="76"/>
        <v>12147.685259858448</v>
      </c>
      <c r="W196" s="1480">
        <f t="shared" ca="1" si="77"/>
        <v>2.9636196685487834</v>
      </c>
      <c r="X196" s="384">
        <f t="shared" ca="1" si="78"/>
        <v>4098.9352948271162</v>
      </c>
      <c r="Y196" s="692" t="str">
        <f t="shared" ca="1" si="61"/>
        <v xml:space="preserve"> </v>
      </c>
      <c r="AA196" s="1484">
        <f ca="1">IF($A196&gt;Endyr,0,VLOOKUP($A196,Tariff_Table,Tariff!$I$33))</f>
        <v>2.3199999999999998</v>
      </c>
      <c r="AB196" s="1480">
        <f t="shared" ca="1" si="62"/>
        <v>1.4784988710129867</v>
      </c>
      <c r="AC196" s="1483">
        <f t="shared" ca="1" si="79"/>
        <v>3.4301173807501288</v>
      </c>
      <c r="AD196" s="1480">
        <f t="shared" ca="1" si="80"/>
        <v>2.9636196685487834</v>
      </c>
      <c r="AE196" s="113">
        <f t="shared" ca="1" si="81"/>
        <v>1.0649999999999999</v>
      </c>
      <c r="AF196" s="1483">
        <f t="shared" ca="1" si="82"/>
        <v>9.5451298920395473</v>
      </c>
      <c r="AG196" s="334">
        <f ca="1">VLOOKUP($A196,Plant_Table,'Plant Operations'!$M$270)</f>
        <v>298980.864</v>
      </c>
      <c r="AH196" s="1481">
        <f t="shared" ca="1" si="83"/>
        <v>2853.8111821142106</v>
      </c>
      <c r="AI196" s="1480">
        <f t="shared" ca="1" si="84"/>
        <v>2.9636196685487834</v>
      </c>
      <c r="AJ196" s="335">
        <f t="shared" ca="1" si="85"/>
        <v>962.94784799820707</v>
      </c>
      <c r="AK196" s="698" t="str">
        <f t="shared" ca="1" si="63"/>
        <v xml:space="preserve"> </v>
      </c>
      <c r="AM196" s="697">
        <f ca="1">IF($A196&gt;Endyr,0,VLOOKUP($A196,Tariff_Table,Tariff!$L$33))</f>
        <v>1.21</v>
      </c>
      <c r="AN196" s="1504">
        <f ca="1">VLOOKUP($A196,Curves_Table,Escalation!$Z$291)</f>
        <v>1.5773622741148436</v>
      </c>
      <c r="AO196" s="331">
        <f t="shared" ca="1" si="86"/>
        <v>1.9086083516789607</v>
      </c>
      <c r="AP196" s="331">
        <f ca="1">IF($A196&gt;Endyr,0,VLOOKUP($A196,Tariff_Table,Tariff!$M$33))</f>
        <v>0.25</v>
      </c>
      <c r="AQ196" s="331">
        <f t="shared" ca="1" si="87"/>
        <v>2.1586083516789607</v>
      </c>
      <c r="AR196" s="331">
        <f t="shared" ca="1" si="88"/>
        <v>1.46</v>
      </c>
      <c r="AS196" s="1508">
        <f t="shared" ca="1" si="89"/>
        <v>1.4784988710129867</v>
      </c>
    </row>
    <row r="197" spans="1:45">
      <c r="A197" s="672">
        <f t="shared" si="64"/>
        <v>42583</v>
      </c>
      <c r="C197" s="1484">
        <f ca="1">IF($A197&gt;Endyr,0,VLOOKUP($A197,Tariff_Table,Tariff!$G$33))</f>
        <v>7434.78</v>
      </c>
      <c r="D197" s="1480">
        <f ca="1">VLOOKUP($A197,Curves_Table,Escalation!$V$291)</f>
        <v>1.6389834445299432</v>
      </c>
      <c r="E197" s="1483">
        <f t="shared" ca="1" si="65"/>
        <v>12185.48133372233</v>
      </c>
      <c r="F197" s="1480">
        <f ca="1">IF(Assm!$L$74=0,VLOOKUP($A197,Curves_Table,Escalation!$D$291),VLOOKUP($A197,Curves_Table,Escalation!$E$291))</f>
        <v>2.9685164042392902</v>
      </c>
      <c r="G197" s="113">
        <f ca="1">IF($A197&lt;EE_Date,VLOOKUP($A197,Curves_Table,Escalation!$D$291),Exch)</f>
        <v>1.0649999999999999</v>
      </c>
      <c r="H197" s="1483">
        <f t="shared" ca="1" si="66"/>
        <v>33965.071580006013</v>
      </c>
      <c r="I197" s="330">
        <f ca="1">VLOOKUP($A197,Plant_Table,'Plant Operations'!$C$270)</f>
        <v>480</v>
      </c>
      <c r="J197" s="1481">
        <f t="shared" ca="1" si="67"/>
        <v>16303.234358402886</v>
      </c>
      <c r="K197" s="1480">
        <f t="shared" ca="1" si="68"/>
        <v>2.9685164042392902</v>
      </c>
      <c r="L197" s="384">
        <f t="shared" ca="1" si="69"/>
        <v>5492.0479250579519</v>
      </c>
      <c r="M197" s="692" t="str">
        <f t="shared" ca="1" si="60"/>
        <v xml:space="preserve"> </v>
      </c>
      <c r="O197" s="1482">
        <f ca="1">IF($A197&gt;Endyr,0,VLOOKUP($A197,Tariff_Table,Tariff!$H$33))</f>
        <v>6151.18</v>
      </c>
      <c r="P197" s="1480">
        <f t="shared" ca="1" si="70"/>
        <v>1.4784988710129867</v>
      </c>
      <c r="Q197" s="1481">
        <f t="shared" ca="1" si="71"/>
        <v>9094.5126853976635</v>
      </c>
      <c r="R197" s="1480">
        <f t="shared" ca="1" si="72"/>
        <v>2.9685164042392902</v>
      </c>
      <c r="S197" s="113">
        <f t="shared" ca="1" si="73"/>
        <v>1.0649999999999999</v>
      </c>
      <c r="T197" s="1481">
        <f t="shared" ca="1" si="74"/>
        <v>25349.493047103555</v>
      </c>
      <c r="U197" s="330">
        <f t="shared" ca="1" si="75"/>
        <v>480</v>
      </c>
      <c r="V197" s="1481">
        <f t="shared" ca="1" si="76"/>
        <v>12167.756662609705</v>
      </c>
      <c r="W197" s="1480">
        <f t="shared" ca="1" si="77"/>
        <v>2.9685164042392902</v>
      </c>
      <c r="X197" s="384">
        <f t="shared" ca="1" si="78"/>
        <v>4098.9352948271162</v>
      </c>
      <c r="Y197" s="692" t="str">
        <f t="shared" ca="1" si="61"/>
        <v xml:space="preserve"> </v>
      </c>
      <c r="AA197" s="1484">
        <f ca="1">IF($A197&gt;Endyr,0,VLOOKUP($A197,Tariff_Table,Tariff!$I$33))</f>
        <v>2.3199999999999998</v>
      </c>
      <c r="AB197" s="1480">
        <f t="shared" ca="1" si="62"/>
        <v>1.4784988710129867</v>
      </c>
      <c r="AC197" s="1483">
        <f t="shared" ca="1" si="79"/>
        <v>3.4301173807501288</v>
      </c>
      <c r="AD197" s="1480">
        <f t="shared" ca="1" si="80"/>
        <v>2.9685164042392902</v>
      </c>
      <c r="AE197" s="113">
        <f t="shared" ca="1" si="81"/>
        <v>1.0649999999999999</v>
      </c>
      <c r="AF197" s="1483">
        <f t="shared" ca="1" si="82"/>
        <v>9.5609011391765861</v>
      </c>
      <c r="AG197" s="334">
        <f ca="1">VLOOKUP($A197,Plant_Table,'Plant Operations'!$M$270)</f>
        <v>298980.864</v>
      </c>
      <c r="AH197" s="1481">
        <f t="shared" ca="1" si="83"/>
        <v>2858.5264832096004</v>
      </c>
      <c r="AI197" s="1480">
        <f t="shared" ca="1" si="84"/>
        <v>2.9685164042392902</v>
      </c>
      <c r="AJ197" s="335">
        <f t="shared" ca="1" si="85"/>
        <v>962.94784799820718</v>
      </c>
      <c r="AK197" s="698" t="str">
        <f t="shared" ca="1" si="63"/>
        <v xml:space="preserve"> </v>
      </c>
      <c r="AM197" s="697">
        <f ca="1">IF($A197&gt;Endyr,0,VLOOKUP($A197,Tariff_Table,Tariff!$L$33))</f>
        <v>1.21</v>
      </c>
      <c r="AN197" s="1504">
        <f ca="1">VLOOKUP($A197,Curves_Table,Escalation!$Z$291)</f>
        <v>1.5773622741148436</v>
      </c>
      <c r="AO197" s="331">
        <f t="shared" ca="1" si="86"/>
        <v>1.9086083516789607</v>
      </c>
      <c r="AP197" s="331">
        <f ca="1">IF($A197&gt;Endyr,0,VLOOKUP($A197,Tariff_Table,Tariff!$M$33))</f>
        <v>0.25</v>
      </c>
      <c r="AQ197" s="331">
        <f t="shared" ca="1" si="87"/>
        <v>2.1586083516789607</v>
      </c>
      <c r="AR197" s="331">
        <f t="shared" ca="1" si="88"/>
        <v>1.46</v>
      </c>
      <c r="AS197" s="1508">
        <f t="shared" ca="1" si="89"/>
        <v>1.4784988710129867</v>
      </c>
    </row>
    <row r="198" spans="1:45">
      <c r="A198" s="672">
        <f t="shared" si="64"/>
        <v>42614</v>
      </c>
      <c r="C198" s="1484">
        <f ca="1">IF($A198&gt;Endyr,0,VLOOKUP($A198,Tariff_Table,Tariff!$G$33))</f>
        <v>7434.78</v>
      </c>
      <c r="D198" s="1480">
        <f ca="1">VLOOKUP($A198,Curves_Table,Escalation!$V$291)</f>
        <v>1.6389834445299432</v>
      </c>
      <c r="E198" s="1483">
        <f t="shared" ca="1" si="65"/>
        <v>12185.48133372233</v>
      </c>
      <c r="F198" s="1480">
        <f ca="1">IF(Assm!$L$74=0,VLOOKUP($A198,Curves_Table,Escalation!$D$291),VLOOKUP($A198,Curves_Table,Escalation!$E$291))</f>
        <v>2.9734212307184622</v>
      </c>
      <c r="G198" s="113">
        <f ca="1">IF($A198&lt;EE_Date,VLOOKUP($A198,Curves_Table,Escalation!$D$291),Exch)</f>
        <v>1.0649999999999999</v>
      </c>
      <c r="H198" s="1483">
        <f t="shared" ca="1" si="66"/>
        <v>34021.191459355396</v>
      </c>
      <c r="I198" s="330">
        <f ca="1">VLOOKUP($A198,Plant_Table,'Plant Operations'!$C$270)</f>
        <v>480</v>
      </c>
      <c r="J198" s="1481">
        <f t="shared" ca="1" si="67"/>
        <v>16330.17190049059</v>
      </c>
      <c r="K198" s="1480">
        <f t="shared" ca="1" si="68"/>
        <v>2.9734212307184622</v>
      </c>
      <c r="L198" s="384">
        <f t="shared" ca="1" si="69"/>
        <v>5492.047925057951</v>
      </c>
      <c r="M198" s="692" t="str">
        <f t="shared" ca="1" si="60"/>
        <v xml:space="preserve"> </v>
      </c>
      <c r="O198" s="1482">
        <f ca="1">IF($A198&gt;Endyr,0,VLOOKUP($A198,Tariff_Table,Tariff!$H$33))</f>
        <v>6151.18</v>
      </c>
      <c r="P198" s="1480">
        <f t="shared" ca="1" si="70"/>
        <v>1.4784988710129867</v>
      </c>
      <c r="Q198" s="1481">
        <f t="shared" ca="1" si="71"/>
        <v>9094.5126853976635</v>
      </c>
      <c r="R198" s="1480">
        <f t="shared" ca="1" si="72"/>
        <v>2.9734212307184622</v>
      </c>
      <c r="S198" s="113">
        <f t="shared" ca="1" si="73"/>
        <v>1.0649999999999999</v>
      </c>
      <c r="T198" s="1481">
        <f t="shared" ca="1" si="74"/>
        <v>25391.377560375389</v>
      </c>
      <c r="U198" s="330">
        <f t="shared" ca="1" si="75"/>
        <v>480</v>
      </c>
      <c r="V198" s="1481">
        <f t="shared" ca="1" si="76"/>
        <v>12187.861228980188</v>
      </c>
      <c r="W198" s="1480">
        <f t="shared" ca="1" si="77"/>
        <v>2.9734212307184622</v>
      </c>
      <c r="X198" s="384">
        <f t="shared" ca="1" si="78"/>
        <v>4098.9352948271162</v>
      </c>
      <c r="Y198" s="692" t="str">
        <f t="shared" ca="1" si="61"/>
        <v xml:space="preserve"> </v>
      </c>
      <c r="AA198" s="1484">
        <f ca="1">IF($A198&gt;Endyr,0,VLOOKUP($A198,Tariff_Table,Tariff!$I$33))</f>
        <v>2.3199999999999998</v>
      </c>
      <c r="AB198" s="1480">
        <f t="shared" ca="1" si="62"/>
        <v>1.4784988710129867</v>
      </c>
      <c r="AC198" s="1483">
        <f t="shared" ca="1" si="79"/>
        <v>3.4301173807501288</v>
      </c>
      <c r="AD198" s="1480">
        <f t="shared" ca="1" si="80"/>
        <v>2.9734212307184622</v>
      </c>
      <c r="AE198" s="113">
        <f t="shared" ca="1" si="81"/>
        <v>1.0649999999999999</v>
      </c>
      <c r="AF198" s="1483">
        <f t="shared" ca="1" si="82"/>
        <v>9.5766984448627586</v>
      </c>
      <c r="AG198" s="334">
        <f ca="1">VLOOKUP($A198,Plant_Table,'Plant Operations'!$M$270)</f>
        <v>289336.32000000001</v>
      </c>
      <c r="AH198" s="1481">
        <f t="shared" ca="1" si="83"/>
        <v>2770.8866857863136</v>
      </c>
      <c r="AI198" s="1480">
        <f t="shared" ca="1" si="84"/>
        <v>2.9734212307184622</v>
      </c>
      <c r="AJ198" s="335">
        <f t="shared" ca="1" si="85"/>
        <v>931.88501419181341</v>
      </c>
      <c r="AK198" s="698" t="str">
        <f t="shared" ca="1" si="63"/>
        <v xml:space="preserve"> </v>
      </c>
      <c r="AM198" s="697">
        <f ca="1">IF($A198&gt;Endyr,0,VLOOKUP($A198,Tariff_Table,Tariff!$L$33))</f>
        <v>1.21</v>
      </c>
      <c r="AN198" s="1504">
        <f ca="1">VLOOKUP($A198,Curves_Table,Escalation!$Z$291)</f>
        <v>1.5773622741148436</v>
      </c>
      <c r="AO198" s="331">
        <f t="shared" ca="1" si="86"/>
        <v>1.9086083516789607</v>
      </c>
      <c r="AP198" s="331">
        <f ca="1">IF($A198&gt;Endyr,0,VLOOKUP($A198,Tariff_Table,Tariff!$M$33))</f>
        <v>0.25</v>
      </c>
      <c r="AQ198" s="331">
        <f t="shared" ca="1" si="87"/>
        <v>2.1586083516789607</v>
      </c>
      <c r="AR198" s="331">
        <f t="shared" ca="1" si="88"/>
        <v>1.46</v>
      </c>
      <c r="AS198" s="1508">
        <f t="shared" ca="1" si="89"/>
        <v>1.4784988710129867</v>
      </c>
    </row>
    <row r="199" spans="1:45">
      <c r="A199" s="672">
        <f t="shared" si="64"/>
        <v>42644</v>
      </c>
      <c r="C199" s="1484">
        <f ca="1">IF($A199&gt;Endyr,0,VLOOKUP($A199,Tariff_Table,Tariff!$G$33))</f>
        <v>7434.78</v>
      </c>
      <c r="D199" s="1480">
        <f ca="1">VLOOKUP($A199,Curves_Table,Escalation!$V$291)</f>
        <v>1.6389834445299432</v>
      </c>
      <c r="E199" s="1483">
        <f t="shared" ca="1" si="65"/>
        <v>12185.48133372233</v>
      </c>
      <c r="F199" s="1480">
        <f ca="1">IF(Assm!$L$74=0,VLOOKUP($A199,Curves_Table,Escalation!$D$291),VLOOKUP($A199,Curves_Table,Escalation!$E$291))</f>
        <v>2.9783341613545646</v>
      </c>
      <c r="G199" s="113">
        <f ca="1">IF($A199&lt;EE_Date,VLOOKUP($A199,Curves_Table,Escalation!$D$291),Exch)</f>
        <v>1.0649999999999999</v>
      </c>
      <c r="H199" s="1483">
        <f t="shared" ca="1" si="66"/>
        <v>34077.404064576149</v>
      </c>
      <c r="I199" s="330">
        <f ca="1">VLOOKUP($A199,Plant_Table,'Plant Operations'!$C$270)</f>
        <v>480</v>
      </c>
      <c r="J199" s="1481">
        <f t="shared" ca="1" si="67"/>
        <v>16357.153950996551</v>
      </c>
      <c r="K199" s="1480">
        <f t="shared" ca="1" si="68"/>
        <v>2.9783341613545646</v>
      </c>
      <c r="L199" s="384">
        <f t="shared" ca="1" si="69"/>
        <v>5492.0479250579519</v>
      </c>
      <c r="M199" s="692" t="str">
        <f t="shared" ca="1" si="60"/>
        <v xml:space="preserve"> </v>
      </c>
      <c r="O199" s="1482">
        <f ca="1">IF($A199&gt;Endyr,0,VLOOKUP($A199,Tariff_Table,Tariff!$H$33))</f>
        <v>6151.18</v>
      </c>
      <c r="P199" s="1480">
        <f t="shared" ca="1" si="70"/>
        <v>1.4784988710129867</v>
      </c>
      <c r="Q199" s="1481">
        <f t="shared" ca="1" si="71"/>
        <v>9094.5126853976635</v>
      </c>
      <c r="R199" s="1480">
        <f t="shared" ca="1" si="72"/>
        <v>2.9783341613545646</v>
      </c>
      <c r="S199" s="113">
        <f t="shared" ca="1" si="73"/>
        <v>1.0649999999999999</v>
      </c>
      <c r="T199" s="1481">
        <f t="shared" ca="1" si="74"/>
        <v>25433.331278678215</v>
      </c>
      <c r="U199" s="330">
        <f t="shared" ca="1" si="75"/>
        <v>480</v>
      </c>
      <c r="V199" s="1481">
        <f t="shared" ca="1" si="76"/>
        <v>12207.999013765544</v>
      </c>
      <c r="W199" s="1480">
        <f t="shared" ca="1" si="77"/>
        <v>2.9783341613545646</v>
      </c>
      <c r="X199" s="384">
        <f t="shared" ca="1" si="78"/>
        <v>4098.9352948271162</v>
      </c>
      <c r="Y199" s="692" t="str">
        <f t="shared" ca="1" si="61"/>
        <v xml:space="preserve"> </v>
      </c>
      <c r="AA199" s="1484">
        <f ca="1">IF($A199&gt;Endyr,0,VLOOKUP($A199,Tariff_Table,Tariff!$I$33))</f>
        <v>2.3199999999999998</v>
      </c>
      <c r="AB199" s="1480">
        <f t="shared" ca="1" si="62"/>
        <v>1.4784988710129867</v>
      </c>
      <c r="AC199" s="1483">
        <f t="shared" ca="1" si="79"/>
        <v>3.4301173807501288</v>
      </c>
      <c r="AD199" s="1480">
        <f t="shared" ca="1" si="80"/>
        <v>2.9783341613545646</v>
      </c>
      <c r="AE199" s="113">
        <f t="shared" ca="1" si="81"/>
        <v>1.0649999999999999</v>
      </c>
      <c r="AF199" s="1483">
        <f t="shared" ca="1" si="82"/>
        <v>9.5925218521541336</v>
      </c>
      <c r="AG199" s="334">
        <f ca="1">VLOOKUP($A199,Plant_Table,'Plant Operations'!$M$270)</f>
        <v>298980.864</v>
      </c>
      <c r="AH199" s="1481">
        <f t="shared" ca="1" si="83"/>
        <v>2867.9804712959231</v>
      </c>
      <c r="AI199" s="1480">
        <f t="shared" ca="1" si="84"/>
        <v>2.9783341613545646</v>
      </c>
      <c r="AJ199" s="335">
        <f t="shared" ca="1" si="85"/>
        <v>962.94784799820718</v>
      </c>
      <c r="AK199" s="698" t="str">
        <f t="shared" ca="1" si="63"/>
        <v xml:space="preserve"> </v>
      </c>
      <c r="AM199" s="697">
        <f ca="1">IF($A199&gt;Endyr,0,VLOOKUP($A199,Tariff_Table,Tariff!$L$33))</f>
        <v>1.21</v>
      </c>
      <c r="AN199" s="1504">
        <f ca="1">VLOOKUP($A199,Curves_Table,Escalation!$Z$291)</f>
        <v>1.5773622741148436</v>
      </c>
      <c r="AO199" s="331">
        <f t="shared" ca="1" si="86"/>
        <v>1.9086083516789607</v>
      </c>
      <c r="AP199" s="331">
        <f ca="1">IF($A199&gt;Endyr,0,VLOOKUP($A199,Tariff_Table,Tariff!$M$33))</f>
        <v>0.25</v>
      </c>
      <c r="AQ199" s="331">
        <f t="shared" ca="1" si="87"/>
        <v>2.1586083516789607</v>
      </c>
      <c r="AR199" s="331">
        <f t="shared" ca="1" si="88"/>
        <v>1.46</v>
      </c>
      <c r="AS199" s="1508">
        <f t="shared" ca="1" si="89"/>
        <v>1.4784988710129867</v>
      </c>
    </row>
    <row r="200" spans="1:45">
      <c r="A200" s="672">
        <f t="shared" si="64"/>
        <v>42675</v>
      </c>
      <c r="C200" s="1484">
        <f ca="1">IF($A200&gt;Endyr,0,VLOOKUP($A200,Tariff_Table,Tariff!$G$33))</f>
        <v>7434.78</v>
      </c>
      <c r="D200" s="1480">
        <f ca="1">VLOOKUP($A200,Curves_Table,Escalation!$V$291)</f>
        <v>1.6389834445299432</v>
      </c>
      <c r="E200" s="1483">
        <f t="shared" ca="1" si="65"/>
        <v>12185.48133372233</v>
      </c>
      <c r="F200" s="1480">
        <f ca="1">IF(Assm!$L$74=0,VLOOKUP($A200,Curves_Table,Escalation!$D$291),VLOOKUP($A200,Curves_Table,Escalation!$E$291))</f>
        <v>2.9832552095379512</v>
      </c>
      <c r="G200" s="113">
        <f ca="1">IF($A200&lt;EE_Date,VLOOKUP($A200,Curves_Table,Escalation!$D$291),Exch)</f>
        <v>1.0649999999999999</v>
      </c>
      <c r="H200" s="1483">
        <f t="shared" ca="1" si="66"/>
        <v>34133.709548877559</v>
      </c>
      <c r="I200" s="330">
        <f ca="1">VLOOKUP($A200,Plant_Table,'Plant Operations'!$C$270)</f>
        <v>480</v>
      </c>
      <c r="J200" s="1481">
        <f t="shared" ca="1" si="67"/>
        <v>16384.180583461228</v>
      </c>
      <c r="K200" s="1480">
        <f t="shared" ca="1" si="68"/>
        <v>2.9832552095379512</v>
      </c>
      <c r="L200" s="384">
        <f t="shared" ca="1" si="69"/>
        <v>5492.047925057951</v>
      </c>
      <c r="M200" s="692" t="str">
        <f t="shared" ca="1" si="60"/>
        <v xml:space="preserve"> </v>
      </c>
      <c r="O200" s="1482">
        <f ca="1">IF($A200&gt;Endyr,0,VLOOKUP($A200,Tariff_Table,Tariff!$H$33))</f>
        <v>6151.18</v>
      </c>
      <c r="P200" s="1480">
        <f t="shared" ca="1" si="70"/>
        <v>1.4784988710129867</v>
      </c>
      <c r="Q200" s="1481">
        <f t="shared" ca="1" si="71"/>
        <v>9094.5126853976635</v>
      </c>
      <c r="R200" s="1480">
        <f t="shared" ca="1" si="72"/>
        <v>2.9832552095379512</v>
      </c>
      <c r="S200" s="113">
        <f t="shared" ca="1" si="73"/>
        <v>1.0649999999999999</v>
      </c>
      <c r="T200" s="1481">
        <f t="shared" ca="1" si="74"/>
        <v>25475.354316358276</v>
      </c>
      <c r="U200" s="330">
        <f t="shared" ca="1" si="75"/>
        <v>480</v>
      </c>
      <c r="V200" s="1481">
        <f t="shared" ca="1" si="76"/>
        <v>12228.170071851973</v>
      </c>
      <c r="W200" s="1480">
        <f t="shared" ca="1" si="77"/>
        <v>2.9832552095379512</v>
      </c>
      <c r="X200" s="384">
        <f t="shared" ca="1" si="78"/>
        <v>4098.9352948271162</v>
      </c>
      <c r="Y200" s="692" t="str">
        <f t="shared" ca="1" si="61"/>
        <v xml:space="preserve"> </v>
      </c>
      <c r="AA200" s="1484">
        <f ca="1">IF($A200&gt;Endyr,0,VLOOKUP($A200,Tariff_Table,Tariff!$I$33))</f>
        <v>2.3199999999999998</v>
      </c>
      <c r="AB200" s="1480">
        <f t="shared" ca="1" si="62"/>
        <v>1.4784988710129867</v>
      </c>
      <c r="AC200" s="1483">
        <f t="shared" ca="1" si="79"/>
        <v>3.4301173807501288</v>
      </c>
      <c r="AD200" s="1480">
        <f t="shared" ca="1" si="80"/>
        <v>2.9832552095379512</v>
      </c>
      <c r="AE200" s="113">
        <f t="shared" ca="1" si="81"/>
        <v>1.0649999999999999</v>
      </c>
      <c r="AF200" s="1483">
        <f t="shared" ca="1" si="82"/>
        <v>9.6083714041779285</v>
      </c>
      <c r="AG200" s="334">
        <f ca="1">VLOOKUP($A200,Plant_Table,'Plant Operations'!$M$270)</f>
        <v>289336.32000000001</v>
      </c>
      <c r="AH200" s="1481">
        <f t="shared" ca="1" si="83"/>
        <v>2780.0508232780744</v>
      </c>
      <c r="AI200" s="1480">
        <f t="shared" ca="1" si="84"/>
        <v>2.9832552095379512</v>
      </c>
      <c r="AJ200" s="335">
        <f t="shared" ca="1" si="85"/>
        <v>931.88501419181318</v>
      </c>
      <c r="AK200" s="698" t="str">
        <f t="shared" ca="1" si="63"/>
        <v xml:space="preserve"> </v>
      </c>
      <c r="AM200" s="697">
        <f ca="1">IF($A200&gt;Endyr,0,VLOOKUP($A200,Tariff_Table,Tariff!$L$33))</f>
        <v>1.21</v>
      </c>
      <c r="AN200" s="1504">
        <f ca="1">VLOOKUP($A200,Curves_Table,Escalation!$Z$291)</f>
        <v>1.5773622741148436</v>
      </c>
      <c r="AO200" s="331">
        <f t="shared" ca="1" si="86"/>
        <v>1.9086083516789607</v>
      </c>
      <c r="AP200" s="331">
        <f ca="1">IF($A200&gt;Endyr,0,VLOOKUP($A200,Tariff_Table,Tariff!$M$33))</f>
        <v>0.25</v>
      </c>
      <c r="AQ200" s="331">
        <f t="shared" ca="1" si="87"/>
        <v>2.1586083516789607</v>
      </c>
      <c r="AR200" s="331">
        <f t="shared" ca="1" si="88"/>
        <v>1.46</v>
      </c>
      <c r="AS200" s="1508">
        <f t="shared" ca="1" si="89"/>
        <v>1.4784988710129867</v>
      </c>
    </row>
    <row r="201" spans="1:45">
      <c r="A201" s="672">
        <f t="shared" si="64"/>
        <v>42705</v>
      </c>
      <c r="C201" s="1484">
        <f ca="1">IF($A201&gt;Endyr,0,VLOOKUP($A201,Tariff_Table,Tariff!$G$33))</f>
        <v>7434.78</v>
      </c>
      <c r="D201" s="1480">
        <f ca="1">VLOOKUP($A201,Curves_Table,Escalation!$V$291)</f>
        <v>1.6389834445299432</v>
      </c>
      <c r="E201" s="1483">
        <f t="shared" ca="1" si="65"/>
        <v>12185.48133372233</v>
      </c>
      <c r="F201" s="1480">
        <f ca="1">IF(Assm!$L$74=0,VLOOKUP($A201,Curves_Table,Escalation!$D$291),VLOOKUP($A201,Curves_Table,Escalation!$E$291))</f>
        <v>2.9881843886810961</v>
      </c>
      <c r="G201" s="113">
        <f ca="1">IF($A201&lt;EE_Date,VLOOKUP($A201,Curves_Table,Escalation!$D$291),Exch)</f>
        <v>1.0649999999999999</v>
      </c>
      <c r="H201" s="1483">
        <f t="shared" ca="1" si="66"/>
        <v>34190.108065722037</v>
      </c>
      <c r="I201" s="330">
        <f ca="1">VLOOKUP($A201,Plant_Table,'Plant Operations'!$C$270)</f>
        <v>480</v>
      </c>
      <c r="J201" s="1481">
        <f t="shared" ca="1" si="67"/>
        <v>16411.251871546578</v>
      </c>
      <c r="K201" s="1480">
        <f t="shared" ca="1" si="68"/>
        <v>2.9881843886810961</v>
      </c>
      <c r="L201" s="384">
        <f t="shared" ca="1" si="69"/>
        <v>5492.0479250579519</v>
      </c>
      <c r="M201" s="692">
        <f t="shared" ca="1" si="60"/>
        <v>65337.032716807757</v>
      </c>
      <c r="O201" s="1482">
        <f ca="1">IF($A201&gt;Endyr,0,VLOOKUP($A201,Tariff_Table,Tariff!$H$33))</f>
        <v>6151.18</v>
      </c>
      <c r="P201" s="1480">
        <f t="shared" ca="1" si="70"/>
        <v>1.4784988710129867</v>
      </c>
      <c r="Q201" s="1481">
        <f t="shared" ca="1" si="71"/>
        <v>9094.5126853976635</v>
      </c>
      <c r="R201" s="1480">
        <f t="shared" ca="1" si="72"/>
        <v>2.9881843886810961</v>
      </c>
      <c r="S201" s="113">
        <f t="shared" ca="1" si="73"/>
        <v>1.0649999999999999</v>
      </c>
      <c r="T201" s="1481">
        <f t="shared" ca="1" si="74"/>
        <v>25517.446787950696</v>
      </c>
      <c r="U201" s="330">
        <f t="shared" ca="1" si="75"/>
        <v>480</v>
      </c>
      <c r="V201" s="1481">
        <f t="shared" ca="1" si="76"/>
        <v>12248.374458216334</v>
      </c>
      <c r="W201" s="1480">
        <f t="shared" ca="1" si="77"/>
        <v>2.9881843886810961</v>
      </c>
      <c r="X201" s="384">
        <f t="shared" ca="1" si="78"/>
        <v>4098.9352948271162</v>
      </c>
      <c r="Y201" s="692">
        <f t="shared" ca="1" si="61"/>
        <v>48825.995577172733</v>
      </c>
      <c r="AA201" s="1484">
        <f ca="1">IF($A201&gt;Endyr,0,VLOOKUP($A201,Tariff_Table,Tariff!$I$33))</f>
        <v>2.3199999999999998</v>
      </c>
      <c r="AB201" s="1480">
        <f t="shared" ca="1" si="62"/>
        <v>1.4784988710129867</v>
      </c>
      <c r="AC201" s="1483">
        <f t="shared" ca="1" si="79"/>
        <v>3.4301173807501288</v>
      </c>
      <c r="AD201" s="1480">
        <f t="shared" ca="1" si="80"/>
        <v>2.9881843886810961</v>
      </c>
      <c r="AE201" s="113">
        <f t="shared" ca="1" si="81"/>
        <v>1.0649999999999999</v>
      </c>
      <c r="AF201" s="1483">
        <f t="shared" ca="1" si="82"/>
        <v>9.6242471441326067</v>
      </c>
      <c r="AG201" s="334">
        <f ca="1">VLOOKUP($A201,Plant_Table,'Plant Operations'!$M$270)</f>
        <v>298980.864</v>
      </c>
      <c r="AH201" s="1481">
        <f t="shared" ca="1" si="83"/>
        <v>2877.4657265022993</v>
      </c>
      <c r="AI201" s="1480">
        <f t="shared" ca="1" si="84"/>
        <v>2.9881843886810961</v>
      </c>
      <c r="AJ201" s="335">
        <f t="shared" ca="1" si="85"/>
        <v>962.94784799820695</v>
      </c>
      <c r="AK201" s="698">
        <f t="shared" ca="1" si="63"/>
        <v>11276.578682134301</v>
      </c>
      <c r="AM201" s="697">
        <f ca="1">IF($A201&gt;Endyr,0,VLOOKUP($A201,Tariff_Table,Tariff!$L$33))</f>
        <v>1.21</v>
      </c>
      <c r="AN201" s="1504">
        <f ca="1">VLOOKUP($A201,Curves_Table,Escalation!$Z$291)</f>
        <v>1.5773622741148436</v>
      </c>
      <c r="AO201" s="331">
        <f t="shared" ca="1" si="86"/>
        <v>1.9086083516789607</v>
      </c>
      <c r="AP201" s="331">
        <f ca="1">IF($A201&gt;Endyr,0,VLOOKUP($A201,Tariff_Table,Tariff!$M$33))</f>
        <v>0.25</v>
      </c>
      <c r="AQ201" s="331">
        <f t="shared" ca="1" si="87"/>
        <v>2.1586083516789607</v>
      </c>
      <c r="AR201" s="331">
        <f t="shared" ca="1" si="88"/>
        <v>1.46</v>
      </c>
      <c r="AS201" s="1508">
        <f t="shared" ca="1" si="89"/>
        <v>1.4784988710129867</v>
      </c>
    </row>
    <row r="202" spans="1:45">
      <c r="A202" s="672">
        <f t="shared" si="64"/>
        <v>42736</v>
      </c>
      <c r="C202" s="1484">
        <f ca="1">IF($A202&gt;Endyr,0,VLOOKUP($A202,Tariff_Table,Tariff!$G$33))</f>
        <v>7434.78</v>
      </c>
      <c r="D202" s="1480">
        <f ca="1">VLOOKUP($A202,Curves_Table,Escalation!$V$291)</f>
        <v>1.6389834445299432</v>
      </c>
      <c r="E202" s="1483">
        <f t="shared" ca="1" si="65"/>
        <v>12185.48133372233</v>
      </c>
      <c r="F202" s="1480">
        <f ca="1">IF(Assm!$L$74=0,VLOOKUP($A202,Curves_Table,Escalation!$D$291),VLOOKUP($A202,Curves_Table,Escalation!$E$291))</f>
        <v>2.9931091016997291</v>
      </c>
      <c r="G202" s="113">
        <f ca="1">IF($A202&lt;EE_Date,VLOOKUP($A202,Curves_Table,Escalation!$D$291),Exch)</f>
        <v>1.0649999999999999</v>
      </c>
      <c r="H202" s="1483">
        <f t="shared" ca="1" si="66"/>
        <v>34246.455482212637</v>
      </c>
      <c r="I202" s="330">
        <f ca="1">VLOOKUP($A202,Plant_Table,'Plant Operations'!$C$270)</f>
        <v>480</v>
      </c>
      <c r="J202" s="1481">
        <f t="shared" ca="1" si="67"/>
        <v>16438.298631462065</v>
      </c>
      <c r="K202" s="1480">
        <f t="shared" ca="1" si="68"/>
        <v>2.9931091016997291</v>
      </c>
      <c r="L202" s="384">
        <f t="shared" ca="1" si="69"/>
        <v>5492.047925057951</v>
      </c>
      <c r="M202" s="692" t="str">
        <f t="shared" ca="1" si="60"/>
        <v xml:space="preserve"> </v>
      </c>
      <c r="O202" s="1482">
        <f ca="1">IF($A202&gt;Endyr,0,VLOOKUP($A202,Tariff_Table,Tariff!$H$33))</f>
        <v>6151.18</v>
      </c>
      <c r="P202" s="1480">
        <f t="shared" ca="1" si="70"/>
        <v>1.4784988710129867</v>
      </c>
      <c r="Q202" s="1481">
        <f t="shared" ca="1" si="71"/>
        <v>9094.5126853976635</v>
      </c>
      <c r="R202" s="1480">
        <f t="shared" ca="1" si="72"/>
        <v>2.9931091016997291</v>
      </c>
      <c r="S202" s="113">
        <f t="shared" ca="1" si="73"/>
        <v>1.0649999999999999</v>
      </c>
      <c r="T202" s="1481">
        <f t="shared" ca="1" si="74"/>
        <v>25559.501121302717</v>
      </c>
      <c r="U202" s="330">
        <f t="shared" ca="1" si="75"/>
        <v>480</v>
      </c>
      <c r="V202" s="1481">
        <f t="shared" ca="1" si="76"/>
        <v>12268.560538225305</v>
      </c>
      <c r="W202" s="1480">
        <f t="shared" ca="1" si="77"/>
        <v>2.9931091016997291</v>
      </c>
      <c r="X202" s="384">
        <f t="shared" ca="1" si="78"/>
        <v>4098.9352948271162</v>
      </c>
      <c r="Y202" s="692" t="str">
        <f t="shared" ca="1" si="61"/>
        <v xml:space="preserve"> </v>
      </c>
      <c r="AA202" s="1484">
        <f ca="1">IF($A202&gt;Endyr,0,VLOOKUP($A202,Tariff_Table,Tariff!$I$33))</f>
        <v>2.3199999999999998</v>
      </c>
      <c r="AB202" s="1480">
        <f t="shared" ca="1" si="62"/>
        <v>1.4784988710129867</v>
      </c>
      <c r="AC202" s="1483">
        <f t="shared" ca="1" si="79"/>
        <v>3.4301173807501288</v>
      </c>
      <c r="AD202" s="1480">
        <f t="shared" ca="1" si="80"/>
        <v>2.9931091016997291</v>
      </c>
      <c r="AE202" s="113">
        <f t="shared" ca="1" si="81"/>
        <v>1.0649999999999999</v>
      </c>
      <c r="AF202" s="1483">
        <f t="shared" ca="1" si="82"/>
        <v>9.6401084997386342</v>
      </c>
      <c r="AG202" s="334">
        <f ca="1">VLOOKUP($A202,Plant_Table,'Plant Operations'!$M$270)</f>
        <v>298980.864</v>
      </c>
      <c r="AH202" s="1481">
        <f t="shared" ca="1" si="83"/>
        <v>2882.2079683056008</v>
      </c>
      <c r="AI202" s="1480">
        <f t="shared" ca="1" si="84"/>
        <v>2.9931091016997291</v>
      </c>
      <c r="AJ202" s="335">
        <f t="shared" ca="1" si="85"/>
        <v>962.94784799820707</v>
      </c>
      <c r="AK202" s="698" t="str">
        <f t="shared" ca="1" si="63"/>
        <v xml:space="preserve"> </v>
      </c>
      <c r="AM202" s="697">
        <f ca="1">IF($A202&gt;Endyr,0,VLOOKUP($A202,Tariff_Table,Tariff!$L$33))</f>
        <v>1.21</v>
      </c>
      <c r="AN202" s="1504">
        <f ca="1">VLOOKUP($A202,Curves_Table,Escalation!$Z$291)</f>
        <v>1.5773622741148436</v>
      </c>
      <c r="AO202" s="331">
        <f t="shared" ca="1" si="86"/>
        <v>1.9086083516789607</v>
      </c>
      <c r="AP202" s="331">
        <f ca="1">IF($A202&gt;Endyr,0,VLOOKUP($A202,Tariff_Table,Tariff!$M$33))</f>
        <v>0.25</v>
      </c>
      <c r="AQ202" s="331">
        <f t="shared" ca="1" si="87"/>
        <v>2.1586083516789607</v>
      </c>
      <c r="AR202" s="331">
        <f t="shared" ca="1" si="88"/>
        <v>1.46</v>
      </c>
      <c r="AS202" s="1508">
        <f t="shared" ca="1" si="89"/>
        <v>1.4784988710129867</v>
      </c>
    </row>
    <row r="203" spans="1:45">
      <c r="A203" s="672">
        <f t="shared" si="64"/>
        <v>42767</v>
      </c>
      <c r="C203" s="1484">
        <f ca="1">IF($A203&gt;Endyr,0,VLOOKUP($A203,Tariff_Table,Tariff!$G$33))</f>
        <v>7434.78</v>
      </c>
      <c r="D203" s="1480">
        <f ca="1">VLOOKUP($A203,Curves_Table,Escalation!$V$291)</f>
        <v>1.6389834445299432</v>
      </c>
      <c r="E203" s="1483">
        <f t="shared" ca="1" si="65"/>
        <v>12185.48133372233</v>
      </c>
      <c r="F203" s="1480">
        <f ca="1">IF(Assm!$L$74=0,VLOOKUP($A203,Curves_Table,Escalation!$D$291),VLOOKUP($A203,Curves_Table,Escalation!$E$291))</f>
        <v>2.9980419309505488</v>
      </c>
      <c r="G203" s="113">
        <f ca="1">IF($A203&lt;EE_Date,VLOOKUP($A203,Curves_Table,Escalation!$D$291),Exch)</f>
        <v>1.0649999999999999</v>
      </c>
      <c r="H203" s="1483">
        <f t="shared" ca="1" si="66"/>
        <v>34302.895762736865</v>
      </c>
      <c r="I203" s="330">
        <f ca="1">VLOOKUP($A203,Plant_Table,'Plant Operations'!$C$270)</f>
        <v>480</v>
      </c>
      <c r="J203" s="1481">
        <f t="shared" ca="1" si="67"/>
        <v>16465.389966113697</v>
      </c>
      <c r="K203" s="1480">
        <f t="shared" ca="1" si="68"/>
        <v>2.9980419309505488</v>
      </c>
      <c r="L203" s="384">
        <f t="shared" ca="1" si="69"/>
        <v>5492.0479250579519</v>
      </c>
      <c r="M203" s="692" t="str">
        <f t="shared" ca="1" si="60"/>
        <v xml:space="preserve"> </v>
      </c>
      <c r="O203" s="1482">
        <f ca="1">IF($A203&gt;Endyr,0,VLOOKUP($A203,Tariff_Table,Tariff!$H$33))</f>
        <v>6151.18</v>
      </c>
      <c r="P203" s="1480">
        <f t="shared" ca="1" si="70"/>
        <v>1.4784988710129867</v>
      </c>
      <c r="Q203" s="1481">
        <f t="shared" ca="1" si="71"/>
        <v>9094.5126853976635</v>
      </c>
      <c r="R203" s="1480">
        <f t="shared" ca="1" si="72"/>
        <v>2.9980419309505488</v>
      </c>
      <c r="S203" s="113">
        <f t="shared" ca="1" si="73"/>
        <v>1.0649999999999999</v>
      </c>
      <c r="T203" s="1481">
        <f t="shared" ca="1" si="74"/>
        <v>25601.624762801763</v>
      </c>
      <c r="U203" s="330">
        <f t="shared" ca="1" si="75"/>
        <v>480</v>
      </c>
      <c r="V203" s="1481">
        <f t="shared" ca="1" si="76"/>
        <v>12288.779886144846</v>
      </c>
      <c r="W203" s="1480">
        <f t="shared" ca="1" si="77"/>
        <v>2.9980419309505488</v>
      </c>
      <c r="X203" s="384">
        <f t="shared" ca="1" si="78"/>
        <v>4098.9352948271171</v>
      </c>
      <c r="Y203" s="692" t="str">
        <f t="shared" ca="1" si="61"/>
        <v xml:space="preserve"> </v>
      </c>
      <c r="AA203" s="1484">
        <f ca="1">IF($A203&gt;Endyr,0,VLOOKUP($A203,Tariff_Table,Tariff!$I$33))</f>
        <v>2.3199999999999998</v>
      </c>
      <c r="AB203" s="1480">
        <f t="shared" ca="1" si="62"/>
        <v>1.4784988710129867</v>
      </c>
      <c r="AC203" s="1483">
        <f t="shared" ca="1" si="79"/>
        <v>3.4301173807501288</v>
      </c>
      <c r="AD203" s="1480">
        <f t="shared" ca="1" si="80"/>
        <v>2.9980419309505488</v>
      </c>
      <c r="AE203" s="113">
        <f t="shared" ca="1" si="81"/>
        <v>1.0649999999999999</v>
      </c>
      <c r="AF203" s="1483">
        <f t="shared" ca="1" si="82"/>
        <v>9.6559959958414598</v>
      </c>
      <c r="AG203" s="334">
        <f ca="1">VLOOKUP($A203,Plant_Table,'Plant Operations'!$M$270)</f>
        <v>270047.23200000002</v>
      </c>
      <c r="AH203" s="1481">
        <f t="shared" ca="1" si="83"/>
        <v>2607.5749908800699</v>
      </c>
      <c r="AI203" s="1480">
        <f t="shared" ca="1" si="84"/>
        <v>2.9980419309505488</v>
      </c>
      <c r="AJ203" s="335">
        <f t="shared" ca="1" si="85"/>
        <v>869.75934657902576</v>
      </c>
      <c r="AK203" s="698" t="str">
        <f t="shared" ca="1" si="63"/>
        <v xml:space="preserve"> </v>
      </c>
      <c r="AM203" s="697">
        <f ca="1">IF($A203&gt;Endyr,0,VLOOKUP($A203,Tariff_Table,Tariff!$L$33))</f>
        <v>1.21</v>
      </c>
      <c r="AN203" s="1504">
        <f ca="1">VLOOKUP($A203,Curves_Table,Escalation!$Z$291)</f>
        <v>1.5773622741148436</v>
      </c>
      <c r="AO203" s="331">
        <f t="shared" ca="1" si="86"/>
        <v>1.9086083516789607</v>
      </c>
      <c r="AP203" s="331">
        <f ca="1">IF($A203&gt;Endyr,0,VLOOKUP($A203,Tariff_Table,Tariff!$M$33))</f>
        <v>0.25</v>
      </c>
      <c r="AQ203" s="331">
        <f t="shared" ca="1" si="87"/>
        <v>2.1586083516789607</v>
      </c>
      <c r="AR203" s="331">
        <f t="shared" ca="1" si="88"/>
        <v>1.46</v>
      </c>
      <c r="AS203" s="1508">
        <f t="shared" ca="1" si="89"/>
        <v>1.4784988710129867</v>
      </c>
    </row>
    <row r="204" spans="1:45">
      <c r="A204" s="672">
        <f t="shared" si="64"/>
        <v>42795</v>
      </c>
      <c r="C204" s="1484">
        <f ca="1">IF($A204&gt;Endyr,0,VLOOKUP($A204,Tariff_Table,Tariff!$G$33))</f>
        <v>7434.78</v>
      </c>
      <c r="D204" s="1480">
        <f ca="1">VLOOKUP($A204,Curves_Table,Escalation!$V$291)</f>
        <v>1.6389834445299432</v>
      </c>
      <c r="E204" s="1483">
        <f t="shared" ca="1" si="65"/>
        <v>12185.48133372233</v>
      </c>
      <c r="F204" s="1480">
        <f ca="1">IF(Assm!$L$74=0,VLOOKUP($A204,Curves_Table,Escalation!$D$291),VLOOKUP($A204,Curves_Table,Escalation!$E$291))</f>
        <v>3.0029828898096089</v>
      </c>
      <c r="G204" s="113">
        <f ca="1">IF($A204&lt;EE_Date,VLOOKUP($A204,Curves_Table,Escalation!$D$291),Exch)</f>
        <v>1.0649999999999999</v>
      </c>
      <c r="H204" s="1483">
        <f t="shared" ca="1" si="66"/>
        <v>34359.429060340408</v>
      </c>
      <c r="I204" s="330">
        <f ca="1">VLOOKUP($A204,Plant_Table,'Plant Operations'!$C$270)</f>
        <v>480</v>
      </c>
      <c r="J204" s="1481">
        <f t="shared" ca="1" si="67"/>
        <v>16492.525948963397</v>
      </c>
      <c r="K204" s="1480">
        <f t="shared" ca="1" si="68"/>
        <v>3.0029828898096089</v>
      </c>
      <c r="L204" s="384">
        <f t="shared" ca="1" si="69"/>
        <v>5492.0479250579529</v>
      </c>
      <c r="M204" s="692" t="str">
        <f t="shared" ref="M204:M266" ca="1" si="90">IF(MONTH($A204)=12,SUM(L193:L204)," ")</f>
        <v xml:space="preserve"> </v>
      </c>
      <c r="O204" s="1482">
        <f ca="1">IF($A204&gt;Endyr,0,VLOOKUP($A204,Tariff_Table,Tariff!$H$33))</f>
        <v>6151.18</v>
      </c>
      <c r="P204" s="1480">
        <f t="shared" ca="1" si="70"/>
        <v>1.4784988710129867</v>
      </c>
      <c r="Q204" s="1481">
        <f t="shared" ca="1" si="71"/>
        <v>9094.5126853976635</v>
      </c>
      <c r="R204" s="1480">
        <f t="shared" ca="1" si="72"/>
        <v>3.0029828898096089</v>
      </c>
      <c r="S204" s="113">
        <f t="shared" ca="1" si="73"/>
        <v>1.0649999999999999</v>
      </c>
      <c r="T204" s="1481">
        <f t="shared" ca="1" si="74"/>
        <v>25643.817826671948</v>
      </c>
      <c r="U204" s="330">
        <f t="shared" ca="1" si="75"/>
        <v>480</v>
      </c>
      <c r="V204" s="1481">
        <f t="shared" ca="1" si="76"/>
        <v>12309.032556802535</v>
      </c>
      <c r="W204" s="1480">
        <f t="shared" ca="1" si="77"/>
        <v>3.0029828898096089</v>
      </c>
      <c r="X204" s="384">
        <f t="shared" ca="1" si="78"/>
        <v>4098.9352948271162</v>
      </c>
      <c r="Y204" s="692" t="str">
        <f t="shared" ref="Y204:Y266" ca="1" si="91">IF(MONTH($A204)=12,SUM(X193:X204)," ")</f>
        <v xml:space="preserve"> </v>
      </c>
      <c r="AA204" s="1484">
        <f ca="1">IF($A204&gt;Endyr,0,VLOOKUP($A204,Tariff_Table,Tariff!$I$33))</f>
        <v>2.3199999999999998</v>
      </c>
      <c r="AB204" s="1480">
        <f t="shared" ref="AB204:AB266" ca="1" si="92">$AS204</f>
        <v>1.4784988710129867</v>
      </c>
      <c r="AC204" s="1483">
        <f t="shared" ca="1" si="79"/>
        <v>3.4301173807501288</v>
      </c>
      <c r="AD204" s="1480">
        <f t="shared" ca="1" si="80"/>
        <v>3.0029828898096089</v>
      </c>
      <c r="AE204" s="113">
        <f t="shared" ca="1" si="81"/>
        <v>1.0649999999999999</v>
      </c>
      <c r="AF204" s="1483">
        <f t="shared" ca="1" si="82"/>
        <v>9.671909675522242</v>
      </c>
      <c r="AG204" s="334">
        <f ca="1">VLOOKUP($A204,Plant_Table,'Plant Operations'!$M$270)</f>
        <v>298980.864</v>
      </c>
      <c r="AH204" s="1481">
        <f t="shared" ca="1" si="83"/>
        <v>2891.7159113175994</v>
      </c>
      <c r="AI204" s="1480">
        <f t="shared" ca="1" si="84"/>
        <v>3.0029828898096089</v>
      </c>
      <c r="AJ204" s="335">
        <f t="shared" ca="1" si="85"/>
        <v>962.94784799820695</v>
      </c>
      <c r="AK204" s="698" t="str">
        <f t="shared" ref="AK204:AK266" ca="1" si="93">IF(MONTH($A204)=12,SUM(AJ193:AJ204)," ")</f>
        <v xml:space="preserve"> </v>
      </c>
      <c r="AM204" s="697">
        <f ca="1">IF($A204&gt;Endyr,0,VLOOKUP($A204,Tariff_Table,Tariff!$L$33))</f>
        <v>1.21</v>
      </c>
      <c r="AN204" s="1504">
        <f ca="1">VLOOKUP($A204,Curves_Table,Escalation!$Z$291)</f>
        <v>1.5773622741148436</v>
      </c>
      <c r="AO204" s="331">
        <f t="shared" ca="1" si="86"/>
        <v>1.9086083516789607</v>
      </c>
      <c r="AP204" s="331">
        <f ca="1">IF($A204&gt;Endyr,0,VLOOKUP($A204,Tariff_Table,Tariff!$M$33))</f>
        <v>0.25</v>
      </c>
      <c r="AQ204" s="331">
        <f t="shared" ca="1" si="87"/>
        <v>2.1586083516789607</v>
      </c>
      <c r="AR204" s="331">
        <f t="shared" ca="1" si="88"/>
        <v>1.46</v>
      </c>
      <c r="AS204" s="1508">
        <f t="shared" ca="1" si="89"/>
        <v>1.4784988710129867</v>
      </c>
    </row>
    <row r="205" spans="1:45">
      <c r="A205" s="672">
        <f t="shared" ref="A205:A266" si="94">EDATE(A204,1)</f>
        <v>42826</v>
      </c>
      <c r="C205" s="1484">
        <f ca="1">IF($A205&gt;Endyr,0,VLOOKUP($A205,Tariff_Table,Tariff!$G$33))</f>
        <v>7434.78</v>
      </c>
      <c r="D205" s="1480">
        <f ca="1">VLOOKUP($A205,Curves_Table,Escalation!$V$291)</f>
        <v>1.6389834445299432</v>
      </c>
      <c r="E205" s="1483">
        <f t="shared" ref="E205:E266" ca="1" si="95">C205*D205</f>
        <v>12185.48133372233</v>
      </c>
      <c r="F205" s="1480">
        <f ca="1">IF(Assm!$L$74=0,VLOOKUP($A205,Curves_Table,Escalation!$D$291),VLOOKUP($A205,Curves_Table,Escalation!$E$291))</f>
        <v>3.0079319916750076</v>
      </c>
      <c r="G205" s="113">
        <f ca="1">IF($A205&lt;EE_Date,VLOOKUP($A205,Curves_Table,Escalation!$D$291),Exch)</f>
        <v>1.0649999999999999</v>
      </c>
      <c r="H205" s="1483">
        <f t="shared" ref="H205:H266" ca="1" si="96">E205*F205/G205</f>
        <v>34416.055528321165</v>
      </c>
      <c r="I205" s="330">
        <f ca="1">VLOOKUP($A205,Plant_Table,'Plant Operations'!$C$270)</f>
        <v>480</v>
      </c>
      <c r="J205" s="1481">
        <f t="shared" ref="J205:J266" ca="1" si="97">H205*I205/1000</f>
        <v>16519.706653594159</v>
      </c>
      <c r="K205" s="1480">
        <f t="shared" ref="K205:K266" ca="1" si="98">F205</f>
        <v>3.0079319916750076</v>
      </c>
      <c r="L205" s="384">
        <f t="shared" ref="L205:L266" ca="1" si="99">J205/K205</f>
        <v>5492.0479250579519</v>
      </c>
      <c r="M205" s="692" t="str">
        <f t="shared" ca="1" si="90"/>
        <v xml:space="preserve"> </v>
      </c>
      <c r="O205" s="1482">
        <f ca="1">IF($A205&gt;Endyr,0,VLOOKUP($A205,Tariff_Table,Tariff!$H$33))</f>
        <v>6151.18</v>
      </c>
      <c r="P205" s="1480">
        <f t="shared" ref="P205:P266" ca="1" si="100">$AS205</f>
        <v>1.4784988710129867</v>
      </c>
      <c r="Q205" s="1481">
        <f t="shared" ref="Q205:Q266" ca="1" si="101">O205*P205</f>
        <v>9094.5126853976635</v>
      </c>
      <c r="R205" s="1480">
        <f t="shared" ref="R205:R266" ca="1" si="102">$F205</f>
        <v>3.0079319916750076</v>
      </c>
      <c r="S205" s="113">
        <f t="shared" ref="S205:S266" ca="1" si="103">$G205</f>
        <v>1.0649999999999999</v>
      </c>
      <c r="T205" s="1481">
        <f t="shared" ref="T205:T266" ca="1" si="104">Q205*R205/S205</f>
        <v>25686.080427325651</v>
      </c>
      <c r="U205" s="330">
        <f t="shared" ref="U205:U266" ca="1" si="105">$I205</f>
        <v>480</v>
      </c>
      <c r="V205" s="1481">
        <f t="shared" ref="V205:V266" ca="1" si="106">T205*U205/1000</f>
        <v>12329.318605116312</v>
      </c>
      <c r="W205" s="1480">
        <f t="shared" ref="W205:W266" ca="1" si="107">R205</f>
        <v>3.0079319916750076</v>
      </c>
      <c r="X205" s="384">
        <f t="shared" ref="X205:X266" ca="1" si="108">V205/W205</f>
        <v>4098.9352948271162</v>
      </c>
      <c r="Y205" s="692" t="str">
        <f t="shared" ca="1" si="91"/>
        <v xml:space="preserve"> </v>
      </c>
      <c r="AA205" s="1484">
        <f ca="1">IF($A205&gt;Endyr,0,VLOOKUP($A205,Tariff_Table,Tariff!$I$33))</f>
        <v>2.3199999999999998</v>
      </c>
      <c r="AB205" s="1480">
        <f t="shared" ca="1" si="92"/>
        <v>1.4784988710129867</v>
      </c>
      <c r="AC205" s="1483">
        <f t="shared" ref="AC205:AC266" ca="1" si="109">AA205*AB205</f>
        <v>3.4301173807501288</v>
      </c>
      <c r="AD205" s="1480">
        <f t="shared" ref="AD205:AD266" ca="1" si="110">$F205</f>
        <v>3.0079319916750076</v>
      </c>
      <c r="AE205" s="113">
        <f t="shared" ref="AE205:AE266" ca="1" si="111">$G205</f>
        <v>1.0649999999999999</v>
      </c>
      <c r="AF205" s="1483">
        <f t="shared" ref="AF205:AF266" ca="1" si="112">AC205*AD205/AE205</f>
        <v>9.6878495819331416</v>
      </c>
      <c r="AG205" s="334">
        <f ca="1">VLOOKUP($A205,Plant_Table,'Plant Operations'!$M$270)</f>
        <v>289336.32000000001</v>
      </c>
      <c r="AH205" s="1481">
        <f t="shared" ref="AH205:AH266" ca="1" si="113">AF205*AG205/1000</f>
        <v>2803.0467467500739</v>
      </c>
      <c r="AI205" s="1480">
        <f t="shared" ref="AI205:AI266" ca="1" si="114">AD205</f>
        <v>3.0079319916750076</v>
      </c>
      <c r="AJ205" s="335">
        <f t="shared" ref="AJ205:AJ266" ca="1" si="115">AH205/AI205</f>
        <v>931.88501419181341</v>
      </c>
      <c r="AK205" s="698" t="str">
        <f t="shared" ca="1" si="93"/>
        <v xml:space="preserve"> </v>
      </c>
      <c r="AM205" s="697">
        <f ca="1">IF($A205&gt;Endyr,0,VLOOKUP($A205,Tariff_Table,Tariff!$L$33))</f>
        <v>1.21</v>
      </c>
      <c r="AN205" s="1504">
        <f ca="1">VLOOKUP($A205,Curves_Table,Escalation!$Z$291)</f>
        <v>1.5773622741148436</v>
      </c>
      <c r="AO205" s="331">
        <f t="shared" ref="AO205:AO266" ca="1" si="116">AM205*AN205</f>
        <v>1.9086083516789607</v>
      </c>
      <c r="AP205" s="331">
        <f ca="1">IF($A205&gt;Endyr,0,VLOOKUP($A205,Tariff_Table,Tariff!$M$33))</f>
        <v>0.25</v>
      </c>
      <c r="AQ205" s="331">
        <f t="shared" ref="AQ205:AQ266" ca="1" si="117">SUM(AO205,AP205)</f>
        <v>2.1586083516789607</v>
      </c>
      <c r="AR205" s="331">
        <f t="shared" ref="AR205:AR266" ca="1" si="118">SUM(AM205,AP205)</f>
        <v>1.46</v>
      </c>
      <c r="AS205" s="1508">
        <f t="shared" ref="AS205:AS266" ca="1" si="119">IF(AR205=0,0,AQ205/AR205)</f>
        <v>1.4784988710129867</v>
      </c>
    </row>
    <row r="206" spans="1:45">
      <c r="A206" s="672">
        <f t="shared" si="94"/>
        <v>42856</v>
      </c>
      <c r="C206" s="1484">
        <f ca="1">IF($A206&gt;Endyr,0,VLOOKUP($A206,Tariff_Table,Tariff!$G$33))</f>
        <v>7420.61</v>
      </c>
      <c r="D206" s="1480">
        <f ca="1">VLOOKUP($A206,Curves_Table,Escalation!$V$291)</f>
        <v>1.6825466987361488</v>
      </c>
      <c r="E206" s="1483">
        <f t="shared" ca="1" si="95"/>
        <v>12485.522858108452</v>
      </c>
      <c r="F206" s="1480">
        <f ca="1">IF(Assm!$L$74=0,VLOOKUP($A206,Curves_Table,Escalation!$D$291),VLOOKUP($A206,Curves_Table,Escalation!$E$291))</f>
        <v>3.012889249966924</v>
      </c>
      <c r="G206" s="113">
        <f ca="1">IF($A206&lt;EE_Date,VLOOKUP($A206,Curves_Table,Escalation!$D$291),Exch)</f>
        <v>1.0649999999999999</v>
      </c>
      <c r="H206" s="1483">
        <f t="shared" ca="1" si="96"/>
        <v>35321.593990057525</v>
      </c>
      <c r="I206" s="330">
        <f ca="1">VLOOKUP($A206,Plant_Table,'Plant Operations'!$C$270)</f>
        <v>480</v>
      </c>
      <c r="J206" s="1481">
        <f t="shared" ca="1" si="97"/>
        <v>16954.365115227614</v>
      </c>
      <c r="K206" s="1480">
        <f t="shared" ca="1" si="98"/>
        <v>3.012889249966924</v>
      </c>
      <c r="L206" s="384">
        <f t="shared" ca="1" si="99"/>
        <v>5627.2779078798676</v>
      </c>
      <c r="M206" s="692" t="str">
        <f t="shared" ca="1" si="90"/>
        <v xml:space="preserve"> </v>
      </c>
      <c r="O206" s="1482">
        <f ca="1">IF($A206&gt;Endyr,0,VLOOKUP($A206,Tariff_Table,Tariff!$H$33))</f>
        <v>6104.93</v>
      </c>
      <c r="P206" s="1480">
        <f t="shared" ca="1" si="100"/>
        <v>1.509977097770796</v>
      </c>
      <c r="Q206" s="1481">
        <f t="shared" ca="1" si="101"/>
        <v>9218.3044834938664</v>
      </c>
      <c r="R206" s="1480">
        <f t="shared" ca="1" si="102"/>
        <v>3.012889249966924</v>
      </c>
      <c r="S206" s="113">
        <f t="shared" ca="1" si="103"/>
        <v>1.0649999999999999</v>
      </c>
      <c r="T206" s="1481">
        <f t="shared" ca="1" si="104"/>
        <v>26078.620170178936</v>
      </c>
      <c r="U206" s="330">
        <f t="shared" ca="1" si="105"/>
        <v>480</v>
      </c>
      <c r="V206" s="1481">
        <f t="shared" ca="1" si="106"/>
        <v>12517.737681685889</v>
      </c>
      <c r="W206" s="1480">
        <f t="shared" ca="1" si="107"/>
        <v>3.012889249966924</v>
      </c>
      <c r="X206" s="384">
        <f t="shared" ca="1" si="108"/>
        <v>4154.7287812930099</v>
      </c>
      <c r="Y206" s="692" t="str">
        <f t="shared" ca="1" si="91"/>
        <v xml:space="preserve"> </v>
      </c>
      <c r="AA206" s="1484">
        <f ca="1">IF($A206&gt;Endyr,0,VLOOKUP($A206,Tariff_Table,Tariff!$I$33))</f>
        <v>2.2999999999999998</v>
      </c>
      <c r="AB206" s="1480">
        <f t="shared" ca="1" si="92"/>
        <v>1.509977097770796</v>
      </c>
      <c r="AC206" s="1483">
        <f t="shared" ca="1" si="109"/>
        <v>3.4729473248728304</v>
      </c>
      <c r="AD206" s="1480">
        <f t="shared" ca="1" si="110"/>
        <v>3.012889249966924</v>
      </c>
      <c r="AE206" s="113">
        <f t="shared" ca="1" si="111"/>
        <v>1.0649999999999999</v>
      </c>
      <c r="AF206" s="1483">
        <f t="shared" ca="1" si="112"/>
        <v>9.824981841136843</v>
      </c>
      <c r="AG206" s="334">
        <f ca="1">VLOOKUP($A206,Plant_Table,'Plant Operations'!$M$270)</f>
        <v>298980.864</v>
      </c>
      <c r="AH206" s="1481">
        <f t="shared" ca="1" si="113"/>
        <v>2937.4815596474041</v>
      </c>
      <c r="AI206" s="1480">
        <f t="shared" ca="1" si="114"/>
        <v>3.012889249966924</v>
      </c>
      <c r="AJ206" s="335">
        <f t="shared" ca="1" si="115"/>
        <v>974.97163550888979</v>
      </c>
      <c r="AK206" s="698" t="str">
        <f t="shared" ca="1" si="93"/>
        <v xml:space="preserve"> </v>
      </c>
      <c r="AM206" s="697">
        <f ca="1">IF($A206&gt;Endyr,0,VLOOKUP($A206,Tariff_Table,Tariff!$L$33))</f>
        <v>1.21</v>
      </c>
      <c r="AN206" s="1504">
        <f ca="1">VLOOKUP($A206,Curves_Table,Escalation!$Z$291)</f>
        <v>1.6153442667317042</v>
      </c>
      <c r="AO206" s="331">
        <f t="shared" ca="1" si="116"/>
        <v>1.9545665627453619</v>
      </c>
      <c r="AP206" s="331">
        <f ca="1">IF($A206&gt;Endyr,0,VLOOKUP($A206,Tariff_Table,Tariff!$M$33))</f>
        <v>0.25</v>
      </c>
      <c r="AQ206" s="331">
        <f t="shared" ca="1" si="117"/>
        <v>2.2045665627453621</v>
      </c>
      <c r="AR206" s="331">
        <f t="shared" ca="1" si="118"/>
        <v>1.46</v>
      </c>
      <c r="AS206" s="1508">
        <f t="shared" ca="1" si="119"/>
        <v>1.509977097770796</v>
      </c>
    </row>
    <row r="207" spans="1:45">
      <c r="A207" s="672">
        <f t="shared" si="94"/>
        <v>42887</v>
      </c>
      <c r="C207" s="1484">
        <f ca="1">IF($A207&gt;Endyr,0,VLOOKUP($A207,Tariff_Table,Tariff!$G$33))</f>
        <v>7420.61</v>
      </c>
      <c r="D207" s="1480">
        <f ca="1">VLOOKUP($A207,Curves_Table,Escalation!$V$291)</f>
        <v>1.6825466987361488</v>
      </c>
      <c r="E207" s="1483">
        <f t="shared" ca="1" si="95"/>
        <v>12485.522858108452</v>
      </c>
      <c r="F207" s="1480">
        <f ca="1">IF(Assm!$L$74=0,VLOOKUP($A207,Curves_Table,Escalation!$D$291),VLOOKUP($A207,Curves_Table,Escalation!$E$291))</f>
        <v>3.0178546781276538</v>
      </c>
      <c r="G207" s="113">
        <f ca="1">IF($A207&lt;EE_Date,VLOOKUP($A207,Curves_Table,Escalation!$D$291),Exch)</f>
        <v>1.0649999999999999</v>
      </c>
      <c r="H207" s="1483">
        <f t="shared" ca="1" si="96"/>
        <v>35379.806165457601</v>
      </c>
      <c r="I207" s="330">
        <f ca="1">VLOOKUP($A207,Plant_Table,'Plant Operations'!$C$270)</f>
        <v>480</v>
      </c>
      <c r="J207" s="1481">
        <f t="shared" ca="1" si="97"/>
        <v>16982.30695941965</v>
      </c>
      <c r="K207" s="1480">
        <f t="shared" ca="1" si="98"/>
        <v>3.0178546781276538</v>
      </c>
      <c r="L207" s="384">
        <f t="shared" ca="1" si="99"/>
        <v>5627.2779078798658</v>
      </c>
      <c r="M207" s="692" t="str">
        <f t="shared" ca="1" si="90"/>
        <v xml:space="preserve"> </v>
      </c>
      <c r="O207" s="1482">
        <f ca="1">IF($A207&gt;Endyr,0,VLOOKUP($A207,Tariff_Table,Tariff!$H$33))</f>
        <v>6104.93</v>
      </c>
      <c r="P207" s="1480">
        <f t="shared" ca="1" si="100"/>
        <v>1.509977097770796</v>
      </c>
      <c r="Q207" s="1481">
        <f t="shared" ca="1" si="101"/>
        <v>9218.3044834938664</v>
      </c>
      <c r="R207" s="1480">
        <f t="shared" ca="1" si="102"/>
        <v>3.0178546781276538</v>
      </c>
      <c r="S207" s="113">
        <f t="shared" ca="1" si="103"/>
        <v>1.0649999999999999</v>
      </c>
      <c r="T207" s="1481">
        <f t="shared" ca="1" si="104"/>
        <v>26121.599352034827</v>
      </c>
      <c r="U207" s="330">
        <f t="shared" ca="1" si="105"/>
        <v>480</v>
      </c>
      <c r="V207" s="1481">
        <f t="shared" ca="1" si="106"/>
        <v>12538.367688976716</v>
      </c>
      <c r="W207" s="1480">
        <f t="shared" ca="1" si="107"/>
        <v>3.0178546781276538</v>
      </c>
      <c r="X207" s="384">
        <f t="shared" ca="1" si="108"/>
        <v>4154.7287812930099</v>
      </c>
      <c r="Y207" s="692" t="str">
        <f t="shared" ca="1" si="91"/>
        <v xml:space="preserve"> </v>
      </c>
      <c r="AA207" s="1484">
        <f ca="1">IF($A207&gt;Endyr,0,VLOOKUP($A207,Tariff_Table,Tariff!$I$33))</f>
        <v>2.2999999999999998</v>
      </c>
      <c r="AB207" s="1480">
        <f t="shared" ca="1" si="92"/>
        <v>1.509977097770796</v>
      </c>
      <c r="AC207" s="1483">
        <f t="shared" ca="1" si="109"/>
        <v>3.4729473248728304</v>
      </c>
      <c r="AD207" s="1480">
        <f t="shared" ca="1" si="110"/>
        <v>3.0178546781276538</v>
      </c>
      <c r="AE207" s="113">
        <f t="shared" ca="1" si="111"/>
        <v>1.0649999999999999</v>
      </c>
      <c r="AF207" s="1483">
        <f t="shared" ca="1" si="112"/>
        <v>9.8411740199609312</v>
      </c>
      <c r="AG207" s="334">
        <f ca="1">VLOOKUP($A207,Plant_Table,'Plant Operations'!$M$270)</f>
        <v>289336.32000000001</v>
      </c>
      <c r="AH207" s="1481">
        <f t="shared" ca="1" si="113"/>
        <v>2847.4090754151025</v>
      </c>
      <c r="AI207" s="1480">
        <f t="shared" ca="1" si="114"/>
        <v>3.0178546781276538</v>
      </c>
      <c r="AJ207" s="335">
        <f t="shared" ca="1" si="115"/>
        <v>943.52093758924809</v>
      </c>
      <c r="AK207" s="698" t="str">
        <f t="shared" ca="1" si="93"/>
        <v xml:space="preserve"> </v>
      </c>
      <c r="AM207" s="697">
        <f ca="1">IF($A207&gt;Endyr,0,VLOOKUP($A207,Tariff_Table,Tariff!$L$33))</f>
        <v>1.21</v>
      </c>
      <c r="AN207" s="1504">
        <f ca="1">VLOOKUP($A207,Curves_Table,Escalation!$Z$291)</f>
        <v>1.6153442667317042</v>
      </c>
      <c r="AO207" s="331">
        <f t="shared" ca="1" si="116"/>
        <v>1.9545665627453619</v>
      </c>
      <c r="AP207" s="331">
        <f ca="1">IF($A207&gt;Endyr,0,VLOOKUP($A207,Tariff_Table,Tariff!$M$33))</f>
        <v>0.25</v>
      </c>
      <c r="AQ207" s="331">
        <f t="shared" ca="1" si="117"/>
        <v>2.2045665627453621</v>
      </c>
      <c r="AR207" s="331">
        <f t="shared" ca="1" si="118"/>
        <v>1.46</v>
      </c>
      <c r="AS207" s="1508">
        <f t="shared" ca="1" si="119"/>
        <v>1.509977097770796</v>
      </c>
    </row>
    <row r="208" spans="1:45">
      <c r="A208" s="672">
        <f t="shared" si="94"/>
        <v>42917</v>
      </c>
      <c r="C208" s="1484">
        <f ca="1">IF($A208&gt;Endyr,0,VLOOKUP($A208,Tariff_Table,Tariff!$G$33))</f>
        <v>7420.61</v>
      </c>
      <c r="D208" s="1480">
        <f ca="1">VLOOKUP($A208,Curves_Table,Escalation!$V$291)</f>
        <v>1.6825466987361488</v>
      </c>
      <c r="E208" s="1483">
        <f t="shared" ca="1" si="95"/>
        <v>12485.522858108452</v>
      </c>
      <c r="F208" s="1480">
        <f ca="1">IF(Assm!$L$74=0,VLOOKUP($A208,Curves_Table,Escalation!$D$291),VLOOKUP($A208,Curves_Table,Escalation!$E$291))</f>
        <v>3.0228282896216476</v>
      </c>
      <c r="G208" s="113">
        <f ca="1">IF($A208&lt;EE_Date,VLOOKUP($A208,Curves_Table,Escalation!$D$291),Exch)</f>
        <v>1.0649999999999999</v>
      </c>
      <c r="H208" s="1483">
        <f t="shared" ca="1" si="96"/>
        <v>35438.114278129542</v>
      </c>
      <c r="I208" s="330">
        <f ca="1">VLOOKUP($A208,Plant_Table,'Plant Operations'!$C$270)</f>
        <v>480</v>
      </c>
      <c r="J208" s="1481">
        <f t="shared" ca="1" si="97"/>
        <v>17010.294853502179</v>
      </c>
      <c r="K208" s="1480">
        <f t="shared" ca="1" si="98"/>
        <v>3.0228282896216476</v>
      </c>
      <c r="L208" s="384">
        <f t="shared" ca="1" si="99"/>
        <v>5627.2779078798658</v>
      </c>
      <c r="M208" s="692" t="str">
        <f t="shared" ca="1" si="90"/>
        <v xml:space="preserve"> </v>
      </c>
      <c r="O208" s="1482">
        <f ca="1">IF($A208&gt;Endyr,0,VLOOKUP($A208,Tariff_Table,Tariff!$H$33))</f>
        <v>6104.93</v>
      </c>
      <c r="P208" s="1480">
        <f t="shared" ca="1" si="100"/>
        <v>1.509977097770796</v>
      </c>
      <c r="Q208" s="1481">
        <f t="shared" ca="1" si="101"/>
        <v>9218.3044834938664</v>
      </c>
      <c r="R208" s="1480">
        <f t="shared" ca="1" si="102"/>
        <v>3.0228282896216476</v>
      </c>
      <c r="S208" s="113">
        <f t="shared" ca="1" si="103"/>
        <v>1.0649999999999999</v>
      </c>
      <c r="T208" s="1481">
        <f t="shared" ca="1" si="104"/>
        <v>26164.649366245379</v>
      </c>
      <c r="U208" s="330">
        <f t="shared" ca="1" si="105"/>
        <v>480</v>
      </c>
      <c r="V208" s="1481">
        <f t="shared" ca="1" si="106"/>
        <v>12559.031695797783</v>
      </c>
      <c r="W208" s="1480">
        <f t="shared" ca="1" si="107"/>
        <v>3.0228282896216476</v>
      </c>
      <c r="X208" s="384">
        <f t="shared" ca="1" si="108"/>
        <v>4154.7287812930108</v>
      </c>
      <c r="Y208" s="692" t="str">
        <f t="shared" ca="1" si="91"/>
        <v xml:space="preserve"> </v>
      </c>
      <c r="AA208" s="1484">
        <f ca="1">IF($A208&gt;Endyr,0,VLOOKUP($A208,Tariff_Table,Tariff!$I$33))</f>
        <v>2.2999999999999998</v>
      </c>
      <c r="AB208" s="1480">
        <f t="shared" ca="1" si="92"/>
        <v>1.509977097770796</v>
      </c>
      <c r="AC208" s="1483">
        <f t="shared" ca="1" si="109"/>
        <v>3.4729473248728304</v>
      </c>
      <c r="AD208" s="1480">
        <f t="shared" ca="1" si="110"/>
        <v>3.0228282896216476</v>
      </c>
      <c r="AE208" s="113">
        <f t="shared" ca="1" si="111"/>
        <v>1.0649999999999999</v>
      </c>
      <c r="AF208" s="1483">
        <f t="shared" ca="1" si="112"/>
        <v>9.8573928844989815</v>
      </c>
      <c r="AG208" s="334">
        <f ca="1">VLOOKUP($A208,Plant_Table,'Plant Operations'!$M$270)</f>
        <v>298980.864</v>
      </c>
      <c r="AH208" s="1481">
        <f t="shared" ca="1" si="113"/>
        <v>2947.1718413949575</v>
      </c>
      <c r="AI208" s="1480">
        <f t="shared" ca="1" si="114"/>
        <v>3.0228282896216476</v>
      </c>
      <c r="AJ208" s="335">
        <f t="shared" ca="1" si="115"/>
        <v>974.97163550888968</v>
      </c>
      <c r="AK208" s="698" t="str">
        <f t="shared" ca="1" si="93"/>
        <v xml:space="preserve"> </v>
      </c>
      <c r="AM208" s="697">
        <f ca="1">IF($A208&gt;Endyr,0,VLOOKUP($A208,Tariff_Table,Tariff!$L$33))</f>
        <v>1.21</v>
      </c>
      <c r="AN208" s="1504">
        <f ca="1">VLOOKUP($A208,Curves_Table,Escalation!$Z$291)</f>
        <v>1.6153442667317042</v>
      </c>
      <c r="AO208" s="331">
        <f t="shared" ca="1" si="116"/>
        <v>1.9545665627453619</v>
      </c>
      <c r="AP208" s="331">
        <f ca="1">IF($A208&gt;Endyr,0,VLOOKUP($A208,Tariff_Table,Tariff!$M$33))</f>
        <v>0.25</v>
      </c>
      <c r="AQ208" s="331">
        <f t="shared" ca="1" si="117"/>
        <v>2.2045665627453621</v>
      </c>
      <c r="AR208" s="331">
        <f t="shared" ca="1" si="118"/>
        <v>1.46</v>
      </c>
      <c r="AS208" s="1508">
        <f t="shared" ca="1" si="119"/>
        <v>1.509977097770796</v>
      </c>
    </row>
    <row r="209" spans="1:45">
      <c r="A209" s="672">
        <f t="shared" si="94"/>
        <v>42948</v>
      </c>
      <c r="C209" s="1484">
        <f ca="1">IF($A209&gt;Endyr,0,VLOOKUP($A209,Tariff_Table,Tariff!$G$33))</f>
        <v>7420.61</v>
      </c>
      <c r="D209" s="1480">
        <f ca="1">VLOOKUP($A209,Curves_Table,Escalation!$V$291)</f>
        <v>1.6825466987361488</v>
      </c>
      <c r="E209" s="1483">
        <f t="shared" ca="1" si="95"/>
        <v>12485.522858108452</v>
      </c>
      <c r="F209" s="1480">
        <f ca="1">IF(Assm!$L$74=0,VLOOKUP($A209,Curves_Table,Escalation!$D$291),VLOOKUP($A209,Curves_Table,Escalation!$E$291))</f>
        <v>3.0278100979355456</v>
      </c>
      <c r="G209" s="113">
        <f ca="1">IF($A209&lt;EE_Date,VLOOKUP($A209,Curves_Table,Escalation!$D$291),Exch)</f>
        <v>1.0649999999999999</v>
      </c>
      <c r="H209" s="1483">
        <f t="shared" ca="1" si="96"/>
        <v>35496.518486183893</v>
      </c>
      <c r="I209" s="330">
        <f ca="1">VLOOKUP($A209,Plant_Table,'Plant Operations'!$C$270)</f>
        <v>480</v>
      </c>
      <c r="J209" s="1481">
        <f t="shared" ca="1" si="97"/>
        <v>17038.328873368271</v>
      </c>
      <c r="K209" s="1480">
        <f t="shared" ca="1" si="98"/>
        <v>3.0278100979355456</v>
      </c>
      <c r="L209" s="384">
        <f t="shared" ca="1" si="99"/>
        <v>5627.2779078798667</v>
      </c>
      <c r="M209" s="692" t="str">
        <f t="shared" ca="1" si="90"/>
        <v xml:space="preserve"> </v>
      </c>
      <c r="O209" s="1482">
        <f ca="1">IF($A209&gt;Endyr,0,VLOOKUP($A209,Tariff_Table,Tariff!$H$33))</f>
        <v>6104.93</v>
      </c>
      <c r="P209" s="1480">
        <f t="shared" ca="1" si="100"/>
        <v>1.509977097770796</v>
      </c>
      <c r="Q209" s="1481">
        <f t="shared" ca="1" si="101"/>
        <v>9218.3044834938664</v>
      </c>
      <c r="R209" s="1480">
        <f t="shared" ca="1" si="102"/>
        <v>3.0278100979355456</v>
      </c>
      <c r="S209" s="113">
        <f t="shared" ca="1" si="103"/>
        <v>1.0649999999999999</v>
      </c>
      <c r="T209" s="1481">
        <f t="shared" ca="1" si="104"/>
        <v>26207.770329546707</v>
      </c>
      <c r="U209" s="330">
        <f t="shared" ca="1" si="105"/>
        <v>480</v>
      </c>
      <c r="V209" s="1481">
        <f t="shared" ca="1" si="106"/>
        <v>12579.729758182419</v>
      </c>
      <c r="W209" s="1480">
        <f t="shared" ca="1" si="107"/>
        <v>3.0278100979355456</v>
      </c>
      <c r="X209" s="384">
        <f t="shared" ca="1" si="108"/>
        <v>4154.7287812930099</v>
      </c>
      <c r="Y209" s="692" t="str">
        <f t="shared" ca="1" si="91"/>
        <v xml:space="preserve"> </v>
      </c>
      <c r="AA209" s="1484">
        <f ca="1">IF($A209&gt;Endyr,0,VLOOKUP($A209,Tariff_Table,Tariff!$I$33))</f>
        <v>2.2999999999999998</v>
      </c>
      <c r="AB209" s="1480">
        <f t="shared" ca="1" si="92"/>
        <v>1.509977097770796</v>
      </c>
      <c r="AC209" s="1483">
        <f t="shared" ca="1" si="109"/>
        <v>3.4729473248728304</v>
      </c>
      <c r="AD209" s="1480">
        <f t="shared" ca="1" si="110"/>
        <v>3.0278100979355456</v>
      </c>
      <c r="AE209" s="113">
        <f t="shared" ca="1" si="111"/>
        <v>1.0649999999999999</v>
      </c>
      <c r="AF209" s="1483">
        <f t="shared" ca="1" si="112"/>
        <v>9.8736384787306992</v>
      </c>
      <c r="AG209" s="334">
        <f ca="1">VLOOKUP($A209,Plant_Table,'Plant Operations'!$M$270)</f>
        <v>298980.864</v>
      </c>
      <c r="AH209" s="1481">
        <f t="shared" ca="1" si="113"/>
        <v>2952.0289631945502</v>
      </c>
      <c r="AI209" s="1480">
        <f t="shared" ca="1" si="114"/>
        <v>3.0278100979355456</v>
      </c>
      <c r="AJ209" s="335">
        <f t="shared" ca="1" si="115"/>
        <v>974.97163550888968</v>
      </c>
      <c r="AK209" s="698" t="str">
        <f t="shared" ca="1" si="93"/>
        <v xml:space="preserve"> </v>
      </c>
      <c r="AM209" s="697">
        <f ca="1">IF($A209&gt;Endyr,0,VLOOKUP($A209,Tariff_Table,Tariff!$L$33))</f>
        <v>1.21</v>
      </c>
      <c r="AN209" s="1504">
        <f ca="1">VLOOKUP($A209,Curves_Table,Escalation!$Z$291)</f>
        <v>1.6153442667317042</v>
      </c>
      <c r="AO209" s="331">
        <f t="shared" ca="1" si="116"/>
        <v>1.9545665627453619</v>
      </c>
      <c r="AP209" s="331">
        <f ca="1">IF($A209&gt;Endyr,0,VLOOKUP($A209,Tariff_Table,Tariff!$M$33))</f>
        <v>0.25</v>
      </c>
      <c r="AQ209" s="331">
        <f t="shared" ca="1" si="117"/>
        <v>2.2045665627453621</v>
      </c>
      <c r="AR209" s="331">
        <f t="shared" ca="1" si="118"/>
        <v>1.46</v>
      </c>
      <c r="AS209" s="1508">
        <f t="shared" ca="1" si="119"/>
        <v>1.509977097770796</v>
      </c>
    </row>
    <row r="210" spans="1:45">
      <c r="A210" s="672">
        <f t="shared" si="94"/>
        <v>42979</v>
      </c>
      <c r="C210" s="1484">
        <f ca="1">IF($A210&gt;Endyr,0,VLOOKUP($A210,Tariff_Table,Tariff!$G$33))</f>
        <v>7420.61</v>
      </c>
      <c r="D210" s="1480">
        <f ca="1">VLOOKUP($A210,Curves_Table,Escalation!$V$291)</f>
        <v>1.6825466987361488</v>
      </c>
      <c r="E210" s="1483">
        <f t="shared" ca="1" si="95"/>
        <v>12485.522858108452</v>
      </c>
      <c r="F210" s="1480">
        <f ca="1">IF(Assm!$L$74=0,VLOOKUP($A210,Curves_Table,Escalation!$D$291),VLOOKUP($A210,Curves_Table,Escalation!$E$291))</f>
        <v>3.0328001165782146</v>
      </c>
      <c r="G210" s="113">
        <f ca="1">IF($A210&lt;EE_Date,VLOOKUP($A210,Curves_Table,Escalation!$D$291),Exch)</f>
        <v>1.0649999999999999</v>
      </c>
      <c r="H210" s="1483">
        <f t="shared" ca="1" si="96"/>
        <v>35555.018947991812</v>
      </c>
      <c r="I210" s="330">
        <f ca="1">VLOOKUP($A210,Plant_Table,'Plant Operations'!$C$270)</f>
        <v>480</v>
      </c>
      <c r="J210" s="1481">
        <f t="shared" ca="1" si="97"/>
        <v>17066.40909503607</v>
      </c>
      <c r="K210" s="1480">
        <f t="shared" ca="1" si="98"/>
        <v>3.0328001165782146</v>
      </c>
      <c r="L210" s="384">
        <f t="shared" ca="1" si="99"/>
        <v>5627.2779078798658</v>
      </c>
      <c r="M210" s="692" t="str">
        <f t="shared" ca="1" si="90"/>
        <v xml:space="preserve"> </v>
      </c>
      <c r="O210" s="1482">
        <f ca="1">IF($A210&gt;Endyr,0,VLOOKUP($A210,Tariff_Table,Tariff!$H$33))</f>
        <v>6104.93</v>
      </c>
      <c r="P210" s="1480">
        <f t="shared" ca="1" si="100"/>
        <v>1.509977097770796</v>
      </c>
      <c r="Q210" s="1481">
        <f t="shared" ca="1" si="101"/>
        <v>9218.3044834938664</v>
      </c>
      <c r="R210" s="1480">
        <f t="shared" ca="1" si="102"/>
        <v>3.0328001165782146</v>
      </c>
      <c r="S210" s="113">
        <f t="shared" ca="1" si="103"/>
        <v>1.0649999999999999</v>
      </c>
      <c r="T210" s="1481">
        <f t="shared" ca="1" si="104"/>
        <v>26250.962358867302</v>
      </c>
      <c r="U210" s="330">
        <f t="shared" ca="1" si="105"/>
        <v>480</v>
      </c>
      <c r="V210" s="1481">
        <f t="shared" ca="1" si="106"/>
        <v>12600.461932256305</v>
      </c>
      <c r="W210" s="1480">
        <f t="shared" ca="1" si="107"/>
        <v>3.0328001165782146</v>
      </c>
      <c r="X210" s="384">
        <f t="shared" ca="1" si="108"/>
        <v>4154.7287812930099</v>
      </c>
      <c r="Y210" s="692" t="str">
        <f t="shared" ca="1" si="91"/>
        <v xml:space="preserve"> </v>
      </c>
      <c r="AA210" s="1484">
        <f ca="1">IF($A210&gt;Endyr,0,VLOOKUP($A210,Tariff_Table,Tariff!$I$33))</f>
        <v>2.2999999999999998</v>
      </c>
      <c r="AB210" s="1480">
        <f t="shared" ca="1" si="92"/>
        <v>1.509977097770796</v>
      </c>
      <c r="AC210" s="1483">
        <f t="shared" ca="1" si="109"/>
        <v>3.4729473248728304</v>
      </c>
      <c r="AD210" s="1480">
        <f t="shared" ca="1" si="110"/>
        <v>3.0328001165782146</v>
      </c>
      <c r="AE210" s="113">
        <f t="shared" ca="1" si="111"/>
        <v>1.0649999999999999</v>
      </c>
      <c r="AF210" s="1483">
        <f t="shared" ca="1" si="112"/>
        <v>9.8899108467082808</v>
      </c>
      <c r="AG210" s="334">
        <f ca="1">VLOOKUP($A210,Plant_Table,'Plant Operations'!$M$270)</f>
        <v>289336.32000000001</v>
      </c>
      <c r="AH210" s="1481">
        <f t="shared" ca="1" si="113"/>
        <v>2861.510409514658</v>
      </c>
      <c r="AI210" s="1480">
        <f t="shared" ca="1" si="114"/>
        <v>3.0328001165782146</v>
      </c>
      <c r="AJ210" s="335">
        <f t="shared" ca="1" si="115"/>
        <v>943.52093758924809</v>
      </c>
      <c r="AK210" s="698" t="str">
        <f t="shared" ca="1" si="93"/>
        <v xml:space="preserve"> </v>
      </c>
      <c r="AM210" s="697">
        <f ca="1">IF($A210&gt;Endyr,0,VLOOKUP($A210,Tariff_Table,Tariff!$L$33))</f>
        <v>1.21</v>
      </c>
      <c r="AN210" s="1504">
        <f ca="1">VLOOKUP($A210,Curves_Table,Escalation!$Z$291)</f>
        <v>1.6153442667317042</v>
      </c>
      <c r="AO210" s="331">
        <f t="shared" ca="1" si="116"/>
        <v>1.9545665627453619</v>
      </c>
      <c r="AP210" s="331">
        <f ca="1">IF($A210&gt;Endyr,0,VLOOKUP($A210,Tariff_Table,Tariff!$M$33))</f>
        <v>0.25</v>
      </c>
      <c r="AQ210" s="331">
        <f t="shared" ca="1" si="117"/>
        <v>2.2045665627453621</v>
      </c>
      <c r="AR210" s="331">
        <f t="shared" ca="1" si="118"/>
        <v>1.46</v>
      </c>
      <c r="AS210" s="1508">
        <f t="shared" ca="1" si="119"/>
        <v>1.509977097770796</v>
      </c>
    </row>
    <row r="211" spans="1:45">
      <c r="A211" s="672">
        <f t="shared" si="94"/>
        <v>43009</v>
      </c>
      <c r="C211" s="1484">
        <f ca="1">IF($A211&gt;Endyr,0,VLOOKUP($A211,Tariff_Table,Tariff!$G$33))</f>
        <v>7420.61</v>
      </c>
      <c r="D211" s="1480">
        <f ca="1">VLOOKUP($A211,Curves_Table,Escalation!$V$291)</f>
        <v>1.6825466987361488</v>
      </c>
      <c r="E211" s="1483">
        <f t="shared" ca="1" si="95"/>
        <v>12485.522858108452</v>
      </c>
      <c r="F211" s="1480">
        <f ca="1">IF(Assm!$L$74=0,VLOOKUP($A211,Curves_Table,Escalation!$D$291),VLOOKUP($A211,Curves_Table,Escalation!$E$291))</f>
        <v>3.0377983590807851</v>
      </c>
      <c r="G211" s="113">
        <f ca="1">IF($A211&lt;EE_Date,VLOOKUP($A211,Curves_Table,Escalation!$D$291),Exch)</f>
        <v>1.0649999999999999</v>
      </c>
      <c r="H211" s="1483">
        <f t="shared" ca="1" si="96"/>
        <v>35613.615822185435</v>
      </c>
      <c r="I211" s="330">
        <f ca="1">VLOOKUP($A211,Plant_Table,'Plant Operations'!$C$270)</f>
        <v>480</v>
      </c>
      <c r="J211" s="1481">
        <f t="shared" ca="1" si="97"/>
        <v>17094.535594649009</v>
      </c>
      <c r="K211" s="1480">
        <f t="shared" ca="1" si="98"/>
        <v>3.0377983590807851</v>
      </c>
      <c r="L211" s="384">
        <f t="shared" ca="1" si="99"/>
        <v>5627.2779078798658</v>
      </c>
      <c r="M211" s="692" t="str">
        <f t="shared" ca="1" si="90"/>
        <v xml:space="preserve"> </v>
      </c>
      <c r="O211" s="1482">
        <f ca="1">IF($A211&gt;Endyr,0,VLOOKUP($A211,Tariff_Table,Tariff!$H$33))</f>
        <v>6104.93</v>
      </c>
      <c r="P211" s="1480">
        <f t="shared" ca="1" si="100"/>
        <v>1.509977097770796</v>
      </c>
      <c r="Q211" s="1481">
        <f t="shared" ca="1" si="101"/>
        <v>9218.3044834938664</v>
      </c>
      <c r="R211" s="1480">
        <f t="shared" ca="1" si="102"/>
        <v>3.0377983590807851</v>
      </c>
      <c r="S211" s="113">
        <f t="shared" ca="1" si="103"/>
        <v>1.0649999999999999</v>
      </c>
      <c r="T211" s="1481">
        <f t="shared" ca="1" si="104"/>
        <v>26294.22557132837</v>
      </c>
      <c r="U211" s="330">
        <f t="shared" ca="1" si="105"/>
        <v>480</v>
      </c>
      <c r="V211" s="1481">
        <f t="shared" ca="1" si="106"/>
        <v>12621.228274237617</v>
      </c>
      <c r="W211" s="1480">
        <f t="shared" ca="1" si="107"/>
        <v>3.0377983590807851</v>
      </c>
      <c r="X211" s="384">
        <f t="shared" ca="1" si="108"/>
        <v>4154.7287812930108</v>
      </c>
      <c r="Y211" s="692" t="str">
        <f t="shared" ca="1" si="91"/>
        <v xml:space="preserve"> </v>
      </c>
      <c r="AA211" s="1484">
        <f ca="1">IF($A211&gt;Endyr,0,VLOOKUP($A211,Tariff_Table,Tariff!$I$33))</f>
        <v>2.2999999999999998</v>
      </c>
      <c r="AB211" s="1480">
        <f t="shared" ca="1" si="92"/>
        <v>1.509977097770796</v>
      </c>
      <c r="AC211" s="1483">
        <f t="shared" ca="1" si="109"/>
        <v>3.4729473248728304</v>
      </c>
      <c r="AD211" s="1480">
        <f t="shared" ca="1" si="110"/>
        <v>3.0377983590807851</v>
      </c>
      <c r="AE211" s="113">
        <f t="shared" ca="1" si="111"/>
        <v>1.0649999999999999</v>
      </c>
      <c r="AF211" s="1483">
        <f t="shared" ca="1" si="112"/>
        <v>9.9062100325565137</v>
      </c>
      <c r="AG211" s="334">
        <f ca="1">VLOOKUP($A211,Plant_Table,'Plant Operations'!$M$270)</f>
        <v>298980.864</v>
      </c>
      <c r="AH211" s="1481">
        <f t="shared" ca="1" si="113"/>
        <v>2961.7672344992147</v>
      </c>
      <c r="AI211" s="1480">
        <f t="shared" ca="1" si="114"/>
        <v>3.0377983590807851</v>
      </c>
      <c r="AJ211" s="335">
        <f t="shared" ca="1" si="115"/>
        <v>974.97163550888979</v>
      </c>
      <c r="AK211" s="698" t="str">
        <f t="shared" ca="1" si="93"/>
        <v xml:space="preserve"> </v>
      </c>
      <c r="AM211" s="697">
        <f ca="1">IF($A211&gt;Endyr,0,VLOOKUP($A211,Tariff_Table,Tariff!$L$33))</f>
        <v>1.21</v>
      </c>
      <c r="AN211" s="1504">
        <f ca="1">VLOOKUP($A211,Curves_Table,Escalation!$Z$291)</f>
        <v>1.6153442667317042</v>
      </c>
      <c r="AO211" s="331">
        <f t="shared" ca="1" si="116"/>
        <v>1.9545665627453619</v>
      </c>
      <c r="AP211" s="331">
        <f ca="1">IF($A211&gt;Endyr,0,VLOOKUP($A211,Tariff_Table,Tariff!$M$33))</f>
        <v>0.25</v>
      </c>
      <c r="AQ211" s="331">
        <f t="shared" ca="1" si="117"/>
        <v>2.2045665627453621</v>
      </c>
      <c r="AR211" s="331">
        <f t="shared" ca="1" si="118"/>
        <v>1.46</v>
      </c>
      <c r="AS211" s="1508">
        <f t="shared" ca="1" si="119"/>
        <v>1.509977097770796</v>
      </c>
    </row>
    <row r="212" spans="1:45">
      <c r="A212" s="672">
        <f t="shared" si="94"/>
        <v>43040</v>
      </c>
      <c r="C212" s="1484">
        <f ca="1">IF($A212&gt;Endyr,0,VLOOKUP($A212,Tariff_Table,Tariff!$G$33))</f>
        <v>7420.61</v>
      </c>
      <c r="D212" s="1480">
        <f ca="1">VLOOKUP($A212,Curves_Table,Escalation!$V$291)</f>
        <v>1.6825466987361488</v>
      </c>
      <c r="E212" s="1483">
        <f t="shared" ca="1" si="95"/>
        <v>12485.522858108452</v>
      </c>
      <c r="F212" s="1480">
        <f ca="1">IF(Assm!$L$74=0,VLOOKUP($A212,Curves_Table,Escalation!$D$291),VLOOKUP($A212,Curves_Table,Escalation!$E$291))</f>
        <v>3.042804838996688</v>
      </c>
      <c r="G212" s="113">
        <f ca="1">IF($A212&lt;EE_Date,VLOOKUP($A212,Curves_Table,Escalation!$D$291),Exch)</f>
        <v>1.0649999999999999</v>
      </c>
      <c r="H212" s="1483">
        <f t="shared" ca="1" si="96"/>
        <v>35672.309267658362</v>
      </c>
      <c r="I212" s="330">
        <f ca="1">VLOOKUP($A212,Plant_Table,'Plant Operations'!$C$270)</f>
        <v>480</v>
      </c>
      <c r="J212" s="1481">
        <f t="shared" ca="1" si="97"/>
        <v>17122.708448476013</v>
      </c>
      <c r="K212" s="1480">
        <f t="shared" ca="1" si="98"/>
        <v>3.042804838996688</v>
      </c>
      <c r="L212" s="384">
        <f t="shared" ca="1" si="99"/>
        <v>5627.2779078798649</v>
      </c>
      <c r="M212" s="692" t="str">
        <f t="shared" ca="1" si="90"/>
        <v xml:space="preserve"> </v>
      </c>
      <c r="O212" s="1482">
        <f ca="1">IF($A212&gt;Endyr,0,VLOOKUP($A212,Tariff_Table,Tariff!$H$33))</f>
        <v>6104.93</v>
      </c>
      <c r="P212" s="1480">
        <f t="shared" ca="1" si="100"/>
        <v>1.509977097770796</v>
      </c>
      <c r="Q212" s="1481">
        <f t="shared" ca="1" si="101"/>
        <v>9218.3044834938664</v>
      </c>
      <c r="R212" s="1480">
        <f t="shared" ca="1" si="102"/>
        <v>3.042804838996688</v>
      </c>
      <c r="S212" s="113">
        <f t="shared" ca="1" si="103"/>
        <v>1.0649999999999999</v>
      </c>
      <c r="T212" s="1481">
        <f t="shared" ca="1" si="104"/>
        <v>26337.560084244134</v>
      </c>
      <c r="U212" s="330">
        <f t="shared" ca="1" si="105"/>
        <v>480</v>
      </c>
      <c r="V212" s="1481">
        <f t="shared" ca="1" si="106"/>
        <v>12642.028840437186</v>
      </c>
      <c r="W212" s="1480">
        <f t="shared" ca="1" si="107"/>
        <v>3.042804838996688</v>
      </c>
      <c r="X212" s="384">
        <f t="shared" ca="1" si="108"/>
        <v>4154.7287812930108</v>
      </c>
      <c r="Y212" s="692" t="str">
        <f t="shared" ca="1" si="91"/>
        <v xml:space="preserve"> </v>
      </c>
      <c r="AA212" s="1484">
        <f ca="1">IF($A212&gt;Endyr,0,VLOOKUP($A212,Tariff_Table,Tariff!$I$33))</f>
        <v>2.2999999999999998</v>
      </c>
      <c r="AB212" s="1480">
        <f t="shared" ca="1" si="92"/>
        <v>1.509977097770796</v>
      </c>
      <c r="AC212" s="1483">
        <f t="shared" ca="1" si="109"/>
        <v>3.4729473248728304</v>
      </c>
      <c r="AD212" s="1480">
        <f t="shared" ca="1" si="110"/>
        <v>3.042804838996688</v>
      </c>
      <c r="AE212" s="113">
        <f t="shared" ca="1" si="111"/>
        <v>1.0649999999999999</v>
      </c>
      <c r="AF212" s="1483">
        <f t="shared" ca="1" si="112"/>
        <v>9.9225360804729128</v>
      </c>
      <c r="AG212" s="334">
        <f ca="1">VLOOKUP($A212,Plant_Table,'Plant Operations'!$M$270)</f>
        <v>289336.32000000001</v>
      </c>
      <c r="AH212" s="1481">
        <f t="shared" ca="1" si="113"/>
        <v>2870.9500745912565</v>
      </c>
      <c r="AI212" s="1480">
        <f t="shared" ca="1" si="114"/>
        <v>3.042804838996688</v>
      </c>
      <c r="AJ212" s="335">
        <f t="shared" ca="1" si="115"/>
        <v>943.52093758924821</v>
      </c>
      <c r="AK212" s="698" t="str">
        <f t="shared" ca="1" si="93"/>
        <v xml:space="preserve"> </v>
      </c>
      <c r="AM212" s="697">
        <f ca="1">IF($A212&gt;Endyr,0,VLOOKUP($A212,Tariff_Table,Tariff!$L$33))</f>
        <v>1.21</v>
      </c>
      <c r="AN212" s="1504">
        <f ca="1">VLOOKUP($A212,Curves_Table,Escalation!$Z$291)</f>
        <v>1.6153442667317042</v>
      </c>
      <c r="AO212" s="331">
        <f t="shared" ca="1" si="116"/>
        <v>1.9545665627453619</v>
      </c>
      <c r="AP212" s="331">
        <f ca="1">IF($A212&gt;Endyr,0,VLOOKUP($A212,Tariff_Table,Tariff!$M$33))</f>
        <v>0.25</v>
      </c>
      <c r="AQ212" s="331">
        <f t="shared" ca="1" si="117"/>
        <v>2.2045665627453621</v>
      </c>
      <c r="AR212" s="331">
        <f t="shared" ca="1" si="118"/>
        <v>1.46</v>
      </c>
      <c r="AS212" s="1508">
        <f t="shared" ca="1" si="119"/>
        <v>1.509977097770796</v>
      </c>
    </row>
    <row r="213" spans="1:45">
      <c r="A213" s="672">
        <f t="shared" si="94"/>
        <v>43070</v>
      </c>
      <c r="C213" s="1484">
        <f ca="1">IF($A213&gt;Endyr,0,VLOOKUP($A213,Tariff_Table,Tariff!$G$33))</f>
        <v>7420.61</v>
      </c>
      <c r="D213" s="1480">
        <f ca="1">VLOOKUP($A213,Curves_Table,Escalation!$V$291)</f>
        <v>1.6825466987361488</v>
      </c>
      <c r="E213" s="1483">
        <f t="shared" ca="1" si="95"/>
        <v>12485.522858108452</v>
      </c>
      <c r="F213" s="1480">
        <f ca="1">IF(Assm!$L$74=0,VLOOKUP($A213,Curves_Table,Escalation!$D$291),VLOOKUP($A213,Curves_Table,Escalation!$E$291))</f>
        <v>3.0478195699016921</v>
      </c>
      <c r="G213" s="113">
        <f ca="1">IF($A213&lt;EE_Date,VLOOKUP($A213,Curves_Table,Escalation!$D$291),Exch)</f>
        <v>1.0649999999999999</v>
      </c>
      <c r="H213" s="1483">
        <f t="shared" ca="1" si="96"/>
        <v>35731.099443566054</v>
      </c>
      <c r="I213" s="330">
        <f ca="1">VLOOKUP($A213,Plant_Table,'Plant Operations'!$C$270)</f>
        <v>480</v>
      </c>
      <c r="J213" s="1481">
        <f t="shared" ca="1" si="97"/>
        <v>17150.927732911707</v>
      </c>
      <c r="K213" s="1480">
        <f t="shared" ca="1" si="98"/>
        <v>3.0478195699016921</v>
      </c>
      <c r="L213" s="384">
        <f t="shared" ca="1" si="99"/>
        <v>5627.2779078798658</v>
      </c>
      <c r="M213" s="692">
        <f t="shared" ca="1" si="90"/>
        <v>66986.414963270727</v>
      </c>
      <c r="O213" s="1482">
        <f ca="1">IF($A213&gt;Endyr,0,VLOOKUP($A213,Tariff_Table,Tariff!$H$33))</f>
        <v>6104.93</v>
      </c>
      <c r="P213" s="1480">
        <f t="shared" ca="1" si="100"/>
        <v>1.509977097770796</v>
      </c>
      <c r="Q213" s="1481">
        <f t="shared" ca="1" si="101"/>
        <v>9218.3044834938664</v>
      </c>
      <c r="R213" s="1480">
        <f t="shared" ca="1" si="102"/>
        <v>3.0478195699016921</v>
      </c>
      <c r="S213" s="113">
        <f t="shared" ca="1" si="103"/>
        <v>1.0649999999999999</v>
      </c>
      <c r="T213" s="1481">
        <f t="shared" ca="1" si="104"/>
        <v>26380.966015122176</v>
      </c>
      <c r="U213" s="330">
        <f t="shared" ca="1" si="105"/>
        <v>480</v>
      </c>
      <c r="V213" s="1481">
        <f t="shared" ca="1" si="106"/>
        <v>12662.863687258645</v>
      </c>
      <c r="W213" s="1480">
        <f t="shared" ca="1" si="107"/>
        <v>3.0478195699016921</v>
      </c>
      <c r="X213" s="384">
        <f t="shared" ca="1" si="108"/>
        <v>4154.7287812930108</v>
      </c>
      <c r="Y213" s="692">
        <f t="shared" ca="1" si="91"/>
        <v>49633.57142965254</v>
      </c>
      <c r="AA213" s="1484">
        <f ca="1">IF($A213&gt;Endyr,0,VLOOKUP($A213,Tariff_Table,Tariff!$I$33))</f>
        <v>2.2999999999999998</v>
      </c>
      <c r="AB213" s="1480">
        <f t="shared" ca="1" si="92"/>
        <v>1.509977097770796</v>
      </c>
      <c r="AC213" s="1483">
        <f t="shared" ca="1" si="109"/>
        <v>3.4729473248728304</v>
      </c>
      <c r="AD213" s="1480">
        <f t="shared" ca="1" si="110"/>
        <v>3.0478195699016921</v>
      </c>
      <c r="AE213" s="113">
        <f t="shared" ca="1" si="111"/>
        <v>1.0649999999999999</v>
      </c>
      <c r="AF213" s="1483">
        <f t="shared" ca="1" si="112"/>
        <v>9.9388890347278345</v>
      </c>
      <c r="AG213" s="334">
        <f ca="1">VLOOKUP($A213,Plant_Table,'Plant Operations'!$M$270)</f>
        <v>298980.864</v>
      </c>
      <c r="AH213" s="1481">
        <f t="shared" ca="1" si="113"/>
        <v>2971.5376308030541</v>
      </c>
      <c r="AI213" s="1480">
        <f t="shared" ca="1" si="114"/>
        <v>3.0478195699016921</v>
      </c>
      <c r="AJ213" s="335">
        <f t="shared" ca="1" si="115"/>
        <v>974.9716355088899</v>
      </c>
      <c r="AK213" s="698">
        <f t="shared" ca="1" si="93"/>
        <v>11432.961047079445</v>
      </c>
      <c r="AM213" s="697">
        <f ca="1">IF($A213&gt;Endyr,0,VLOOKUP($A213,Tariff_Table,Tariff!$L$33))</f>
        <v>1.21</v>
      </c>
      <c r="AN213" s="1504">
        <f ca="1">VLOOKUP($A213,Curves_Table,Escalation!$Z$291)</f>
        <v>1.6153442667317042</v>
      </c>
      <c r="AO213" s="331">
        <f t="shared" ca="1" si="116"/>
        <v>1.9545665627453619</v>
      </c>
      <c r="AP213" s="331">
        <f ca="1">IF($A213&gt;Endyr,0,VLOOKUP($A213,Tariff_Table,Tariff!$M$33))</f>
        <v>0.25</v>
      </c>
      <c r="AQ213" s="331">
        <f t="shared" ca="1" si="117"/>
        <v>2.2045665627453621</v>
      </c>
      <c r="AR213" s="331">
        <f t="shared" ca="1" si="118"/>
        <v>1.46</v>
      </c>
      <c r="AS213" s="1508">
        <f t="shared" ca="1" si="119"/>
        <v>1.509977097770796</v>
      </c>
    </row>
    <row r="214" spans="1:45">
      <c r="A214" s="672">
        <f t="shared" si="94"/>
        <v>43101</v>
      </c>
      <c r="C214" s="1484">
        <f ca="1">IF($A214&gt;Endyr,0,VLOOKUP($A214,Tariff_Table,Tariff!$G$33))</f>
        <v>7420.61</v>
      </c>
      <c r="D214" s="1480">
        <f ca="1">VLOOKUP($A214,Curves_Table,Escalation!$V$291)</f>
        <v>1.6825466987361488</v>
      </c>
      <c r="E214" s="1483">
        <f t="shared" ca="1" si="95"/>
        <v>12485.522858108452</v>
      </c>
      <c r="F214" s="1480">
        <f ca="1">IF(Assm!$L$74=0,VLOOKUP($A214,Curves_Table,Escalation!$D$291),VLOOKUP($A214,Curves_Table,Escalation!$E$291))</f>
        <v>3.0528509811596467</v>
      </c>
      <c r="G214" s="113">
        <f ca="1">IF($A214&lt;EE_Date,VLOOKUP($A214,Curves_Table,Escalation!$D$291),Exch)</f>
        <v>1.0649999999999999</v>
      </c>
      <c r="H214" s="1483">
        <f t="shared" ca="1" si="96"/>
        <v>35790.085171518862</v>
      </c>
      <c r="I214" s="330">
        <f ca="1">VLOOKUP($A214,Plant_Table,'Plant Operations'!$C$270)</f>
        <v>480</v>
      </c>
      <c r="J214" s="1481">
        <f t="shared" ca="1" si="97"/>
        <v>17179.240882329053</v>
      </c>
      <c r="K214" s="1480">
        <f t="shared" ca="1" si="98"/>
        <v>3.0528509811596467</v>
      </c>
      <c r="L214" s="384">
        <f t="shared" ca="1" si="99"/>
        <v>5627.2779078798658</v>
      </c>
      <c r="M214" s="692" t="str">
        <f t="shared" ca="1" si="90"/>
        <v xml:space="preserve"> </v>
      </c>
      <c r="O214" s="1482">
        <f ca="1">IF($A214&gt;Endyr,0,VLOOKUP($A214,Tariff_Table,Tariff!$H$33))</f>
        <v>6104.93</v>
      </c>
      <c r="P214" s="1480">
        <f t="shared" ca="1" si="100"/>
        <v>1.509977097770796</v>
      </c>
      <c r="Q214" s="1481">
        <f t="shared" ca="1" si="101"/>
        <v>9218.3044834938664</v>
      </c>
      <c r="R214" s="1480">
        <f t="shared" ca="1" si="102"/>
        <v>3.0528509811596467</v>
      </c>
      <c r="S214" s="113">
        <f t="shared" ca="1" si="103"/>
        <v>1.0649999999999999</v>
      </c>
      <c r="T214" s="1481">
        <f t="shared" ca="1" si="104"/>
        <v>26424.516325880395</v>
      </c>
      <c r="U214" s="330">
        <f t="shared" ca="1" si="105"/>
        <v>480</v>
      </c>
      <c r="V214" s="1481">
        <f t="shared" ca="1" si="106"/>
        <v>12683.767836422589</v>
      </c>
      <c r="W214" s="1480">
        <f t="shared" ca="1" si="107"/>
        <v>3.0528509811596467</v>
      </c>
      <c r="X214" s="384">
        <f t="shared" ca="1" si="108"/>
        <v>4154.7287812930099</v>
      </c>
      <c r="Y214" s="692" t="str">
        <f t="shared" ca="1" si="91"/>
        <v xml:space="preserve"> </v>
      </c>
      <c r="AA214" s="1484">
        <f ca="1">IF($A214&gt;Endyr,0,VLOOKUP($A214,Tariff_Table,Tariff!$I$33))</f>
        <v>2.2999999999999998</v>
      </c>
      <c r="AB214" s="1480">
        <f t="shared" ca="1" si="92"/>
        <v>1.509977097770796</v>
      </c>
      <c r="AC214" s="1483">
        <f t="shared" ca="1" si="109"/>
        <v>3.4729473248728304</v>
      </c>
      <c r="AD214" s="1480">
        <f t="shared" ca="1" si="110"/>
        <v>3.0528509811596467</v>
      </c>
      <c r="AE214" s="113">
        <f t="shared" ca="1" si="111"/>
        <v>1.0649999999999999</v>
      </c>
      <c r="AF214" s="1483">
        <f t="shared" ca="1" si="112"/>
        <v>9.9552963833368917</v>
      </c>
      <c r="AG214" s="334">
        <f ca="1">VLOOKUP($A214,Plant_Table,'Plant Operations'!$M$270)</f>
        <v>298980.864</v>
      </c>
      <c r="AH214" s="1481">
        <f t="shared" ca="1" si="113"/>
        <v>2976.4431140661395</v>
      </c>
      <c r="AI214" s="1480">
        <f t="shared" ca="1" si="114"/>
        <v>3.0528509811596467</v>
      </c>
      <c r="AJ214" s="335">
        <f t="shared" ca="1" si="115"/>
        <v>974.97163550888979</v>
      </c>
      <c r="AK214" s="698" t="str">
        <f t="shared" ca="1" si="93"/>
        <v xml:space="preserve"> </v>
      </c>
      <c r="AM214" s="697">
        <f ca="1">IF($A214&gt;Endyr,0,VLOOKUP($A214,Tariff_Table,Tariff!$L$33))</f>
        <v>1.21</v>
      </c>
      <c r="AN214" s="1504">
        <f ca="1">VLOOKUP($A214,Curves_Table,Escalation!$Z$291)</f>
        <v>1.6153442667317042</v>
      </c>
      <c r="AO214" s="331">
        <f t="shared" ca="1" si="116"/>
        <v>1.9545665627453619</v>
      </c>
      <c r="AP214" s="331">
        <f ca="1">IF($A214&gt;Endyr,0,VLOOKUP($A214,Tariff_Table,Tariff!$M$33))</f>
        <v>0.25</v>
      </c>
      <c r="AQ214" s="331">
        <f t="shared" ca="1" si="117"/>
        <v>2.2045665627453621</v>
      </c>
      <c r="AR214" s="331">
        <f t="shared" ca="1" si="118"/>
        <v>1.46</v>
      </c>
      <c r="AS214" s="1508">
        <f t="shared" ca="1" si="119"/>
        <v>1.509977097770796</v>
      </c>
    </row>
    <row r="215" spans="1:45">
      <c r="A215" s="672">
        <f t="shared" si="94"/>
        <v>43132</v>
      </c>
      <c r="C215" s="1484">
        <f ca="1">IF($A215&gt;Endyr,0,VLOOKUP($A215,Tariff_Table,Tariff!$G$33))</f>
        <v>7420.61</v>
      </c>
      <c r="D215" s="1480">
        <f ca="1">VLOOKUP($A215,Curves_Table,Escalation!$V$291)</f>
        <v>1.6825466987361488</v>
      </c>
      <c r="E215" s="1483">
        <f t="shared" ca="1" si="95"/>
        <v>12485.522858108452</v>
      </c>
      <c r="F215" s="1480">
        <f ca="1">IF(Assm!$L$74=0,VLOOKUP($A215,Curves_Table,Escalation!$D$291),VLOOKUP($A215,Curves_Table,Escalation!$E$291))</f>
        <v>3.057890698388039</v>
      </c>
      <c r="G215" s="113">
        <f ca="1">IF($A215&lt;EE_Date,VLOOKUP($A215,Curves_Table,Escalation!$D$291),Exch)</f>
        <v>1.0649999999999999</v>
      </c>
      <c r="H215" s="1483">
        <f t="shared" ca="1" si="96"/>
        <v>35849.168274479889</v>
      </c>
      <c r="I215" s="330">
        <f ca="1">VLOOKUP($A215,Plant_Table,'Plant Operations'!$C$270)</f>
        <v>480</v>
      </c>
      <c r="J215" s="1481">
        <f t="shared" ca="1" si="97"/>
        <v>17207.600771750345</v>
      </c>
      <c r="K215" s="1480">
        <f t="shared" ca="1" si="98"/>
        <v>3.057890698388039</v>
      </c>
      <c r="L215" s="384">
        <f t="shared" ca="1" si="99"/>
        <v>5627.2779078798658</v>
      </c>
      <c r="M215" s="692" t="str">
        <f t="shared" ca="1" si="90"/>
        <v xml:space="preserve"> </v>
      </c>
      <c r="O215" s="1482">
        <f ca="1">IF($A215&gt;Endyr,0,VLOOKUP($A215,Tariff_Table,Tariff!$H$33))</f>
        <v>6104.93</v>
      </c>
      <c r="P215" s="1480">
        <f t="shared" ca="1" si="100"/>
        <v>1.509977097770796</v>
      </c>
      <c r="Q215" s="1481">
        <f t="shared" ca="1" si="101"/>
        <v>9218.3044834938664</v>
      </c>
      <c r="R215" s="1480">
        <f t="shared" ca="1" si="102"/>
        <v>3.057890698388039</v>
      </c>
      <c r="S215" s="113">
        <f t="shared" ca="1" si="103"/>
        <v>1.0649999999999999</v>
      </c>
      <c r="T215" s="1481">
        <f t="shared" ca="1" si="104"/>
        <v>26468.138530502019</v>
      </c>
      <c r="U215" s="330">
        <f t="shared" ca="1" si="105"/>
        <v>480</v>
      </c>
      <c r="V215" s="1481">
        <f t="shared" ca="1" si="106"/>
        <v>12704.706494640968</v>
      </c>
      <c r="W215" s="1480">
        <f t="shared" ca="1" si="107"/>
        <v>3.057890698388039</v>
      </c>
      <c r="X215" s="384">
        <f t="shared" ca="1" si="108"/>
        <v>4154.7287812930099</v>
      </c>
      <c r="Y215" s="692" t="str">
        <f t="shared" ca="1" si="91"/>
        <v xml:space="preserve"> </v>
      </c>
      <c r="AA215" s="1484">
        <f ca="1">IF($A215&gt;Endyr,0,VLOOKUP($A215,Tariff_Table,Tariff!$I$33))</f>
        <v>2.2999999999999998</v>
      </c>
      <c r="AB215" s="1480">
        <f t="shared" ca="1" si="92"/>
        <v>1.509977097770796</v>
      </c>
      <c r="AC215" s="1483">
        <f t="shared" ca="1" si="109"/>
        <v>3.4729473248728304</v>
      </c>
      <c r="AD215" s="1480">
        <f t="shared" ca="1" si="110"/>
        <v>3.057890698388039</v>
      </c>
      <c r="AE215" s="113">
        <f t="shared" ca="1" si="111"/>
        <v>1.0649999999999999</v>
      </c>
      <c r="AF215" s="1483">
        <f t="shared" ca="1" si="112"/>
        <v>9.9717308175777006</v>
      </c>
      <c r="AG215" s="334">
        <f ca="1">VLOOKUP($A215,Plant_Table,'Plant Operations'!$M$270)</f>
        <v>270047.23200000002</v>
      </c>
      <c r="AH215" s="1481">
        <f t="shared" ca="1" si="113"/>
        <v>2692.8383055359554</v>
      </c>
      <c r="AI215" s="1480">
        <f t="shared" ca="1" si="114"/>
        <v>3.057890698388039</v>
      </c>
      <c r="AJ215" s="335">
        <f t="shared" ca="1" si="115"/>
        <v>880.61954174996504</v>
      </c>
      <c r="AK215" s="698" t="str">
        <f t="shared" ca="1" si="93"/>
        <v xml:space="preserve"> </v>
      </c>
      <c r="AM215" s="697">
        <f ca="1">IF($A215&gt;Endyr,0,VLOOKUP($A215,Tariff_Table,Tariff!$L$33))</f>
        <v>1.21</v>
      </c>
      <c r="AN215" s="1504">
        <f ca="1">VLOOKUP($A215,Curves_Table,Escalation!$Z$291)</f>
        <v>1.6153442667317042</v>
      </c>
      <c r="AO215" s="331">
        <f t="shared" ca="1" si="116"/>
        <v>1.9545665627453619</v>
      </c>
      <c r="AP215" s="331">
        <f ca="1">IF($A215&gt;Endyr,0,VLOOKUP($A215,Tariff_Table,Tariff!$M$33))</f>
        <v>0.25</v>
      </c>
      <c r="AQ215" s="331">
        <f t="shared" ca="1" si="117"/>
        <v>2.2045665627453621</v>
      </c>
      <c r="AR215" s="331">
        <f t="shared" ca="1" si="118"/>
        <v>1.46</v>
      </c>
      <c r="AS215" s="1508">
        <f t="shared" ca="1" si="119"/>
        <v>1.509977097770796</v>
      </c>
    </row>
    <row r="216" spans="1:45">
      <c r="A216" s="672">
        <f t="shared" si="94"/>
        <v>43160</v>
      </c>
      <c r="C216" s="1484">
        <f ca="1">IF($A216&gt;Endyr,0,VLOOKUP($A216,Tariff_Table,Tariff!$G$33))</f>
        <v>7420.61</v>
      </c>
      <c r="D216" s="1480">
        <f ca="1">VLOOKUP($A216,Curves_Table,Escalation!$V$291)</f>
        <v>1.6825466987361488</v>
      </c>
      <c r="E216" s="1483">
        <f t="shared" ca="1" si="95"/>
        <v>12485.522858108452</v>
      </c>
      <c r="F216" s="1480">
        <f ca="1">IF(Assm!$L$74=0,VLOOKUP($A216,Curves_Table,Escalation!$D$291),VLOOKUP($A216,Curves_Table,Escalation!$E$291))</f>
        <v>3.0629387352985575</v>
      </c>
      <c r="G216" s="113">
        <f ca="1">IF($A216&lt;EE_Date,VLOOKUP($A216,Curves_Table,Escalation!$D$291),Exch)</f>
        <v>1.0649999999999999</v>
      </c>
      <c r="H216" s="1483">
        <f t="shared" ca="1" si="96"/>
        <v>35908.34891319806</v>
      </c>
      <c r="I216" s="330">
        <f ca="1">VLOOKUP($A216,Plant_Table,'Plant Operations'!$C$270)</f>
        <v>480</v>
      </c>
      <c r="J216" s="1481">
        <f t="shared" ca="1" si="97"/>
        <v>17236.007478335068</v>
      </c>
      <c r="K216" s="1480">
        <f t="shared" ca="1" si="98"/>
        <v>3.0629387352985575</v>
      </c>
      <c r="L216" s="384">
        <f t="shared" ca="1" si="99"/>
        <v>5627.2779078798658</v>
      </c>
      <c r="M216" s="692" t="str">
        <f t="shared" ca="1" si="90"/>
        <v xml:space="preserve"> </v>
      </c>
      <c r="O216" s="1482">
        <f ca="1">IF($A216&gt;Endyr,0,VLOOKUP($A216,Tariff_Table,Tariff!$H$33))</f>
        <v>6104.93</v>
      </c>
      <c r="P216" s="1480">
        <f t="shared" ca="1" si="100"/>
        <v>1.509977097770796</v>
      </c>
      <c r="Q216" s="1481">
        <f t="shared" ca="1" si="101"/>
        <v>9218.3044834938664</v>
      </c>
      <c r="R216" s="1480">
        <f t="shared" ca="1" si="102"/>
        <v>3.0629387352985575</v>
      </c>
      <c r="S216" s="113">
        <f t="shared" ca="1" si="103"/>
        <v>1.0649999999999999</v>
      </c>
      <c r="T216" s="1481">
        <f t="shared" ca="1" si="104"/>
        <v>26511.832747671106</v>
      </c>
      <c r="U216" s="330">
        <f t="shared" ca="1" si="105"/>
        <v>480</v>
      </c>
      <c r="V216" s="1481">
        <f t="shared" ca="1" si="106"/>
        <v>12725.679718882131</v>
      </c>
      <c r="W216" s="1480">
        <f t="shared" ca="1" si="107"/>
        <v>3.0629387352985575</v>
      </c>
      <c r="X216" s="384">
        <f t="shared" ca="1" si="108"/>
        <v>4154.7287812930108</v>
      </c>
      <c r="Y216" s="692" t="str">
        <f t="shared" ca="1" si="91"/>
        <v xml:space="preserve"> </v>
      </c>
      <c r="AA216" s="1484">
        <f ca="1">IF($A216&gt;Endyr,0,VLOOKUP($A216,Tariff_Table,Tariff!$I$33))</f>
        <v>2.2999999999999998</v>
      </c>
      <c r="AB216" s="1480">
        <f t="shared" ca="1" si="92"/>
        <v>1.509977097770796</v>
      </c>
      <c r="AC216" s="1483">
        <f t="shared" ca="1" si="109"/>
        <v>3.4729473248728304</v>
      </c>
      <c r="AD216" s="1480">
        <f t="shared" ca="1" si="110"/>
        <v>3.0629387352985575</v>
      </c>
      <c r="AE216" s="113">
        <f t="shared" ca="1" si="111"/>
        <v>1.0649999999999999</v>
      </c>
      <c r="AF216" s="1483">
        <f t="shared" ca="1" si="112"/>
        <v>9.988192382163847</v>
      </c>
      <c r="AG216" s="334">
        <f ca="1">VLOOKUP($A216,Plant_Table,'Plant Operations'!$M$270)</f>
        <v>298980.864</v>
      </c>
      <c r="AH216" s="1481">
        <f t="shared" ca="1" si="113"/>
        <v>2986.278388217565</v>
      </c>
      <c r="AI216" s="1480">
        <f t="shared" ca="1" si="114"/>
        <v>3.0629387352985575</v>
      </c>
      <c r="AJ216" s="335">
        <f t="shared" ca="1" si="115"/>
        <v>974.97163550888979</v>
      </c>
      <c r="AK216" s="698" t="str">
        <f t="shared" ca="1" si="93"/>
        <v xml:space="preserve"> </v>
      </c>
      <c r="AM216" s="697">
        <f ca="1">IF($A216&gt;Endyr,0,VLOOKUP($A216,Tariff_Table,Tariff!$L$33))</f>
        <v>1.21</v>
      </c>
      <c r="AN216" s="1504">
        <f ca="1">VLOOKUP($A216,Curves_Table,Escalation!$Z$291)</f>
        <v>1.6153442667317042</v>
      </c>
      <c r="AO216" s="331">
        <f t="shared" ca="1" si="116"/>
        <v>1.9545665627453619</v>
      </c>
      <c r="AP216" s="331">
        <f ca="1">IF($A216&gt;Endyr,0,VLOOKUP($A216,Tariff_Table,Tariff!$M$33))</f>
        <v>0.25</v>
      </c>
      <c r="AQ216" s="331">
        <f t="shared" ca="1" si="117"/>
        <v>2.2045665627453621</v>
      </c>
      <c r="AR216" s="331">
        <f t="shared" ca="1" si="118"/>
        <v>1.46</v>
      </c>
      <c r="AS216" s="1508">
        <f t="shared" ca="1" si="119"/>
        <v>1.509977097770796</v>
      </c>
    </row>
    <row r="217" spans="1:45">
      <c r="A217" s="672">
        <f t="shared" si="94"/>
        <v>43191</v>
      </c>
      <c r="C217" s="1484">
        <f ca="1">IF($A217&gt;Endyr,0,VLOOKUP($A217,Tariff_Table,Tariff!$G$33))</f>
        <v>7420.61</v>
      </c>
      <c r="D217" s="1480">
        <f ca="1">VLOOKUP($A217,Curves_Table,Escalation!$V$291)</f>
        <v>1.6825466987361488</v>
      </c>
      <c r="E217" s="1483">
        <f t="shared" ca="1" si="95"/>
        <v>12485.522858108452</v>
      </c>
      <c r="F217" s="1480">
        <f ca="1">IF(Assm!$L$74=0,VLOOKUP($A217,Curves_Table,Escalation!$D$291),VLOOKUP($A217,Curves_Table,Escalation!$E$291))</f>
        <v>3.0679951056255268</v>
      </c>
      <c r="G217" s="113">
        <f ca="1">IF($A217&lt;EE_Date,VLOOKUP($A217,Curves_Table,Escalation!$D$291),Exch)</f>
        <v>1.0649999999999999</v>
      </c>
      <c r="H217" s="1483">
        <f t="shared" ca="1" si="96"/>
        <v>35967.627248687677</v>
      </c>
      <c r="I217" s="330">
        <f ca="1">VLOOKUP($A217,Plant_Table,'Plant Operations'!$C$270)</f>
        <v>480</v>
      </c>
      <c r="J217" s="1481">
        <f t="shared" ca="1" si="97"/>
        <v>17264.461079370085</v>
      </c>
      <c r="K217" s="1480">
        <f t="shared" ca="1" si="98"/>
        <v>3.0679951056255268</v>
      </c>
      <c r="L217" s="384">
        <f t="shared" ca="1" si="99"/>
        <v>5627.2779078798667</v>
      </c>
      <c r="M217" s="692" t="str">
        <f t="shared" ca="1" si="90"/>
        <v xml:space="preserve"> </v>
      </c>
      <c r="O217" s="1482">
        <f ca="1">IF($A217&gt;Endyr,0,VLOOKUP($A217,Tariff_Table,Tariff!$H$33))</f>
        <v>6104.93</v>
      </c>
      <c r="P217" s="1480">
        <f t="shared" ca="1" si="100"/>
        <v>1.509977097770796</v>
      </c>
      <c r="Q217" s="1481">
        <f t="shared" ca="1" si="101"/>
        <v>9218.3044834938664</v>
      </c>
      <c r="R217" s="1480">
        <f t="shared" ca="1" si="102"/>
        <v>3.0679951056255268</v>
      </c>
      <c r="S217" s="113">
        <f t="shared" ca="1" si="103"/>
        <v>1.0649999999999999</v>
      </c>
      <c r="T217" s="1481">
        <f t="shared" ca="1" si="104"/>
        <v>26555.599096267637</v>
      </c>
      <c r="U217" s="330">
        <f t="shared" ca="1" si="105"/>
        <v>480</v>
      </c>
      <c r="V217" s="1481">
        <f t="shared" ca="1" si="106"/>
        <v>12746.687566208466</v>
      </c>
      <c r="W217" s="1480">
        <f t="shared" ca="1" si="107"/>
        <v>3.0679951056255268</v>
      </c>
      <c r="X217" s="384">
        <f t="shared" ca="1" si="108"/>
        <v>4154.7287812930108</v>
      </c>
      <c r="Y217" s="692" t="str">
        <f t="shared" ca="1" si="91"/>
        <v xml:space="preserve"> </v>
      </c>
      <c r="AA217" s="1484">
        <f ca="1">IF($A217&gt;Endyr,0,VLOOKUP($A217,Tariff_Table,Tariff!$I$33))</f>
        <v>2.2999999999999998</v>
      </c>
      <c r="AB217" s="1480">
        <f t="shared" ca="1" si="92"/>
        <v>1.509977097770796</v>
      </c>
      <c r="AC217" s="1483">
        <f t="shared" ca="1" si="109"/>
        <v>3.4729473248728304</v>
      </c>
      <c r="AD217" s="1480">
        <f t="shared" ca="1" si="110"/>
        <v>3.0679951056255268</v>
      </c>
      <c r="AE217" s="113">
        <f t="shared" ca="1" si="111"/>
        <v>1.0649999999999999</v>
      </c>
      <c r="AF217" s="1483">
        <f t="shared" ca="1" si="112"/>
        <v>10.004681121882733</v>
      </c>
      <c r="AG217" s="334">
        <f ca="1">VLOOKUP($A217,Plant_Table,'Plant Operations'!$M$270)</f>
        <v>289336.32000000001</v>
      </c>
      <c r="AH217" s="1481">
        <f t="shared" ca="1" si="113"/>
        <v>2894.7176185790217</v>
      </c>
      <c r="AI217" s="1480">
        <f t="shared" ca="1" si="114"/>
        <v>3.0679951056255268</v>
      </c>
      <c r="AJ217" s="335">
        <f t="shared" ca="1" si="115"/>
        <v>943.52093758924821</v>
      </c>
      <c r="AK217" s="698" t="str">
        <f t="shared" ca="1" si="93"/>
        <v xml:space="preserve"> </v>
      </c>
      <c r="AM217" s="697">
        <f ca="1">IF($A217&gt;Endyr,0,VLOOKUP($A217,Tariff_Table,Tariff!$L$33))</f>
        <v>1.21</v>
      </c>
      <c r="AN217" s="1504">
        <f ca="1">VLOOKUP($A217,Curves_Table,Escalation!$Z$291)</f>
        <v>1.6153442667317042</v>
      </c>
      <c r="AO217" s="331">
        <f t="shared" ca="1" si="116"/>
        <v>1.9545665627453619</v>
      </c>
      <c r="AP217" s="331">
        <f ca="1">IF($A217&gt;Endyr,0,VLOOKUP($A217,Tariff_Table,Tariff!$M$33))</f>
        <v>0.25</v>
      </c>
      <c r="AQ217" s="331">
        <f t="shared" ca="1" si="117"/>
        <v>2.2045665627453621</v>
      </c>
      <c r="AR217" s="331">
        <f t="shared" ca="1" si="118"/>
        <v>1.46</v>
      </c>
      <c r="AS217" s="1508">
        <f t="shared" ca="1" si="119"/>
        <v>1.509977097770796</v>
      </c>
    </row>
    <row r="218" spans="1:45">
      <c r="A218" s="672">
        <f t="shared" si="94"/>
        <v>43221</v>
      </c>
      <c r="C218" s="1484">
        <f ca="1">IF($A218&gt;Endyr,0,VLOOKUP($A218,Tariff_Table,Tariff!$G$33))</f>
        <v>7429.43</v>
      </c>
      <c r="D218" s="1480">
        <f ca="1">VLOOKUP($A218,Curves_Table,Escalation!$V$291)</f>
        <v>1.7280133273368676</v>
      </c>
      <c r="E218" s="1483">
        <f t="shared" ca="1" si="95"/>
        <v>12838.154054516344</v>
      </c>
      <c r="F218" s="1480">
        <f ca="1">IF(Assm!$L$74=0,VLOOKUP($A218,Curves_Table,Escalation!$D$291),VLOOKUP($A218,Curves_Table,Escalation!$E$291))</f>
        <v>3.0730598231259436</v>
      </c>
      <c r="G218" s="113">
        <f ca="1">IF($A218&lt;EE_Date,VLOOKUP($A218,Curves_Table,Escalation!$D$291),Exch)</f>
        <v>1.0649999999999999</v>
      </c>
      <c r="H218" s="1483">
        <f t="shared" ca="1" si="96"/>
        <v>37044.521528671939</v>
      </c>
      <c r="I218" s="330">
        <f ca="1">VLOOKUP($A218,Plant_Table,'Plant Operations'!$C$270)</f>
        <v>480</v>
      </c>
      <c r="J218" s="1481">
        <f t="shared" ca="1" si="97"/>
        <v>17781.37033376253</v>
      </c>
      <c r="K218" s="1480">
        <f t="shared" ca="1" si="98"/>
        <v>3.0730598231259436</v>
      </c>
      <c r="L218" s="384">
        <f t="shared" ca="1" si="99"/>
        <v>5786.210278091874</v>
      </c>
      <c r="M218" s="692" t="str">
        <f t="shared" ca="1" si="90"/>
        <v xml:space="preserve"> </v>
      </c>
      <c r="O218" s="1482">
        <f ca="1">IF($A218&gt;Endyr,0,VLOOKUP($A218,Tariff_Table,Tariff!$H$33))</f>
        <v>6133.73</v>
      </c>
      <c r="P218" s="1480">
        <f t="shared" ca="1" si="100"/>
        <v>1.5428064612337717</v>
      </c>
      <c r="Q218" s="1481">
        <f t="shared" ca="1" si="101"/>
        <v>9463.1582754634219</v>
      </c>
      <c r="R218" s="1480">
        <f t="shared" ca="1" si="102"/>
        <v>3.0730598231259436</v>
      </c>
      <c r="S218" s="113">
        <f t="shared" ca="1" si="103"/>
        <v>1.0649999999999999</v>
      </c>
      <c r="T218" s="1481">
        <f t="shared" ca="1" si="104"/>
        <v>27305.963846205104</v>
      </c>
      <c r="U218" s="330">
        <f t="shared" ca="1" si="105"/>
        <v>480</v>
      </c>
      <c r="V218" s="1481">
        <f t="shared" ca="1" si="106"/>
        <v>13106.86264617845</v>
      </c>
      <c r="W218" s="1480">
        <f t="shared" ca="1" si="107"/>
        <v>3.0730598231259436</v>
      </c>
      <c r="X218" s="384">
        <f t="shared" ca="1" si="108"/>
        <v>4265.0854199271762</v>
      </c>
      <c r="Y218" s="692" t="str">
        <f t="shared" ca="1" si="91"/>
        <v xml:space="preserve"> </v>
      </c>
      <c r="AA218" s="1484">
        <f ca="1">IF($A218&gt;Endyr,0,VLOOKUP($A218,Tariff_Table,Tariff!$I$33))</f>
        <v>2.31</v>
      </c>
      <c r="AB218" s="1480">
        <f t="shared" ca="1" si="92"/>
        <v>1.5428064612337717</v>
      </c>
      <c r="AC218" s="1483">
        <f t="shared" ca="1" si="109"/>
        <v>3.5638829254500126</v>
      </c>
      <c r="AD218" s="1480">
        <f t="shared" ca="1" si="110"/>
        <v>3.0730598231259436</v>
      </c>
      <c r="AE218" s="113">
        <f t="shared" ca="1" si="111"/>
        <v>1.0649999999999999</v>
      </c>
      <c r="AF218" s="1483">
        <f t="shared" ca="1" si="112"/>
        <v>10.283591955422523</v>
      </c>
      <c r="AG218" s="334">
        <f ca="1">VLOOKUP($A218,Plant_Table,'Plant Operations'!$M$270)</f>
        <v>298980.864</v>
      </c>
      <c r="AH218" s="1481">
        <f t="shared" ca="1" si="113"/>
        <v>3074.5972078556752</v>
      </c>
      <c r="AI218" s="1480">
        <f t="shared" ca="1" si="114"/>
        <v>3.0730598231259436</v>
      </c>
      <c r="AJ218" s="335">
        <f t="shared" ca="1" si="115"/>
        <v>1000.5002781651572</v>
      </c>
      <c r="AK218" s="698" t="str">
        <f t="shared" ca="1" si="93"/>
        <v xml:space="preserve"> </v>
      </c>
      <c r="AM218" s="697">
        <f ca="1">IF($A218&gt;Endyr,0,VLOOKUP($A218,Tariff_Table,Tariff!$L$33))</f>
        <v>1.21</v>
      </c>
      <c r="AN218" s="1504">
        <f ca="1">VLOOKUP($A218,Curves_Table,Escalation!$Z$291)</f>
        <v>1.6549565565300055</v>
      </c>
      <c r="AO218" s="331">
        <f t="shared" ca="1" si="116"/>
        <v>2.0024974334013068</v>
      </c>
      <c r="AP218" s="331">
        <f ca="1">IF($A218&gt;Endyr,0,VLOOKUP($A218,Tariff_Table,Tariff!$M$33))</f>
        <v>0.25</v>
      </c>
      <c r="AQ218" s="331">
        <f t="shared" ca="1" si="117"/>
        <v>2.2524974334013068</v>
      </c>
      <c r="AR218" s="331">
        <f t="shared" ca="1" si="118"/>
        <v>1.46</v>
      </c>
      <c r="AS218" s="1508">
        <f t="shared" ca="1" si="119"/>
        <v>1.5428064612337717</v>
      </c>
    </row>
    <row r="219" spans="1:45">
      <c r="A219" s="672">
        <f t="shared" si="94"/>
        <v>43252</v>
      </c>
      <c r="C219" s="1484">
        <f ca="1">IF($A219&gt;Endyr,0,VLOOKUP($A219,Tariff_Table,Tariff!$G$33))</f>
        <v>7429.43</v>
      </c>
      <c r="D219" s="1480">
        <f ca="1">VLOOKUP($A219,Curves_Table,Escalation!$V$291)</f>
        <v>1.7280133273368676</v>
      </c>
      <c r="E219" s="1483">
        <f t="shared" ca="1" si="95"/>
        <v>12838.154054516344</v>
      </c>
      <c r="F219" s="1480">
        <f ca="1">IF(Assm!$L$74=0,VLOOKUP($A219,Curves_Table,Escalation!$D$291),VLOOKUP($A219,Curves_Table,Escalation!$E$291))</f>
        <v>3.078132901579516</v>
      </c>
      <c r="G219" s="113">
        <f ca="1">IF($A219&lt;EE_Date,VLOOKUP($A219,Curves_Table,Escalation!$D$291),Exch)</f>
        <v>1.0649999999999999</v>
      </c>
      <c r="H219" s="1483">
        <f t="shared" ca="1" si="96"/>
        <v>37105.675484275329</v>
      </c>
      <c r="I219" s="330">
        <f ca="1">VLOOKUP($A219,Plant_Table,'Plant Operations'!$C$270)</f>
        <v>480</v>
      </c>
      <c r="J219" s="1481">
        <f t="shared" ca="1" si="97"/>
        <v>17810.724232452158</v>
      </c>
      <c r="K219" s="1480">
        <f t="shared" ca="1" si="98"/>
        <v>3.078132901579516</v>
      </c>
      <c r="L219" s="384">
        <f t="shared" ca="1" si="99"/>
        <v>5786.210278091874</v>
      </c>
      <c r="M219" s="692" t="str">
        <f t="shared" ca="1" si="90"/>
        <v xml:space="preserve"> </v>
      </c>
      <c r="O219" s="1482">
        <f ca="1">IF($A219&gt;Endyr,0,VLOOKUP($A219,Tariff_Table,Tariff!$H$33))</f>
        <v>6133.73</v>
      </c>
      <c r="P219" s="1480">
        <f t="shared" ca="1" si="100"/>
        <v>1.5428064612337717</v>
      </c>
      <c r="Q219" s="1481">
        <f t="shared" ca="1" si="101"/>
        <v>9463.1582754634219</v>
      </c>
      <c r="R219" s="1480">
        <f t="shared" ca="1" si="102"/>
        <v>3.078132901579516</v>
      </c>
      <c r="S219" s="113">
        <f t="shared" ca="1" si="103"/>
        <v>1.0649999999999999</v>
      </c>
      <c r="T219" s="1481">
        <f t="shared" ca="1" si="104"/>
        <v>27351.041164843598</v>
      </c>
      <c r="U219" s="330">
        <f t="shared" ca="1" si="105"/>
        <v>480</v>
      </c>
      <c r="V219" s="1481">
        <f t="shared" ca="1" si="106"/>
        <v>13128.499759124927</v>
      </c>
      <c r="W219" s="1480">
        <f t="shared" ca="1" si="107"/>
        <v>3.078132901579516</v>
      </c>
      <c r="X219" s="384">
        <f t="shared" ca="1" si="108"/>
        <v>4265.0854199271762</v>
      </c>
      <c r="Y219" s="692" t="str">
        <f t="shared" ca="1" si="91"/>
        <v xml:space="preserve"> </v>
      </c>
      <c r="AA219" s="1484">
        <f ca="1">IF($A219&gt;Endyr,0,VLOOKUP($A219,Tariff_Table,Tariff!$I$33))</f>
        <v>2.31</v>
      </c>
      <c r="AB219" s="1480">
        <f t="shared" ca="1" si="92"/>
        <v>1.5428064612337717</v>
      </c>
      <c r="AC219" s="1483">
        <f t="shared" ca="1" si="109"/>
        <v>3.5638829254500126</v>
      </c>
      <c r="AD219" s="1480">
        <f t="shared" ca="1" si="110"/>
        <v>3.078132901579516</v>
      </c>
      <c r="AE219" s="113">
        <f t="shared" ca="1" si="111"/>
        <v>1.0649999999999999</v>
      </c>
      <c r="AF219" s="1483">
        <f t="shared" ca="1" si="112"/>
        <v>10.300568347610463</v>
      </c>
      <c r="AG219" s="334">
        <f ca="1">VLOOKUP($A219,Plant_Table,'Plant Operations'!$M$270)</f>
        <v>289336.32000000001</v>
      </c>
      <c r="AH219" s="1481">
        <f t="shared" ca="1" si="113"/>
        <v>2980.3285396060924</v>
      </c>
      <c r="AI219" s="1480">
        <f t="shared" ca="1" si="114"/>
        <v>3.078132901579516</v>
      </c>
      <c r="AJ219" s="335">
        <f t="shared" ca="1" si="115"/>
        <v>968.22607564370071</v>
      </c>
      <c r="AK219" s="698" t="str">
        <f t="shared" ca="1" si="93"/>
        <v xml:space="preserve"> </v>
      </c>
      <c r="AM219" s="697">
        <f ca="1">IF($A219&gt;Endyr,0,VLOOKUP($A219,Tariff_Table,Tariff!$L$33))</f>
        <v>1.21</v>
      </c>
      <c r="AN219" s="1504">
        <f ca="1">VLOOKUP($A219,Curves_Table,Escalation!$Z$291)</f>
        <v>1.6549565565300055</v>
      </c>
      <c r="AO219" s="331">
        <f t="shared" ca="1" si="116"/>
        <v>2.0024974334013068</v>
      </c>
      <c r="AP219" s="331">
        <f ca="1">IF($A219&gt;Endyr,0,VLOOKUP($A219,Tariff_Table,Tariff!$M$33))</f>
        <v>0.25</v>
      </c>
      <c r="AQ219" s="331">
        <f t="shared" ca="1" si="117"/>
        <v>2.2524974334013068</v>
      </c>
      <c r="AR219" s="331">
        <f t="shared" ca="1" si="118"/>
        <v>1.46</v>
      </c>
      <c r="AS219" s="1508">
        <f t="shared" ca="1" si="119"/>
        <v>1.5428064612337717</v>
      </c>
    </row>
    <row r="220" spans="1:45">
      <c r="A220" s="672">
        <f t="shared" si="94"/>
        <v>43282</v>
      </c>
      <c r="C220" s="1484">
        <f ca="1">IF($A220&gt;Endyr,0,VLOOKUP($A220,Tariff_Table,Tariff!$G$33))</f>
        <v>7429.43</v>
      </c>
      <c r="D220" s="1480">
        <f ca="1">VLOOKUP($A220,Curves_Table,Escalation!$V$291)</f>
        <v>1.7280133273368676</v>
      </c>
      <c r="E220" s="1483">
        <f t="shared" ca="1" si="95"/>
        <v>12838.154054516344</v>
      </c>
      <c r="F220" s="1480">
        <f ca="1">IF(Assm!$L$74=0,VLOOKUP($A220,Curves_Table,Escalation!$D$291),VLOOKUP($A220,Curves_Table,Escalation!$E$291))</f>
        <v>3.0832143547886992</v>
      </c>
      <c r="G220" s="113">
        <f ca="1">IF($A220&lt;EE_Date,VLOOKUP($A220,Curves_Table,Escalation!$D$291),Exch)</f>
        <v>1.0649999999999999</v>
      </c>
      <c r="H220" s="1483">
        <f t="shared" ca="1" si="96"/>
        <v>37166.930394247451</v>
      </c>
      <c r="I220" s="330">
        <f ca="1">VLOOKUP($A220,Plant_Table,'Plant Operations'!$C$270)</f>
        <v>480</v>
      </c>
      <c r="J220" s="1481">
        <f t="shared" ca="1" si="97"/>
        <v>17840.126589238778</v>
      </c>
      <c r="K220" s="1480">
        <f t="shared" ca="1" si="98"/>
        <v>3.0832143547886992</v>
      </c>
      <c r="L220" s="384">
        <f t="shared" ca="1" si="99"/>
        <v>5786.210278091874</v>
      </c>
      <c r="M220" s="692" t="str">
        <f t="shared" ca="1" si="90"/>
        <v xml:space="preserve"> </v>
      </c>
      <c r="O220" s="1482">
        <f ca="1">IF($A220&gt;Endyr,0,VLOOKUP($A220,Tariff_Table,Tariff!$H$33))</f>
        <v>6133.73</v>
      </c>
      <c r="P220" s="1480">
        <f t="shared" ca="1" si="100"/>
        <v>1.5428064612337717</v>
      </c>
      <c r="Q220" s="1481">
        <f t="shared" ca="1" si="101"/>
        <v>9463.1582754634219</v>
      </c>
      <c r="R220" s="1480">
        <f t="shared" ca="1" si="102"/>
        <v>3.0832143547886992</v>
      </c>
      <c r="S220" s="113">
        <f t="shared" ca="1" si="103"/>
        <v>1.0649999999999999</v>
      </c>
      <c r="T220" s="1481">
        <f t="shared" ca="1" si="104"/>
        <v>27396.192898165536</v>
      </c>
      <c r="U220" s="330">
        <f t="shared" ca="1" si="105"/>
        <v>480</v>
      </c>
      <c r="V220" s="1481">
        <f t="shared" ca="1" si="106"/>
        <v>13150.172591119457</v>
      </c>
      <c r="W220" s="1480">
        <f t="shared" ca="1" si="107"/>
        <v>3.0832143547886992</v>
      </c>
      <c r="X220" s="384">
        <f t="shared" ca="1" si="108"/>
        <v>4265.0854199271762</v>
      </c>
      <c r="Y220" s="692" t="str">
        <f t="shared" ca="1" si="91"/>
        <v xml:space="preserve"> </v>
      </c>
      <c r="AA220" s="1484">
        <f ca="1">IF($A220&gt;Endyr,0,VLOOKUP($A220,Tariff_Table,Tariff!$I$33))</f>
        <v>2.31</v>
      </c>
      <c r="AB220" s="1480">
        <f t="shared" ca="1" si="92"/>
        <v>1.5428064612337717</v>
      </c>
      <c r="AC220" s="1483">
        <f t="shared" ca="1" si="109"/>
        <v>3.5638829254500126</v>
      </c>
      <c r="AD220" s="1480">
        <f t="shared" ca="1" si="110"/>
        <v>3.0832143547886992</v>
      </c>
      <c r="AE220" s="113">
        <f t="shared" ca="1" si="111"/>
        <v>1.0649999999999999</v>
      </c>
      <c r="AF220" s="1483">
        <f t="shared" ca="1" si="112"/>
        <v>10.31757276482049</v>
      </c>
      <c r="AG220" s="334">
        <f ca="1">VLOOKUP($A220,Plant_Table,'Plant Operations'!$M$270)</f>
        <v>298980.864</v>
      </c>
      <c r="AH220" s="1481">
        <f t="shared" ca="1" si="113"/>
        <v>3084.7568196088987</v>
      </c>
      <c r="AI220" s="1480">
        <f t="shared" ca="1" si="114"/>
        <v>3.0832143547886992</v>
      </c>
      <c r="AJ220" s="335">
        <f t="shared" ca="1" si="115"/>
        <v>1000.5002781651571</v>
      </c>
      <c r="AK220" s="698" t="str">
        <f t="shared" ca="1" si="93"/>
        <v xml:space="preserve"> </v>
      </c>
      <c r="AM220" s="697">
        <f ca="1">IF($A220&gt;Endyr,0,VLOOKUP($A220,Tariff_Table,Tariff!$L$33))</f>
        <v>1.21</v>
      </c>
      <c r="AN220" s="1504">
        <f ca="1">VLOOKUP($A220,Curves_Table,Escalation!$Z$291)</f>
        <v>1.6549565565300055</v>
      </c>
      <c r="AO220" s="331">
        <f t="shared" ca="1" si="116"/>
        <v>2.0024974334013068</v>
      </c>
      <c r="AP220" s="331">
        <f ca="1">IF($A220&gt;Endyr,0,VLOOKUP($A220,Tariff_Table,Tariff!$M$33))</f>
        <v>0.25</v>
      </c>
      <c r="AQ220" s="331">
        <f t="shared" ca="1" si="117"/>
        <v>2.2524974334013068</v>
      </c>
      <c r="AR220" s="331">
        <f t="shared" ca="1" si="118"/>
        <v>1.46</v>
      </c>
      <c r="AS220" s="1508">
        <f t="shared" ca="1" si="119"/>
        <v>1.5428064612337717</v>
      </c>
    </row>
    <row r="221" spans="1:45">
      <c r="A221" s="672">
        <f t="shared" si="94"/>
        <v>43313</v>
      </c>
      <c r="C221" s="1484">
        <f ca="1">IF($A221&gt;Endyr,0,VLOOKUP($A221,Tariff_Table,Tariff!$G$33))</f>
        <v>7429.43</v>
      </c>
      <c r="D221" s="1480">
        <f ca="1">VLOOKUP($A221,Curves_Table,Escalation!$V$291)</f>
        <v>1.7280133273368676</v>
      </c>
      <c r="E221" s="1483">
        <f t="shared" ca="1" si="95"/>
        <v>12838.154054516344</v>
      </c>
      <c r="F221" s="1480">
        <f ca="1">IF(Assm!$L$74=0,VLOOKUP($A221,Curves_Table,Escalation!$D$291),VLOOKUP($A221,Curves_Table,Escalation!$E$291))</f>
        <v>3.0883041965787341</v>
      </c>
      <c r="G221" s="113">
        <f ca="1">IF($A221&lt;EE_Date,VLOOKUP($A221,Curves_Table,Escalation!$D$291),Exch)</f>
        <v>1.0649999999999999</v>
      </c>
      <c r="H221" s="1483">
        <f t="shared" ca="1" si="96"/>
        <v>37228.286425246115</v>
      </c>
      <c r="I221" s="330">
        <f ca="1">VLOOKUP($A221,Plant_Table,'Plant Operations'!$C$270)</f>
        <v>480</v>
      </c>
      <c r="J221" s="1481">
        <f t="shared" ca="1" si="97"/>
        <v>17869.577484118134</v>
      </c>
      <c r="K221" s="1480">
        <f t="shared" ca="1" si="98"/>
        <v>3.0883041965787341</v>
      </c>
      <c r="L221" s="384">
        <f t="shared" ca="1" si="99"/>
        <v>5786.2102780918722</v>
      </c>
      <c r="M221" s="692" t="str">
        <f t="shared" ca="1" si="90"/>
        <v xml:space="preserve"> </v>
      </c>
      <c r="O221" s="1482">
        <f ca="1">IF($A221&gt;Endyr,0,VLOOKUP($A221,Tariff_Table,Tariff!$H$33))</f>
        <v>6133.73</v>
      </c>
      <c r="P221" s="1480">
        <f t="shared" ca="1" si="100"/>
        <v>1.5428064612337717</v>
      </c>
      <c r="Q221" s="1481">
        <f t="shared" ca="1" si="101"/>
        <v>9463.1582754634219</v>
      </c>
      <c r="R221" s="1480">
        <f t="shared" ca="1" si="102"/>
        <v>3.0883041965787341</v>
      </c>
      <c r="S221" s="113">
        <f t="shared" ca="1" si="103"/>
        <v>1.0649999999999999</v>
      </c>
      <c r="T221" s="1481">
        <f t="shared" ca="1" si="104"/>
        <v>27441.419169016397</v>
      </c>
      <c r="U221" s="330">
        <f t="shared" ca="1" si="105"/>
        <v>480</v>
      </c>
      <c r="V221" s="1481">
        <f t="shared" ca="1" si="106"/>
        <v>13171.88120112787</v>
      </c>
      <c r="W221" s="1480">
        <f t="shared" ca="1" si="107"/>
        <v>3.0883041965787341</v>
      </c>
      <c r="X221" s="384">
        <f t="shared" ca="1" si="108"/>
        <v>4265.0854199271762</v>
      </c>
      <c r="Y221" s="692" t="str">
        <f t="shared" ca="1" si="91"/>
        <v xml:space="preserve"> </v>
      </c>
      <c r="AA221" s="1484">
        <f ca="1">IF($A221&gt;Endyr,0,VLOOKUP($A221,Tariff_Table,Tariff!$I$33))</f>
        <v>2.31</v>
      </c>
      <c r="AB221" s="1480">
        <f t="shared" ca="1" si="92"/>
        <v>1.5428064612337717</v>
      </c>
      <c r="AC221" s="1483">
        <f t="shared" ca="1" si="109"/>
        <v>3.5638829254500126</v>
      </c>
      <c r="AD221" s="1480">
        <f t="shared" ca="1" si="110"/>
        <v>3.0883041965787341</v>
      </c>
      <c r="AE221" s="113">
        <f t="shared" ca="1" si="111"/>
        <v>1.0649999999999999</v>
      </c>
      <c r="AF221" s="1483">
        <f t="shared" ca="1" si="112"/>
        <v>10.334605253316967</v>
      </c>
      <c r="AG221" s="334">
        <f ca="1">VLOOKUP($A221,Plant_Table,'Plant Operations'!$M$270)</f>
        <v>298980.864</v>
      </c>
      <c r="AH221" s="1481">
        <f t="shared" ca="1" si="113"/>
        <v>3089.8492077356455</v>
      </c>
      <c r="AI221" s="1480">
        <f t="shared" ca="1" si="114"/>
        <v>3.0883041965787341</v>
      </c>
      <c r="AJ221" s="335">
        <f t="shared" ca="1" si="115"/>
        <v>1000.5002781651571</v>
      </c>
      <c r="AK221" s="698" t="str">
        <f t="shared" ca="1" si="93"/>
        <v xml:space="preserve"> </v>
      </c>
      <c r="AM221" s="697">
        <f ca="1">IF($A221&gt;Endyr,0,VLOOKUP($A221,Tariff_Table,Tariff!$L$33))</f>
        <v>1.21</v>
      </c>
      <c r="AN221" s="1504">
        <f ca="1">VLOOKUP($A221,Curves_Table,Escalation!$Z$291)</f>
        <v>1.6549565565300055</v>
      </c>
      <c r="AO221" s="331">
        <f t="shared" ca="1" si="116"/>
        <v>2.0024974334013068</v>
      </c>
      <c r="AP221" s="331">
        <f ca="1">IF($A221&gt;Endyr,0,VLOOKUP($A221,Tariff_Table,Tariff!$M$33))</f>
        <v>0.25</v>
      </c>
      <c r="AQ221" s="331">
        <f t="shared" ca="1" si="117"/>
        <v>2.2524974334013068</v>
      </c>
      <c r="AR221" s="331">
        <f t="shared" ca="1" si="118"/>
        <v>1.46</v>
      </c>
      <c r="AS221" s="1508">
        <f t="shared" ca="1" si="119"/>
        <v>1.5428064612337717</v>
      </c>
    </row>
    <row r="222" spans="1:45">
      <c r="A222" s="672">
        <f t="shared" si="94"/>
        <v>43344</v>
      </c>
      <c r="C222" s="1484">
        <f ca="1">IF($A222&gt;Endyr,0,VLOOKUP($A222,Tariff_Table,Tariff!$G$33))</f>
        <v>7429.43</v>
      </c>
      <c r="D222" s="1480">
        <f ca="1">VLOOKUP($A222,Curves_Table,Escalation!$V$291)</f>
        <v>1.7280133273368676</v>
      </c>
      <c r="E222" s="1483">
        <f t="shared" ca="1" si="95"/>
        <v>12838.154054516344</v>
      </c>
      <c r="F222" s="1480">
        <f ca="1">IF(Assm!$L$74=0,VLOOKUP($A222,Curves_Table,Escalation!$D$291),VLOOKUP($A222,Curves_Table,Escalation!$E$291))</f>
        <v>3.0934024407976843</v>
      </c>
      <c r="G222" s="113">
        <f ca="1">IF($A222&lt;EE_Date,VLOOKUP($A222,Curves_Table,Escalation!$D$291),Exch)</f>
        <v>1.0649999999999999</v>
      </c>
      <c r="H222" s="1483">
        <f t="shared" ca="1" si="96"/>
        <v>37289.743744204272</v>
      </c>
      <c r="I222" s="330">
        <f ca="1">VLOOKUP($A222,Plant_Table,'Plant Operations'!$C$270)</f>
        <v>480</v>
      </c>
      <c r="J222" s="1481">
        <f t="shared" ca="1" si="97"/>
        <v>17899.07699721805</v>
      </c>
      <c r="K222" s="1480">
        <f t="shared" ca="1" si="98"/>
        <v>3.0934024407976843</v>
      </c>
      <c r="L222" s="384">
        <f t="shared" ca="1" si="99"/>
        <v>5786.210278091874</v>
      </c>
      <c r="M222" s="692" t="str">
        <f t="shared" ca="1" si="90"/>
        <v xml:space="preserve"> </v>
      </c>
      <c r="O222" s="1482">
        <f ca="1">IF($A222&gt;Endyr,0,VLOOKUP($A222,Tariff_Table,Tariff!$H$33))</f>
        <v>6133.73</v>
      </c>
      <c r="P222" s="1480">
        <f t="shared" ca="1" si="100"/>
        <v>1.5428064612337717</v>
      </c>
      <c r="Q222" s="1481">
        <f t="shared" ca="1" si="101"/>
        <v>9463.1582754634219</v>
      </c>
      <c r="R222" s="1480">
        <f t="shared" ca="1" si="102"/>
        <v>3.0934024407976843</v>
      </c>
      <c r="S222" s="113">
        <f t="shared" ca="1" si="103"/>
        <v>1.0649999999999999</v>
      </c>
      <c r="T222" s="1481">
        <f t="shared" ca="1" si="104"/>
        <v>27486.720100444465</v>
      </c>
      <c r="U222" s="330">
        <f t="shared" ca="1" si="105"/>
        <v>480</v>
      </c>
      <c r="V222" s="1481">
        <f t="shared" ca="1" si="106"/>
        <v>13193.625648213343</v>
      </c>
      <c r="W222" s="1480">
        <f t="shared" ca="1" si="107"/>
        <v>3.0934024407976843</v>
      </c>
      <c r="X222" s="384">
        <f t="shared" ca="1" si="108"/>
        <v>4265.0854199271762</v>
      </c>
      <c r="Y222" s="692" t="str">
        <f t="shared" ca="1" si="91"/>
        <v xml:space="preserve"> </v>
      </c>
      <c r="AA222" s="1484">
        <f ca="1">IF($A222&gt;Endyr,0,VLOOKUP($A222,Tariff_Table,Tariff!$I$33))</f>
        <v>2.31</v>
      </c>
      <c r="AB222" s="1480">
        <f t="shared" ca="1" si="92"/>
        <v>1.5428064612337717</v>
      </c>
      <c r="AC222" s="1483">
        <f t="shared" ca="1" si="109"/>
        <v>3.5638829254500126</v>
      </c>
      <c r="AD222" s="1480">
        <f t="shared" ca="1" si="110"/>
        <v>3.0934024407976843</v>
      </c>
      <c r="AE222" s="113">
        <f t="shared" ca="1" si="111"/>
        <v>1.0649999999999999</v>
      </c>
      <c r="AF222" s="1483">
        <f t="shared" ca="1" si="112"/>
        <v>10.351665859440621</v>
      </c>
      <c r="AG222" s="334">
        <f ca="1">VLOOKUP($A222,Plant_Table,'Plant Operations'!$M$270)</f>
        <v>289336.32000000001</v>
      </c>
      <c r="AH222" s="1481">
        <f t="shared" ca="1" si="113"/>
        <v>2995.1129056401865</v>
      </c>
      <c r="AI222" s="1480">
        <f t="shared" ca="1" si="114"/>
        <v>3.0934024407976843</v>
      </c>
      <c r="AJ222" s="335">
        <f t="shared" ca="1" si="115"/>
        <v>968.22607564370048</v>
      </c>
      <c r="AK222" s="698" t="str">
        <f t="shared" ca="1" si="93"/>
        <v xml:space="preserve"> </v>
      </c>
      <c r="AM222" s="697">
        <f ca="1">IF($A222&gt;Endyr,0,VLOOKUP($A222,Tariff_Table,Tariff!$L$33))</f>
        <v>1.21</v>
      </c>
      <c r="AN222" s="1504">
        <f ca="1">VLOOKUP($A222,Curves_Table,Escalation!$Z$291)</f>
        <v>1.6549565565300055</v>
      </c>
      <c r="AO222" s="331">
        <f t="shared" ca="1" si="116"/>
        <v>2.0024974334013068</v>
      </c>
      <c r="AP222" s="331">
        <f ca="1">IF($A222&gt;Endyr,0,VLOOKUP($A222,Tariff_Table,Tariff!$M$33))</f>
        <v>0.25</v>
      </c>
      <c r="AQ222" s="331">
        <f t="shared" ca="1" si="117"/>
        <v>2.2524974334013068</v>
      </c>
      <c r="AR222" s="331">
        <f t="shared" ca="1" si="118"/>
        <v>1.46</v>
      </c>
      <c r="AS222" s="1508">
        <f t="shared" ca="1" si="119"/>
        <v>1.5428064612337717</v>
      </c>
    </row>
    <row r="223" spans="1:45">
      <c r="A223" s="672">
        <f t="shared" si="94"/>
        <v>43374</v>
      </c>
      <c r="C223" s="1484">
        <f ca="1">IF($A223&gt;Endyr,0,VLOOKUP($A223,Tariff_Table,Tariff!$G$33))</f>
        <v>7429.43</v>
      </c>
      <c r="D223" s="1480">
        <f ca="1">VLOOKUP($A223,Curves_Table,Escalation!$V$291)</f>
        <v>1.7280133273368676</v>
      </c>
      <c r="E223" s="1483">
        <f t="shared" ca="1" si="95"/>
        <v>12838.154054516344</v>
      </c>
      <c r="F223" s="1480">
        <f ca="1">IF(Assm!$L$74=0,VLOOKUP($A223,Curves_Table,Escalation!$D$291),VLOOKUP($A223,Curves_Table,Escalation!$E$291))</f>
        <v>3.0985091013164747</v>
      </c>
      <c r="G223" s="113">
        <f ca="1">IF($A223&lt;EE_Date,VLOOKUP($A223,Curves_Table,Escalation!$D$291),Exch)</f>
        <v>1.0649999999999999</v>
      </c>
      <c r="H223" s="1483">
        <f t="shared" ca="1" si="96"/>
        <v>37351.30251833042</v>
      </c>
      <c r="I223" s="330">
        <f ca="1">VLOOKUP($A223,Plant_Table,'Plant Operations'!$C$270)</f>
        <v>480</v>
      </c>
      <c r="J223" s="1481">
        <f t="shared" ca="1" si="97"/>
        <v>17928.625208798603</v>
      </c>
      <c r="K223" s="1480">
        <f t="shared" ca="1" si="98"/>
        <v>3.0985091013164747</v>
      </c>
      <c r="L223" s="384">
        <f t="shared" ca="1" si="99"/>
        <v>5786.210278091874</v>
      </c>
      <c r="M223" s="692" t="str">
        <f t="shared" ca="1" si="90"/>
        <v xml:space="preserve"> </v>
      </c>
      <c r="O223" s="1482">
        <f ca="1">IF($A223&gt;Endyr,0,VLOOKUP($A223,Tariff_Table,Tariff!$H$33))</f>
        <v>6133.73</v>
      </c>
      <c r="P223" s="1480">
        <f t="shared" ca="1" si="100"/>
        <v>1.5428064612337717</v>
      </c>
      <c r="Q223" s="1481">
        <f t="shared" ca="1" si="101"/>
        <v>9463.1582754634219</v>
      </c>
      <c r="R223" s="1480">
        <f t="shared" ca="1" si="102"/>
        <v>3.0985091013164747</v>
      </c>
      <c r="S223" s="113">
        <f t="shared" ca="1" si="103"/>
        <v>1.0649999999999999</v>
      </c>
      <c r="T223" s="1481">
        <f t="shared" ca="1" si="104"/>
        <v>27532.095815701156</v>
      </c>
      <c r="U223" s="330">
        <f t="shared" ca="1" si="105"/>
        <v>480</v>
      </c>
      <c r="V223" s="1481">
        <f t="shared" ca="1" si="106"/>
        <v>13215.405991536554</v>
      </c>
      <c r="W223" s="1480">
        <f t="shared" ca="1" si="107"/>
        <v>3.0985091013164747</v>
      </c>
      <c r="X223" s="384">
        <f t="shared" ca="1" si="108"/>
        <v>4265.0854199271762</v>
      </c>
      <c r="Y223" s="692" t="str">
        <f t="shared" ca="1" si="91"/>
        <v xml:space="preserve"> </v>
      </c>
      <c r="AA223" s="1484">
        <f ca="1">IF($A223&gt;Endyr,0,VLOOKUP($A223,Tariff_Table,Tariff!$I$33))</f>
        <v>2.31</v>
      </c>
      <c r="AB223" s="1480">
        <f t="shared" ca="1" si="92"/>
        <v>1.5428064612337717</v>
      </c>
      <c r="AC223" s="1483">
        <f t="shared" ca="1" si="109"/>
        <v>3.5638829254500126</v>
      </c>
      <c r="AD223" s="1480">
        <f t="shared" ca="1" si="110"/>
        <v>3.0985091013164747</v>
      </c>
      <c r="AE223" s="113">
        <f t="shared" ca="1" si="111"/>
        <v>1.0649999999999999</v>
      </c>
      <c r="AF223" s="1483">
        <f t="shared" ca="1" si="112"/>
        <v>10.368754629608684</v>
      </c>
      <c r="AG223" s="334">
        <f ca="1">VLOOKUP($A223,Plant_Table,'Plant Operations'!$M$270)</f>
        <v>298980.864</v>
      </c>
      <c r="AH223" s="1481">
        <f t="shared" ca="1" si="113"/>
        <v>3100.0592177644048</v>
      </c>
      <c r="AI223" s="1480">
        <f t="shared" ca="1" si="114"/>
        <v>3.0985091013164747</v>
      </c>
      <c r="AJ223" s="335">
        <f t="shared" ca="1" si="115"/>
        <v>1000.5002781651574</v>
      </c>
      <c r="AK223" s="698" t="str">
        <f t="shared" ca="1" si="93"/>
        <v xml:space="preserve"> </v>
      </c>
      <c r="AM223" s="697">
        <f ca="1">IF($A223&gt;Endyr,0,VLOOKUP($A223,Tariff_Table,Tariff!$L$33))</f>
        <v>1.21</v>
      </c>
      <c r="AN223" s="1504">
        <f ca="1">VLOOKUP($A223,Curves_Table,Escalation!$Z$291)</f>
        <v>1.6549565565300055</v>
      </c>
      <c r="AO223" s="331">
        <f t="shared" ca="1" si="116"/>
        <v>2.0024974334013068</v>
      </c>
      <c r="AP223" s="331">
        <f ca="1">IF($A223&gt;Endyr,0,VLOOKUP($A223,Tariff_Table,Tariff!$M$33))</f>
        <v>0.25</v>
      </c>
      <c r="AQ223" s="331">
        <f t="shared" ca="1" si="117"/>
        <v>2.2524974334013068</v>
      </c>
      <c r="AR223" s="331">
        <f t="shared" ca="1" si="118"/>
        <v>1.46</v>
      </c>
      <c r="AS223" s="1508">
        <f t="shared" ca="1" si="119"/>
        <v>1.5428064612337717</v>
      </c>
    </row>
    <row r="224" spans="1:45">
      <c r="A224" s="672">
        <f t="shared" si="94"/>
        <v>43405</v>
      </c>
      <c r="C224" s="1484">
        <f ca="1">IF($A224&gt;Endyr,0,VLOOKUP($A224,Tariff_Table,Tariff!$G$33))</f>
        <v>7429.43</v>
      </c>
      <c r="D224" s="1480">
        <f ca="1">VLOOKUP($A224,Curves_Table,Escalation!$V$291)</f>
        <v>1.7280133273368676</v>
      </c>
      <c r="E224" s="1483">
        <f t="shared" ca="1" si="95"/>
        <v>12838.154054516344</v>
      </c>
      <c r="F224" s="1480">
        <f ca="1">IF(Assm!$L$74=0,VLOOKUP($A224,Curves_Table,Escalation!$D$291),VLOOKUP($A224,Curves_Table,Escalation!$E$291))</f>
        <v>3.1036241920289283</v>
      </c>
      <c r="G224" s="113">
        <f ca="1">IF($A224&lt;EE_Date,VLOOKUP($A224,Curves_Table,Escalation!$D$291),Exch)</f>
        <v>1.0649999999999999</v>
      </c>
      <c r="H224" s="1483">
        <f t="shared" ca="1" si="96"/>
        <v>37412.962915109107</v>
      </c>
      <c r="I224" s="330">
        <f ca="1">VLOOKUP($A224,Plant_Table,'Plant Operations'!$C$270)</f>
        <v>480</v>
      </c>
      <c r="J224" s="1481">
        <f t="shared" ca="1" si="97"/>
        <v>17958.22219925237</v>
      </c>
      <c r="K224" s="1480">
        <f t="shared" ca="1" si="98"/>
        <v>3.1036241920289283</v>
      </c>
      <c r="L224" s="384">
        <f t="shared" ca="1" si="99"/>
        <v>5786.2102780918731</v>
      </c>
      <c r="M224" s="692" t="str">
        <f t="shared" ca="1" si="90"/>
        <v xml:space="preserve"> </v>
      </c>
      <c r="O224" s="1482">
        <f ca="1">IF($A224&gt;Endyr,0,VLOOKUP($A224,Tariff_Table,Tariff!$H$33))</f>
        <v>6133.73</v>
      </c>
      <c r="P224" s="1480">
        <f t="shared" ca="1" si="100"/>
        <v>1.5428064612337717</v>
      </c>
      <c r="Q224" s="1481">
        <f t="shared" ca="1" si="101"/>
        <v>9463.1582754634219</v>
      </c>
      <c r="R224" s="1480">
        <f t="shared" ca="1" si="102"/>
        <v>3.1036241920289283</v>
      </c>
      <c r="S224" s="113">
        <f t="shared" ca="1" si="103"/>
        <v>1.0649999999999999</v>
      </c>
      <c r="T224" s="1481">
        <f t="shared" ca="1" si="104"/>
        <v>27577.546438241341</v>
      </c>
      <c r="U224" s="330">
        <f t="shared" ca="1" si="105"/>
        <v>480</v>
      </c>
      <c r="V224" s="1481">
        <f t="shared" ca="1" si="106"/>
        <v>13237.222290355845</v>
      </c>
      <c r="W224" s="1480">
        <f t="shared" ca="1" si="107"/>
        <v>3.1036241920289283</v>
      </c>
      <c r="X224" s="384">
        <f t="shared" ca="1" si="108"/>
        <v>4265.0854199271762</v>
      </c>
      <c r="Y224" s="692" t="str">
        <f t="shared" ca="1" si="91"/>
        <v xml:space="preserve"> </v>
      </c>
      <c r="AA224" s="1484">
        <f ca="1">IF($A224&gt;Endyr,0,VLOOKUP($A224,Tariff_Table,Tariff!$I$33))</f>
        <v>2.31</v>
      </c>
      <c r="AB224" s="1480">
        <f t="shared" ca="1" si="92"/>
        <v>1.5428064612337717</v>
      </c>
      <c r="AC224" s="1483">
        <f t="shared" ca="1" si="109"/>
        <v>3.5638829254500126</v>
      </c>
      <c r="AD224" s="1480">
        <f t="shared" ca="1" si="110"/>
        <v>3.1036241920289283</v>
      </c>
      <c r="AE224" s="113">
        <f t="shared" ca="1" si="111"/>
        <v>1.0649999999999999</v>
      </c>
      <c r="AF224" s="1483">
        <f t="shared" ca="1" si="112"/>
        <v>10.385871610315014</v>
      </c>
      <c r="AG224" s="334">
        <f ca="1">VLOOKUP($A224,Plant_Table,'Plant Operations'!$M$270)</f>
        <v>289336.32000000001</v>
      </c>
      <c r="AH224" s="1481">
        <f t="shared" ca="1" si="113"/>
        <v>3005.0098717210203</v>
      </c>
      <c r="AI224" s="1480">
        <f t="shared" ca="1" si="114"/>
        <v>3.1036241920289283</v>
      </c>
      <c r="AJ224" s="335">
        <f t="shared" ca="1" si="115"/>
        <v>968.2260756437006</v>
      </c>
      <c r="AK224" s="698" t="str">
        <f t="shared" ca="1" si="93"/>
        <v xml:space="preserve"> </v>
      </c>
      <c r="AM224" s="697">
        <f ca="1">IF($A224&gt;Endyr,0,VLOOKUP($A224,Tariff_Table,Tariff!$L$33))</f>
        <v>1.21</v>
      </c>
      <c r="AN224" s="1504">
        <f ca="1">VLOOKUP($A224,Curves_Table,Escalation!$Z$291)</f>
        <v>1.6549565565300055</v>
      </c>
      <c r="AO224" s="331">
        <f t="shared" ca="1" si="116"/>
        <v>2.0024974334013068</v>
      </c>
      <c r="AP224" s="331">
        <f ca="1">IF($A224&gt;Endyr,0,VLOOKUP($A224,Tariff_Table,Tariff!$M$33))</f>
        <v>0.25</v>
      </c>
      <c r="AQ224" s="331">
        <f t="shared" ca="1" si="117"/>
        <v>2.2524974334013068</v>
      </c>
      <c r="AR224" s="331">
        <f t="shared" ca="1" si="118"/>
        <v>1.46</v>
      </c>
      <c r="AS224" s="1508">
        <f t="shared" ca="1" si="119"/>
        <v>1.5428064612337717</v>
      </c>
    </row>
    <row r="225" spans="1:45">
      <c r="A225" s="672">
        <f t="shared" si="94"/>
        <v>43435</v>
      </c>
      <c r="C225" s="1484">
        <f ca="1">IF($A225&gt;Endyr,0,VLOOKUP($A225,Tariff_Table,Tariff!$G$33))</f>
        <v>7429.43</v>
      </c>
      <c r="D225" s="1480">
        <f ca="1">VLOOKUP($A225,Curves_Table,Escalation!$V$291)</f>
        <v>1.7280133273368676</v>
      </c>
      <c r="E225" s="1483">
        <f t="shared" ca="1" si="95"/>
        <v>12838.154054516344</v>
      </c>
      <c r="F225" s="1480">
        <f ca="1">IF(Assm!$L$74=0,VLOOKUP($A225,Curves_Table,Escalation!$D$291),VLOOKUP($A225,Curves_Table,Escalation!$E$291))</f>
        <v>3.1087477268518051</v>
      </c>
      <c r="G225" s="113">
        <f ca="1">IF($A225&lt;EE_Date,VLOOKUP($A225,Curves_Table,Escalation!$D$291),Exch)</f>
        <v>1.0649999999999999</v>
      </c>
      <c r="H225" s="1483">
        <f t="shared" ca="1" si="96"/>
        <v>37474.725102301381</v>
      </c>
      <c r="I225" s="330">
        <f ca="1">VLOOKUP($A225,Plant_Table,'Plant Operations'!$C$270)</f>
        <v>480</v>
      </c>
      <c r="J225" s="1481">
        <f t="shared" ca="1" si="97"/>
        <v>17987.868049104665</v>
      </c>
      <c r="K225" s="1480">
        <f t="shared" ca="1" si="98"/>
        <v>3.1087477268518051</v>
      </c>
      <c r="L225" s="384">
        <f t="shared" ca="1" si="99"/>
        <v>5786.210278091874</v>
      </c>
      <c r="M225" s="692">
        <f t="shared" ca="1" si="90"/>
        <v>68798.793856254444</v>
      </c>
      <c r="O225" s="1482">
        <f ca="1">IF($A225&gt;Endyr,0,VLOOKUP($A225,Tariff_Table,Tariff!$H$33))</f>
        <v>6133.73</v>
      </c>
      <c r="P225" s="1480">
        <f t="shared" ca="1" si="100"/>
        <v>1.5428064612337717</v>
      </c>
      <c r="Q225" s="1481">
        <f t="shared" ca="1" si="101"/>
        <v>9463.1582754634219</v>
      </c>
      <c r="R225" s="1480">
        <f t="shared" ca="1" si="102"/>
        <v>3.1087477268518051</v>
      </c>
      <c r="S225" s="113">
        <f t="shared" ca="1" si="103"/>
        <v>1.0649999999999999</v>
      </c>
      <c r="T225" s="1481">
        <f t="shared" ca="1" si="104"/>
        <v>27623.072091723719</v>
      </c>
      <c r="U225" s="330">
        <f t="shared" ca="1" si="105"/>
        <v>480</v>
      </c>
      <c r="V225" s="1481">
        <f t="shared" ca="1" si="106"/>
        <v>13259.074604027384</v>
      </c>
      <c r="W225" s="1480">
        <f t="shared" ca="1" si="107"/>
        <v>3.1087477268518051</v>
      </c>
      <c r="X225" s="384">
        <f t="shared" ca="1" si="108"/>
        <v>4265.0854199271762</v>
      </c>
      <c r="Y225" s="692">
        <f t="shared" ca="1" si="91"/>
        <v>50739.598484589464</v>
      </c>
      <c r="AA225" s="1484">
        <f ca="1">IF($A225&gt;Endyr,0,VLOOKUP($A225,Tariff_Table,Tariff!$I$33))</f>
        <v>2.31</v>
      </c>
      <c r="AB225" s="1480">
        <f t="shared" ca="1" si="92"/>
        <v>1.5428064612337717</v>
      </c>
      <c r="AC225" s="1483">
        <f t="shared" ca="1" si="109"/>
        <v>3.5638829254500126</v>
      </c>
      <c r="AD225" s="1480">
        <f t="shared" ca="1" si="110"/>
        <v>3.1087477268518051</v>
      </c>
      <c r="AE225" s="113">
        <f t="shared" ca="1" si="111"/>
        <v>1.0649999999999999</v>
      </c>
      <c r="AF225" s="1483">
        <f t="shared" ca="1" si="112"/>
        <v>10.403016848130223</v>
      </c>
      <c r="AG225" s="334">
        <f ca="1">VLOOKUP($A225,Plant_Table,'Plant Operations'!$M$270)</f>
        <v>298980.864</v>
      </c>
      <c r="AH225" s="1481">
        <f t="shared" ca="1" si="113"/>
        <v>3110.3029654605311</v>
      </c>
      <c r="AI225" s="1480">
        <f t="shared" ca="1" si="114"/>
        <v>3.1087477268518051</v>
      </c>
      <c r="AJ225" s="335">
        <f t="shared" ca="1" si="115"/>
        <v>1000.5002781651572</v>
      </c>
      <c r="AK225" s="698">
        <f t="shared" ca="1" si="93"/>
        <v>11681.263368113881</v>
      </c>
      <c r="AM225" s="697">
        <f ca="1">IF($A225&gt;Endyr,0,VLOOKUP($A225,Tariff_Table,Tariff!$L$33))</f>
        <v>1.21</v>
      </c>
      <c r="AN225" s="1504">
        <f ca="1">VLOOKUP($A225,Curves_Table,Escalation!$Z$291)</f>
        <v>1.6549565565300055</v>
      </c>
      <c r="AO225" s="331">
        <f t="shared" ca="1" si="116"/>
        <v>2.0024974334013068</v>
      </c>
      <c r="AP225" s="331">
        <f ca="1">IF($A225&gt;Endyr,0,VLOOKUP($A225,Tariff_Table,Tariff!$M$33))</f>
        <v>0.25</v>
      </c>
      <c r="AQ225" s="331">
        <f t="shared" ca="1" si="117"/>
        <v>2.2524974334013068</v>
      </c>
      <c r="AR225" s="331">
        <f t="shared" ca="1" si="118"/>
        <v>1.46</v>
      </c>
      <c r="AS225" s="1508">
        <f t="shared" ca="1" si="119"/>
        <v>1.5428064612337717</v>
      </c>
    </row>
    <row r="226" spans="1:45">
      <c r="A226" s="672">
        <f t="shared" si="94"/>
        <v>43466</v>
      </c>
      <c r="C226" s="1484">
        <f ca="1">IF($A226&gt;Endyr,0,VLOOKUP($A226,Tariff_Table,Tariff!$G$33))</f>
        <v>7429.43</v>
      </c>
      <c r="D226" s="1480">
        <f ca="1">VLOOKUP($A226,Curves_Table,Escalation!$V$291)</f>
        <v>1.7280133273368676</v>
      </c>
      <c r="E226" s="1483">
        <f t="shared" ca="1" si="95"/>
        <v>12838.154054516344</v>
      </c>
      <c r="F226" s="1480">
        <f ca="1">IF(Assm!$L$74=0,VLOOKUP($A226,Curves_Table,Escalation!$D$291),VLOOKUP($A226,Curves_Table,Escalation!$E$291))</f>
        <v>3.1138921883315391</v>
      </c>
      <c r="G226" s="113">
        <f ca="1">IF($A226&lt;EE_Date,VLOOKUP($A226,Curves_Table,Escalation!$D$291),Exch)</f>
        <v>1.0649999999999999</v>
      </c>
      <c r="H226" s="1483">
        <f t="shared" ca="1" si="96"/>
        <v>37536.739552070721</v>
      </c>
      <c r="I226" s="330">
        <f ca="1">VLOOKUP($A226,Plant_Table,'Plant Operations'!$C$270)</f>
        <v>480</v>
      </c>
      <c r="J226" s="1481">
        <f t="shared" ca="1" si="97"/>
        <v>18017.634984993947</v>
      </c>
      <c r="K226" s="1480">
        <f t="shared" ca="1" si="98"/>
        <v>3.1138921883315391</v>
      </c>
      <c r="L226" s="384">
        <f t="shared" ca="1" si="99"/>
        <v>5786.2102780918731</v>
      </c>
      <c r="M226" s="692" t="str">
        <f t="shared" ca="1" si="90"/>
        <v xml:space="preserve"> </v>
      </c>
      <c r="O226" s="1482">
        <f ca="1">IF($A226&gt;Endyr,0,VLOOKUP($A226,Tariff_Table,Tariff!$H$33))</f>
        <v>6133.73</v>
      </c>
      <c r="P226" s="1480">
        <f t="shared" ca="1" si="100"/>
        <v>1.5428064612337717</v>
      </c>
      <c r="Q226" s="1481">
        <f t="shared" ca="1" si="101"/>
        <v>9463.1582754634219</v>
      </c>
      <c r="R226" s="1480">
        <f t="shared" ca="1" si="102"/>
        <v>3.1138921883315391</v>
      </c>
      <c r="S226" s="113">
        <f t="shared" ca="1" si="103"/>
        <v>1.0649999999999999</v>
      </c>
      <c r="T226" s="1481">
        <f t="shared" ca="1" si="104"/>
        <v>27668.783690995784</v>
      </c>
      <c r="U226" s="330">
        <f t="shared" ca="1" si="105"/>
        <v>480</v>
      </c>
      <c r="V226" s="1481">
        <f t="shared" ca="1" si="106"/>
        <v>13281.016171677977</v>
      </c>
      <c r="W226" s="1480">
        <f t="shared" ca="1" si="107"/>
        <v>3.1138921883315391</v>
      </c>
      <c r="X226" s="384">
        <f t="shared" ca="1" si="108"/>
        <v>4265.0854199271762</v>
      </c>
      <c r="Y226" s="692" t="str">
        <f t="shared" ca="1" si="91"/>
        <v xml:space="preserve"> </v>
      </c>
      <c r="AA226" s="1484">
        <f ca="1">IF($A226&gt;Endyr,0,VLOOKUP($A226,Tariff_Table,Tariff!$I$33))</f>
        <v>2.31</v>
      </c>
      <c r="AB226" s="1480">
        <f t="shared" ca="1" si="92"/>
        <v>1.5428064612337717</v>
      </c>
      <c r="AC226" s="1483">
        <f t="shared" ca="1" si="109"/>
        <v>3.5638829254500126</v>
      </c>
      <c r="AD226" s="1480">
        <f t="shared" ca="1" si="110"/>
        <v>3.1138921883315391</v>
      </c>
      <c r="AE226" s="113">
        <f t="shared" ca="1" si="111"/>
        <v>1.0649999999999999</v>
      </c>
      <c r="AF226" s="1483">
        <f t="shared" ca="1" si="112"/>
        <v>10.420232114260044</v>
      </c>
      <c r="AG226" s="334">
        <f ca="1">VLOOKUP($A226,Plant_Table,'Plant Operations'!$M$270)</f>
        <v>298980.864</v>
      </c>
      <c r="AH226" s="1481">
        <f t="shared" ca="1" si="113"/>
        <v>3115.4500006020144</v>
      </c>
      <c r="AI226" s="1480">
        <f t="shared" ca="1" si="114"/>
        <v>3.1138921883315391</v>
      </c>
      <c r="AJ226" s="335">
        <f t="shared" ca="1" si="115"/>
        <v>1000.5002781651571</v>
      </c>
      <c r="AK226" s="698" t="str">
        <f t="shared" ca="1" si="93"/>
        <v xml:space="preserve"> </v>
      </c>
      <c r="AM226" s="697">
        <f ca="1">IF($A226&gt;Endyr,0,VLOOKUP($A226,Tariff_Table,Tariff!$L$33))</f>
        <v>1.21</v>
      </c>
      <c r="AN226" s="1504">
        <f ca="1">VLOOKUP($A226,Curves_Table,Escalation!$Z$291)</f>
        <v>1.6549565565300055</v>
      </c>
      <c r="AO226" s="331">
        <f t="shared" ca="1" si="116"/>
        <v>2.0024974334013068</v>
      </c>
      <c r="AP226" s="331">
        <f ca="1">IF($A226&gt;Endyr,0,VLOOKUP($A226,Tariff_Table,Tariff!$M$33))</f>
        <v>0.25</v>
      </c>
      <c r="AQ226" s="331">
        <f t="shared" ca="1" si="117"/>
        <v>2.2524974334013068</v>
      </c>
      <c r="AR226" s="331">
        <f t="shared" ca="1" si="118"/>
        <v>1.46</v>
      </c>
      <c r="AS226" s="1508">
        <f t="shared" ca="1" si="119"/>
        <v>1.5428064612337717</v>
      </c>
    </row>
    <row r="227" spans="1:45">
      <c r="A227" s="672">
        <f t="shared" si="94"/>
        <v>43497</v>
      </c>
      <c r="C227" s="1484">
        <f ca="1">IF($A227&gt;Endyr,0,VLOOKUP($A227,Tariff_Table,Tariff!$G$33))</f>
        <v>7429.43</v>
      </c>
      <c r="D227" s="1480">
        <f ca="1">VLOOKUP($A227,Curves_Table,Escalation!$V$291)</f>
        <v>1.7280133273368676</v>
      </c>
      <c r="E227" s="1483">
        <f t="shared" ca="1" si="95"/>
        <v>12838.154054516344</v>
      </c>
      <c r="F227" s="1480">
        <f ca="1">IF(Assm!$L$74=0,VLOOKUP($A227,Curves_Table,Escalation!$D$291),VLOOKUP($A227,Curves_Table,Escalation!$E$291))</f>
        <v>3.1190451630411142</v>
      </c>
      <c r="G227" s="113">
        <f ca="1">IF($A227&lt;EE_Date,VLOOKUP($A227,Curves_Table,Escalation!$D$291),Exch)</f>
        <v>1.0649999999999999</v>
      </c>
      <c r="H227" s="1483">
        <f t="shared" ca="1" si="96"/>
        <v>37598.85662546091</v>
      </c>
      <c r="I227" s="330">
        <f ca="1">VLOOKUP($A227,Plant_Table,'Plant Operations'!$C$270)</f>
        <v>480</v>
      </c>
      <c r="J227" s="1481">
        <f t="shared" ca="1" si="97"/>
        <v>18047.451180221236</v>
      </c>
      <c r="K227" s="1480">
        <f t="shared" ca="1" si="98"/>
        <v>3.1190451630411142</v>
      </c>
      <c r="L227" s="384">
        <f t="shared" ca="1" si="99"/>
        <v>5786.2102780918731</v>
      </c>
      <c r="M227" s="692" t="str">
        <f t="shared" ca="1" si="90"/>
        <v xml:space="preserve"> </v>
      </c>
      <c r="O227" s="1482">
        <f ca="1">IF($A227&gt;Endyr,0,VLOOKUP($A227,Tariff_Table,Tariff!$H$33))</f>
        <v>6133.73</v>
      </c>
      <c r="P227" s="1480">
        <f t="shared" ca="1" si="100"/>
        <v>1.5428064612337717</v>
      </c>
      <c r="Q227" s="1481">
        <f t="shared" ca="1" si="101"/>
        <v>9463.1582754634219</v>
      </c>
      <c r="R227" s="1480">
        <f t="shared" ca="1" si="102"/>
        <v>3.1190451630411142</v>
      </c>
      <c r="S227" s="113">
        <f t="shared" ca="1" si="103"/>
        <v>1.0649999999999999</v>
      </c>
      <c r="T227" s="1481">
        <f t="shared" ca="1" si="104"/>
        <v>27714.570935377164</v>
      </c>
      <c r="U227" s="330">
        <f t="shared" ca="1" si="105"/>
        <v>480</v>
      </c>
      <c r="V227" s="1481">
        <f t="shared" ca="1" si="106"/>
        <v>13302.99404898104</v>
      </c>
      <c r="W227" s="1480">
        <f t="shared" ca="1" si="107"/>
        <v>3.1190451630411142</v>
      </c>
      <c r="X227" s="384">
        <f t="shared" ca="1" si="108"/>
        <v>4265.0854199271762</v>
      </c>
      <c r="Y227" s="692" t="str">
        <f t="shared" ca="1" si="91"/>
        <v xml:space="preserve"> </v>
      </c>
      <c r="AA227" s="1484">
        <f ca="1">IF($A227&gt;Endyr,0,VLOOKUP($A227,Tariff_Table,Tariff!$I$33))</f>
        <v>2.31</v>
      </c>
      <c r="AB227" s="1480">
        <f t="shared" ca="1" si="92"/>
        <v>1.5428064612337717</v>
      </c>
      <c r="AC227" s="1483">
        <f t="shared" ca="1" si="109"/>
        <v>3.5638829254500126</v>
      </c>
      <c r="AD227" s="1480">
        <f t="shared" ca="1" si="110"/>
        <v>3.1190451630411142</v>
      </c>
      <c r="AE227" s="113">
        <f t="shared" ca="1" si="111"/>
        <v>1.0649999999999999</v>
      </c>
      <c r="AF227" s="1483">
        <f t="shared" ca="1" si="112"/>
        <v>10.43747586879782</v>
      </c>
      <c r="AG227" s="334">
        <f ca="1">VLOOKUP($A227,Plant_Table,'Plant Operations'!$M$270)</f>
        <v>270047.23200000002</v>
      </c>
      <c r="AH227" s="1481">
        <f t="shared" ca="1" si="113"/>
        <v>2818.6114674356468</v>
      </c>
      <c r="AI227" s="1480">
        <f t="shared" ca="1" si="114"/>
        <v>3.1190451630411142</v>
      </c>
      <c r="AJ227" s="335">
        <f t="shared" ca="1" si="115"/>
        <v>903.67767060078722</v>
      </c>
      <c r="AK227" s="698" t="str">
        <f t="shared" ca="1" si="93"/>
        <v xml:space="preserve"> </v>
      </c>
      <c r="AM227" s="697">
        <f ca="1">IF($A227&gt;Endyr,0,VLOOKUP($A227,Tariff_Table,Tariff!$L$33))</f>
        <v>1.21</v>
      </c>
      <c r="AN227" s="1504">
        <f ca="1">VLOOKUP($A227,Curves_Table,Escalation!$Z$291)</f>
        <v>1.6549565565300055</v>
      </c>
      <c r="AO227" s="331">
        <f t="shared" ca="1" si="116"/>
        <v>2.0024974334013068</v>
      </c>
      <c r="AP227" s="331">
        <f ca="1">IF($A227&gt;Endyr,0,VLOOKUP($A227,Tariff_Table,Tariff!$M$33))</f>
        <v>0.25</v>
      </c>
      <c r="AQ227" s="331">
        <f t="shared" ca="1" si="117"/>
        <v>2.2524974334013068</v>
      </c>
      <c r="AR227" s="331">
        <f t="shared" ca="1" si="118"/>
        <v>1.46</v>
      </c>
      <c r="AS227" s="1508">
        <f t="shared" ca="1" si="119"/>
        <v>1.5428064612337717</v>
      </c>
    </row>
    <row r="228" spans="1:45">
      <c r="A228" s="672">
        <f t="shared" si="94"/>
        <v>43525</v>
      </c>
      <c r="C228" s="1484">
        <f ca="1">IF($A228&gt;Endyr,0,VLOOKUP($A228,Tariff_Table,Tariff!$G$33))</f>
        <v>7429.43</v>
      </c>
      <c r="D228" s="1480">
        <f ca="1">VLOOKUP($A228,Curves_Table,Escalation!$V$291)</f>
        <v>1.7280133273368676</v>
      </c>
      <c r="E228" s="1483">
        <f t="shared" ca="1" si="95"/>
        <v>12838.154054516344</v>
      </c>
      <c r="F228" s="1480">
        <f ca="1">IF(Assm!$L$74=0,VLOOKUP($A228,Curves_Table,Escalation!$D$291),VLOOKUP($A228,Curves_Table,Escalation!$E$291))</f>
        <v>3.1242066650685127</v>
      </c>
      <c r="G228" s="113">
        <f ca="1">IF($A228&lt;EE_Date,VLOOKUP($A228,Curves_Table,Escalation!$D$291),Exch)</f>
        <v>1.0649999999999999</v>
      </c>
      <c r="H228" s="1483">
        <f t="shared" ca="1" si="96"/>
        <v>37661.076492297012</v>
      </c>
      <c r="I228" s="330">
        <f ca="1">VLOOKUP($A228,Plant_Table,'Plant Operations'!$C$270)</f>
        <v>480</v>
      </c>
      <c r="J228" s="1481">
        <f t="shared" ca="1" si="97"/>
        <v>18077.316716302565</v>
      </c>
      <c r="K228" s="1480">
        <f t="shared" ca="1" si="98"/>
        <v>3.1242066650685127</v>
      </c>
      <c r="L228" s="384">
        <f t="shared" ca="1" si="99"/>
        <v>5786.210278091874</v>
      </c>
      <c r="M228" s="692" t="str">
        <f t="shared" ca="1" si="90"/>
        <v xml:space="preserve"> </v>
      </c>
      <c r="O228" s="1482">
        <f ca="1">IF($A228&gt;Endyr,0,VLOOKUP($A228,Tariff_Table,Tariff!$H$33))</f>
        <v>6133.73</v>
      </c>
      <c r="P228" s="1480">
        <f t="shared" ca="1" si="100"/>
        <v>1.5428064612337717</v>
      </c>
      <c r="Q228" s="1481">
        <f t="shared" ca="1" si="101"/>
        <v>9463.1582754634219</v>
      </c>
      <c r="R228" s="1480">
        <f t="shared" ca="1" si="102"/>
        <v>3.1242066650685127</v>
      </c>
      <c r="S228" s="113">
        <f t="shared" ca="1" si="103"/>
        <v>1.0649999999999999</v>
      </c>
      <c r="T228" s="1481">
        <f t="shared" ca="1" si="104"/>
        <v>27760.433950047958</v>
      </c>
      <c r="U228" s="330">
        <f t="shared" ca="1" si="105"/>
        <v>480</v>
      </c>
      <c r="V228" s="1481">
        <f t="shared" ca="1" si="106"/>
        <v>13325.008296023021</v>
      </c>
      <c r="W228" s="1480">
        <f t="shared" ca="1" si="107"/>
        <v>3.1242066650685127</v>
      </c>
      <c r="X228" s="384">
        <f t="shared" ca="1" si="108"/>
        <v>4265.0854199271762</v>
      </c>
      <c r="Y228" s="692" t="str">
        <f t="shared" ca="1" si="91"/>
        <v xml:space="preserve"> </v>
      </c>
      <c r="AA228" s="1484">
        <f ca="1">IF($A228&gt;Endyr,0,VLOOKUP($A228,Tariff_Table,Tariff!$I$33))</f>
        <v>2.31</v>
      </c>
      <c r="AB228" s="1480">
        <f t="shared" ca="1" si="92"/>
        <v>1.5428064612337717</v>
      </c>
      <c r="AC228" s="1483">
        <f t="shared" ca="1" si="109"/>
        <v>3.5638829254500126</v>
      </c>
      <c r="AD228" s="1480">
        <f t="shared" ca="1" si="110"/>
        <v>3.1242066650685127</v>
      </c>
      <c r="AE228" s="113">
        <f t="shared" ca="1" si="111"/>
        <v>1.0649999999999999</v>
      </c>
      <c r="AF228" s="1483">
        <f t="shared" ca="1" si="112"/>
        <v>10.454748158887135</v>
      </c>
      <c r="AG228" s="334">
        <f ca="1">VLOOKUP($A228,Plant_Table,'Plant Operations'!$M$270)</f>
        <v>298980.864</v>
      </c>
      <c r="AH228" s="1481">
        <f t="shared" ca="1" si="113"/>
        <v>3125.7696374464849</v>
      </c>
      <c r="AI228" s="1480">
        <f t="shared" ca="1" si="114"/>
        <v>3.1242066650685127</v>
      </c>
      <c r="AJ228" s="335">
        <f t="shared" ca="1" si="115"/>
        <v>1000.5002781651572</v>
      </c>
      <c r="AK228" s="698" t="str">
        <f t="shared" ca="1" si="93"/>
        <v xml:space="preserve"> </v>
      </c>
      <c r="AM228" s="697">
        <f ca="1">IF($A228&gt;Endyr,0,VLOOKUP($A228,Tariff_Table,Tariff!$L$33))</f>
        <v>1.21</v>
      </c>
      <c r="AN228" s="1504">
        <f ca="1">VLOOKUP($A228,Curves_Table,Escalation!$Z$291)</f>
        <v>1.6549565565300055</v>
      </c>
      <c r="AO228" s="331">
        <f t="shared" ca="1" si="116"/>
        <v>2.0024974334013068</v>
      </c>
      <c r="AP228" s="331">
        <f ca="1">IF($A228&gt;Endyr,0,VLOOKUP($A228,Tariff_Table,Tariff!$M$33))</f>
        <v>0.25</v>
      </c>
      <c r="AQ228" s="331">
        <f t="shared" ca="1" si="117"/>
        <v>2.2524974334013068</v>
      </c>
      <c r="AR228" s="331">
        <f t="shared" ca="1" si="118"/>
        <v>1.46</v>
      </c>
      <c r="AS228" s="1508">
        <f t="shared" ca="1" si="119"/>
        <v>1.5428064612337717</v>
      </c>
    </row>
    <row r="229" spans="1:45">
      <c r="A229" s="672">
        <f t="shared" si="94"/>
        <v>43556</v>
      </c>
      <c r="C229" s="1484">
        <f ca="1">IF($A229&gt;Endyr,0,VLOOKUP($A229,Tariff_Table,Tariff!$G$33))</f>
        <v>7429.43</v>
      </c>
      <c r="D229" s="1480">
        <f ca="1">VLOOKUP($A229,Curves_Table,Escalation!$V$291)</f>
        <v>1.7280133273368676</v>
      </c>
      <c r="E229" s="1483">
        <f t="shared" ca="1" si="95"/>
        <v>12838.154054516344</v>
      </c>
      <c r="F229" s="1480">
        <f ca="1">IF(Assm!$L$74=0,VLOOKUP($A229,Curves_Table,Escalation!$D$291),VLOOKUP($A229,Curves_Table,Escalation!$E$291))</f>
        <v>3.1293767085250299</v>
      </c>
      <c r="G229" s="113">
        <f ca="1">IF($A229&lt;EE_Date,VLOOKUP($A229,Curves_Table,Escalation!$D$291),Exch)</f>
        <v>1.0649999999999999</v>
      </c>
      <c r="H229" s="1483">
        <f t="shared" ca="1" si="96"/>
        <v>37723.399322685094</v>
      </c>
      <c r="I229" s="330">
        <f ca="1">VLOOKUP($A229,Plant_Table,'Plant Operations'!$C$270)</f>
        <v>480</v>
      </c>
      <c r="J229" s="1481">
        <f t="shared" ca="1" si="97"/>
        <v>18107.231674888844</v>
      </c>
      <c r="K229" s="1480">
        <f t="shared" ca="1" si="98"/>
        <v>3.1293767085250299</v>
      </c>
      <c r="L229" s="384">
        <f t="shared" ca="1" si="99"/>
        <v>5786.2102780918731</v>
      </c>
      <c r="M229" s="692" t="str">
        <f t="shared" ca="1" si="90"/>
        <v xml:space="preserve"> </v>
      </c>
      <c r="O229" s="1482">
        <f ca="1">IF($A229&gt;Endyr,0,VLOOKUP($A229,Tariff_Table,Tariff!$H$33))</f>
        <v>6133.73</v>
      </c>
      <c r="P229" s="1480">
        <f t="shared" ca="1" si="100"/>
        <v>1.5428064612337717</v>
      </c>
      <c r="Q229" s="1481">
        <f t="shared" ca="1" si="101"/>
        <v>9463.1582754634219</v>
      </c>
      <c r="R229" s="1480">
        <f t="shared" ca="1" si="102"/>
        <v>3.1293767085250299</v>
      </c>
      <c r="S229" s="113">
        <f t="shared" ca="1" si="103"/>
        <v>1.0649999999999999</v>
      </c>
      <c r="T229" s="1481">
        <f t="shared" ca="1" si="104"/>
        <v>27806.372860395419</v>
      </c>
      <c r="U229" s="330">
        <f t="shared" ca="1" si="105"/>
        <v>480</v>
      </c>
      <c r="V229" s="1481">
        <f t="shared" ca="1" si="106"/>
        <v>13347.058972989802</v>
      </c>
      <c r="W229" s="1480">
        <f t="shared" ca="1" si="107"/>
        <v>3.1293767085250299</v>
      </c>
      <c r="X229" s="384">
        <f t="shared" ca="1" si="108"/>
        <v>4265.0854199271762</v>
      </c>
      <c r="Y229" s="692" t="str">
        <f t="shared" ca="1" si="91"/>
        <v xml:space="preserve"> </v>
      </c>
      <c r="AA229" s="1484">
        <f ca="1">IF($A229&gt;Endyr,0,VLOOKUP($A229,Tariff_Table,Tariff!$I$33))</f>
        <v>2.31</v>
      </c>
      <c r="AB229" s="1480">
        <f t="shared" ca="1" si="92"/>
        <v>1.5428064612337717</v>
      </c>
      <c r="AC229" s="1483">
        <f t="shared" ca="1" si="109"/>
        <v>3.5638829254500126</v>
      </c>
      <c r="AD229" s="1480">
        <f t="shared" ca="1" si="110"/>
        <v>3.1293767085250299</v>
      </c>
      <c r="AE229" s="113">
        <f t="shared" ca="1" si="111"/>
        <v>1.0649999999999999</v>
      </c>
      <c r="AF229" s="1483">
        <f t="shared" ca="1" si="112"/>
        <v>10.472049031749592</v>
      </c>
      <c r="AG229" s="334">
        <f ca="1">VLOOKUP($A229,Plant_Table,'Plant Operations'!$M$270)</f>
        <v>289336.32000000001</v>
      </c>
      <c r="AH229" s="1481">
        <f t="shared" ca="1" si="113"/>
        <v>3029.9441297059902</v>
      </c>
      <c r="AI229" s="1480">
        <f t="shared" ca="1" si="114"/>
        <v>3.1293767085250299</v>
      </c>
      <c r="AJ229" s="335">
        <f t="shared" ca="1" si="115"/>
        <v>968.2260756437006</v>
      </c>
      <c r="AK229" s="698" t="str">
        <f t="shared" ca="1" si="93"/>
        <v xml:space="preserve"> </v>
      </c>
      <c r="AM229" s="697">
        <f ca="1">IF($A229&gt;Endyr,0,VLOOKUP($A229,Tariff_Table,Tariff!$L$33))</f>
        <v>1.21</v>
      </c>
      <c r="AN229" s="1504">
        <f ca="1">VLOOKUP($A229,Curves_Table,Escalation!$Z$291)</f>
        <v>1.6549565565300055</v>
      </c>
      <c r="AO229" s="331">
        <f t="shared" ca="1" si="116"/>
        <v>2.0024974334013068</v>
      </c>
      <c r="AP229" s="331">
        <f ca="1">IF($A229&gt;Endyr,0,VLOOKUP($A229,Tariff_Table,Tariff!$M$33))</f>
        <v>0.25</v>
      </c>
      <c r="AQ229" s="331">
        <f t="shared" ca="1" si="117"/>
        <v>2.2524974334013068</v>
      </c>
      <c r="AR229" s="331">
        <f t="shared" ca="1" si="118"/>
        <v>1.46</v>
      </c>
      <c r="AS229" s="1508">
        <f t="shared" ca="1" si="119"/>
        <v>1.5428064612337717</v>
      </c>
    </row>
    <row r="230" spans="1:45">
      <c r="A230" s="672">
        <f t="shared" si="94"/>
        <v>43586</v>
      </c>
      <c r="C230" s="1484">
        <f ca="1">IF($A230&gt;Endyr,0,VLOOKUP($A230,Tariff_Table,Tariff!$G$33))</f>
        <v>0</v>
      </c>
      <c r="D230" s="1480">
        <f ca="1">VLOOKUP($A230,Curves_Table,Escalation!$V$291)</f>
        <v>1.7754357291063123</v>
      </c>
      <c r="E230" s="1483">
        <f t="shared" ca="1" si="95"/>
        <v>0</v>
      </c>
      <c r="F230" s="1480">
        <f ca="1">IF(Assm!$L$74=0,VLOOKUP($A230,Curves_Table,Escalation!$D$291),VLOOKUP($A230,Curves_Table,Escalation!$E$291))</f>
        <v>3.1345553075453139</v>
      </c>
      <c r="G230" s="113">
        <f ca="1">IF($A230&lt;EE_Date,VLOOKUP($A230,Curves_Table,Escalation!$D$291),Exch)</f>
        <v>1.0649999999999999</v>
      </c>
      <c r="H230" s="1483">
        <f t="shared" ca="1" si="96"/>
        <v>0</v>
      </c>
      <c r="I230" s="330">
        <f ca="1">VLOOKUP($A230,Plant_Table,'Plant Operations'!$C$270)</f>
        <v>0</v>
      </c>
      <c r="J230" s="1481">
        <f t="shared" ca="1" si="97"/>
        <v>0</v>
      </c>
      <c r="K230" s="1480">
        <f t="shared" ca="1" si="98"/>
        <v>3.1345553075453139</v>
      </c>
      <c r="L230" s="384">
        <f t="shared" ca="1" si="99"/>
        <v>0</v>
      </c>
      <c r="M230" s="692" t="str">
        <f t="shared" ca="1" si="90"/>
        <v xml:space="preserve"> </v>
      </c>
      <c r="O230" s="1482">
        <f ca="1">IF($A230&gt;Endyr,0,VLOOKUP($A230,Tariff_Table,Tariff!$H$33))</f>
        <v>0</v>
      </c>
      <c r="P230" s="1480">
        <f t="shared" ca="1" si="100"/>
        <v>0</v>
      </c>
      <c r="Q230" s="1481">
        <f t="shared" ca="1" si="101"/>
        <v>0</v>
      </c>
      <c r="R230" s="1480">
        <f t="shared" ca="1" si="102"/>
        <v>3.1345553075453139</v>
      </c>
      <c r="S230" s="113">
        <f t="shared" ca="1" si="103"/>
        <v>1.0649999999999999</v>
      </c>
      <c r="T230" s="1481">
        <f t="shared" ca="1" si="104"/>
        <v>0</v>
      </c>
      <c r="U230" s="330">
        <f t="shared" ca="1" si="105"/>
        <v>0</v>
      </c>
      <c r="V230" s="1481">
        <f t="shared" ca="1" si="106"/>
        <v>0</v>
      </c>
      <c r="W230" s="1480">
        <f t="shared" ca="1" si="107"/>
        <v>3.1345553075453139</v>
      </c>
      <c r="X230" s="384">
        <f t="shared" ca="1" si="108"/>
        <v>0</v>
      </c>
      <c r="Y230" s="692" t="str">
        <f t="shared" ca="1" si="91"/>
        <v xml:space="preserve"> </v>
      </c>
      <c r="AA230" s="1484">
        <f ca="1">IF($A230&gt;Endyr,0,VLOOKUP($A230,Tariff_Table,Tariff!$I$33))</f>
        <v>0</v>
      </c>
      <c r="AB230" s="1480">
        <f t="shared" ca="1" si="92"/>
        <v>0</v>
      </c>
      <c r="AC230" s="1483">
        <f t="shared" ca="1" si="109"/>
        <v>0</v>
      </c>
      <c r="AD230" s="1480">
        <f t="shared" ca="1" si="110"/>
        <v>3.1345553075453139</v>
      </c>
      <c r="AE230" s="113">
        <f t="shared" ca="1" si="111"/>
        <v>1.0649999999999999</v>
      </c>
      <c r="AF230" s="1483">
        <f t="shared" ca="1" si="112"/>
        <v>0</v>
      </c>
      <c r="AG230" s="334">
        <f ca="1">VLOOKUP($A230,Plant_Table,'Plant Operations'!$M$270)</f>
        <v>0</v>
      </c>
      <c r="AH230" s="1481">
        <f t="shared" ca="1" si="113"/>
        <v>0</v>
      </c>
      <c r="AI230" s="1480">
        <f t="shared" ca="1" si="114"/>
        <v>3.1345553075453139</v>
      </c>
      <c r="AJ230" s="335">
        <f t="shared" ca="1" si="115"/>
        <v>0</v>
      </c>
      <c r="AK230" s="698" t="str">
        <f t="shared" ca="1" si="93"/>
        <v xml:space="preserve"> </v>
      </c>
      <c r="AM230" s="697">
        <f ca="1">IF($A230&gt;Endyr,0,VLOOKUP($A230,Tariff_Table,Tariff!$L$33))</f>
        <v>0</v>
      </c>
      <c r="AN230" s="1504">
        <f ca="1">VLOOKUP($A230,Curves_Table,Escalation!$Z$291)</f>
        <v>1.696236647453875</v>
      </c>
      <c r="AO230" s="331">
        <f t="shared" ca="1" si="116"/>
        <v>0</v>
      </c>
      <c r="AP230" s="331">
        <f ca="1">IF($A230&gt;Endyr,0,VLOOKUP($A230,Tariff_Table,Tariff!$M$33))</f>
        <v>0</v>
      </c>
      <c r="AQ230" s="331">
        <f t="shared" ca="1" si="117"/>
        <v>0</v>
      </c>
      <c r="AR230" s="331">
        <f t="shared" ca="1" si="118"/>
        <v>0</v>
      </c>
      <c r="AS230" s="1508">
        <f t="shared" ca="1" si="119"/>
        <v>0</v>
      </c>
    </row>
    <row r="231" spans="1:45">
      <c r="A231" s="672">
        <f t="shared" si="94"/>
        <v>43617</v>
      </c>
      <c r="C231" s="1484">
        <f ca="1">IF($A231&gt;Endyr,0,VLOOKUP($A231,Tariff_Table,Tariff!$G$33))</f>
        <v>0</v>
      </c>
      <c r="D231" s="1480">
        <f ca="1">VLOOKUP($A231,Curves_Table,Escalation!$V$291)</f>
        <v>1.7754357291063123</v>
      </c>
      <c r="E231" s="1483">
        <f t="shared" ca="1" si="95"/>
        <v>0</v>
      </c>
      <c r="F231" s="1480">
        <f ca="1">IF(Assm!$L$74=0,VLOOKUP($A231,Curves_Table,Escalation!$D$291),VLOOKUP($A231,Curves_Table,Escalation!$E$291))</f>
        <v>3.1345553075453139</v>
      </c>
      <c r="G231" s="113">
        <f ca="1">IF($A231&lt;EE_Date,VLOOKUP($A231,Curves_Table,Escalation!$D$291),Exch)</f>
        <v>1.0649999999999999</v>
      </c>
      <c r="H231" s="1483">
        <f t="shared" ca="1" si="96"/>
        <v>0</v>
      </c>
      <c r="I231" s="330">
        <f ca="1">VLOOKUP($A231,Plant_Table,'Plant Operations'!$C$270)</f>
        <v>0</v>
      </c>
      <c r="J231" s="1481">
        <f t="shared" ca="1" si="97"/>
        <v>0</v>
      </c>
      <c r="K231" s="1480">
        <f t="shared" ca="1" si="98"/>
        <v>3.1345553075453139</v>
      </c>
      <c r="L231" s="384">
        <f t="shared" ca="1" si="99"/>
        <v>0</v>
      </c>
      <c r="M231" s="692" t="str">
        <f t="shared" ca="1" si="90"/>
        <v xml:space="preserve"> </v>
      </c>
      <c r="O231" s="1482">
        <f ca="1">IF($A231&gt;Endyr,0,VLOOKUP($A231,Tariff_Table,Tariff!$H$33))</f>
        <v>0</v>
      </c>
      <c r="P231" s="1480">
        <f t="shared" ca="1" si="100"/>
        <v>0</v>
      </c>
      <c r="Q231" s="1481">
        <f t="shared" ca="1" si="101"/>
        <v>0</v>
      </c>
      <c r="R231" s="1480">
        <f t="shared" ca="1" si="102"/>
        <v>3.1345553075453139</v>
      </c>
      <c r="S231" s="113">
        <f t="shared" ca="1" si="103"/>
        <v>1.0649999999999999</v>
      </c>
      <c r="T231" s="1481">
        <f t="shared" ca="1" si="104"/>
        <v>0</v>
      </c>
      <c r="U231" s="330">
        <f t="shared" ca="1" si="105"/>
        <v>0</v>
      </c>
      <c r="V231" s="1481">
        <f t="shared" ca="1" si="106"/>
        <v>0</v>
      </c>
      <c r="W231" s="1480">
        <f t="shared" ca="1" si="107"/>
        <v>3.1345553075453139</v>
      </c>
      <c r="X231" s="384">
        <f t="shared" ca="1" si="108"/>
        <v>0</v>
      </c>
      <c r="Y231" s="692" t="str">
        <f t="shared" ca="1" si="91"/>
        <v xml:space="preserve"> </v>
      </c>
      <c r="AA231" s="1484">
        <f ca="1">IF($A231&gt;Endyr,0,VLOOKUP($A231,Tariff_Table,Tariff!$I$33))</f>
        <v>0</v>
      </c>
      <c r="AB231" s="1480">
        <f t="shared" ca="1" si="92"/>
        <v>0</v>
      </c>
      <c r="AC231" s="1483">
        <f t="shared" ca="1" si="109"/>
        <v>0</v>
      </c>
      <c r="AD231" s="1480">
        <f t="shared" ca="1" si="110"/>
        <v>3.1345553075453139</v>
      </c>
      <c r="AE231" s="113">
        <f t="shared" ca="1" si="111"/>
        <v>1.0649999999999999</v>
      </c>
      <c r="AF231" s="1483">
        <f t="shared" ca="1" si="112"/>
        <v>0</v>
      </c>
      <c r="AG231" s="334">
        <f ca="1">VLOOKUP($A231,Plant_Table,'Plant Operations'!$M$270)</f>
        <v>0</v>
      </c>
      <c r="AH231" s="1481">
        <f t="shared" ca="1" si="113"/>
        <v>0</v>
      </c>
      <c r="AI231" s="1480">
        <f t="shared" ca="1" si="114"/>
        <v>3.1345553075453139</v>
      </c>
      <c r="AJ231" s="335">
        <f t="shared" ca="1" si="115"/>
        <v>0</v>
      </c>
      <c r="AK231" s="698" t="str">
        <f t="shared" ca="1" si="93"/>
        <v xml:space="preserve"> </v>
      </c>
      <c r="AM231" s="697">
        <f ca="1">IF($A231&gt;Endyr,0,VLOOKUP($A231,Tariff_Table,Tariff!$L$33))</f>
        <v>0</v>
      </c>
      <c r="AN231" s="1504">
        <f ca="1">VLOOKUP($A231,Curves_Table,Escalation!$Z$291)</f>
        <v>1.696236647453875</v>
      </c>
      <c r="AO231" s="331">
        <f t="shared" ca="1" si="116"/>
        <v>0</v>
      </c>
      <c r="AP231" s="331">
        <f ca="1">IF($A231&gt;Endyr,0,VLOOKUP($A231,Tariff_Table,Tariff!$M$33))</f>
        <v>0</v>
      </c>
      <c r="AQ231" s="331">
        <f t="shared" ca="1" si="117"/>
        <v>0</v>
      </c>
      <c r="AR231" s="331">
        <f t="shared" ca="1" si="118"/>
        <v>0</v>
      </c>
      <c r="AS231" s="1508">
        <f t="shared" ca="1" si="119"/>
        <v>0</v>
      </c>
    </row>
    <row r="232" spans="1:45">
      <c r="A232" s="672">
        <f t="shared" si="94"/>
        <v>43647</v>
      </c>
      <c r="C232" s="1484">
        <f ca="1">IF($A232&gt;Endyr,0,VLOOKUP($A232,Tariff_Table,Tariff!$G$33))</f>
        <v>0</v>
      </c>
      <c r="D232" s="1480">
        <f ca="1">VLOOKUP($A232,Curves_Table,Escalation!$V$291)</f>
        <v>1.7754357291063123</v>
      </c>
      <c r="E232" s="1483">
        <f t="shared" ca="1" si="95"/>
        <v>0</v>
      </c>
      <c r="F232" s="1480">
        <f ca="1">IF(Assm!$L$74=0,VLOOKUP($A232,Curves_Table,Escalation!$D$291),VLOOKUP($A232,Curves_Table,Escalation!$E$291))</f>
        <v>3.1345553075453139</v>
      </c>
      <c r="G232" s="113">
        <f ca="1">IF($A232&lt;EE_Date,VLOOKUP($A232,Curves_Table,Escalation!$D$291),Exch)</f>
        <v>1.0649999999999999</v>
      </c>
      <c r="H232" s="1483">
        <f t="shared" ca="1" si="96"/>
        <v>0</v>
      </c>
      <c r="I232" s="330">
        <f ca="1">VLOOKUP($A232,Plant_Table,'Plant Operations'!$C$270)</f>
        <v>0</v>
      </c>
      <c r="J232" s="1481">
        <f t="shared" ca="1" si="97"/>
        <v>0</v>
      </c>
      <c r="K232" s="1480">
        <f t="shared" ca="1" si="98"/>
        <v>3.1345553075453139</v>
      </c>
      <c r="L232" s="384">
        <f t="shared" ca="1" si="99"/>
        <v>0</v>
      </c>
      <c r="M232" s="692" t="str">
        <f t="shared" ca="1" si="90"/>
        <v xml:space="preserve"> </v>
      </c>
      <c r="O232" s="1482">
        <f ca="1">IF($A232&gt;Endyr,0,VLOOKUP($A232,Tariff_Table,Tariff!$H$33))</f>
        <v>0</v>
      </c>
      <c r="P232" s="1480">
        <f t="shared" ca="1" si="100"/>
        <v>0</v>
      </c>
      <c r="Q232" s="1481">
        <f t="shared" ca="1" si="101"/>
        <v>0</v>
      </c>
      <c r="R232" s="1480">
        <f t="shared" ca="1" si="102"/>
        <v>3.1345553075453139</v>
      </c>
      <c r="S232" s="113">
        <f t="shared" ca="1" si="103"/>
        <v>1.0649999999999999</v>
      </c>
      <c r="T232" s="1481">
        <f t="shared" ca="1" si="104"/>
        <v>0</v>
      </c>
      <c r="U232" s="330">
        <f t="shared" ca="1" si="105"/>
        <v>0</v>
      </c>
      <c r="V232" s="1481">
        <f t="shared" ca="1" si="106"/>
        <v>0</v>
      </c>
      <c r="W232" s="1480">
        <f t="shared" ca="1" si="107"/>
        <v>3.1345553075453139</v>
      </c>
      <c r="X232" s="384">
        <f t="shared" ca="1" si="108"/>
        <v>0</v>
      </c>
      <c r="Y232" s="692" t="str">
        <f t="shared" ca="1" si="91"/>
        <v xml:space="preserve"> </v>
      </c>
      <c r="AA232" s="1484">
        <f ca="1">IF($A232&gt;Endyr,0,VLOOKUP($A232,Tariff_Table,Tariff!$I$33))</f>
        <v>0</v>
      </c>
      <c r="AB232" s="1480">
        <f t="shared" ca="1" si="92"/>
        <v>0</v>
      </c>
      <c r="AC232" s="1483">
        <f t="shared" ca="1" si="109"/>
        <v>0</v>
      </c>
      <c r="AD232" s="1480">
        <f t="shared" ca="1" si="110"/>
        <v>3.1345553075453139</v>
      </c>
      <c r="AE232" s="113">
        <f t="shared" ca="1" si="111"/>
        <v>1.0649999999999999</v>
      </c>
      <c r="AF232" s="1483">
        <f t="shared" ca="1" si="112"/>
        <v>0</v>
      </c>
      <c r="AG232" s="334">
        <f ca="1">VLOOKUP($A232,Plant_Table,'Plant Operations'!$M$270)</f>
        <v>0</v>
      </c>
      <c r="AH232" s="1481">
        <f t="shared" ca="1" si="113"/>
        <v>0</v>
      </c>
      <c r="AI232" s="1480">
        <f t="shared" ca="1" si="114"/>
        <v>3.1345553075453139</v>
      </c>
      <c r="AJ232" s="335">
        <f t="shared" ca="1" si="115"/>
        <v>0</v>
      </c>
      <c r="AK232" s="698" t="str">
        <f t="shared" ca="1" si="93"/>
        <v xml:space="preserve"> </v>
      </c>
      <c r="AM232" s="697">
        <f ca="1">IF($A232&gt;Endyr,0,VLOOKUP($A232,Tariff_Table,Tariff!$L$33))</f>
        <v>0</v>
      </c>
      <c r="AN232" s="1504">
        <f ca="1">VLOOKUP($A232,Curves_Table,Escalation!$Z$291)</f>
        <v>1.696236647453875</v>
      </c>
      <c r="AO232" s="331">
        <f t="shared" ca="1" si="116"/>
        <v>0</v>
      </c>
      <c r="AP232" s="331">
        <f ca="1">IF($A232&gt;Endyr,0,VLOOKUP($A232,Tariff_Table,Tariff!$M$33))</f>
        <v>0</v>
      </c>
      <c r="AQ232" s="331">
        <f t="shared" ca="1" si="117"/>
        <v>0</v>
      </c>
      <c r="AR232" s="331">
        <f t="shared" ca="1" si="118"/>
        <v>0</v>
      </c>
      <c r="AS232" s="1508">
        <f t="shared" ca="1" si="119"/>
        <v>0</v>
      </c>
    </row>
    <row r="233" spans="1:45">
      <c r="A233" s="672">
        <f t="shared" si="94"/>
        <v>43678</v>
      </c>
      <c r="C233" s="1484">
        <f ca="1">IF($A233&gt;Endyr,0,VLOOKUP($A233,Tariff_Table,Tariff!$G$33))</f>
        <v>0</v>
      </c>
      <c r="D233" s="1480">
        <f ca="1">VLOOKUP($A233,Curves_Table,Escalation!$V$291)</f>
        <v>1.7754357291063123</v>
      </c>
      <c r="E233" s="1483">
        <f t="shared" ca="1" si="95"/>
        <v>0</v>
      </c>
      <c r="F233" s="1480">
        <f ca="1">IF(Assm!$L$74=0,VLOOKUP($A233,Curves_Table,Escalation!$D$291),VLOOKUP($A233,Curves_Table,Escalation!$E$291))</f>
        <v>3.1345553075453139</v>
      </c>
      <c r="G233" s="113">
        <f ca="1">IF($A233&lt;EE_Date,VLOOKUP($A233,Curves_Table,Escalation!$D$291),Exch)</f>
        <v>1.0649999999999999</v>
      </c>
      <c r="H233" s="1483">
        <f t="shared" ca="1" si="96"/>
        <v>0</v>
      </c>
      <c r="I233" s="330">
        <f ca="1">VLOOKUP($A233,Plant_Table,'Plant Operations'!$C$270)</f>
        <v>0</v>
      </c>
      <c r="J233" s="1481">
        <f t="shared" ca="1" si="97"/>
        <v>0</v>
      </c>
      <c r="K233" s="1480">
        <f t="shared" ca="1" si="98"/>
        <v>3.1345553075453139</v>
      </c>
      <c r="L233" s="384">
        <f t="shared" ca="1" si="99"/>
        <v>0</v>
      </c>
      <c r="M233" s="692" t="str">
        <f t="shared" ca="1" si="90"/>
        <v xml:space="preserve"> </v>
      </c>
      <c r="O233" s="1482">
        <f ca="1">IF($A233&gt;Endyr,0,VLOOKUP($A233,Tariff_Table,Tariff!$H$33))</f>
        <v>0</v>
      </c>
      <c r="P233" s="1480">
        <f t="shared" ca="1" si="100"/>
        <v>0</v>
      </c>
      <c r="Q233" s="1481">
        <f t="shared" ca="1" si="101"/>
        <v>0</v>
      </c>
      <c r="R233" s="1480">
        <f t="shared" ca="1" si="102"/>
        <v>3.1345553075453139</v>
      </c>
      <c r="S233" s="113">
        <f t="shared" ca="1" si="103"/>
        <v>1.0649999999999999</v>
      </c>
      <c r="T233" s="1481">
        <f t="shared" ca="1" si="104"/>
        <v>0</v>
      </c>
      <c r="U233" s="330">
        <f t="shared" ca="1" si="105"/>
        <v>0</v>
      </c>
      <c r="V233" s="1481">
        <f t="shared" ca="1" si="106"/>
        <v>0</v>
      </c>
      <c r="W233" s="1480">
        <f t="shared" ca="1" si="107"/>
        <v>3.1345553075453139</v>
      </c>
      <c r="X233" s="384">
        <f t="shared" ca="1" si="108"/>
        <v>0</v>
      </c>
      <c r="Y233" s="692" t="str">
        <f t="shared" ca="1" si="91"/>
        <v xml:space="preserve"> </v>
      </c>
      <c r="AA233" s="1484">
        <f ca="1">IF($A233&gt;Endyr,0,VLOOKUP($A233,Tariff_Table,Tariff!$I$33))</f>
        <v>0</v>
      </c>
      <c r="AB233" s="1480">
        <f t="shared" ca="1" si="92"/>
        <v>0</v>
      </c>
      <c r="AC233" s="1483">
        <f t="shared" ca="1" si="109"/>
        <v>0</v>
      </c>
      <c r="AD233" s="1480">
        <f t="shared" ca="1" si="110"/>
        <v>3.1345553075453139</v>
      </c>
      <c r="AE233" s="113">
        <f t="shared" ca="1" si="111"/>
        <v>1.0649999999999999</v>
      </c>
      <c r="AF233" s="1483">
        <f t="shared" ca="1" si="112"/>
        <v>0</v>
      </c>
      <c r="AG233" s="334">
        <f ca="1">VLOOKUP($A233,Plant_Table,'Plant Operations'!$M$270)</f>
        <v>0</v>
      </c>
      <c r="AH233" s="1481">
        <f t="shared" ca="1" si="113"/>
        <v>0</v>
      </c>
      <c r="AI233" s="1480">
        <f t="shared" ca="1" si="114"/>
        <v>3.1345553075453139</v>
      </c>
      <c r="AJ233" s="335">
        <f t="shared" ca="1" si="115"/>
        <v>0</v>
      </c>
      <c r="AK233" s="698" t="str">
        <f t="shared" ca="1" si="93"/>
        <v xml:space="preserve"> </v>
      </c>
      <c r="AM233" s="697">
        <f ca="1">IF($A233&gt;Endyr,0,VLOOKUP($A233,Tariff_Table,Tariff!$L$33))</f>
        <v>0</v>
      </c>
      <c r="AN233" s="1504">
        <f ca="1">VLOOKUP($A233,Curves_Table,Escalation!$Z$291)</f>
        <v>1.696236647453875</v>
      </c>
      <c r="AO233" s="331">
        <f t="shared" ca="1" si="116"/>
        <v>0</v>
      </c>
      <c r="AP233" s="331">
        <f ca="1">IF($A233&gt;Endyr,0,VLOOKUP($A233,Tariff_Table,Tariff!$M$33))</f>
        <v>0</v>
      </c>
      <c r="AQ233" s="331">
        <f t="shared" ca="1" si="117"/>
        <v>0</v>
      </c>
      <c r="AR233" s="331">
        <f t="shared" ca="1" si="118"/>
        <v>0</v>
      </c>
      <c r="AS233" s="1508">
        <f t="shared" ca="1" si="119"/>
        <v>0</v>
      </c>
    </row>
    <row r="234" spans="1:45">
      <c r="A234" s="672">
        <f t="shared" si="94"/>
        <v>43709</v>
      </c>
      <c r="C234" s="1484">
        <f ca="1">IF($A234&gt;Endyr,0,VLOOKUP($A234,Tariff_Table,Tariff!$G$33))</f>
        <v>0</v>
      </c>
      <c r="D234" s="1480">
        <f ca="1">VLOOKUP($A234,Curves_Table,Escalation!$V$291)</f>
        <v>1.7754357291063123</v>
      </c>
      <c r="E234" s="1483">
        <f t="shared" ca="1" si="95"/>
        <v>0</v>
      </c>
      <c r="F234" s="1480">
        <f ca="1">IF(Assm!$L$74=0,VLOOKUP($A234,Curves_Table,Escalation!$D$291),VLOOKUP($A234,Curves_Table,Escalation!$E$291))</f>
        <v>3.1345553075453139</v>
      </c>
      <c r="G234" s="113">
        <f ca="1">IF($A234&lt;EE_Date,VLOOKUP($A234,Curves_Table,Escalation!$D$291),Exch)</f>
        <v>1.0649999999999999</v>
      </c>
      <c r="H234" s="1483">
        <f t="shared" ca="1" si="96"/>
        <v>0</v>
      </c>
      <c r="I234" s="330">
        <f ca="1">VLOOKUP($A234,Plant_Table,'Plant Operations'!$C$270)</f>
        <v>0</v>
      </c>
      <c r="J234" s="1481">
        <f t="shared" ca="1" si="97"/>
        <v>0</v>
      </c>
      <c r="K234" s="1480">
        <f t="shared" ca="1" si="98"/>
        <v>3.1345553075453139</v>
      </c>
      <c r="L234" s="384">
        <f t="shared" ca="1" si="99"/>
        <v>0</v>
      </c>
      <c r="M234" s="692" t="str">
        <f t="shared" ca="1" si="90"/>
        <v xml:space="preserve"> </v>
      </c>
      <c r="O234" s="1482">
        <f ca="1">IF($A234&gt;Endyr,0,VLOOKUP($A234,Tariff_Table,Tariff!$H$33))</f>
        <v>0</v>
      </c>
      <c r="P234" s="1480">
        <f t="shared" ca="1" si="100"/>
        <v>0</v>
      </c>
      <c r="Q234" s="1481">
        <f t="shared" ca="1" si="101"/>
        <v>0</v>
      </c>
      <c r="R234" s="1480">
        <f t="shared" ca="1" si="102"/>
        <v>3.1345553075453139</v>
      </c>
      <c r="S234" s="113">
        <f t="shared" ca="1" si="103"/>
        <v>1.0649999999999999</v>
      </c>
      <c r="T234" s="1481">
        <f t="shared" ca="1" si="104"/>
        <v>0</v>
      </c>
      <c r="U234" s="330">
        <f t="shared" ca="1" si="105"/>
        <v>0</v>
      </c>
      <c r="V234" s="1481">
        <f t="shared" ca="1" si="106"/>
        <v>0</v>
      </c>
      <c r="W234" s="1480">
        <f t="shared" ca="1" si="107"/>
        <v>3.1345553075453139</v>
      </c>
      <c r="X234" s="384">
        <f t="shared" ca="1" si="108"/>
        <v>0</v>
      </c>
      <c r="Y234" s="692" t="str">
        <f t="shared" ca="1" si="91"/>
        <v xml:space="preserve"> </v>
      </c>
      <c r="AA234" s="1484">
        <f ca="1">IF($A234&gt;Endyr,0,VLOOKUP($A234,Tariff_Table,Tariff!$I$33))</f>
        <v>0</v>
      </c>
      <c r="AB234" s="1480">
        <f t="shared" ca="1" si="92"/>
        <v>0</v>
      </c>
      <c r="AC234" s="1483">
        <f t="shared" ca="1" si="109"/>
        <v>0</v>
      </c>
      <c r="AD234" s="1480">
        <f t="shared" ca="1" si="110"/>
        <v>3.1345553075453139</v>
      </c>
      <c r="AE234" s="113">
        <f t="shared" ca="1" si="111"/>
        <v>1.0649999999999999</v>
      </c>
      <c r="AF234" s="1483">
        <f t="shared" ca="1" si="112"/>
        <v>0</v>
      </c>
      <c r="AG234" s="334">
        <f ca="1">VLOOKUP($A234,Plant_Table,'Plant Operations'!$M$270)</f>
        <v>0</v>
      </c>
      <c r="AH234" s="1481">
        <f t="shared" ca="1" si="113"/>
        <v>0</v>
      </c>
      <c r="AI234" s="1480">
        <f t="shared" ca="1" si="114"/>
        <v>3.1345553075453139</v>
      </c>
      <c r="AJ234" s="335">
        <f t="shared" ca="1" si="115"/>
        <v>0</v>
      </c>
      <c r="AK234" s="698" t="str">
        <f t="shared" ca="1" si="93"/>
        <v xml:space="preserve"> </v>
      </c>
      <c r="AM234" s="697">
        <f ca="1">IF($A234&gt;Endyr,0,VLOOKUP($A234,Tariff_Table,Tariff!$L$33))</f>
        <v>0</v>
      </c>
      <c r="AN234" s="1504">
        <f ca="1">VLOOKUP($A234,Curves_Table,Escalation!$Z$291)</f>
        <v>1.696236647453875</v>
      </c>
      <c r="AO234" s="331">
        <f t="shared" ca="1" si="116"/>
        <v>0</v>
      </c>
      <c r="AP234" s="331">
        <f ca="1">IF($A234&gt;Endyr,0,VLOOKUP($A234,Tariff_Table,Tariff!$M$33))</f>
        <v>0</v>
      </c>
      <c r="AQ234" s="331">
        <f t="shared" ca="1" si="117"/>
        <v>0</v>
      </c>
      <c r="AR234" s="331">
        <f t="shared" ca="1" si="118"/>
        <v>0</v>
      </c>
      <c r="AS234" s="1508">
        <f t="shared" ca="1" si="119"/>
        <v>0</v>
      </c>
    </row>
    <row r="235" spans="1:45">
      <c r="A235" s="672">
        <f t="shared" si="94"/>
        <v>43739</v>
      </c>
      <c r="C235" s="1484">
        <f ca="1">IF($A235&gt;Endyr,0,VLOOKUP($A235,Tariff_Table,Tariff!$G$33))</f>
        <v>0</v>
      </c>
      <c r="D235" s="1480">
        <f ca="1">VLOOKUP($A235,Curves_Table,Escalation!$V$291)</f>
        <v>1.7754357291063123</v>
      </c>
      <c r="E235" s="1483">
        <f t="shared" ca="1" si="95"/>
        <v>0</v>
      </c>
      <c r="F235" s="1480">
        <f ca="1">IF(Assm!$L$74=0,VLOOKUP($A235,Curves_Table,Escalation!$D$291),VLOOKUP($A235,Curves_Table,Escalation!$E$291))</f>
        <v>3.1345553075453139</v>
      </c>
      <c r="G235" s="113">
        <f ca="1">IF($A235&lt;EE_Date,VLOOKUP($A235,Curves_Table,Escalation!$D$291),Exch)</f>
        <v>1.0649999999999999</v>
      </c>
      <c r="H235" s="1483">
        <f t="shared" ca="1" si="96"/>
        <v>0</v>
      </c>
      <c r="I235" s="330">
        <f ca="1">VLOOKUP($A235,Plant_Table,'Plant Operations'!$C$270)</f>
        <v>0</v>
      </c>
      <c r="J235" s="1481">
        <f t="shared" ca="1" si="97"/>
        <v>0</v>
      </c>
      <c r="K235" s="1480">
        <f t="shared" ca="1" si="98"/>
        <v>3.1345553075453139</v>
      </c>
      <c r="L235" s="384">
        <f t="shared" ca="1" si="99"/>
        <v>0</v>
      </c>
      <c r="M235" s="692" t="str">
        <f t="shared" ca="1" si="90"/>
        <v xml:space="preserve"> </v>
      </c>
      <c r="O235" s="1482">
        <f ca="1">IF($A235&gt;Endyr,0,VLOOKUP($A235,Tariff_Table,Tariff!$H$33))</f>
        <v>0</v>
      </c>
      <c r="P235" s="1480">
        <f t="shared" ca="1" si="100"/>
        <v>0</v>
      </c>
      <c r="Q235" s="1481">
        <f t="shared" ca="1" si="101"/>
        <v>0</v>
      </c>
      <c r="R235" s="1480">
        <f t="shared" ca="1" si="102"/>
        <v>3.1345553075453139</v>
      </c>
      <c r="S235" s="113">
        <f t="shared" ca="1" si="103"/>
        <v>1.0649999999999999</v>
      </c>
      <c r="T235" s="1481">
        <f t="shared" ca="1" si="104"/>
        <v>0</v>
      </c>
      <c r="U235" s="330">
        <f t="shared" ca="1" si="105"/>
        <v>0</v>
      </c>
      <c r="V235" s="1481">
        <f t="shared" ca="1" si="106"/>
        <v>0</v>
      </c>
      <c r="W235" s="1480">
        <f t="shared" ca="1" si="107"/>
        <v>3.1345553075453139</v>
      </c>
      <c r="X235" s="384">
        <f t="shared" ca="1" si="108"/>
        <v>0</v>
      </c>
      <c r="Y235" s="692" t="str">
        <f t="shared" ca="1" si="91"/>
        <v xml:space="preserve"> </v>
      </c>
      <c r="AA235" s="1484">
        <f ca="1">IF($A235&gt;Endyr,0,VLOOKUP($A235,Tariff_Table,Tariff!$I$33))</f>
        <v>0</v>
      </c>
      <c r="AB235" s="1480">
        <f t="shared" ca="1" si="92"/>
        <v>0</v>
      </c>
      <c r="AC235" s="1483">
        <f t="shared" ca="1" si="109"/>
        <v>0</v>
      </c>
      <c r="AD235" s="1480">
        <f t="shared" ca="1" si="110"/>
        <v>3.1345553075453139</v>
      </c>
      <c r="AE235" s="113">
        <f t="shared" ca="1" si="111"/>
        <v>1.0649999999999999</v>
      </c>
      <c r="AF235" s="1483">
        <f t="shared" ca="1" si="112"/>
        <v>0</v>
      </c>
      <c r="AG235" s="334">
        <f ca="1">VLOOKUP($A235,Plant_Table,'Plant Operations'!$M$270)</f>
        <v>0</v>
      </c>
      <c r="AH235" s="1481">
        <f t="shared" ca="1" si="113"/>
        <v>0</v>
      </c>
      <c r="AI235" s="1480">
        <f t="shared" ca="1" si="114"/>
        <v>3.1345553075453139</v>
      </c>
      <c r="AJ235" s="335">
        <f t="shared" ca="1" si="115"/>
        <v>0</v>
      </c>
      <c r="AK235" s="698" t="str">
        <f t="shared" ca="1" si="93"/>
        <v xml:space="preserve"> </v>
      </c>
      <c r="AM235" s="697">
        <f ca="1">IF($A235&gt;Endyr,0,VLOOKUP($A235,Tariff_Table,Tariff!$L$33))</f>
        <v>0</v>
      </c>
      <c r="AN235" s="1504">
        <f ca="1">VLOOKUP($A235,Curves_Table,Escalation!$Z$291)</f>
        <v>1.696236647453875</v>
      </c>
      <c r="AO235" s="331">
        <f t="shared" ca="1" si="116"/>
        <v>0</v>
      </c>
      <c r="AP235" s="331">
        <f ca="1">IF($A235&gt;Endyr,0,VLOOKUP($A235,Tariff_Table,Tariff!$M$33))</f>
        <v>0</v>
      </c>
      <c r="AQ235" s="331">
        <f t="shared" ca="1" si="117"/>
        <v>0</v>
      </c>
      <c r="AR235" s="331">
        <f t="shared" ca="1" si="118"/>
        <v>0</v>
      </c>
      <c r="AS235" s="1508">
        <f t="shared" ca="1" si="119"/>
        <v>0</v>
      </c>
    </row>
    <row r="236" spans="1:45">
      <c r="A236" s="672">
        <f t="shared" si="94"/>
        <v>43770</v>
      </c>
      <c r="C236" s="1484">
        <f ca="1">IF($A236&gt;Endyr,0,VLOOKUP($A236,Tariff_Table,Tariff!$G$33))</f>
        <v>0</v>
      </c>
      <c r="D236" s="1480">
        <f ca="1">VLOOKUP($A236,Curves_Table,Escalation!$V$291)</f>
        <v>1.7754357291063123</v>
      </c>
      <c r="E236" s="1483">
        <f t="shared" ca="1" si="95"/>
        <v>0</v>
      </c>
      <c r="F236" s="1480">
        <f ca="1">IF(Assm!$L$74=0,VLOOKUP($A236,Curves_Table,Escalation!$D$291),VLOOKUP($A236,Curves_Table,Escalation!$E$291))</f>
        <v>3.1345553075453139</v>
      </c>
      <c r="G236" s="113">
        <f ca="1">IF($A236&lt;EE_Date,VLOOKUP($A236,Curves_Table,Escalation!$D$291),Exch)</f>
        <v>1.0649999999999999</v>
      </c>
      <c r="H236" s="1483">
        <f t="shared" ca="1" si="96"/>
        <v>0</v>
      </c>
      <c r="I236" s="330">
        <f ca="1">VLOOKUP($A236,Plant_Table,'Plant Operations'!$C$270)</f>
        <v>0</v>
      </c>
      <c r="J236" s="1481">
        <f t="shared" ca="1" si="97"/>
        <v>0</v>
      </c>
      <c r="K236" s="1480">
        <f t="shared" ca="1" si="98"/>
        <v>3.1345553075453139</v>
      </c>
      <c r="L236" s="384">
        <f t="shared" ca="1" si="99"/>
        <v>0</v>
      </c>
      <c r="M236" s="692" t="str">
        <f t="shared" ca="1" si="90"/>
        <v xml:space="preserve"> </v>
      </c>
      <c r="O236" s="1482">
        <f ca="1">IF($A236&gt;Endyr,0,VLOOKUP($A236,Tariff_Table,Tariff!$H$33))</f>
        <v>0</v>
      </c>
      <c r="P236" s="1480">
        <f t="shared" ca="1" si="100"/>
        <v>0</v>
      </c>
      <c r="Q236" s="1481">
        <f t="shared" ca="1" si="101"/>
        <v>0</v>
      </c>
      <c r="R236" s="1480">
        <f t="shared" ca="1" si="102"/>
        <v>3.1345553075453139</v>
      </c>
      <c r="S236" s="113">
        <f t="shared" ca="1" si="103"/>
        <v>1.0649999999999999</v>
      </c>
      <c r="T236" s="1481">
        <f t="shared" ca="1" si="104"/>
        <v>0</v>
      </c>
      <c r="U236" s="330">
        <f t="shared" ca="1" si="105"/>
        <v>0</v>
      </c>
      <c r="V236" s="1481">
        <f t="shared" ca="1" si="106"/>
        <v>0</v>
      </c>
      <c r="W236" s="1480">
        <f t="shared" ca="1" si="107"/>
        <v>3.1345553075453139</v>
      </c>
      <c r="X236" s="384">
        <f t="shared" ca="1" si="108"/>
        <v>0</v>
      </c>
      <c r="Y236" s="692" t="str">
        <f t="shared" ca="1" si="91"/>
        <v xml:space="preserve"> </v>
      </c>
      <c r="AA236" s="1484">
        <f ca="1">IF($A236&gt;Endyr,0,VLOOKUP($A236,Tariff_Table,Tariff!$I$33))</f>
        <v>0</v>
      </c>
      <c r="AB236" s="1480">
        <f t="shared" ca="1" si="92"/>
        <v>0</v>
      </c>
      <c r="AC236" s="1483">
        <f t="shared" ca="1" si="109"/>
        <v>0</v>
      </c>
      <c r="AD236" s="1480">
        <f t="shared" ca="1" si="110"/>
        <v>3.1345553075453139</v>
      </c>
      <c r="AE236" s="113">
        <f t="shared" ca="1" si="111"/>
        <v>1.0649999999999999</v>
      </c>
      <c r="AF236" s="1483">
        <f t="shared" ca="1" si="112"/>
        <v>0</v>
      </c>
      <c r="AG236" s="334">
        <f ca="1">VLOOKUP($A236,Plant_Table,'Plant Operations'!$M$270)</f>
        <v>0</v>
      </c>
      <c r="AH236" s="1481">
        <f t="shared" ca="1" si="113"/>
        <v>0</v>
      </c>
      <c r="AI236" s="1480">
        <f t="shared" ca="1" si="114"/>
        <v>3.1345553075453139</v>
      </c>
      <c r="AJ236" s="335">
        <f t="shared" ca="1" si="115"/>
        <v>0</v>
      </c>
      <c r="AK236" s="698" t="str">
        <f t="shared" ca="1" si="93"/>
        <v xml:space="preserve"> </v>
      </c>
      <c r="AM236" s="697">
        <f ca="1">IF($A236&gt;Endyr,0,VLOOKUP($A236,Tariff_Table,Tariff!$L$33))</f>
        <v>0</v>
      </c>
      <c r="AN236" s="1504">
        <f ca="1">VLOOKUP($A236,Curves_Table,Escalation!$Z$291)</f>
        <v>1.696236647453875</v>
      </c>
      <c r="AO236" s="331">
        <f t="shared" ca="1" si="116"/>
        <v>0</v>
      </c>
      <c r="AP236" s="331">
        <f ca="1">IF($A236&gt;Endyr,0,VLOOKUP($A236,Tariff_Table,Tariff!$M$33))</f>
        <v>0</v>
      </c>
      <c r="AQ236" s="331">
        <f t="shared" ca="1" si="117"/>
        <v>0</v>
      </c>
      <c r="AR236" s="331">
        <f t="shared" ca="1" si="118"/>
        <v>0</v>
      </c>
      <c r="AS236" s="1508">
        <f t="shared" ca="1" si="119"/>
        <v>0</v>
      </c>
    </row>
    <row r="237" spans="1:45">
      <c r="A237" s="672">
        <f t="shared" si="94"/>
        <v>43800</v>
      </c>
      <c r="C237" s="1484">
        <f ca="1">IF($A237&gt;Endyr,0,VLOOKUP($A237,Tariff_Table,Tariff!$G$33))</f>
        <v>0</v>
      </c>
      <c r="D237" s="1480">
        <f ca="1">VLOOKUP($A237,Curves_Table,Escalation!$V$291)</f>
        <v>1.7754357291063123</v>
      </c>
      <c r="E237" s="1483">
        <f t="shared" ca="1" si="95"/>
        <v>0</v>
      </c>
      <c r="F237" s="1480">
        <f ca="1">IF(Assm!$L$74=0,VLOOKUP($A237,Curves_Table,Escalation!$D$291),VLOOKUP($A237,Curves_Table,Escalation!$E$291))</f>
        <v>3.1345553075453139</v>
      </c>
      <c r="G237" s="113">
        <f ca="1">IF($A237&lt;EE_Date,VLOOKUP($A237,Curves_Table,Escalation!$D$291),Exch)</f>
        <v>1.0649999999999999</v>
      </c>
      <c r="H237" s="1483">
        <f t="shared" ca="1" si="96"/>
        <v>0</v>
      </c>
      <c r="I237" s="330">
        <f ca="1">VLOOKUP($A237,Plant_Table,'Plant Operations'!$C$270)</f>
        <v>0</v>
      </c>
      <c r="J237" s="1481">
        <f t="shared" ca="1" si="97"/>
        <v>0</v>
      </c>
      <c r="K237" s="1480">
        <f t="shared" ca="1" si="98"/>
        <v>3.1345553075453139</v>
      </c>
      <c r="L237" s="384">
        <f t="shared" ca="1" si="99"/>
        <v>0</v>
      </c>
      <c r="M237" s="692">
        <f t="shared" ca="1" si="90"/>
        <v>23144.841112367492</v>
      </c>
      <c r="O237" s="1482">
        <f ca="1">IF($A237&gt;Endyr,0,VLOOKUP($A237,Tariff_Table,Tariff!$H$33))</f>
        <v>0</v>
      </c>
      <c r="P237" s="1480">
        <f t="shared" ca="1" si="100"/>
        <v>0</v>
      </c>
      <c r="Q237" s="1481">
        <f t="shared" ca="1" si="101"/>
        <v>0</v>
      </c>
      <c r="R237" s="1480">
        <f t="shared" ca="1" si="102"/>
        <v>3.1345553075453139</v>
      </c>
      <c r="S237" s="113">
        <f t="shared" ca="1" si="103"/>
        <v>1.0649999999999999</v>
      </c>
      <c r="T237" s="1481">
        <f t="shared" ca="1" si="104"/>
        <v>0</v>
      </c>
      <c r="U237" s="330">
        <f t="shared" ca="1" si="105"/>
        <v>0</v>
      </c>
      <c r="V237" s="1481">
        <f t="shared" ca="1" si="106"/>
        <v>0</v>
      </c>
      <c r="W237" s="1480">
        <f t="shared" ca="1" si="107"/>
        <v>3.1345553075453139</v>
      </c>
      <c r="X237" s="384">
        <f t="shared" ca="1" si="108"/>
        <v>0</v>
      </c>
      <c r="Y237" s="692">
        <f t="shared" ca="1" si="91"/>
        <v>17060.341679708705</v>
      </c>
      <c r="AA237" s="1484">
        <f ca="1">IF($A237&gt;Endyr,0,VLOOKUP($A237,Tariff_Table,Tariff!$I$33))</f>
        <v>0</v>
      </c>
      <c r="AB237" s="1480">
        <f t="shared" ca="1" si="92"/>
        <v>0</v>
      </c>
      <c r="AC237" s="1483">
        <f t="shared" ca="1" si="109"/>
        <v>0</v>
      </c>
      <c r="AD237" s="1480">
        <f t="shared" ca="1" si="110"/>
        <v>3.1345553075453139</v>
      </c>
      <c r="AE237" s="113">
        <f t="shared" ca="1" si="111"/>
        <v>1.0649999999999999</v>
      </c>
      <c r="AF237" s="1483">
        <f t="shared" ca="1" si="112"/>
        <v>0</v>
      </c>
      <c r="AG237" s="334">
        <f ca="1">VLOOKUP($A237,Plant_Table,'Plant Operations'!$M$270)</f>
        <v>0</v>
      </c>
      <c r="AH237" s="1481">
        <f t="shared" ca="1" si="113"/>
        <v>0</v>
      </c>
      <c r="AI237" s="1480">
        <f t="shared" ca="1" si="114"/>
        <v>3.1345553075453139</v>
      </c>
      <c r="AJ237" s="335">
        <f t="shared" ca="1" si="115"/>
        <v>0</v>
      </c>
      <c r="AK237" s="698">
        <f t="shared" ca="1" si="93"/>
        <v>3872.9043025748024</v>
      </c>
      <c r="AM237" s="697">
        <f ca="1">IF($A237&gt;Endyr,0,VLOOKUP($A237,Tariff_Table,Tariff!$L$33))</f>
        <v>0</v>
      </c>
      <c r="AN237" s="1504">
        <f ca="1">VLOOKUP($A237,Curves_Table,Escalation!$Z$291)</f>
        <v>1.696236647453875</v>
      </c>
      <c r="AO237" s="331">
        <f t="shared" ca="1" si="116"/>
        <v>0</v>
      </c>
      <c r="AP237" s="331">
        <f ca="1">IF($A237&gt;Endyr,0,VLOOKUP($A237,Tariff_Table,Tariff!$M$33))</f>
        <v>0</v>
      </c>
      <c r="AQ237" s="331">
        <f t="shared" ca="1" si="117"/>
        <v>0</v>
      </c>
      <c r="AR237" s="331">
        <f t="shared" ca="1" si="118"/>
        <v>0</v>
      </c>
      <c r="AS237" s="1508">
        <f t="shared" ca="1" si="119"/>
        <v>0</v>
      </c>
    </row>
    <row r="238" spans="1:45">
      <c r="A238" s="672">
        <f t="shared" si="94"/>
        <v>43831</v>
      </c>
      <c r="C238" s="1484">
        <f ca="1">IF($A238&gt;Endyr,0,VLOOKUP($A238,Tariff_Table,Tariff!$G$33))</f>
        <v>0</v>
      </c>
      <c r="D238" s="1480">
        <f ca="1">VLOOKUP($A238,Curves_Table,Escalation!$V$291)</f>
        <v>1.7754357291063123</v>
      </c>
      <c r="E238" s="1483">
        <f t="shared" ca="1" si="95"/>
        <v>0</v>
      </c>
      <c r="F238" s="1480">
        <f ca="1">IF(Assm!$L$74=0,VLOOKUP($A238,Curves_Table,Escalation!$D$291),VLOOKUP($A238,Curves_Table,Escalation!$E$291))</f>
        <v>3.1345553075453139</v>
      </c>
      <c r="G238" s="113">
        <f ca="1">IF($A238&lt;EE_Date,VLOOKUP($A238,Curves_Table,Escalation!$D$291),Exch)</f>
        <v>1.0649999999999999</v>
      </c>
      <c r="H238" s="1483">
        <f t="shared" ca="1" si="96"/>
        <v>0</v>
      </c>
      <c r="I238" s="330">
        <f ca="1">VLOOKUP($A238,Plant_Table,'Plant Operations'!$C$270)</f>
        <v>0</v>
      </c>
      <c r="J238" s="1481">
        <f t="shared" ca="1" si="97"/>
        <v>0</v>
      </c>
      <c r="K238" s="1480">
        <f t="shared" ca="1" si="98"/>
        <v>3.1345553075453139</v>
      </c>
      <c r="L238" s="384">
        <f t="shared" ca="1" si="99"/>
        <v>0</v>
      </c>
      <c r="M238" s="692" t="str">
        <f t="shared" ca="1" si="90"/>
        <v xml:space="preserve"> </v>
      </c>
      <c r="O238" s="1482">
        <f ca="1">IF($A238&gt;Endyr,0,VLOOKUP($A238,Tariff_Table,Tariff!$H$33))</f>
        <v>0</v>
      </c>
      <c r="P238" s="1480">
        <f t="shared" ca="1" si="100"/>
        <v>0</v>
      </c>
      <c r="Q238" s="1481">
        <f t="shared" ca="1" si="101"/>
        <v>0</v>
      </c>
      <c r="R238" s="1480">
        <f t="shared" ca="1" si="102"/>
        <v>3.1345553075453139</v>
      </c>
      <c r="S238" s="113">
        <f t="shared" ca="1" si="103"/>
        <v>1.0649999999999999</v>
      </c>
      <c r="T238" s="1481">
        <f t="shared" ca="1" si="104"/>
        <v>0</v>
      </c>
      <c r="U238" s="330">
        <f t="shared" ca="1" si="105"/>
        <v>0</v>
      </c>
      <c r="V238" s="1481">
        <f t="shared" ca="1" si="106"/>
        <v>0</v>
      </c>
      <c r="W238" s="1480">
        <f t="shared" ca="1" si="107"/>
        <v>3.1345553075453139</v>
      </c>
      <c r="X238" s="384">
        <f t="shared" ca="1" si="108"/>
        <v>0</v>
      </c>
      <c r="Y238" s="692" t="str">
        <f t="shared" ca="1" si="91"/>
        <v xml:space="preserve"> </v>
      </c>
      <c r="AA238" s="1484">
        <f ca="1">IF($A238&gt;Endyr,0,VLOOKUP($A238,Tariff_Table,Tariff!$I$33))</f>
        <v>0</v>
      </c>
      <c r="AB238" s="1480">
        <f t="shared" ca="1" si="92"/>
        <v>0</v>
      </c>
      <c r="AC238" s="1483">
        <f t="shared" ca="1" si="109"/>
        <v>0</v>
      </c>
      <c r="AD238" s="1480">
        <f t="shared" ca="1" si="110"/>
        <v>3.1345553075453139</v>
      </c>
      <c r="AE238" s="113">
        <f t="shared" ca="1" si="111"/>
        <v>1.0649999999999999</v>
      </c>
      <c r="AF238" s="1483">
        <f t="shared" ca="1" si="112"/>
        <v>0</v>
      </c>
      <c r="AG238" s="334">
        <f ca="1">VLOOKUP($A238,Plant_Table,'Plant Operations'!$M$270)</f>
        <v>0</v>
      </c>
      <c r="AH238" s="1481">
        <f t="shared" ca="1" si="113"/>
        <v>0</v>
      </c>
      <c r="AI238" s="1480">
        <f t="shared" ca="1" si="114"/>
        <v>3.1345553075453139</v>
      </c>
      <c r="AJ238" s="335">
        <f t="shared" ca="1" si="115"/>
        <v>0</v>
      </c>
      <c r="AK238" s="698" t="str">
        <f t="shared" ca="1" si="93"/>
        <v xml:space="preserve"> </v>
      </c>
      <c r="AM238" s="697">
        <f ca="1">IF($A238&gt;Endyr,0,VLOOKUP($A238,Tariff_Table,Tariff!$L$33))</f>
        <v>0</v>
      </c>
      <c r="AN238" s="1504">
        <f ca="1">VLOOKUP($A238,Curves_Table,Escalation!$Z$291)</f>
        <v>1.696236647453875</v>
      </c>
      <c r="AO238" s="331">
        <f t="shared" ca="1" si="116"/>
        <v>0</v>
      </c>
      <c r="AP238" s="331">
        <f ca="1">IF($A238&gt;Endyr,0,VLOOKUP($A238,Tariff_Table,Tariff!$M$33))</f>
        <v>0</v>
      </c>
      <c r="AQ238" s="331">
        <f t="shared" ca="1" si="117"/>
        <v>0</v>
      </c>
      <c r="AR238" s="331">
        <f t="shared" ca="1" si="118"/>
        <v>0</v>
      </c>
      <c r="AS238" s="1508">
        <f t="shared" ca="1" si="119"/>
        <v>0</v>
      </c>
    </row>
    <row r="239" spans="1:45">
      <c r="A239" s="672">
        <f t="shared" si="94"/>
        <v>43862</v>
      </c>
      <c r="C239" s="1484">
        <f ca="1">IF($A239&gt;Endyr,0,VLOOKUP($A239,Tariff_Table,Tariff!$G$33))</f>
        <v>0</v>
      </c>
      <c r="D239" s="1480">
        <f ca="1">VLOOKUP($A239,Curves_Table,Escalation!$V$291)</f>
        <v>1.7754357291063123</v>
      </c>
      <c r="E239" s="1483">
        <f t="shared" ca="1" si="95"/>
        <v>0</v>
      </c>
      <c r="F239" s="1480">
        <f ca="1">IF(Assm!$L$74=0,VLOOKUP($A239,Curves_Table,Escalation!$D$291),VLOOKUP($A239,Curves_Table,Escalation!$E$291))</f>
        <v>3.1345553075453139</v>
      </c>
      <c r="G239" s="113">
        <f ca="1">IF($A239&lt;EE_Date,VLOOKUP($A239,Curves_Table,Escalation!$D$291),Exch)</f>
        <v>1.0649999999999999</v>
      </c>
      <c r="H239" s="1483">
        <f t="shared" ca="1" si="96"/>
        <v>0</v>
      </c>
      <c r="I239" s="330">
        <f ca="1">VLOOKUP($A239,Plant_Table,'Plant Operations'!$C$270)</f>
        <v>0</v>
      </c>
      <c r="J239" s="1481">
        <f t="shared" ca="1" si="97"/>
        <v>0</v>
      </c>
      <c r="K239" s="1480">
        <f t="shared" ca="1" si="98"/>
        <v>3.1345553075453139</v>
      </c>
      <c r="L239" s="384">
        <f t="shared" ca="1" si="99"/>
        <v>0</v>
      </c>
      <c r="M239" s="692" t="str">
        <f t="shared" ca="1" si="90"/>
        <v xml:space="preserve"> </v>
      </c>
      <c r="O239" s="1482">
        <f ca="1">IF($A239&gt;Endyr,0,VLOOKUP($A239,Tariff_Table,Tariff!$H$33))</f>
        <v>0</v>
      </c>
      <c r="P239" s="1480">
        <f t="shared" ca="1" si="100"/>
        <v>0</v>
      </c>
      <c r="Q239" s="1481">
        <f t="shared" ca="1" si="101"/>
        <v>0</v>
      </c>
      <c r="R239" s="1480">
        <f t="shared" ca="1" si="102"/>
        <v>3.1345553075453139</v>
      </c>
      <c r="S239" s="113">
        <f t="shared" ca="1" si="103"/>
        <v>1.0649999999999999</v>
      </c>
      <c r="T239" s="1481">
        <f t="shared" ca="1" si="104"/>
        <v>0</v>
      </c>
      <c r="U239" s="330">
        <f t="shared" ca="1" si="105"/>
        <v>0</v>
      </c>
      <c r="V239" s="1481">
        <f t="shared" ca="1" si="106"/>
        <v>0</v>
      </c>
      <c r="W239" s="1480">
        <f t="shared" ca="1" si="107"/>
        <v>3.1345553075453139</v>
      </c>
      <c r="X239" s="384">
        <f t="shared" ca="1" si="108"/>
        <v>0</v>
      </c>
      <c r="Y239" s="692" t="str">
        <f t="shared" ca="1" si="91"/>
        <v xml:space="preserve"> </v>
      </c>
      <c r="AA239" s="1484">
        <f ca="1">IF($A239&gt;Endyr,0,VLOOKUP($A239,Tariff_Table,Tariff!$I$33))</f>
        <v>0</v>
      </c>
      <c r="AB239" s="1480">
        <f t="shared" ca="1" si="92"/>
        <v>0</v>
      </c>
      <c r="AC239" s="1483">
        <f t="shared" ca="1" si="109"/>
        <v>0</v>
      </c>
      <c r="AD239" s="1480">
        <f t="shared" ca="1" si="110"/>
        <v>3.1345553075453139</v>
      </c>
      <c r="AE239" s="113">
        <f t="shared" ca="1" si="111"/>
        <v>1.0649999999999999</v>
      </c>
      <c r="AF239" s="1483">
        <f t="shared" ca="1" si="112"/>
        <v>0</v>
      </c>
      <c r="AG239" s="334">
        <f ca="1">VLOOKUP($A239,Plant_Table,'Plant Operations'!$M$270)</f>
        <v>0</v>
      </c>
      <c r="AH239" s="1481">
        <f t="shared" ca="1" si="113"/>
        <v>0</v>
      </c>
      <c r="AI239" s="1480">
        <f t="shared" ca="1" si="114"/>
        <v>3.1345553075453139</v>
      </c>
      <c r="AJ239" s="335">
        <f t="shared" ca="1" si="115"/>
        <v>0</v>
      </c>
      <c r="AK239" s="698" t="str">
        <f t="shared" ca="1" si="93"/>
        <v xml:space="preserve"> </v>
      </c>
      <c r="AM239" s="697">
        <f ca="1">IF($A239&gt;Endyr,0,VLOOKUP($A239,Tariff_Table,Tariff!$L$33))</f>
        <v>0</v>
      </c>
      <c r="AN239" s="1504">
        <f ca="1">VLOOKUP($A239,Curves_Table,Escalation!$Z$291)</f>
        <v>1.696236647453875</v>
      </c>
      <c r="AO239" s="331">
        <f t="shared" ca="1" si="116"/>
        <v>0</v>
      </c>
      <c r="AP239" s="331">
        <f ca="1">IF($A239&gt;Endyr,0,VLOOKUP($A239,Tariff_Table,Tariff!$M$33))</f>
        <v>0</v>
      </c>
      <c r="AQ239" s="331">
        <f t="shared" ca="1" si="117"/>
        <v>0</v>
      </c>
      <c r="AR239" s="331">
        <f t="shared" ca="1" si="118"/>
        <v>0</v>
      </c>
      <c r="AS239" s="1508">
        <f t="shared" ca="1" si="119"/>
        <v>0</v>
      </c>
    </row>
    <row r="240" spans="1:45">
      <c r="A240" s="672">
        <f t="shared" si="94"/>
        <v>43891</v>
      </c>
      <c r="C240" s="1484">
        <f ca="1">IF($A240&gt;Endyr,0,VLOOKUP($A240,Tariff_Table,Tariff!$G$33))</f>
        <v>0</v>
      </c>
      <c r="D240" s="1480">
        <f ca="1">VLOOKUP($A240,Curves_Table,Escalation!$V$291)</f>
        <v>1.7754357291063123</v>
      </c>
      <c r="E240" s="1483">
        <f t="shared" ca="1" si="95"/>
        <v>0</v>
      </c>
      <c r="F240" s="1480">
        <f ca="1">IF(Assm!$L$74=0,VLOOKUP($A240,Curves_Table,Escalation!$D$291),VLOOKUP($A240,Curves_Table,Escalation!$E$291))</f>
        <v>3.1345553075453139</v>
      </c>
      <c r="G240" s="113">
        <f ca="1">IF($A240&lt;EE_Date,VLOOKUP($A240,Curves_Table,Escalation!$D$291),Exch)</f>
        <v>1.0649999999999999</v>
      </c>
      <c r="H240" s="1483">
        <f t="shared" ca="1" si="96"/>
        <v>0</v>
      </c>
      <c r="I240" s="330">
        <f ca="1">VLOOKUP($A240,Plant_Table,'Plant Operations'!$C$270)</f>
        <v>0</v>
      </c>
      <c r="J240" s="1481">
        <f t="shared" ca="1" si="97"/>
        <v>0</v>
      </c>
      <c r="K240" s="1480">
        <f t="shared" ca="1" si="98"/>
        <v>3.1345553075453139</v>
      </c>
      <c r="L240" s="384">
        <f t="shared" ca="1" si="99"/>
        <v>0</v>
      </c>
      <c r="M240" s="692" t="str">
        <f t="shared" ca="1" si="90"/>
        <v xml:space="preserve"> </v>
      </c>
      <c r="O240" s="1482">
        <f ca="1">IF($A240&gt;Endyr,0,VLOOKUP($A240,Tariff_Table,Tariff!$H$33))</f>
        <v>0</v>
      </c>
      <c r="P240" s="1480">
        <f t="shared" ca="1" si="100"/>
        <v>0</v>
      </c>
      <c r="Q240" s="1481">
        <f t="shared" ca="1" si="101"/>
        <v>0</v>
      </c>
      <c r="R240" s="1480">
        <f t="shared" ca="1" si="102"/>
        <v>3.1345553075453139</v>
      </c>
      <c r="S240" s="113">
        <f t="shared" ca="1" si="103"/>
        <v>1.0649999999999999</v>
      </c>
      <c r="T240" s="1481">
        <f t="shared" ca="1" si="104"/>
        <v>0</v>
      </c>
      <c r="U240" s="330">
        <f t="shared" ca="1" si="105"/>
        <v>0</v>
      </c>
      <c r="V240" s="1481">
        <f t="shared" ca="1" si="106"/>
        <v>0</v>
      </c>
      <c r="W240" s="1480">
        <f t="shared" ca="1" si="107"/>
        <v>3.1345553075453139</v>
      </c>
      <c r="X240" s="384">
        <f t="shared" ca="1" si="108"/>
        <v>0</v>
      </c>
      <c r="Y240" s="692" t="str">
        <f t="shared" ca="1" si="91"/>
        <v xml:space="preserve"> </v>
      </c>
      <c r="AA240" s="1484">
        <f ca="1">IF($A240&gt;Endyr,0,VLOOKUP($A240,Tariff_Table,Tariff!$I$33))</f>
        <v>0</v>
      </c>
      <c r="AB240" s="1480">
        <f t="shared" ca="1" si="92"/>
        <v>0</v>
      </c>
      <c r="AC240" s="1483">
        <f t="shared" ca="1" si="109"/>
        <v>0</v>
      </c>
      <c r="AD240" s="1480">
        <f t="shared" ca="1" si="110"/>
        <v>3.1345553075453139</v>
      </c>
      <c r="AE240" s="113">
        <f t="shared" ca="1" si="111"/>
        <v>1.0649999999999999</v>
      </c>
      <c r="AF240" s="1483">
        <f t="shared" ca="1" si="112"/>
        <v>0</v>
      </c>
      <c r="AG240" s="334">
        <f ca="1">VLOOKUP($A240,Plant_Table,'Plant Operations'!$M$270)</f>
        <v>0</v>
      </c>
      <c r="AH240" s="1481">
        <f t="shared" ca="1" si="113"/>
        <v>0</v>
      </c>
      <c r="AI240" s="1480">
        <f t="shared" ca="1" si="114"/>
        <v>3.1345553075453139</v>
      </c>
      <c r="AJ240" s="335">
        <f t="shared" ca="1" si="115"/>
        <v>0</v>
      </c>
      <c r="AK240" s="698" t="str">
        <f t="shared" ca="1" si="93"/>
        <v xml:space="preserve"> </v>
      </c>
      <c r="AM240" s="697">
        <f ca="1">IF($A240&gt;Endyr,0,VLOOKUP($A240,Tariff_Table,Tariff!$L$33))</f>
        <v>0</v>
      </c>
      <c r="AN240" s="1504">
        <f ca="1">VLOOKUP($A240,Curves_Table,Escalation!$Z$291)</f>
        <v>1.696236647453875</v>
      </c>
      <c r="AO240" s="331">
        <f t="shared" ca="1" si="116"/>
        <v>0</v>
      </c>
      <c r="AP240" s="331">
        <f ca="1">IF($A240&gt;Endyr,0,VLOOKUP($A240,Tariff_Table,Tariff!$M$33))</f>
        <v>0</v>
      </c>
      <c r="AQ240" s="331">
        <f t="shared" ca="1" si="117"/>
        <v>0</v>
      </c>
      <c r="AR240" s="331">
        <f t="shared" ca="1" si="118"/>
        <v>0</v>
      </c>
      <c r="AS240" s="1508">
        <f t="shared" ca="1" si="119"/>
        <v>0</v>
      </c>
    </row>
    <row r="241" spans="1:45">
      <c r="A241" s="672">
        <f t="shared" si="94"/>
        <v>43922</v>
      </c>
      <c r="C241" s="1484">
        <f ca="1">IF($A241&gt;Endyr,0,VLOOKUP($A241,Tariff_Table,Tariff!$G$33))</f>
        <v>0</v>
      </c>
      <c r="D241" s="1480">
        <f ca="1">VLOOKUP($A241,Curves_Table,Escalation!$V$291)</f>
        <v>1.7754357291063123</v>
      </c>
      <c r="E241" s="1483">
        <f t="shared" ca="1" si="95"/>
        <v>0</v>
      </c>
      <c r="F241" s="1480">
        <f ca="1">IF(Assm!$L$74=0,VLOOKUP($A241,Curves_Table,Escalation!$D$291),VLOOKUP($A241,Curves_Table,Escalation!$E$291))</f>
        <v>3.1345553075453139</v>
      </c>
      <c r="G241" s="113">
        <f ca="1">IF($A241&lt;EE_Date,VLOOKUP($A241,Curves_Table,Escalation!$D$291),Exch)</f>
        <v>1.0649999999999999</v>
      </c>
      <c r="H241" s="1483">
        <f t="shared" ca="1" si="96"/>
        <v>0</v>
      </c>
      <c r="I241" s="330">
        <f ca="1">VLOOKUP($A241,Plant_Table,'Plant Operations'!$C$270)</f>
        <v>0</v>
      </c>
      <c r="J241" s="1481">
        <f t="shared" ca="1" si="97"/>
        <v>0</v>
      </c>
      <c r="K241" s="1480">
        <f t="shared" ca="1" si="98"/>
        <v>3.1345553075453139</v>
      </c>
      <c r="L241" s="384">
        <f t="shared" ca="1" si="99"/>
        <v>0</v>
      </c>
      <c r="M241" s="692" t="str">
        <f t="shared" ca="1" si="90"/>
        <v xml:space="preserve"> </v>
      </c>
      <c r="O241" s="1482">
        <f ca="1">IF($A241&gt;Endyr,0,VLOOKUP($A241,Tariff_Table,Tariff!$H$33))</f>
        <v>0</v>
      </c>
      <c r="P241" s="1480">
        <f t="shared" ca="1" si="100"/>
        <v>0</v>
      </c>
      <c r="Q241" s="1481">
        <f t="shared" ca="1" si="101"/>
        <v>0</v>
      </c>
      <c r="R241" s="1480">
        <f t="shared" ca="1" si="102"/>
        <v>3.1345553075453139</v>
      </c>
      <c r="S241" s="113">
        <f t="shared" ca="1" si="103"/>
        <v>1.0649999999999999</v>
      </c>
      <c r="T241" s="1481">
        <f t="shared" ca="1" si="104"/>
        <v>0</v>
      </c>
      <c r="U241" s="330">
        <f t="shared" ca="1" si="105"/>
        <v>0</v>
      </c>
      <c r="V241" s="1481">
        <f t="shared" ca="1" si="106"/>
        <v>0</v>
      </c>
      <c r="W241" s="1480">
        <f t="shared" ca="1" si="107"/>
        <v>3.1345553075453139</v>
      </c>
      <c r="X241" s="384">
        <f t="shared" ca="1" si="108"/>
        <v>0</v>
      </c>
      <c r="Y241" s="692" t="str">
        <f t="shared" ca="1" si="91"/>
        <v xml:space="preserve"> </v>
      </c>
      <c r="AA241" s="1484">
        <f ca="1">IF($A241&gt;Endyr,0,VLOOKUP($A241,Tariff_Table,Tariff!$I$33))</f>
        <v>0</v>
      </c>
      <c r="AB241" s="1480">
        <f t="shared" ca="1" si="92"/>
        <v>0</v>
      </c>
      <c r="AC241" s="1483">
        <f t="shared" ca="1" si="109"/>
        <v>0</v>
      </c>
      <c r="AD241" s="1480">
        <f t="shared" ca="1" si="110"/>
        <v>3.1345553075453139</v>
      </c>
      <c r="AE241" s="113">
        <f t="shared" ca="1" si="111"/>
        <v>1.0649999999999999</v>
      </c>
      <c r="AF241" s="1483">
        <f t="shared" ca="1" si="112"/>
        <v>0</v>
      </c>
      <c r="AG241" s="334">
        <f ca="1">VLOOKUP($A241,Plant_Table,'Plant Operations'!$M$270)</f>
        <v>0</v>
      </c>
      <c r="AH241" s="1481">
        <f t="shared" ca="1" si="113"/>
        <v>0</v>
      </c>
      <c r="AI241" s="1480">
        <f t="shared" ca="1" si="114"/>
        <v>3.1345553075453139</v>
      </c>
      <c r="AJ241" s="335">
        <f t="shared" ca="1" si="115"/>
        <v>0</v>
      </c>
      <c r="AK241" s="698" t="str">
        <f t="shared" ca="1" si="93"/>
        <v xml:space="preserve"> </v>
      </c>
      <c r="AM241" s="697">
        <f ca="1">IF($A241&gt;Endyr,0,VLOOKUP($A241,Tariff_Table,Tariff!$L$33))</f>
        <v>0</v>
      </c>
      <c r="AN241" s="1504">
        <f ca="1">VLOOKUP($A241,Curves_Table,Escalation!$Z$291)</f>
        <v>1.696236647453875</v>
      </c>
      <c r="AO241" s="331">
        <f t="shared" ca="1" si="116"/>
        <v>0</v>
      </c>
      <c r="AP241" s="331">
        <f ca="1">IF($A241&gt;Endyr,0,VLOOKUP($A241,Tariff_Table,Tariff!$M$33))</f>
        <v>0</v>
      </c>
      <c r="AQ241" s="331">
        <f t="shared" ca="1" si="117"/>
        <v>0</v>
      </c>
      <c r="AR241" s="331">
        <f t="shared" ca="1" si="118"/>
        <v>0</v>
      </c>
      <c r="AS241" s="1508">
        <f t="shared" ca="1" si="119"/>
        <v>0</v>
      </c>
    </row>
    <row r="242" spans="1:45">
      <c r="A242" s="672">
        <f t="shared" si="94"/>
        <v>43952</v>
      </c>
      <c r="C242" s="1484">
        <f ca="1">IF($A242&gt;Endyr,0,VLOOKUP($A242,Tariff_Table,Tariff!$G$33))</f>
        <v>0</v>
      </c>
      <c r="D242" s="1480">
        <f ca="1">VLOOKUP($A242,Curves_Table,Escalation!$V$291)</f>
        <v>1.7754357291063123</v>
      </c>
      <c r="E242" s="1483">
        <f t="shared" ca="1" si="95"/>
        <v>0</v>
      </c>
      <c r="F242" s="1480">
        <f ca="1">IF(Assm!$L$74=0,VLOOKUP($A242,Curves_Table,Escalation!$D$291),VLOOKUP($A242,Curves_Table,Escalation!$E$291))</f>
        <v>3.1345553075453139</v>
      </c>
      <c r="G242" s="113">
        <f ca="1">IF($A242&lt;EE_Date,VLOOKUP($A242,Curves_Table,Escalation!$D$291),Exch)</f>
        <v>1.0649999999999999</v>
      </c>
      <c r="H242" s="1483">
        <f t="shared" ca="1" si="96"/>
        <v>0</v>
      </c>
      <c r="I242" s="330">
        <f ca="1">VLOOKUP($A242,Plant_Table,'Plant Operations'!$C$270)</f>
        <v>0</v>
      </c>
      <c r="J242" s="1481">
        <f t="shared" ca="1" si="97"/>
        <v>0</v>
      </c>
      <c r="K242" s="1480">
        <f t="shared" ca="1" si="98"/>
        <v>3.1345553075453139</v>
      </c>
      <c r="L242" s="384">
        <f t="shared" ca="1" si="99"/>
        <v>0</v>
      </c>
      <c r="M242" s="692" t="str">
        <f t="shared" ca="1" si="90"/>
        <v xml:space="preserve"> </v>
      </c>
      <c r="O242" s="1482">
        <f ca="1">IF($A242&gt;Endyr,0,VLOOKUP($A242,Tariff_Table,Tariff!$H$33))</f>
        <v>0</v>
      </c>
      <c r="P242" s="1480">
        <f t="shared" ca="1" si="100"/>
        <v>0</v>
      </c>
      <c r="Q242" s="1481">
        <f t="shared" ca="1" si="101"/>
        <v>0</v>
      </c>
      <c r="R242" s="1480">
        <f t="shared" ca="1" si="102"/>
        <v>3.1345553075453139</v>
      </c>
      <c r="S242" s="113">
        <f t="shared" ca="1" si="103"/>
        <v>1.0649999999999999</v>
      </c>
      <c r="T242" s="1481">
        <f t="shared" ca="1" si="104"/>
        <v>0</v>
      </c>
      <c r="U242" s="330">
        <f t="shared" ca="1" si="105"/>
        <v>0</v>
      </c>
      <c r="V242" s="1481">
        <f t="shared" ca="1" si="106"/>
        <v>0</v>
      </c>
      <c r="W242" s="1480">
        <f t="shared" ca="1" si="107"/>
        <v>3.1345553075453139</v>
      </c>
      <c r="X242" s="384">
        <f t="shared" ca="1" si="108"/>
        <v>0</v>
      </c>
      <c r="Y242" s="692" t="str">
        <f t="shared" ca="1" si="91"/>
        <v xml:space="preserve"> </v>
      </c>
      <c r="AA242" s="1484">
        <f ca="1">IF($A242&gt;Endyr,0,VLOOKUP($A242,Tariff_Table,Tariff!$I$33))</f>
        <v>0</v>
      </c>
      <c r="AB242" s="1480">
        <f t="shared" ca="1" si="92"/>
        <v>0</v>
      </c>
      <c r="AC242" s="1483">
        <f t="shared" ca="1" si="109"/>
        <v>0</v>
      </c>
      <c r="AD242" s="1480">
        <f t="shared" ca="1" si="110"/>
        <v>3.1345553075453139</v>
      </c>
      <c r="AE242" s="113">
        <f t="shared" ca="1" si="111"/>
        <v>1.0649999999999999</v>
      </c>
      <c r="AF242" s="1483">
        <f t="shared" ca="1" si="112"/>
        <v>0</v>
      </c>
      <c r="AG242" s="334">
        <f ca="1">VLOOKUP($A242,Plant_Table,'Plant Operations'!$M$270)</f>
        <v>0</v>
      </c>
      <c r="AH242" s="1481">
        <f t="shared" ca="1" si="113"/>
        <v>0</v>
      </c>
      <c r="AI242" s="1480">
        <f t="shared" ca="1" si="114"/>
        <v>3.1345553075453139</v>
      </c>
      <c r="AJ242" s="335">
        <f t="shared" ca="1" si="115"/>
        <v>0</v>
      </c>
      <c r="AK242" s="698" t="str">
        <f t="shared" ca="1" si="93"/>
        <v xml:space="preserve"> </v>
      </c>
      <c r="AM242" s="697">
        <f ca="1">IF($A242&gt;Endyr,0,VLOOKUP($A242,Tariff_Table,Tariff!$L$33))</f>
        <v>0</v>
      </c>
      <c r="AN242" s="1504">
        <f ca="1">VLOOKUP($A242,Curves_Table,Escalation!$Z$291)</f>
        <v>1.696236647453875</v>
      </c>
      <c r="AO242" s="331">
        <f t="shared" ca="1" si="116"/>
        <v>0</v>
      </c>
      <c r="AP242" s="331">
        <f ca="1">IF($A242&gt;Endyr,0,VLOOKUP($A242,Tariff_Table,Tariff!$M$33))</f>
        <v>0</v>
      </c>
      <c r="AQ242" s="331">
        <f t="shared" ca="1" si="117"/>
        <v>0</v>
      </c>
      <c r="AR242" s="331">
        <f t="shared" ca="1" si="118"/>
        <v>0</v>
      </c>
      <c r="AS242" s="1508">
        <f t="shared" ca="1" si="119"/>
        <v>0</v>
      </c>
    </row>
    <row r="243" spans="1:45">
      <c r="A243" s="672">
        <f t="shared" si="94"/>
        <v>43983</v>
      </c>
      <c r="C243" s="1484">
        <f ca="1">IF($A243&gt;Endyr,0,VLOOKUP($A243,Tariff_Table,Tariff!$G$33))</f>
        <v>0</v>
      </c>
      <c r="D243" s="1480">
        <f ca="1">VLOOKUP($A243,Curves_Table,Escalation!$V$291)</f>
        <v>1.7754357291063123</v>
      </c>
      <c r="E243" s="1483">
        <f t="shared" ca="1" si="95"/>
        <v>0</v>
      </c>
      <c r="F243" s="1480">
        <f ca="1">IF(Assm!$L$74=0,VLOOKUP($A243,Curves_Table,Escalation!$D$291),VLOOKUP($A243,Curves_Table,Escalation!$E$291))</f>
        <v>3.1345553075453139</v>
      </c>
      <c r="G243" s="113">
        <f ca="1">IF($A243&lt;EE_Date,VLOOKUP($A243,Curves_Table,Escalation!$D$291),Exch)</f>
        <v>1.0649999999999999</v>
      </c>
      <c r="H243" s="1483">
        <f t="shared" ca="1" si="96"/>
        <v>0</v>
      </c>
      <c r="I243" s="330">
        <f ca="1">VLOOKUP($A243,Plant_Table,'Plant Operations'!$C$270)</f>
        <v>0</v>
      </c>
      <c r="J243" s="1481">
        <f t="shared" ca="1" si="97"/>
        <v>0</v>
      </c>
      <c r="K243" s="1480">
        <f t="shared" ca="1" si="98"/>
        <v>3.1345553075453139</v>
      </c>
      <c r="L243" s="384">
        <f t="shared" ca="1" si="99"/>
        <v>0</v>
      </c>
      <c r="M243" s="692" t="str">
        <f t="shared" ca="1" si="90"/>
        <v xml:space="preserve"> </v>
      </c>
      <c r="O243" s="1482">
        <f ca="1">IF($A243&gt;Endyr,0,VLOOKUP($A243,Tariff_Table,Tariff!$H$33))</f>
        <v>0</v>
      </c>
      <c r="P243" s="1480">
        <f t="shared" ca="1" si="100"/>
        <v>0</v>
      </c>
      <c r="Q243" s="1481">
        <f t="shared" ca="1" si="101"/>
        <v>0</v>
      </c>
      <c r="R243" s="1480">
        <f t="shared" ca="1" si="102"/>
        <v>3.1345553075453139</v>
      </c>
      <c r="S243" s="113">
        <f t="shared" ca="1" si="103"/>
        <v>1.0649999999999999</v>
      </c>
      <c r="T243" s="1481">
        <f t="shared" ca="1" si="104"/>
        <v>0</v>
      </c>
      <c r="U243" s="330">
        <f t="shared" ca="1" si="105"/>
        <v>0</v>
      </c>
      <c r="V243" s="1481">
        <f t="shared" ca="1" si="106"/>
        <v>0</v>
      </c>
      <c r="W243" s="1480">
        <f t="shared" ca="1" si="107"/>
        <v>3.1345553075453139</v>
      </c>
      <c r="X243" s="384">
        <f t="shared" ca="1" si="108"/>
        <v>0</v>
      </c>
      <c r="Y243" s="692" t="str">
        <f t="shared" ca="1" si="91"/>
        <v xml:space="preserve"> </v>
      </c>
      <c r="AA243" s="1484">
        <f ca="1">IF($A243&gt;Endyr,0,VLOOKUP($A243,Tariff_Table,Tariff!$I$33))</f>
        <v>0</v>
      </c>
      <c r="AB243" s="1480">
        <f t="shared" ca="1" si="92"/>
        <v>0</v>
      </c>
      <c r="AC243" s="1483">
        <f t="shared" ca="1" si="109"/>
        <v>0</v>
      </c>
      <c r="AD243" s="1480">
        <f t="shared" ca="1" si="110"/>
        <v>3.1345553075453139</v>
      </c>
      <c r="AE243" s="113">
        <f t="shared" ca="1" si="111"/>
        <v>1.0649999999999999</v>
      </c>
      <c r="AF243" s="1483">
        <f t="shared" ca="1" si="112"/>
        <v>0</v>
      </c>
      <c r="AG243" s="334">
        <f ca="1">VLOOKUP($A243,Plant_Table,'Plant Operations'!$M$270)</f>
        <v>0</v>
      </c>
      <c r="AH243" s="1481">
        <f t="shared" ca="1" si="113"/>
        <v>0</v>
      </c>
      <c r="AI243" s="1480">
        <f t="shared" ca="1" si="114"/>
        <v>3.1345553075453139</v>
      </c>
      <c r="AJ243" s="335">
        <f t="shared" ca="1" si="115"/>
        <v>0</v>
      </c>
      <c r="AK243" s="698" t="str">
        <f t="shared" ca="1" si="93"/>
        <v xml:space="preserve"> </v>
      </c>
      <c r="AM243" s="697">
        <f ca="1">IF($A243&gt;Endyr,0,VLOOKUP($A243,Tariff_Table,Tariff!$L$33))</f>
        <v>0</v>
      </c>
      <c r="AN243" s="1504">
        <f ca="1">VLOOKUP($A243,Curves_Table,Escalation!$Z$291)</f>
        <v>1.696236647453875</v>
      </c>
      <c r="AO243" s="331">
        <f t="shared" ca="1" si="116"/>
        <v>0</v>
      </c>
      <c r="AP243" s="331">
        <f ca="1">IF($A243&gt;Endyr,0,VLOOKUP($A243,Tariff_Table,Tariff!$M$33))</f>
        <v>0</v>
      </c>
      <c r="AQ243" s="331">
        <f t="shared" ca="1" si="117"/>
        <v>0</v>
      </c>
      <c r="AR243" s="331">
        <f t="shared" ca="1" si="118"/>
        <v>0</v>
      </c>
      <c r="AS243" s="1508">
        <f t="shared" ca="1" si="119"/>
        <v>0</v>
      </c>
    </row>
    <row r="244" spans="1:45">
      <c r="A244" s="672">
        <f t="shared" si="94"/>
        <v>44013</v>
      </c>
      <c r="C244" s="1484">
        <f ca="1">IF($A244&gt;Endyr,0,VLOOKUP($A244,Tariff_Table,Tariff!$G$33))</f>
        <v>0</v>
      </c>
      <c r="D244" s="1480">
        <f ca="1">VLOOKUP($A244,Curves_Table,Escalation!$V$291)</f>
        <v>1.7754357291063123</v>
      </c>
      <c r="E244" s="1483">
        <f t="shared" ca="1" si="95"/>
        <v>0</v>
      </c>
      <c r="F244" s="1480">
        <f ca="1">IF(Assm!$L$74=0,VLOOKUP($A244,Curves_Table,Escalation!$D$291),VLOOKUP($A244,Curves_Table,Escalation!$E$291))</f>
        <v>3.1345553075453139</v>
      </c>
      <c r="G244" s="113">
        <f ca="1">IF($A244&lt;EE_Date,VLOOKUP($A244,Curves_Table,Escalation!$D$291),Exch)</f>
        <v>1.0649999999999999</v>
      </c>
      <c r="H244" s="1483">
        <f t="shared" ca="1" si="96"/>
        <v>0</v>
      </c>
      <c r="I244" s="330">
        <f ca="1">VLOOKUP($A244,Plant_Table,'Plant Operations'!$C$270)</f>
        <v>0</v>
      </c>
      <c r="J244" s="1481">
        <f t="shared" ca="1" si="97"/>
        <v>0</v>
      </c>
      <c r="K244" s="1480">
        <f t="shared" ca="1" si="98"/>
        <v>3.1345553075453139</v>
      </c>
      <c r="L244" s="384">
        <f t="shared" ca="1" si="99"/>
        <v>0</v>
      </c>
      <c r="M244" s="692" t="str">
        <f t="shared" ca="1" si="90"/>
        <v xml:space="preserve"> </v>
      </c>
      <c r="O244" s="1482">
        <f ca="1">IF($A244&gt;Endyr,0,VLOOKUP($A244,Tariff_Table,Tariff!$H$33))</f>
        <v>0</v>
      </c>
      <c r="P244" s="1480">
        <f t="shared" ca="1" si="100"/>
        <v>0</v>
      </c>
      <c r="Q244" s="1481">
        <f t="shared" ca="1" si="101"/>
        <v>0</v>
      </c>
      <c r="R244" s="1480">
        <f t="shared" ca="1" si="102"/>
        <v>3.1345553075453139</v>
      </c>
      <c r="S244" s="113">
        <f t="shared" ca="1" si="103"/>
        <v>1.0649999999999999</v>
      </c>
      <c r="T244" s="1481">
        <f t="shared" ca="1" si="104"/>
        <v>0</v>
      </c>
      <c r="U244" s="330">
        <f t="shared" ca="1" si="105"/>
        <v>0</v>
      </c>
      <c r="V244" s="1481">
        <f t="shared" ca="1" si="106"/>
        <v>0</v>
      </c>
      <c r="W244" s="1480">
        <f t="shared" ca="1" si="107"/>
        <v>3.1345553075453139</v>
      </c>
      <c r="X244" s="384">
        <f t="shared" ca="1" si="108"/>
        <v>0</v>
      </c>
      <c r="Y244" s="692" t="str">
        <f t="shared" ca="1" si="91"/>
        <v xml:space="preserve"> </v>
      </c>
      <c r="AA244" s="1484">
        <f ca="1">IF($A244&gt;Endyr,0,VLOOKUP($A244,Tariff_Table,Tariff!$I$33))</f>
        <v>0</v>
      </c>
      <c r="AB244" s="1480">
        <f t="shared" ca="1" si="92"/>
        <v>0</v>
      </c>
      <c r="AC244" s="1483">
        <f t="shared" ca="1" si="109"/>
        <v>0</v>
      </c>
      <c r="AD244" s="1480">
        <f t="shared" ca="1" si="110"/>
        <v>3.1345553075453139</v>
      </c>
      <c r="AE244" s="113">
        <f t="shared" ca="1" si="111"/>
        <v>1.0649999999999999</v>
      </c>
      <c r="AF244" s="1483">
        <f t="shared" ca="1" si="112"/>
        <v>0</v>
      </c>
      <c r="AG244" s="334">
        <f ca="1">VLOOKUP($A244,Plant_Table,'Plant Operations'!$M$270)</f>
        <v>0</v>
      </c>
      <c r="AH244" s="1481">
        <f t="shared" ca="1" si="113"/>
        <v>0</v>
      </c>
      <c r="AI244" s="1480">
        <f t="shared" ca="1" si="114"/>
        <v>3.1345553075453139</v>
      </c>
      <c r="AJ244" s="335">
        <f t="shared" ca="1" si="115"/>
        <v>0</v>
      </c>
      <c r="AK244" s="698" t="str">
        <f t="shared" ca="1" si="93"/>
        <v xml:space="preserve"> </v>
      </c>
      <c r="AM244" s="697">
        <f ca="1">IF($A244&gt;Endyr,0,VLOOKUP($A244,Tariff_Table,Tariff!$L$33))</f>
        <v>0</v>
      </c>
      <c r="AN244" s="1504">
        <f ca="1">VLOOKUP($A244,Curves_Table,Escalation!$Z$291)</f>
        <v>1.696236647453875</v>
      </c>
      <c r="AO244" s="331">
        <f t="shared" ca="1" si="116"/>
        <v>0</v>
      </c>
      <c r="AP244" s="331">
        <f ca="1">IF($A244&gt;Endyr,0,VLOOKUP($A244,Tariff_Table,Tariff!$M$33))</f>
        <v>0</v>
      </c>
      <c r="AQ244" s="331">
        <f t="shared" ca="1" si="117"/>
        <v>0</v>
      </c>
      <c r="AR244" s="331">
        <f t="shared" ca="1" si="118"/>
        <v>0</v>
      </c>
      <c r="AS244" s="1508">
        <f t="shared" ca="1" si="119"/>
        <v>0</v>
      </c>
    </row>
    <row r="245" spans="1:45">
      <c r="A245" s="672">
        <f t="shared" si="94"/>
        <v>44044</v>
      </c>
      <c r="C245" s="1484">
        <f ca="1">IF($A245&gt;Endyr,0,VLOOKUP($A245,Tariff_Table,Tariff!$G$33))</f>
        <v>0</v>
      </c>
      <c r="D245" s="1480">
        <f ca="1">VLOOKUP($A245,Curves_Table,Escalation!$V$291)</f>
        <v>1.7754357291063123</v>
      </c>
      <c r="E245" s="1483">
        <f t="shared" ca="1" si="95"/>
        <v>0</v>
      </c>
      <c r="F245" s="1480">
        <f ca="1">IF(Assm!$L$74=0,VLOOKUP($A245,Curves_Table,Escalation!$D$291),VLOOKUP($A245,Curves_Table,Escalation!$E$291))</f>
        <v>3.1345553075453139</v>
      </c>
      <c r="G245" s="113">
        <f ca="1">IF($A245&lt;EE_Date,VLOOKUP($A245,Curves_Table,Escalation!$D$291),Exch)</f>
        <v>1.0649999999999999</v>
      </c>
      <c r="H245" s="1483">
        <f t="shared" ca="1" si="96"/>
        <v>0</v>
      </c>
      <c r="I245" s="330">
        <f ca="1">VLOOKUP($A245,Plant_Table,'Plant Operations'!$C$270)</f>
        <v>0</v>
      </c>
      <c r="J245" s="1481">
        <f t="shared" ca="1" si="97"/>
        <v>0</v>
      </c>
      <c r="K245" s="1480">
        <f t="shared" ca="1" si="98"/>
        <v>3.1345553075453139</v>
      </c>
      <c r="L245" s="384">
        <f t="shared" ca="1" si="99"/>
        <v>0</v>
      </c>
      <c r="M245" s="692" t="str">
        <f t="shared" ca="1" si="90"/>
        <v xml:space="preserve"> </v>
      </c>
      <c r="O245" s="1482">
        <f ca="1">IF($A245&gt;Endyr,0,VLOOKUP($A245,Tariff_Table,Tariff!$H$33))</f>
        <v>0</v>
      </c>
      <c r="P245" s="1480">
        <f t="shared" ca="1" si="100"/>
        <v>0</v>
      </c>
      <c r="Q245" s="1481">
        <f t="shared" ca="1" si="101"/>
        <v>0</v>
      </c>
      <c r="R245" s="1480">
        <f t="shared" ca="1" si="102"/>
        <v>3.1345553075453139</v>
      </c>
      <c r="S245" s="113">
        <f t="shared" ca="1" si="103"/>
        <v>1.0649999999999999</v>
      </c>
      <c r="T245" s="1481">
        <f t="shared" ca="1" si="104"/>
        <v>0</v>
      </c>
      <c r="U245" s="330">
        <f t="shared" ca="1" si="105"/>
        <v>0</v>
      </c>
      <c r="V245" s="1481">
        <f t="shared" ca="1" si="106"/>
        <v>0</v>
      </c>
      <c r="W245" s="1480">
        <f t="shared" ca="1" si="107"/>
        <v>3.1345553075453139</v>
      </c>
      <c r="X245" s="384">
        <f t="shared" ca="1" si="108"/>
        <v>0</v>
      </c>
      <c r="Y245" s="692" t="str">
        <f t="shared" ca="1" si="91"/>
        <v xml:space="preserve"> </v>
      </c>
      <c r="AA245" s="1484">
        <f ca="1">IF($A245&gt;Endyr,0,VLOOKUP($A245,Tariff_Table,Tariff!$I$33))</f>
        <v>0</v>
      </c>
      <c r="AB245" s="1480">
        <f t="shared" ca="1" si="92"/>
        <v>0</v>
      </c>
      <c r="AC245" s="1483">
        <f t="shared" ca="1" si="109"/>
        <v>0</v>
      </c>
      <c r="AD245" s="1480">
        <f t="shared" ca="1" si="110"/>
        <v>3.1345553075453139</v>
      </c>
      <c r="AE245" s="113">
        <f t="shared" ca="1" si="111"/>
        <v>1.0649999999999999</v>
      </c>
      <c r="AF245" s="1483">
        <f t="shared" ca="1" si="112"/>
        <v>0</v>
      </c>
      <c r="AG245" s="334">
        <f ca="1">VLOOKUP($A245,Plant_Table,'Plant Operations'!$M$270)</f>
        <v>0</v>
      </c>
      <c r="AH245" s="1481">
        <f t="shared" ca="1" si="113"/>
        <v>0</v>
      </c>
      <c r="AI245" s="1480">
        <f t="shared" ca="1" si="114"/>
        <v>3.1345553075453139</v>
      </c>
      <c r="AJ245" s="335">
        <f t="shared" ca="1" si="115"/>
        <v>0</v>
      </c>
      <c r="AK245" s="698" t="str">
        <f t="shared" ca="1" si="93"/>
        <v xml:space="preserve"> </v>
      </c>
      <c r="AM245" s="697">
        <f ca="1">IF($A245&gt;Endyr,0,VLOOKUP($A245,Tariff_Table,Tariff!$L$33))</f>
        <v>0</v>
      </c>
      <c r="AN245" s="1504">
        <f ca="1">VLOOKUP($A245,Curves_Table,Escalation!$Z$291)</f>
        <v>1.696236647453875</v>
      </c>
      <c r="AO245" s="331">
        <f t="shared" ca="1" si="116"/>
        <v>0</v>
      </c>
      <c r="AP245" s="331">
        <f ca="1">IF($A245&gt;Endyr,0,VLOOKUP($A245,Tariff_Table,Tariff!$M$33))</f>
        <v>0</v>
      </c>
      <c r="AQ245" s="331">
        <f t="shared" ca="1" si="117"/>
        <v>0</v>
      </c>
      <c r="AR245" s="331">
        <f t="shared" ca="1" si="118"/>
        <v>0</v>
      </c>
      <c r="AS245" s="1508">
        <f t="shared" ca="1" si="119"/>
        <v>0</v>
      </c>
    </row>
    <row r="246" spans="1:45">
      <c r="A246" s="672">
        <f t="shared" si="94"/>
        <v>44075</v>
      </c>
      <c r="C246" s="1484">
        <f ca="1">IF($A246&gt;Endyr,0,VLOOKUP($A246,Tariff_Table,Tariff!$G$33))</f>
        <v>0</v>
      </c>
      <c r="D246" s="1480">
        <f ca="1">VLOOKUP($A246,Curves_Table,Escalation!$V$291)</f>
        <v>1.7754357291063123</v>
      </c>
      <c r="E246" s="1483">
        <f t="shared" ca="1" si="95"/>
        <v>0</v>
      </c>
      <c r="F246" s="1480">
        <f ca="1">IF(Assm!$L$74=0,VLOOKUP($A246,Curves_Table,Escalation!$D$291),VLOOKUP($A246,Curves_Table,Escalation!$E$291))</f>
        <v>3.1345553075453139</v>
      </c>
      <c r="G246" s="113">
        <f ca="1">IF($A246&lt;EE_Date,VLOOKUP($A246,Curves_Table,Escalation!$D$291),Exch)</f>
        <v>1.0649999999999999</v>
      </c>
      <c r="H246" s="1483">
        <f t="shared" ca="1" si="96"/>
        <v>0</v>
      </c>
      <c r="I246" s="330">
        <f ca="1">VLOOKUP($A246,Plant_Table,'Plant Operations'!$C$270)</f>
        <v>0</v>
      </c>
      <c r="J246" s="1481">
        <f t="shared" ca="1" si="97"/>
        <v>0</v>
      </c>
      <c r="K246" s="1480">
        <f t="shared" ca="1" si="98"/>
        <v>3.1345553075453139</v>
      </c>
      <c r="L246" s="384">
        <f t="shared" ca="1" si="99"/>
        <v>0</v>
      </c>
      <c r="M246" s="692" t="str">
        <f t="shared" ca="1" si="90"/>
        <v xml:space="preserve"> </v>
      </c>
      <c r="O246" s="1482">
        <f ca="1">IF($A246&gt;Endyr,0,VLOOKUP($A246,Tariff_Table,Tariff!$H$33))</f>
        <v>0</v>
      </c>
      <c r="P246" s="1480">
        <f t="shared" ca="1" si="100"/>
        <v>0</v>
      </c>
      <c r="Q246" s="1481">
        <f t="shared" ca="1" si="101"/>
        <v>0</v>
      </c>
      <c r="R246" s="1480">
        <f t="shared" ca="1" si="102"/>
        <v>3.1345553075453139</v>
      </c>
      <c r="S246" s="113">
        <f t="shared" ca="1" si="103"/>
        <v>1.0649999999999999</v>
      </c>
      <c r="T246" s="1481">
        <f t="shared" ca="1" si="104"/>
        <v>0</v>
      </c>
      <c r="U246" s="330">
        <f t="shared" ca="1" si="105"/>
        <v>0</v>
      </c>
      <c r="V246" s="1481">
        <f t="shared" ca="1" si="106"/>
        <v>0</v>
      </c>
      <c r="W246" s="1480">
        <f t="shared" ca="1" si="107"/>
        <v>3.1345553075453139</v>
      </c>
      <c r="X246" s="384">
        <f t="shared" ca="1" si="108"/>
        <v>0</v>
      </c>
      <c r="Y246" s="692" t="str">
        <f t="shared" ca="1" si="91"/>
        <v xml:space="preserve"> </v>
      </c>
      <c r="AA246" s="1484">
        <f ca="1">IF($A246&gt;Endyr,0,VLOOKUP($A246,Tariff_Table,Tariff!$I$33))</f>
        <v>0</v>
      </c>
      <c r="AB246" s="1480">
        <f t="shared" ca="1" si="92"/>
        <v>0</v>
      </c>
      <c r="AC246" s="1483">
        <f t="shared" ca="1" si="109"/>
        <v>0</v>
      </c>
      <c r="AD246" s="1480">
        <f t="shared" ca="1" si="110"/>
        <v>3.1345553075453139</v>
      </c>
      <c r="AE246" s="113">
        <f t="shared" ca="1" si="111"/>
        <v>1.0649999999999999</v>
      </c>
      <c r="AF246" s="1483">
        <f t="shared" ca="1" si="112"/>
        <v>0</v>
      </c>
      <c r="AG246" s="334">
        <f ca="1">VLOOKUP($A246,Plant_Table,'Plant Operations'!$M$270)</f>
        <v>0</v>
      </c>
      <c r="AH246" s="1481">
        <f t="shared" ca="1" si="113"/>
        <v>0</v>
      </c>
      <c r="AI246" s="1480">
        <f t="shared" ca="1" si="114"/>
        <v>3.1345553075453139</v>
      </c>
      <c r="AJ246" s="335">
        <f t="shared" ca="1" si="115"/>
        <v>0</v>
      </c>
      <c r="AK246" s="698" t="str">
        <f t="shared" ca="1" si="93"/>
        <v xml:space="preserve"> </v>
      </c>
      <c r="AM246" s="697">
        <f ca="1">IF($A246&gt;Endyr,0,VLOOKUP($A246,Tariff_Table,Tariff!$L$33))</f>
        <v>0</v>
      </c>
      <c r="AN246" s="1504">
        <f ca="1">VLOOKUP($A246,Curves_Table,Escalation!$Z$291)</f>
        <v>1.696236647453875</v>
      </c>
      <c r="AO246" s="331">
        <f t="shared" ca="1" si="116"/>
        <v>0</v>
      </c>
      <c r="AP246" s="331">
        <f ca="1">IF($A246&gt;Endyr,0,VLOOKUP($A246,Tariff_Table,Tariff!$M$33))</f>
        <v>0</v>
      </c>
      <c r="AQ246" s="331">
        <f t="shared" ca="1" si="117"/>
        <v>0</v>
      </c>
      <c r="AR246" s="331">
        <f t="shared" ca="1" si="118"/>
        <v>0</v>
      </c>
      <c r="AS246" s="1508">
        <f t="shared" ca="1" si="119"/>
        <v>0</v>
      </c>
    </row>
    <row r="247" spans="1:45">
      <c r="A247" s="672">
        <f t="shared" si="94"/>
        <v>44105</v>
      </c>
      <c r="C247" s="1484">
        <f ca="1">IF($A247&gt;Endyr,0,VLOOKUP($A247,Tariff_Table,Tariff!$G$33))</f>
        <v>0</v>
      </c>
      <c r="D247" s="1480">
        <f ca="1">VLOOKUP($A247,Curves_Table,Escalation!$V$291)</f>
        <v>1.7754357291063123</v>
      </c>
      <c r="E247" s="1483">
        <f t="shared" ca="1" si="95"/>
        <v>0</v>
      </c>
      <c r="F247" s="1480">
        <f ca="1">IF(Assm!$L$74=0,VLOOKUP($A247,Curves_Table,Escalation!$D$291),VLOOKUP($A247,Curves_Table,Escalation!$E$291))</f>
        <v>3.1345553075453139</v>
      </c>
      <c r="G247" s="113">
        <f ca="1">IF($A247&lt;EE_Date,VLOOKUP($A247,Curves_Table,Escalation!$D$291),Exch)</f>
        <v>1.0649999999999999</v>
      </c>
      <c r="H247" s="1483">
        <f t="shared" ca="1" si="96"/>
        <v>0</v>
      </c>
      <c r="I247" s="330">
        <f ca="1">VLOOKUP($A247,Plant_Table,'Plant Operations'!$C$270)</f>
        <v>0</v>
      </c>
      <c r="J247" s="1481">
        <f t="shared" ca="1" si="97"/>
        <v>0</v>
      </c>
      <c r="K247" s="1480">
        <f t="shared" ca="1" si="98"/>
        <v>3.1345553075453139</v>
      </c>
      <c r="L247" s="384">
        <f t="shared" ca="1" si="99"/>
        <v>0</v>
      </c>
      <c r="M247" s="692" t="str">
        <f t="shared" ca="1" si="90"/>
        <v xml:space="preserve"> </v>
      </c>
      <c r="O247" s="1482">
        <f ca="1">IF($A247&gt;Endyr,0,VLOOKUP($A247,Tariff_Table,Tariff!$H$33))</f>
        <v>0</v>
      </c>
      <c r="P247" s="1480">
        <f t="shared" ca="1" si="100"/>
        <v>0</v>
      </c>
      <c r="Q247" s="1481">
        <f t="shared" ca="1" si="101"/>
        <v>0</v>
      </c>
      <c r="R247" s="1480">
        <f t="shared" ca="1" si="102"/>
        <v>3.1345553075453139</v>
      </c>
      <c r="S247" s="113">
        <f t="shared" ca="1" si="103"/>
        <v>1.0649999999999999</v>
      </c>
      <c r="T247" s="1481">
        <f t="shared" ca="1" si="104"/>
        <v>0</v>
      </c>
      <c r="U247" s="330">
        <f t="shared" ca="1" si="105"/>
        <v>0</v>
      </c>
      <c r="V247" s="1481">
        <f t="shared" ca="1" si="106"/>
        <v>0</v>
      </c>
      <c r="W247" s="1480">
        <f t="shared" ca="1" si="107"/>
        <v>3.1345553075453139</v>
      </c>
      <c r="X247" s="384">
        <f t="shared" ca="1" si="108"/>
        <v>0</v>
      </c>
      <c r="Y247" s="692" t="str">
        <f t="shared" ca="1" si="91"/>
        <v xml:space="preserve"> </v>
      </c>
      <c r="AA247" s="1484">
        <f ca="1">IF($A247&gt;Endyr,0,VLOOKUP($A247,Tariff_Table,Tariff!$I$33))</f>
        <v>0</v>
      </c>
      <c r="AB247" s="1480">
        <f t="shared" ca="1" si="92"/>
        <v>0</v>
      </c>
      <c r="AC247" s="1483">
        <f t="shared" ca="1" si="109"/>
        <v>0</v>
      </c>
      <c r="AD247" s="1480">
        <f t="shared" ca="1" si="110"/>
        <v>3.1345553075453139</v>
      </c>
      <c r="AE247" s="113">
        <f t="shared" ca="1" si="111"/>
        <v>1.0649999999999999</v>
      </c>
      <c r="AF247" s="1483">
        <f t="shared" ca="1" si="112"/>
        <v>0</v>
      </c>
      <c r="AG247" s="334">
        <f ca="1">VLOOKUP($A247,Plant_Table,'Plant Operations'!$M$270)</f>
        <v>0</v>
      </c>
      <c r="AH247" s="1481">
        <f t="shared" ca="1" si="113"/>
        <v>0</v>
      </c>
      <c r="AI247" s="1480">
        <f t="shared" ca="1" si="114"/>
        <v>3.1345553075453139</v>
      </c>
      <c r="AJ247" s="335">
        <f t="shared" ca="1" si="115"/>
        <v>0</v>
      </c>
      <c r="AK247" s="698" t="str">
        <f t="shared" ca="1" si="93"/>
        <v xml:space="preserve"> </v>
      </c>
      <c r="AM247" s="697">
        <f ca="1">IF($A247&gt;Endyr,0,VLOOKUP($A247,Tariff_Table,Tariff!$L$33))</f>
        <v>0</v>
      </c>
      <c r="AN247" s="1504">
        <f ca="1">VLOOKUP($A247,Curves_Table,Escalation!$Z$291)</f>
        <v>1.696236647453875</v>
      </c>
      <c r="AO247" s="331">
        <f t="shared" ca="1" si="116"/>
        <v>0</v>
      </c>
      <c r="AP247" s="331">
        <f ca="1">IF($A247&gt;Endyr,0,VLOOKUP($A247,Tariff_Table,Tariff!$M$33))</f>
        <v>0</v>
      </c>
      <c r="AQ247" s="331">
        <f t="shared" ca="1" si="117"/>
        <v>0</v>
      </c>
      <c r="AR247" s="331">
        <f t="shared" ca="1" si="118"/>
        <v>0</v>
      </c>
      <c r="AS247" s="1508">
        <f t="shared" ca="1" si="119"/>
        <v>0</v>
      </c>
    </row>
    <row r="248" spans="1:45">
      <c r="A248" s="672">
        <f t="shared" si="94"/>
        <v>44136</v>
      </c>
      <c r="C248" s="1484">
        <f ca="1">IF($A248&gt;Endyr,0,VLOOKUP($A248,Tariff_Table,Tariff!$G$33))</f>
        <v>0</v>
      </c>
      <c r="D248" s="1480">
        <f ca="1">VLOOKUP($A248,Curves_Table,Escalation!$V$291)</f>
        <v>1.7754357291063123</v>
      </c>
      <c r="E248" s="1483">
        <f t="shared" ca="1" si="95"/>
        <v>0</v>
      </c>
      <c r="F248" s="1480">
        <f ca="1">IF(Assm!$L$74=0,VLOOKUP($A248,Curves_Table,Escalation!$D$291),VLOOKUP($A248,Curves_Table,Escalation!$E$291))</f>
        <v>3.1345553075453139</v>
      </c>
      <c r="G248" s="113">
        <f ca="1">IF($A248&lt;EE_Date,VLOOKUP($A248,Curves_Table,Escalation!$D$291),Exch)</f>
        <v>1.0649999999999999</v>
      </c>
      <c r="H248" s="1483">
        <f t="shared" ca="1" si="96"/>
        <v>0</v>
      </c>
      <c r="I248" s="330">
        <f ca="1">VLOOKUP($A248,Plant_Table,'Plant Operations'!$C$270)</f>
        <v>0</v>
      </c>
      <c r="J248" s="1481">
        <f t="shared" ca="1" si="97"/>
        <v>0</v>
      </c>
      <c r="K248" s="1480">
        <f t="shared" ca="1" si="98"/>
        <v>3.1345553075453139</v>
      </c>
      <c r="L248" s="384">
        <f t="shared" ca="1" si="99"/>
        <v>0</v>
      </c>
      <c r="M248" s="692" t="str">
        <f t="shared" ca="1" si="90"/>
        <v xml:space="preserve"> </v>
      </c>
      <c r="O248" s="1482">
        <f ca="1">IF($A248&gt;Endyr,0,VLOOKUP($A248,Tariff_Table,Tariff!$H$33))</f>
        <v>0</v>
      </c>
      <c r="P248" s="1480">
        <f t="shared" ca="1" si="100"/>
        <v>0</v>
      </c>
      <c r="Q248" s="1481">
        <f t="shared" ca="1" si="101"/>
        <v>0</v>
      </c>
      <c r="R248" s="1480">
        <f t="shared" ca="1" si="102"/>
        <v>3.1345553075453139</v>
      </c>
      <c r="S248" s="113">
        <f t="shared" ca="1" si="103"/>
        <v>1.0649999999999999</v>
      </c>
      <c r="T248" s="1481">
        <f t="shared" ca="1" si="104"/>
        <v>0</v>
      </c>
      <c r="U248" s="330">
        <f t="shared" ca="1" si="105"/>
        <v>0</v>
      </c>
      <c r="V248" s="1481">
        <f t="shared" ca="1" si="106"/>
        <v>0</v>
      </c>
      <c r="W248" s="1480">
        <f t="shared" ca="1" si="107"/>
        <v>3.1345553075453139</v>
      </c>
      <c r="X248" s="384">
        <f t="shared" ca="1" si="108"/>
        <v>0</v>
      </c>
      <c r="Y248" s="692" t="str">
        <f t="shared" ca="1" si="91"/>
        <v xml:space="preserve"> </v>
      </c>
      <c r="AA248" s="1484">
        <f ca="1">IF($A248&gt;Endyr,0,VLOOKUP($A248,Tariff_Table,Tariff!$I$33))</f>
        <v>0</v>
      </c>
      <c r="AB248" s="1480">
        <f t="shared" ca="1" si="92"/>
        <v>0</v>
      </c>
      <c r="AC248" s="1483">
        <f t="shared" ca="1" si="109"/>
        <v>0</v>
      </c>
      <c r="AD248" s="1480">
        <f t="shared" ca="1" si="110"/>
        <v>3.1345553075453139</v>
      </c>
      <c r="AE248" s="113">
        <f t="shared" ca="1" si="111"/>
        <v>1.0649999999999999</v>
      </c>
      <c r="AF248" s="1483">
        <f t="shared" ca="1" si="112"/>
        <v>0</v>
      </c>
      <c r="AG248" s="334">
        <f ca="1">VLOOKUP($A248,Plant_Table,'Plant Operations'!$M$270)</f>
        <v>0</v>
      </c>
      <c r="AH248" s="1481">
        <f t="shared" ca="1" si="113"/>
        <v>0</v>
      </c>
      <c r="AI248" s="1480">
        <f t="shared" ca="1" si="114"/>
        <v>3.1345553075453139</v>
      </c>
      <c r="AJ248" s="335">
        <f t="shared" ca="1" si="115"/>
        <v>0</v>
      </c>
      <c r="AK248" s="698" t="str">
        <f t="shared" ca="1" si="93"/>
        <v xml:space="preserve"> </v>
      </c>
      <c r="AM248" s="697">
        <f ca="1">IF($A248&gt;Endyr,0,VLOOKUP($A248,Tariff_Table,Tariff!$L$33))</f>
        <v>0</v>
      </c>
      <c r="AN248" s="1504">
        <f ca="1">VLOOKUP($A248,Curves_Table,Escalation!$Z$291)</f>
        <v>1.696236647453875</v>
      </c>
      <c r="AO248" s="331">
        <f t="shared" ca="1" si="116"/>
        <v>0</v>
      </c>
      <c r="AP248" s="331">
        <f ca="1">IF($A248&gt;Endyr,0,VLOOKUP($A248,Tariff_Table,Tariff!$M$33))</f>
        <v>0</v>
      </c>
      <c r="AQ248" s="331">
        <f t="shared" ca="1" si="117"/>
        <v>0</v>
      </c>
      <c r="AR248" s="331">
        <f t="shared" ca="1" si="118"/>
        <v>0</v>
      </c>
      <c r="AS248" s="1508">
        <f t="shared" ca="1" si="119"/>
        <v>0</v>
      </c>
    </row>
    <row r="249" spans="1:45">
      <c r="A249" s="672">
        <f t="shared" si="94"/>
        <v>44166</v>
      </c>
      <c r="C249" s="1484">
        <f ca="1">IF($A249&gt;Endyr,0,VLOOKUP($A249,Tariff_Table,Tariff!$G$33))</f>
        <v>0</v>
      </c>
      <c r="D249" s="1480">
        <f ca="1">VLOOKUP($A249,Curves_Table,Escalation!$V$291)</f>
        <v>1.7754357291063123</v>
      </c>
      <c r="E249" s="1483">
        <f t="shared" ca="1" si="95"/>
        <v>0</v>
      </c>
      <c r="F249" s="1480">
        <f ca="1">IF(Assm!$L$74=0,VLOOKUP($A249,Curves_Table,Escalation!$D$291),VLOOKUP($A249,Curves_Table,Escalation!$E$291))</f>
        <v>3.1345553075453139</v>
      </c>
      <c r="G249" s="113">
        <f ca="1">IF($A249&lt;EE_Date,VLOOKUP($A249,Curves_Table,Escalation!$D$291),Exch)</f>
        <v>1.0649999999999999</v>
      </c>
      <c r="H249" s="1483">
        <f t="shared" ca="1" si="96"/>
        <v>0</v>
      </c>
      <c r="I249" s="330">
        <f ca="1">VLOOKUP($A249,Plant_Table,'Plant Operations'!$C$270)</f>
        <v>0</v>
      </c>
      <c r="J249" s="1481">
        <f t="shared" ca="1" si="97"/>
        <v>0</v>
      </c>
      <c r="K249" s="1480">
        <f t="shared" ca="1" si="98"/>
        <v>3.1345553075453139</v>
      </c>
      <c r="L249" s="384">
        <f t="shared" ca="1" si="99"/>
        <v>0</v>
      </c>
      <c r="M249" s="692">
        <f t="shared" ca="1" si="90"/>
        <v>0</v>
      </c>
      <c r="O249" s="1482">
        <f ca="1">IF($A249&gt;Endyr,0,VLOOKUP($A249,Tariff_Table,Tariff!$H$33))</f>
        <v>0</v>
      </c>
      <c r="P249" s="1480">
        <f t="shared" ca="1" si="100"/>
        <v>0</v>
      </c>
      <c r="Q249" s="1481">
        <f t="shared" ca="1" si="101"/>
        <v>0</v>
      </c>
      <c r="R249" s="1480">
        <f t="shared" ca="1" si="102"/>
        <v>3.1345553075453139</v>
      </c>
      <c r="S249" s="113">
        <f t="shared" ca="1" si="103"/>
        <v>1.0649999999999999</v>
      </c>
      <c r="T249" s="1481">
        <f t="shared" ca="1" si="104"/>
        <v>0</v>
      </c>
      <c r="U249" s="330">
        <f t="shared" ca="1" si="105"/>
        <v>0</v>
      </c>
      <c r="V249" s="1481">
        <f t="shared" ca="1" si="106"/>
        <v>0</v>
      </c>
      <c r="W249" s="1480">
        <f t="shared" ca="1" si="107"/>
        <v>3.1345553075453139</v>
      </c>
      <c r="X249" s="384">
        <f t="shared" ca="1" si="108"/>
        <v>0</v>
      </c>
      <c r="Y249" s="692">
        <f t="shared" ca="1" si="91"/>
        <v>0</v>
      </c>
      <c r="AA249" s="1484">
        <f ca="1">IF($A249&gt;Endyr,0,VLOOKUP($A249,Tariff_Table,Tariff!$I$33))</f>
        <v>0</v>
      </c>
      <c r="AB249" s="1480">
        <f t="shared" ca="1" si="92"/>
        <v>0</v>
      </c>
      <c r="AC249" s="1483">
        <f t="shared" ca="1" si="109"/>
        <v>0</v>
      </c>
      <c r="AD249" s="1480">
        <f t="shared" ca="1" si="110"/>
        <v>3.1345553075453139</v>
      </c>
      <c r="AE249" s="113">
        <f t="shared" ca="1" si="111"/>
        <v>1.0649999999999999</v>
      </c>
      <c r="AF249" s="1483">
        <f t="shared" ca="1" si="112"/>
        <v>0</v>
      </c>
      <c r="AG249" s="334">
        <f ca="1">VLOOKUP($A249,Plant_Table,'Plant Operations'!$M$270)</f>
        <v>0</v>
      </c>
      <c r="AH249" s="1481">
        <f t="shared" ca="1" si="113"/>
        <v>0</v>
      </c>
      <c r="AI249" s="1480">
        <f t="shared" ca="1" si="114"/>
        <v>3.1345553075453139</v>
      </c>
      <c r="AJ249" s="335">
        <f t="shared" ca="1" si="115"/>
        <v>0</v>
      </c>
      <c r="AK249" s="698">
        <f t="shared" ca="1" si="93"/>
        <v>0</v>
      </c>
      <c r="AM249" s="697">
        <f ca="1">IF($A249&gt;Endyr,0,VLOOKUP($A249,Tariff_Table,Tariff!$L$33))</f>
        <v>0</v>
      </c>
      <c r="AN249" s="1504">
        <f ca="1">VLOOKUP($A249,Curves_Table,Escalation!$Z$291)</f>
        <v>1.696236647453875</v>
      </c>
      <c r="AO249" s="331">
        <f t="shared" ca="1" si="116"/>
        <v>0</v>
      </c>
      <c r="AP249" s="331">
        <f ca="1">IF($A249&gt;Endyr,0,VLOOKUP($A249,Tariff_Table,Tariff!$M$33))</f>
        <v>0</v>
      </c>
      <c r="AQ249" s="331">
        <f t="shared" ca="1" si="117"/>
        <v>0</v>
      </c>
      <c r="AR249" s="331">
        <f t="shared" ca="1" si="118"/>
        <v>0</v>
      </c>
      <c r="AS249" s="1508">
        <f t="shared" ca="1" si="119"/>
        <v>0</v>
      </c>
    </row>
    <row r="250" spans="1:45">
      <c r="A250" s="672">
        <f t="shared" si="94"/>
        <v>44197</v>
      </c>
      <c r="C250" s="1484">
        <f ca="1">IF($A250&gt;Endyr,0,VLOOKUP($A250,Tariff_Table,Tariff!$G$33))</f>
        <v>0</v>
      </c>
      <c r="D250" s="1480">
        <f ca="1">VLOOKUP($A250,Curves_Table,Escalation!$V$291)</f>
        <v>1.7754357291063123</v>
      </c>
      <c r="E250" s="1483">
        <f t="shared" ca="1" si="95"/>
        <v>0</v>
      </c>
      <c r="F250" s="1480">
        <f ca="1">IF(Assm!$L$74=0,VLOOKUP($A250,Curves_Table,Escalation!$D$291),VLOOKUP($A250,Curves_Table,Escalation!$E$291))</f>
        <v>3.1345553075453139</v>
      </c>
      <c r="G250" s="113">
        <f ca="1">IF($A250&lt;EE_Date,VLOOKUP($A250,Curves_Table,Escalation!$D$291),Exch)</f>
        <v>1.0649999999999999</v>
      </c>
      <c r="H250" s="1483">
        <f t="shared" ca="1" si="96"/>
        <v>0</v>
      </c>
      <c r="I250" s="330">
        <f ca="1">VLOOKUP($A250,Plant_Table,'Plant Operations'!$C$270)</f>
        <v>0</v>
      </c>
      <c r="J250" s="1481">
        <f t="shared" ca="1" si="97"/>
        <v>0</v>
      </c>
      <c r="K250" s="1480">
        <f t="shared" ca="1" si="98"/>
        <v>3.1345553075453139</v>
      </c>
      <c r="L250" s="384">
        <f t="shared" ca="1" si="99"/>
        <v>0</v>
      </c>
      <c r="M250" s="692" t="str">
        <f t="shared" ca="1" si="90"/>
        <v xml:space="preserve"> </v>
      </c>
      <c r="O250" s="1482">
        <f ca="1">IF($A250&gt;Endyr,0,VLOOKUP($A250,Tariff_Table,Tariff!$H$33))</f>
        <v>0</v>
      </c>
      <c r="P250" s="1480">
        <f t="shared" ca="1" si="100"/>
        <v>0</v>
      </c>
      <c r="Q250" s="1481">
        <f t="shared" ca="1" si="101"/>
        <v>0</v>
      </c>
      <c r="R250" s="1480">
        <f t="shared" ca="1" si="102"/>
        <v>3.1345553075453139</v>
      </c>
      <c r="S250" s="113">
        <f t="shared" ca="1" si="103"/>
        <v>1.0649999999999999</v>
      </c>
      <c r="T250" s="1481">
        <f t="shared" ca="1" si="104"/>
        <v>0</v>
      </c>
      <c r="U250" s="330">
        <f t="shared" ca="1" si="105"/>
        <v>0</v>
      </c>
      <c r="V250" s="1481">
        <f t="shared" ca="1" si="106"/>
        <v>0</v>
      </c>
      <c r="W250" s="1480">
        <f t="shared" ca="1" si="107"/>
        <v>3.1345553075453139</v>
      </c>
      <c r="X250" s="384">
        <f t="shared" ca="1" si="108"/>
        <v>0</v>
      </c>
      <c r="Y250" s="692" t="str">
        <f t="shared" ca="1" si="91"/>
        <v xml:space="preserve"> </v>
      </c>
      <c r="AA250" s="1484">
        <f ca="1">IF($A250&gt;Endyr,0,VLOOKUP($A250,Tariff_Table,Tariff!$I$33))</f>
        <v>0</v>
      </c>
      <c r="AB250" s="1480">
        <f t="shared" ca="1" si="92"/>
        <v>0</v>
      </c>
      <c r="AC250" s="1483">
        <f t="shared" ca="1" si="109"/>
        <v>0</v>
      </c>
      <c r="AD250" s="1480">
        <f t="shared" ca="1" si="110"/>
        <v>3.1345553075453139</v>
      </c>
      <c r="AE250" s="113">
        <f t="shared" ca="1" si="111"/>
        <v>1.0649999999999999</v>
      </c>
      <c r="AF250" s="1483">
        <f t="shared" ca="1" si="112"/>
        <v>0</v>
      </c>
      <c r="AG250" s="334">
        <f ca="1">VLOOKUP($A250,Plant_Table,'Plant Operations'!$M$270)</f>
        <v>0</v>
      </c>
      <c r="AH250" s="1481">
        <f t="shared" ca="1" si="113"/>
        <v>0</v>
      </c>
      <c r="AI250" s="1480">
        <f t="shared" ca="1" si="114"/>
        <v>3.1345553075453139</v>
      </c>
      <c r="AJ250" s="335">
        <f t="shared" ca="1" si="115"/>
        <v>0</v>
      </c>
      <c r="AK250" s="698" t="str">
        <f t="shared" ca="1" si="93"/>
        <v xml:space="preserve"> </v>
      </c>
      <c r="AM250" s="697">
        <f ca="1">IF($A250&gt;Endyr,0,VLOOKUP($A250,Tariff_Table,Tariff!$L$33))</f>
        <v>0</v>
      </c>
      <c r="AN250" s="1504">
        <f ca="1">VLOOKUP($A250,Curves_Table,Escalation!$Z$291)</f>
        <v>1.696236647453875</v>
      </c>
      <c r="AO250" s="331">
        <f t="shared" ca="1" si="116"/>
        <v>0</v>
      </c>
      <c r="AP250" s="331">
        <f ca="1">IF($A250&gt;Endyr,0,VLOOKUP($A250,Tariff_Table,Tariff!$M$33))</f>
        <v>0</v>
      </c>
      <c r="AQ250" s="331">
        <f t="shared" ca="1" si="117"/>
        <v>0</v>
      </c>
      <c r="AR250" s="331">
        <f t="shared" ca="1" si="118"/>
        <v>0</v>
      </c>
      <c r="AS250" s="1508">
        <f t="shared" ca="1" si="119"/>
        <v>0</v>
      </c>
    </row>
    <row r="251" spans="1:45">
      <c r="A251" s="672">
        <f t="shared" si="94"/>
        <v>44228</v>
      </c>
      <c r="C251" s="1484">
        <f ca="1">IF($A251&gt;Endyr,0,VLOOKUP($A251,Tariff_Table,Tariff!$G$33))</f>
        <v>0</v>
      </c>
      <c r="D251" s="1480">
        <f ca="1">VLOOKUP($A251,Curves_Table,Escalation!$V$291)</f>
        <v>1.7754357291063123</v>
      </c>
      <c r="E251" s="1483">
        <f t="shared" ca="1" si="95"/>
        <v>0</v>
      </c>
      <c r="F251" s="1480">
        <f ca="1">IF(Assm!$L$74=0,VLOOKUP($A251,Curves_Table,Escalation!$D$291),VLOOKUP($A251,Curves_Table,Escalation!$E$291))</f>
        <v>3.1345553075453139</v>
      </c>
      <c r="G251" s="113">
        <f ca="1">IF($A251&lt;EE_Date,VLOOKUP($A251,Curves_Table,Escalation!$D$291),Exch)</f>
        <v>1.0649999999999999</v>
      </c>
      <c r="H251" s="1483">
        <f t="shared" ca="1" si="96"/>
        <v>0</v>
      </c>
      <c r="I251" s="330">
        <f ca="1">VLOOKUP($A251,Plant_Table,'Plant Operations'!$C$270)</f>
        <v>0</v>
      </c>
      <c r="J251" s="1481">
        <f t="shared" ca="1" si="97"/>
        <v>0</v>
      </c>
      <c r="K251" s="1480">
        <f t="shared" ca="1" si="98"/>
        <v>3.1345553075453139</v>
      </c>
      <c r="L251" s="384">
        <f t="shared" ca="1" si="99"/>
        <v>0</v>
      </c>
      <c r="M251" s="692" t="str">
        <f t="shared" ca="1" si="90"/>
        <v xml:space="preserve"> </v>
      </c>
      <c r="O251" s="1482">
        <f ca="1">IF($A251&gt;Endyr,0,VLOOKUP($A251,Tariff_Table,Tariff!$H$33))</f>
        <v>0</v>
      </c>
      <c r="P251" s="1480">
        <f t="shared" ca="1" si="100"/>
        <v>0</v>
      </c>
      <c r="Q251" s="1481">
        <f t="shared" ca="1" si="101"/>
        <v>0</v>
      </c>
      <c r="R251" s="1480">
        <f t="shared" ca="1" si="102"/>
        <v>3.1345553075453139</v>
      </c>
      <c r="S251" s="113">
        <f t="shared" ca="1" si="103"/>
        <v>1.0649999999999999</v>
      </c>
      <c r="T251" s="1481">
        <f t="shared" ca="1" si="104"/>
        <v>0</v>
      </c>
      <c r="U251" s="330">
        <f t="shared" ca="1" si="105"/>
        <v>0</v>
      </c>
      <c r="V251" s="1481">
        <f t="shared" ca="1" si="106"/>
        <v>0</v>
      </c>
      <c r="W251" s="1480">
        <f t="shared" ca="1" si="107"/>
        <v>3.1345553075453139</v>
      </c>
      <c r="X251" s="384">
        <f t="shared" ca="1" si="108"/>
        <v>0</v>
      </c>
      <c r="Y251" s="692" t="str">
        <f t="shared" ca="1" si="91"/>
        <v xml:space="preserve"> </v>
      </c>
      <c r="AA251" s="1484">
        <f ca="1">IF($A251&gt;Endyr,0,VLOOKUP($A251,Tariff_Table,Tariff!$I$33))</f>
        <v>0</v>
      </c>
      <c r="AB251" s="1480">
        <f t="shared" ca="1" si="92"/>
        <v>0</v>
      </c>
      <c r="AC251" s="1483">
        <f t="shared" ca="1" si="109"/>
        <v>0</v>
      </c>
      <c r="AD251" s="1480">
        <f t="shared" ca="1" si="110"/>
        <v>3.1345553075453139</v>
      </c>
      <c r="AE251" s="113">
        <f t="shared" ca="1" si="111"/>
        <v>1.0649999999999999</v>
      </c>
      <c r="AF251" s="1483">
        <f t="shared" ca="1" si="112"/>
        <v>0</v>
      </c>
      <c r="AG251" s="334">
        <f ca="1">VLOOKUP($A251,Plant_Table,'Plant Operations'!$M$270)</f>
        <v>0</v>
      </c>
      <c r="AH251" s="1481">
        <f t="shared" ca="1" si="113"/>
        <v>0</v>
      </c>
      <c r="AI251" s="1480">
        <f t="shared" ca="1" si="114"/>
        <v>3.1345553075453139</v>
      </c>
      <c r="AJ251" s="335">
        <f t="shared" ca="1" si="115"/>
        <v>0</v>
      </c>
      <c r="AK251" s="698" t="str">
        <f t="shared" ca="1" si="93"/>
        <v xml:space="preserve"> </v>
      </c>
      <c r="AM251" s="697">
        <f ca="1">IF($A251&gt;Endyr,0,VLOOKUP($A251,Tariff_Table,Tariff!$L$33))</f>
        <v>0</v>
      </c>
      <c r="AN251" s="1504">
        <f ca="1">VLOOKUP($A251,Curves_Table,Escalation!$Z$291)</f>
        <v>1.696236647453875</v>
      </c>
      <c r="AO251" s="331">
        <f t="shared" ca="1" si="116"/>
        <v>0</v>
      </c>
      <c r="AP251" s="331">
        <f ca="1">IF($A251&gt;Endyr,0,VLOOKUP($A251,Tariff_Table,Tariff!$M$33))</f>
        <v>0</v>
      </c>
      <c r="AQ251" s="331">
        <f t="shared" ca="1" si="117"/>
        <v>0</v>
      </c>
      <c r="AR251" s="331">
        <f t="shared" ca="1" si="118"/>
        <v>0</v>
      </c>
      <c r="AS251" s="1508">
        <f t="shared" ca="1" si="119"/>
        <v>0</v>
      </c>
    </row>
    <row r="252" spans="1:45">
      <c r="A252" s="672">
        <f t="shared" si="94"/>
        <v>44256</v>
      </c>
      <c r="C252" s="1484">
        <f ca="1">IF($A252&gt;Endyr,0,VLOOKUP($A252,Tariff_Table,Tariff!$G$33))</f>
        <v>0</v>
      </c>
      <c r="D252" s="1480">
        <f ca="1">VLOOKUP($A252,Curves_Table,Escalation!$V$291)</f>
        <v>1.7754357291063123</v>
      </c>
      <c r="E252" s="1483">
        <f t="shared" ca="1" si="95"/>
        <v>0</v>
      </c>
      <c r="F252" s="1480">
        <f ca="1">IF(Assm!$L$74=0,VLOOKUP($A252,Curves_Table,Escalation!$D$291),VLOOKUP($A252,Curves_Table,Escalation!$E$291))</f>
        <v>3.1345553075453139</v>
      </c>
      <c r="G252" s="113">
        <f ca="1">IF($A252&lt;EE_Date,VLOOKUP($A252,Curves_Table,Escalation!$D$291),Exch)</f>
        <v>1.0649999999999999</v>
      </c>
      <c r="H252" s="1483">
        <f t="shared" ca="1" si="96"/>
        <v>0</v>
      </c>
      <c r="I252" s="330">
        <f ca="1">VLOOKUP($A252,Plant_Table,'Plant Operations'!$C$270)</f>
        <v>0</v>
      </c>
      <c r="J252" s="1481">
        <f t="shared" ca="1" si="97"/>
        <v>0</v>
      </c>
      <c r="K252" s="1480">
        <f t="shared" ca="1" si="98"/>
        <v>3.1345553075453139</v>
      </c>
      <c r="L252" s="384">
        <f t="shared" ca="1" si="99"/>
        <v>0</v>
      </c>
      <c r="M252" s="692" t="str">
        <f t="shared" ca="1" si="90"/>
        <v xml:space="preserve"> </v>
      </c>
      <c r="O252" s="1482">
        <f ca="1">IF($A252&gt;Endyr,0,VLOOKUP($A252,Tariff_Table,Tariff!$H$33))</f>
        <v>0</v>
      </c>
      <c r="P252" s="1480">
        <f t="shared" ca="1" si="100"/>
        <v>0</v>
      </c>
      <c r="Q252" s="1481">
        <f t="shared" ca="1" si="101"/>
        <v>0</v>
      </c>
      <c r="R252" s="1480">
        <f t="shared" ca="1" si="102"/>
        <v>3.1345553075453139</v>
      </c>
      <c r="S252" s="113">
        <f t="shared" ca="1" si="103"/>
        <v>1.0649999999999999</v>
      </c>
      <c r="T252" s="1481">
        <f t="shared" ca="1" si="104"/>
        <v>0</v>
      </c>
      <c r="U252" s="330">
        <f t="shared" ca="1" si="105"/>
        <v>0</v>
      </c>
      <c r="V252" s="1481">
        <f t="shared" ca="1" si="106"/>
        <v>0</v>
      </c>
      <c r="W252" s="1480">
        <f t="shared" ca="1" si="107"/>
        <v>3.1345553075453139</v>
      </c>
      <c r="X252" s="384">
        <f t="shared" ca="1" si="108"/>
        <v>0</v>
      </c>
      <c r="Y252" s="692" t="str">
        <f t="shared" ca="1" si="91"/>
        <v xml:space="preserve"> </v>
      </c>
      <c r="AA252" s="1484">
        <f ca="1">IF($A252&gt;Endyr,0,VLOOKUP($A252,Tariff_Table,Tariff!$I$33))</f>
        <v>0</v>
      </c>
      <c r="AB252" s="1480">
        <f t="shared" ca="1" si="92"/>
        <v>0</v>
      </c>
      <c r="AC252" s="1483">
        <f t="shared" ca="1" si="109"/>
        <v>0</v>
      </c>
      <c r="AD252" s="1480">
        <f t="shared" ca="1" si="110"/>
        <v>3.1345553075453139</v>
      </c>
      <c r="AE252" s="113">
        <f t="shared" ca="1" si="111"/>
        <v>1.0649999999999999</v>
      </c>
      <c r="AF252" s="1483">
        <f t="shared" ca="1" si="112"/>
        <v>0</v>
      </c>
      <c r="AG252" s="334">
        <f ca="1">VLOOKUP($A252,Plant_Table,'Plant Operations'!$M$270)</f>
        <v>0</v>
      </c>
      <c r="AH252" s="1481">
        <f t="shared" ca="1" si="113"/>
        <v>0</v>
      </c>
      <c r="AI252" s="1480">
        <f t="shared" ca="1" si="114"/>
        <v>3.1345553075453139</v>
      </c>
      <c r="AJ252" s="335">
        <f t="shared" ca="1" si="115"/>
        <v>0</v>
      </c>
      <c r="AK252" s="698" t="str">
        <f t="shared" ca="1" si="93"/>
        <v xml:space="preserve"> </v>
      </c>
      <c r="AM252" s="697">
        <f ca="1">IF($A252&gt;Endyr,0,VLOOKUP($A252,Tariff_Table,Tariff!$L$33))</f>
        <v>0</v>
      </c>
      <c r="AN252" s="1504">
        <f ca="1">VLOOKUP($A252,Curves_Table,Escalation!$Z$291)</f>
        <v>1.696236647453875</v>
      </c>
      <c r="AO252" s="331">
        <f t="shared" ca="1" si="116"/>
        <v>0</v>
      </c>
      <c r="AP252" s="331">
        <f ca="1">IF($A252&gt;Endyr,0,VLOOKUP($A252,Tariff_Table,Tariff!$M$33))</f>
        <v>0</v>
      </c>
      <c r="AQ252" s="331">
        <f t="shared" ca="1" si="117"/>
        <v>0</v>
      </c>
      <c r="AR252" s="331">
        <f t="shared" ca="1" si="118"/>
        <v>0</v>
      </c>
      <c r="AS252" s="1508">
        <f t="shared" ca="1" si="119"/>
        <v>0</v>
      </c>
    </row>
    <row r="253" spans="1:45">
      <c r="A253" s="672">
        <f t="shared" si="94"/>
        <v>44287</v>
      </c>
      <c r="C253" s="1484">
        <f ca="1">IF($A253&gt;Endyr,0,VLOOKUP($A253,Tariff_Table,Tariff!$G$33))</f>
        <v>0</v>
      </c>
      <c r="D253" s="1480">
        <f ca="1">VLOOKUP($A253,Curves_Table,Escalation!$V$291)</f>
        <v>1.7754357291063123</v>
      </c>
      <c r="E253" s="1483">
        <f t="shared" ca="1" si="95"/>
        <v>0</v>
      </c>
      <c r="F253" s="1480">
        <f ca="1">IF(Assm!$L$74=0,VLOOKUP($A253,Curves_Table,Escalation!$D$291),VLOOKUP($A253,Curves_Table,Escalation!$E$291))</f>
        <v>3.1345553075453139</v>
      </c>
      <c r="G253" s="113">
        <f ca="1">IF($A253&lt;EE_Date,VLOOKUP($A253,Curves_Table,Escalation!$D$291),Exch)</f>
        <v>1.0649999999999999</v>
      </c>
      <c r="H253" s="1483">
        <f t="shared" ca="1" si="96"/>
        <v>0</v>
      </c>
      <c r="I253" s="330">
        <f ca="1">VLOOKUP($A253,Plant_Table,'Plant Operations'!$C$270)</f>
        <v>0</v>
      </c>
      <c r="J253" s="1481">
        <f t="shared" ca="1" si="97"/>
        <v>0</v>
      </c>
      <c r="K253" s="1480">
        <f t="shared" ca="1" si="98"/>
        <v>3.1345553075453139</v>
      </c>
      <c r="L253" s="384">
        <f t="shared" ca="1" si="99"/>
        <v>0</v>
      </c>
      <c r="M253" s="692" t="str">
        <f t="shared" ca="1" si="90"/>
        <v xml:space="preserve"> </v>
      </c>
      <c r="O253" s="1482">
        <f ca="1">IF($A253&gt;Endyr,0,VLOOKUP($A253,Tariff_Table,Tariff!$H$33))</f>
        <v>0</v>
      </c>
      <c r="P253" s="1480">
        <f t="shared" ca="1" si="100"/>
        <v>0</v>
      </c>
      <c r="Q253" s="1481">
        <f t="shared" ca="1" si="101"/>
        <v>0</v>
      </c>
      <c r="R253" s="1480">
        <f t="shared" ca="1" si="102"/>
        <v>3.1345553075453139</v>
      </c>
      <c r="S253" s="113">
        <f t="shared" ca="1" si="103"/>
        <v>1.0649999999999999</v>
      </c>
      <c r="T253" s="1481">
        <f t="shared" ca="1" si="104"/>
        <v>0</v>
      </c>
      <c r="U253" s="330">
        <f t="shared" ca="1" si="105"/>
        <v>0</v>
      </c>
      <c r="V253" s="1481">
        <f t="shared" ca="1" si="106"/>
        <v>0</v>
      </c>
      <c r="W253" s="1480">
        <f t="shared" ca="1" si="107"/>
        <v>3.1345553075453139</v>
      </c>
      <c r="X253" s="384">
        <f t="shared" ca="1" si="108"/>
        <v>0</v>
      </c>
      <c r="Y253" s="692" t="str">
        <f t="shared" ca="1" si="91"/>
        <v xml:space="preserve"> </v>
      </c>
      <c r="AA253" s="1484">
        <f ca="1">IF($A253&gt;Endyr,0,VLOOKUP($A253,Tariff_Table,Tariff!$I$33))</f>
        <v>0</v>
      </c>
      <c r="AB253" s="1480">
        <f t="shared" ca="1" si="92"/>
        <v>0</v>
      </c>
      <c r="AC253" s="1483">
        <f t="shared" ca="1" si="109"/>
        <v>0</v>
      </c>
      <c r="AD253" s="1480">
        <f t="shared" ca="1" si="110"/>
        <v>3.1345553075453139</v>
      </c>
      <c r="AE253" s="113">
        <f t="shared" ca="1" si="111"/>
        <v>1.0649999999999999</v>
      </c>
      <c r="AF253" s="1483">
        <f t="shared" ca="1" si="112"/>
        <v>0</v>
      </c>
      <c r="AG253" s="334">
        <f ca="1">VLOOKUP($A253,Plant_Table,'Plant Operations'!$M$270)</f>
        <v>0</v>
      </c>
      <c r="AH253" s="1481">
        <f t="shared" ca="1" si="113"/>
        <v>0</v>
      </c>
      <c r="AI253" s="1480">
        <f t="shared" ca="1" si="114"/>
        <v>3.1345553075453139</v>
      </c>
      <c r="AJ253" s="335">
        <f t="shared" ca="1" si="115"/>
        <v>0</v>
      </c>
      <c r="AK253" s="698" t="str">
        <f t="shared" ca="1" si="93"/>
        <v xml:space="preserve"> </v>
      </c>
      <c r="AM253" s="697">
        <f ca="1">IF($A253&gt;Endyr,0,VLOOKUP($A253,Tariff_Table,Tariff!$L$33))</f>
        <v>0</v>
      </c>
      <c r="AN253" s="1504">
        <f ca="1">VLOOKUP($A253,Curves_Table,Escalation!$Z$291)</f>
        <v>1.696236647453875</v>
      </c>
      <c r="AO253" s="331">
        <f t="shared" ca="1" si="116"/>
        <v>0</v>
      </c>
      <c r="AP253" s="331">
        <f ca="1">IF($A253&gt;Endyr,0,VLOOKUP($A253,Tariff_Table,Tariff!$M$33))</f>
        <v>0</v>
      </c>
      <c r="AQ253" s="331">
        <f t="shared" ca="1" si="117"/>
        <v>0</v>
      </c>
      <c r="AR253" s="331">
        <f t="shared" ca="1" si="118"/>
        <v>0</v>
      </c>
      <c r="AS253" s="1508">
        <f t="shared" ca="1" si="119"/>
        <v>0</v>
      </c>
    </row>
    <row r="254" spans="1:45">
      <c r="A254" s="672">
        <f t="shared" si="94"/>
        <v>44317</v>
      </c>
      <c r="C254" s="1484">
        <f ca="1">IF($A254&gt;Endyr,0,VLOOKUP($A254,Tariff_Table,Tariff!$G$33))</f>
        <v>0</v>
      </c>
      <c r="D254" s="1480">
        <f ca="1">VLOOKUP($A254,Curves_Table,Escalation!$V$291)</f>
        <v>1.7754357291063123</v>
      </c>
      <c r="E254" s="1483">
        <f t="shared" ca="1" si="95"/>
        <v>0</v>
      </c>
      <c r="F254" s="1480">
        <f ca="1">IF(Assm!$L$74=0,VLOOKUP($A254,Curves_Table,Escalation!$D$291),VLOOKUP($A254,Curves_Table,Escalation!$E$291))</f>
        <v>3.1345553075453139</v>
      </c>
      <c r="G254" s="113">
        <f ca="1">IF($A254&lt;EE_Date,VLOOKUP($A254,Curves_Table,Escalation!$D$291),Exch)</f>
        <v>1.0649999999999999</v>
      </c>
      <c r="H254" s="1483">
        <f t="shared" ca="1" si="96"/>
        <v>0</v>
      </c>
      <c r="I254" s="330">
        <f ca="1">VLOOKUP($A254,Plant_Table,'Plant Operations'!$C$270)</f>
        <v>0</v>
      </c>
      <c r="J254" s="1481">
        <f t="shared" ca="1" si="97"/>
        <v>0</v>
      </c>
      <c r="K254" s="1480">
        <f t="shared" ca="1" si="98"/>
        <v>3.1345553075453139</v>
      </c>
      <c r="L254" s="384">
        <f t="shared" ca="1" si="99"/>
        <v>0</v>
      </c>
      <c r="M254" s="692" t="str">
        <f t="shared" ca="1" si="90"/>
        <v xml:space="preserve"> </v>
      </c>
      <c r="O254" s="1482">
        <f ca="1">IF($A254&gt;Endyr,0,VLOOKUP($A254,Tariff_Table,Tariff!$H$33))</f>
        <v>0</v>
      </c>
      <c r="P254" s="1480">
        <f t="shared" ca="1" si="100"/>
        <v>0</v>
      </c>
      <c r="Q254" s="1481">
        <f t="shared" ca="1" si="101"/>
        <v>0</v>
      </c>
      <c r="R254" s="1480">
        <f t="shared" ca="1" si="102"/>
        <v>3.1345553075453139</v>
      </c>
      <c r="S254" s="113">
        <f t="shared" ca="1" si="103"/>
        <v>1.0649999999999999</v>
      </c>
      <c r="T254" s="1481">
        <f t="shared" ca="1" si="104"/>
        <v>0</v>
      </c>
      <c r="U254" s="330">
        <f t="shared" ca="1" si="105"/>
        <v>0</v>
      </c>
      <c r="V254" s="1481">
        <f t="shared" ca="1" si="106"/>
        <v>0</v>
      </c>
      <c r="W254" s="1480">
        <f t="shared" ca="1" si="107"/>
        <v>3.1345553075453139</v>
      </c>
      <c r="X254" s="384">
        <f t="shared" ca="1" si="108"/>
        <v>0</v>
      </c>
      <c r="Y254" s="692" t="str">
        <f t="shared" ca="1" si="91"/>
        <v xml:space="preserve"> </v>
      </c>
      <c r="AA254" s="1484">
        <f ca="1">IF($A254&gt;Endyr,0,VLOOKUP($A254,Tariff_Table,Tariff!$I$33))</f>
        <v>0</v>
      </c>
      <c r="AB254" s="1480">
        <f t="shared" ca="1" si="92"/>
        <v>0</v>
      </c>
      <c r="AC254" s="1483">
        <f t="shared" ca="1" si="109"/>
        <v>0</v>
      </c>
      <c r="AD254" s="1480">
        <f t="shared" ca="1" si="110"/>
        <v>3.1345553075453139</v>
      </c>
      <c r="AE254" s="113">
        <f t="shared" ca="1" si="111"/>
        <v>1.0649999999999999</v>
      </c>
      <c r="AF254" s="1483">
        <f t="shared" ca="1" si="112"/>
        <v>0</v>
      </c>
      <c r="AG254" s="334">
        <f ca="1">VLOOKUP($A254,Plant_Table,'Plant Operations'!$M$270)</f>
        <v>0</v>
      </c>
      <c r="AH254" s="1481">
        <f t="shared" ca="1" si="113"/>
        <v>0</v>
      </c>
      <c r="AI254" s="1480">
        <f t="shared" ca="1" si="114"/>
        <v>3.1345553075453139</v>
      </c>
      <c r="AJ254" s="335">
        <f t="shared" ca="1" si="115"/>
        <v>0</v>
      </c>
      <c r="AK254" s="698" t="str">
        <f t="shared" ca="1" si="93"/>
        <v xml:space="preserve"> </v>
      </c>
      <c r="AM254" s="697">
        <f ca="1">IF($A254&gt;Endyr,0,VLOOKUP($A254,Tariff_Table,Tariff!$L$33))</f>
        <v>0</v>
      </c>
      <c r="AN254" s="1504">
        <f ca="1">VLOOKUP($A254,Curves_Table,Escalation!$Z$291)</f>
        <v>1.696236647453875</v>
      </c>
      <c r="AO254" s="331">
        <f t="shared" ca="1" si="116"/>
        <v>0</v>
      </c>
      <c r="AP254" s="331">
        <f ca="1">IF($A254&gt;Endyr,0,VLOOKUP($A254,Tariff_Table,Tariff!$M$33))</f>
        <v>0</v>
      </c>
      <c r="AQ254" s="331">
        <f t="shared" ca="1" si="117"/>
        <v>0</v>
      </c>
      <c r="AR254" s="331">
        <f t="shared" ca="1" si="118"/>
        <v>0</v>
      </c>
      <c r="AS254" s="1508">
        <f t="shared" ca="1" si="119"/>
        <v>0</v>
      </c>
    </row>
    <row r="255" spans="1:45">
      <c r="A255" s="672">
        <f t="shared" si="94"/>
        <v>44348</v>
      </c>
      <c r="C255" s="1484">
        <f ca="1">IF($A255&gt;Endyr,0,VLOOKUP($A255,Tariff_Table,Tariff!$G$33))</f>
        <v>0</v>
      </c>
      <c r="D255" s="1480">
        <f ca="1">VLOOKUP($A255,Curves_Table,Escalation!$V$291)</f>
        <v>1.7754357291063123</v>
      </c>
      <c r="E255" s="1483">
        <f t="shared" ca="1" si="95"/>
        <v>0</v>
      </c>
      <c r="F255" s="1480">
        <f ca="1">IF(Assm!$L$74=0,VLOOKUP($A255,Curves_Table,Escalation!$D$291),VLOOKUP($A255,Curves_Table,Escalation!$E$291))</f>
        <v>3.1345553075453139</v>
      </c>
      <c r="G255" s="113">
        <f ca="1">IF($A255&lt;EE_Date,VLOOKUP($A255,Curves_Table,Escalation!$D$291),Exch)</f>
        <v>1.0649999999999999</v>
      </c>
      <c r="H255" s="1483">
        <f t="shared" ca="1" si="96"/>
        <v>0</v>
      </c>
      <c r="I255" s="330">
        <f ca="1">VLOOKUP($A255,Plant_Table,'Plant Operations'!$C$270)</f>
        <v>0</v>
      </c>
      <c r="J255" s="1481">
        <f t="shared" ca="1" si="97"/>
        <v>0</v>
      </c>
      <c r="K255" s="1480">
        <f t="shared" ca="1" si="98"/>
        <v>3.1345553075453139</v>
      </c>
      <c r="L255" s="384">
        <f t="shared" ca="1" si="99"/>
        <v>0</v>
      </c>
      <c r="M255" s="692" t="str">
        <f t="shared" ca="1" si="90"/>
        <v xml:space="preserve"> </v>
      </c>
      <c r="O255" s="1482">
        <f ca="1">IF($A255&gt;Endyr,0,VLOOKUP($A255,Tariff_Table,Tariff!$H$33))</f>
        <v>0</v>
      </c>
      <c r="P255" s="1480">
        <f t="shared" ca="1" si="100"/>
        <v>0</v>
      </c>
      <c r="Q255" s="1481">
        <f t="shared" ca="1" si="101"/>
        <v>0</v>
      </c>
      <c r="R255" s="1480">
        <f t="shared" ca="1" si="102"/>
        <v>3.1345553075453139</v>
      </c>
      <c r="S255" s="113">
        <f t="shared" ca="1" si="103"/>
        <v>1.0649999999999999</v>
      </c>
      <c r="T255" s="1481">
        <f t="shared" ca="1" si="104"/>
        <v>0</v>
      </c>
      <c r="U255" s="330">
        <f t="shared" ca="1" si="105"/>
        <v>0</v>
      </c>
      <c r="V255" s="1481">
        <f t="shared" ca="1" si="106"/>
        <v>0</v>
      </c>
      <c r="W255" s="1480">
        <f t="shared" ca="1" si="107"/>
        <v>3.1345553075453139</v>
      </c>
      <c r="X255" s="384">
        <f t="shared" ca="1" si="108"/>
        <v>0</v>
      </c>
      <c r="Y255" s="692" t="str">
        <f t="shared" ca="1" si="91"/>
        <v xml:space="preserve"> </v>
      </c>
      <c r="AA255" s="1484">
        <f ca="1">IF($A255&gt;Endyr,0,VLOOKUP($A255,Tariff_Table,Tariff!$I$33))</f>
        <v>0</v>
      </c>
      <c r="AB255" s="1480">
        <f t="shared" ca="1" si="92"/>
        <v>0</v>
      </c>
      <c r="AC255" s="1483">
        <f t="shared" ca="1" si="109"/>
        <v>0</v>
      </c>
      <c r="AD255" s="1480">
        <f t="shared" ca="1" si="110"/>
        <v>3.1345553075453139</v>
      </c>
      <c r="AE255" s="113">
        <f t="shared" ca="1" si="111"/>
        <v>1.0649999999999999</v>
      </c>
      <c r="AF255" s="1483">
        <f t="shared" ca="1" si="112"/>
        <v>0</v>
      </c>
      <c r="AG255" s="334">
        <f ca="1">VLOOKUP($A255,Plant_Table,'Plant Operations'!$M$270)</f>
        <v>0</v>
      </c>
      <c r="AH255" s="1481">
        <f t="shared" ca="1" si="113"/>
        <v>0</v>
      </c>
      <c r="AI255" s="1480">
        <f t="shared" ca="1" si="114"/>
        <v>3.1345553075453139</v>
      </c>
      <c r="AJ255" s="335">
        <f t="shared" ca="1" si="115"/>
        <v>0</v>
      </c>
      <c r="AK255" s="698" t="str">
        <f t="shared" ca="1" si="93"/>
        <v xml:space="preserve"> </v>
      </c>
      <c r="AM255" s="697">
        <f ca="1">IF($A255&gt;Endyr,0,VLOOKUP($A255,Tariff_Table,Tariff!$L$33))</f>
        <v>0</v>
      </c>
      <c r="AN255" s="1504">
        <f ca="1">VLOOKUP($A255,Curves_Table,Escalation!$Z$291)</f>
        <v>1.696236647453875</v>
      </c>
      <c r="AO255" s="331">
        <f t="shared" ca="1" si="116"/>
        <v>0</v>
      </c>
      <c r="AP255" s="331">
        <f ca="1">IF($A255&gt;Endyr,0,VLOOKUP($A255,Tariff_Table,Tariff!$M$33))</f>
        <v>0</v>
      </c>
      <c r="AQ255" s="331">
        <f t="shared" ca="1" si="117"/>
        <v>0</v>
      </c>
      <c r="AR255" s="331">
        <f t="shared" ca="1" si="118"/>
        <v>0</v>
      </c>
      <c r="AS255" s="1508">
        <f t="shared" ca="1" si="119"/>
        <v>0</v>
      </c>
    </row>
    <row r="256" spans="1:45">
      <c r="A256" s="672">
        <f t="shared" si="94"/>
        <v>44378</v>
      </c>
      <c r="C256" s="1484">
        <f ca="1">IF($A256&gt;Endyr,0,VLOOKUP($A256,Tariff_Table,Tariff!$G$33))</f>
        <v>0</v>
      </c>
      <c r="D256" s="1480">
        <f ca="1">VLOOKUP($A256,Curves_Table,Escalation!$V$291)</f>
        <v>1.7754357291063123</v>
      </c>
      <c r="E256" s="1483">
        <f t="shared" ca="1" si="95"/>
        <v>0</v>
      </c>
      <c r="F256" s="1480">
        <f ca="1">IF(Assm!$L$74=0,VLOOKUP($A256,Curves_Table,Escalation!$D$291),VLOOKUP($A256,Curves_Table,Escalation!$E$291))</f>
        <v>3.1345553075453139</v>
      </c>
      <c r="G256" s="113">
        <f ca="1">IF($A256&lt;EE_Date,VLOOKUP($A256,Curves_Table,Escalation!$D$291),Exch)</f>
        <v>1.0649999999999999</v>
      </c>
      <c r="H256" s="1483">
        <f t="shared" ca="1" si="96"/>
        <v>0</v>
      </c>
      <c r="I256" s="330">
        <f ca="1">VLOOKUP($A256,Plant_Table,'Plant Operations'!$C$270)</f>
        <v>0</v>
      </c>
      <c r="J256" s="1481">
        <f t="shared" ca="1" si="97"/>
        <v>0</v>
      </c>
      <c r="K256" s="1480">
        <f t="shared" ca="1" si="98"/>
        <v>3.1345553075453139</v>
      </c>
      <c r="L256" s="384">
        <f t="shared" ca="1" si="99"/>
        <v>0</v>
      </c>
      <c r="M256" s="692" t="str">
        <f t="shared" ca="1" si="90"/>
        <v xml:space="preserve"> </v>
      </c>
      <c r="O256" s="1482">
        <f ca="1">IF($A256&gt;Endyr,0,VLOOKUP($A256,Tariff_Table,Tariff!$H$33))</f>
        <v>0</v>
      </c>
      <c r="P256" s="1480">
        <f t="shared" ca="1" si="100"/>
        <v>0</v>
      </c>
      <c r="Q256" s="1481">
        <f t="shared" ca="1" si="101"/>
        <v>0</v>
      </c>
      <c r="R256" s="1480">
        <f t="shared" ca="1" si="102"/>
        <v>3.1345553075453139</v>
      </c>
      <c r="S256" s="113">
        <f t="shared" ca="1" si="103"/>
        <v>1.0649999999999999</v>
      </c>
      <c r="T256" s="1481">
        <f t="shared" ca="1" si="104"/>
        <v>0</v>
      </c>
      <c r="U256" s="330">
        <f t="shared" ca="1" si="105"/>
        <v>0</v>
      </c>
      <c r="V256" s="1481">
        <f t="shared" ca="1" si="106"/>
        <v>0</v>
      </c>
      <c r="W256" s="1480">
        <f t="shared" ca="1" si="107"/>
        <v>3.1345553075453139</v>
      </c>
      <c r="X256" s="384">
        <f t="shared" ca="1" si="108"/>
        <v>0</v>
      </c>
      <c r="Y256" s="692" t="str">
        <f t="shared" ca="1" si="91"/>
        <v xml:space="preserve"> </v>
      </c>
      <c r="AA256" s="1484">
        <f ca="1">IF($A256&gt;Endyr,0,VLOOKUP($A256,Tariff_Table,Tariff!$I$33))</f>
        <v>0</v>
      </c>
      <c r="AB256" s="1480">
        <f t="shared" ca="1" si="92"/>
        <v>0</v>
      </c>
      <c r="AC256" s="1483">
        <f t="shared" ca="1" si="109"/>
        <v>0</v>
      </c>
      <c r="AD256" s="1480">
        <f t="shared" ca="1" si="110"/>
        <v>3.1345553075453139</v>
      </c>
      <c r="AE256" s="113">
        <f t="shared" ca="1" si="111"/>
        <v>1.0649999999999999</v>
      </c>
      <c r="AF256" s="1483">
        <f t="shared" ca="1" si="112"/>
        <v>0</v>
      </c>
      <c r="AG256" s="334">
        <f ca="1">VLOOKUP($A256,Plant_Table,'Plant Operations'!$M$270)</f>
        <v>0</v>
      </c>
      <c r="AH256" s="1481">
        <f t="shared" ca="1" si="113"/>
        <v>0</v>
      </c>
      <c r="AI256" s="1480">
        <f t="shared" ca="1" si="114"/>
        <v>3.1345553075453139</v>
      </c>
      <c r="AJ256" s="335">
        <f t="shared" ca="1" si="115"/>
        <v>0</v>
      </c>
      <c r="AK256" s="698" t="str">
        <f t="shared" ca="1" si="93"/>
        <v xml:space="preserve"> </v>
      </c>
      <c r="AM256" s="697">
        <f ca="1">IF($A256&gt;Endyr,0,VLOOKUP($A256,Tariff_Table,Tariff!$L$33))</f>
        <v>0</v>
      </c>
      <c r="AN256" s="1504">
        <f ca="1">VLOOKUP($A256,Curves_Table,Escalation!$Z$291)</f>
        <v>1.696236647453875</v>
      </c>
      <c r="AO256" s="331">
        <f t="shared" ca="1" si="116"/>
        <v>0</v>
      </c>
      <c r="AP256" s="331">
        <f ca="1">IF($A256&gt;Endyr,0,VLOOKUP($A256,Tariff_Table,Tariff!$M$33))</f>
        <v>0</v>
      </c>
      <c r="AQ256" s="331">
        <f t="shared" ca="1" si="117"/>
        <v>0</v>
      </c>
      <c r="AR256" s="331">
        <f t="shared" ca="1" si="118"/>
        <v>0</v>
      </c>
      <c r="AS256" s="1508">
        <f t="shared" ca="1" si="119"/>
        <v>0</v>
      </c>
    </row>
    <row r="257" spans="1:45">
      <c r="A257" s="672">
        <f t="shared" si="94"/>
        <v>44409</v>
      </c>
      <c r="C257" s="1484">
        <f ca="1">IF($A257&gt;Endyr,0,VLOOKUP($A257,Tariff_Table,Tariff!$G$33))</f>
        <v>0</v>
      </c>
      <c r="D257" s="1480">
        <f ca="1">VLOOKUP($A257,Curves_Table,Escalation!$V$291)</f>
        <v>1.7754357291063123</v>
      </c>
      <c r="E257" s="1483">
        <f t="shared" ca="1" si="95"/>
        <v>0</v>
      </c>
      <c r="F257" s="1480">
        <f ca="1">IF(Assm!$L$74=0,VLOOKUP($A257,Curves_Table,Escalation!$D$291),VLOOKUP($A257,Curves_Table,Escalation!$E$291))</f>
        <v>3.1345553075453139</v>
      </c>
      <c r="G257" s="113">
        <f ca="1">IF($A257&lt;EE_Date,VLOOKUP($A257,Curves_Table,Escalation!$D$291),Exch)</f>
        <v>1.0649999999999999</v>
      </c>
      <c r="H257" s="1483">
        <f t="shared" ca="1" si="96"/>
        <v>0</v>
      </c>
      <c r="I257" s="330">
        <f ca="1">VLOOKUP($A257,Plant_Table,'Plant Operations'!$C$270)</f>
        <v>0</v>
      </c>
      <c r="J257" s="1481">
        <f t="shared" ca="1" si="97"/>
        <v>0</v>
      </c>
      <c r="K257" s="1480">
        <f t="shared" ca="1" si="98"/>
        <v>3.1345553075453139</v>
      </c>
      <c r="L257" s="384">
        <f t="shared" ca="1" si="99"/>
        <v>0</v>
      </c>
      <c r="M257" s="692" t="str">
        <f t="shared" ca="1" si="90"/>
        <v xml:space="preserve"> </v>
      </c>
      <c r="O257" s="1482">
        <f ca="1">IF($A257&gt;Endyr,0,VLOOKUP($A257,Tariff_Table,Tariff!$H$33))</f>
        <v>0</v>
      </c>
      <c r="P257" s="1480">
        <f t="shared" ca="1" si="100"/>
        <v>0</v>
      </c>
      <c r="Q257" s="1481">
        <f t="shared" ca="1" si="101"/>
        <v>0</v>
      </c>
      <c r="R257" s="1480">
        <f t="shared" ca="1" si="102"/>
        <v>3.1345553075453139</v>
      </c>
      <c r="S257" s="113">
        <f t="shared" ca="1" si="103"/>
        <v>1.0649999999999999</v>
      </c>
      <c r="T257" s="1481">
        <f t="shared" ca="1" si="104"/>
        <v>0</v>
      </c>
      <c r="U257" s="330">
        <f t="shared" ca="1" si="105"/>
        <v>0</v>
      </c>
      <c r="V257" s="1481">
        <f t="shared" ca="1" si="106"/>
        <v>0</v>
      </c>
      <c r="W257" s="1480">
        <f t="shared" ca="1" si="107"/>
        <v>3.1345553075453139</v>
      </c>
      <c r="X257" s="384">
        <f t="shared" ca="1" si="108"/>
        <v>0</v>
      </c>
      <c r="Y257" s="692" t="str">
        <f t="shared" ca="1" si="91"/>
        <v xml:space="preserve"> </v>
      </c>
      <c r="AA257" s="1484">
        <f ca="1">IF($A257&gt;Endyr,0,VLOOKUP($A257,Tariff_Table,Tariff!$I$33))</f>
        <v>0</v>
      </c>
      <c r="AB257" s="1480">
        <f t="shared" ca="1" si="92"/>
        <v>0</v>
      </c>
      <c r="AC257" s="1483">
        <f t="shared" ca="1" si="109"/>
        <v>0</v>
      </c>
      <c r="AD257" s="1480">
        <f t="shared" ca="1" si="110"/>
        <v>3.1345553075453139</v>
      </c>
      <c r="AE257" s="113">
        <f t="shared" ca="1" si="111"/>
        <v>1.0649999999999999</v>
      </c>
      <c r="AF257" s="1483">
        <f t="shared" ca="1" si="112"/>
        <v>0</v>
      </c>
      <c r="AG257" s="334">
        <f ca="1">VLOOKUP($A257,Plant_Table,'Plant Operations'!$M$270)</f>
        <v>0</v>
      </c>
      <c r="AH257" s="1481">
        <f t="shared" ca="1" si="113"/>
        <v>0</v>
      </c>
      <c r="AI257" s="1480">
        <f t="shared" ca="1" si="114"/>
        <v>3.1345553075453139</v>
      </c>
      <c r="AJ257" s="335">
        <f t="shared" ca="1" si="115"/>
        <v>0</v>
      </c>
      <c r="AK257" s="698" t="str">
        <f t="shared" ca="1" si="93"/>
        <v xml:space="preserve"> </v>
      </c>
      <c r="AM257" s="697">
        <f ca="1">IF($A257&gt;Endyr,0,VLOOKUP($A257,Tariff_Table,Tariff!$L$33))</f>
        <v>0</v>
      </c>
      <c r="AN257" s="1504">
        <f ca="1">VLOOKUP($A257,Curves_Table,Escalation!$Z$291)</f>
        <v>1.696236647453875</v>
      </c>
      <c r="AO257" s="331">
        <f t="shared" ca="1" si="116"/>
        <v>0</v>
      </c>
      <c r="AP257" s="331">
        <f ca="1">IF($A257&gt;Endyr,0,VLOOKUP($A257,Tariff_Table,Tariff!$M$33))</f>
        <v>0</v>
      </c>
      <c r="AQ257" s="331">
        <f t="shared" ca="1" si="117"/>
        <v>0</v>
      </c>
      <c r="AR257" s="331">
        <f t="shared" ca="1" si="118"/>
        <v>0</v>
      </c>
      <c r="AS257" s="1508">
        <f t="shared" ca="1" si="119"/>
        <v>0</v>
      </c>
    </row>
    <row r="258" spans="1:45">
      <c r="A258" s="672">
        <f t="shared" si="94"/>
        <v>44440</v>
      </c>
      <c r="C258" s="1484">
        <f ca="1">IF($A258&gt;Endyr,0,VLOOKUP($A258,Tariff_Table,Tariff!$G$33))</f>
        <v>0</v>
      </c>
      <c r="D258" s="1480">
        <f ca="1">VLOOKUP($A258,Curves_Table,Escalation!$V$291)</f>
        <v>1.7754357291063123</v>
      </c>
      <c r="E258" s="1483">
        <f t="shared" ca="1" si="95"/>
        <v>0</v>
      </c>
      <c r="F258" s="1480">
        <f ca="1">IF(Assm!$L$74=0,VLOOKUP($A258,Curves_Table,Escalation!$D$291),VLOOKUP($A258,Curves_Table,Escalation!$E$291))</f>
        <v>3.1345553075453139</v>
      </c>
      <c r="G258" s="113">
        <f ca="1">IF($A258&lt;EE_Date,VLOOKUP($A258,Curves_Table,Escalation!$D$291),Exch)</f>
        <v>1.0649999999999999</v>
      </c>
      <c r="H258" s="1483">
        <f t="shared" ca="1" si="96"/>
        <v>0</v>
      </c>
      <c r="I258" s="330">
        <f ca="1">VLOOKUP($A258,Plant_Table,'Plant Operations'!$C$270)</f>
        <v>0</v>
      </c>
      <c r="J258" s="1481">
        <f t="shared" ca="1" si="97"/>
        <v>0</v>
      </c>
      <c r="K258" s="1480">
        <f t="shared" ca="1" si="98"/>
        <v>3.1345553075453139</v>
      </c>
      <c r="L258" s="384">
        <f t="shared" ca="1" si="99"/>
        <v>0</v>
      </c>
      <c r="M258" s="692" t="str">
        <f t="shared" ca="1" si="90"/>
        <v xml:space="preserve"> </v>
      </c>
      <c r="O258" s="1482">
        <f ca="1">IF($A258&gt;Endyr,0,VLOOKUP($A258,Tariff_Table,Tariff!$H$33))</f>
        <v>0</v>
      </c>
      <c r="P258" s="1480">
        <f t="shared" ca="1" si="100"/>
        <v>0</v>
      </c>
      <c r="Q258" s="1481">
        <f t="shared" ca="1" si="101"/>
        <v>0</v>
      </c>
      <c r="R258" s="1480">
        <f t="shared" ca="1" si="102"/>
        <v>3.1345553075453139</v>
      </c>
      <c r="S258" s="113">
        <f t="shared" ca="1" si="103"/>
        <v>1.0649999999999999</v>
      </c>
      <c r="T258" s="1481">
        <f t="shared" ca="1" si="104"/>
        <v>0</v>
      </c>
      <c r="U258" s="330">
        <f t="shared" ca="1" si="105"/>
        <v>0</v>
      </c>
      <c r="V258" s="1481">
        <f t="shared" ca="1" si="106"/>
        <v>0</v>
      </c>
      <c r="W258" s="1480">
        <f t="shared" ca="1" si="107"/>
        <v>3.1345553075453139</v>
      </c>
      <c r="X258" s="384">
        <f t="shared" ca="1" si="108"/>
        <v>0</v>
      </c>
      <c r="Y258" s="692" t="str">
        <f t="shared" ca="1" si="91"/>
        <v xml:space="preserve"> </v>
      </c>
      <c r="AA258" s="1484">
        <f ca="1">IF($A258&gt;Endyr,0,VLOOKUP($A258,Tariff_Table,Tariff!$I$33))</f>
        <v>0</v>
      </c>
      <c r="AB258" s="1480">
        <f t="shared" ca="1" si="92"/>
        <v>0</v>
      </c>
      <c r="AC258" s="1483">
        <f t="shared" ca="1" si="109"/>
        <v>0</v>
      </c>
      <c r="AD258" s="1480">
        <f t="shared" ca="1" si="110"/>
        <v>3.1345553075453139</v>
      </c>
      <c r="AE258" s="113">
        <f t="shared" ca="1" si="111"/>
        <v>1.0649999999999999</v>
      </c>
      <c r="AF258" s="1483">
        <f t="shared" ca="1" si="112"/>
        <v>0</v>
      </c>
      <c r="AG258" s="334">
        <f ca="1">VLOOKUP($A258,Plant_Table,'Plant Operations'!$M$270)</f>
        <v>0</v>
      </c>
      <c r="AH258" s="1481">
        <f t="shared" ca="1" si="113"/>
        <v>0</v>
      </c>
      <c r="AI258" s="1480">
        <f t="shared" ca="1" si="114"/>
        <v>3.1345553075453139</v>
      </c>
      <c r="AJ258" s="335">
        <f t="shared" ca="1" si="115"/>
        <v>0</v>
      </c>
      <c r="AK258" s="698" t="str">
        <f t="shared" ca="1" si="93"/>
        <v xml:space="preserve"> </v>
      </c>
      <c r="AM258" s="697">
        <f ca="1">IF($A258&gt;Endyr,0,VLOOKUP($A258,Tariff_Table,Tariff!$L$33))</f>
        <v>0</v>
      </c>
      <c r="AN258" s="1504">
        <f ca="1">VLOOKUP($A258,Curves_Table,Escalation!$Z$291)</f>
        <v>1.696236647453875</v>
      </c>
      <c r="AO258" s="331">
        <f t="shared" ca="1" si="116"/>
        <v>0</v>
      </c>
      <c r="AP258" s="331">
        <f ca="1">IF($A258&gt;Endyr,0,VLOOKUP($A258,Tariff_Table,Tariff!$M$33))</f>
        <v>0</v>
      </c>
      <c r="AQ258" s="331">
        <f t="shared" ca="1" si="117"/>
        <v>0</v>
      </c>
      <c r="AR258" s="331">
        <f t="shared" ca="1" si="118"/>
        <v>0</v>
      </c>
      <c r="AS258" s="1508">
        <f t="shared" ca="1" si="119"/>
        <v>0</v>
      </c>
    </row>
    <row r="259" spans="1:45">
      <c r="A259" s="672">
        <f t="shared" si="94"/>
        <v>44470</v>
      </c>
      <c r="C259" s="1484">
        <f ca="1">IF($A259&gt;Endyr,0,VLOOKUP($A259,Tariff_Table,Tariff!$G$33))</f>
        <v>0</v>
      </c>
      <c r="D259" s="1480">
        <f ca="1">VLOOKUP($A259,Curves_Table,Escalation!$V$291)</f>
        <v>1.7754357291063123</v>
      </c>
      <c r="E259" s="1483">
        <f t="shared" ca="1" si="95"/>
        <v>0</v>
      </c>
      <c r="F259" s="1480">
        <f ca="1">IF(Assm!$L$74=0,VLOOKUP($A259,Curves_Table,Escalation!$D$291),VLOOKUP($A259,Curves_Table,Escalation!$E$291))</f>
        <v>3.1345553075453139</v>
      </c>
      <c r="G259" s="113">
        <f ca="1">IF($A259&lt;EE_Date,VLOOKUP($A259,Curves_Table,Escalation!$D$291),Exch)</f>
        <v>1.0649999999999999</v>
      </c>
      <c r="H259" s="1483">
        <f t="shared" ca="1" si="96"/>
        <v>0</v>
      </c>
      <c r="I259" s="330">
        <f ca="1">VLOOKUP($A259,Plant_Table,'Plant Operations'!$C$270)</f>
        <v>0</v>
      </c>
      <c r="J259" s="1481">
        <f t="shared" ca="1" si="97"/>
        <v>0</v>
      </c>
      <c r="K259" s="1480">
        <f t="shared" ca="1" si="98"/>
        <v>3.1345553075453139</v>
      </c>
      <c r="L259" s="384">
        <f t="shared" ca="1" si="99"/>
        <v>0</v>
      </c>
      <c r="M259" s="692" t="str">
        <f t="shared" ca="1" si="90"/>
        <v xml:space="preserve"> </v>
      </c>
      <c r="O259" s="1482">
        <f ca="1">IF($A259&gt;Endyr,0,VLOOKUP($A259,Tariff_Table,Tariff!$H$33))</f>
        <v>0</v>
      </c>
      <c r="P259" s="1480">
        <f t="shared" ca="1" si="100"/>
        <v>0</v>
      </c>
      <c r="Q259" s="1481">
        <f t="shared" ca="1" si="101"/>
        <v>0</v>
      </c>
      <c r="R259" s="1480">
        <f t="shared" ca="1" si="102"/>
        <v>3.1345553075453139</v>
      </c>
      <c r="S259" s="113">
        <f t="shared" ca="1" si="103"/>
        <v>1.0649999999999999</v>
      </c>
      <c r="T259" s="1481">
        <f t="shared" ca="1" si="104"/>
        <v>0</v>
      </c>
      <c r="U259" s="330">
        <f t="shared" ca="1" si="105"/>
        <v>0</v>
      </c>
      <c r="V259" s="1481">
        <f t="shared" ca="1" si="106"/>
        <v>0</v>
      </c>
      <c r="W259" s="1480">
        <f t="shared" ca="1" si="107"/>
        <v>3.1345553075453139</v>
      </c>
      <c r="X259" s="384">
        <f t="shared" ca="1" si="108"/>
        <v>0</v>
      </c>
      <c r="Y259" s="692" t="str">
        <f t="shared" ca="1" si="91"/>
        <v xml:space="preserve"> </v>
      </c>
      <c r="AA259" s="1484">
        <f ca="1">IF($A259&gt;Endyr,0,VLOOKUP($A259,Tariff_Table,Tariff!$I$33))</f>
        <v>0</v>
      </c>
      <c r="AB259" s="1480">
        <f t="shared" ca="1" si="92"/>
        <v>0</v>
      </c>
      <c r="AC259" s="1483">
        <f t="shared" ca="1" si="109"/>
        <v>0</v>
      </c>
      <c r="AD259" s="1480">
        <f t="shared" ca="1" si="110"/>
        <v>3.1345553075453139</v>
      </c>
      <c r="AE259" s="113">
        <f t="shared" ca="1" si="111"/>
        <v>1.0649999999999999</v>
      </c>
      <c r="AF259" s="1483">
        <f t="shared" ca="1" si="112"/>
        <v>0</v>
      </c>
      <c r="AG259" s="334">
        <f ca="1">VLOOKUP($A259,Plant_Table,'Plant Operations'!$M$270)</f>
        <v>0</v>
      </c>
      <c r="AH259" s="1481">
        <f t="shared" ca="1" si="113"/>
        <v>0</v>
      </c>
      <c r="AI259" s="1480">
        <f t="shared" ca="1" si="114"/>
        <v>3.1345553075453139</v>
      </c>
      <c r="AJ259" s="335">
        <f t="shared" ca="1" si="115"/>
        <v>0</v>
      </c>
      <c r="AK259" s="698" t="str">
        <f t="shared" ca="1" si="93"/>
        <v xml:space="preserve"> </v>
      </c>
      <c r="AM259" s="697">
        <f ca="1">IF($A259&gt;Endyr,0,VLOOKUP($A259,Tariff_Table,Tariff!$L$33))</f>
        <v>0</v>
      </c>
      <c r="AN259" s="1504">
        <f ca="1">VLOOKUP($A259,Curves_Table,Escalation!$Z$291)</f>
        <v>1.696236647453875</v>
      </c>
      <c r="AO259" s="331">
        <f t="shared" ca="1" si="116"/>
        <v>0</v>
      </c>
      <c r="AP259" s="331">
        <f ca="1">IF($A259&gt;Endyr,0,VLOOKUP($A259,Tariff_Table,Tariff!$M$33))</f>
        <v>0</v>
      </c>
      <c r="AQ259" s="331">
        <f t="shared" ca="1" si="117"/>
        <v>0</v>
      </c>
      <c r="AR259" s="331">
        <f t="shared" ca="1" si="118"/>
        <v>0</v>
      </c>
      <c r="AS259" s="1508">
        <f t="shared" ca="1" si="119"/>
        <v>0</v>
      </c>
    </row>
    <row r="260" spans="1:45">
      <c r="A260" s="672">
        <f t="shared" si="94"/>
        <v>44501</v>
      </c>
      <c r="C260" s="1484">
        <f ca="1">IF($A260&gt;Endyr,0,VLOOKUP($A260,Tariff_Table,Tariff!$G$33))</f>
        <v>0</v>
      </c>
      <c r="D260" s="1480">
        <f ca="1">VLOOKUP($A260,Curves_Table,Escalation!$V$291)</f>
        <v>1.7754357291063123</v>
      </c>
      <c r="E260" s="1483">
        <f t="shared" ca="1" si="95"/>
        <v>0</v>
      </c>
      <c r="F260" s="1480">
        <f ca="1">IF(Assm!$L$74=0,VLOOKUP($A260,Curves_Table,Escalation!$D$291),VLOOKUP($A260,Curves_Table,Escalation!$E$291))</f>
        <v>3.1345553075453139</v>
      </c>
      <c r="G260" s="113">
        <f ca="1">IF($A260&lt;EE_Date,VLOOKUP($A260,Curves_Table,Escalation!$D$291),Exch)</f>
        <v>1.0649999999999999</v>
      </c>
      <c r="H260" s="1483">
        <f t="shared" ca="1" si="96"/>
        <v>0</v>
      </c>
      <c r="I260" s="330">
        <f ca="1">VLOOKUP($A260,Plant_Table,'Plant Operations'!$C$270)</f>
        <v>0</v>
      </c>
      <c r="J260" s="1481">
        <f t="shared" ca="1" si="97"/>
        <v>0</v>
      </c>
      <c r="K260" s="1480">
        <f t="shared" ca="1" si="98"/>
        <v>3.1345553075453139</v>
      </c>
      <c r="L260" s="384">
        <f t="shared" ca="1" si="99"/>
        <v>0</v>
      </c>
      <c r="M260" s="692" t="str">
        <f t="shared" ca="1" si="90"/>
        <v xml:space="preserve"> </v>
      </c>
      <c r="O260" s="1482">
        <f ca="1">IF($A260&gt;Endyr,0,VLOOKUP($A260,Tariff_Table,Tariff!$H$33))</f>
        <v>0</v>
      </c>
      <c r="P260" s="1480">
        <f t="shared" ca="1" si="100"/>
        <v>0</v>
      </c>
      <c r="Q260" s="1481">
        <f t="shared" ca="1" si="101"/>
        <v>0</v>
      </c>
      <c r="R260" s="1480">
        <f t="shared" ca="1" si="102"/>
        <v>3.1345553075453139</v>
      </c>
      <c r="S260" s="113">
        <f t="shared" ca="1" si="103"/>
        <v>1.0649999999999999</v>
      </c>
      <c r="T260" s="1481">
        <f t="shared" ca="1" si="104"/>
        <v>0</v>
      </c>
      <c r="U260" s="330">
        <f t="shared" ca="1" si="105"/>
        <v>0</v>
      </c>
      <c r="V260" s="1481">
        <f t="shared" ca="1" si="106"/>
        <v>0</v>
      </c>
      <c r="W260" s="1480">
        <f t="shared" ca="1" si="107"/>
        <v>3.1345553075453139</v>
      </c>
      <c r="X260" s="384">
        <f t="shared" ca="1" si="108"/>
        <v>0</v>
      </c>
      <c r="Y260" s="692" t="str">
        <f t="shared" ca="1" si="91"/>
        <v xml:space="preserve"> </v>
      </c>
      <c r="AA260" s="1484">
        <f ca="1">IF($A260&gt;Endyr,0,VLOOKUP($A260,Tariff_Table,Tariff!$I$33))</f>
        <v>0</v>
      </c>
      <c r="AB260" s="1480">
        <f t="shared" ca="1" si="92"/>
        <v>0</v>
      </c>
      <c r="AC260" s="1483">
        <f t="shared" ca="1" si="109"/>
        <v>0</v>
      </c>
      <c r="AD260" s="1480">
        <f t="shared" ca="1" si="110"/>
        <v>3.1345553075453139</v>
      </c>
      <c r="AE260" s="113">
        <f t="shared" ca="1" si="111"/>
        <v>1.0649999999999999</v>
      </c>
      <c r="AF260" s="1483">
        <f t="shared" ca="1" si="112"/>
        <v>0</v>
      </c>
      <c r="AG260" s="334">
        <f ca="1">VLOOKUP($A260,Plant_Table,'Plant Operations'!$M$270)</f>
        <v>0</v>
      </c>
      <c r="AH260" s="1481">
        <f t="shared" ca="1" si="113"/>
        <v>0</v>
      </c>
      <c r="AI260" s="1480">
        <f t="shared" ca="1" si="114"/>
        <v>3.1345553075453139</v>
      </c>
      <c r="AJ260" s="335">
        <f t="shared" ca="1" si="115"/>
        <v>0</v>
      </c>
      <c r="AK260" s="698" t="str">
        <f t="shared" ca="1" si="93"/>
        <v xml:space="preserve"> </v>
      </c>
      <c r="AM260" s="697">
        <f ca="1">IF($A260&gt;Endyr,0,VLOOKUP($A260,Tariff_Table,Tariff!$L$33))</f>
        <v>0</v>
      </c>
      <c r="AN260" s="1504">
        <f ca="1">VLOOKUP($A260,Curves_Table,Escalation!$Z$291)</f>
        <v>1.696236647453875</v>
      </c>
      <c r="AO260" s="331">
        <f t="shared" ca="1" si="116"/>
        <v>0</v>
      </c>
      <c r="AP260" s="331">
        <f ca="1">IF($A260&gt;Endyr,0,VLOOKUP($A260,Tariff_Table,Tariff!$M$33))</f>
        <v>0</v>
      </c>
      <c r="AQ260" s="331">
        <f t="shared" ca="1" si="117"/>
        <v>0</v>
      </c>
      <c r="AR260" s="331">
        <f t="shared" ca="1" si="118"/>
        <v>0</v>
      </c>
      <c r="AS260" s="1508">
        <f t="shared" ca="1" si="119"/>
        <v>0</v>
      </c>
    </row>
    <row r="261" spans="1:45">
      <c r="A261" s="672">
        <f t="shared" si="94"/>
        <v>44531</v>
      </c>
      <c r="C261" s="1484">
        <f ca="1">IF($A261&gt;Endyr,0,VLOOKUP($A261,Tariff_Table,Tariff!$G$33))</f>
        <v>0</v>
      </c>
      <c r="D261" s="1480">
        <f ca="1">VLOOKUP($A261,Curves_Table,Escalation!$V$291)</f>
        <v>1.7754357291063123</v>
      </c>
      <c r="E261" s="1483">
        <f t="shared" ca="1" si="95"/>
        <v>0</v>
      </c>
      <c r="F261" s="1480">
        <f ca="1">IF(Assm!$L$74=0,VLOOKUP($A261,Curves_Table,Escalation!$D$291),VLOOKUP($A261,Curves_Table,Escalation!$E$291))</f>
        <v>3.1345553075453139</v>
      </c>
      <c r="G261" s="113">
        <f ca="1">IF($A261&lt;EE_Date,VLOOKUP($A261,Curves_Table,Escalation!$D$291),Exch)</f>
        <v>1.0649999999999999</v>
      </c>
      <c r="H261" s="1483">
        <f t="shared" ca="1" si="96"/>
        <v>0</v>
      </c>
      <c r="I261" s="330">
        <f ca="1">VLOOKUP($A261,Plant_Table,'Plant Operations'!$C$270)</f>
        <v>0</v>
      </c>
      <c r="J261" s="1481">
        <f t="shared" ca="1" si="97"/>
        <v>0</v>
      </c>
      <c r="K261" s="1480">
        <f t="shared" ca="1" si="98"/>
        <v>3.1345553075453139</v>
      </c>
      <c r="L261" s="384">
        <f t="shared" ca="1" si="99"/>
        <v>0</v>
      </c>
      <c r="M261" s="692">
        <f t="shared" ca="1" si="90"/>
        <v>0</v>
      </c>
      <c r="O261" s="1482">
        <f ca="1">IF($A261&gt;Endyr,0,VLOOKUP($A261,Tariff_Table,Tariff!$H$33))</f>
        <v>0</v>
      </c>
      <c r="P261" s="1480">
        <f t="shared" ca="1" si="100"/>
        <v>0</v>
      </c>
      <c r="Q261" s="1481">
        <f t="shared" ca="1" si="101"/>
        <v>0</v>
      </c>
      <c r="R261" s="1480">
        <f t="shared" ca="1" si="102"/>
        <v>3.1345553075453139</v>
      </c>
      <c r="S261" s="113">
        <f t="shared" ca="1" si="103"/>
        <v>1.0649999999999999</v>
      </c>
      <c r="T261" s="1481">
        <f t="shared" ca="1" si="104"/>
        <v>0</v>
      </c>
      <c r="U261" s="330">
        <f t="shared" ca="1" si="105"/>
        <v>0</v>
      </c>
      <c r="V261" s="1481">
        <f t="shared" ca="1" si="106"/>
        <v>0</v>
      </c>
      <c r="W261" s="1480">
        <f t="shared" ca="1" si="107"/>
        <v>3.1345553075453139</v>
      </c>
      <c r="X261" s="384">
        <f t="shared" ca="1" si="108"/>
        <v>0</v>
      </c>
      <c r="Y261" s="692">
        <f t="shared" ca="1" si="91"/>
        <v>0</v>
      </c>
      <c r="AA261" s="1484">
        <f ca="1">IF($A261&gt;Endyr,0,VLOOKUP($A261,Tariff_Table,Tariff!$I$33))</f>
        <v>0</v>
      </c>
      <c r="AB261" s="1480">
        <f t="shared" ca="1" si="92"/>
        <v>0</v>
      </c>
      <c r="AC261" s="1483">
        <f t="shared" ca="1" si="109"/>
        <v>0</v>
      </c>
      <c r="AD261" s="1480">
        <f t="shared" ca="1" si="110"/>
        <v>3.1345553075453139</v>
      </c>
      <c r="AE261" s="113">
        <f t="shared" ca="1" si="111"/>
        <v>1.0649999999999999</v>
      </c>
      <c r="AF261" s="1483">
        <f t="shared" ca="1" si="112"/>
        <v>0</v>
      </c>
      <c r="AG261" s="334">
        <f ca="1">VLOOKUP($A261,Plant_Table,'Plant Operations'!$M$270)</f>
        <v>0</v>
      </c>
      <c r="AH261" s="1481">
        <f t="shared" ca="1" si="113"/>
        <v>0</v>
      </c>
      <c r="AI261" s="1480">
        <f t="shared" ca="1" si="114"/>
        <v>3.1345553075453139</v>
      </c>
      <c r="AJ261" s="335">
        <f t="shared" ca="1" si="115"/>
        <v>0</v>
      </c>
      <c r="AK261" s="698">
        <f t="shared" ca="1" si="93"/>
        <v>0</v>
      </c>
      <c r="AM261" s="697">
        <f ca="1">IF($A261&gt;Endyr,0,VLOOKUP($A261,Tariff_Table,Tariff!$L$33))</f>
        <v>0</v>
      </c>
      <c r="AN261" s="1504">
        <f ca="1">VLOOKUP($A261,Curves_Table,Escalation!$Z$291)</f>
        <v>1.696236647453875</v>
      </c>
      <c r="AO261" s="331">
        <f t="shared" ca="1" si="116"/>
        <v>0</v>
      </c>
      <c r="AP261" s="331">
        <f ca="1">IF($A261&gt;Endyr,0,VLOOKUP($A261,Tariff_Table,Tariff!$M$33))</f>
        <v>0</v>
      </c>
      <c r="AQ261" s="331">
        <f t="shared" ca="1" si="117"/>
        <v>0</v>
      </c>
      <c r="AR261" s="331">
        <f t="shared" ca="1" si="118"/>
        <v>0</v>
      </c>
      <c r="AS261" s="1508">
        <f t="shared" ca="1" si="119"/>
        <v>0</v>
      </c>
    </row>
    <row r="262" spans="1:45">
      <c r="A262" s="672">
        <f t="shared" si="94"/>
        <v>44562</v>
      </c>
      <c r="C262" s="1484">
        <f ca="1">IF($A262&gt;Endyr,0,VLOOKUP($A262,Tariff_Table,Tariff!$G$33))</f>
        <v>0</v>
      </c>
      <c r="D262" s="1480">
        <f ca="1">VLOOKUP($A262,Curves_Table,Escalation!$V$291)</f>
        <v>1.7754357291063123</v>
      </c>
      <c r="E262" s="1483">
        <f t="shared" ca="1" si="95"/>
        <v>0</v>
      </c>
      <c r="F262" s="1480">
        <f ca="1">IF(Assm!$L$74=0,VLOOKUP($A262,Curves_Table,Escalation!$D$291),VLOOKUP($A262,Curves_Table,Escalation!$E$291))</f>
        <v>3.1345553075453139</v>
      </c>
      <c r="G262" s="113">
        <f ca="1">IF($A262&lt;EE_Date,VLOOKUP($A262,Curves_Table,Escalation!$D$291),Exch)</f>
        <v>1.0649999999999999</v>
      </c>
      <c r="H262" s="1483">
        <f t="shared" ca="1" si="96"/>
        <v>0</v>
      </c>
      <c r="I262" s="330">
        <f ca="1">VLOOKUP($A262,Plant_Table,'Plant Operations'!$C$270)</f>
        <v>0</v>
      </c>
      <c r="J262" s="1481">
        <f t="shared" ca="1" si="97"/>
        <v>0</v>
      </c>
      <c r="K262" s="1480">
        <f t="shared" ca="1" si="98"/>
        <v>3.1345553075453139</v>
      </c>
      <c r="L262" s="384">
        <f t="shared" ca="1" si="99"/>
        <v>0</v>
      </c>
      <c r="M262" s="692" t="str">
        <f t="shared" ca="1" si="90"/>
        <v xml:space="preserve"> </v>
      </c>
      <c r="O262" s="1482">
        <f ca="1">IF($A262&gt;Endyr,0,VLOOKUP($A262,Tariff_Table,Tariff!$H$33))</f>
        <v>0</v>
      </c>
      <c r="P262" s="1480">
        <f t="shared" ca="1" si="100"/>
        <v>0</v>
      </c>
      <c r="Q262" s="1481">
        <f t="shared" ca="1" si="101"/>
        <v>0</v>
      </c>
      <c r="R262" s="1480">
        <f t="shared" ca="1" si="102"/>
        <v>3.1345553075453139</v>
      </c>
      <c r="S262" s="113">
        <f t="shared" ca="1" si="103"/>
        <v>1.0649999999999999</v>
      </c>
      <c r="T262" s="1481">
        <f t="shared" ca="1" si="104"/>
        <v>0</v>
      </c>
      <c r="U262" s="330">
        <f t="shared" ca="1" si="105"/>
        <v>0</v>
      </c>
      <c r="V262" s="1481">
        <f t="shared" ca="1" si="106"/>
        <v>0</v>
      </c>
      <c r="W262" s="1480">
        <f t="shared" ca="1" si="107"/>
        <v>3.1345553075453139</v>
      </c>
      <c r="X262" s="384">
        <f t="shared" ca="1" si="108"/>
        <v>0</v>
      </c>
      <c r="Y262" s="692" t="str">
        <f t="shared" ca="1" si="91"/>
        <v xml:space="preserve"> </v>
      </c>
      <c r="AA262" s="1484">
        <f ca="1">IF($A262&gt;Endyr,0,VLOOKUP($A262,Tariff_Table,Tariff!$I$33))</f>
        <v>0</v>
      </c>
      <c r="AB262" s="1480">
        <f t="shared" ca="1" si="92"/>
        <v>0</v>
      </c>
      <c r="AC262" s="1483">
        <f t="shared" ca="1" si="109"/>
        <v>0</v>
      </c>
      <c r="AD262" s="1480">
        <f t="shared" ca="1" si="110"/>
        <v>3.1345553075453139</v>
      </c>
      <c r="AE262" s="113">
        <f t="shared" ca="1" si="111"/>
        <v>1.0649999999999999</v>
      </c>
      <c r="AF262" s="1483">
        <f t="shared" ca="1" si="112"/>
        <v>0</v>
      </c>
      <c r="AG262" s="334">
        <f ca="1">VLOOKUP($A262,Plant_Table,'Plant Operations'!$M$270)</f>
        <v>0</v>
      </c>
      <c r="AH262" s="1481">
        <f t="shared" ca="1" si="113"/>
        <v>0</v>
      </c>
      <c r="AI262" s="1480">
        <f t="shared" ca="1" si="114"/>
        <v>3.1345553075453139</v>
      </c>
      <c r="AJ262" s="335">
        <f t="shared" ca="1" si="115"/>
        <v>0</v>
      </c>
      <c r="AK262" s="698" t="str">
        <f t="shared" ca="1" si="93"/>
        <v xml:space="preserve"> </v>
      </c>
      <c r="AM262" s="697">
        <f ca="1">IF($A262&gt;Endyr,0,VLOOKUP($A262,Tariff_Table,Tariff!$L$33))</f>
        <v>0</v>
      </c>
      <c r="AN262" s="1504">
        <f ca="1">VLOOKUP($A262,Curves_Table,Escalation!$Z$291)</f>
        <v>1.696236647453875</v>
      </c>
      <c r="AO262" s="331">
        <f t="shared" ca="1" si="116"/>
        <v>0</v>
      </c>
      <c r="AP262" s="331">
        <f ca="1">IF($A262&gt;Endyr,0,VLOOKUP($A262,Tariff_Table,Tariff!$M$33))</f>
        <v>0</v>
      </c>
      <c r="AQ262" s="331">
        <f t="shared" ca="1" si="117"/>
        <v>0</v>
      </c>
      <c r="AR262" s="331">
        <f t="shared" ca="1" si="118"/>
        <v>0</v>
      </c>
      <c r="AS262" s="1508">
        <f t="shared" ca="1" si="119"/>
        <v>0</v>
      </c>
    </row>
    <row r="263" spans="1:45">
      <c r="A263" s="672">
        <f t="shared" si="94"/>
        <v>44593</v>
      </c>
      <c r="C263" s="1484">
        <f ca="1">IF($A263&gt;Endyr,0,VLOOKUP($A263,Tariff_Table,Tariff!$G$33))</f>
        <v>0</v>
      </c>
      <c r="D263" s="1480">
        <f ca="1">VLOOKUP($A263,Curves_Table,Escalation!$V$291)</f>
        <v>1.7754357291063123</v>
      </c>
      <c r="E263" s="1483">
        <f t="shared" ca="1" si="95"/>
        <v>0</v>
      </c>
      <c r="F263" s="1480">
        <f ca="1">IF(Assm!$L$74=0,VLOOKUP($A263,Curves_Table,Escalation!$D$291),VLOOKUP($A263,Curves_Table,Escalation!$E$291))</f>
        <v>3.1345553075453139</v>
      </c>
      <c r="G263" s="113">
        <f ca="1">IF($A263&lt;EE_Date,VLOOKUP($A263,Curves_Table,Escalation!$D$291),Exch)</f>
        <v>1.0649999999999999</v>
      </c>
      <c r="H263" s="1483">
        <f t="shared" ca="1" si="96"/>
        <v>0</v>
      </c>
      <c r="I263" s="330">
        <f ca="1">VLOOKUP($A263,Plant_Table,'Plant Operations'!$C$270)</f>
        <v>0</v>
      </c>
      <c r="J263" s="1481">
        <f t="shared" ca="1" si="97"/>
        <v>0</v>
      </c>
      <c r="K263" s="1480">
        <f t="shared" ca="1" si="98"/>
        <v>3.1345553075453139</v>
      </c>
      <c r="L263" s="384">
        <f t="shared" ca="1" si="99"/>
        <v>0</v>
      </c>
      <c r="M263" s="692" t="str">
        <f t="shared" ca="1" si="90"/>
        <v xml:space="preserve"> </v>
      </c>
      <c r="O263" s="1482">
        <f ca="1">IF($A263&gt;Endyr,0,VLOOKUP($A263,Tariff_Table,Tariff!$H$33))</f>
        <v>0</v>
      </c>
      <c r="P263" s="1480">
        <f t="shared" ca="1" si="100"/>
        <v>0</v>
      </c>
      <c r="Q263" s="1481">
        <f t="shared" ca="1" si="101"/>
        <v>0</v>
      </c>
      <c r="R263" s="1480">
        <f t="shared" ca="1" si="102"/>
        <v>3.1345553075453139</v>
      </c>
      <c r="S263" s="113">
        <f t="shared" ca="1" si="103"/>
        <v>1.0649999999999999</v>
      </c>
      <c r="T263" s="1481">
        <f t="shared" ca="1" si="104"/>
        <v>0</v>
      </c>
      <c r="U263" s="330">
        <f t="shared" ca="1" si="105"/>
        <v>0</v>
      </c>
      <c r="V263" s="1481">
        <f t="shared" ca="1" si="106"/>
        <v>0</v>
      </c>
      <c r="W263" s="1480">
        <f t="shared" ca="1" si="107"/>
        <v>3.1345553075453139</v>
      </c>
      <c r="X263" s="384">
        <f t="shared" ca="1" si="108"/>
        <v>0</v>
      </c>
      <c r="Y263" s="692" t="str">
        <f t="shared" ca="1" si="91"/>
        <v xml:space="preserve"> </v>
      </c>
      <c r="AA263" s="1484">
        <f ca="1">IF($A263&gt;Endyr,0,VLOOKUP($A263,Tariff_Table,Tariff!$I$33))</f>
        <v>0</v>
      </c>
      <c r="AB263" s="1480">
        <f t="shared" ca="1" si="92"/>
        <v>0</v>
      </c>
      <c r="AC263" s="1483">
        <f t="shared" ca="1" si="109"/>
        <v>0</v>
      </c>
      <c r="AD263" s="1480">
        <f t="shared" ca="1" si="110"/>
        <v>3.1345553075453139</v>
      </c>
      <c r="AE263" s="113">
        <f t="shared" ca="1" si="111"/>
        <v>1.0649999999999999</v>
      </c>
      <c r="AF263" s="1483">
        <f t="shared" ca="1" si="112"/>
        <v>0</v>
      </c>
      <c r="AG263" s="334">
        <f ca="1">VLOOKUP($A263,Plant_Table,'Plant Operations'!$M$270)</f>
        <v>0</v>
      </c>
      <c r="AH263" s="1481">
        <f t="shared" ca="1" si="113"/>
        <v>0</v>
      </c>
      <c r="AI263" s="1480">
        <f t="shared" ca="1" si="114"/>
        <v>3.1345553075453139</v>
      </c>
      <c r="AJ263" s="335">
        <f t="shared" ca="1" si="115"/>
        <v>0</v>
      </c>
      <c r="AK263" s="698" t="str">
        <f t="shared" ca="1" si="93"/>
        <v xml:space="preserve"> </v>
      </c>
      <c r="AM263" s="697">
        <f ca="1">IF($A263&gt;Endyr,0,VLOOKUP($A263,Tariff_Table,Tariff!$L$33))</f>
        <v>0</v>
      </c>
      <c r="AN263" s="1504">
        <f ca="1">VLOOKUP($A263,Curves_Table,Escalation!$Z$291)</f>
        <v>1.696236647453875</v>
      </c>
      <c r="AO263" s="331">
        <f t="shared" ca="1" si="116"/>
        <v>0</v>
      </c>
      <c r="AP263" s="331">
        <f ca="1">IF($A263&gt;Endyr,0,VLOOKUP($A263,Tariff_Table,Tariff!$M$33))</f>
        <v>0</v>
      </c>
      <c r="AQ263" s="331">
        <f t="shared" ca="1" si="117"/>
        <v>0</v>
      </c>
      <c r="AR263" s="331">
        <f t="shared" ca="1" si="118"/>
        <v>0</v>
      </c>
      <c r="AS263" s="1508">
        <f t="shared" ca="1" si="119"/>
        <v>0</v>
      </c>
    </row>
    <row r="264" spans="1:45">
      <c r="A264" s="672">
        <f t="shared" si="94"/>
        <v>44621</v>
      </c>
      <c r="C264" s="1484">
        <f ca="1">IF($A264&gt;Endyr,0,VLOOKUP($A264,Tariff_Table,Tariff!$G$33))</f>
        <v>0</v>
      </c>
      <c r="D264" s="1480">
        <f ca="1">VLOOKUP($A264,Curves_Table,Escalation!$V$291)</f>
        <v>1.7754357291063123</v>
      </c>
      <c r="E264" s="1483">
        <f t="shared" ca="1" si="95"/>
        <v>0</v>
      </c>
      <c r="F264" s="1480">
        <f ca="1">IF(Assm!$L$74=0,VLOOKUP($A264,Curves_Table,Escalation!$D$291),VLOOKUP($A264,Curves_Table,Escalation!$E$291))</f>
        <v>3.1345553075453139</v>
      </c>
      <c r="G264" s="113">
        <f ca="1">IF($A264&lt;EE_Date,VLOOKUP($A264,Curves_Table,Escalation!$D$291),Exch)</f>
        <v>1.0649999999999999</v>
      </c>
      <c r="H264" s="1483">
        <f t="shared" ca="1" si="96"/>
        <v>0</v>
      </c>
      <c r="I264" s="330">
        <f ca="1">VLOOKUP($A264,Plant_Table,'Plant Operations'!$C$270)</f>
        <v>0</v>
      </c>
      <c r="J264" s="1481">
        <f t="shared" ca="1" si="97"/>
        <v>0</v>
      </c>
      <c r="K264" s="1480">
        <f t="shared" ca="1" si="98"/>
        <v>3.1345553075453139</v>
      </c>
      <c r="L264" s="384">
        <f t="shared" ca="1" si="99"/>
        <v>0</v>
      </c>
      <c r="M264" s="692" t="str">
        <f t="shared" ca="1" si="90"/>
        <v xml:space="preserve"> </v>
      </c>
      <c r="O264" s="1482">
        <f ca="1">IF($A264&gt;Endyr,0,VLOOKUP($A264,Tariff_Table,Tariff!$H$33))</f>
        <v>0</v>
      </c>
      <c r="P264" s="1480">
        <f t="shared" ca="1" si="100"/>
        <v>0</v>
      </c>
      <c r="Q264" s="1481">
        <f t="shared" ca="1" si="101"/>
        <v>0</v>
      </c>
      <c r="R264" s="1480">
        <f t="shared" ca="1" si="102"/>
        <v>3.1345553075453139</v>
      </c>
      <c r="S264" s="113">
        <f t="shared" ca="1" si="103"/>
        <v>1.0649999999999999</v>
      </c>
      <c r="T264" s="1481">
        <f t="shared" ca="1" si="104"/>
        <v>0</v>
      </c>
      <c r="U264" s="330">
        <f t="shared" ca="1" si="105"/>
        <v>0</v>
      </c>
      <c r="V264" s="1481">
        <f t="shared" ca="1" si="106"/>
        <v>0</v>
      </c>
      <c r="W264" s="1480">
        <f t="shared" ca="1" si="107"/>
        <v>3.1345553075453139</v>
      </c>
      <c r="X264" s="384">
        <f t="shared" ca="1" si="108"/>
        <v>0</v>
      </c>
      <c r="Y264" s="692" t="str">
        <f t="shared" ca="1" si="91"/>
        <v xml:space="preserve"> </v>
      </c>
      <c r="AA264" s="1484">
        <f ca="1">IF($A264&gt;Endyr,0,VLOOKUP($A264,Tariff_Table,Tariff!$I$33))</f>
        <v>0</v>
      </c>
      <c r="AB264" s="1480">
        <f t="shared" ca="1" si="92"/>
        <v>0</v>
      </c>
      <c r="AC264" s="1483">
        <f t="shared" ca="1" si="109"/>
        <v>0</v>
      </c>
      <c r="AD264" s="1480">
        <f t="shared" ca="1" si="110"/>
        <v>3.1345553075453139</v>
      </c>
      <c r="AE264" s="113">
        <f t="shared" ca="1" si="111"/>
        <v>1.0649999999999999</v>
      </c>
      <c r="AF264" s="1483">
        <f t="shared" ca="1" si="112"/>
        <v>0</v>
      </c>
      <c r="AG264" s="334">
        <f ca="1">VLOOKUP($A264,Plant_Table,'Plant Operations'!$M$270)</f>
        <v>0</v>
      </c>
      <c r="AH264" s="1481">
        <f t="shared" ca="1" si="113"/>
        <v>0</v>
      </c>
      <c r="AI264" s="1480">
        <f t="shared" ca="1" si="114"/>
        <v>3.1345553075453139</v>
      </c>
      <c r="AJ264" s="335">
        <f t="shared" ca="1" si="115"/>
        <v>0</v>
      </c>
      <c r="AK264" s="698" t="str">
        <f t="shared" ca="1" si="93"/>
        <v xml:space="preserve"> </v>
      </c>
      <c r="AM264" s="697">
        <f ca="1">IF($A264&gt;Endyr,0,VLOOKUP($A264,Tariff_Table,Tariff!$L$33))</f>
        <v>0</v>
      </c>
      <c r="AN264" s="1504">
        <f ca="1">VLOOKUP($A264,Curves_Table,Escalation!$Z$291)</f>
        <v>1.696236647453875</v>
      </c>
      <c r="AO264" s="331">
        <f t="shared" ca="1" si="116"/>
        <v>0</v>
      </c>
      <c r="AP264" s="331">
        <f ca="1">IF($A264&gt;Endyr,0,VLOOKUP($A264,Tariff_Table,Tariff!$M$33))</f>
        <v>0</v>
      </c>
      <c r="AQ264" s="331">
        <f t="shared" ca="1" si="117"/>
        <v>0</v>
      </c>
      <c r="AR264" s="331">
        <f t="shared" ca="1" si="118"/>
        <v>0</v>
      </c>
      <c r="AS264" s="1508">
        <f t="shared" ca="1" si="119"/>
        <v>0</v>
      </c>
    </row>
    <row r="265" spans="1:45">
      <c r="A265" s="672">
        <f t="shared" si="94"/>
        <v>44652</v>
      </c>
      <c r="C265" s="1484">
        <f ca="1">IF($A265&gt;Endyr,0,VLOOKUP($A265,Tariff_Table,Tariff!$G$33))</f>
        <v>0</v>
      </c>
      <c r="D265" s="1480">
        <f ca="1">VLOOKUP($A265,Curves_Table,Escalation!$V$291)</f>
        <v>1.7754357291063123</v>
      </c>
      <c r="E265" s="1483">
        <f t="shared" ca="1" si="95"/>
        <v>0</v>
      </c>
      <c r="F265" s="1480">
        <f ca="1">IF(Assm!$L$74=0,VLOOKUP($A265,Curves_Table,Escalation!$D$291),VLOOKUP($A265,Curves_Table,Escalation!$E$291))</f>
        <v>3.1345553075453139</v>
      </c>
      <c r="G265" s="113">
        <f ca="1">IF($A265&lt;EE_Date,VLOOKUP($A265,Curves_Table,Escalation!$D$291),Exch)</f>
        <v>1.0649999999999999</v>
      </c>
      <c r="H265" s="1483">
        <f t="shared" ca="1" si="96"/>
        <v>0</v>
      </c>
      <c r="I265" s="330">
        <f ca="1">VLOOKUP($A265,Plant_Table,'Plant Operations'!$C$270)</f>
        <v>0</v>
      </c>
      <c r="J265" s="1481">
        <f t="shared" ca="1" si="97"/>
        <v>0</v>
      </c>
      <c r="K265" s="1480">
        <f t="shared" ca="1" si="98"/>
        <v>3.1345553075453139</v>
      </c>
      <c r="L265" s="384">
        <f t="shared" ca="1" si="99"/>
        <v>0</v>
      </c>
      <c r="M265" s="692" t="str">
        <f t="shared" ca="1" si="90"/>
        <v xml:space="preserve"> </v>
      </c>
      <c r="O265" s="1482">
        <f ca="1">IF($A265&gt;Endyr,0,VLOOKUP($A265,Tariff_Table,Tariff!$H$33))</f>
        <v>0</v>
      </c>
      <c r="P265" s="1480">
        <f t="shared" ca="1" si="100"/>
        <v>0</v>
      </c>
      <c r="Q265" s="1481">
        <f t="shared" ca="1" si="101"/>
        <v>0</v>
      </c>
      <c r="R265" s="1480">
        <f t="shared" ca="1" si="102"/>
        <v>3.1345553075453139</v>
      </c>
      <c r="S265" s="113">
        <f t="shared" ca="1" si="103"/>
        <v>1.0649999999999999</v>
      </c>
      <c r="T265" s="1481">
        <f t="shared" ca="1" si="104"/>
        <v>0</v>
      </c>
      <c r="U265" s="330">
        <f t="shared" ca="1" si="105"/>
        <v>0</v>
      </c>
      <c r="V265" s="1481">
        <f t="shared" ca="1" si="106"/>
        <v>0</v>
      </c>
      <c r="W265" s="1480">
        <f t="shared" ca="1" si="107"/>
        <v>3.1345553075453139</v>
      </c>
      <c r="X265" s="384">
        <f t="shared" ca="1" si="108"/>
        <v>0</v>
      </c>
      <c r="Y265" s="692" t="str">
        <f t="shared" ca="1" si="91"/>
        <v xml:space="preserve"> </v>
      </c>
      <c r="AA265" s="1484">
        <f ca="1">IF($A265&gt;Endyr,0,VLOOKUP($A265,Tariff_Table,Tariff!$I$33))</f>
        <v>0</v>
      </c>
      <c r="AB265" s="1480">
        <f t="shared" ca="1" si="92"/>
        <v>0</v>
      </c>
      <c r="AC265" s="1483">
        <f t="shared" ca="1" si="109"/>
        <v>0</v>
      </c>
      <c r="AD265" s="1480">
        <f t="shared" ca="1" si="110"/>
        <v>3.1345553075453139</v>
      </c>
      <c r="AE265" s="113">
        <f t="shared" ca="1" si="111"/>
        <v>1.0649999999999999</v>
      </c>
      <c r="AF265" s="1483">
        <f t="shared" ca="1" si="112"/>
        <v>0</v>
      </c>
      <c r="AG265" s="334">
        <f ca="1">VLOOKUP($A265,Plant_Table,'Plant Operations'!$M$270)</f>
        <v>0</v>
      </c>
      <c r="AH265" s="1481">
        <f t="shared" ca="1" si="113"/>
        <v>0</v>
      </c>
      <c r="AI265" s="1480">
        <f t="shared" ca="1" si="114"/>
        <v>3.1345553075453139</v>
      </c>
      <c r="AJ265" s="335">
        <f t="shared" ca="1" si="115"/>
        <v>0</v>
      </c>
      <c r="AK265" s="698" t="str">
        <f t="shared" ca="1" si="93"/>
        <v xml:space="preserve"> </v>
      </c>
      <c r="AM265" s="697">
        <f ca="1">IF($A265&gt;Endyr,0,VLOOKUP($A265,Tariff_Table,Tariff!$L$33))</f>
        <v>0</v>
      </c>
      <c r="AN265" s="1504">
        <f ca="1">VLOOKUP($A265,Curves_Table,Escalation!$Z$291)</f>
        <v>1.696236647453875</v>
      </c>
      <c r="AO265" s="331">
        <f t="shared" ca="1" si="116"/>
        <v>0</v>
      </c>
      <c r="AP265" s="331">
        <f ca="1">IF($A265&gt;Endyr,0,VLOOKUP($A265,Tariff_Table,Tariff!$M$33))</f>
        <v>0</v>
      </c>
      <c r="AQ265" s="331">
        <f t="shared" ca="1" si="117"/>
        <v>0</v>
      </c>
      <c r="AR265" s="331">
        <f t="shared" ca="1" si="118"/>
        <v>0</v>
      </c>
      <c r="AS265" s="1508">
        <f t="shared" ca="1" si="119"/>
        <v>0</v>
      </c>
    </row>
    <row r="266" spans="1:45">
      <c r="A266" s="672">
        <f t="shared" si="94"/>
        <v>44682</v>
      </c>
      <c r="C266" s="1484">
        <f ca="1">IF($A266&gt;Endyr,0,VLOOKUP($A266,Tariff_Table,Tariff!$G$33))</f>
        <v>0</v>
      </c>
      <c r="D266" s="1480">
        <f ca="1">VLOOKUP($A266,Curves_Table,Escalation!$V$291)</f>
        <v>1.7754357291063123</v>
      </c>
      <c r="E266" s="1483">
        <f t="shared" ca="1" si="95"/>
        <v>0</v>
      </c>
      <c r="F266" s="1480">
        <f ca="1">IF(Assm!$L$74=0,VLOOKUP($A266,Curves_Table,Escalation!$D$291),VLOOKUP($A266,Curves_Table,Escalation!$E$291))</f>
        <v>3.1345553075453139</v>
      </c>
      <c r="G266" s="113">
        <f ca="1">IF($A266&lt;EE_Date,VLOOKUP($A266,Curves_Table,Escalation!$D$291),Exch)</f>
        <v>1.0649999999999999</v>
      </c>
      <c r="H266" s="1483">
        <f t="shared" ca="1" si="96"/>
        <v>0</v>
      </c>
      <c r="I266" s="330">
        <f ca="1">VLOOKUP($A266,Plant_Table,'Plant Operations'!$C$270)</f>
        <v>0</v>
      </c>
      <c r="J266" s="1481">
        <f t="shared" ca="1" si="97"/>
        <v>0</v>
      </c>
      <c r="K266" s="1480">
        <f t="shared" ca="1" si="98"/>
        <v>3.1345553075453139</v>
      </c>
      <c r="L266" s="384">
        <f t="shared" ca="1" si="99"/>
        <v>0</v>
      </c>
      <c r="M266" s="692" t="str">
        <f t="shared" ca="1" si="90"/>
        <v xml:space="preserve"> </v>
      </c>
      <c r="O266" s="1482">
        <f ca="1">IF($A266&gt;Endyr,0,VLOOKUP($A266,Tariff_Table,Tariff!$H$33))</f>
        <v>0</v>
      </c>
      <c r="P266" s="1480">
        <f t="shared" ca="1" si="100"/>
        <v>0</v>
      </c>
      <c r="Q266" s="1481">
        <f t="shared" ca="1" si="101"/>
        <v>0</v>
      </c>
      <c r="R266" s="1480">
        <f t="shared" ca="1" si="102"/>
        <v>3.1345553075453139</v>
      </c>
      <c r="S266" s="113">
        <f t="shared" ca="1" si="103"/>
        <v>1.0649999999999999</v>
      </c>
      <c r="T266" s="1481">
        <f t="shared" ca="1" si="104"/>
        <v>0</v>
      </c>
      <c r="U266" s="330">
        <f t="shared" ca="1" si="105"/>
        <v>0</v>
      </c>
      <c r="V266" s="1481">
        <f t="shared" ca="1" si="106"/>
        <v>0</v>
      </c>
      <c r="W266" s="1480">
        <f t="shared" ca="1" si="107"/>
        <v>3.1345553075453139</v>
      </c>
      <c r="X266" s="384">
        <f t="shared" ca="1" si="108"/>
        <v>0</v>
      </c>
      <c r="Y266" s="692" t="str">
        <f t="shared" ca="1" si="91"/>
        <v xml:space="preserve"> </v>
      </c>
      <c r="AA266" s="1484">
        <f ca="1">IF($A266&gt;Endyr,0,VLOOKUP($A266,Tariff_Table,Tariff!$I$33))</f>
        <v>0</v>
      </c>
      <c r="AB266" s="1480">
        <f t="shared" ca="1" si="92"/>
        <v>0</v>
      </c>
      <c r="AC266" s="1483">
        <f t="shared" ca="1" si="109"/>
        <v>0</v>
      </c>
      <c r="AD266" s="1480">
        <f t="shared" ca="1" si="110"/>
        <v>3.1345553075453139</v>
      </c>
      <c r="AE266" s="113">
        <f t="shared" ca="1" si="111"/>
        <v>1.0649999999999999</v>
      </c>
      <c r="AF266" s="1483">
        <f t="shared" ca="1" si="112"/>
        <v>0</v>
      </c>
      <c r="AG266" s="334">
        <f ca="1">VLOOKUP($A266,Plant_Table,'Plant Operations'!$M$270)</f>
        <v>0</v>
      </c>
      <c r="AH266" s="1481">
        <f t="shared" ca="1" si="113"/>
        <v>0</v>
      </c>
      <c r="AI266" s="1480">
        <f t="shared" ca="1" si="114"/>
        <v>3.1345553075453139</v>
      </c>
      <c r="AJ266" s="335">
        <f t="shared" ca="1" si="115"/>
        <v>0</v>
      </c>
      <c r="AK266" s="698" t="str">
        <f t="shared" ca="1" si="93"/>
        <v xml:space="preserve"> </v>
      </c>
      <c r="AM266" s="697">
        <f ca="1">IF($A266&gt;Endyr,0,VLOOKUP($A266,Tariff_Table,Tariff!$L$33))</f>
        <v>0</v>
      </c>
      <c r="AN266" s="1504">
        <f ca="1">VLOOKUP($A266,Curves_Table,Escalation!$Z$291)</f>
        <v>1.696236647453875</v>
      </c>
      <c r="AO266" s="331">
        <f t="shared" ca="1" si="116"/>
        <v>0</v>
      </c>
      <c r="AP266" s="331">
        <f ca="1">IF($A266&gt;Endyr,0,VLOOKUP($A266,Tariff_Table,Tariff!$M$33))</f>
        <v>0</v>
      </c>
      <c r="AQ266" s="331">
        <f t="shared" ca="1" si="117"/>
        <v>0</v>
      </c>
      <c r="AR266" s="331">
        <f t="shared" ca="1" si="118"/>
        <v>0</v>
      </c>
      <c r="AS266" s="1508">
        <f t="shared" ca="1" si="119"/>
        <v>0</v>
      </c>
    </row>
    <row r="267" spans="1:45" ht="13.5" thickBot="1">
      <c r="A267" s="672"/>
      <c r="C267" s="398"/>
      <c r="D267" s="1"/>
      <c r="E267" s="1"/>
      <c r="H267" s="1"/>
      <c r="I267" s="1"/>
      <c r="J267" s="1"/>
      <c r="L267" s="1"/>
      <c r="M267" s="401"/>
      <c r="O267" s="398"/>
      <c r="P267" s="1"/>
      <c r="Q267" s="1"/>
      <c r="T267" s="1"/>
      <c r="U267" s="1"/>
      <c r="V267" s="1"/>
      <c r="X267" s="1"/>
      <c r="Y267" s="401"/>
      <c r="AA267" s="398"/>
      <c r="AB267" s="1"/>
      <c r="AC267" s="1"/>
      <c r="AF267" s="1"/>
      <c r="AG267" s="1"/>
      <c r="AH267" s="1"/>
      <c r="AJ267" s="1"/>
      <c r="AK267" s="401"/>
      <c r="AM267" s="398"/>
      <c r="AN267" s="1"/>
      <c r="AO267" s="1"/>
      <c r="AP267" s="1"/>
      <c r="AQ267" s="1"/>
      <c r="AR267" s="1"/>
      <c r="AS267" s="401"/>
    </row>
    <row r="268" spans="1:45" ht="13.5" thickBot="1">
      <c r="A268" s="673"/>
      <c r="C268" s="684"/>
      <c r="D268" s="685"/>
      <c r="E268" s="685"/>
      <c r="F268" s="685"/>
      <c r="G268" s="685"/>
      <c r="H268" s="685"/>
      <c r="I268" s="685"/>
      <c r="J268" s="685"/>
      <c r="K268" s="685"/>
      <c r="L268" s="686" t="s">
        <v>1287</v>
      </c>
      <c r="M268" s="693">
        <f ca="1">SUM(M12:M266)</f>
        <v>1015597.4503812353</v>
      </c>
      <c r="O268" s="684"/>
      <c r="P268" s="685"/>
      <c r="Q268" s="685"/>
      <c r="R268" s="685"/>
      <c r="S268" s="685"/>
      <c r="T268" s="685"/>
      <c r="U268" s="685"/>
      <c r="V268" s="685"/>
      <c r="W268" s="685"/>
      <c r="X268" s="686" t="s">
        <v>1325</v>
      </c>
      <c r="Y268" s="693">
        <f ca="1">SUM(Y12:Y266)</f>
        <v>779903.49412416865</v>
      </c>
      <c r="AA268" s="684"/>
      <c r="AB268" s="685"/>
      <c r="AC268" s="685"/>
      <c r="AD268" s="685"/>
      <c r="AE268" s="685"/>
      <c r="AF268" s="685"/>
      <c r="AG268" s="685"/>
      <c r="AH268" s="685"/>
      <c r="AI268" s="685"/>
      <c r="AJ268" s="686" t="s">
        <v>1326</v>
      </c>
      <c r="AK268" s="693">
        <f ca="1">SUM(AK12:AK266)</f>
        <v>179816.61904466568</v>
      </c>
      <c r="AM268" s="400"/>
      <c r="AN268" s="268"/>
      <c r="AO268" s="268"/>
      <c r="AP268" s="268"/>
      <c r="AQ268" s="268"/>
      <c r="AR268" s="268"/>
      <c r="AS268" s="405"/>
    </row>
    <row r="270" spans="1:45">
      <c r="A270" s="357">
        <v>1</v>
      </c>
      <c r="B270" s="357">
        <f t="shared" ref="B270:AK270" si="120">A270+1</f>
        <v>2</v>
      </c>
      <c r="C270" s="357">
        <f t="shared" si="120"/>
        <v>3</v>
      </c>
      <c r="D270" s="357">
        <f t="shared" si="120"/>
        <v>4</v>
      </c>
      <c r="E270" s="357">
        <f t="shared" si="120"/>
        <v>5</v>
      </c>
      <c r="F270" s="357">
        <f t="shared" si="120"/>
        <v>6</v>
      </c>
      <c r="G270" s="357">
        <f t="shared" si="120"/>
        <v>7</v>
      </c>
      <c r="H270" s="357">
        <f t="shared" si="120"/>
        <v>8</v>
      </c>
      <c r="I270" s="357">
        <f t="shared" si="120"/>
        <v>9</v>
      </c>
      <c r="J270" s="357">
        <f t="shared" si="120"/>
        <v>10</v>
      </c>
      <c r="K270" s="357">
        <f t="shared" si="120"/>
        <v>11</v>
      </c>
      <c r="L270" s="357">
        <f t="shared" si="120"/>
        <v>12</v>
      </c>
      <c r="M270" s="357">
        <f t="shared" si="120"/>
        <v>13</v>
      </c>
      <c r="N270" s="357">
        <f t="shared" si="120"/>
        <v>14</v>
      </c>
      <c r="O270" s="357">
        <f t="shared" si="120"/>
        <v>15</v>
      </c>
      <c r="P270" s="357">
        <f t="shared" si="120"/>
        <v>16</v>
      </c>
      <c r="Q270" s="357">
        <f t="shared" si="120"/>
        <v>17</v>
      </c>
      <c r="R270" s="357">
        <f t="shared" si="120"/>
        <v>18</v>
      </c>
      <c r="S270" s="357">
        <f t="shared" si="120"/>
        <v>19</v>
      </c>
      <c r="T270" s="357">
        <f t="shared" si="120"/>
        <v>20</v>
      </c>
      <c r="U270" s="357">
        <f t="shared" si="120"/>
        <v>21</v>
      </c>
      <c r="V270" s="357">
        <f t="shared" si="120"/>
        <v>22</v>
      </c>
      <c r="W270" s="357">
        <f t="shared" si="120"/>
        <v>23</v>
      </c>
      <c r="X270" s="357">
        <f t="shared" si="120"/>
        <v>24</v>
      </c>
      <c r="Y270" s="357">
        <f t="shared" si="120"/>
        <v>25</v>
      </c>
      <c r="Z270" s="357">
        <f t="shared" si="120"/>
        <v>26</v>
      </c>
      <c r="AA270" s="357">
        <f t="shared" si="120"/>
        <v>27</v>
      </c>
      <c r="AB270" s="357">
        <f t="shared" si="120"/>
        <v>28</v>
      </c>
      <c r="AC270" s="357">
        <f t="shared" si="120"/>
        <v>29</v>
      </c>
      <c r="AD270" s="357">
        <f t="shared" si="120"/>
        <v>30</v>
      </c>
      <c r="AE270" s="357">
        <f t="shared" si="120"/>
        <v>31</v>
      </c>
      <c r="AF270" s="357">
        <f t="shared" si="120"/>
        <v>32</v>
      </c>
      <c r="AG270" s="357">
        <f t="shared" si="120"/>
        <v>33</v>
      </c>
      <c r="AH270" s="357">
        <f t="shared" si="120"/>
        <v>34</v>
      </c>
      <c r="AI270" s="357">
        <f t="shared" si="120"/>
        <v>35</v>
      </c>
      <c r="AJ270" s="357">
        <f t="shared" si="120"/>
        <v>36</v>
      </c>
      <c r="AK270" s="357">
        <f t="shared" si="120"/>
        <v>37</v>
      </c>
      <c r="AM270"/>
    </row>
  </sheetData>
  <printOptions horizontalCentered="1"/>
  <pageMargins left="0.25" right="0.25" top="0.5" bottom="0.5" header="0.25" footer="0.25"/>
  <pageSetup scale="34" fitToHeight="4" orientation="landscape" horizontalDpi="4294967294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1">
    <pageSetUpPr autoPageBreaks="0" fitToPage="1"/>
  </sheetPr>
  <dimension ref="A1:S270"/>
  <sheetViews>
    <sheetView showGridLines="0" zoomScale="90" workbookViewId="0">
      <selection activeCell="K24" sqref="K24"/>
    </sheetView>
  </sheetViews>
  <sheetFormatPr defaultRowHeight="12.75"/>
  <cols>
    <col min="2" max="2" width="2.7109375" customWidth="1"/>
    <col min="3" max="3" width="13.7109375" customWidth="1"/>
    <col min="4" max="4" width="10.7109375" customWidth="1"/>
    <col min="5" max="5" width="13.7109375" customWidth="1"/>
    <col min="6" max="6" width="10.7109375" style="1" customWidth="1"/>
    <col min="7" max="9" width="10.7109375" customWidth="1"/>
    <col min="10" max="10" width="12.7109375" customWidth="1"/>
    <col min="11" max="11" width="2.7109375" customWidth="1"/>
    <col min="12" max="12" width="10.7109375" customWidth="1"/>
    <col min="13" max="13" width="10.7109375" style="1" customWidth="1"/>
    <col min="14" max="18" width="10.7109375" customWidth="1"/>
    <col min="19" max="19" width="12.7109375" customWidth="1"/>
  </cols>
  <sheetData>
    <row r="1" spans="1:19" s="1" customFormat="1" ht="15.75">
      <c r="A1" s="1137" t="str">
        <f>CONCATENATE(TOC!B2," ",TOC!B6)</f>
        <v>EMPRESSA PRODUTORA DE ENERGÍA LTDA (EPE) *** DRAFT COPY ***</v>
      </c>
      <c r="B1" s="117"/>
      <c r="K1" s="117"/>
    </row>
    <row r="2" spans="1:19" s="1" customFormat="1" ht="15.75">
      <c r="A2" s="1137" t="str">
        <f>TOC!B3</f>
        <v>480 MW POWER PLANT (CUIABA, BRAZIL)</v>
      </c>
      <c r="B2" s="117"/>
      <c r="K2" s="117"/>
    </row>
    <row r="3" spans="1:19" s="1" customFormat="1" ht="15">
      <c r="A3" s="118" t="str">
        <f>TOC!B4</f>
        <v>ENRON INTERNATIONAL</v>
      </c>
      <c r="B3" s="118"/>
      <c r="K3" s="118"/>
    </row>
    <row r="4" spans="1:19" s="1" customFormat="1" ht="15">
      <c r="A4" s="932" t="s">
        <v>1792</v>
      </c>
      <c r="B4" s="932"/>
      <c r="C4" s="933"/>
      <c r="D4" s="933"/>
      <c r="E4" s="933"/>
      <c r="K4" s="214"/>
    </row>
    <row r="5" spans="1:19" s="288" customFormat="1">
      <c r="D5" s="1"/>
      <c r="E5" s="1"/>
      <c r="F5" s="1"/>
      <c r="G5" s="1"/>
      <c r="H5" s="1"/>
      <c r="I5" s="1"/>
      <c r="J5" s="1"/>
      <c r="N5" s="1"/>
      <c r="O5" s="1"/>
      <c r="P5" s="1"/>
      <c r="Q5" s="1"/>
      <c r="R5" s="1"/>
      <c r="S5" s="1"/>
    </row>
    <row r="6" spans="1:19">
      <c r="C6" s="666" t="s">
        <v>1438</v>
      </c>
      <c r="D6" s="694"/>
      <c r="E6" s="694"/>
      <c r="F6" s="694"/>
      <c r="G6" s="694"/>
      <c r="H6" s="694"/>
      <c r="I6" s="694"/>
      <c r="J6" s="695"/>
      <c r="L6" s="666" t="s">
        <v>1461</v>
      </c>
      <c r="M6" s="694"/>
      <c r="N6" s="694"/>
      <c r="O6" s="667"/>
      <c r="P6" s="694"/>
      <c r="Q6" s="694"/>
      <c r="R6" s="667"/>
      <c r="S6" s="695"/>
    </row>
    <row r="7" spans="1:19" ht="13.5" thickBot="1"/>
    <row r="8" spans="1:19">
      <c r="A8" s="670"/>
      <c r="C8" s="416"/>
      <c r="D8" s="675"/>
      <c r="E8" s="675" t="s">
        <v>1435</v>
      </c>
      <c r="F8" s="675" t="s">
        <v>1488</v>
      </c>
      <c r="G8" s="675" t="s">
        <v>1489</v>
      </c>
      <c r="H8" s="675" t="s">
        <v>1216</v>
      </c>
      <c r="I8" s="675" t="s">
        <v>1489</v>
      </c>
      <c r="J8" s="677" t="s">
        <v>1484</v>
      </c>
      <c r="L8" s="416"/>
      <c r="M8" s="675"/>
      <c r="N8" s="675" t="s">
        <v>1435</v>
      </c>
      <c r="O8" s="675" t="s">
        <v>1424</v>
      </c>
      <c r="P8" s="675" t="s">
        <v>1489</v>
      </c>
      <c r="Q8" s="675" t="s">
        <v>1216</v>
      </c>
      <c r="R8" s="675" t="s">
        <v>1489</v>
      </c>
      <c r="S8" s="677" t="s">
        <v>1484</v>
      </c>
    </row>
    <row r="9" spans="1:19">
      <c r="A9" s="426"/>
      <c r="C9" s="139" t="s">
        <v>1281</v>
      </c>
      <c r="D9" s="62" t="str">
        <f ca="1">Escalation!Q14</f>
        <v>Brazil</v>
      </c>
      <c r="E9" s="113" t="s">
        <v>1281</v>
      </c>
      <c r="F9" s="113" t="s">
        <v>333</v>
      </c>
      <c r="G9" s="113" t="s">
        <v>800</v>
      </c>
      <c r="H9" s="55" t="s">
        <v>689</v>
      </c>
      <c r="I9" s="113" t="s">
        <v>800</v>
      </c>
      <c r="J9" s="399" t="s">
        <v>800</v>
      </c>
      <c r="L9" s="139" t="s">
        <v>1327</v>
      </c>
      <c r="M9" s="62" t="str">
        <f ca="1">D9</f>
        <v>Brazil</v>
      </c>
      <c r="N9" s="113" t="s">
        <v>1327</v>
      </c>
      <c r="O9" s="113" t="s">
        <v>333</v>
      </c>
      <c r="P9" s="113" t="s">
        <v>800</v>
      </c>
      <c r="Q9" s="55" t="s">
        <v>689</v>
      </c>
      <c r="R9" s="113" t="s">
        <v>800</v>
      </c>
      <c r="S9" s="399" t="s">
        <v>800</v>
      </c>
    </row>
    <row r="10" spans="1:19">
      <c r="A10" s="671" t="s">
        <v>1436</v>
      </c>
      <c r="C10" s="679" t="s">
        <v>1283</v>
      </c>
      <c r="D10" s="93" t="str">
        <f ca="1">Escalation!R14</f>
        <v>IGP-DI</v>
      </c>
      <c r="E10" s="93" t="s">
        <v>1283</v>
      </c>
      <c r="F10" s="93" t="s">
        <v>332</v>
      </c>
      <c r="G10" s="93" t="s">
        <v>1214</v>
      </c>
      <c r="H10" s="93" t="s">
        <v>1284</v>
      </c>
      <c r="I10" s="93" t="s">
        <v>1490</v>
      </c>
      <c r="J10" s="680" t="s">
        <v>1490</v>
      </c>
      <c r="L10" s="679" t="s">
        <v>1300</v>
      </c>
      <c r="M10" s="336" t="str">
        <f ca="1">D10</f>
        <v>IGP-DI</v>
      </c>
      <c r="N10" s="93" t="s">
        <v>1300</v>
      </c>
      <c r="O10" s="93" t="s">
        <v>1491</v>
      </c>
      <c r="P10" s="93" t="s">
        <v>1214</v>
      </c>
      <c r="Q10" s="93" t="s">
        <v>1284</v>
      </c>
      <c r="R10" s="93" t="s">
        <v>1490</v>
      </c>
      <c r="S10" s="680" t="s">
        <v>1490</v>
      </c>
    </row>
    <row r="11" spans="1:19">
      <c r="A11" s="426"/>
      <c r="C11" s="398"/>
      <c r="D11" s="1"/>
      <c r="E11" s="1"/>
      <c r="G11" s="1"/>
      <c r="H11" s="1"/>
      <c r="I11" s="1"/>
      <c r="J11" s="401"/>
      <c r="L11" s="398"/>
      <c r="N11" s="1"/>
      <c r="O11" s="1"/>
      <c r="P11" s="1"/>
      <c r="Q11" s="1"/>
      <c r="R11" s="1"/>
      <c r="S11" s="401"/>
    </row>
    <row r="12" spans="1:19">
      <c r="A12" s="672">
        <f ca="1">'Plant Operations'!A12</f>
        <v>36251</v>
      </c>
      <c r="C12" s="1484">
        <f ca="1">IF($A12&gt;Endyr,0,VLOOKUP($A12,Tariff_Table,Tariff!$D$33))</f>
        <v>9586.8761904761886</v>
      </c>
      <c r="D12" s="1480">
        <f ca="1">VLOOKUP($A12,Curves_Table,Escalation!$R$291)</f>
        <v>1.0458060039912167</v>
      </c>
      <c r="E12" s="1509">
        <f ca="1">C12*D12</f>
        <v>10026.012679520441</v>
      </c>
      <c r="F12" s="330">
        <f ca="1">'Plant Operations'!C12</f>
        <v>150</v>
      </c>
      <c r="G12" s="1509">
        <f ca="1">E12*F12/1000</f>
        <v>1503.9019019280663</v>
      </c>
      <c r="H12" s="1504">
        <f ca="1">IF(Assm!$L$74=0,VLOOKUP($A12,Curves_Table,Escalation!$D$291),VLOOKUP($A12,Curves_Table,Escalation!$E$291))</f>
        <v>1.665</v>
      </c>
      <c r="I12" s="384">
        <f ca="1">G12/H12</f>
        <v>903.24438554238213</v>
      </c>
      <c r="J12" s="692" t="str">
        <f t="shared" ref="J12:J75" ca="1" si="0">IF(MONTH($A12)=12,SUM(I1:I12)," ")</f>
        <v xml:space="preserve"> </v>
      </c>
      <c r="L12" s="1510">
        <f ca="1">IF($A12&gt;Endyr,0,VLOOKUP($A12,Tariff_Table,Tariff!$J$33))</f>
        <v>0.17</v>
      </c>
      <c r="M12" s="1504">
        <f t="shared" ref="M12:M75" ca="1" si="1">D12</f>
        <v>1.0458060039912167</v>
      </c>
      <c r="N12" s="1511">
        <f ca="1">L12*M12</f>
        <v>0.17778702067850685</v>
      </c>
      <c r="O12" s="334">
        <f ca="1">'Plant Operations'!$I12+'Plant Operations'!$M12</f>
        <v>9360</v>
      </c>
      <c r="P12" s="1509">
        <f t="shared" ref="P12:P75" ca="1" si="2">N12*O12</f>
        <v>1664.0865135508241</v>
      </c>
      <c r="Q12" s="1480">
        <f ca="1">$H12</f>
        <v>1.665</v>
      </c>
      <c r="R12" s="335">
        <f ca="1">P12/Q12</f>
        <v>999.45135948998438</v>
      </c>
      <c r="S12" s="698" t="str">
        <f t="shared" ref="S12:S75" ca="1" si="3">IF(MONTH($A12)=12,SUM(R1:R12)," ")</f>
        <v xml:space="preserve"> </v>
      </c>
    </row>
    <row r="13" spans="1:19">
      <c r="A13" s="672">
        <f ca="1">'Plant Operations'!A13</f>
        <v>36281</v>
      </c>
      <c r="C13" s="1484">
        <f ca="1">IF($A13&gt;Endyr,0,VLOOKUP($A13,Tariff_Table,Tariff!$D$33))</f>
        <v>9586.8761904761886</v>
      </c>
      <c r="D13" s="1480">
        <f ca="1">VLOOKUP($A13,Curves_Table,Escalation!$R$291)</f>
        <v>1.1347786591515447</v>
      </c>
      <c r="E13" s="1509">
        <f t="shared" ref="E13:E76" ca="1" si="4">C13*D13</f>
        <v>10878.982508880439</v>
      </c>
      <c r="F13" s="330">
        <f ca="1">'Plant Operations'!C13</f>
        <v>150</v>
      </c>
      <c r="G13" s="1509">
        <f t="shared" ref="G13:G76" ca="1" si="5">E13*F13/1000</f>
        <v>1631.8473763320658</v>
      </c>
      <c r="H13" s="1504">
        <f ca="1">IF(Assm!$L$74=0,VLOOKUP($A13,Curves_Table,Escalation!$D$291),VLOOKUP($A13,Curves_Table,Escalation!$E$291))</f>
        <v>1.7210000000000001</v>
      </c>
      <c r="I13" s="384">
        <f t="shared" ref="I13:I76" ca="1" si="6">G13/H13</f>
        <v>948.19719717145017</v>
      </c>
      <c r="J13" s="692" t="str">
        <f t="shared" ca="1" si="0"/>
        <v xml:space="preserve"> </v>
      </c>
      <c r="L13" s="1510">
        <f ca="1">IF($A13&gt;Endyr,0,VLOOKUP($A13,Tariff_Table,Tariff!$J$33))</f>
        <v>0.17</v>
      </c>
      <c r="M13" s="1504">
        <f t="shared" ca="1" si="1"/>
        <v>1.1347786591515447</v>
      </c>
      <c r="N13" s="1511">
        <f t="shared" ref="N13:N76" ca="1" si="7">L13*M13</f>
        <v>0.19291237205576262</v>
      </c>
      <c r="O13" s="334">
        <f ca="1">'Plant Operations'!$I13+'Plant Operations'!$M13</f>
        <v>9360</v>
      </c>
      <c r="P13" s="1509">
        <f t="shared" ca="1" si="2"/>
        <v>1805.6598024419382</v>
      </c>
      <c r="Q13" s="1480">
        <f t="shared" ref="Q13:Q76" ca="1" si="8">$H13</f>
        <v>1.7210000000000001</v>
      </c>
      <c r="R13" s="335">
        <f t="shared" ref="R13:R76" ca="1" si="9">P13/Q13</f>
        <v>1049.1922152480756</v>
      </c>
      <c r="S13" s="698" t="str">
        <f t="shared" ca="1" si="3"/>
        <v xml:space="preserve"> </v>
      </c>
    </row>
    <row r="14" spans="1:19">
      <c r="A14" s="672">
        <f ca="1">'Plant Operations'!A14</f>
        <v>36312</v>
      </c>
      <c r="C14" s="1484">
        <f ca="1">IF($A14&gt;Endyr,0,VLOOKUP($A14,Tariff_Table,Tariff!$D$33))</f>
        <v>9586.8761904761886</v>
      </c>
      <c r="D14" s="1480">
        <f ca="1">VLOOKUP($A14,Curves_Table,Escalation!$R$291)</f>
        <v>1.1347786591515447</v>
      </c>
      <c r="E14" s="1509">
        <f t="shared" ca="1" si="4"/>
        <v>10878.982508880439</v>
      </c>
      <c r="F14" s="330">
        <f ca="1">'Plant Operations'!C14</f>
        <v>150</v>
      </c>
      <c r="G14" s="1509">
        <f t="shared" ca="1" si="5"/>
        <v>1631.8473763320658</v>
      </c>
      <c r="H14" s="1504">
        <f ca="1">IF(Assm!$L$74=0,VLOOKUP($A14,Curves_Table,Escalation!$D$291),VLOOKUP($A14,Curves_Table,Escalation!$E$291))</f>
        <v>1.7524999999999999</v>
      </c>
      <c r="I14" s="384">
        <f t="shared" ca="1" si="6"/>
        <v>931.15399505396056</v>
      </c>
      <c r="J14" s="692" t="str">
        <f t="shared" ca="1" si="0"/>
        <v xml:space="preserve"> </v>
      </c>
      <c r="L14" s="1510">
        <f ca="1">IF($A14&gt;Endyr,0,VLOOKUP($A14,Tariff_Table,Tariff!$J$33))</f>
        <v>0.17</v>
      </c>
      <c r="M14" s="1504">
        <f t="shared" ca="1" si="1"/>
        <v>1.1347786591515447</v>
      </c>
      <c r="N14" s="1511">
        <f t="shared" ca="1" si="7"/>
        <v>0.19291237205576262</v>
      </c>
      <c r="O14" s="334">
        <f ca="1">'Plant Operations'!$I14+'Plant Operations'!$M14</f>
        <v>11700</v>
      </c>
      <c r="P14" s="1509">
        <f t="shared" ca="1" si="2"/>
        <v>2257.0747530524227</v>
      </c>
      <c r="Q14" s="1480">
        <f t="shared" ca="1" si="8"/>
        <v>1.7524999999999999</v>
      </c>
      <c r="R14" s="335">
        <f t="shared" ca="1" si="9"/>
        <v>1287.9171201440358</v>
      </c>
      <c r="S14" s="698" t="str">
        <f t="shared" ca="1" si="3"/>
        <v xml:space="preserve"> </v>
      </c>
    </row>
    <row r="15" spans="1:19">
      <c r="A15" s="672">
        <f ca="1">'Plant Operations'!A15</f>
        <v>36342</v>
      </c>
      <c r="C15" s="1484">
        <f ca="1">IF($A15&gt;Endyr,0,VLOOKUP($A15,Tariff_Table,Tariff!$D$33))</f>
        <v>9586.8761904761886</v>
      </c>
      <c r="D15" s="1480">
        <f ca="1">VLOOKUP($A15,Curves_Table,Escalation!$R$291)</f>
        <v>1.1347786591515447</v>
      </c>
      <c r="E15" s="1509">
        <f t="shared" ca="1" si="4"/>
        <v>10878.982508880439</v>
      </c>
      <c r="F15" s="330">
        <f ca="1">'Plant Operations'!C15</f>
        <v>150</v>
      </c>
      <c r="G15" s="1509">
        <f t="shared" ca="1" si="5"/>
        <v>1631.8473763320658</v>
      </c>
      <c r="H15" s="1504">
        <f ca="1">IF(Assm!$L$74=0,VLOOKUP($A15,Curves_Table,Escalation!$D$291),VLOOKUP($A15,Curves_Table,Escalation!$E$291))</f>
        <v>1.8009999999999999</v>
      </c>
      <c r="I15" s="384">
        <f t="shared" ca="1" si="6"/>
        <v>906.07849879626087</v>
      </c>
      <c r="J15" s="692" t="str">
        <f t="shared" ca="1" si="0"/>
        <v xml:space="preserve"> </v>
      </c>
      <c r="L15" s="1510">
        <f ca="1">IF($A15&gt;Endyr,0,VLOOKUP($A15,Tariff_Table,Tariff!$J$33))</f>
        <v>0.17</v>
      </c>
      <c r="M15" s="1504">
        <f t="shared" ca="1" si="1"/>
        <v>1.1347786591515447</v>
      </c>
      <c r="N15" s="1511">
        <f t="shared" ca="1" si="7"/>
        <v>0.19291237205576262</v>
      </c>
      <c r="O15" s="334">
        <f ca="1">'Plant Operations'!$I15+'Plant Operations'!$M15</f>
        <v>11700</v>
      </c>
      <c r="P15" s="1509">
        <f t="shared" ca="1" si="2"/>
        <v>2257.0747530524227</v>
      </c>
      <c r="Q15" s="1480">
        <f t="shared" ca="1" si="8"/>
        <v>1.8009999999999999</v>
      </c>
      <c r="R15" s="335">
        <f t="shared" ca="1" si="9"/>
        <v>1253.2341771529277</v>
      </c>
      <c r="S15" s="698" t="str">
        <f t="shared" ca="1" si="3"/>
        <v xml:space="preserve"> </v>
      </c>
    </row>
    <row r="16" spans="1:19">
      <c r="A16" s="672">
        <f ca="1">'Plant Operations'!A16</f>
        <v>36373</v>
      </c>
      <c r="C16" s="1484">
        <f ca="1">IF($A16&gt;Endyr,0,VLOOKUP($A16,Tariff_Table,Tariff!$D$33))</f>
        <v>9586.8761904761886</v>
      </c>
      <c r="D16" s="1480">
        <f ca="1">VLOOKUP($A16,Curves_Table,Escalation!$R$291)</f>
        <v>1.1347786591515447</v>
      </c>
      <c r="E16" s="1509">
        <f t="shared" ca="1" si="4"/>
        <v>10878.982508880439</v>
      </c>
      <c r="F16" s="330">
        <f ca="1">'Plant Operations'!C16</f>
        <v>150</v>
      </c>
      <c r="G16" s="1509">
        <f t="shared" ca="1" si="5"/>
        <v>1631.8473763320658</v>
      </c>
      <c r="H16" s="1504">
        <f ca="1">IF(Assm!$L$74=0,VLOOKUP($A16,Curves_Table,Escalation!$D$291),VLOOKUP($A16,Curves_Table,Escalation!$E$291))</f>
        <v>1.919</v>
      </c>
      <c r="I16" s="384">
        <f t="shared" ca="1" si="6"/>
        <v>850.36340611363505</v>
      </c>
      <c r="J16" s="692" t="str">
        <f t="shared" ca="1" si="0"/>
        <v xml:space="preserve"> </v>
      </c>
      <c r="L16" s="1510">
        <f ca="1">IF($A16&gt;Endyr,0,VLOOKUP($A16,Tariff_Table,Tariff!$J$33))</f>
        <v>0.17</v>
      </c>
      <c r="M16" s="1504">
        <f t="shared" ca="1" si="1"/>
        <v>1.1347786591515447</v>
      </c>
      <c r="N16" s="1511">
        <f t="shared" ca="1" si="7"/>
        <v>0.19291237205576262</v>
      </c>
      <c r="O16" s="334">
        <f ca="1">'Plant Operations'!$I16+'Plant Operations'!$M16</f>
        <v>14040</v>
      </c>
      <c r="P16" s="1509">
        <f t="shared" ca="1" si="2"/>
        <v>2708.4897036629072</v>
      </c>
      <c r="Q16" s="1480">
        <f t="shared" ca="1" si="8"/>
        <v>1.919</v>
      </c>
      <c r="R16" s="335">
        <f t="shared" ca="1" si="9"/>
        <v>1411.4068283808792</v>
      </c>
      <c r="S16" s="698" t="str">
        <f t="shared" ca="1" si="3"/>
        <v xml:space="preserve"> </v>
      </c>
    </row>
    <row r="17" spans="1:19">
      <c r="A17" s="672">
        <f ca="1">'Plant Operations'!A17</f>
        <v>36404</v>
      </c>
      <c r="C17" s="1484">
        <f ca="1">IF($A17&gt;Endyr,0,VLOOKUP($A17,Tariff_Table,Tariff!$D$33))</f>
        <v>9586.8761904761886</v>
      </c>
      <c r="D17" s="1480">
        <f ca="1">VLOOKUP($A17,Curves_Table,Escalation!$R$291)</f>
        <v>1.1347786591515447</v>
      </c>
      <c r="E17" s="1509">
        <f t="shared" ca="1" si="4"/>
        <v>10878.982508880439</v>
      </c>
      <c r="F17" s="330">
        <f ca="1">'Plant Operations'!C17</f>
        <v>150</v>
      </c>
      <c r="G17" s="1509">
        <f t="shared" ca="1" si="5"/>
        <v>1631.8473763320658</v>
      </c>
      <c r="H17" s="1504">
        <f ca="1">IF(Assm!$L$74=0,VLOOKUP($A17,Curves_Table,Escalation!$D$291),VLOOKUP($A17,Curves_Table,Escalation!$E$291))</f>
        <v>1.9375</v>
      </c>
      <c r="I17" s="384">
        <f t="shared" ca="1" si="6"/>
        <v>842.24380713913069</v>
      </c>
      <c r="J17" s="692" t="str">
        <f t="shared" ca="1" si="0"/>
        <v xml:space="preserve"> </v>
      </c>
      <c r="L17" s="1510">
        <f ca="1">IF($A17&gt;Endyr,0,VLOOKUP($A17,Tariff_Table,Tariff!$J$33))</f>
        <v>0.17</v>
      </c>
      <c r="M17" s="1504">
        <f t="shared" ca="1" si="1"/>
        <v>1.1347786591515447</v>
      </c>
      <c r="N17" s="1511">
        <f t="shared" ca="1" si="7"/>
        <v>0.19291237205576262</v>
      </c>
      <c r="O17" s="334">
        <f ca="1">'Plant Operations'!$I17+'Plant Operations'!$M17</f>
        <v>16640</v>
      </c>
      <c r="P17" s="1509">
        <f t="shared" ca="1" si="2"/>
        <v>3210.0618710078897</v>
      </c>
      <c r="Q17" s="1480">
        <f t="shared" ca="1" si="8"/>
        <v>1.9375</v>
      </c>
      <c r="R17" s="335">
        <f t="shared" ca="1" si="9"/>
        <v>1656.8061269718141</v>
      </c>
      <c r="S17" s="698" t="str">
        <f t="shared" ca="1" si="3"/>
        <v xml:space="preserve"> </v>
      </c>
    </row>
    <row r="18" spans="1:19">
      <c r="A18" s="672">
        <f ca="1">'Plant Operations'!A18</f>
        <v>36434</v>
      </c>
      <c r="C18" s="1484">
        <f ca="1">IF($A18&gt;Endyr,0,VLOOKUP($A18,Tariff_Table,Tariff!$D$33))</f>
        <v>9586.8761904761886</v>
      </c>
      <c r="D18" s="1480">
        <f ca="1">VLOOKUP($A18,Curves_Table,Escalation!$R$291)</f>
        <v>1.1347786591515447</v>
      </c>
      <c r="E18" s="1509">
        <f t="shared" ca="1" si="4"/>
        <v>10878.982508880439</v>
      </c>
      <c r="F18" s="330">
        <f ca="1">'Plant Operations'!C18</f>
        <v>150</v>
      </c>
      <c r="G18" s="1509">
        <f t="shared" ca="1" si="5"/>
        <v>1631.8473763320658</v>
      </c>
      <c r="H18" s="1504">
        <f ca="1">IF(Assm!$L$74=0,VLOOKUP($A18,Curves_Table,Escalation!$D$291),VLOOKUP($A18,Curves_Table,Escalation!$E$291))</f>
        <v>1.9490000000000001</v>
      </c>
      <c r="I18" s="384">
        <f t="shared" ca="1" si="6"/>
        <v>837.27417974964897</v>
      </c>
      <c r="J18" s="692" t="str">
        <f t="shared" ca="1" si="0"/>
        <v xml:space="preserve"> </v>
      </c>
      <c r="L18" s="1510">
        <f ca="1">IF($A18&gt;Endyr,0,VLOOKUP($A18,Tariff_Table,Tariff!$J$33))</f>
        <v>0.17</v>
      </c>
      <c r="M18" s="1504">
        <f t="shared" ca="1" si="1"/>
        <v>1.1347786591515447</v>
      </c>
      <c r="N18" s="1511">
        <f t="shared" ca="1" si="7"/>
        <v>0.19291237205576262</v>
      </c>
      <c r="O18" s="334">
        <f ca="1">'Plant Operations'!$I18+'Plant Operations'!$M18</f>
        <v>14040</v>
      </c>
      <c r="P18" s="1509">
        <f t="shared" ca="1" si="2"/>
        <v>2708.4897036629072</v>
      </c>
      <c r="Q18" s="1480">
        <f t="shared" ca="1" si="8"/>
        <v>1.9490000000000001</v>
      </c>
      <c r="R18" s="335">
        <f t="shared" ca="1" si="9"/>
        <v>1389.681736102056</v>
      </c>
      <c r="S18" s="698" t="str">
        <f t="shared" ca="1" si="3"/>
        <v xml:space="preserve"> </v>
      </c>
    </row>
    <row r="19" spans="1:19">
      <c r="A19" s="672">
        <f ca="1">'Plant Operations'!A19</f>
        <v>36465</v>
      </c>
      <c r="C19" s="1484">
        <f ca="1">IF($A19&gt;Endyr,0,VLOOKUP($A19,Tariff_Table,Tariff!$D$33))</f>
        <v>9586.8761904761886</v>
      </c>
      <c r="D19" s="1480">
        <f ca="1">VLOOKUP($A19,Curves_Table,Escalation!$R$291)</f>
        <v>1.1347786591515447</v>
      </c>
      <c r="E19" s="1509">
        <f t="shared" ca="1" si="4"/>
        <v>10878.982508880439</v>
      </c>
      <c r="F19" s="330">
        <f ca="1">'Plant Operations'!C19</f>
        <v>150</v>
      </c>
      <c r="G19" s="1509">
        <f t="shared" ca="1" si="5"/>
        <v>1631.8473763320658</v>
      </c>
      <c r="H19" s="1504">
        <f ca="1">IF(Assm!$L$74=0,VLOOKUP($A19,Curves_Table,Escalation!$D$291),VLOOKUP($A19,Curves_Table,Escalation!$E$291))</f>
        <v>1.923</v>
      </c>
      <c r="I19" s="384">
        <f t="shared" ca="1" si="6"/>
        <v>848.59457947585327</v>
      </c>
      <c r="J19" s="692" t="str">
        <f t="shared" ca="1" si="0"/>
        <v xml:space="preserve"> </v>
      </c>
      <c r="L19" s="1510">
        <f ca="1">IF($A19&gt;Endyr,0,VLOOKUP($A19,Tariff_Table,Tariff!$J$33))</f>
        <v>0.17</v>
      </c>
      <c r="M19" s="1504">
        <f t="shared" ca="1" si="1"/>
        <v>1.1347786591515447</v>
      </c>
      <c r="N19" s="1511">
        <f t="shared" ca="1" si="7"/>
        <v>0.19291237205576262</v>
      </c>
      <c r="O19" s="334">
        <f ca="1">'Plant Operations'!$I19+'Plant Operations'!$M19</f>
        <v>11700</v>
      </c>
      <c r="P19" s="1509">
        <f t="shared" ca="1" si="2"/>
        <v>2257.0747530524227</v>
      </c>
      <c r="Q19" s="1480">
        <f t="shared" ca="1" si="8"/>
        <v>1.923</v>
      </c>
      <c r="R19" s="335">
        <f t="shared" ca="1" si="9"/>
        <v>1173.7258206200845</v>
      </c>
      <c r="S19" s="698" t="str">
        <f t="shared" ca="1" si="3"/>
        <v xml:space="preserve"> </v>
      </c>
    </row>
    <row r="20" spans="1:19">
      <c r="A20" s="672">
        <f ca="1">'Plant Operations'!A20</f>
        <v>36495</v>
      </c>
      <c r="C20" s="1484">
        <f ca="1">IF($A20&gt;Endyr,0,VLOOKUP($A20,Tariff_Table,Tariff!$D$33))</f>
        <v>9586.8761904761886</v>
      </c>
      <c r="D20" s="1480">
        <f ca="1">VLOOKUP($A20,Curves_Table,Escalation!$R$291)</f>
        <v>1.1347786591515447</v>
      </c>
      <c r="E20" s="1509">
        <f t="shared" ca="1" si="4"/>
        <v>10878.982508880439</v>
      </c>
      <c r="F20" s="330">
        <f ca="1">'Plant Operations'!C20</f>
        <v>150</v>
      </c>
      <c r="G20" s="1509">
        <f t="shared" ca="1" si="5"/>
        <v>1631.8473763320658</v>
      </c>
      <c r="H20" s="1504">
        <f ca="1">IF(Assm!$L$74=0,VLOOKUP($A20,Curves_Table,Escalation!$D$291),VLOOKUP($A20,Curves_Table,Escalation!$E$291))</f>
        <v>1.7989999999999999</v>
      </c>
      <c r="I20" s="384">
        <f t="shared" ca="1" si="6"/>
        <v>907.0858123024268</v>
      </c>
      <c r="J20" s="692">
        <f t="shared" ca="1" si="0"/>
        <v>7974.2358613447486</v>
      </c>
      <c r="L20" s="1510">
        <f ca="1">IF($A20&gt;Endyr,0,VLOOKUP($A20,Tariff_Table,Tariff!$J$33))</f>
        <v>0.17</v>
      </c>
      <c r="M20" s="1504">
        <f t="shared" ca="1" si="1"/>
        <v>1.1347786591515447</v>
      </c>
      <c r="N20" s="1511">
        <f t="shared" ca="1" si="7"/>
        <v>0.19291237205576262</v>
      </c>
      <c r="O20" s="334">
        <f ca="1">'Plant Operations'!$I20+'Plant Operations'!$M20</f>
        <v>9360</v>
      </c>
      <c r="P20" s="1509">
        <f t="shared" ca="1" si="2"/>
        <v>1805.6598024419382</v>
      </c>
      <c r="Q20" s="1480">
        <f t="shared" ca="1" si="8"/>
        <v>1.7989999999999999</v>
      </c>
      <c r="R20" s="335">
        <f t="shared" ca="1" si="9"/>
        <v>1003.7019468826783</v>
      </c>
      <c r="S20" s="698">
        <f t="shared" ca="1" si="3"/>
        <v>11225.117330992536</v>
      </c>
    </row>
    <row r="21" spans="1:19">
      <c r="A21" s="672">
        <f ca="1">'Plant Operations'!A21</f>
        <v>36526</v>
      </c>
      <c r="C21" s="1484">
        <f ca="1">IF($A21&gt;Endyr,0,VLOOKUP($A21,Tariff_Table,Tariff!$D$33))</f>
        <v>9586.8761904761886</v>
      </c>
      <c r="D21" s="1480">
        <f ca="1">VLOOKUP($A21,Curves_Table,Escalation!$R$291)</f>
        <v>1.1347786591515447</v>
      </c>
      <c r="E21" s="1509">
        <f t="shared" ca="1" si="4"/>
        <v>10878.982508880439</v>
      </c>
      <c r="F21" s="330">
        <f ca="1">'Plant Operations'!C21</f>
        <v>150</v>
      </c>
      <c r="G21" s="1509">
        <f t="shared" ca="1" si="5"/>
        <v>1631.8473763320658</v>
      </c>
      <c r="H21" s="1504">
        <f ca="1">IF(Assm!$L$74=0,VLOOKUP($A21,Curves_Table,Escalation!$D$291),VLOOKUP($A21,Curves_Table,Escalation!$E$291))</f>
        <v>1.7947506486897897</v>
      </c>
      <c r="I21" s="384">
        <f t="shared" ca="1" si="6"/>
        <v>909.23347904810782</v>
      </c>
      <c r="J21" s="692" t="str">
        <f t="shared" ca="1" si="0"/>
        <v xml:space="preserve"> </v>
      </c>
      <c r="L21" s="1510">
        <f ca="1">IF($A21&gt;Endyr,0,VLOOKUP($A21,Tariff_Table,Tariff!$J$33))</f>
        <v>0.17</v>
      </c>
      <c r="M21" s="1504">
        <f t="shared" ca="1" si="1"/>
        <v>1.1347786591515447</v>
      </c>
      <c r="N21" s="1511">
        <f t="shared" ca="1" si="7"/>
        <v>0.19291237205576262</v>
      </c>
      <c r="O21" s="334">
        <f ca="1">'Plant Operations'!$I21+'Plant Operations'!$M21</f>
        <v>9360</v>
      </c>
      <c r="P21" s="1509">
        <f t="shared" ca="1" si="2"/>
        <v>1805.6598024419382</v>
      </c>
      <c r="Q21" s="1480">
        <f t="shared" ca="1" si="8"/>
        <v>1.7947506486897897</v>
      </c>
      <c r="R21" s="335">
        <f t="shared" ca="1" si="9"/>
        <v>1006.0783673543243</v>
      </c>
      <c r="S21" s="698" t="str">
        <f t="shared" ca="1" si="3"/>
        <v xml:space="preserve"> </v>
      </c>
    </row>
    <row r="22" spans="1:19">
      <c r="A22" s="672">
        <f ca="1">'Plant Operations'!A22</f>
        <v>36557</v>
      </c>
      <c r="C22" s="1484">
        <f ca="1">IF($A22&gt;Endyr,0,VLOOKUP($A22,Tariff_Table,Tariff!$D$33))</f>
        <v>9586.8761904761886</v>
      </c>
      <c r="D22" s="1480">
        <f ca="1">VLOOKUP($A22,Curves_Table,Escalation!$R$291)</f>
        <v>1.1347786591515447</v>
      </c>
      <c r="E22" s="1509">
        <f t="shared" ca="1" si="4"/>
        <v>10878.982508880439</v>
      </c>
      <c r="F22" s="330">
        <f ca="1">'Plant Operations'!C22</f>
        <v>150</v>
      </c>
      <c r="G22" s="1509">
        <f t="shared" ca="1" si="5"/>
        <v>1631.8473763320658</v>
      </c>
      <c r="H22" s="1504">
        <f ca="1">IF(Assm!$L$74=0,VLOOKUP($A22,Curves_Table,Escalation!$D$291),VLOOKUP($A22,Curves_Table,Escalation!$E$291))</f>
        <v>1.7905113346150201</v>
      </c>
      <c r="I22" s="384">
        <f t="shared" ca="1" si="6"/>
        <v>911.38623072884991</v>
      </c>
      <c r="J22" s="692" t="str">
        <f t="shared" ca="1" si="0"/>
        <v xml:space="preserve"> </v>
      </c>
      <c r="L22" s="1510">
        <f ca="1">IF($A22&gt;Endyr,0,VLOOKUP($A22,Tariff_Table,Tariff!$J$33))</f>
        <v>0.17</v>
      </c>
      <c r="M22" s="1504">
        <f t="shared" ca="1" si="1"/>
        <v>1.1347786591515447</v>
      </c>
      <c r="N22" s="1511">
        <f t="shared" ca="1" si="7"/>
        <v>0.19291237205576262</v>
      </c>
      <c r="O22" s="334">
        <f ca="1">'Plant Operations'!$I22+'Plant Operations'!$M22</f>
        <v>9360</v>
      </c>
      <c r="P22" s="1509">
        <f t="shared" ca="1" si="2"/>
        <v>1805.6598024419382</v>
      </c>
      <c r="Q22" s="1480">
        <f t="shared" ca="1" si="8"/>
        <v>1.7905113346150201</v>
      </c>
      <c r="R22" s="335">
        <f t="shared" ca="1" si="9"/>
        <v>1008.4604143710574</v>
      </c>
      <c r="S22" s="698" t="str">
        <f t="shared" ca="1" si="3"/>
        <v xml:space="preserve"> </v>
      </c>
    </row>
    <row r="23" spans="1:19">
      <c r="A23" s="672">
        <f ca="1">'Plant Operations'!A23</f>
        <v>36586</v>
      </c>
      <c r="C23" s="1484">
        <f ca="1">IF($A23&gt;Endyr,0,VLOOKUP($A23,Tariff_Table,Tariff!$D$33))</f>
        <v>9586.8761904761886</v>
      </c>
      <c r="D23" s="1480">
        <f ca="1">VLOOKUP($A23,Curves_Table,Escalation!$R$291)</f>
        <v>1.1347786591515447</v>
      </c>
      <c r="E23" s="1509">
        <f t="shared" ca="1" si="4"/>
        <v>10878.982508880439</v>
      </c>
      <c r="F23" s="330">
        <f ca="1">'Plant Operations'!C23</f>
        <v>150</v>
      </c>
      <c r="G23" s="1509">
        <f t="shared" ca="1" si="5"/>
        <v>1631.8473763320658</v>
      </c>
      <c r="H23" s="1504">
        <f ca="1">IF(Assm!$L$74=0,VLOOKUP($A23,Curves_Table,Escalation!$D$291),VLOOKUP($A23,Curves_Table,Escalation!$E$291))</f>
        <v>1.7862820340671086</v>
      </c>
      <c r="I23" s="384">
        <f t="shared" ca="1" si="6"/>
        <v>913.54407938402801</v>
      </c>
      <c r="J23" s="692" t="str">
        <f t="shared" ca="1" si="0"/>
        <v xml:space="preserve"> </v>
      </c>
      <c r="L23" s="1510">
        <f ca="1">IF($A23&gt;Endyr,0,VLOOKUP($A23,Tariff_Table,Tariff!$J$33))</f>
        <v>0.17</v>
      </c>
      <c r="M23" s="1504">
        <f t="shared" ca="1" si="1"/>
        <v>1.1347786591515447</v>
      </c>
      <c r="N23" s="1511">
        <f t="shared" ca="1" si="7"/>
        <v>0.19291237205576262</v>
      </c>
      <c r="O23" s="334">
        <f ca="1">'Plant Operations'!$I23+'Plant Operations'!$M23</f>
        <v>9360</v>
      </c>
      <c r="P23" s="1509">
        <f t="shared" ca="1" si="2"/>
        <v>1805.6598024419382</v>
      </c>
      <c r="Q23" s="1480">
        <f t="shared" ca="1" si="8"/>
        <v>1.7862820340671086</v>
      </c>
      <c r="R23" s="335">
        <f t="shared" ca="1" si="9"/>
        <v>1010.8481012545982</v>
      </c>
      <c r="S23" s="698" t="str">
        <f t="shared" ca="1" si="3"/>
        <v xml:space="preserve"> </v>
      </c>
    </row>
    <row r="24" spans="1:19">
      <c r="A24" s="672">
        <f ca="1">'Plant Operations'!A24</f>
        <v>36617</v>
      </c>
      <c r="C24" s="1484">
        <f ca="1">IF($A24&gt;Endyr,0,VLOOKUP($A24,Tariff_Table,Tariff!$D$33))</f>
        <v>9586.8761904761886</v>
      </c>
      <c r="D24" s="1480">
        <f ca="1">VLOOKUP($A24,Curves_Table,Escalation!$R$291)</f>
        <v>1.1347786591515447</v>
      </c>
      <c r="E24" s="1509">
        <f t="shared" ca="1" si="4"/>
        <v>10878.982508880439</v>
      </c>
      <c r="F24" s="330">
        <f ca="1">'Plant Operations'!C24</f>
        <v>150</v>
      </c>
      <c r="G24" s="1509">
        <f t="shared" ca="1" si="5"/>
        <v>1631.8473763320658</v>
      </c>
      <c r="H24" s="1504">
        <f ca="1">IF(Assm!$L$74=0,VLOOKUP($A24,Curves_Table,Escalation!$D$291),VLOOKUP($A24,Curves_Table,Escalation!$E$291))</f>
        <v>1.7820627233934743</v>
      </c>
      <c r="I24" s="384">
        <f t="shared" ca="1" si="6"/>
        <v>915.70703708152178</v>
      </c>
      <c r="J24" s="692" t="str">
        <f t="shared" ca="1" si="0"/>
        <v xml:space="preserve"> </v>
      </c>
      <c r="L24" s="1510">
        <f ca="1">IF($A24&gt;Endyr,0,VLOOKUP($A24,Tariff_Table,Tariff!$J$33))</f>
        <v>0.17</v>
      </c>
      <c r="M24" s="1504">
        <f t="shared" ca="1" si="1"/>
        <v>1.1347786591515447</v>
      </c>
      <c r="N24" s="1511">
        <f t="shared" ca="1" si="7"/>
        <v>0.19291237205576262</v>
      </c>
      <c r="O24" s="334">
        <f ca="1">'Plant Operations'!$I24+'Plant Operations'!$M24</f>
        <v>9360</v>
      </c>
      <c r="P24" s="1509">
        <f t="shared" ca="1" si="2"/>
        <v>1805.6598024419382</v>
      </c>
      <c r="Q24" s="1480">
        <f t="shared" ca="1" si="8"/>
        <v>1.7820627233934743</v>
      </c>
      <c r="R24" s="335">
        <f t="shared" ca="1" si="9"/>
        <v>1013.2414413582085</v>
      </c>
      <c r="S24" s="698" t="str">
        <f t="shared" ca="1" si="3"/>
        <v xml:space="preserve"> </v>
      </c>
    </row>
    <row r="25" spans="1:19">
      <c r="A25" s="672">
        <f ca="1">'Plant Operations'!A25</f>
        <v>36647</v>
      </c>
      <c r="C25" s="1484">
        <f ca="1">IF($A25&gt;Endyr,0,VLOOKUP($A25,Tariff_Table,Tariff!$D$33))</f>
        <v>9586.8761904761886</v>
      </c>
      <c r="D25" s="1480">
        <f ca="1">VLOOKUP($A25,Curves_Table,Escalation!$R$291)</f>
        <v>1.3015048368339124</v>
      </c>
      <c r="E25" s="1509">
        <f t="shared" ca="1" si="4"/>
        <v>12477.365732032631</v>
      </c>
      <c r="F25" s="330">
        <f ca="1">'Plant Operations'!C25</f>
        <v>150</v>
      </c>
      <c r="G25" s="1509">
        <f t="shared" ca="1" si="5"/>
        <v>1871.6048598048949</v>
      </c>
      <c r="H25" s="1504">
        <f ca="1">IF(Assm!$L$74=0,VLOOKUP($A25,Curves_Table,Escalation!$D$291),VLOOKUP($A25,Curves_Table,Escalation!$E$291))</f>
        <v>1.7778533789974047</v>
      </c>
      <c r="I25" s="384">
        <f t="shared" ca="1" si="6"/>
        <v>1052.7329654486805</v>
      </c>
      <c r="J25" s="692" t="str">
        <f t="shared" ca="1" si="0"/>
        <v xml:space="preserve"> </v>
      </c>
      <c r="L25" s="1510">
        <f ca="1">IF($A25&gt;Endyr,0,VLOOKUP($A25,Tariff_Table,Tariff!$J$33))</f>
        <v>0.17</v>
      </c>
      <c r="M25" s="1504">
        <f t="shared" ca="1" si="1"/>
        <v>1.3015048368339124</v>
      </c>
      <c r="N25" s="1511">
        <f t="shared" ca="1" si="7"/>
        <v>0.22125582226176513</v>
      </c>
      <c r="O25" s="334">
        <f ca="1">'Plant Operations'!$I25+'Plant Operations'!$M25</f>
        <v>9360</v>
      </c>
      <c r="P25" s="1509">
        <f t="shared" ca="1" si="2"/>
        <v>2070.9544963701214</v>
      </c>
      <c r="Q25" s="1480">
        <f t="shared" ca="1" si="8"/>
        <v>1.7778533789974047</v>
      </c>
      <c r="R25" s="335">
        <f t="shared" ca="1" si="9"/>
        <v>1164.8623676368672</v>
      </c>
      <c r="S25" s="698" t="str">
        <f t="shared" ca="1" si="3"/>
        <v xml:space="preserve"> </v>
      </c>
    </row>
    <row r="26" spans="1:19">
      <c r="A26" s="672">
        <f ca="1">'Plant Operations'!A26</f>
        <v>36678</v>
      </c>
      <c r="C26" s="1484">
        <f ca="1">IF($A26&gt;Endyr,0,VLOOKUP($A26,Tariff_Table,Tariff!$D$33))</f>
        <v>9586.8761904761886</v>
      </c>
      <c r="D26" s="1480">
        <f ca="1">VLOOKUP($A26,Curves_Table,Escalation!$R$291)</f>
        <v>1.3015048368339124</v>
      </c>
      <c r="E26" s="1509">
        <f t="shared" ca="1" si="4"/>
        <v>12477.365732032631</v>
      </c>
      <c r="F26" s="330">
        <f ca="1">'Plant Operations'!C26</f>
        <v>150</v>
      </c>
      <c r="G26" s="1509">
        <f t="shared" ca="1" si="5"/>
        <v>1871.6048598048949</v>
      </c>
      <c r="H26" s="1504">
        <f ca="1">IF(Assm!$L$74=0,VLOOKUP($A26,Curves_Table,Escalation!$D$291),VLOOKUP($A26,Curves_Table,Escalation!$E$291))</f>
        <v>1.7736539773379247</v>
      </c>
      <c r="I26" s="384">
        <f t="shared" ca="1" si="6"/>
        <v>1055.2254744829004</v>
      </c>
      <c r="J26" s="692" t="str">
        <f t="shared" ca="1" si="0"/>
        <v xml:space="preserve"> </v>
      </c>
      <c r="L26" s="1510">
        <f ca="1">IF($A26&gt;Endyr,0,VLOOKUP($A26,Tariff_Table,Tariff!$J$33))</f>
        <v>0.17</v>
      </c>
      <c r="M26" s="1504">
        <f t="shared" ca="1" si="1"/>
        <v>1.3015048368339124</v>
      </c>
      <c r="N26" s="1511">
        <f t="shared" ca="1" si="7"/>
        <v>0.22125582226176513</v>
      </c>
      <c r="O26" s="334">
        <f ca="1">'Plant Operations'!$I26+'Plant Operations'!$M26</f>
        <v>90417.600000000006</v>
      </c>
      <c r="P26" s="1509">
        <f t="shared" ca="1" si="2"/>
        <v>20005.420434935375</v>
      </c>
      <c r="Q26" s="1480">
        <f t="shared" ca="1" si="8"/>
        <v>1.7736539773379247</v>
      </c>
      <c r="R26" s="335">
        <f t="shared" ca="1" si="9"/>
        <v>11279.212682149811</v>
      </c>
      <c r="S26" s="698" t="str">
        <f t="shared" ca="1" si="3"/>
        <v xml:space="preserve"> </v>
      </c>
    </row>
    <row r="27" spans="1:19">
      <c r="A27" s="672">
        <f ca="1">'Plant Operations'!A27</f>
        <v>36708</v>
      </c>
      <c r="C27" s="1484">
        <f ca="1">IF($A27&gt;Endyr,0,VLOOKUP($A27,Tariff_Table,Tariff!$D$33))</f>
        <v>9586.8761904761886</v>
      </c>
      <c r="D27" s="1480">
        <f ca="1">VLOOKUP($A27,Curves_Table,Escalation!$R$291)</f>
        <v>1.3015048368339124</v>
      </c>
      <c r="E27" s="1509">
        <f t="shared" ca="1" si="4"/>
        <v>12477.365732032631</v>
      </c>
      <c r="F27" s="330">
        <f ca="1">'Plant Operations'!C27</f>
        <v>150</v>
      </c>
      <c r="G27" s="1509">
        <f t="shared" ca="1" si="5"/>
        <v>1871.6048598048949</v>
      </c>
      <c r="H27" s="1504">
        <f ca="1">IF(Assm!$L$74=0,VLOOKUP($A27,Curves_Table,Escalation!$D$291),VLOOKUP($A27,Curves_Table,Escalation!$E$291))</f>
        <v>1.7694644949296643</v>
      </c>
      <c r="I27" s="384">
        <f t="shared" ca="1" si="6"/>
        <v>1057.7238849199348</v>
      </c>
      <c r="J27" s="692" t="str">
        <f t="shared" ca="1" si="0"/>
        <v xml:space="preserve"> </v>
      </c>
      <c r="L27" s="1510">
        <f ca="1">IF($A27&gt;Endyr,0,VLOOKUP($A27,Tariff_Table,Tariff!$J$33))</f>
        <v>0.17</v>
      </c>
      <c r="M27" s="1504">
        <f t="shared" ca="1" si="1"/>
        <v>1.3015048368339124</v>
      </c>
      <c r="N27" s="1511">
        <f t="shared" ca="1" si="7"/>
        <v>0.22125582226176513</v>
      </c>
      <c r="O27" s="334">
        <f ca="1">'Plant Operations'!$I27+'Plant Operations'!$M27</f>
        <v>93431.52</v>
      </c>
      <c r="P27" s="1509">
        <f t="shared" ca="1" si="2"/>
        <v>20672.267782766554</v>
      </c>
      <c r="Q27" s="1480">
        <f t="shared" ca="1" si="8"/>
        <v>1.7694644949296643</v>
      </c>
      <c r="R27" s="335">
        <f t="shared" ca="1" si="9"/>
        <v>11682.781904922183</v>
      </c>
      <c r="S27" s="698" t="str">
        <f t="shared" ca="1" si="3"/>
        <v xml:space="preserve"> </v>
      </c>
    </row>
    <row r="28" spans="1:19">
      <c r="A28" s="672">
        <f ca="1">'Plant Operations'!A28</f>
        <v>36739</v>
      </c>
      <c r="C28" s="1484">
        <f ca="1">IF($A28&gt;Endyr,0,VLOOKUP($A28,Tariff_Table,Tariff!$D$33))</f>
        <v>9586.8761904761886</v>
      </c>
      <c r="D28" s="1480">
        <f ca="1">VLOOKUP($A28,Curves_Table,Escalation!$R$291)</f>
        <v>1.3015048368339124</v>
      </c>
      <c r="E28" s="1509">
        <f t="shared" ca="1" si="4"/>
        <v>12477.365732032631</v>
      </c>
      <c r="F28" s="330">
        <f ca="1">'Plant Operations'!C28</f>
        <v>150</v>
      </c>
      <c r="G28" s="1509">
        <f t="shared" ca="1" si="5"/>
        <v>1871.6048598048949</v>
      </c>
      <c r="H28" s="1504">
        <f ca="1">IF(Assm!$L$74=0,VLOOKUP($A28,Curves_Table,Escalation!$D$291),VLOOKUP($A28,Curves_Table,Escalation!$E$291))</f>
        <v>1.7652849083427271</v>
      </c>
      <c r="I28" s="384">
        <f t="shared" ca="1" si="6"/>
        <v>1060.2282107322735</v>
      </c>
      <c r="J28" s="692" t="str">
        <f t="shared" ca="1" si="0"/>
        <v xml:space="preserve"> </v>
      </c>
      <c r="L28" s="1510">
        <f ca="1">IF($A28&gt;Endyr,0,VLOOKUP($A28,Tariff_Table,Tariff!$J$33))</f>
        <v>0.17</v>
      </c>
      <c r="M28" s="1504">
        <f t="shared" ca="1" si="1"/>
        <v>1.3015048368339124</v>
      </c>
      <c r="N28" s="1511">
        <f t="shared" ca="1" si="7"/>
        <v>0.22125582226176513</v>
      </c>
      <c r="O28" s="334">
        <f ca="1">'Plant Operations'!$I28+'Plant Operations'!$M28</f>
        <v>93431.52</v>
      </c>
      <c r="P28" s="1509">
        <f t="shared" ca="1" si="2"/>
        <v>20672.267782766554</v>
      </c>
      <c r="Q28" s="1480">
        <f t="shared" ca="1" si="8"/>
        <v>1.7652849083427271</v>
      </c>
      <c r="R28" s="335">
        <f t="shared" ca="1" si="9"/>
        <v>11710.442708182416</v>
      </c>
      <c r="S28" s="698" t="str">
        <f t="shared" ca="1" si="3"/>
        <v xml:space="preserve"> </v>
      </c>
    </row>
    <row r="29" spans="1:19">
      <c r="A29" s="672">
        <f ca="1">'Plant Operations'!A29</f>
        <v>36770</v>
      </c>
      <c r="C29" s="1484">
        <f ca="1">IF($A29&gt;Endyr,0,VLOOKUP($A29,Tariff_Table,Tariff!$D$33))</f>
        <v>9586.8761904761886</v>
      </c>
      <c r="D29" s="1480">
        <f ca="1">VLOOKUP($A29,Curves_Table,Escalation!$R$291)</f>
        <v>1.3015048368339124</v>
      </c>
      <c r="E29" s="1509">
        <f t="shared" ca="1" si="4"/>
        <v>12477.365732032631</v>
      </c>
      <c r="F29" s="330">
        <f ca="1">'Plant Operations'!C29</f>
        <v>150</v>
      </c>
      <c r="G29" s="1509">
        <f t="shared" ca="1" si="5"/>
        <v>1871.6048598048949</v>
      </c>
      <c r="H29" s="1504">
        <f ca="1">IF(Assm!$L$74=0,VLOOKUP($A29,Curves_Table,Escalation!$D$291),VLOOKUP($A29,Curves_Table,Escalation!$E$291))</f>
        <v>1.76111519420256</v>
      </c>
      <c r="I29" s="384">
        <f t="shared" ca="1" si="6"/>
        <v>1062.7384659254872</v>
      </c>
      <c r="J29" s="692" t="str">
        <f t="shared" ca="1" si="0"/>
        <v xml:space="preserve"> </v>
      </c>
      <c r="L29" s="1510">
        <f ca="1">IF($A29&gt;Endyr,0,VLOOKUP($A29,Tariff_Table,Tariff!$J$33))</f>
        <v>0.17</v>
      </c>
      <c r="M29" s="1504">
        <f t="shared" ca="1" si="1"/>
        <v>1.3015048368339124</v>
      </c>
      <c r="N29" s="1511">
        <f t="shared" ca="1" si="7"/>
        <v>0.22125582226176513</v>
      </c>
      <c r="O29" s="334">
        <f ca="1">'Plant Operations'!$I29+'Plant Operations'!$M29</f>
        <v>90417.600000000006</v>
      </c>
      <c r="P29" s="1509">
        <f t="shared" ca="1" si="2"/>
        <v>20005.420434935375</v>
      </c>
      <c r="Q29" s="1480">
        <f t="shared" ca="1" si="8"/>
        <v>1.76111519420256</v>
      </c>
      <c r="R29" s="335">
        <f t="shared" ca="1" si="9"/>
        <v>11359.51838970642</v>
      </c>
      <c r="S29" s="698" t="str">
        <f t="shared" ca="1" si="3"/>
        <v xml:space="preserve"> </v>
      </c>
    </row>
    <row r="30" spans="1:19">
      <c r="A30" s="672">
        <f ca="1">'Plant Operations'!A30</f>
        <v>36800</v>
      </c>
      <c r="C30" s="1484">
        <f ca="1">IF($A30&gt;Endyr,0,VLOOKUP($A30,Tariff_Table,Tariff!$D$33))</f>
        <v>9586.8761904761886</v>
      </c>
      <c r="D30" s="1480">
        <f ca="1">VLOOKUP($A30,Curves_Table,Escalation!$R$291)</f>
        <v>1.3015048368339124</v>
      </c>
      <c r="E30" s="1509">
        <f t="shared" ca="1" si="4"/>
        <v>12477.365732032631</v>
      </c>
      <c r="F30" s="330">
        <f ca="1">'Plant Operations'!C30</f>
        <v>150</v>
      </c>
      <c r="G30" s="1509">
        <f t="shared" ca="1" si="5"/>
        <v>1871.6048598048949</v>
      </c>
      <c r="H30" s="1504">
        <f ca="1">IF(Assm!$L$74=0,VLOOKUP($A30,Curves_Table,Escalation!$D$291),VLOOKUP($A30,Curves_Table,Escalation!$E$291))</f>
        <v>1.7569553291898219</v>
      </c>
      <c r="I30" s="384">
        <f t="shared" ca="1" si="6"/>
        <v>1065.2546645383072</v>
      </c>
      <c r="J30" s="692" t="str">
        <f t="shared" ca="1" si="0"/>
        <v xml:space="preserve"> </v>
      </c>
      <c r="L30" s="1510">
        <f ca="1">IF($A30&gt;Endyr,0,VLOOKUP($A30,Tariff_Table,Tariff!$J$33))</f>
        <v>0.17</v>
      </c>
      <c r="M30" s="1504">
        <f t="shared" ca="1" si="1"/>
        <v>1.3015048368339124</v>
      </c>
      <c r="N30" s="1511">
        <f t="shared" ca="1" si="7"/>
        <v>0.22125582226176513</v>
      </c>
      <c r="O30" s="334">
        <f ca="1">'Plant Operations'!$I30+'Plant Operations'!$M30</f>
        <v>93431.52</v>
      </c>
      <c r="P30" s="1509">
        <f t="shared" ca="1" si="2"/>
        <v>20672.267782766554</v>
      </c>
      <c r="Q30" s="1480">
        <f t="shared" ca="1" si="8"/>
        <v>1.7569553291898219</v>
      </c>
      <c r="R30" s="335">
        <f t="shared" ca="1" si="9"/>
        <v>11765.96094352557</v>
      </c>
      <c r="S30" s="698" t="str">
        <f t="shared" ca="1" si="3"/>
        <v xml:space="preserve"> </v>
      </c>
    </row>
    <row r="31" spans="1:19">
      <c r="A31" s="672">
        <f ca="1">'Plant Operations'!A31</f>
        <v>36831</v>
      </c>
      <c r="C31" s="1484">
        <f ca="1">IF($A31&gt;Endyr,0,VLOOKUP($A31,Tariff_Table,Tariff!$D$33))</f>
        <v>9586.8761904761886</v>
      </c>
      <c r="D31" s="1480">
        <f ca="1">VLOOKUP($A31,Curves_Table,Escalation!$R$291)</f>
        <v>1.3015048368339124</v>
      </c>
      <c r="E31" s="1509">
        <f t="shared" ca="1" si="4"/>
        <v>12477.365732032631</v>
      </c>
      <c r="F31" s="330">
        <f ca="1">'Plant Operations'!C31</f>
        <v>150</v>
      </c>
      <c r="G31" s="1509">
        <f t="shared" ca="1" si="5"/>
        <v>1871.6048598048949</v>
      </c>
      <c r="H31" s="1504">
        <f ca="1">IF(Assm!$L$74=0,VLOOKUP($A31,Curves_Table,Escalation!$D$291),VLOOKUP($A31,Curves_Table,Escalation!$E$291))</f>
        <v>1.7528052900402533</v>
      </c>
      <c r="I31" s="384">
        <f t="shared" ca="1" si="6"/>
        <v>1067.7768206427043</v>
      </c>
      <c r="J31" s="692" t="str">
        <f t="shared" ca="1" si="0"/>
        <v xml:space="preserve"> </v>
      </c>
      <c r="L31" s="1510">
        <f ca="1">IF($A31&gt;Endyr,0,VLOOKUP($A31,Tariff_Table,Tariff!$J$33))</f>
        <v>0.17</v>
      </c>
      <c r="M31" s="1504">
        <f t="shared" ca="1" si="1"/>
        <v>1.3015048368339124</v>
      </c>
      <c r="N31" s="1511">
        <f t="shared" ca="1" si="7"/>
        <v>0.22125582226176513</v>
      </c>
      <c r="O31" s="334">
        <f ca="1">'Plant Operations'!$I31+'Plant Operations'!$M31</f>
        <v>90417.600000000006</v>
      </c>
      <c r="P31" s="1509">
        <f t="shared" ca="1" si="2"/>
        <v>20005.420434935375</v>
      </c>
      <c r="Q31" s="1480">
        <f t="shared" ca="1" si="8"/>
        <v>1.7528052900402533</v>
      </c>
      <c r="R31" s="335">
        <f t="shared" ca="1" si="9"/>
        <v>11413.372922029434</v>
      </c>
      <c r="S31" s="698" t="str">
        <f t="shared" ca="1" si="3"/>
        <v xml:space="preserve"> </v>
      </c>
    </row>
    <row r="32" spans="1:19">
      <c r="A32" s="672">
        <f ca="1">'Plant Operations'!A32</f>
        <v>36861</v>
      </c>
      <c r="C32" s="1484">
        <f ca="1">IF($A32&gt;Endyr,0,VLOOKUP($A32,Tariff_Table,Tariff!$D$33))</f>
        <v>9586.8761904761886</v>
      </c>
      <c r="D32" s="1480">
        <f ca="1">VLOOKUP($A32,Curves_Table,Escalation!$R$291)</f>
        <v>1.3015048368339124</v>
      </c>
      <c r="E32" s="1509">
        <f t="shared" ca="1" si="4"/>
        <v>12477.365732032631</v>
      </c>
      <c r="F32" s="330">
        <f ca="1">'Plant Operations'!C32</f>
        <v>150</v>
      </c>
      <c r="G32" s="1509">
        <f t="shared" ca="1" si="5"/>
        <v>1871.6048598048949</v>
      </c>
      <c r="H32" s="1504">
        <f ca="1">IF(Assm!$L$74=0,VLOOKUP($A32,Curves_Table,Escalation!$D$291),VLOOKUP($A32,Curves_Table,Escalation!$E$291))</f>
        <v>1.8038677232680336</v>
      </c>
      <c r="I32" s="384">
        <f t="shared" ca="1" si="6"/>
        <v>1037.551055248188</v>
      </c>
      <c r="J32" s="692">
        <f t="shared" ca="1" si="0"/>
        <v>12109.102368180986</v>
      </c>
      <c r="L32" s="1510">
        <f ca="1">IF($A32&gt;Endyr,0,VLOOKUP($A32,Tariff_Table,Tariff!$J$33))</f>
        <v>0.17</v>
      </c>
      <c r="M32" s="1504">
        <f t="shared" ca="1" si="1"/>
        <v>1.3015048368339124</v>
      </c>
      <c r="N32" s="1511">
        <f t="shared" ca="1" si="7"/>
        <v>0.22125582226176513</v>
      </c>
      <c r="O32" s="334">
        <f ca="1">'Plant Operations'!$I32+'Plant Operations'!$M32</f>
        <v>93431.52</v>
      </c>
      <c r="P32" s="1509">
        <f t="shared" ca="1" si="2"/>
        <v>20672.267782766554</v>
      </c>
      <c r="Q32" s="1480">
        <f t="shared" ca="1" si="8"/>
        <v>1.8038677232680336</v>
      </c>
      <c r="R32" s="335">
        <f t="shared" ca="1" si="9"/>
        <v>11459.968774935998</v>
      </c>
      <c r="S32" s="698">
        <f t="shared" ca="1" si="3"/>
        <v>85874.74901742689</v>
      </c>
    </row>
    <row r="33" spans="1:19">
      <c r="A33" s="672">
        <f ca="1">'Plant Operations'!A33</f>
        <v>36892</v>
      </c>
      <c r="C33" s="1484">
        <f ca="1">IF($A33&gt;Endyr,0,VLOOKUP($A33,Tariff_Table,Tariff!$D$33))</f>
        <v>9586.8761904761886</v>
      </c>
      <c r="D33" s="1480">
        <f ca="1">VLOOKUP($A33,Curves_Table,Escalation!$R$291)</f>
        <v>1.3015048368339124</v>
      </c>
      <c r="E33" s="1509">
        <f t="shared" ca="1" si="4"/>
        <v>12477.365732032631</v>
      </c>
      <c r="F33" s="330">
        <f ca="1">'Plant Operations'!C33</f>
        <v>150</v>
      </c>
      <c r="G33" s="1509">
        <f t="shared" ca="1" si="5"/>
        <v>1871.6048598048949</v>
      </c>
      <c r="H33" s="1504">
        <f ca="1">IF(Assm!$L$74=0,VLOOKUP($A33,Curves_Table,Escalation!$D$291),VLOOKUP($A33,Curves_Table,Escalation!$E$291))</f>
        <v>1.8188212690525873</v>
      </c>
      <c r="I33" s="384">
        <f t="shared" ca="1" si="6"/>
        <v>1029.0207683681872</v>
      </c>
      <c r="J33" s="692" t="str">
        <f t="shared" ca="1" si="0"/>
        <v xml:space="preserve"> </v>
      </c>
      <c r="L33" s="1510">
        <f ca="1">IF($A33&gt;Endyr,0,VLOOKUP($A33,Tariff_Table,Tariff!$J$33))</f>
        <v>0.17</v>
      </c>
      <c r="M33" s="1504">
        <f t="shared" ca="1" si="1"/>
        <v>1.3015048368339124</v>
      </c>
      <c r="N33" s="1511">
        <f t="shared" ca="1" si="7"/>
        <v>0.22125582226176513</v>
      </c>
      <c r="O33" s="334">
        <f ca="1">'Plant Operations'!$I33+'Plant Operations'!$M33</f>
        <v>93431.52</v>
      </c>
      <c r="P33" s="1509">
        <f t="shared" ca="1" si="2"/>
        <v>20672.267782766554</v>
      </c>
      <c r="Q33" s="1480">
        <f t="shared" ca="1" si="8"/>
        <v>1.8188212690525873</v>
      </c>
      <c r="R33" s="335">
        <f t="shared" ca="1" si="9"/>
        <v>11365.749969228482</v>
      </c>
      <c r="S33" s="698" t="str">
        <f t="shared" ca="1" si="3"/>
        <v xml:space="preserve"> </v>
      </c>
    </row>
    <row r="34" spans="1:19">
      <c r="A34" s="672">
        <f ca="1">'Plant Operations'!A34</f>
        <v>36923</v>
      </c>
      <c r="C34" s="1484">
        <f ca="1">IF($A34&gt;Endyr,0,VLOOKUP($A34,Tariff_Table,Tariff!$D$33))</f>
        <v>9586.8761904761886</v>
      </c>
      <c r="D34" s="1480">
        <f ca="1">VLOOKUP($A34,Curves_Table,Escalation!$R$291)</f>
        <v>1.3015048368339124</v>
      </c>
      <c r="E34" s="1509">
        <f t="shared" ca="1" si="4"/>
        <v>12477.365732032631</v>
      </c>
      <c r="F34" s="330">
        <f ca="1">'Plant Operations'!C34</f>
        <v>150</v>
      </c>
      <c r="G34" s="1509">
        <f t="shared" ca="1" si="5"/>
        <v>1871.6048598048949</v>
      </c>
      <c r="H34" s="1504">
        <f ca="1">IF(Assm!$L$74=0,VLOOKUP($A34,Curves_Table,Escalation!$D$291),VLOOKUP($A34,Curves_Table,Escalation!$E$291))</f>
        <v>1.8338987754405969</v>
      </c>
      <c r="I34" s="384">
        <f t="shared" ca="1" si="6"/>
        <v>1020.5606137422928</v>
      </c>
      <c r="J34" s="692" t="str">
        <f t="shared" ca="1" si="0"/>
        <v xml:space="preserve"> </v>
      </c>
      <c r="L34" s="1510">
        <f ca="1">IF($A34&gt;Endyr,0,VLOOKUP($A34,Tariff_Table,Tariff!$J$33))</f>
        <v>0.17</v>
      </c>
      <c r="M34" s="1504">
        <f t="shared" ca="1" si="1"/>
        <v>1.3015048368339124</v>
      </c>
      <c r="N34" s="1511">
        <f t="shared" ca="1" si="7"/>
        <v>0.22125582226176513</v>
      </c>
      <c r="O34" s="334">
        <f ca="1">'Plant Operations'!$I34+'Plant Operations'!$M34</f>
        <v>84389.759999999995</v>
      </c>
      <c r="P34" s="1509">
        <f t="shared" ca="1" si="2"/>
        <v>18671.725739273013</v>
      </c>
      <c r="Q34" s="1480">
        <f t="shared" ca="1" si="8"/>
        <v>1.8338987754405969</v>
      </c>
      <c r="R34" s="335">
        <f t="shared" ca="1" si="9"/>
        <v>10181.437486803003</v>
      </c>
      <c r="S34" s="698" t="str">
        <f t="shared" ca="1" si="3"/>
        <v xml:space="preserve"> </v>
      </c>
    </row>
    <row r="35" spans="1:19">
      <c r="A35" s="672">
        <f ca="1">'Plant Operations'!A35</f>
        <v>36951</v>
      </c>
      <c r="C35" s="1484">
        <f ca="1">IF($A35&gt;Endyr,0,VLOOKUP($A35,Tariff_Table,Tariff!$D$33))</f>
        <v>9984.454545454546</v>
      </c>
      <c r="D35" s="1480">
        <f ca="1">VLOOKUP($A35,Curves_Table,Escalation!$R$291)</f>
        <v>1.3015048368339124</v>
      </c>
      <c r="E35" s="1509">
        <f t="shared" ca="1" si="4"/>
        <v>12994.815884057434</v>
      </c>
      <c r="F35" s="330">
        <f ca="1">'Plant Operations'!C35</f>
        <v>150</v>
      </c>
      <c r="G35" s="1509">
        <f t="shared" ca="1" si="5"/>
        <v>1949.2223826086151</v>
      </c>
      <c r="H35" s="1504">
        <f ca="1">IF(Assm!$L$74=0,VLOOKUP($A35,Curves_Table,Escalation!$D$291),VLOOKUP($A35,Curves_Table,Escalation!$E$291))</f>
        <v>1.849101270029893</v>
      </c>
      <c r="I35" s="384">
        <f t="shared" ca="1" si="6"/>
        <v>1054.1458243534187</v>
      </c>
      <c r="J35" s="692" t="str">
        <f t="shared" ca="1" si="0"/>
        <v xml:space="preserve"> </v>
      </c>
      <c r="L35" s="1510">
        <f ca="1">IF($A35&gt;Endyr,0,VLOOKUP($A35,Tariff_Table,Tariff!$J$33))</f>
        <v>7.4550000000000005E-2</v>
      </c>
      <c r="M35" s="1504">
        <f t="shared" ca="1" si="1"/>
        <v>1.3015048368339124</v>
      </c>
      <c r="N35" s="1511">
        <f t="shared" ca="1" si="7"/>
        <v>9.7027185585968179E-2</v>
      </c>
      <c r="O35" s="334">
        <f ca="1">'Plant Operations'!$I35+'Plant Operations'!$M35</f>
        <v>12600</v>
      </c>
      <c r="P35" s="1509">
        <f t="shared" ca="1" si="2"/>
        <v>1222.5425383831991</v>
      </c>
      <c r="Q35" s="1480">
        <f t="shared" ca="1" si="8"/>
        <v>1.849101270029893</v>
      </c>
      <c r="R35" s="335">
        <f t="shared" ca="1" si="9"/>
        <v>661.1549936166748</v>
      </c>
      <c r="S35" s="698" t="str">
        <f t="shared" ca="1" si="3"/>
        <v xml:space="preserve"> </v>
      </c>
    </row>
    <row r="36" spans="1:19">
      <c r="A36" s="672">
        <f ca="1">'Plant Operations'!A36</f>
        <v>36982</v>
      </c>
      <c r="C36" s="1484">
        <f ca="1">IF($A36&gt;Endyr,0,VLOOKUP($A36,Tariff_Table,Tariff!$D$33))</f>
        <v>9984.454545454546</v>
      </c>
      <c r="D36" s="1480">
        <f ca="1">VLOOKUP($A36,Curves_Table,Escalation!$R$291)</f>
        <v>1.3015048368339124</v>
      </c>
      <c r="E36" s="1509">
        <f t="shared" ca="1" si="4"/>
        <v>12994.815884057434</v>
      </c>
      <c r="F36" s="330">
        <f ca="1">'Plant Operations'!C36</f>
        <v>237.77937158469945</v>
      </c>
      <c r="G36" s="1509">
        <f t="shared" ca="1" si="5"/>
        <v>3089.8991547700475</v>
      </c>
      <c r="H36" s="1504">
        <f ca="1">IF(Assm!$L$74=0,VLOOKUP($A36,Curves_Table,Escalation!$D$291),VLOOKUP($A36,Curves_Table,Escalation!$E$291))</f>
        <v>1.8644297889367973</v>
      </c>
      <c r="I36" s="384">
        <f t="shared" ca="1" si="6"/>
        <v>1657.289093483151</v>
      </c>
      <c r="J36" s="692" t="str">
        <f t="shared" ca="1" si="0"/>
        <v xml:space="preserve"> </v>
      </c>
      <c r="L36" s="1510">
        <f ca="1">IF($A36&gt;Endyr,0,VLOOKUP($A36,Tariff_Table,Tariff!$J$33))</f>
        <v>7.4550000000000005E-2</v>
      </c>
      <c r="M36" s="1504">
        <f t="shared" ca="1" si="1"/>
        <v>1.3015048368339124</v>
      </c>
      <c r="N36" s="1511">
        <f t="shared" ca="1" si="7"/>
        <v>9.7027185585968179E-2</v>
      </c>
      <c r="O36" s="334">
        <f ca="1">'Plant Operations'!$I36+'Plant Operations'!$M36</f>
        <v>70200</v>
      </c>
      <c r="P36" s="1509">
        <f t="shared" ca="1" si="2"/>
        <v>6811.3084281349666</v>
      </c>
      <c r="Q36" s="1480">
        <f t="shared" ca="1" si="8"/>
        <v>1.8644297889367973</v>
      </c>
      <c r="R36" s="335">
        <f t="shared" ca="1" si="9"/>
        <v>3653.2930703811367</v>
      </c>
      <c r="S36" s="698" t="str">
        <f t="shared" ca="1" si="3"/>
        <v xml:space="preserve"> </v>
      </c>
    </row>
    <row r="37" spans="1:19">
      <c r="A37" s="672">
        <f ca="1">'Plant Operations'!A37</f>
        <v>37012</v>
      </c>
      <c r="C37" s="1484">
        <f ca="1">IF($A37&gt;Endyr,0,VLOOKUP($A37,Tariff_Table,Tariff!$D$33))</f>
        <v>9984.454545454546</v>
      </c>
      <c r="D37" s="1480">
        <f ca="1">VLOOKUP($A37,Curves_Table,Escalation!$R$291)</f>
        <v>1.4211614171077698</v>
      </c>
      <c r="E37" s="1509">
        <f t="shared" ca="1" si="4"/>
        <v>14189.521570866296</v>
      </c>
      <c r="F37" s="330">
        <f ca="1">'Plant Operations'!C37</f>
        <v>237.77937158469945</v>
      </c>
      <c r="G37" s="1509">
        <f t="shared" ca="1" si="5"/>
        <v>3373.9755222081253</v>
      </c>
      <c r="H37" s="1504">
        <f ca="1">IF(Assm!$L$74=0,VLOOKUP($A37,Curves_Table,Escalation!$D$291),VLOOKUP($A37,Curves_Table,Escalation!$E$291))</f>
        <v>1.8798853768667387</v>
      </c>
      <c r="I37" s="384">
        <f t="shared" ca="1" si="6"/>
        <v>1794.7772580856133</v>
      </c>
      <c r="J37" s="692" t="str">
        <f t="shared" ca="1" si="0"/>
        <v xml:space="preserve"> </v>
      </c>
      <c r="L37" s="1510">
        <f ca="1">IF($A37&gt;Endyr,0,VLOOKUP($A37,Tariff_Table,Tariff!$J$33))</f>
        <v>7.4550000000000005E-2</v>
      </c>
      <c r="M37" s="1504">
        <f t="shared" ca="1" si="1"/>
        <v>1.4211614171077698</v>
      </c>
      <c r="N37" s="1511">
        <f t="shared" ca="1" si="7"/>
        <v>0.10594758364538424</v>
      </c>
      <c r="O37" s="334">
        <f ca="1">'Plant Operations'!$I37+'Plant Operations'!$M37</f>
        <v>146880</v>
      </c>
      <c r="P37" s="1509">
        <f t="shared" ca="1" si="2"/>
        <v>15561.581085834037</v>
      </c>
      <c r="Q37" s="1480">
        <f t="shared" ca="1" si="8"/>
        <v>1.8798853768667387</v>
      </c>
      <c r="R37" s="335">
        <f t="shared" ca="1" si="9"/>
        <v>8277.9414518192552</v>
      </c>
      <c r="S37" s="698" t="str">
        <f t="shared" ca="1" si="3"/>
        <v xml:space="preserve"> </v>
      </c>
    </row>
    <row r="38" spans="1:19">
      <c r="A38" s="672">
        <f ca="1">'Plant Operations'!A38</f>
        <v>37043</v>
      </c>
      <c r="C38" s="1484">
        <f ca="1">IF($A38&gt;Endyr,0,VLOOKUP($A38,Tariff_Table,Tariff!$D$33))</f>
        <v>9984.454545454546</v>
      </c>
      <c r="D38" s="1480">
        <f ca="1">VLOOKUP($A38,Curves_Table,Escalation!$R$291)</f>
        <v>1.4211614171077698</v>
      </c>
      <c r="E38" s="1509">
        <f t="shared" ca="1" si="4"/>
        <v>14189.521570866296</v>
      </c>
      <c r="F38" s="330">
        <f ca="1">'Plant Operations'!C38</f>
        <v>237.77937158469945</v>
      </c>
      <c r="G38" s="1509">
        <f t="shared" ca="1" si="5"/>
        <v>3373.9755222081253</v>
      </c>
      <c r="H38" s="1504">
        <f ca="1">IF(Assm!$L$74=0,VLOOKUP($A38,Curves_Table,Escalation!$D$291),VLOOKUP($A38,Curves_Table,Escalation!$E$291))</f>
        <v>1.8954690871854543</v>
      </c>
      <c r="I38" s="384">
        <f t="shared" ca="1" si="6"/>
        <v>1780.0213915480294</v>
      </c>
      <c r="J38" s="692" t="str">
        <f t="shared" ca="1" si="0"/>
        <v xml:space="preserve"> </v>
      </c>
      <c r="L38" s="1510">
        <f ca="1">IF($A38&gt;Endyr,0,VLOOKUP($A38,Tariff_Table,Tariff!$J$33))</f>
        <v>7.4550000000000005E-2</v>
      </c>
      <c r="M38" s="1504">
        <f t="shared" ca="1" si="1"/>
        <v>1.4211614171077698</v>
      </c>
      <c r="N38" s="1511">
        <f t="shared" ca="1" si="7"/>
        <v>0.10594758364538424</v>
      </c>
      <c r="O38" s="334">
        <f ca="1">'Plant Operations'!$I38+'Plant Operations'!$M38</f>
        <v>232128</v>
      </c>
      <c r="P38" s="1509">
        <f t="shared" ca="1" si="2"/>
        <v>24593.400696435754</v>
      </c>
      <c r="Q38" s="1480">
        <f t="shared" ca="1" si="8"/>
        <v>1.8954690871854543</v>
      </c>
      <c r="R38" s="335">
        <f t="shared" ca="1" si="9"/>
        <v>12974.83607762447</v>
      </c>
      <c r="S38" s="698" t="str">
        <f t="shared" ca="1" si="3"/>
        <v xml:space="preserve"> </v>
      </c>
    </row>
    <row r="39" spans="1:19">
      <c r="A39" s="672">
        <f ca="1">'Plant Operations'!A39</f>
        <v>37073</v>
      </c>
      <c r="C39" s="1484">
        <f ca="1">IF($A39&gt;Endyr,0,VLOOKUP($A39,Tariff_Table,Tariff!$D$33))</f>
        <v>9984.454545454546</v>
      </c>
      <c r="D39" s="1480">
        <f ca="1">VLOOKUP($A39,Curves_Table,Escalation!$R$291)</f>
        <v>1.4211614171077698</v>
      </c>
      <c r="E39" s="1509">
        <f t="shared" ca="1" si="4"/>
        <v>14189.521570866296</v>
      </c>
      <c r="F39" s="330">
        <f ca="1">'Plant Operations'!C39</f>
        <v>237.77937158469945</v>
      </c>
      <c r="G39" s="1509">
        <f t="shared" ca="1" si="5"/>
        <v>3373.9755222081253</v>
      </c>
      <c r="H39" s="1504">
        <f ca="1">IF(Assm!$L$74=0,VLOOKUP($A39,Curves_Table,Escalation!$D$291),VLOOKUP($A39,Curves_Table,Escalation!$E$291))</f>
        <v>1.9111819819907805</v>
      </c>
      <c r="I39" s="384">
        <f t="shared" ca="1" si="6"/>
        <v>1765.3868412329984</v>
      </c>
      <c r="J39" s="692" t="str">
        <f t="shared" ca="1" si="0"/>
        <v xml:space="preserve"> </v>
      </c>
      <c r="L39" s="1510">
        <f ca="1">IF($A39&gt;Endyr,0,VLOOKUP($A39,Tariff_Table,Tariff!$J$33))</f>
        <v>7.4550000000000005E-2</v>
      </c>
      <c r="M39" s="1504">
        <f t="shared" ca="1" si="1"/>
        <v>1.4211614171077698</v>
      </c>
      <c r="N39" s="1511">
        <f t="shared" ca="1" si="7"/>
        <v>0.10594758364538424</v>
      </c>
      <c r="O39" s="334">
        <f ca="1">'Plant Operations'!$I39+'Plant Operations'!$M39</f>
        <v>234410</v>
      </c>
      <c r="P39" s="1509">
        <f t="shared" ca="1" si="2"/>
        <v>24835.173082314519</v>
      </c>
      <c r="Q39" s="1480">
        <f t="shared" ca="1" si="8"/>
        <v>1.9111819819907805</v>
      </c>
      <c r="R39" s="335">
        <f t="shared" ca="1" si="9"/>
        <v>12994.666816838127</v>
      </c>
      <c r="S39" s="698" t="str">
        <f t="shared" ca="1" si="3"/>
        <v xml:space="preserve"> </v>
      </c>
    </row>
    <row r="40" spans="1:19">
      <c r="A40" s="672">
        <f ca="1">'Plant Operations'!A40</f>
        <v>37104</v>
      </c>
      <c r="C40" s="1484">
        <f ca="1">IF($A40&gt;Endyr,0,VLOOKUP($A40,Tariff_Table,Tariff!$D$33))</f>
        <v>8415.2278409090904</v>
      </c>
      <c r="D40" s="1480">
        <f ca="1">VLOOKUP($A40,Curves_Table,Escalation!$R$291)</f>
        <v>1.4211614171077698</v>
      </c>
      <c r="E40" s="1509">
        <f t="shared" ca="1" si="4"/>
        <v>11959.39712367112</v>
      </c>
      <c r="F40" s="330">
        <f ca="1">'Plant Operations'!C40</f>
        <v>480</v>
      </c>
      <c r="G40" s="1509">
        <f t="shared" ca="1" si="5"/>
        <v>5740.5106193621386</v>
      </c>
      <c r="H40" s="1504">
        <f ca="1">IF(Assm!$L$74=0,VLOOKUP($A40,Curves_Table,Escalation!$D$291),VLOOKUP($A40,Curves_Table,Escalation!$E$291))</f>
        <v>1.9270251321850405</v>
      </c>
      <c r="I40" s="384">
        <f t="shared" ca="1" si="6"/>
        <v>2978.9495339134542</v>
      </c>
      <c r="J40" s="692" t="str">
        <f t="shared" ca="1" si="0"/>
        <v xml:space="preserve"> </v>
      </c>
      <c r="L40" s="1510">
        <f ca="1">IF($A40&gt;Endyr,0,VLOOKUP($A40,Tariff_Table,Tariff!$J$33))</f>
        <v>7.4550000000000005E-2</v>
      </c>
      <c r="M40" s="1504">
        <f t="shared" ca="1" si="1"/>
        <v>1.4211614171077698</v>
      </c>
      <c r="N40" s="1511">
        <f t="shared" ca="1" si="7"/>
        <v>0.10594758364538424</v>
      </c>
      <c r="O40" s="334">
        <f ca="1">'Plant Operations'!$I40+'Plant Operations'!$M40</f>
        <v>298980.864</v>
      </c>
      <c r="P40" s="1509">
        <f t="shared" ca="1" si="2"/>
        <v>31676.300097009251</v>
      </c>
      <c r="Q40" s="1480">
        <f t="shared" ca="1" si="8"/>
        <v>1.9270251321850405</v>
      </c>
      <c r="R40" s="335">
        <f t="shared" ca="1" si="9"/>
        <v>16437.927854678113</v>
      </c>
      <c r="S40" s="698" t="str">
        <f t="shared" ca="1" si="3"/>
        <v xml:space="preserve"> </v>
      </c>
    </row>
    <row r="41" spans="1:19">
      <c r="A41" s="672">
        <f ca="1">'Plant Operations'!A41</f>
        <v>37135</v>
      </c>
      <c r="C41" s="1484">
        <f ca="1">IF($A41&gt;Endyr,0,VLOOKUP($A41,Tariff_Table,Tariff!$D$33))</f>
        <v>9237.4240837696343</v>
      </c>
      <c r="D41" s="1480">
        <f ca="1">VLOOKUP($A41,Curves_Table,Escalation!$R$291)</f>
        <v>1.4211614171077698</v>
      </c>
      <c r="E41" s="1509">
        <f t="shared" ca="1" si="4"/>
        <v>13127.870701315494</v>
      </c>
      <c r="F41" s="330">
        <f ca="1">'Plant Operations'!C41</f>
        <v>480</v>
      </c>
      <c r="G41" s="1509">
        <f t="shared" ca="1" si="5"/>
        <v>6301.3779366314375</v>
      </c>
      <c r="H41" s="1504">
        <f ca="1">IF(Assm!$L$74=0,VLOOKUP($A41,Curves_Table,Escalation!$D$291),VLOOKUP($A41,Curves_Table,Escalation!$E$291))</f>
        <v>1.9429996175480302</v>
      </c>
      <c r="I41" s="384">
        <f t="shared" ca="1" si="6"/>
        <v>3243.1184647290183</v>
      </c>
      <c r="J41" s="692" t="str">
        <f t="shared" ca="1" si="0"/>
        <v xml:space="preserve"> </v>
      </c>
      <c r="L41" s="1510">
        <f ca="1">IF($A41&gt;Endyr,0,VLOOKUP($A41,Tariff_Table,Tariff!$J$33))</f>
        <v>0.19</v>
      </c>
      <c r="M41" s="1504">
        <f t="shared" ca="1" si="1"/>
        <v>1.4211614171077698</v>
      </c>
      <c r="N41" s="1511">
        <f t="shared" ca="1" si="7"/>
        <v>0.27002066925047624</v>
      </c>
      <c r="O41" s="334">
        <f ca="1">'Plant Operations'!$I41+'Plant Operations'!$M41</f>
        <v>289336.32000000001</v>
      </c>
      <c r="P41" s="1509">
        <f t="shared" ca="1" si="2"/>
        <v>78126.786764869961</v>
      </c>
      <c r="Q41" s="1480">
        <f t="shared" ca="1" si="8"/>
        <v>1.9429996175480302</v>
      </c>
      <c r="R41" s="335">
        <f t="shared" ca="1" si="9"/>
        <v>40209.368061256813</v>
      </c>
      <c r="S41" s="698" t="str">
        <f t="shared" ca="1" si="3"/>
        <v xml:space="preserve"> </v>
      </c>
    </row>
    <row r="42" spans="1:19">
      <c r="A42" s="672">
        <f ca="1">'Plant Operations'!A42</f>
        <v>37165</v>
      </c>
      <c r="C42" s="1484">
        <f ca="1">IF($A42&gt;Endyr,0,VLOOKUP($A42,Tariff_Table,Tariff!$D$33))</f>
        <v>9237.4240837696343</v>
      </c>
      <c r="D42" s="1480">
        <f ca="1">VLOOKUP($A42,Curves_Table,Escalation!$R$291)</f>
        <v>1.4211614171077698</v>
      </c>
      <c r="E42" s="1509">
        <f t="shared" ca="1" si="4"/>
        <v>13127.870701315494</v>
      </c>
      <c r="F42" s="330">
        <f ca="1">'Plant Operations'!C42</f>
        <v>480</v>
      </c>
      <c r="G42" s="1509">
        <f t="shared" ca="1" si="5"/>
        <v>6301.3779366314375</v>
      </c>
      <c r="H42" s="1504">
        <f ca="1">IF(Assm!$L$74=0,VLOOKUP($A42,Curves_Table,Escalation!$D$291),VLOOKUP($A42,Curves_Table,Escalation!$E$291))</f>
        <v>1.95910652681061</v>
      </c>
      <c r="I42" s="384">
        <f t="shared" ca="1" si="6"/>
        <v>3216.4549759782417</v>
      </c>
      <c r="J42" s="692" t="str">
        <f t="shared" ca="1" si="0"/>
        <v xml:space="preserve"> </v>
      </c>
      <c r="L42" s="1510">
        <f ca="1">IF($A42&gt;Endyr,0,VLOOKUP($A42,Tariff_Table,Tariff!$J$33))</f>
        <v>0.19</v>
      </c>
      <c r="M42" s="1504">
        <f t="shared" ca="1" si="1"/>
        <v>1.4211614171077698</v>
      </c>
      <c r="N42" s="1511">
        <f t="shared" ca="1" si="7"/>
        <v>0.27002066925047624</v>
      </c>
      <c r="O42" s="334">
        <f ca="1">'Plant Operations'!$I42+'Plant Operations'!$M42</f>
        <v>298980.864</v>
      </c>
      <c r="P42" s="1509">
        <f t="shared" ca="1" si="2"/>
        <v>80731.01299036562</v>
      </c>
      <c r="Q42" s="1480">
        <f t="shared" ca="1" si="8"/>
        <v>1.95910652681061</v>
      </c>
      <c r="R42" s="335">
        <f t="shared" ca="1" si="9"/>
        <v>41208.077195166232</v>
      </c>
      <c r="S42" s="698" t="str">
        <f t="shared" ca="1" si="3"/>
        <v xml:space="preserve"> </v>
      </c>
    </row>
    <row r="43" spans="1:19">
      <c r="A43" s="672">
        <f ca="1">'Plant Operations'!A43</f>
        <v>37196</v>
      </c>
      <c r="C43" s="1484">
        <f ca="1">IF($A43&gt;Endyr,0,VLOOKUP($A43,Tariff_Table,Tariff!$D$33))</f>
        <v>9237.4240837696343</v>
      </c>
      <c r="D43" s="1480">
        <f ca="1">VLOOKUP($A43,Curves_Table,Escalation!$R$291)</f>
        <v>1.4211614171077698</v>
      </c>
      <c r="E43" s="1509">
        <f t="shared" ca="1" si="4"/>
        <v>13127.870701315494</v>
      </c>
      <c r="F43" s="330">
        <f ca="1">'Plant Operations'!C43</f>
        <v>480</v>
      </c>
      <c r="G43" s="1509">
        <f t="shared" ca="1" si="5"/>
        <v>6301.3779366314375</v>
      </c>
      <c r="H43" s="1504">
        <f ca="1">IF(Assm!$L$74=0,VLOOKUP($A43,Curves_Table,Escalation!$D$291),VLOOKUP($A43,Curves_Table,Escalation!$E$291))</f>
        <v>1.9753469577289071</v>
      </c>
      <c r="I43" s="384">
        <f t="shared" ca="1" si="6"/>
        <v>3190.0107026647352</v>
      </c>
      <c r="J43" s="692" t="str">
        <f t="shared" ca="1" si="0"/>
        <v xml:space="preserve"> </v>
      </c>
      <c r="L43" s="1510">
        <f ca="1">IF($A43&gt;Endyr,0,VLOOKUP($A43,Tariff_Table,Tariff!$J$33))</f>
        <v>0.19</v>
      </c>
      <c r="M43" s="1504">
        <f t="shared" ca="1" si="1"/>
        <v>1.4211614171077698</v>
      </c>
      <c r="N43" s="1511">
        <f t="shared" ca="1" si="7"/>
        <v>0.27002066925047624</v>
      </c>
      <c r="O43" s="334">
        <f ca="1">'Plant Operations'!$I43+'Plant Operations'!$M43</f>
        <v>289336.32000000001</v>
      </c>
      <c r="P43" s="1509">
        <f t="shared" ca="1" si="2"/>
        <v>78126.786764869961</v>
      </c>
      <c r="Q43" s="1480">
        <f t="shared" ca="1" si="8"/>
        <v>1.9753469577289071</v>
      </c>
      <c r="R43" s="335">
        <f t="shared" ca="1" si="9"/>
        <v>39550.918616693933</v>
      </c>
      <c r="S43" s="698" t="str">
        <f t="shared" ca="1" si="3"/>
        <v xml:space="preserve"> </v>
      </c>
    </row>
    <row r="44" spans="1:19">
      <c r="A44" s="672">
        <f ca="1">'Plant Operations'!A44</f>
        <v>37226</v>
      </c>
      <c r="C44" s="1484">
        <f ca="1">IF($A44&gt;Endyr,0,VLOOKUP($A44,Tariff_Table,Tariff!$D$33))</f>
        <v>9237.4240837696343</v>
      </c>
      <c r="D44" s="1480">
        <f ca="1">VLOOKUP($A44,Curves_Table,Escalation!$R$291)</f>
        <v>1.4211614171077698</v>
      </c>
      <c r="E44" s="1509">
        <f t="shared" ca="1" si="4"/>
        <v>13127.870701315494</v>
      </c>
      <c r="F44" s="330">
        <f ca="1">'Plant Operations'!C44</f>
        <v>480</v>
      </c>
      <c r="G44" s="1509">
        <f t="shared" ca="1" si="5"/>
        <v>6301.3779366314375</v>
      </c>
      <c r="H44" s="1504">
        <f ca="1">IF(Assm!$L$74=0,VLOOKUP($A44,Curves_Table,Escalation!$D$291),VLOOKUP($A44,Curves_Table,Escalation!$E$291))</f>
        <v>1.9917220171591306</v>
      </c>
      <c r="I44" s="384">
        <f t="shared" ca="1" si="6"/>
        <v>3163.7838424959195</v>
      </c>
      <c r="J44" s="692">
        <f t="shared" ca="1" si="0"/>
        <v>25893.51931059506</v>
      </c>
      <c r="L44" s="1510">
        <f ca="1">IF($A44&gt;Endyr,0,VLOOKUP($A44,Tariff_Table,Tariff!$J$33))</f>
        <v>0.19</v>
      </c>
      <c r="M44" s="1504">
        <f t="shared" ca="1" si="1"/>
        <v>1.4211614171077698</v>
      </c>
      <c r="N44" s="1511">
        <f t="shared" ca="1" si="7"/>
        <v>0.27002066925047624</v>
      </c>
      <c r="O44" s="334">
        <f ca="1">'Plant Operations'!$I44+'Plant Operations'!$M44</f>
        <v>298980.864</v>
      </c>
      <c r="P44" s="1509">
        <f t="shared" ca="1" si="2"/>
        <v>80731.01299036562</v>
      </c>
      <c r="Q44" s="1480">
        <f t="shared" ca="1" si="8"/>
        <v>1.9917220171591306</v>
      </c>
      <c r="R44" s="335">
        <f t="shared" ca="1" si="9"/>
        <v>40533.273365886351</v>
      </c>
      <c r="S44" s="698">
        <f t="shared" ca="1" si="3"/>
        <v>238048.64495999261</v>
      </c>
    </row>
    <row r="45" spans="1:19">
      <c r="A45" s="672">
        <f ca="1">'Plant Operations'!A45</f>
        <v>37257</v>
      </c>
      <c r="C45" s="1484">
        <f ca="1">IF($A45&gt;Endyr,0,VLOOKUP($A45,Tariff_Table,Tariff!$D$33))</f>
        <v>9237.4240837696343</v>
      </c>
      <c r="D45" s="1480">
        <f ca="1">VLOOKUP($A45,Curves_Table,Escalation!$R$291)</f>
        <v>1.4211614171077698</v>
      </c>
      <c r="E45" s="1509">
        <f t="shared" ca="1" si="4"/>
        <v>13127.870701315494</v>
      </c>
      <c r="F45" s="330">
        <f ca="1">'Plant Operations'!C45</f>
        <v>480</v>
      </c>
      <c r="G45" s="1509">
        <f t="shared" ca="1" si="5"/>
        <v>6301.3779366314375</v>
      </c>
      <c r="H45" s="1504">
        <f ca="1">IF(Assm!$L$74=0,VLOOKUP($A45,Curves_Table,Escalation!$D$291),VLOOKUP($A45,Curves_Table,Escalation!$E$291))</f>
        <v>2.0024865610216462</v>
      </c>
      <c r="I45" s="384">
        <f t="shared" ca="1" si="6"/>
        <v>3146.7766422445029</v>
      </c>
      <c r="J45" s="692" t="str">
        <f t="shared" ca="1" si="0"/>
        <v xml:space="preserve"> </v>
      </c>
      <c r="L45" s="1510">
        <f ca="1">IF($A45&gt;Endyr,0,VLOOKUP($A45,Tariff_Table,Tariff!$J$33))</f>
        <v>0.19</v>
      </c>
      <c r="M45" s="1504">
        <f t="shared" ca="1" si="1"/>
        <v>1.4211614171077698</v>
      </c>
      <c r="N45" s="1511">
        <f t="shared" ca="1" si="7"/>
        <v>0.27002066925047624</v>
      </c>
      <c r="O45" s="334">
        <f ca="1">'Plant Operations'!$I45+'Plant Operations'!$M45</f>
        <v>298980.864</v>
      </c>
      <c r="P45" s="1509">
        <f t="shared" ca="1" si="2"/>
        <v>80731.01299036562</v>
      </c>
      <c r="Q45" s="1480">
        <f t="shared" ca="1" si="8"/>
        <v>2.0024865610216462</v>
      </c>
      <c r="R45" s="335">
        <f t="shared" ca="1" si="9"/>
        <v>40315.383165007392</v>
      </c>
      <c r="S45" s="698" t="str">
        <f t="shared" ca="1" si="3"/>
        <v xml:space="preserve"> </v>
      </c>
    </row>
    <row r="46" spans="1:19">
      <c r="A46" s="672">
        <f ca="1">'Plant Operations'!A46</f>
        <v>37288</v>
      </c>
      <c r="C46" s="1484">
        <f ca="1">IF($A46&gt;Endyr,0,VLOOKUP($A46,Tariff_Table,Tariff!$D$33))</f>
        <v>9237.4240837696343</v>
      </c>
      <c r="D46" s="1480">
        <f ca="1">VLOOKUP($A46,Curves_Table,Escalation!$R$291)</f>
        <v>1.4211614171077698</v>
      </c>
      <c r="E46" s="1509">
        <f t="shared" ca="1" si="4"/>
        <v>13127.870701315494</v>
      </c>
      <c r="F46" s="330">
        <f ca="1">'Plant Operations'!C46</f>
        <v>480</v>
      </c>
      <c r="G46" s="1509">
        <f t="shared" ca="1" si="5"/>
        <v>6301.3779366314375</v>
      </c>
      <c r="H46" s="1504">
        <f ca="1">IF(Assm!$L$74=0,VLOOKUP($A46,Curves_Table,Escalation!$D$291),VLOOKUP($A46,Curves_Table,Escalation!$E$291))</f>
        <v>2.0133092833867692</v>
      </c>
      <c r="I46" s="384">
        <f t="shared" ca="1" si="6"/>
        <v>3129.8608657043101</v>
      </c>
      <c r="J46" s="692" t="str">
        <f t="shared" ca="1" si="0"/>
        <v xml:space="preserve"> </v>
      </c>
      <c r="L46" s="1510">
        <f ca="1">IF($A46&gt;Endyr,0,VLOOKUP($A46,Tariff_Table,Tariff!$J$33))</f>
        <v>0.19</v>
      </c>
      <c r="M46" s="1504">
        <f t="shared" ca="1" si="1"/>
        <v>1.4211614171077698</v>
      </c>
      <c r="N46" s="1511">
        <f t="shared" ca="1" si="7"/>
        <v>0.27002066925047624</v>
      </c>
      <c r="O46" s="334">
        <f ca="1">'Plant Operations'!$I46+'Plant Operations'!$M46</f>
        <v>270047.23200000002</v>
      </c>
      <c r="P46" s="1509">
        <f t="shared" ca="1" si="2"/>
        <v>72918.334313878629</v>
      </c>
      <c r="Q46" s="1480">
        <f t="shared" ca="1" si="8"/>
        <v>2.0133092833867692</v>
      </c>
      <c r="R46" s="335">
        <f t="shared" ca="1" si="9"/>
        <v>36218.148356826787</v>
      </c>
      <c r="S46" s="698" t="str">
        <f t="shared" ca="1" si="3"/>
        <v xml:space="preserve"> </v>
      </c>
    </row>
    <row r="47" spans="1:19">
      <c r="A47" s="672">
        <f ca="1">'Plant Operations'!A47</f>
        <v>37316</v>
      </c>
      <c r="C47" s="1484">
        <f ca="1">IF($A47&gt;Endyr,0,VLOOKUP($A47,Tariff_Table,Tariff!$D$33))</f>
        <v>9237.4240837696343</v>
      </c>
      <c r="D47" s="1480">
        <f ca="1">VLOOKUP($A47,Curves_Table,Escalation!$R$291)</f>
        <v>1.4211614171077698</v>
      </c>
      <c r="E47" s="1509">
        <f t="shared" ca="1" si="4"/>
        <v>13127.870701315494</v>
      </c>
      <c r="F47" s="330">
        <f ca="1">'Plant Operations'!C47</f>
        <v>480</v>
      </c>
      <c r="G47" s="1509">
        <f t="shared" ca="1" si="5"/>
        <v>6301.3779366314375</v>
      </c>
      <c r="H47" s="1504">
        <f ca="1">IF(Assm!$L$74=0,VLOOKUP($A47,Curves_Table,Escalation!$D$291),VLOOKUP($A47,Curves_Table,Escalation!$E$291))</f>
        <v>2.0241904986884602</v>
      </c>
      <c r="I47" s="384">
        <f t="shared" ca="1" si="6"/>
        <v>3113.0360214190846</v>
      </c>
      <c r="J47" s="692" t="str">
        <f t="shared" ca="1" si="0"/>
        <v xml:space="preserve"> </v>
      </c>
      <c r="L47" s="1510">
        <f ca="1">IF($A47&gt;Endyr,0,VLOOKUP($A47,Tariff_Table,Tariff!$J$33))</f>
        <v>0.19</v>
      </c>
      <c r="M47" s="1504">
        <f t="shared" ca="1" si="1"/>
        <v>1.4211614171077698</v>
      </c>
      <c r="N47" s="1511">
        <f t="shared" ca="1" si="7"/>
        <v>0.27002066925047624</v>
      </c>
      <c r="O47" s="334">
        <f ca="1">'Plant Operations'!$I47+'Plant Operations'!$M47</f>
        <v>298980.864</v>
      </c>
      <c r="P47" s="1509">
        <f t="shared" ca="1" si="2"/>
        <v>80731.01299036562</v>
      </c>
      <c r="Q47" s="1480">
        <f t="shared" ca="1" si="8"/>
        <v>2.0241904986884602</v>
      </c>
      <c r="R47" s="335">
        <f t="shared" ca="1" si="9"/>
        <v>39883.110331104661</v>
      </c>
      <c r="S47" s="698" t="str">
        <f t="shared" ca="1" si="3"/>
        <v xml:space="preserve"> </v>
      </c>
    </row>
    <row r="48" spans="1:19">
      <c r="A48" s="672">
        <f ca="1">'Plant Operations'!A48</f>
        <v>37347</v>
      </c>
      <c r="C48" s="1484">
        <f ca="1">IF($A48&gt;Endyr,0,VLOOKUP($A48,Tariff_Table,Tariff!$D$33))</f>
        <v>9237.4240837696343</v>
      </c>
      <c r="D48" s="1480">
        <f ca="1">VLOOKUP($A48,Curves_Table,Escalation!$R$291)</f>
        <v>1.4211614171077698</v>
      </c>
      <c r="E48" s="1509">
        <f t="shared" ca="1" si="4"/>
        <v>13127.870701315494</v>
      </c>
      <c r="F48" s="330">
        <f ca="1">'Plant Operations'!C48</f>
        <v>480</v>
      </c>
      <c r="G48" s="1509">
        <f t="shared" ca="1" si="5"/>
        <v>6301.3779366314375</v>
      </c>
      <c r="H48" s="1504">
        <f ca="1">IF(Assm!$L$74=0,VLOOKUP($A48,Curves_Table,Escalation!$D$291),VLOOKUP($A48,Curves_Table,Escalation!$E$291))</f>
        <v>2.0351305230600838</v>
      </c>
      <c r="I48" s="384">
        <f t="shared" ca="1" si="6"/>
        <v>3096.3016205744361</v>
      </c>
      <c r="J48" s="692" t="str">
        <f t="shared" ca="1" si="0"/>
        <v xml:space="preserve"> </v>
      </c>
      <c r="L48" s="1510">
        <f ca="1">IF($A48&gt;Endyr,0,VLOOKUP($A48,Tariff_Table,Tariff!$J$33))</f>
        <v>0.19</v>
      </c>
      <c r="M48" s="1504">
        <f t="shared" ca="1" si="1"/>
        <v>1.4211614171077698</v>
      </c>
      <c r="N48" s="1511">
        <f t="shared" ca="1" si="7"/>
        <v>0.27002066925047624</v>
      </c>
      <c r="O48" s="334">
        <f ca="1">'Plant Operations'!$I48+'Plant Operations'!$M48</f>
        <v>289336.32000000001</v>
      </c>
      <c r="P48" s="1509">
        <f t="shared" ca="1" si="2"/>
        <v>78126.786764869961</v>
      </c>
      <c r="Q48" s="1480">
        <f t="shared" ca="1" si="8"/>
        <v>2.0351305230600838</v>
      </c>
      <c r="R48" s="335">
        <f t="shared" ca="1" si="9"/>
        <v>38389.079166969677</v>
      </c>
      <c r="S48" s="698" t="str">
        <f t="shared" ca="1" si="3"/>
        <v xml:space="preserve"> </v>
      </c>
    </row>
    <row r="49" spans="1:19">
      <c r="A49" s="672">
        <f ca="1">'Plant Operations'!A49</f>
        <v>37377</v>
      </c>
      <c r="C49" s="1484">
        <f ca="1">IF($A49&gt;Endyr,0,VLOOKUP($A49,Tariff_Table,Tariff!$D$33))</f>
        <v>9179.8860103626939</v>
      </c>
      <c r="D49" s="1480">
        <f ca="1">VLOOKUP($A49,Curves_Table,Escalation!$R$291)</f>
        <v>1.5466937113114996</v>
      </c>
      <c r="E49" s="1509">
        <f t="shared" ca="1" si="4"/>
        <v>14198.47196278439</v>
      </c>
      <c r="F49" s="330">
        <f ca="1">'Plant Operations'!C49</f>
        <v>480</v>
      </c>
      <c r="G49" s="1509">
        <f t="shared" ca="1" si="5"/>
        <v>6815.2665421365073</v>
      </c>
      <c r="H49" s="1504">
        <f ca="1">IF(Assm!$L$74=0,VLOOKUP($A49,Curves_Table,Escalation!$D$291),VLOOKUP($A49,Curves_Table,Escalation!$E$291))</f>
        <v>2.0461296743435908</v>
      </c>
      <c r="I49" s="384">
        <f t="shared" ca="1" si="6"/>
        <v>3330.8087105099439</v>
      </c>
      <c r="J49" s="692" t="str">
        <f t="shared" ca="1" si="0"/>
        <v xml:space="preserve"> </v>
      </c>
      <c r="L49" s="1510">
        <f ca="1">IF($A49&gt;Endyr,0,VLOOKUP($A49,Tariff_Table,Tariff!$J$33))</f>
        <v>0.19</v>
      </c>
      <c r="M49" s="1504">
        <f t="shared" ca="1" si="1"/>
        <v>1.5466937113114996</v>
      </c>
      <c r="N49" s="1511">
        <f t="shared" ca="1" si="7"/>
        <v>0.29387180514918493</v>
      </c>
      <c r="O49" s="334">
        <f ca="1">'Plant Operations'!$I49+'Plant Operations'!$M49</f>
        <v>298980.864</v>
      </c>
      <c r="P49" s="1509">
        <f t="shared" ca="1" si="2"/>
        <v>87862.046208742962</v>
      </c>
      <c r="Q49" s="1480">
        <f t="shared" ca="1" si="8"/>
        <v>2.0461296743435908</v>
      </c>
      <c r="R49" s="335">
        <f t="shared" ca="1" si="9"/>
        <v>42940.605041041483</v>
      </c>
      <c r="S49" s="698" t="str">
        <f t="shared" ca="1" si="3"/>
        <v xml:space="preserve"> </v>
      </c>
    </row>
    <row r="50" spans="1:19">
      <c r="A50" s="672">
        <f ca="1">'Plant Operations'!A50</f>
        <v>37408</v>
      </c>
      <c r="C50" s="1484">
        <f ca="1">IF($A50&gt;Endyr,0,VLOOKUP($A50,Tariff_Table,Tariff!$D$33))</f>
        <v>9179.8860103626939</v>
      </c>
      <c r="D50" s="1480">
        <f ca="1">VLOOKUP($A50,Curves_Table,Escalation!$R$291)</f>
        <v>1.5466937113114996</v>
      </c>
      <c r="E50" s="1509">
        <f t="shared" ca="1" si="4"/>
        <v>14198.47196278439</v>
      </c>
      <c r="F50" s="330">
        <f ca="1">'Plant Operations'!C50</f>
        <v>480</v>
      </c>
      <c r="G50" s="1509">
        <f t="shared" ca="1" si="5"/>
        <v>6815.2665421365073</v>
      </c>
      <c r="H50" s="1504">
        <f ca="1">IF(Assm!$L$74=0,VLOOKUP($A50,Curves_Table,Escalation!$D$291),VLOOKUP($A50,Curves_Table,Escalation!$E$291))</f>
        <v>2.0571882720987551</v>
      </c>
      <c r="I50" s="384">
        <f t="shared" ca="1" si="6"/>
        <v>3312.9036532876662</v>
      </c>
      <c r="J50" s="692" t="str">
        <f t="shared" ca="1" si="0"/>
        <v xml:space="preserve"> </v>
      </c>
      <c r="L50" s="1510">
        <f ca="1">IF($A50&gt;Endyr,0,VLOOKUP($A50,Tariff_Table,Tariff!$J$33))</f>
        <v>0.19</v>
      </c>
      <c r="M50" s="1504">
        <f t="shared" ca="1" si="1"/>
        <v>1.5466937113114996</v>
      </c>
      <c r="N50" s="1511">
        <f t="shared" ca="1" si="7"/>
        <v>0.29387180514918493</v>
      </c>
      <c r="O50" s="334">
        <f ca="1">'Plant Operations'!$I50+'Plant Operations'!$M50</f>
        <v>289336.32000000001</v>
      </c>
      <c r="P50" s="1509">
        <f t="shared" ca="1" si="2"/>
        <v>85027.786653622214</v>
      </c>
      <c r="Q50" s="1480">
        <f t="shared" ca="1" si="8"/>
        <v>2.0571882720987551</v>
      </c>
      <c r="R50" s="335">
        <f t="shared" ca="1" si="9"/>
        <v>41332.039369870792</v>
      </c>
      <c r="S50" s="698" t="str">
        <f t="shared" ca="1" si="3"/>
        <v xml:space="preserve"> </v>
      </c>
    </row>
    <row r="51" spans="1:19">
      <c r="A51" s="672">
        <f ca="1">'Plant Operations'!A51</f>
        <v>37438</v>
      </c>
      <c r="C51" s="1484">
        <f ca="1">IF($A51&gt;Endyr,0,VLOOKUP($A51,Tariff_Table,Tariff!$D$33))</f>
        <v>9179.8860103626939</v>
      </c>
      <c r="D51" s="1480">
        <f ca="1">VLOOKUP($A51,Curves_Table,Escalation!$R$291)</f>
        <v>1.5466937113114996</v>
      </c>
      <c r="E51" s="1509">
        <f t="shared" ca="1" si="4"/>
        <v>14198.47196278439</v>
      </c>
      <c r="F51" s="330">
        <f ca="1">'Plant Operations'!C51</f>
        <v>480</v>
      </c>
      <c r="G51" s="1509">
        <f t="shared" ca="1" si="5"/>
        <v>6815.2665421365073</v>
      </c>
      <c r="H51" s="1504">
        <f ca="1">IF(Assm!$L$74=0,VLOOKUP($A51,Curves_Table,Escalation!$D$291),VLOOKUP($A51,Curves_Table,Escalation!$E$291))</f>
        <v>2.0683066376124559</v>
      </c>
      <c r="I51" s="384">
        <f t="shared" ca="1" si="6"/>
        <v>3295.0948462862798</v>
      </c>
      <c r="J51" s="692" t="str">
        <f t="shared" ca="1" si="0"/>
        <v xml:space="preserve"> </v>
      </c>
      <c r="L51" s="1510">
        <f ca="1">IF($A51&gt;Endyr,0,VLOOKUP($A51,Tariff_Table,Tariff!$J$33))</f>
        <v>0.19</v>
      </c>
      <c r="M51" s="1504">
        <f t="shared" ca="1" si="1"/>
        <v>1.5466937113114996</v>
      </c>
      <c r="N51" s="1511">
        <f t="shared" ca="1" si="7"/>
        <v>0.29387180514918493</v>
      </c>
      <c r="O51" s="334">
        <f ca="1">'Plant Operations'!$I51+'Plant Operations'!$M51</f>
        <v>298980.864</v>
      </c>
      <c r="P51" s="1509">
        <f t="shared" ca="1" si="2"/>
        <v>87862.046208742962</v>
      </c>
      <c r="Q51" s="1480">
        <f t="shared" ca="1" si="8"/>
        <v>2.0683066376124559</v>
      </c>
      <c r="R51" s="335">
        <f t="shared" ca="1" si="9"/>
        <v>42480.183842646402</v>
      </c>
      <c r="S51" s="698" t="str">
        <f t="shared" ca="1" si="3"/>
        <v xml:space="preserve"> </v>
      </c>
    </row>
    <row r="52" spans="1:19">
      <c r="A52" s="672">
        <f ca="1">'Plant Operations'!A52</f>
        <v>37469</v>
      </c>
      <c r="C52" s="1484">
        <f ca="1">IF($A52&gt;Endyr,0,VLOOKUP($A52,Tariff_Table,Tariff!$D$33))</f>
        <v>9179.8860103626939</v>
      </c>
      <c r="D52" s="1480">
        <f ca="1">VLOOKUP($A52,Curves_Table,Escalation!$R$291)</f>
        <v>1.5466937113114996</v>
      </c>
      <c r="E52" s="1509">
        <f t="shared" ca="1" si="4"/>
        <v>14198.47196278439</v>
      </c>
      <c r="F52" s="330">
        <f ca="1">'Plant Operations'!C52</f>
        <v>480</v>
      </c>
      <c r="G52" s="1509">
        <f t="shared" ca="1" si="5"/>
        <v>6815.2665421365073</v>
      </c>
      <c r="H52" s="1504">
        <f ca="1">IF(Assm!$L$74=0,VLOOKUP($A52,Curves_Table,Escalation!$D$291),VLOOKUP($A52,Curves_Table,Escalation!$E$291))</f>
        <v>2.0794850939080129</v>
      </c>
      <c r="I52" s="384">
        <f t="shared" ca="1" si="6"/>
        <v>3277.3817721041978</v>
      </c>
      <c r="J52" s="692" t="str">
        <f t="shared" ca="1" si="0"/>
        <v xml:space="preserve"> </v>
      </c>
      <c r="L52" s="1510">
        <f ca="1">IF($A52&gt;Endyr,0,VLOOKUP($A52,Tariff_Table,Tariff!$J$33))</f>
        <v>0.19</v>
      </c>
      <c r="M52" s="1504">
        <f t="shared" ca="1" si="1"/>
        <v>1.5466937113114996</v>
      </c>
      <c r="N52" s="1511">
        <f t="shared" ca="1" si="7"/>
        <v>0.29387180514918493</v>
      </c>
      <c r="O52" s="334">
        <f ca="1">'Plant Operations'!$I52+'Plant Operations'!$M52</f>
        <v>298980.864</v>
      </c>
      <c r="P52" s="1509">
        <f t="shared" ca="1" si="2"/>
        <v>87862.046208742962</v>
      </c>
      <c r="Q52" s="1480">
        <f t="shared" ca="1" si="8"/>
        <v>2.0794850939080129</v>
      </c>
      <c r="R52" s="335">
        <f t="shared" ca="1" si="9"/>
        <v>42251.827852068069</v>
      </c>
      <c r="S52" s="698" t="str">
        <f t="shared" ca="1" si="3"/>
        <v xml:space="preserve"> </v>
      </c>
    </row>
    <row r="53" spans="1:19">
      <c r="A53" s="672">
        <f ca="1">'Plant Operations'!A53</f>
        <v>37500</v>
      </c>
      <c r="C53" s="1484">
        <f ca="1">IF($A53&gt;Endyr,0,VLOOKUP($A53,Tariff_Table,Tariff!$D$33))</f>
        <v>9179.8860103626939</v>
      </c>
      <c r="D53" s="1480">
        <f ca="1">VLOOKUP($A53,Curves_Table,Escalation!$R$291)</f>
        <v>1.5466937113114996</v>
      </c>
      <c r="E53" s="1509">
        <f t="shared" ca="1" si="4"/>
        <v>14198.47196278439</v>
      </c>
      <c r="F53" s="330">
        <f ca="1">'Plant Operations'!C53</f>
        <v>480</v>
      </c>
      <c r="G53" s="1509">
        <f t="shared" ca="1" si="5"/>
        <v>6815.2665421365073</v>
      </c>
      <c r="H53" s="1504">
        <f ca="1">IF(Assm!$L$74=0,VLOOKUP($A53,Curves_Table,Escalation!$D$291),VLOOKUP($A53,Curves_Table,Escalation!$E$291))</f>
        <v>2.0907239657545715</v>
      </c>
      <c r="I53" s="384">
        <f t="shared" ca="1" si="6"/>
        <v>3259.763916121171</v>
      </c>
      <c r="J53" s="692" t="str">
        <f t="shared" ca="1" si="0"/>
        <v xml:space="preserve"> </v>
      </c>
      <c r="L53" s="1510">
        <f ca="1">IF($A53&gt;Endyr,0,VLOOKUP($A53,Tariff_Table,Tariff!$J$33))</f>
        <v>0.19</v>
      </c>
      <c r="M53" s="1504">
        <f t="shared" ca="1" si="1"/>
        <v>1.5466937113114996</v>
      </c>
      <c r="N53" s="1511">
        <f t="shared" ca="1" si="7"/>
        <v>0.29387180514918493</v>
      </c>
      <c r="O53" s="334">
        <f ca="1">'Plant Operations'!$I53+'Plant Operations'!$M53</f>
        <v>289336.32000000001</v>
      </c>
      <c r="P53" s="1509">
        <f t="shared" ca="1" si="2"/>
        <v>85027.786653622214</v>
      </c>
      <c r="Q53" s="1480">
        <f t="shared" ca="1" si="8"/>
        <v>2.0907239657545715</v>
      </c>
      <c r="R53" s="335">
        <f t="shared" ca="1" si="9"/>
        <v>40669.063944524351</v>
      </c>
      <c r="S53" s="698" t="str">
        <f t="shared" ca="1" si="3"/>
        <v xml:space="preserve"> </v>
      </c>
    </row>
    <row r="54" spans="1:19">
      <c r="A54" s="672">
        <f ca="1">'Plant Operations'!A54</f>
        <v>37530</v>
      </c>
      <c r="C54" s="1484">
        <f ca="1">IF($A54&gt;Endyr,0,VLOOKUP($A54,Tariff_Table,Tariff!$D$33))</f>
        <v>9179.8860103626939</v>
      </c>
      <c r="D54" s="1480">
        <f ca="1">VLOOKUP($A54,Curves_Table,Escalation!$R$291)</f>
        <v>1.5466937113114996</v>
      </c>
      <c r="E54" s="1509">
        <f t="shared" ca="1" si="4"/>
        <v>14198.47196278439</v>
      </c>
      <c r="F54" s="330">
        <f ca="1">'Plant Operations'!C54</f>
        <v>480</v>
      </c>
      <c r="G54" s="1509">
        <f t="shared" ca="1" si="5"/>
        <v>6815.2665421365073</v>
      </c>
      <c r="H54" s="1504">
        <f ca="1">IF(Assm!$L$74=0,VLOOKUP($A54,Curves_Table,Escalation!$D$291),VLOOKUP($A54,Curves_Table,Escalation!$E$291))</f>
        <v>2.1020235796765379</v>
      </c>
      <c r="I54" s="384">
        <f t="shared" ca="1" si="6"/>
        <v>3242.2407664833377</v>
      </c>
      <c r="J54" s="692" t="str">
        <f t="shared" ca="1" si="0"/>
        <v xml:space="preserve"> </v>
      </c>
      <c r="L54" s="1510">
        <f ca="1">IF($A54&gt;Endyr,0,VLOOKUP($A54,Tariff_Table,Tariff!$J$33))</f>
        <v>0.19</v>
      </c>
      <c r="M54" s="1504">
        <f t="shared" ca="1" si="1"/>
        <v>1.5466937113114996</v>
      </c>
      <c r="N54" s="1511">
        <f t="shared" ca="1" si="7"/>
        <v>0.29387180514918493</v>
      </c>
      <c r="O54" s="334">
        <f ca="1">'Plant Operations'!$I54+'Plant Operations'!$M54</f>
        <v>298980.864</v>
      </c>
      <c r="P54" s="1509">
        <f t="shared" ca="1" si="2"/>
        <v>87862.046208742962</v>
      </c>
      <c r="Q54" s="1480">
        <f t="shared" ca="1" si="8"/>
        <v>2.1020235796765379</v>
      </c>
      <c r="R54" s="335">
        <f t="shared" ca="1" si="9"/>
        <v>41798.791915675509</v>
      </c>
      <c r="S54" s="698" t="str">
        <f t="shared" ca="1" si="3"/>
        <v xml:space="preserve"> </v>
      </c>
    </row>
    <row r="55" spans="1:19">
      <c r="A55" s="672">
        <f ca="1">'Plant Operations'!A55</f>
        <v>37561</v>
      </c>
      <c r="C55" s="1484">
        <f ca="1">IF($A55&gt;Endyr,0,VLOOKUP($A55,Tariff_Table,Tariff!$D$33))</f>
        <v>9179.8860103626939</v>
      </c>
      <c r="D55" s="1480">
        <f ca="1">VLOOKUP($A55,Curves_Table,Escalation!$R$291)</f>
        <v>1.5466937113114996</v>
      </c>
      <c r="E55" s="1509">
        <f t="shared" ca="1" si="4"/>
        <v>14198.47196278439</v>
      </c>
      <c r="F55" s="330">
        <f ca="1">'Plant Operations'!C55</f>
        <v>480</v>
      </c>
      <c r="G55" s="1509">
        <f t="shared" ca="1" si="5"/>
        <v>6815.2665421365073</v>
      </c>
      <c r="H55" s="1504">
        <f ca="1">IF(Assm!$L$74=0,VLOOKUP($A55,Curves_Table,Escalation!$D$291),VLOOKUP($A55,Curves_Table,Escalation!$E$291))</f>
        <v>2.1133842639630656</v>
      </c>
      <c r="I55" s="384">
        <f t="shared" ca="1" si="6"/>
        <v>3224.8118140883507</v>
      </c>
      <c r="J55" s="692" t="str">
        <f t="shared" ca="1" si="0"/>
        <v xml:space="preserve"> </v>
      </c>
      <c r="L55" s="1510">
        <f ca="1">IF($A55&gt;Endyr,0,VLOOKUP($A55,Tariff_Table,Tariff!$J$33))</f>
        <v>0.19</v>
      </c>
      <c r="M55" s="1504">
        <f t="shared" ca="1" si="1"/>
        <v>1.5466937113114996</v>
      </c>
      <c r="N55" s="1511">
        <f t="shared" ca="1" si="7"/>
        <v>0.29387180514918493</v>
      </c>
      <c r="O55" s="334">
        <f ca="1">'Plant Operations'!$I55+'Plant Operations'!$M55</f>
        <v>289336.32000000001</v>
      </c>
      <c r="P55" s="1509">
        <f t="shared" ca="1" si="2"/>
        <v>85027.786653622214</v>
      </c>
      <c r="Q55" s="1480">
        <f t="shared" ca="1" si="8"/>
        <v>2.1133842639630656</v>
      </c>
      <c r="R55" s="335">
        <f t="shared" ca="1" si="9"/>
        <v>40232.998846208975</v>
      </c>
      <c r="S55" s="698" t="str">
        <f t="shared" ca="1" si="3"/>
        <v xml:space="preserve"> </v>
      </c>
    </row>
    <row r="56" spans="1:19">
      <c r="A56" s="672">
        <f ca="1">'Plant Operations'!A56</f>
        <v>37591</v>
      </c>
      <c r="C56" s="1484">
        <f ca="1">IF($A56&gt;Endyr,0,VLOOKUP($A56,Tariff_Table,Tariff!$D$33))</f>
        <v>9179.8860103626939</v>
      </c>
      <c r="D56" s="1480">
        <f ca="1">VLOOKUP($A56,Curves_Table,Escalation!$R$291)</f>
        <v>1.5466937113114996</v>
      </c>
      <c r="E56" s="1509">
        <f t="shared" ca="1" si="4"/>
        <v>14198.47196278439</v>
      </c>
      <c r="F56" s="330">
        <f ca="1">'Plant Operations'!C56</f>
        <v>480</v>
      </c>
      <c r="G56" s="1509">
        <f t="shared" ca="1" si="5"/>
        <v>6815.2665421365073</v>
      </c>
      <c r="H56" s="1504">
        <f ca="1">IF(Assm!$L$74=0,VLOOKUP($A56,Curves_Table,Escalation!$D$291),VLOOKUP($A56,Curves_Table,Escalation!$E$291))</f>
        <v>2.1248063486775925</v>
      </c>
      <c r="I56" s="384">
        <f t="shared" ca="1" si="6"/>
        <v>3207.4765525705898</v>
      </c>
      <c r="J56" s="692">
        <f t="shared" ca="1" si="0"/>
        <v>38636.457181393867</v>
      </c>
      <c r="L56" s="1510">
        <f ca="1">IF($A56&gt;Endyr,0,VLOOKUP($A56,Tariff_Table,Tariff!$J$33))</f>
        <v>0.19</v>
      </c>
      <c r="M56" s="1504">
        <f t="shared" ca="1" si="1"/>
        <v>1.5466937113114996</v>
      </c>
      <c r="N56" s="1511">
        <f t="shared" ca="1" si="7"/>
        <v>0.29387180514918493</v>
      </c>
      <c r="O56" s="334">
        <f ca="1">'Plant Operations'!$I56+'Plant Operations'!$M56</f>
        <v>298980.864</v>
      </c>
      <c r="P56" s="1509">
        <f t="shared" ca="1" si="2"/>
        <v>87862.046208742962</v>
      </c>
      <c r="Q56" s="1480">
        <f t="shared" ca="1" si="8"/>
        <v>2.1248063486775925</v>
      </c>
      <c r="R56" s="335">
        <f t="shared" ca="1" si="9"/>
        <v>41350.613557525052</v>
      </c>
      <c r="S56" s="698">
        <f t="shared" ca="1" si="3"/>
        <v>487861.84538946906</v>
      </c>
    </row>
    <row r="57" spans="1:19">
      <c r="A57" s="672">
        <f ca="1">'Plant Operations'!A57</f>
        <v>37622</v>
      </c>
      <c r="C57" s="1484">
        <f ca="1">IF($A57&gt;Endyr,0,VLOOKUP($A57,Tariff_Table,Tariff!$D$33))</f>
        <v>9179.8860103626939</v>
      </c>
      <c r="D57" s="1480">
        <f ca="1">VLOOKUP($A57,Curves_Table,Escalation!$R$291)</f>
        <v>1.5466937113114996</v>
      </c>
      <c r="E57" s="1509">
        <f t="shared" ca="1" si="4"/>
        <v>14198.47196278439</v>
      </c>
      <c r="F57" s="330">
        <f ca="1">'Plant Operations'!C57</f>
        <v>480</v>
      </c>
      <c r="G57" s="1509">
        <f t="shared" ca="1" si="5"/>
        <v>6815.2665421365073</v>
      </c>
      <c r="H57" s="1504">
        <f ca="1">IF(Assm!$L$74=0,VLOOKUP($A57,Curves_Table,Escalation!$D$291),VLOOKUP($A57,Curves_Table,Escalation!$E$291))</f>
        <v>2.1308778783404252</v>
      </c>
      <c r="I57" s="384">
        <f t="shared" ca="1" si="6"/>
        <v>3198.3374605420313</v>
      </c>
      <c r="J57" s="692" t="str">
        <f t="shared" ca="1" si="0"/>
        <v xml:space="preserve"> </v>
      </c>
      <c r="L57" s="1510">
        <f ca="1">IF($A57&gt;Endyr,0,VLOOKUP($A57,Tariff_Table,Tariff!$J$33))</f>
        <v>0.19</v>
      </c>
      <c r="M57" s="1504">
        <f t="shared" ca="1" si="1"/>
        <v>1.5466937113114996</v>
      </c>
      <c r="N57" s="1511">
        <f t="shared" ca="1" si="7"/>
        <v>0.29387180514918493</v>
      </c>
      <c r="O57" s="334">
        <f ca="1">'Plant Operations'!$I57+'Plant Operations'!$M57</f>
        <v>298980.864</v>
      </c>
      <c r="P57" s="1509">
        <f t="shared" ca="1" si="2"/>
        <v>87862.046208742962</v>
      </c>
      <c r="Q57" s="1480">
        <f t="shared" ca="1" si="8"/>
        <v>2.1308778783404252</v>
      </c>
      <c r="R57" s="335">
        <f t="shared" ca="1" si="9"/>
        <v>41232.792879323461</v>
      </c>
      <c r="S57" s="698" t="str">
        <f t="shared" ca="1" si="3"/>
        <v xml:space="preserve"> </v>
      </c>
    </row>
    <row r="58" spans="1:19">
      <c r="A58" s="672">
        <f ca="1">'Plant Operations'!A58</f>
        <v>37653</v>
      </c>
      <c r="C58" s="1484">
        <f ca="1">IF($A58&gt;Endyr,0,VLOOKUP($A58,Tariff_Table,Tariff!$D$33))</f>
        <v>9179.8860103626939</v>
      </c>
      <c r="D58" s="1480">
        <f ca="1">VLOOKUP($A58,Curves_Table,Escalation!$R$291)</f>
        <v>1.5466937113114996</v>
      </c>
      <c r="E58" s="1509">
        <f t="shared" ca="1" si="4"/>
        <v>14198.47196278439</v>
      </c>
      <c r="F58" s="330">
        <f ca="1">'Plant Operations'!C58</f>
        <v>480</v>
      </c>
      <c r="G58" s="1509">
        <f t="shared" ca="1" si="5"/>
        <v>6815.2665421365073</v>
      </c>
      <c r="H58" s="1504">
        <f ca="1">IF(Assm!$L$74=0,VLOOKUP($A58,Curves_Table,Escalation!$D$291),VLOOKUP($A58,Curves_Table,Escalation!$E$291))</f>
        <v>2.1369667571007271</v>
      </c>
      <c r="I58" s="384">
        <f t="shared" ca="1" si="6"/>
        <v>3189.2244086112687</v>
      </c>
      <c r="J58" s="692" t="str">
        <f t="shared" ca="1" si="0"/>
        <v xml:space="preserve"> </v>
      </c>
      <c r="L58" s="1510">
        <f ca="1">IF($A58&gt;Endyr,0,VLOOKUP($A58,Tariff_Table,Tariff!$J$33))</f>
        <v>0.19</v>
      </c>
      <c r="M58" s="1504">
        <f t="shared" ca="1" si="1"/>
        <v>1.5466937113114996</v>
      </c>
      <c r="N58" s="1511">
        <f t="shared" ca="1" si="7"/>
        <v>0.29387180514918493</v>
      </c>
      <c r="O58" s="334">
        <f ca="1">'Plant Operations'!$I58+'Plant Operations'!$M58</f>
        <v>270047.23200000002</v>
      </c>
      <c r="P58" s="1509">
        <f t="shared" ca="1" si="2"/>
        <v>79359.267543380745</v>
      </c>
      <c r="Q58" s="1480">
        <f t="shared" ca="1" si="8"/>
        <v>2.1369667571007271</v>
      </c>
      <c r="R58" s="335">
        <f t="shared" ca="1" si="9"/>
        <v>37136.407143295633</v>
      </c>
      <c r="S58" s="698" t="str">
        <f t="shared" ca="1" si="3"/>
        <v xml:space="preserve"> </v>
      </c>
    </row>
    <row r="59" spans="1:19">
      <c r="A59" s="672">
        <f ca="1">'Plant Operations'!A59</f>
        <v>37681</v>
      </c>
      <c r="C59" s="1484">
        <f ca="1">IF($A59&gt;Endyr,0,VLOOKUP($A59,Tariff_Table,Tariff!$D$33))</f>
        <v>9179.8860103626939</v>
      </c>
      <c r="D59" s="1480">
        <f ca="1">VLOOKUP($A59,Curves_Table,Escalation!$R$291)</f>
        <v>1.5466937113114996</v>
      </c>
      <c r="E59" s="1509">
        <f t="shared" ca="1" si="4"/>
        <v>14198.47196278439</v>
      </c>
      <c r="F59" s="330">
        <f ca="1">'Plant Operations'!C59</f>
        <v>480</v>
      </c>
      <c r="G59" s="1509">
        <f t="shared" ca="1" si="5"/>
        <v>6815.2665421365073</v>
      </c>
      <c r="H59" s="1504">
        <f ca="1">IF(Assm!$L$74=0,VLOOKUP($A59,Curves_Table,Escalation!$D$291),VLOOKUP($A59,Curves_Table,Escalation!$E$291))</f>
        <v>2.1430730345326912</v>
      </c>
      <c r="I59" s="384">
        <f t="shared" ca="1" si="6"/>
        <v>3180.1373225820153</v>
      </c>
      <c r="J59" s="692" t="str">
        <f t="shared" ca="1" si="0"/>
        <v xml:space="preserve"> </v>
      </c>
      <c r="L59" s="1510">
        <f ca="1">IF($A59&gt;Endyr,0,VLOOKUP($A59,Tariff_Table,Tariff!$J$33))</f>
        <v>0.19</v>
      </c>
      <c r="M59" s="1504">
        <f t="shared" ca="1" si="1"/>
        <v>1.5466937113114996</v>
      </c>
      <c r="N59" s="1511">
        <f t="shared" ca="1" si="7"/>
        <v>0.29387180514918493</v>
      </c>
      <c r="O59" s="334">
        <f ca="1">'Plant Operations'!$I59+'Plant Operations'!$M59</f>
        <v>298980.864</v>
      </c>
      <c r="P59" s="1509">
        <f t="shared" ca="1" si="2"/>
        <v>87862.046208742962</v>
      </c>
      <c r="Q59" s="1480">
        <f t="shared" ca="1" si="8"/>
        <v>2.1430730345326912</v>
      </c>
      <c r="R59" s="335">
        <f t="shared" ca="1" si="9"/>
        <v>40998.157688966377</v>
      </c>
      <c r="S59" s="698" t="str">
        <f t="shared" ca="1" si="3"/>
        <v xml:space="preserve"> </v>
      </c>
    </row>
    <row r="60" spans="1:19">
      <c r="A60" s="672">
        <f ca="1">'Plant Operations'!A60</f>
        <v>37712</v>
      </c>
      <c r="C60" s="1484">
        <f ca="1">IF($A60&gt;Endyr,0,VLOOKUP($A60,Tariff_Table,Tariff!$D$33))</f>
        <v>9179.8860103626939</v>
      </c>
      <c r="D60" s="1480">
        <f ca="1">VLOOKUP($A60,Curves_Table,Escalation!$R$291)</f>
        <v>1.5466937113114996</v>
      </c>
      <c r="E60" s="1509">
        <f t="shared" ca="1" si="4"/>
        <v>14198.47196278439</v>
      </c>
      <c r="F60" s="330">
        <f ca="1">'Plant Operations'!C60</f>
        <v>480</v>
      </c>
      <c r="G60" s="1509">
        <f t="shared" ca="1" si="5"/>
        <v>6815.2665421365073</v>
      </c>
      <c r="H60" s="1504">
        <f ca="1">IF(Assm!$L$74=0,VLOOKUP($A60,Curves_Table,Escalation!$D$291),VLOOKUP($A60,Curves_Table,Escalation!$E$291))</f>
        <v>2.1491967603521664</v>
      </c>
      <c r="I60" s="384">
        <f t="shared" ca="1" si="6"/>
        <v>3171.0761284693917</v>
      </c>
      <c r="J60" s="692" t="str">
        <f t="shared" ca="1" si="0"/>
        <v xml:space="preserve"> </v>
      </c>
      <c r="L60" s="1510">
        <f ca="1">IF($A60&gt;Endyr,0,VLOOKUP($A60,Tariff_Table,Tariff!$J$33))</f>
        <v>0.19</v>
      </c>
      <c r="M60" s="1504">
        <f t="shared" ca="1" si="1"/>
        <v>1.5466937113114996</v>
      </c>
      <c r="N60" s="1511">
        <f t="shared" ca="1" si="7"/>
        <v>0.29387180514918493</v>
      </c>
      <c r="O60" s="334">
        <f ca="1">'Plant Operations'!$I60+'Plant Operations'!$M60</f>
        <v>289336.32000000001</v>
      </c>
      <c r="P60" s="1509">
        <f t="shared" ca="1" si="2"/>
        <v>85027.786653622214</v>
      </c>
      <c r="Q60" s="1480">
        <f t="shared" ca="1" si="8"/>
        <v>2.1491967603521664</v>
      </c>
      <c r="R60" s="335">
        <f t="shared" ca="1" si="9"/>
        <v>39562.588322387754</v>
      </c>
      <c r="S60" s="698" t="str">
        <f t="shared" ca="1" si="3"/>
        <v xml:space="preserve"> </v>
      </c>
    </row>
    <row r="61" spans="1:19">
      <c r="A61" s="672">
        <f ca="1">'Plant Operations'!A61</f>
        <v>37742</v>
      </c>
      <c r="C61" s="1484">
        <f ca="1">IF($A61&gt;Endyr,0,VLOOKUP($A61,Tariff_Table,Tariff!$D$33))</f>
        <v>9798.4359454443475</v>
      </c>
      <c r="D61" s="1480">
        <f ca="1">VLOOKUP($A61,Curves_Table,Escalation!$R$291)</f>
        <v>1.6755808839625042</v>
      </c>
      <c r="E61" s="1509">
        <f t="shared" ca="1" si="4"/>
        <v>16418.071962917616</v>
      </c>
      <c r="F61" s="330">
        <f ca="1">'Plant Operations'!C61</f>
        <v>480</v>
      </c>
      <c r="G61" s="1509">
        <f t="shared" ca="1" si="5"/>
        <v>7880.6745422004551</v>
      </c>
      <c r="H61" s="1504">
        <f ca="1">IF(Assm!$L$74=0,VLOOKUP($A61,Curves_Table,Escalation!$D$291),VLOOKUP($A61,Curves_Table,Escalation!$E$291))</f>
        <v>2.1553379844170619</v>
      </c>
      <c r="I61" s="384">
        <f t="shared" ca="1" si="6"/>
        <v>3656.3520891744884</v>
      </c>
      <c r="J61" s="692" t="str">
        <f t="shared" ca="1" si="0"/>
        <v xml:space="preserve"> </v>
      </c>
      <c r="L61" s="1510">
        <f ca="1">IF($A61&gt;Endyr,0,VLOOKUP($A61,Tariff_Table,Tariff!$J$33))</f>
        <v>0.19</v>
      </c>
      <c r="M61" s="1504">
        <f t="shared" ca="1" si="1"/>
        <v>1.6755808839625042</v>
      </c>
      <c r="N61" s="1511">
        <f t="shared" ca="1" si="7"/>
        <v>0.31836036795287581</v>
      </c>
      <c r="O61" s="334">
        <f ca="1">'Plant Operations'!$I61+'Plant Operations'!$M61</f>
        <v>298980.864</v>
      </c>
      <c r="P61" s="1509">
        <f t="shared" ca="1" si="2"/>
        <v>95183.657873908727</v>
      </c>
      <c r="Q61" s="1480">
        <f t="shared" ca="1" si="8"/>
        <v>2.1553379844170619</v>
      </c>
      <c r="R61" s="335">
        <f t="shared" ca="1" si="9"/>
        <v>44161.824531502578</v>
      </c>
      <c r="S61" s="698" t="str">
        <f t="shared" ca="1" si="3"/>
        <v xml:space="preserve"> </v>
      </c>
    </row>
    <row r="62" spans="1:19">
      <c r="A62" s="672">
        <f ca="1">'Plant Operations'!A62</f>
        <v>37773</v>
      </c>
      <c r="C62" s="1484">
        <f ca="1">IF($A62&gt;Endyr,0,VLOOKUP($A62,Tariff_Table,Tariff!$D$33))</f>
        <v>9798.4359454443475</v>
      </c>
      <c r="D62" s="1480">
        <f ca="1">VLOOKUP($A62,Curves_Table,Escalation!$R$291)</f>
        <v>1.6755808839625042</v>
      </c>
      <c r="E62" s="1509">
        <f t="shared" ca="1" si="4"/>
        <v>16418.071962917616</v>
      </c>
      <c r="F62" s="330">
        <f ca="1">'Plant Operations'!C62</f>
        <v>480</v>
      </c>
      <c r="G62" s="1509">
        <f t="shared" ca="1" si="5"/>
        <v>7880.6745422004551</v>
      </c>
      <c r="H62" s="1504">
        <f ca="1">IF(Assm!$L$74=0,VLOOKUP($A62,Curves_Table,Escalation!$D$291),VLOOKUP($A62,Curves_Table,Escalation!$E$291))</f>
        <v>2.1614967567277539</v>
      </c>
      <c r="I62" s="384">
        <f t="shared" ca="1" si="6"/>
        <v>3645.9340120088123</v>
      </c>
      <c r="J62" s="692" t="str">
        <f t="shared" ca="1" si="0"/>
        <v xml:space="preserve"> </v>
      </c>
      <c r="L62" s="1510">
        <f ca="1">IF($A62&gt;Endyr,0,VLOOKUP($A62,Tariff_Table,Tariff!$J$33))</f>
        <v>0.19</v>
      </c>
      <c r="M62" s="1504">
        <f t="shared" ca="1" si="1"/>
        <v>1.6755808839625042</v>
      </c>
      <c r="N62" s="1511">
        <f t="shared" ca="1" si="7"/>
        <v>0.31836036795287581</v>
      </c>
      <c r="O62" s="334">
        <f ca="1">'Plant Operations'!$I62+'Plant Operations'!$M62</f>
        <v>289336.32000000001</v>
      </c>
      <c r="P62" s="1509">
        <f t="shared" ca="1" si="2"/>
        <v>92113.217297331023</v>
      </c>
      <c r="Q62" s="1480">
        <f t="shared" ca="1" si="8"/>
        <v>2.1614967567277539</v>
      </c>
      <c r="R62" s="335">
        <f t="shared" ca="1" si="9"/>
        <v>42615.477913915245</v>
      </c>
      <c r="S62" s="698" t="str">
        <f t="shared" ca="1" si="3"/>
        <v xml:space="preserve"> </v>
      </c>
    </row>
    <row r="63" spans="1:19">
      <c r="A63" s="672">
        <f ca="1">'Plant Operations'!A63</f>
        <v>37803</v>
      </c>
      <c r="C63" s="1484">
        <f ca="1">IF($A63&gt;Endyr,0,VLOOKUP($A63,Tariff_Table,Tariff!$D$33))</f>
        <v>9798.4359454443475</v>
      </c>
      <c r="D63" s="1480">
        <f ca="1">VLOOKUP($A63,Curves_Table,Escalation!$R$291)</f>
        <v>1.6755808839625042</v>
      </c>
      <c r="E63" s="1509">
        <f t="shared" ca="1" si="4"/>
        <v>16418.071962917616</v>
      </c>
      <c r="F63" s="330">
        <f ca="1">'Plant Operations'!C63</f>
        <v>480</v>
      </c>
      <c r="G63" s="1509">
        <f t="shared" ca="1" si="5"/>
        <v>7880.6745422004551</v>
      </c>
      <c r="H63" s="1504">
        <f ca="1">IF(Assm!$L$74=0,VLOOKUP($A63,Curves_Table,Escalation!$D$291),VLOOKUP($A63,Curves_Table,Escalation!$E$291))</f>
        <v>2.1676731274274914</v>
      </c>
      <c r="I63" s="384">
        <f t="shared" ca="1" si="6"/>
        <v>3635.5456191648818</v>
      </c>
      <c r="J63" s="692" t="str">
        <f t="shared" ca="1" si="0"/>
        <v xml:space="preserve"> </v>
      </c>
      <c r="L63" s="1510">
        <f ca="1">IF($A63&gt;Endyr,0,VLOOKUP($A63,Tariff_Table,Tariff!$J$33))</f>
        <v>0.19</v>
      </c>
      <c r="M63" s="1504">
        <f t="shared" ca="1" si="1"/>
        <v>1.6755808839625042</v>
      </c>
      <c r="N63" s="1511">
        <f t="shared" ca="1" si="7"/>
        <v>0.31836036795287581</v>
      </c>
      <c r="O63" s="334">
        <f ca="1">'Plant Operations'!$I63+'Plant Operations'!$M63</f>
        <v>298980.864</v>
      </c>
      <c r="P63" s="1509">
        <f t="shared" ca="1" si="2"/>
        <v>95183.657873908727</v>
      </c>
      <c r="Q63" s="1480">
        <f t="shared" ca="1" si="8"/>
        <v>2.1676731274274914</v>
      </c>
      <c r="R63" s="335">
        <f t="shared" ca="1" si="9"/>
        <v>43910.521687773529</v>
      </c>
      <c r="S63" s="698" t="str">
        <f t="shared" ca="1" si="3"/>
        <v xml:space="preserve"> </v>
      </c>
    </row>
    <row r="64" spans="1:19">
      <c r="A64" s="672">
        <f ca="1">'Plant Operations'!A64</f>
        <v>37834</v>
      </c>
      <c r="C64" s="1484">
        <f ca="1">IF($A64&gt;Endyr,0,VLOOKUP($A64,Tariff_Table,Tariff!$D$33))</f>
        <v>9798.4359454443475</v>
      </c>
      <c r="D64" s="1480">
        <f ca="1">VLOOKUP($A64,Curves_Table,Escalation!$R$291)</f>
        <v>1.6755808839625042</v>
      </c>
      <c r="E64" s="1509">
        <f t="shared" ca="1" si="4"/>
        <v>16418.071962917616</v>
      </c>
      <c r="F64" s="330">
        <f ca="1">'Plant Operations'!C64</f>
        <v>480</v>
      </c>
      <c r="G64" s="1509">
        <f t="shared" ca="1" si="5"/>
        <v>7880.6745422004551</v>
      </c>
      <c r="H64" s="1504">
        <f ca="1">IF(Assm!$L$74=0,VLOOKUP($A64,Curves_Table,Escalation!$D$291),VLOOKUP($A64,Curves_Table,Escalation!$E$291))</f>
        <v>2.1738671468028063</v>
      </c>
      <c r="I64" s="384">
        <f t="shared" ca="1" si="6"/>
        <v>3625.1868260628894</v>
      </c>
      <c r="J64" s="692" t="str">
        <f t="shared" ca="1" si="0"/>
        <v xml:space="preserve"> </v>
      </c>
      <c r="L64" s="1510">
        <f ca="1">IF($A64&gt;Endyr,0,VLOOKUP($A64,Tariff_Table,Tariff!$J$33))</f>
        <v>0.19</v>
      </c>
      <c r="M64" s="1504">
        <f t="shared" ca="1" si="1"/>
        <v>1.6755808839625042</v>
      </c>
      <c r="N64" s="1511">
        <f t="shared" ca="1" si="7"/>
        <v>0.31836036795287581</v>
      </c>
      <c r="O64" s="334">
        <f ca="1">'Plant Operations'!$I64+'Plant Operations'!$M64</f>
        <v>298980.864</v>
      </c>
      <c r="P64" s="1509">
        <f t="shared" ca="1" si="2"/>
        <v>95183.657873908727</v>
      </c>
      <c r="Q64" s="1480">
        <f t="shared" ca="1" si="8"/>
        <v>2.1738671468028063</v>
      </c>
      <c r="R64" s="335">
        <f t="shared" ca="1" si="9"/>
        <v>43785.407040121638</v>
      </c>
      <c r="S64" s="698" t="str">
        <f t="shared" ca="1" si="3"/>
        <v xml:space="preserve"> </v>
      </c>
    </row>
    <row r="65" spans="1:19">
      <c r="A65" s="672">
        <f ca="1">'Plant Operations'!A65</f>
        <v>37865</v>
      </c>
      <c r="C65" s="1484">
        <f ca="1">IF($A65&gt;Endyr,0,VLOOKUP($A65,Tariff_Table,Tariff!$D$33))</f>
        <v>9798.4359454443475</v>
      </c>
      <c r="D65" s="1480">
        <f ca="1">VLOOKUP($A65,Curves_Table,Escalation!$R$291)</f>
        <v>1.6755808839625042</v>
      </c>
      <c r="E65" s="1509">
        <f t="shared" ca="1" si="4"/>
        <v>16418.071962917616</v>
      </c>
      <c r="F65" s="330">
        <f ca="1">'Plant Operations'!C65</f>
        <v>480</v>
      </c>
      <c r="G65" s="1509">
        <f t="shared" ca="1" si="5"/>
        <v>7880.6745422004551</v>
      </c>
      <c r="H65" s="1504">
        <f ca="1">IF(Assm!$L$74=0,VLOOKUP($A65,Curves_Table,Escalation!$D$291),VLOOKUP($A65,Curves_Table,Escalation!$E$291))</f>
        <v>2.1800788652839209</v>
      </c>
      <c r="I65" s="384">
        <f t="shared" ca="1" si="6"/>
        <v>3614.8575483640229</v>
      </c>
      <c r="J65" s="692" t="str">
        <f t="shared" ca="1" si="0"/>
        <v xml:space="preserve"> </v>
      </c>
      <c r="L65" s="1510">
        <f ca="1">IF($A65&gt;Endyr,0,VLOOKUP($A65,Tariff_Table,Tariff!$J$33))</f>
        <v>0.19</v>
      </c>
      <c r="M65" s="1504">
        <f t="shared" ca="1" si="1"/>
        <v>1.6755808839625042</v>
      </c>
      <c r="N65" s="1511">
        <f t="shared" ca="1" si="7"/>
        <v>0.31836036795287581</v>
      </c>
      <c r="O65" s="334">
        <f ca="1">'Plant Operations'!$I65+'Plant Operations'!$M65</f>
        <v>289336.32000000001</v>
      </c>
      <c r="P65" s="1509">
        <f t="shared" ca="1" si="2"/>
        <v>92113.217297331023</v>
      </c>
      <c r="Q65" s="1480">
        <f t="shared" ca="1" si="8"/>
        <v>2.1800788652839209</v>
      </c>
      <c r="R65" s="335">
        <f t="shared" ca="1" si="9"/>
        <v>42252.240854293465</v>
      </c>
      <c r="S65" s="698" t="str">
        <f t="shared" ca="1" si="3"/>
        <v xml:space="preserve"> </v>
      </c>
    </row>
    <row r="66" spans="1:19">
      <c r="A66" s="672">
        <f ca="1">'Plant Operations'!A66</f>
        <v>37895</v>
      </c>
      <c r="C66" s="1484">
        <f ca="1">IF($A66&gt;Endyr,0,VLOOKUP($A66,Tariff_Table,Tariff!$D$33))</f>
        <v>9798.4359454443475</v>
      </c>
      <c r="D66" s="1480">
        <f ca="1">VLOOKUP($A66,Curves_Table,Escalation!$R$291)</f>
        <v>1.6755808839625042</v>
      </c>
      <c r="E66" s="1509">
        <f t="shared" ca="1" si="4"/>
        <v>16418.071962917616</v>
      </c>
      <c r="F66" s="330">
        <f ca="1">'Plant Operations'!C66</f>
        <v>480</v>
      </c>
      <c r="G66" s="1509">
        <f t="shared" ca="1" si="5"/>
        <v>7880.6745422004551</v>
      </c>
      <c r="H66" s="1504">
        <f ca="1">IF(Assm!$L$74=0,VLOOKUP($A66,Curves_Table,Escalation!$D$291),VLOOKUP($A66,Curves_Table,Escalation!$E$291))</f>
        <v>2.1863083334451598</v>
      </c>
      <c r="I66" s="384">
        <f t="shared" ca="1" si="6"/>
        <v>3604.5577019697757</v>
      </c>
      <c r="J66" s="692" t="str">
        <f t="shared" ca="1" si="0"/>
        <v xml:space="preserve"> </v>
      </c>
      <c r="L66" s="1510">
        <f ca="1">IF($A66&gt;Endyr,0,VLOOKUP($A66,Tariff_Table,Tariff!$J$33))</f>
        <v>0.19</v>
      </c>
      <c r="M66" s="1504">
        <f t="shared" ca="1" si="1"/>
        <v>1.6755808839625042</v>
      </c>
      <c r="N66" s="1511">
        <f t="shared" ca="1" si="7"/>
        <v>0.31836036795287581</v>
      </c>
      <c r="O66" s="334">
        <f ca="1">'Plant Operations'!$I66+'Plant Operations'!$M66</f>
        <v>298980.864</v>
      </c>
      <c r="P66" s="1509">
        <f t="shared" ca="1" si="2"/>
        <v>95183.657873908727</v>
      </c>
      <c r="Q66" s="1480">
        <f t="shared" ca="1" si="8"/>
        <v>2.1863083334451598</v>
      </c>
      <c r="R66" s="335">
        <f t="shared" ca="1" si="9"/>
        <v>43536.246199967318</v>
      </c>
      <c r="S66" s="698" t="str">
        <f t="shared" ca="1" si="3"/>
        <v xml:space="preserve"> </v>
      </c>
    </row>
    <row r="67" spans="1:19">
      <c r="A67" s="672">
        <f ca="1">'Plant Operations'!A67</f>
        <v>37926</v>
      </c>
      <c r="C67" s="1484">
        <f ca="1">IF($A67&gt;Endyr,0,VLOOKUP($A67,Tariff_Table,Tariff!$D$33))</f>
        <v>9798.4359454443475</v>
      </c>
      <c r="D67" s="1480">
        <f ca="1">VLOOKUP($A67,Curves_Table,Escalation!$R$291)</f>
        <v>1.6755808839625042</v>
      </c>
      <c r="E67" s="1509">
        <f t="shared" ca="1" si="4"/>
        <v>16418.071962917616</v>
      </c>
      <c r="F67" s="330">
        <f ca="1">'Plant Operations'!C67</f>
        <v>480</v>
      </c>
      <c r="G67" s="1509">
        <f t="shared" ca="1" si="5"/>
        <v>7880.6745422004551</v>
      </c>
      <c r="H67" s="1504">
        <f ca="1">IF(Assm!$L$74=0,VLOOKUP($A67,Curves_Table,Escalation!$D$291),VLOOKUP($A67,Curves_Table,Escalation!$E$291))</f>
        <v>2.1925556020053616</v>
      </c>
      <c r="I67" s="384">
        <f t="shared" ca="1" si="6"/>
        <v>3594.2872030212643</v>
      </c>
      <c r="J67" s="692" t="str">
        <f t="shared" ca="1" si="0"/>
        <v xml:space="preserve"> </v>
      </c>
      <c r="L67" s="1510">
        <f ca="1">IF($A67&gt;Endyr,0,VLOOKUP($A67,Tariff_Table,Tariff!$J$33))</f>
        <v>0.19</v>
      </c>
      <c r="M67" s="1504">
        <f t="shared" ca="1" si="1"/>
        <v>1.6755808839625042</v>
      </c>
      <c r="N67" s="1511">
        <f t="shared" ca="1" si="7"/>
        <v>0.31836036795287581</v>
      </c>
      <c r="O67" s="334">
        <f ca="1">'Plant Operations'!$I67+'Plant Operations'!$M67</f>
        <v>289336.32000000001</v>
      </c>
      <c r="P67" s="1509">
        <f t="shared" ca="1" si="2"/>
        <v>92113.217297331023</v>
      </c>
      <c r="Q67" s="1480">
        <f t="shared" ca="1" si="8"/>
        <v>2.1925556020053616</v>
      </c>
      <c r="R67" s="335">
        <f t="shared" ca="1" si="9"/>
        <v>42011.804495668053</v>
      </c>
      <c r="S67" s="698" t="str">
        <f t="shared" ca="1" si="3"/>
        <v xml:space="preserve"> </v>
      </c>
    </row>
    <row r="68" spans="1:19">
      <c r="A68" s="672">
        <f ca="1">'Plant Operations'!A68</f>
        <v>37956</v>
      </c>
      <c r="C68" s="1484">
        <f ca="1">IF($A68&gt;Endyr,0,VLOOKUP($A68,Tariff_Table,Tariff!$D$33))</f>
        <v>9798.4359454443475</v>
      </c>
      <c r="D68" s="1480">
        <f ca="1">VLOOKUP($A68,Curves_Table,Escalation!$R$291)</f>
        <v>1.6755808839625042</v>
      </c>
      <c r="E68" s="1509">
        <f t="shared" ca="1" si="4"/>
        <v>16418.071962917616</v>
      </c>
      <c r="F68" s="330">
        <f ca="1">'Plant Operations'!C68</f>
        <v>480</v>
      </c>
      <c r="G68" s="1509">
        <f t="shared" ca="1" si="5"/>
        <v>7880.6745422004551</v>
      </c>
      <c r="H68" s="1504">
        <f ca="1">IF(Assm!$L$74=0,VLOOKUP($A68,Curves_Table,Escalation!$D$291),VLOOKUP($A68,Curves_Table,Escalation!$E$291))</f>
        <v>2.1988207218282909</v>
      </c>
      <c r="I68" s="384">
        <f t="shared" ca="1" si="6"/>
        <v>3584.0459678985453</v>
      </c>
      <c r="J68" s="692">
        <f t="shared" ca="1" si="0"/>
        <v>41699.542287869386</v>
      </c>
      <c r="L68" s="1510">
        <f ca="1">IF($A68&gt;Endyr,0,VLOOKUP($A68,Tariff_Table,Tariff!$J$33))</f>
        <v>0.19</v>
      </c>
      <c r="M68" s="1504">
        <f t="shared" ca="1" si="1"/>
        <v>1.6755808839625042</v>
      </c>
      <c r="N68" s="1511">
        <f t="shared" ca="1" si="7"/>
        <v>0.31836036795287581</v>
      </c>
      <c r="O68" s="334">
        <f ca="1">'Plant Operations'!$I68+'Plant Operations'!$M68</f>
        <v>298980.864</v>
      </c>
      <c r="P68" s="1509">
        <f t="shared" ca="1" si="2"/>
        <v>95183.657873908727</v>
      </c>
      <c r="Q68" s="1480">
        <f t="shared" ca="1" si="8"/>
        <v>2.1988207218282909</v>
      </c>
      <c r="R68" s="335">
        <f t="shared" ca="1" si="9"/>
        <v>43288.503209468006</v>
      </c>
      <c r="S68" s="698">
        <f t="shared" ca="1" si="3"/>
        <v>504491.97196668305</v>
      </c>
    </row>
    <row r="69" spans="1:19">
      <c r="A69" s="672">
        <f ca="1">'Plant Operations'!A69</f>
        <v>37987</v>
      </c>
      <c r="C69" s="1484">
        <f ca="1">IF($A69&gt;Endyr,0,VLOOKUP($A69,Tariff_Table,Tariff!$D$33))</f>
        <v>9798.4359454443475</v>
      </c>
      <c r="D69" s="1480">
        <f ca="1">VLOOKUP($A69,Curves_Table,Escalation!$R$291)</f>
        <v>1.6755808839625042</v>
      </c>
      <c r="E69" s="1509">
        <f t="shared" ca="1" si="4"/>
        <v>16418.071962917616</v>
      </c>
      <c r="F69" s="330">
        <f ca="1">'Plant Operations'!C69</f>
        <v>480</v>
      </c>
      <c r="G69" s="1509">
        <f t="shared" ca="1" si="5"/>
        <v>7880.6745422004551</v>
      </c>
      <c r="H69" s="1504">
        <f ca="1">IF(Assm!$L$74=0,VLOOKUP($A69,Curves_Table,Escalation!$D$291),VLOOKUP($A69,Curves_Table,Escalation!$E$291))</f>
        <v>2.2045030649335842</v>
      </c>
      <c r="I69" s="384">
        <f t="shared" ca="1" si="6"/>
        <v>3574.8077049908202</v>
      </c>
      <c r="J69" s="692" t="str">
        <f t="shared" ca="1" si="0"/>
        <v xml:space="preserve"> </v>
      </c>
      <c r="L69" s="1510">
        <f ca="1">IF($A69&gt;Endyr,0,VLOOKUP($A69,Tariff_Table,Tariff!$J$33))</f>
        <v>0.19</v>
      </c>
      <c r="M69" s="1504">
        <f t="shared" ca="1" si="1"/>
        <v>1.6755808839625042</v>
      </c>
      <c r="N69" s="1511">
        <f t="shared" ca="1" si="7"/>
        <v>0.31836036795287581</v>
      </c>
      <c r="O69" s="334">
        <f ca="1">'Plant Operations'!$I69+'Plant Operations'!$M69</f>
        <v>298980.864</v>
      </c>
      <c r="P69" s="1509">
        <f t="shared" ca="1" si="2"/>
        <v>95183.657873908727</v>
      </c>
      <c r="Q69" s="1480">
        <f t="shared" ca="1" si="8"/>
        <v>2.2045030649335842</v>
      </c>
      <c r="R69" s="335">
        <f t="shared" ca="1" si="9"/>
        <v>43176.92244931234</v>
      </c>
      <c r="S69" s="698" t="str">
        <f t="shared" ca="1" si="3"/>
        <v xml:space="preserve"> </v>
      </c>
    </row>
    <row r="70" spans="1:19">
      <c r="A70" s="672">
        <f ca="1">'Plant Operations'!A70</f>
        <v>38018</v>
      </c>
      <c r="C70" s="1484">
        <f ca="1">IF($A70&gt;Endyr,0,VLOOKUP($A70,Tariff_Table,Tariff!$D$33))</f>
        <v>9798.4359454443475</v>
      </c>
      <c r="D70" s="1480">
        <f ca="1">VLOOKUP($A70,Curves_Table,Escalation!$R$291)</f>
        <v>1.6755808839625042</v>
      </c>
      <c r="E70" s="1509">
        <f t="shared" ca="1" si="4"/>
        <v>16418.071962917616</v>
      </c>
      <c r="F70" s="330">
        <f ca="1">'Plant Operations'!C70</f>
        <v>480</v>
      </c>
      <c r="G70" s="1509">
        <f t="shared" ca="1" si="5"/>
        <v>7880.6745422004551</v>
      </c>
      <c r="H70" s="1504">
        <f ca="1">IF(Assm!$L$74=0,VLOOKUP($A70,Curves_Table,Escalation!$D$291),VLOOKUP($A70,Curves_Table,Escalation!$E$291))</f>
        <v>2.2102000927391106</v>
      </c>
      <c r="I70" s="384">
        <f t="shared" ca="1" si="6"/>
        <v>3565.5932546966374</v>
      </c>
      <c r="J70" s="692" t="str">
        <f t="shared" ca="1" si="0"/>
        <v xml:space="preserve"> </v>
      </c>
      <c r="L70" s="1510">
        <f ca="1">IF($A70&gt;Endyr,0,VLOOKUP($A70,Tariff_Table,Tariff!$J$33))</f>
        <v>0.19</v>
      </c>
      <c r="M70" s="1504">
        <f t="shared" ca="1" si="1"/>
        <v>1.6755808839625042</v>
      </c>
      <c r="N70" s="1511">
        <f t="shared" ca="1" si="7"/>
        <v>0.31836036795287581</v>
      </c>
      <c r="O70" s="334">
        <f ca="1">'Plant Operations'!$I70+'Plant Operations'!$M70</f>
        <v>279691.77600000001</v>
      </c>
      <c r="P70" s="1509">
        <f t="shared" ca="1" si="2"/>
        <v>89042.776720753318</v>
      </c>
      <c r="Q70" s="1480">
        <f t="shared" ca="1" si="8"/>
        <v>2.2102000927391106</v>
      </c>
      <c r="R70" s="335">
        <f t="shared" ca="1" si="9"/>
        <v>40287.201603725487</v>
      </c>
      <c r="S70" s="698" t="str">
        <f t="shared" ca="1" si="3"/>
        <v xml:space="preserve"> </v>
      </c>
    </row>
    <row r="71" spans="1:19">
      <c r="A71" s="672">
        <f ca="1">'Plant Operations'!A71</f>
        <v>38047</v>
      </c>
      <c r="C71" s="1484">
        <f ca="1">IF($A71&gt;Endyr,0,VLOOKUP($A71,Tariff_Table,Tariff!$D$33))</f>
        <v>9798.4359454443475</v>
      </c>
      <c r="D71" s="1480">
        <f ca="1">VLOOKUP($A71,Curves_Table,Escalation!$R$291)</f>
        <v>1.6755808839625042</v>
      </c>
      <c r="E71" s="1509">
        <f t="shared" ca="1" si="4"/>
        <v>16418.071962917616</v>
      </c>
      <c r="F71" s="330">
        <f ca="1">'Plant Operations'!C71</f>
        <v>480</v>
      </c>
      <c r="G71" s="1509">
        <f t="shared" ca="1" si="5"/>
        <v>7880.6745422004551</v>
      </c>
      <c r="H71" s="1504">
        <f ca="1">IF(Assm!$L$74=0,VLOOKUP($A71,Curves_Table,Escalation!$D$291),VLOOKUP($A71,Curves_Table,Escalation!$E$291))</f>
        <v>2.2159118431940779</v>
      </c>
      <c r="I71" s="384">
        <f t="shared" ca="1" si="6"/>
        <v>3556.4025556364322</v>
      </c>
      <c r="J71" s="692" t="str">
        <f t="shared" ca="1" si="0"/>
        <v xml:space="preserve"> </v>
      </c>
      <c r="L71" s="1510">
        <f ca="1">IF($A71&gt;Endyr,0,VLOOKUP($A71,Tariff_Table,Tariff!$J$33))</f>
        <v>0.19</v>
      </c>
      <c r="M71" s="1504">
        <f t="shared" ca="1" si="1"/>
        <v>1.6755808839625042</v>
      </c>
      <c r="N71" s="1511">
        <f t="shared" ca="1" si="7"/>
        <v>0.31836036795287581</v>
      </c>
      <c r="O71" s="334">
        <f ca="1">'Plant Operations'!$I71+'Plant Operations'!$M71</f>
        <v>298980.864</v>
      </c>
      <c r="P71" s="1509">
        <f t="shared" ca="1" si="2"/>
        <v>95183.657873908727</v>
      </c>
      <c r="Q71" s="1480">
        <f t="shared" ca="1" si="8"/>
        <v>2.2159118431940779</v>
      </c>
      <c r="R71" s="335">
        <f t="shared" ca="1" si="9"/>
        <v>42954.62302178426</v>
      </c>
      <c r="S71" s="698" t="str">
        <f t="shared" ca="1" si="3"/>
        <v xml:space="preserve"> </v>
      </c>
    </row>
    <row r="72" spans="1:19">
      <c r="A72" s="672">
        <f ca="1">'Plant Operations'!A72</f>
        <v>38078</v>
      </c>
      <c r="C72" s="1484">
        <f ca="1">IF($A72&gt;Endyr,0,VLOOKUP($A72,Tariff_Table,Tariff!$D$33))</f>
        <v>9798.4359454443475</v>
      </c>
      <c r="D72" s="1480">
        <f ca="1">VLOOKUP($A72,Curves_Table,Escalation!$R$291)</f>
        <v>1.6755808839625042</v>
      </c>
      <c r="E72" s="1509">
        <f t="shared" ca="1" si="4"/>
        <v>16418.071962917616</v>
      </c>
      <c r="F72" s="330">
        <f ca="1">'Plant Operations'!C72</f>
        <v>480</v>
      </c>
      <c r="G72" s="1509">
        <f t="shared" ca="1" si="5"/>
        <v>7880.6745422004551</v>
      </c>
      <c r="H72" s="1504">
        <f ca="1">IF(Assm!$L$74=0,VLOOKUP($A72,Curves_Table,Escalation!$D$291),VLOOKUP($A72,Curves_Table,Escalation!$E$291))</f>
        <v>2.2216383543457656</v>
      </c>
      <c r="I72" s="384">
        <f t="shared" ca="1" si="6"/>
        <v>3547.23554658885</v>
      </c>
      <c r="J72" s="692" t="str">
        <f t="shared" ca="1" si="0"/>
        <v xml:space="preserve"> </v>
      </c>
      <c r="L72" s="1510">
        <f ca="1">IF($A72&gt;Endyr,0,VLOOKUP($A72,Tariff_Table,Tariff!$J$33))</f>
        <v>0.19</v>
      </c>
      <c r="M72" s="1504">
        <f t="shared" ca="1" si="1"/>
        <v>1.6755808839625042</v>
      </c>
      <c r="N72" s="1511">
        <f t="shared" ca="1" si="7"/>
        <v>0.31836036795287581</v>
      </c>
      <c r="O72" s="334">
        <f ca="1">'Plant Operations'!$I72+'Plant Operations'!$M72</f>
        <v>289336.32000000001</v>
      </c>
      <c r="P72" s="1509">
        <f t="shared" ca="1" si="2"/>
        <v>92113.217297331023</v>
      </c>
      <c r="Q72" s="1480">
        <f t="shared" ca="1" si="8"/>
        <v>2.2216383543457656</v>
      </c>
      <c r="R72" s="335">
        <f t="shared" ca="1" si="9"/>
        <v>41461.841490604253</v>
      </c>
      <c r="S72" s="698" t="str">
        <f t="shared" ca="1" si="3"/>
        <v xml:space="preserve"> </v>
      </c>
    </row>
    <row r="73" spans="1:19">
      <c r="A73" s="672">
        <f ca="1">'Plant Operations'!A73</f>
        <v>38108</v>
      </c>
      <c r="C73" s="1484">
        <f ca="1">IF($A73&gt;Endyr,0,VLOOKUP($A73,Tariff_Table,Tariff!$D$33))</f>
        <v>9794.8934010152279</v>
      </c>
      <c r="D73" s="1480">
        <f ca="1">VLOOKUP($A73,Curves_Table,Escalation!$R$291)</f>
        <v>1.8096273546795039</v>
      </c>
      <c r="E73" s="1509">
        <f t="shared" ca="1" si="4"/>
        <v>17725.107034646917</v>
      </c>
      <c r="F73" s="330">
        <f ca="1">'Plant Operations'!C73</f>
        <v>480</v>
      </c>
      <c r="G73" s="1509">
        <f t="shared" ca="1" si="5"/>
        <v>8508.0513766305212</v>
      </c>
      <c r="H73" s="1504">
        <f ca="1">IF(Assm!$L$74=0,VLOOKUP($A73,Curves_Table,Escalation!$D$291),VLOOKUP($A73,Curves_Table,Escalation!$E$291))</f>
        <v>2.227379664339777</v>
      </c>
      <c r="I73" s="384">
        <f t="shared" ca="1" si="6"/>
        <v>3819.7580380408176</v>
      </c>
      <c r="J73" s="692" t="str">
        <f t="shared" ca="1" si="0"/>
        <v xml:space="preserve"> </v>
      </c>
      <c r="L73" s="1510">
        <f ca="1">IF($A73&gt;Endyr,0,VLOOKUP($A73,Tariff_Table,Tariff!$J$33))</f>
        <v>0.19</v>
      </c>
      <c r="M73" s="1504">
        <f t="shared" ca="1" si="1"/>
        <v>1.8096273546795039</v>
      </c>
      <c r="N73" s="1511">
        <f t="shared" ca="1" si="7"/>
        <v>0.34382919738910572</v>
      </c>
      <c r="O73" s="334">
        <f ca="1">'Plant Operations'!$I73+'Plant Operations'!$M73</f>
        <v>298980.864</v>
      </c>
      <c r="P73" s="1509">
        <f t="shared" ca="1" si="2"/>
        <v>102798.35050382138</v>
      </c>
      <c r="Q73" s="1480">
        <f t="shared" ca="1" si="8"/>
        <v>2.227379664339777</v>
      </c>
      <c r="R73" s="335">
        <f t="shared" ca="1" si="9"/>
        <v>46152.145568004045</v>
      </c>
      <c r="S73" s="698" t="str">
        <f t="shared" ca="1" si="3"/>
        <v xml:space="preserve"> </v>
      </c>
    </row>
    <row r="74" spans="1:19">
      <c r="A74" s="672">
        <f ca="1">'Plant Operations'!A74</f>
        <v>38139</v>
      </c>
      <c r="C74" s="1484">
        <f ca="1">IF($A74&gt;Endyr,0,VLOOKUP($A74,Tariff_Table,Tariff!$D$33))</f>
        <v>9794.8934010152279</v>
      </c>
      <c r="D74" s="1480">
        <f ca="1">VLOOKUP($A74,Curves_Table,Escalation!$R$291)</f>
        <v>1.8096273546795039</v>
      </c>
      <c r="E74" s="1509">
        <f t="shared" ca="1" si="4"/>
        <v>17725.107034646917</v>
      </c>
      <c r="F74" s="330">
        <f ca="1">'Plant Operations'!C74</f>
        <v>480</v>
      </c>
      <c r="G74" s="1509">
        <f t="shared" ca="1" si="5"/>
        <v>8508.0513766305212</v>
      </c>
      <c r="H74" s="1504">
        <f ca="1">IF(Assm!$L$74=0,VLOOKUP($A74,Curves_Table,Escalation!$D$291),VLOOKUP($A74,Curves_Table,Escalation!$E$291))</f>
        <v>2.2331358114202935</v>
      </c>
      <c r="I74" s="384">
        <f t="shared" ca="1" si="6"/>
        <v>3809.9122019897786</v>
      </c>
      <c r="J74" s="692" t="str">
        <f t="shared" ca="1" si="0"/>
        <v xml:space="preserve"> </v>
      </c>
      <c r="L74" s="1510">
        <f ca="1">IF($A74&gt;Endyr,0,VLOOKUP($A74,Tariff_Table,Tariff!$J$33))</f>
        <v>0.19</v>
      </c>
      <c r="M74" s="1504">
        <f t="shared" ca="1" si="1"/>
        <v>1.8096273546795039</v>
      </c>
      <c r="N74" s="1511">
        <f t="shared" ca="1" si="7"/>
        <v>0.34382919738910572</v>
      </c>
      <c r="O74" s="334">
        <f ca="1">'Plant Operations'!$I74+'Plant Operations'!$M74</f>
        <v>289336.32000000001</v>
      </c>
      <c r="P74" s="1509">
        <f t="shared" ca="1" si="2"/>
        <v>99482.274681117458</v>
      </c>
      <c r="Q74" s="1480">
        <f t="shared" ca="1" si="8"/>
        <v>2.2331358114202935</v>
      </c>
      <c r="R74" s="335">
        <f t="shared" ca="1" si="9"/>
        <v>44548.242060497825</v>
      </c>
      <c r="S74" s="698" t="str">
        <f t="shared" ca="1" si="3"/>
        <v xml:space="preserve"> </v>
      </c>
    </row>
    <row r="75" spans="1:19">
      <c r="A75" s="672">
        <f ca="1">'Plant Operations'!A75</f>
        <v>38169</v>
      </c>
      <c r="C75" s="1484">
        <f ca="1">IF($A75&gt;Endyr,0,VLOOKUP($A75,Tariff_Table,Tariff!$D$33))</f>
        <v>9794.8934010152279</v>
      </c>
      <c r="D75" s="1480">
        <f ca="1">VLOOKUP($A75,Curves_Table,Escalation!$R$291)</f>
        <v>1.8096273546795039</v>
      </c>
      <c r="E75" s="1509">
        <f t="shared" ca="1" si="4"/>
        <v>17725.107034646917</v>
      </c>
      <c r="F75" s="330">
        <f ca="1">'Plant Operations'!C75</f>
        <v>480</v>
      </c>
      <c r="G75" s="1509">
        <f t="shared" ca="1" si="5"/>
        <v>8508.0513766305212</v>
      </c>
      <c r="H75" s="1504">
        <f ca="1">IF(Assm!$L$74=0,VLOOKUP($A75,Curves_Table,Escalation!$D$291),VLOOKUP($A75,Curves_Table,Escalation!$E$291))</f>
        <v>2.2389068339303306</v>
      </c>
      <c r="I75" s="384">
        <f t="shared" ca="1" si="6"/>
        <v>3800.0917446372273</v>
      </c>
      <c r="J75" s="692" t="str">
        <f t="shared" ca="1" si="0"/>
        <v xml:space="preserve"> </v>
      </c>
      <c r="L75" s="1510">
        <f ca="1">IF($A75&gt;Endyr,0,VLOOKUP($A75,Tariff_Table,Tariff!$J$33))</f>
        <v>0.19</v>
      </c>
      <c r="M75" s="1504">
        <f t="shared" ca="1" si="1"/>
        <v>1.8096273546795039</v>
      </c>
      <c r="N75" s="1511">
        <f t="shared" ca="1" si="7"/>
        <v>0.34382919738910572</v>
      </c>
      <c r="O75" s="334">
        <f ca="1">'Plant Operations'!$I75+'Plant Operations'!$M75</f>
        <v>298980.864</v>
      </c>
      <c r="P75" s="1509">
        <f t="shared" ca="1" si="2"/>
        <v>102798.35050382138</v>
      </c>
      <c r="Q75" s="1480">
        <f t="shared" ca="1" si="8"/>
        <v>2.2389068339303306</v>
      </c>
      <c r="R75" s="335">
        <f t="shared" ca="1" si="9"/>
        <v>45914.527994611592</v>
      </c>
      <c r="S75" s="698" t="str">
        <f t="shared" ca="1" si="3"/>
        <v xml:space="preserve"> </v>
      </c>
    </row>
    <row r="76" spans="1:19">
      <c r="A76" s="672">
        <f ca="1">'Plant Operations'!A76</f>
        <v>38200</v>
      </c>
      <c r="C76" s="1484">
        <f ca="1">IF($A76&gt;Endyr,0,VLOOKUP($A76,Tariff_Table,Tariff!$D$33))</f>
        <v>9794.8934010152279</v>
      </c>
      <c r="D76" s="1480">
        <f ca="1">VLOOKUP($A76,Curves_Table,Escalation!$R$291)</f>
        <v>1.8096273546795039</v>
      </c>
      <c r="E76" s="1509">
        <f t="shared" ca="1" si="4"/>
        <v>17725.107034646917</v>
      </c>
      <c r="F76" s="330">
        <f ca="1">'Plant Operations'!C76</f>
        <v>480</v>
      </c>
      <c r="G76" s="1509">
        <f t="shared" ca="1" si="5"/>
        <v>8508.0513766305212</v>
      </c>
      <c r="H76" s="1504">
        <f ca="1">IF(Assm!$L$74=0,VLOOKUP($A76,Curves_Table,Escalation!$D$291),VLOOKUP($A76,Curves_Table,Escalation!$E$291))</f>
        <v>2.2446927703119925</v>
      </c>
      <c r="I76" s="384">
        <f t="shared" ca="1" si="6"/>
        <v>3790.2966005668459</v>
      </c>
      <c r="J76" s="692" t="str">
        <f t="shared" ref="J76:J139" ca="1" si="10">IF(MONTH($A76)=12,SUM(I65:I76)," ")</f>
        <v xml:space="preserve"> </v>
      </c>
      <c r="L76" s="1510">
        <f ca="1">IF($A76&gt;Endyr,0,VLOOKUP($A76,Tariff_Table,Tariff!$J$33))</f>
        <v>0.19</v>
      </c>
      <c r="M76" s="1504">
        <f t="shared" ref="M76:M139" ca="1" si="11">D76</f>
        <v>1.8096273546795039</v>
      </c>
      <c r="N76" s="1511">
        <f t="shared" ca="1" si="7"/>
        <v>0.34382919738910572</v>
      </c>
      <c r="O76" s="334">
        <f ca="1">'Plant Operations'!$I76+'Plant Operations'!$M76</f>
        <v>298980.864</v>
      </c>
      <c r="P76" s="1509">
        <f t="shared" ref="P76:P139" ca="1" si="12">N76*O76</f>
        <v>102798.35050382138</v>
      </c>
      <c r="Q76" s="1480">
        <f t="shared" ca="1" si="8"/>
        <v>2.2446927703119925</v>
      </c>
      <c r="R76" s="335">
        <f t="shared" ca="1" si="9"/>
        <v>45796.178373904288</v>
      </c>
      <c r="S76" s="698" t="str">
        <f t="shared" ref="S76:S139" ca="1" si="13">IF(MONTH($A76)=12,SUM(R65:R76)," ")</f>
        <v xml:space="preserve"> </v>
      </c>
    </row>
    <row r="77" spans="1:19">
      <c r="A77" s="672">
        <f ca="1">'Plant Operations'!A77</f>
        <v>38231</v>
      </c>
      <c r="C77" s="1484">
        <f ca="1">IF($A77&gt;Endyr,0,VLOOKUP($A77,Tariff_Table,Tariff!$D$33))</f>
        <v>9794.8934010152279</v>
      </c>
      <c r="D77" s="1480">
        <f ca="1">VLOOKUP($A77,Curves_Table,Escalation!$R$291)</f>
        <v>1.8096273546795039</v>
      </c>
      <c r="E77" s="1509">
        <f t="shared" ref="E77:E140" ca="1" si="14">C77*D77</f>
        <v>17725.107034646917</v>
      </c>
      <c r="F77" s="330">
        <f ca="1">'Plant Operations'!C77</f>
        <v>480</v>
      </c>
      <c r="G77" s="1509">
        <f t="shared" ref="G77:G140" ca="1" si="15">E77*F77/1000</f>
        <v>8508.0513766305212</v>
      </c>
      <c r="H77" s="1504">
        <f ca="1">IF(Assm!$L$74=0,VLOOKUP($A77,Curves_Table,Escalation!$D$291),VLOOKUP($A77,Curves_Table,Escalation!$E$291))</f>
        <v>2.2504936591067271</v>
      </c>
      <c r="I77" s="384">
        <f t="shared" ref="I77:I140" ca="1" si="16">G77/H77</f>
        <v>3780.5267045309356</v>
      </c>
      <c r="J77" s="692" t="str">
        <f t="shared" ca="1" si="10"/>
        <v xml:space="preserve"> </v>
      </c>
      <c r="L77" s="1510">
        <f ca="1">IF($A77&gt;Endyr,0,VLOOKUP($A77,Tariff_Table,Tariff!$J$33))</f>
        <v>0.19</v>
      </c>
      <c r="M77" s="1504">
        <f t="shared" ca="1" si="11"/>
        <v>1.8096273546795039</v>
      </c>
      <c r="N77" s="1511">
        <f t="shared" ref="N77:N140" ca="1" si="17">L77*M77</f>
        <v>0.34382919738910572</v>
      </c>
      <c r="O77" s="334">
        <f ca="1">'Plant Operations'!$I77+'Plant Operations'!$M77</f>
        <v>289336.32000000001</v>
      </c>
      <c r="P77" s="1509">
        <f t="shared" ca="1" si="12"/>
        <v>99482.274681117458</v>
      </c>
      <c r="Q77" s="1480">
        <f t="shared" ref="Q77:Q140" ca="1" si="18">$H77</f>
        <v>2.2504936591067271</v>
      </c>
      <c r="R77" s="335">
        <f t="shared" ref="R77:R140" ca="1" si="19">P77/Q77</f>
        <v>44204.64562455345</v>
      </c>
      <c r="S77" s="698" t="str">
        <f t="shared" ca="1" si="13"/>
        <v xml:space="preserve"> </v>
      </c>
    </row>
    <row r="78" spans="1:19">
      <c r="A78" s="672">
        <f ca="1">'Plant Operations'!A78</f>
        <v>38261</v>
      </c>
      <c r="C78" s="1484">
        <f ca="1">IF($A78&gt;Endyr,0,VLOOKUP($A78,Tariff_Table,Tariff!$D$33))</f>
        <v>9794.8934010152279</v>
      </c>
      <c r="D78" s="1480">
        <f ca="1">VLOOKUP($A78,Curves_Table,Escalation!$R$291)</f>
        <v>1.8096273546795039</v>
      </c>
      <c r="E78" s="1509">
        <f t="shared" ca="1" si="14"/>
        <v>17725.107034646917</v>
      </c>
      <c r="F78" s="330">
        <f ca="1">'Plant Operations'!C78</f>
        <v>480</v>
      </c>
      <c r="G78" s="1509">
        <f t="shared" ca="1" si="15"/>
        <v>8508.0513766305212</v>
      </c>
      <c r="H78" s="1504">
        <f ca="1">IF(Assm!$L$74=0,VLOOKUP($A78,Curves_Table,Escalation!$D$291),VLOOKUP($A78,Curves_Table,Escalation!$E$291))</f>
        <v>2.2563095389555845</v>
      </c>
      <c r="I78" s="384">
        <f t="shared" ca="1" si="16"/>
        <v>3770.7819914499782</v>
      </c>
      <c r="J78" s="692" t="str">
        <f t="shared" ca="1" si="10"/>
        <v xml:space="preserve"> </v>
      </c>
      <c r="L78" s="1510">
        <f ca="1">IF($A78&gt;Endyr,0,VLOOKUP($A78,Tariff_Table,Tariff!$J$33))</f>
        <v>0.19</v>
      </c>
      <c r="M78" s="1504">
        <f t="shared" ca="1" si="11"/>
        <v>1.8096273546795039</v>
      </c>
      <c r="N78" s="1511">
        <f t="shared" ca="1" si="17"/>
        <v>0.34382919738910572</v>
      </c>
      <c r="O78" s="334">
        <f ca="1">'Plant Operations'!$I78+'Plant Operations'!$M78</f>
        <v>298980.864</v>
      </c>
      <c r="P78" s="1509">
        <f t="shared" ca="1" si="12"/>
        <v>102798.35050382138</v>
      </c>
      <c r="Q78" s="1480">
        <f t="shared" ca="1" si="18"/>
        <v>2.2563095389555845</v>
      </c>
      <c r="R78" s="335">
        <f t="shared" ca="1" si="19"/>
        <v>45560.393522692531</v>
      </c>
      <c r="S78" s="698" t="str">
        <f t="shared" ca="1" si="13"/>
        <v xml:space="preserve"> </v>
      </c>
    </row>
    <row r="79" spans="1:19">
      <c r="A79" s="672">
        <f ca="1">'Plant Operations'!A79</f>
        <v>38292</v>
      </c>
      <c r="C79" s="1484">
        <f ca="1">IF($A79&gt;Endyr,0,VLOOKUP($A79,Tariff_Table,Tariff!$D$33))</f>
        <v>9794.8934010152279</v>
      </c>
      <c r="D79" s="1480">
        <f ca="1">VLOOKUP($A79,Curves_Table,Escalation!$R$291)</f>
        <v>1.8096273546795039</v>
      </c>
      <c r="E79" s="1509">
        <f t="shared" ca="1" si="14"/>
        <v>17725.107034646917</v>
      </c>
      <c r="F79" s="330">
        <f ca="1">'Plant Operations'!C79</f>
        <v>480</v>
      </c>
      <c r="G79" s="1509">
        <f t="shared" ca="1" si="15"/>
        <v>8508.0513766305212</v>
      </c>
      <c r="H79" s="1504">
        <f ca="1">IF(Assm!$L$74=0,VLOOKUP($A79,Curves_Table,Escalation!$D$291),VLOOKUP($A79,Curves_Table,Escalation!$E$291))</f>
        <v>2.2621404485994736</v>
      </c>
      <c r="I79" s="384">
        <f t="shared" ca="1" si="16"/>
        <v>3761.0623964122069</v>
      </c>
      <c r="J79" s="692" t="str">
        <f t="shared" ca="1" si="10"/>
        <v xml:space="preserve"> </v>
      </c>
      <c r="L79" s="1510">
        <f ca="1">IF($A79&gt;Endyr,0,VLOOKUP($A79,Tariff_Table,Tariff!$J$33))</f>
        <v>0.19</v>
      </c>
      <c r="M79" s="1504">
        <f t="shared" ca="1" si="11"/>
        <v>1.8096273546795039</v>
      </c>
      <c r="N79" s="1511">
        <f t="shared" ca="1" si="17"/>
        <v>0.34382919738910572</v>
      </c>
      <c r="O79" s="334">
        <f ca="1">'Plant Operations'!$I79+'Plant Operations'!$M79</f>
        <v>289336.32000000001</v>
      </c>
      <c r="P79" s="1509">
        <f t="shared" ca="1" si="12"/>
        <v>99482.274681117458</v>
      </c>
      <c r="Q79" s="1480">
        <f t="shared" ca="1" si="18"/>
        <v>2.2621404485994736</v>
      </c>
      <c r="R79" s="335">
        <f t="shared" ca="1" si="19"/>
        <v>43977.054891843029</v>
      </c>
      <c r="S79" s="698" t="str">
        <f t="shared" ca="1" si="13"/>
        <v xml:space="preserve"> </v>
      </c>
    </row>
    <row r="80" spans="1:19">
      <c r="A80" s="672">
        <f ca="1">'Plant Operations'!A80</f>
        <v>38322</v>
      </c>
      <c r="C80" s="1484">
        <f ca="1">IF($A80&gt;Endyr,0,VLOOKUP($A80,Tariff_Table,Tariff!$D$33))</f>
        <v>9794.8934010152279</v>
      </c>
      <c r="D80" s="1480">
        <f ca="1">VLOOKUP($A80,Curves_Table,Escalation!$R$291)</f>
        <v>1.8096273546795039</v>
      </c>
      <c r="E80" s="1509">
        <f t="shared" ca="1" si="14"/>
        <v>17725.107034646917</v>
      </c>
      <c r="F80" s="330">
        <f ca="1">'Plant Operations'!C80</f>
        <v>480</v>
      </c>
      <c r="G80" s="1509">
        <f t="shared" ca="1" si="15"/>
        <v>8508.0513766305212</v>
      </c>
      <c r="H80" s="1504">
        <f ca="1">IF(Assm!$L$74=0,VLOOKUP($A80,Curves_Table,Escalation!$D$291),VLOOKUP($A80,Curves_Table,Escalation!$E$291))</f>
        <v>2.2679864268794208</v>
      </c>
      <c r="I80" s="384">
        <f t="shared" ca="1" si="16"/>
        <v>3751.3678546731703</v>
      </c>
      <c r="J80" s="692">
        <f t="shared" ca="1" si="10"/>
        <v>44527.836594213695</v>
      </c>
      <c r="L80" s="1510">
        <f ca="1">IF($A80&gt;Endyr,0,VLOOKUP($A80,Tariff_Table,Tariff!$J$33))</f>
        <v>0.19</v>
      </c>
      <c r="M80" s="1504">
        <f t="shared" ca="1" si="11"/>
        <v>1.8096273546795039</v>
      </c>
      <c r="N80" s="1511">
        <f t="shared" ca="1" si="17"/>
        <v>0.34382919738910572</v>
      </c>
      <c r="O80" s="334">
        <f ca="1">'Plant Operations'!$I80+'Plant Operations'!$M80</f>
        <v>298980.864</v>
      </c>
      <c r="P80" s="1509">
        <f t="shared" ca="1" si="12"/>
        <v>102798.35050382138</v>
      </c>
      <c r="Q80" s="1480">
        <f t="shared" ca="1" si="18"/>
        <v>2.2679864268794208</v>
      </c>
      <c r="R80" s="335">
        <f t="shared" ca="1" si="19"/>
        <v>45325.822626400899</v>
      </c>
      <c r="S80" s="698">
        <f t="shared" ca="1" si="13"/>
        <v>529359.59922793403</v>
      </c>
    </row>
    <row r="81" spans="1:19">
      <c r="A81" s="672">
        <f ca="1">'Plant Operations'!A81</f>
        <v>38353</v>
      </c>
      <c r="C81" s="1484">
        <f ca="1">IF($A81&gt;Endyr,0,VLOOKUP($A81,Tariff_Table,Tariff!$D$33))</f>
        <v>9794.8934010152279</v>
      </c>
      <c r="D81" s="1480">
        <f ca="1">VLOOKUP($A81,Curves_Table,Escalation!$R$291)</f>
        <v>1.8096273546795039</v>
      </c>
      <c r="E81" s="1509">
        <f t="shared" ca="1" si="14"/>
        <v>17725.107034646917</v>
      </c>
      <c r="F81" s="330">
        <f ca="1">'Plant Operations'!C81</f>
        <v>480</v>
      </c>
      <c r="G81" s="1509">
        <f t="shared" ca="1" si="15"/>
        <v>8508.0513766305212</v>
      </c>
      <c r="H81" s="1504">
        <f ca="1">IF(Assm!$L$74=0,VLOOKUP($A81,Curves_Table,Escalation!$D$291),VLOOKUP($A81,Curves_Table,Escalation!$E$291))</f>
        <v>2.2732944230483629</v>
      </c>
      <c r="I81" s="384">
        <f t="shared" ca="1" si="16"/>
        <v>3742.6086521699604</v>
      </c>
      <c r="J81" s="692" t="str">
        <f t="shared" ca="1" si="10"/>
        <v xml:space="preserve"> </v>
      </c>
      <c r="L81" s="1510">
        <f ca="1">IF($A81&gt;Endyr,0,VLOOKUP($A81,Tariff_Table,Tariff!$J$33))</f>
        <v>0.19</v>
      </c>
      <c r="M81" s="1504">
        <f t="shared" ca="1" si="11"/>
        <v>1.8096273546795039</v>
      </c>
      <c r="N81" s="1511">
        <f t="shared" ca="1" si="17"/>
        <v>0.34382919738910572</v>
      </c>
      <c r="O81" s="334">
        <f ca="1">'Plant Operations'!$I81+'Plant Operations'!$M81</f>
        <v>298980.864</v>
      </c>
      <c r="P81" s="1509">
        <f t="shared" ca="1" si="12"/>
        <v>102798.35050382138</v>
      </c>
      <c r="Q81" s="1480">
        <f t="shared" ca="1" si="18"/>
        <v>2.2732944230483629</v>
      </c>
      <c r="R81" s="335">
        <f t="shared" ca="1" si="19"/>
        <v>45219.989747731153</v>
      </c>
      <c r="S81" s="698" t="str">
        <f t="shared" ca="1" si="13"/>
        <v xml:space="preserve"> </v>
      </c>
    </row>
    <row r="82" spans="1:19">
      <c r="A82" s="672">
        <f ca="1">'Plant Operations'!A82</f>
        <v>38384</v>
      </c>
      <c r="C82" s="1484">
        <f ca="1">IF($A82&gt;Endyr,0,VLOOKUP($A82,Tariff_Table,Tariff!$D$33))</f>
        <v>9794.8934010152279</v>
      </c>
      <c r="D82" s="1480">
        <f ca="1">VLOOKUP($A82,Curves_Table,Escalation!$R$291)</f>
        <v>1.8096273546795039</v>
      </c>
      <c r="E82" s="1509">
        <f t="shared" ca="1" si="14"/>
        <v>17725.107034646917</v>
      </c>
      <c r="F82" s="330">
        <f ca="1">'Plant Operations'!C82</f>
        <v>480</v>
      </c>
      <c r="G82" s="1509">
        <f t="shared" ca="1" si="15"/>
        <v>8508.0513766305212</v>
      </c>
      <c r="H82" s="1504">
        <f ca="1">IF(Assm!$L$74=0,VLOOKUP($A82,Curves_Table,Escalation!$D$291),VLOOKUP($A82,Curves_Table,Escalation!$E$291))</f>
        <v>2.2786148420532601</v>
      </c>
      <c r="I82" s="384">
        <f t="shared" ca="1" si="16"/>
        <v>3733.8699018408547</v>
      </c>
      <c r="J82" s="692" t="str">
        <f t="shared" ca="1" si="10"/>
        <v xml:space="preserve"> </v>
      </c>
      <c r="L82" s="1510">
        <f ca="1">IF($A82&gt;Endyr,0,VLOOKUP($A82,Tariff_Table,Tariff!$J$33))</f>
        <v>0.19</v>
      </c>
      <c r="M82" s="1504">
        <f t="shared" ca="1" si="11"/>
        <v>1.8096273546795039</v>
      </c>
      <c r="N82" s="1511">
        <f t="shared" ca="1" si="17"/>
        <v>0.34382919738910572</v>
      </c>
      <c r="O82" s="334">
        <f ca="1">'Plant Operations'!$I82+'Plant Operations'!$M82</f>
        <v>270047.23200000002</v>
      </c>
      <c r="P82" s="1509">
        <f t="shared" ca="1" si="12"/>
        <v>92850.123035709636</v>
      </c>
      <c r="Q82" s="1480">
        <f t="shared" ca="1" si="18"/>
        <v>2.2786148420532601</v>
      </c>
      <c r="R82" s="335">
        <f t="shared" ca="1" si="19"/>
        <v>40748.493919245419</v>
      </c>
      <c r="S82" s="698" t="str">
        <f t="shared" ca="1" si="13"/>
        <v xml:space="preserve"> </v>
      </c>
    </row>
    <row r="83" spans="1:19">
      <c r="A83" s="672">
        <f ca="1">'Plant Operations'!A83</f>
        <v>38412</v>
      </c>
      <c r="C83" s="1484">
        <f ca="1">IF($A83&gt;Endyr,0,VLOOKUP($A83,Tariff_Table,Tariff!$D$33))</f>
        <v>9794.8934010152279</v>
      </c>
      <c r="D83" s="1480">
        <f ca="1">VLOOKUP($A83,Curves_Table,Escalation!$R$291)</f>
        <v>1.8096273546795039</v>
      </c>
      <c r="E83" s="1509">
        <f t="shared" ca="1" si="14"/>
        <v>17725.107034646917</v>
      </c>
      <c r="F83" s="330">
        <f ca="1">'Plant Operations'!C83</f>
        <v>480</v>
      </c>
      <c r="G83" s="1509">
        <f t="shared" ca="1" si="15"/>
        <v>8508.0513766305212</v>
      </c>
      <c r="H83" s="1504">
        <f ca="1">IF(Assm!$L$74=0,VLOOKUP($A83,Curves_Table,Escalation!$D$291),VLOOKUP($A83,Curves_Table,Escalation!$E$291))</f>
        <v>2.2839477129685219</v>
      </c>
      <c r="I83" s="384">
        <f t="shared" ca="1" si="16"/>
        <v>3725.1515559313425</v>
      </c>
      <c r="J83" s="692" t="str">
        <f t="shared" ca="1" si="10"/>
        <v xml:space="preserve"> </v>
      </c>
      <c r="L83" s="1510">
        <f ca="1">IF($A83&gt;Endyr,0,VLOOKUP($A83,Tariff_Table,Tariff!$J$33))</f>
        <v>0.19</v>
      </c>
      <c r="M83" s="1504">
        <f t="shared" ca="1" si="11"/>
        <v>1.8096273546795039</v>
      </c>
      <c r="N83" s="1511">
        <f t="shared" ca="1" si="17"/>
        <v>0.34382919738910572</v>
      </c>
      <c r="O83" s="334">
        <f ca="1">'Plant Operations'!$I83+'Plant Operations'!$M83</f>
        <v>298980.864</v>
      </c>
      <c r="P83" s="1509">
        <f t="shared" ca="1" si="12"/>
        <v>102798.35050382138</v>
      </c>
      <c r="Q83" s="1480">
        <f t="shared" ca="1" si="18"/>
        <v>2.2839477129685219</v>
      </c>
      <c r="R83" s="335">
        <f t="shared" ca="1" si="19"/>
        <v>45009.064752279715</v>
      </c>
      <c r="S83" s="698" t="str">
        <f t="shared" ca="1" si="13"/>
        <v xml:space="preserve"> </v>
      </c>
    </row>
    <row r="84" spans="1:19">
      <c r="A84" s="672">
        <f ca="1">'Plant Operations'!A84</f>
        <v>38443</v>
      </c>
      <c r="C84" s="1484">
        <f ca="1">IF($A84&gt;Endyr,0,VLOOKUP($A84,Tariff_Table,Tariff!$D$33))</f>
        <v>9794.8934010152279</v>
      </c>
      <c r="D84" s="1480">
        <f ca="1">VLOOKUP($A84,Curves_Table,Escalation!$R$291)</f>
        <v>1.8096273546795039</v>
      </c>
      <c r="E84" s="1509">
        <f t="shared" ca="1" si="14"/>
        <v>17725.107034646917</v>
      </c>
      <c r="F84" s="330">
        <f ca="1">'Plant Operations'!C84</f>
        <v>480</v>
      </c>
      <c r="G84" s="1509">
        <f t="shared" ca="1" si="15"/>
        <v>8508.0513766305212</v>
      </c>
      <c r="H84" s="1504">
        <f ca="1">IF(Assm!$L$74=0,VLOOKUP($A84,Curves_Table,Escalation!$D$291),VLOOKUP($A84,Curves_Table,Escalation!$E$291))</f>
        <v>2.289293064936603</v>
      </c>
      <c r="I84" s="384">
        <f t="shared" ca="1" si="16"/>
        <v>3716.4535667984183</v>
      </c>
      <c r="J84" s="692" t="str">
        <f t="shared" ca="1" si="10"/>
        <v xml:space="preserve"> </v>
      </c>
      <c r="L84" s="1510">
        <f ca="1">IF($A84&gt;Endyr,0,VLOOKUP($A84,Tariff_Table,Tariff!$J$33))</f>
        <v>0.19</v>
      </c>
      <c r="M84" s="1504">
        <f t="shared" ca="1" si="11"/>
        <v>1.8096273546795039</v>
      </c>
      <c r="N84" s="1511">
        <f t="shared" ca="1" si="17"/>
        <v>0.34382919738910572</v>
      </c>
      <c r="O84" s="334">
        <f ca="1">'Plant Operations'!$I84+'Plant Operations'!$M84</f>
        <v>289336.32000000001</v>
      </c>
      <c r="P84" s="1509">
        <f t="shared" ca="1" si="12"/>
        <v>99482.274681117458</v>
      </c>
      <c r="Q84" s="1480">
        <f t="shared" ca="1" si="18"/>
        <v>2.289293064936603</v>
      </c>
      <c r="R84" s="335">
        <f t="shared" ca="1" si="19"/>
        <v>43455.456273735057</v>
      </c>
      <c r="S84" s="698" t="str">
        <f t="shared" ca="1" si="13"/>
        <v xml:space="preserve"> </v>
      </c>
    </row>
    <row r="85" spans="1:19">
      <c r="A85" s="672">
        <f ca="1">'Plant Operations'!A85</f>
        <v>38473</v>
      </c>
      <c r="C85" s="1484">
        <f ca="1">IF($A85&gt;Endyr,0,VLOOKUP($A85,Tariff_Table,Tariff!$D$33))</f>
        <v>9710.486815415823</v>
      </c>
      <c r="D85" s="1480">
        <f ca="1">VLOOKUP($A85,Curves_Table,Escalation!$R$291)</f>
        <v>1.9513768310631414</v>
      </c>
      <c r="E85" s="1509">
        <f t="shared" ca="1" si="14"/>
        <v>18948.818989946543</v>
      </c>
      <c r="F85" s="330">
        <f ca="1">'Plant Operations'!C85</f>
        <v>480</v>
      </c>
      <c r="G85" s="1509">
        <f t="shared" ca="1" si="15"/>
        <v>9095.4331151743409</v>
      </c>
      <c r="H85" s="1504">
        <f ca="1">IF(Assm!$L$74=0,VLOOKUP($A85,Curves_Table,Escalation!$D$291),VLOOKUP($A85,Curves_Table,Escalation!$E$291))</f>
        <v>2.2946509271681639</v>
      </c>
      <c r="I85" s="384">
        <f t="shared" ca="1" si="16"/>
        <v>3963.7545769974886</v>
      </c>
      <c r="J85" s="692" t="str">
        <f t="shared" ca="1" si="10"/>
        <v xml:space="preserve"> </v>
      </c>
      <c r="L85" s="1510">
        <f ca="1">IF($A85&gt;Endyr,0,VLOOKUP($A85,Tariff_Table,Tariff!$J$33))</f>
        <v>0.19</v>
      </c>
      <c r="M85" s="1504">
        <f t="shared" ca="1" si="11"/>
        <v>1.9513768310631414</v>
      </c>
      <c r="N85" s="1511">
        <f t="shared" ca="1" si="17"/>
        <v>0.37076159790199686</v>
      </c>
      <c r="O85" s="334">
        <f ca="1">'Plant Operations'!$I85+'Plant Operations'!$M85</f>
        <v>298980.864</v>
      </c>
      <c r="P85" s="1509">
        <f t="shared" ca="1" si="12"/>
        <v>110850.6228787596</v>
      </c>
      <c r="Q85" s="1480">
        <f t="shared" ca="1" si="18"/>
        <v>2.2946509271681639</v>
      </c>
      <c r="R85" s="335">
        <f t="shared" ca="1" si="19"/>
        <v>48308.272760057982</v>
      </c>
      <c r="S85" s="698" t="str">
        <f t="shared" ca="1" si="13"/>
        <v xml:space="preserve"> </v>
      </c>
    </row>
    <row r="86" spans="1:19">
      <c r="A86" s="672">
        <f ca="1">'Plant Operations'!A86</f>
        <v>38504</v>
      </c>
      <c r="C86" s="1484">
        <f ca="1">IF($A86&gt;Endyr,0,VLOOKUP($A86,Tariff_Table,Tariff!$D$33))</f>
        <v>9710.486815415823</v>
      </c>
      <c r="D86" s="1480">
        <f ca="1">VLOOKUP($A86,Curves_Table,Escalation!$R$291)</f>
        <v>1.9513768310631414</v>
      </c>
      <c r="E86" s="1509">
        <f t="shared" ca="1" si="14"/>
        <v>18948.818989946543</v>
      </c>
      <c r="F86" s="330">
        <f ca="1">'Plant Operations'!C86</f>
        <v>480</v>
      </c>
      <c r="G86" s="1509">
        <f t="shared" ca="1" si="15"/>
        <v>9095.4331151743409</v>
      </c>
      <c r="H86" s="1504">
        <f ca="1">IF(Assm!$L$74=0,VLOOKUP($A86,Curves_Table,Escalation!$D$291),VLOOKUP($A86,Curves_Table,Escalation!$E$291))</f>
        <v>2.3000213289422287</v>
      </c>
      <c r="I86" s="384">
        <f t="shared" ca="1" si="16"/>
        <v>3954.4994651668285</v>
      </c>
      <c r="J86" s="692" t="str">
        <f t="shared" ca="1" si="10"/>
        <v xml:space="preserve"> </v>
      </c>
      <c r="L86" s="1510">
        <f ca="1">IF($A86&gt;Endyr,0,VLOOKUP($A86,Tariff_Table,Tariff!$J$33))</f>
        <v>0.19</v>
      </c>
      <c r="M86" s="1504">
        <f t="shared" ca="1" si="11"/>
        <v>1.9513768310631414</v>
      </c>
      <c r="N86" s="1511">
        <f t="shared" ca="1" si="17"/>
        <v>0.37076159790199686</v>
      </c>
      <c r="O86" s="334">
        <f ca="1">'Plant Operations'!$I86+'Plant Operations'!$M86</f>
        <v>289336.32000000001</v>
      </c>
      <c r="P86" s="1509">
        <f t="shared" ca="1" si="12"/>
        <v>107274.7963342835</v>
      </c>
      <c r="Q86" s="1480">
        <f t="shared" ca="1" si="18"/>
        <v>2.3000213289422287</v>
      </c>
      <c r="R86" s="335">
        <f t="shared" ca="1" si="19"/>
        <v>46640.783276396302</v>
      </c>
      <c r="S86" s="698" t="str">
        <f t="shared" ca="1" si="13"/>
        <v xml:space="preserve"> </v>
      </c>
    </row>
    <row r="87" spans="1:19">
      <c r="A87" s="672">
        <f ca="1">'Plant Operations'!A87</f>
        <v>38534</v>
      </c>
      <c r="C87" s="1484">
        <f ca="1">IF($A87&gt;Endyr,0,VLOOKUP($A87,Tariff_Table,Tariff!$D$33))</f>
        <v>9710.486815415823</v>
      </c>
      <c r="D87" s="1480">
        <f ca="1">VLOOKUP($A87,Curves_Table,Escalation!$R$291)</f>
        <v>1.9513768310631414</v>
      </c>
      <c r="E87" s="1509">
        <f t="shared" ca="1" si="14"/>
        <v>18948.818989946543</v>
      </c>
      <c r="F87" s="330">
        <f ca="1">'Plant Operations'!C87</f>
        <v>480</v>
      </c>
      <c r="G87" s="1509">
        <f t="shared" ca="1" si="15"/>
        <v>9095.4331151743409</v>
      </c>
      <c r="H87" s="1504">
        <f ca="1">IF(Assm!$L$74=0,VLOOKUP($A87,Curves_Table,Escalation!$D$291),VLOOKUP($A87,Curves_Table,Escalation!$E$291))</f>
        <v>2.3054042996063471</v>
      </c>
      <c r="I87" s="384">
        <f t="shared" ca="1" si="16"/>
        <v>3945.2659634266347</v>
      </c>
      <c r="J87" s="692" t="str">
        <f t="shared" ca="1" si="10"/>
        <v xml:space="preserve"> </v>
      </c>
      <c r="L87" s="1510">
        <f ca="1">IF($A87&gt;Endyr,0,VLOOKUP($A87,Tariff_Table,Tariff!$J$33))</f>
        <v>0.19</v>
      </c>
      <c r="M87" s="1504">
        <f t="shared" ca="1" si="11"/>
        <v>1.9513768310631414</v>
      </c>
      <c r="N87" s="1511">
        <f t="shared" ca="1" si="17"/>
        <v>0.37076159790199686</v>
      </c>
      <c r="O87" s="334">
        <f ca="1">'Plant Operations'!$I87+'Plant Operations'!$M87</f>
        <v>298980.864</v>
      </c>
      <c r="P87" s="1509">
        <f t="shared" ca="1" si="12"/>
        <v>110850.6228787596</v>
      </c>
      <c r="Q87" s="1480">
        <f t="shared" ca="1" si="18"/>
        <v>2.3054042996063471</v>
      </c>
      <c r="R87" s="335">
        <f t="shared" ca="1" si="19"/>
        <v>48082.942717547456</v>
      </c>
      <c r="S87" s="698" t="str">
        <f t="shared" ca="1" si="13"/>
        <v xml:space="preserve"> </v>
      </c>
    </row>
    <row r="88" spans="1:19">
      <c r="A88" s="672">
        <f ca="1">'Plant Operations'!A88</f>
        <v>38565</v>
      </c>
      <c r="C88" s="1484">
        <f ca="1">IF($A88&gt;Endyr,0,VLOOKUP($A88,Tariff_Table,Tariff!$D$33))</f>
        <v>9710.486815415823</v>
      </c>
      <c r="D88" s="1480">
        <f ca="1">VLOOKUP($A88,Curves_Table,Escalation!$R$291)</f>
        <v>1.9513768310631414</v>
      </c>
      <c r="E88" s="1509">
        <f t="shared" ca="1" si="14"/>
        <v>18948.818989946543</v>
      </c>
      <c r="F88" s="330">
        <f ca="1">'Plant Operations'!C88</f>
        <v>480</v>
      </c>
      <c r="G88" s="1509">
        <f t="shared" ca="1" si="15"/>
        <v>9095.4331151743409</v>
      </c>
      <c r="H88" s="1504">
        <f ca="1">IF(Assm!$L$74=0,VLOOKUP($A88,Curves_Table,Escalation!$D$291),VLOOKUP($A88,Curves_Table,Escalation!$E$291))</f>
        <v>2.3107998685767535</v>
      </c>
      <c r="I88" s="384">
        <f t="shared" ca="1" si="16"/>
        <v>3936.0540213187378</v>
      </c>
      <c r="J88" s="692" t="str">
        <f t="shared" ca="1" si="10"/>
        <v xml:space="preserve"> </v>
      </c>
      <c r="L88" s="1510">
        <f ca="1">IF($A88&gt;Endyr,0,VLOOKUP($A88,Tariff_Table,Tariff!$J$33))</f>
        <v>0.19</v>
      </c>
      <c r="M88" s="1504">
        <f t="shared" ca="1" si="11"/>
        <v>1.9513768310631414</v>
      </c>
      <c r="N88" s="1511">
        <f t="shared" ca="1" si="17"/>
        <v>0.37076159790199686</v>
      </c>
      <c r="O88" s="334">
        <f ca="1">'Plant Operations'!$I88+'Plant Operations'!$M88</f>
        <v>298980.864</v>
      </c>
      <c r="P88" s="1509">
        <f t="shared" ca="1" si="12"/>
        <v>110850.6228787596</v>
      </c>
      <c r="Q88" s="1480">
        <f t="shared" ca="1" si="18"/>
        <v>2.3107998685767535</v>
      </c>
      <c r="R88" s="335">
        <f t="shared" ca="1" si="19"/>
        <v>47970.672140912706</v>
      </c>
      <c r="S88" s="698" t="str">
        <f t="shared" ca="1" si="13"/>
        <v xml:space="preserve"> </v>
      </c>
    </row>
    <row r="89" spans="1:19">
      <c r="A89" s="672">
        <f ca="1">'Plant Operations'!A89</f>
        <v>38596</v>
      </c>
      <c r="C89" s="1484">
        <f ca="1">IF($A89&gt;Endyr,0,VLOOKUP($A89,Tariff_Table,Tariff!$D$33))</f>
        <v>9710.486815415823</v>
      </c>
      <c r="D89" s="1480">
        <f ca="1">VLOOKUP($A89,Curves_Table,Escalation!$R$291)</f>
        <v>1.9513768310631414</v>
      </c>
      <c r="E89" s="1509">
        <f t="shared" ca="1" si="14"/>
        <v>18948.818989946543</v>
      </c>
      <c r="F89" s="330">
        <f ca="1">'Plant Operations'!C89</f>
        <v>480</v>
      </c>
      <c r="G89" s="1509">
        <f t="shared" ca="1" si="15"/>
        <v>9095.4331151743409</v>
      </c>
      <c r="H89" s="1504">
        <f ca="1">IF(Assm!$L$74=0,VLOOKUP($A89,Curves_Table,Escalation!$D$291),VLOOKUP($A89,Curves_Table,Escalation!$E$291))</f>
        <v>2.316208065338528</v>
      </c>
      <c r="I89" s="384">
        <f t="shared" ca="1" si="16"/>
        <v>3926.8635885027834</v>
      </c>
      <c r="J89" s="692" t="str">
        <f t="shared" ca="1" si="10"/>
        <v xml:space="preserve"> </v>
      </c>
      <c r="L89" s="1510">
        <f ca="1">IF($A89&gt;Endyr,0,VLOOKUP($A89,Tariff_Table,Tariff!$J$33))</f>
        <v>0.19</v>
      </c>
      <c r="M89" s="1504">
        <f t="shared" ca="1" si="11"/>
        <v>1.9513768310631414</v>
      </c>
      <c r="N89" s="1511">
        <f t="shared" ca="1" si="17"/>
        <v>0.37076159790199686</v>
      </c>
      <c r="O89" s="334">
        <f ca="1">'Plant Operations'!$I89+'Plant Operations'!$M89</f>
        <v>289336.32000000001</v>
      </c>
      <c r="P89" s="1509">
        <f t="shared" ca="1" si="12"/>
        <v>107274.7963342835</v>
      </c>
      <c r="Q89" s="1480">
        <f t="shared" ca="1" si="18"/>
        <v>2.316208065338528</v>
      </c>
      <c r="R89" s="335">
        <f t="shared" ca="1" si="19"/>
        <v>46314.835847272916</v>
      </c>
      <c r="S89" s="698" t="str">
        <f t="shared" ca="1" si="13"/>
        <v xml:space="preserve"> </v>
      </c>
    </row>
    <row r="90" spans="1:19">
      <c r="A90" s="672">
        <f ca="1">'Plant Operations'!A90</f>
        <v>38626</v>
      </c>
      <c r="C90" s="1484">
        <f ca="1">IF($A90&gt;Endyr,0,VLOOKUP($A90,Tariff_Table,Tariff!$D$33))</f>
        <v>9710.486815415823</v>
      </c>
      <c r="D90" s="1480">
        <f ca="1">VLOOKUP($A90,Curves_Table,Escalation!$R$291)</f>
        <v>1.9513768310631414</v>
      </c>
      <c r="E90" s="1509">
        <f t="shared" ca="1" si="14"/>
        <v>18948.818989946543</v>
      </c>
      <c r="F90" s="330">
        <f ca="1">'Plant Operations'!C90</f>
        <v>480</v>
      </c>
      <c r="G90" s="1509">
        <f t="shared" ca="1" si="15"/>
        <v>9095.4331151743409</v>
      </c>
      <c r="H90" s="1504">
        <f ca="1">IF(Assm!$L$74=0,VLOOKUP($A90,Curves_Table,Escalation!$D$291),VLOOKUP($A90,Curves_Table,Escalation!$E$291))</f>
        <v>2.3216289194457573</v>
      </c>
      <c r="I90" s="384">
        <f t="shared" ca="1" si="16"/>
        <v>3917.6946147559597</v>
      </c>
      <c r="J90" s="692" t="str">
        <f t="shared" ca="1" si="10"/>
        <v xml:space="preserve"> </v>
      </c>
      <c r="L90" s="1510">
        <f ca="1">IF($A90&gt;Endyr,0,VLOOKUP($A90,Tariff_Table,Tariff!$J$33))</f>
        <v>0.19</v>
      </c>
      <c r="M90" s="1504">
        <f t="shared" ca="1" si="11"/>
        <v>1.9513768310631414</v>
      </c>
      <c r="N90" s="1511">
        <f t="shared" ca="1" si="17"/>
        <v>0.37076159790199686</v>
      </c>
      <c r="O90" s="334">
        <f ca="1">'Plant Operations'!$I90+'Plant Operations'!$M90</f>
        <v>298980.864</v>
      </c>
      <c r="P90" s="1509">
        <f t="shared" ca="1" si="12"/>
        <v>110850.6228787596</v>
      </c>
      <c r="Q90" s="1480">
        <f t="shared" ca="1" si="18"/>
        <v>2.3216289194457573</v>
      </c>
      <c r="R90" s="335">
        <f t="shared" ca="1" si="19"/>
        <v>47746.916809264672</v>
      </c>
      <c r="S90" s="698" t="str">
        <f t="shared" ca="1" si="13"/>
        <v xml:space="preserve"> </v>
      </c>
    </row>
    <row r="91" spans="1:19">
      <c r="A91" s="672">
        <f ca="1">'Plant Operations'!A91</f>
        <v>38657</v>
      </c>
      <c r="C91" s="1484">
        <f ca="1">IF($A91&gt;Endyr,0,VLOOKUP($A91,Tariff_Table,Tariff!$D$33))</f>
        <v>9710.486815415823</v>
      </c>
      <c r="D91" s="1480">
        <f ca="1">VLOOKUP($A91,Curves_Table,Escalation!$R$291)</f>
        <v>1.9513768310631414</v>
      </c>
      <c r="E91" s="1509">
        <f t="shared" ca="1" si="14"/>
        <v>18948.818989946543</v>
      </c>
      <c r="F91" s="330">
        <f ca="1">'Plant Operations'!C91</f>
        <v>480</v>
      </c>
      <c r="G91" s="1509">
        <f t="shared" ca="1" si="15"/>
        <v>9095.4331151743409</v>
      </c>
      <c r="H91" s="1504">
        <f ca="1">IF(Assm!$L$74=0,VLOOKUP($A91,Curves_Table,Escalation!$D$291),VLOOKUP($A91,Curves_Table,Escalation!$E$291))</f>
        <v>2.3270624605216974</v>
      </c>
      <c r="I91" s="384">
        <f t="shared" ca="1" si="16"/>
        <v>3908.5470499727207</v>
      </c>
      <c r="J91" s="692" t="str">
        <f t="shared" ca="1" si="10"/>
        <v xml:space="preserve"> </v>
      </c>
      <c r="L91" s="1510">
        <f ca="1">IF($A91&gt;Endyr,0,VLOOKUP($A91,Tariff_Table,Tariff!$J$33))</f>
        <v>0.19</v>
      </c>
      <c r="M91" s="1504">
        <f t="shared" ca="1" si="11"/>
        <v>1.9513768310631414</v>
      </c>
      <c r="N91" s="1511">
        <f t="shared" ca="1" si="17"/>
        <v>0.37076159790199686</v>
      </c>
      <c r="O91" s="334">
        <f ca="1">'Plant Operations'!$I91+'Plant Operations'!$M91</f>
        <v>289336.32000000001</v>
      </c>
      <c r="P91" s="1509">
        <f t="shared" ca="1" si="12"/>
        <v>107274.7963342835</v>
      </c>
      <c r="Q91" s="1480">
        <f t="shared" ca="1" si="18"/>
        <v>2.3270624605216974</v>
      </c>
      <c r="R91" s="335">
        <f t="shared" ca="1" si="19"/>
        <v>46098.804030483079</v>
      </c>
      <c r="S91" s="698" t="str">
        <f t="shared" ca="1" si="13"/>
        <v xml:space="preserve"> </v>
      </c>
    </row>
    <row r="92" spans="1:19">
      <c r="A92" s="672">
        <f ca="1">'Plant Operations'!A92</f>
        <v>38687</v>
      </c>
      <c r="C92" s="1484">
        <f ca="1">IF($A92&gt;Endyr,0,VLOOKUP($A92,Tariff_Table,Tariff!$D$33))</f>
        <v>9710.486815415823</v>
      </c>
      <c r="D92" s="1480">
        <f ca="1">VLOOKUP($A92,Curves_Table,Escalation!$R$291)</f>
        <v>1.9513768310631414</v>
      </c>
      <c r="E92" s="1509">
        <f t="shared" ca="1" si="14"/>
        <v>18948.818989946543</v>
      </c>
      <c r="F92" s="330">
        <f ca="1">'Plant Operations'!C92</f>
        <v>480</v>
      </c>
      <c r="G92" s="1509">
        <f t="shared" ca="1" si="15"/>
        <v>9095.4331151743409</v>
      </c>
      <c r="H92" s="1504">
        <f ca="1">IF(Assm!$L$74=0,VLOOKUP($A92,Curves_Table,Escalation!$D$291),VLOOKUP($A92,Curves_Table,Escalation!$E$291))</f>
        <v>2.3325087182589361</v>
      </c>
      <c r="I92" s="384">
        <f t="shared" ca="1" si="16"/>
        <v>3899.4208441645105</v>
      </c>
      <c r="J92" s="692">
        <f t="shared" ca="1" si="10"/>
        <v>46370.183801046238</v>
      </c>
      <c r="L92" s="1510">
        <f ca="1">IF($A92&gt;Endyr,0,VLOOKUP($A92,Tariff_Table,Tariff!$J$33))</f>
        <v>0.19</v>
      </c>
      <c r="M92" s="1504">
        <f t="shared" ca="1" si="11"/>
        <v>1.9513768310631414</v>
      </c>
      <c r="N92" s="1511">
        <f t="shared" ca="1" si="17"/>
        <v>0.37076159790199686</v>
      </c>
      <c r="O92" s="334">
        <f ca="1">'Plant Operations'!$I92+'Plant Operations'!$M92</f>
        <v>298980.864</v>
      </c>
      <c r="P92" s="1509">
        <f t="shared" ca="1" si="12"/>
        <v>110850.6228787596</v>
      </c>
      <c r="Q92" s="1480">
        <f t="shared" ca="1" si="18"/>
        <v>2.3325087182589361</v>
      </c>
      <c r="R92" s="335">
        <f t="shared" ca="1" si="19"/>
        <v>47524.205166316497</v>
      </c>
      <c r="S92" s="698">
        <f t="shared" ca="1" si="13"/>
        <v>553120.43744124298</v>
      </c>
    </row>
    <row r="93" spans="1:19">
      <c r="A93" s="672">
        <f ca="1">'Plant Operations'!A93</f>
        <v>38718</v>
      </c>
      <c r="C93" s="1484">
        <f ca="1">IF($A93&gt;Endyr,0,VLOOKUP($A93,Tariff_Table,Tariff!$D$33))</f>
        <v>9710.486815415823</v>
      </c>
      <c r="D93" s="1480">
        <f ca="1">VLOOKUP($A93,Curves_Table,Escalation!$R$291)</f>
        <v>1.9513768310631414</v>
      </c>
      <c r="E93" s="1509">
        <f t="shared" ca="1" si="14"/>
        <v>18948.818989946543</v>
      </c>
      <c r="F93" s="330">
        <f ca="1">'Plant Operations'!C93</f>
        <v>480</v>
      </c>
      <c r="G93" s="1509">
        <f t="shared" ca="1" si="15"/>
        <v>9095.4331151743409</v>
      </c>
      <c r="H93" s="1504">
        <f ca="1">IF(Assm!$L$74=0,VLOOKUP($A93,Curves_Table,Escalation!$D$291),VLOOKUP($A93,Curves_Table,Escalation!$E$291))</f>
        <v>2.3378826174225127</v>
      </c>
      <c r="I93" s="384">
        <f t="shared" ca="1" si="16"/>
        <v>3890.4575650602792</v>
      </c>
      <c r="J93" s="692" t="str">
        <f t="shared" ca="1" si="10"/>
        <v xml:space="preserve"> </v>
      </c>
      <c r="L93" s="1510">
        <f ca="1">IF($A93&gt;Endyr,0,VLOOKUP($A93,Tariff_Table,Tariff!$J$33))</f>
        <v>0.19</v>
      </c>
      <c r="M93" s="1504">
        <f t="shared" ca="1" si="11"/>
        <v>1.9513768310631414</v>
      </c>
      <c r="N93" s="1511">
        <f t="shared" ca="1" si="17"/>
        <v>0.37076159790199686</v>
      </c>
      <c r="O93" s="334">
        <f ca="1">'Plant Operations'!$I93+'Plant Operations'!$M93</f>
        <v>298980.864</v>
      </c>
      <c r="P93" s="1509">
        <f t="shared" ca="1" si="12"/>
        <v>110850.6228787596</v>
      </c>
      <c r="Q93" s="1480">
        <f t="shared" ca="1" si="18"/>
        <v>2.3378826174225127</v>
      </c>
      <c r="R93" s="335">
        <f t="shared" ca="1" si="19"/>
        <v>47414.96517090797</v>
      </c>
      <c r="S93" s="698" t="str">
        <f t="shared" ca="1" si="13"/>
        <v xml:space="preserve"> </v>
      </c>
    </row>
    <row r="94" spans="1:19">
      <c r="A94" s="672">
        <f ca="1">'Plant Operations'!A94</f>
        <v>38749</v>
      </c>
      <c r="C94" s="1484">
        <f ca="1">IF($A94&gt;Endyr,0,VLOOKUP($A94,Tariff_Table,Tariff!$D$33))</f>
        <v>9710.486815415823</v>
      </c>
      <c r="D94" s="1480">
        <f ca="1">VLOOKUP($A94,Curves_Table,Escalation!$R$291)</f>
        <v>1.9513768310631414</v>
      </c>
      <c r="E94" s="1509">
        <f t="shared" ca="1" si="14"/>
        <v>18948.818989946543</v>
      </c>
      <c r="F94" s="330">
        <f ca="1">'Plant Operations'!C94</f>
        <v>480</v>
      </c>
      <c r="G94" s="1509">
        <f t="shared" ca="1" si="15"/>
        <v>9095.4331151743409</v>
      </c>
      <c r="H94" s="1504">
        <f ca="1">IF(Assm!$L$74=0,VLOOKUP($A94,Curves_Table,Escalation!$D$291),VLOOKUP($A94,Curves_Table,Escalation!$E$291))</f>
        <v>2.3432688975868521</v>
      </c>
      <c r="I94" s="384">
        <f t="shared" ca="1" si="16"/>
        <v>3881.5148891111089</v>
      </c>
      <c r="J94" s="692" t="str">
        <f t="shared" ca="1" si="10"/>
        <v xml:space="preserve"> </v>
      </c>
      <c r="L94" s="1510">
        <f ca="1">IF($A94&gt;Endyr,0,VLOOKUP($A94,Tariff_Table,Tariff!$J$33))</f>
        <v>0.19</v>
      </c>
      <c r="M94" s="1504">
        <f t="shared" ca="1" si="11"/>
        <v>1.9513768310631414</v>
      </c>
      <c r="N94" s="1511">
        <f t="shared" ca="1" si="17"/>
        <v>0.37076159790199686</v>
      </c>
      <c r="O94" s="334">
        <f ca="1">'Plant Operations'!$I94+'Plant Operations'!$M94</f>
        <v>270047.23200000002</v>
      </c>
      <c r="P94" s="1509">
        <f t="shared" ca="1" si="12"/>
        <v>100123.14324533127</v>
      </c>
      <c r="Q94" s="1480">
        <f t="shared" ca="1" si="18"/>
        <v>2.3432688975868521</v>
      </c>
      <c r="R94" s="335">
        <f t="shared" ca="1" si="19"/>
        <v>42727.978572344044</v>
      </c>
      <c r="S94" s="698" t="str">
        <f t="shared" ca="1" si="13"/>
        <v xml:space="preserve"> </v>
      </c>
    </row>
    <row r="95" spans="1:19">
      <c r="A95" s="672">
        <f ca="1">'Plant Operations'!A95</f>
        <v>38777</v>
      </c>
      <c r="C95" s="1484">
        <f ca="1">IF($A95&gt;Endyr,0,VLOOKUP($A95,Tariff_Table,Tariff!$D$33))</f>
        <v>9710.486815415823</v>
      </c>
      <c r="D95" s="1480">
        <f ca="1">VLOOKUP($A95,Curves_Table,Escalation!$R$291)</f>
        <v>1.9513768310631414</v>
      </c>
      <c r="E95" s="1509">
        <f t="shared" ca="1" si="14"/>
        <v>18948.818989946543</v>
      </c>
      <c r="F95" s="330">
        <f ca="1">'Plant Operations'!C95</f>
        <v>480</v>
      </c>
      <c r="G95" s="1509">
        <f t="shared" ca="1" si="15"/>
        <v>9095.4331151743409</v>
      </c>
      <c r="H95" s="1504">
        <f ca="1">IF(Assm!$L$74=0,VLOOKUP($A95,Curves_Table,Escalation!$D$291),VLOOKUP($A95,Curves_Table,Escalation!$E$291))</f>
        <v>2.3486675872767138</v>
      </c>
      <c r="I95" s="384">
        <f t="shared" ca="1" si="16"/>
        <v>3872.5927689582159</v>
      </c>
      <c r="J95" s="692" t="str">
        <f t="shared" ca="1" si="10"/>
        <v xml:space="preserve"> </v>
      </c>
      <c r="L95" s="1510">
        <f ca="1">IF($A95&gt;Endyr,0,VLOOKUP($A95,Tariff_Table,Tariff!$J$33))</f>
        <v>0.19</v>
      </c>
      <c r="M95" s="1504">
        <f t="shared" ca="1" si="11"/>
        <v>1.9513768310631414</v>
      </c>
      <c r="N95" s="1511">
        <f t="shared" ca="1" si="17"/>
        <v>0.37076159790199686</v>
      </c>
      <c r="O95" s="334">
        <f ca="1">'Plant Operations'!$I95+'Plant Operations'!$M95</f>
        <v>298980.864</v>
      </c>
      <c r="P95" s="1509">
        <f t="shared" ca="1" si="12"/>
        <v>110850.6228787596</v>
      </c>
      <c r="Q95" s="1480">
        <f t="shared" ca="1" si="18"/>
        <v>2.3486675872767138</v>
      </c>
      <c r="R95" s="335">
        <f t="shared" ca="1" si="19"/>
        <v>47197.237905978509</v>
      </c>
      <c r="S95" s="698" t="str">
        <f t="shared" ca="1" si="13"/>
        <v xml:space="preserve"> </v>
      </c>
    </row>
    <row r="96" spans="1:19">
      <c r="A96" s="672">
        <f ca="1">'Plant Operations'!A96</f>
        <v>38808</v>
      </c>
      <c r="C96" s="1484">
        <f ca="1">IF($A96&gt;Endyr,0,VLOOKUP($A96,Tariff_Table,Tariff!$D$33))</f>
        <v>9710.486815415823</v>
      </c>
      <c r="D96" s="1480">
        <f ca="1">VLOOKUP($A96,Curves_Table,Escalation!$R$291)</f>
        <v>1.9513768310631414</v>
      </c>
      <c r="E96" s="1509">
        <f t="shared" ca="1" si="14"/>
        <v>18948.818989946543</v>
      </c>
      <c r="F96" s="330">
        <f ca="1">'Plant Operations'!C96</f>
        <v>480</v>
      </c>
      <c r="G96" s="1509">
        <f t="shared" ca="1" si="15"/>
        <v>9095.4331151743409</v>
      </c>
      <c r="H96" s="1504">
        <f ca="1">IF(Assm!$L$74=0,VLOOKUP($A96,Curves_Table,Escalation!$D$291),VLOOKUP($A96,Curves_Table,Escalation!$E$291))</f>
        <v>2.3540787150825753</v>
      </c>
      <c r="I96" s="384">
        <f t="shared" ca="1" si="16"/>
        <v>3863.6911573516759</v>
      </c>
      <c r="J96" s="692" t="str">
        <f t="shared" ca="1" si="10"/>
        <v xml:space="preserve"> </v>
      </c>
      <c r="L96" s="1510">
        <f ca="1">IF($A96&gt;Endyr,0,VLOOKUP($A96,Tariff_Table,Tariff!$J$33))</f>
        <v>0.19</v>
      </c>
      <c r="M96" s="1504">
        <f t="shared" ca="1" si="11"/>
        <v>1.9513768310631414</v>
      </c>
      <c r="N96" s="1511">
        <f t="shared" ca="1" si="17"/>
        <v>0.37076159790199686</v>
      </c>
      <c r="O96" s="334">
        <f ca="1">'Plant Operations'!$I96+'Plant Operations'!$M96</f>
        <v>289336.32000000001</v>
      </c>
      <c r="P96" s="1509">
        <f t="shared" ca="1" si="12"/>
        <v>107274.7963342835</v>
      </c>
      <c r="Q96" s="1480">
        <f t="shared" ca="1" si="18"/>
        <v>2.3540787150825753</v>
      </c>
      <c r="R96" s="335">
        <f t="shared" ca="1" si="19"/>
        <v>45569.757564593827</v>
      </c>
      <c r="S96" s="698" t="str">
        <f t="shared" ca="1" si="13"/>
        <v xml:space="preserve"> </v>
      </c>
    </row>
    <row r="97" spans="1:19">
      <c r="A97" s="672">
        <f ca="1">'Plant Operations'!A97</f>
        <v>38838</v>
      </c>
      <c r="C97" s="1484">
        <f ca="1">IF($A97&gt;Endyr,0,VLOOKUP($A97,Tariff_Table,Tariff!$D$33))</f>
        <v>9508.3383991894625</v>
      </c>
      <c r="D97" s="1480">
        <f ca="1">VLOOKUP($A97,Curves_Table,Escalation!$R$291)</f>
        <v>2.0977300933928777</v>
      </c>
      <c r="E97" s="1509">
        <f t="shared" ca="1" si="14"/>
        <v>19945.927598142796</v>
      </c>
      <c r="F97" s="330">
        <f ca="1">'Plant Operations'!C97</f>
        <v>480</v>
      </c>
      <c r="G97" s="1509">
        <f t="shared" ca="1" si="15"/>
        <v>9574.0452471085409</v>
      </c>
      <c r="H97" s="1504">
        <f ca="1">IF(Assm!$L$74=0,VLOOKUP($A97,Curves_Table,Escalation!$D$291),VLOOKUP($A97,Curves_Table,Escalation!$E$291))</f>
        <v>2.3595023096607846</v>
      </c>
      <c r="I97" s="384">
        <f t="shared" ca="1" si="16"/>
        <v>4057.6545349874905</v>
      </c>
      <c r="J97" s="692" t="str">
        <f t="shared" ca="1" si="10"/>
        <v xml:space="preserve"> </v>
      </c>
      <c r="L97" s="1510">
        <f ca="1">IF($A97&gt;Endyr,0,VLOOKUP($A97,Tariff_Table,Tariff!$J$33))</f>
        <v>0.19</v>
      </c>
      <c r="M97" s="1504">
        <f t="shared" ca="1" si="11"/>
        <v>2.0977300933928777</v>
      </c>
      <c r="N97" s="1511">
        <f t="shared" ca="1" si="17"/>
        <v>0.39856871774464675</v>
      </c>
      <c r="O97" s="334">
        <f ca="1">'Plant Operations'!$I97+'Plant Operations'!$M97</f>
        <v>298980.864</v>
      </c>
      <c r="P97" s="1509">
        <f t="shared" ca="1" si="12"/>
        <v>119164.41959466662</v>
      </c>
      <c r="Q97" s="1480">
        <f t="shared" ca="1" si="18"/>
        <v>2.3595023096607846</v>
      </c>
      <c r="R97" s="335">
        <f t="shared" ca="1" si="19"/>
        <v>50504.048716866215</v>
      </c>
      <c r="S97" s="698" t="str">
        <f t="shared" ca="1" si="13"/>
        <v xml:space="preserve"> </v>
      </c>
    </row>
    <row r="98" spans="1:19">
      <c r="A98" s="672">
        <f ca="1">'Plant Operations'!A98</f>
        <v>38869</v>
      </c>
      <c r="C98" s="1484">
        <f ca="1">IF($A98&gt;Endyr,0,VLOOKUP($A98,Tariff_Table,Tariff!$D$33))</f>
        <v>9508.3383991894625</v>
      </c>
      <c r="D98" s="1480">
        <f ca="1">VLOOKUP($A98,Curves_Table,Escalation!$R$291)</f>
        <v>2.0977300933928777</v>
      </c>
      <c r="E98" s="1509">
        <f t="shared" ca="1" si="14"/>
        <v>19945.927598142796</v>
      </c>
      <c r="F98" s="330">
        <f ca="1">'Plant Operations'!C98</f>
        <v>480</v>
      </c>
      <c r="G98" s="1509">
        <f t="shared" ca="1" si="15"/>
        <v>9574.0452471085409</v>
      </c>
      <c r="H98" s="1504">
        <f ca="1">IF(Assm!$L$74=0,VLOOKUP($A98,Curves_Table,Escalation!$D$291),VLOOKUP($A98,Curves_Table,Escalation!$E$291))</f>
        <v>2.3649383997337114</v>
      </c>
      <c r="I98" s="384">
        <f t="shared" ca="1" si="16"/>
        <v>4048.3275370667429</v>
      </c>
      <c r="J98" s="692" t="str">
        <f t="shared" ca="1" si="10"/>
        <v xml:space="preserve"> </v>
      </c>
      <c r="L98" s="1510">
        <f ca="1">IF($A98&gt;Endyr,0,VLOOKUP($A98,Tariff_Table,Tariff!$J$33))</f>
        <v>0.19</v>
      </c>
      <c r="M98" s="1504">
        <f t="shared" ca="1" si="11"/>
        <v>2.0977300933928777</v>
      </c>
      <c r="N98" s="1511">
        <f t="shared" ca="1" si="17"/>
        <v>0.39856871774464675</v>
      </c>
      <c r="O98" s="334">
        <f ca="1">'Plant Operations'!$I98+'Plant Operations'!$M98</f>
        <v>289336.32000000001</v>
      </c>
      <c r="P98" s="1509">
        <f t="shared" ca="1" si="12"/>
        <v>115320.40605935479</v>
      </c>
      <c r="Q98" s="1480">
        <f t="shared" ca="1" si="18"/>
        <v>2.3649383997337114</v>
      </c>
      <c r="R98" s="335">
        <f t="shared" ca="1" si="19"/>
        <v>48762.541160623761</v>
      </c>
      <c r="S98" s="698" t="str">
        <f t="shared" ca="1" si="13"/>
        <v xml:space="preserve"> </v>
      </c>
    </row>
    <row r="99" spans="1:19">
      <c r="A99" s="672">
        <f ca="1">'Plant Operations'!A99</f>
        <v>38899</v>
      </c>
      <c r="C99" s="1484">
        <f ca="1">IF($A99&gt;Endyr,0,VLOOKUP($A99,Tariff_Table,Tariff!$D$33))</f>
        <v>9508.3383991894625</v>
      </c>
      <c r="D99" s="1480">
        <f ca="1">VLOOKUP($A99,Curves_Table,Escalation!$R$291)</f>
        <v>2.0977300933928777</v>
      </c>
      <c r="E99" s="1509">
        <f t="shared" ca="1" si="14"/>
        <v>19945.927598142796</v>
      </c>
      <c r="F99" s="330">
        <f ca="1">'Plant Operations'!C99</f>
        <v>480</v>
      </c>
      <c r="G99" s="1509">
        <f t="shared" ca="1" si="15"/>
        <v>9574.0452471085409</v>
      </c>
      <c r="H99" s="1504">
        <f ca="1">IF(Assm!$L$74=0,VLOOKUP($A99,Curves_Table,Escalation!$D$291),VLOOKUP($A99,Curves_Table,Escalation!$E$291))</f>
        <v>2.370387014089899</v>
      </c>
      <c r="I99" s="384">
        <f t="shared" ca="1" si="16"/>
        <v>4039.0219783516909</v>
      </c>
      <c r="J99" s="692" t="str">
        <f t="shared" ca="1" si="10"/>
        <v xml:space="preserve"> </v>
      </c>
      <c r="L99" s="1510">
        <f ca="1">IF($A99&gt;Endyr,0,VLOOKUP($A99,Tariff_Table,Tariff!$J$33))</f>
        <v>0.19</v>
      </c>
      <c r="M99" s="1504">
        <f t="shared" ca="1" si="11"/>
        <v>2.0977300933928777</v>
      </c>
      <c r="N99" s="1511">
        <f t="shared" ca="1" si="17"/>
        <v>0.39856871774464675</v>
      </c>
      <c r="O99" s="334">
        <f ca="1">'Plant Operations'!$I99+'Plant Operations'!$M99</f>
        <v>298980.864</v>
      </c>
      <c r="P99" s="1509">
        <f t="shared" ca="1" si="12"/>
        <v>119164.41959466662</v>
      </c>
      <c r="Q99" s="1480">
        <f t="shared" ca="1" si="18"/>
        <v>2.370387014089899</v>
      </c>
      <c r="R99" s="335">
        <f t="shared" ca="1" si="19"/>
        <v>50272.13652721572</v>
      </c>
      <c r="S99" s="698" t="str">
        <f t="shared" ca="1" si="13"/>
        <v xml:space="preserve"> </v>
      </c>
    </row>
    <row r="100" spans="1:19">
      <c r="A100" s="672">
        <f ca="1">'Plant Operations'!A100</f>
        <v>38930</v>
      </c>
      <c r="C100" s="1484">
        <f ca="1">IF($A100&gt;Endyr,0,VLOOKUP($A100,Tariff_Table,Tariff!$D$33))</f>
        <v>9508.3383991894625</v>
      </c>
      <c r="D100" s="1480">
        <f ca="1">VLOOKUP($A100,Curves_Table,Escalation!$R$291)</f>
        <v>2.0977300933928777</v>
      </c>
      <c r="E100" s="1509">
        <f t="shared" ca="1" si="14"/>
        <v>19945.927598142796</v>
      </c>
      <c r="F100" s="330">
        <f ca="1">'Plant Operations'!C100</f>
        <v>480</v>
      </c>
      <c r="G100" s="1509">
        <f t="shared" ca="1" si="15"/>
        <v>9574.0452471085409</v>
      </c>
      <c r="H100" s="1504">
        <f ca="1">IF(Assm!$L$74=0,VLOOKUP($A100,Curves_Table,Escalation!$D$291),VLOOKUP($A100,Curves_Table,Escalation!$E$291))</f>
        <v>2.3758481815842174</v>
      </c>
      <c r="I100" s="384">
        <f t="shared" ca="1" si="16"/>
        <v>4029.7378095617878</v>
      </c>
      <c r="J100" s="692" t="str">
        <f t="shared" ca="1" si="10"/>
        <v xml:space="preserve"> </v>
      </c>
      <c r="L100" s="1510">
        <f ca="1">IF($A100&gt;Endyr,0,VLOOKUP($A100,Tariff_Table,Tariff!$J$33))</f>
        <v>0.19</v>
      </c>
      <c r="M100" s="1504">
        <f t="shared" ca="1" si="11"/>
        <v>2.0977300933928777</v>
      </c>
      <c r="N100" s="1511">
        <f t="shared" ca="1" si="17"/>
        <v>0.39856871774464675</v>
      </c>
      <c r="O100" s="334">
        <f ca="1">'Plant Operations'!$I100+'Plant Operations'!$M100</f>
        <v>298980.864</v>
      </c>
      <c r="P100" s="1509">
        <f t="shared" ca="1" si="12"/>
        <v>119164.41959466662</v>
      </c>
      <c r="Q100" s="1480">
        <f t="shared" ca="1" si="18"/>
        <v>2.3758481815842174</v>
      </c>
      <c r="R100" s="335">
        <f t="shared" ca="1" si="19"/>
        <v>50156.580087203925</v>
      </c>
      <c r="S100" s="698" t="str">
        <f t="shared" ca="1" si="13"/>
        <v xml:space="preserve"> </v>
      </c>
    </row>
    <row r="101" spans="1:19">
      <c r="A101" s="672">
        <f ca="1">'Plant Operations'!A101</f>
        <v>38961</v>
      </c>
      <c r="C101" s="1484">
        <f ca="1">IF($A101&gt;Endyr,0,VLOOKUP($A101,Tariff_Table,Tariff!$D$33))</f>
        <v>9508.3383991894625</v>
      </c>
      <c r="D101" s="1480">
        <f ca="1">VLOOKUP($A101,Curves_Table,Escalation!$R$291)</f>
        <v>2.0977300933928777</v>
      </c>
      <c r="E101" s="1509">
        <f t="shared" ca="1" si="14"/>
        <v>19945.927598142796</v>
      </c>
      <c r="F101" s="330">
        <f ca="1">'Plant Operations'!C101</f>
        <v>480</v>
      </c>
      <c r="G101" s="1509">
        <f t="shared" ca="1" si="15"/>
        <v>9574.0452471085409</v>
      </c>
      <c r="H101" s="1504">
        <f ca="1">IF(Assm!$L$74=0,VLOOKUP($A101,Curves_Table,Escalation!$D$291),VLOOKUP($A101,Curves_Table,Escalation!$E$291))</f>
        <v>2.3813219311380154</v>
      </c>
      <c r="I101" s="384">
        <f t="shared" ca="1" si="16"/>
        <v>4020.4749815297669</v>
      </c>
      <c r="J101" s="692" t="str">
        <f t="shared" ca="1" si="10"/>
        <v xml:space="preserve"> </v>
      </c>
      <c r="L101" s="1510">
        <f ca="1">IF($A101&gt;Endyr,0,VLOOKUP($A101,Tariff_Table,Tariff!$J$33))</f>
        <v>0.19</v>
      </c>
      <c r="M101" s="1504">
        <f t="shared" ca="1" si="11"/>
        <v>2.0977300933928777</v>
      </c>
      <c r="N101" s="1511">
        <f t="shared" ca="1" si="17"/>
        <v>0.39856871774464675</v>
      </c>
      <c r="O101" s="334">
        <f ca="1">'Plant Operations'!$I101+'Plant Operations'!$M101</f>
        <v>289336.32000000001</v>
      </c>
      <c r="P101" s="1509">
        <f t="shared" ca="1" si="12"/>
        <v>115320.40605935479</v>
      </c>
      <c r="Q101" s="1480">
        <f t="shared" ca="1" si="18"/>
        <v>2.3813219311380154</v>
      </c>
      <c r="R101" s="335">
        <f t="shared" ca="1" si="19"/>
        <v>48427.054129654811</v>
      </c>
      <c r="S101" s="698" t="str">
        <f t="shared" ca="1" si="13"/>
        <v xml:space="preserve"> </v>
      </c>
    </row>
    <row r="102" spans="1:19">
      <c r="A102" s="672">
        <f ca="1">'Plant Operations'!A102</f>
        <v>38991</v>
      </c>
      <c r="C102" s="1484">
        <f ca="1">IF($A102&gt;Endyr,0,VLOOKUP($A102,Tariff_Table,Tariff!$D$33))</f>
        <v>9508.3383991894625</v>
      </c>
      <c r="D102" s="1480">
        <f ca="1">VLOOKUP($A102,Curves_Table,Escalation!$R$291)</f>
        <v>2.0977300933928777</v>
      </c>
      <c r="E102" s="1509">
        <f t="shared" ca="1" si="14"/>
        <v>19945.927598142796</v>
      </c>
      <c r="F102" s="330">
        <f ca="1">'Plant Operations'!C102</f>
        <v>480</v>
      </c>
      <c r="G102" s="1509">
        <f t="shared" ca="1" si="15"/>
        <v>9574.0452471085409</v>
      </c>
      <c r="H102" s="1504">
        <f ca="1">IF(Assm!$L$74=0,VLOOKUP($A102,Curves_Table,Escalation!$D$291),VLOOKUP($A102,Curves_Table,Escalation!$E$291))</f>
        <v>2.3868082917392743</v>
      </c>
      <c r="I102" s="384">
        <f t="shared" ca="1" si="16"/>
        <v>4011.2334452013761</v>
      </c>
      <c r="J102" s="692" t="str">
        <f t="shared" ca="1" si="10"/>
        <v xml:space="preserve"> </v>
      </c>
      <c r="L102" s="1510">
        <f ca="1">IF($A102&gt;Endyr,0,VLOOKUP($A102,Tariff_Table,Tariff!$J$33))</f>
        <v>0.19</v>
      </c>
      <c r="M102" s="1504">
        <f t="shared" ca="1" si="11"/>
        <v>2.0977300933928777</v>
      </c>
      <c r="N102" s="1511">
        <f t="shared" ca="1" si="17"/>
        <v>0.39856871774464675</v>
      </c>
      <c r="O102" s="334">
        <f ca="1">'Plant Operations'!$I102+'Plant Operations'!$M102</f>
        <v>298980.864</v>
      </c>
      <c r="P102" s="1509">
        <f t="shared" ca="1" si="12"/>
        <v>119164.41959466662</v>
      </c>
      <c r="Q102" s="1480">
        <f t="shared" ca="1" si="18"/>
        <v>2.3868082917392743</v>
      </c>
      <c r="R102" s="335">
        <f t="shared" ca="1" si="19"/>
        <v>49926.263456974644</v>
      </c>
      <c r="S102" s="698" t="str">
        <f t="shared" ca="1" si="13"/>
        <v xml:space="preserve"> </v>
      </c>
    </row>
    <row r="103" spans="1:19">
      <c r="A103" s="672">
        <f ca="1">'Plant Operations'!A103</f>
        <v>39022</v>
      </c>
      <c r="C103" s="1484">
        <f ca="1">IF($A103&gt;Endyr,0,VLOOKUP($A103,Tariff_Table,Tariff!$D$33))</f>
        <v>9508.3383991894625</v>
      </c>
      <c r="D103" s="1480">
        <f ca="1">VLOOKUP($A103,Curves_Table,Escalation!$R$291)</f>
        <v>2.0977300933928777</v>
      </c>
      <c r="E103" s="1509">
        <f t="shared" ca="1" si="14"/>
        <v>19945.927598142796</v>
      </c>
      <c r="F103" s="330">
        <f ca="1">'Plant Operations'!C103</f>
        <v>480</v>
      </c>
      <c r="G103" s="1509">
        <f t="shared" ca="1" si="15"/>
        <v>9574.0452471085409</v>
      </c>
      <c r="H103" s="1504">
        <f ca="1">IF(Assm!$L$74=0,VLOOKUP($A103,Curves_Table,Escalation!$D$291),VLOOKUP($A103,Curves_Table,Escalation!$E$291))</f>
        <v>2.3923072924427613</v>
      </c>
      <c r="I103" s="384">
        <f t="shared" ca="1" si="16"/>
        <v>4002.0131516351221</v>
      </c>
      <c r="J103" s="692" t="str">
        <f t="shared" ca="1" si="10"/>
        <v xml:space="preserve"> </v>
      </c>
      <c r="L103" s="1510">
        <f ca="1">IF($A103&gt;Endyr,0,VLOOKUP($A103,Tariff_Table,Tariff!$J$33))</f>
        <v>0.19</v>
      </c>
      <c r="M103" s="1504">
        <f t="shared" ca="1" si="11"/>
        <v>2.0977300933928777</v>
      </c>
      <c r="N103" s="1511">
        <f t="shared" ca="1" si="17"/>
        <v>0.39856871774464675</v>
      </c>
      <c r="O103" s="334">
        <f ca="1">'Plant Operations'!$I103+'Plant Operations'!$M103</f>
        <v>289336.32000000001</v>
      </c>
      <c r="P103" s="1509">
        <f t="shared" ca="1" si="12"/>
        <v>115320.40605935479</v>
      </c>
      <c r="Q103" s="1480">
        <f t="shared" ca="1" si="18"/>
        <v>2.3923072924427613</v>
      </c>
      <c r="R103" s="335">
        <f t="shared" ca="1" si="19"/>
        <v>48204.679400363435</v>
      </c>
      <c r="S103" s="698" t="str">
        <f t="shared" ca="1" si="13"/>
        <v xml:space="preserve"> </v>
      </c>
    </row>
    <row r="104" spans="1:19">
      <c r="A104" s="672">
        <f ca="1">'Plant Operations'!A104</f>
        <v>39052</v>
      </c>
      <c r="C104" s="1484">
        <f ca="1">IF($A104&gt;Endyr,0,VLOOKUP($A104,Tariff_Table,Tariff!$D$33))</f>
        <v>9508.3383991894625</v>
      </c>
      <c r="D104" s="1480">
        <f ca="1">VLOOKUP($A104,Curves_Table,Escalation!$R$291)</f>
        <v>2.0977300933928777</v>
      </c>
      <c r="E104" s="1509">
        <f t="shared" ca="1" si="14"/>
        <v>19945.927598142796</v>
      </c>
      <c r="F104" s="330">
        <f ca="1">'Plant Operations'!C104</f>
        <v>480</v>
      </c>
      <c r="G104" s="1509">
        <f t="shared" ca="1" si="15"/>
        <v>9574.0452471085409</v>
      </c>
      <c r="H104" s="1504">
        <f ca="1">IF(Assm!$L$74=0,VLOOKUP($A104,Curves_Table,Escalation!$D$291),VLOOKUP($A104,Curves_Table,Escalation!$E$291))</f>
        <v>2.39781896237018</v>
      </c>
      <c r="I104" s="384">
        <f t="shared" ca="1" si="16"/>
        <v>3992.8140520020129</v>
      </c>
      <c r="J104" s="692">
        <f t="shared" ca="1" si="10"/>
        <v>47709.533870817271</v>
      </c>
      <c r="L104" s="1510">
        <f ca="1">IF($A104&gt;Endyr,0,VLOOKUP($A104,Tariff_Table,Tariff!$J$33))</f>
        <v>0.19</v>
      </c>
      <c r="M104" s="1504">
        <f t="shared" ca="1" si="11"/>
        <v>2.0977300933928777</v>
      </c>
      <c r="N104" s="1511">
        <f t="shared" ca="1" si="17"/>
        <v>0.39856871774464675</v>
      </c>
      <c r="O104" s="334">
        <f ca="1">'Plant Operations'!$I104+'Plant Operations'!$M104</f>
        <v>298980.864</v>
      </c>
      <c r="P104" s="1509">
        <f t="shared" ca="1" si="12"/>
        <v>119164.41959466662</v>
      </c>
      <c r="Q104" s="1480">
        <f t="shared" ca="1" si="18"/>
        <v>2.39781896237018</v>
      </c>
      <c r="R104" s="335">
        <f t="shared" ca="1" si="19"/>
        <v>49697.004429757188</v>
      </c>
      <c r="S104" s="698">
        <f t="shared" ca="1" si="13"/>
        <v>578860.24712248403</v>
      </c>
    </row>
    <row r="105" spans="1:19">
      <c r="A105" s="672">
        <f ca="1">'Plant Operations'!A105</f>
        <v>39083</v>
      </c>
      <c r="C105" s="1484">
        <f ca="1">IF($A105&gt;Endyr,0,VLOOKUP($A105,Tariff_Table,Tariff!$D$33))</f>
        <v>9508.3383991894625</v>
      </c>
      <c r="D105" s="1480">
        <f ca="1">VLOOKUP($A105,Curves_Table,Escalation!$R$291)</f>
        <v>2.0977300933928777</v>
      </c>
      <c r="E105" s="1509">
        <f t="shared" ca="1" si="14"/>
        <v>19945.927598142796</v>
      </c>
      <c r="F105" s="330">
        <f ca="1">'Plant Operations'!C105</f>
        <v>480</v>
      </c>
      <c r="G105" s="1509">
        <f t="shared" ca="1" si="15"/>
        <v>9574.0452471085409</v>
      </c>
      <c r="H105" s="1504">
        <f ca="1">IF(Assm!$L$74=0,VLOOKUP($A105,Curves_Table,Escalation!$D$291),VLOOKUP($A105,Curves_Table,Escalation!$E$291))</f>
        <v>2.4031820782557931</v>
      </c>
      <c r="I105" s="384">
        <f t="shared" ca="1" si="16"/>
        <v>3983.9033978055018</v>
      </c>
      <c r="J105" s="692" t="str">
        <f t="shared" ca="1" si="10"/>
        <v xml:space="preserve"> </v>
      </c>
      <c r="L105" s="1510">
        <f ca="1">IF($A105&gt;Endyr,0,VLOOKUP($A105,Tariff_Table,Tariff!$J$33))</f>
        <v>0.19</v>
      </c>
      <c r="M105" s="1504">
        <f t="shared" ca="1" si="11"/>
        <v>2.0977300933928777</v>
      </c>
      <c r="N105" s="1511">
        <f t="shared" ca="1" si="17"/>
        <v>0.39856871774464675</v>
      </c>
      <c r="O105" s="334">
        <f ca="1">'Plant Operations'!$I105+'Plant Operations'!$M105</f>
        <v>298980.864</v>
      </c>
      <c r="P105" s="1509">
        <f t="shared" ca="1" si="12"/>
        <v>119164.41959466662</v>
      </c>
      <c r="Q105" s="1480">
        <f t="shared" ca="1" si="18"/>
        <v>2.4031820782557931</v>
      </c>
      <c r="R105" s="335">
        <f t="shared" ca="1" si="19"/>
        <v>49586.096980697788</v>
      </c>
      <c r="S105" s="698" t="str">
        <f t="shared" ca="1" si="13"/>
        <v xml:space="preserve"> </v>
      </c>
    </row>
    <row r="106" spans="1:19">
      <c r="A106" s="672">
        <f ca="1">'Plant Operations'!A106</f>
        <v>39114</v>
      </c>
      <c r="C106" s="1484">
        <f ca="1">IF($A106&gt;Endyr,0,VLOOKUP($A106,Tariff_Table,Tariff!$D$33))</f>
        <v>9508.3383991894625</v>
      </c>
      <c r="D106" s="1480">
        <f ca="1">VLOOKUP($A106,Curves_Table,Escalation!$R$291)</f>
        <v>2.0977300933928777</v>
      </c>
      <c r="E106" s="1509">
        <f t="shared" ca="1" si="14"/>
        <v>19945.927598142796</v>
      </c>
      <c r="F106" s="330">
        <f ca="1">'Plant Operations'!C106</f>
        <v>480</v>
      </c>
      <c r="G106" s="1509">
        <f t="shared" ca="1" si="15"/>
        <v>9574.0452471085409</v>
      </c>
      <c r="H106" s="1504">
        <f ca="1">IF(Assm!$L$74=0,VLOOKUP($A106,Curves_Table,Escalation!$D$291),VLOOKUP($A106,Curves_Table,Escalation!$E$291))</f>
        <v>2.4085571896308298</v>
      </c>
      <c r="I106" s="384">
        <f t="shared" ca="1" si="16"/>
        <v>3975.0126292728792</v>
      </c>
      <c r="J106" s="692" t="str">
        <f t="shared" ca="1" si="10"/>
        <v xml:space="preserve"> </v>
      </c>
      <c r="L106" s="1510">
        <f ca="1">IF($A106&gt;Endyr,0,VLOOKUP($A106,Tariff_Table,Tariff!$J$33))</f>
        <v>0.19</v>
      </c>
      <c r="M106" s="1504">
        <f t="shared" ca="1" si="11"/>
        <v>2.0977300933928777</v>
      </c>
      <c r="N106" s="1511">
        <f t="shared" ca="1" si="17"/>
        <v>0.39856871774464675</v>
      </c>
      <c r="O106" s="334">
        <f ca="1">'Plant Operations'!$I106+'Plant Operations'!$M106</f>
        <v>270047.23200000002</v>
      </c>
      <c r="P106" s="1509">
        <f t="shared" ca="1" si="12"/>
        <v>107632.37898873114</v>
      </c>
      <c r="Q106" s="1480">
        <f t="shared" ca="1" si="18"/>
        <v>2.4085571896308298</v>
      </c>
      <c r="R106" s="335">
        <f t="shared" ca="1" si="19"/>
        <v>44687.491520692696</v>
      </c>
      <c r="S106" s="698" t="str">
        <f t="shared" ca="1" si="13"/>
        <v xml:space="preserve"> </v>
      </c>
    </row>
    <row r="107" spans="1:19">
      <c r="A107" s="672">
        <f ca="1">'Plant Operations'!A107</f>
        <v>39142</v>
      </c>
      <c r="C107" s="1484">
        <f ca="1">IF($A107&gt;Endyr,0,VLOOKUP($A107,Tariff_Table,Tariff!$D$33))</f>
        <v>9508.3383991894625</v>
      </c>
      <c r="D107" s="1480">
        <f ca="1">VLOOKUP($A107,Curves_Table,Escalation!$R$291)</f>
        <v>2.0977300933928777</v>
      </c>
      <c r="E107" s="1509">
        <f t="shared" ca="1" si="14"/>
        <v>19945.927598142796</v>
      </c>
      <c r="F107" s="330">
        <f ca="1">'Plant Operations'!C107</f>
        <v>480</v>
      </c>
      <c r="G107" s="1509">
        <f t="shared" ca="1" si="15"/>
        <v>9574.0452471085409</v>
      </c>
      <c r="H107" s="1504">
        <f ca="1">IF(Assm!$L$74=0,VLOOKUP($A107,Curves_Table,Escalation!$D$291),VLOOKUP($A107,Curves_Table,Escalation!$E$291))</f>
        <v>2.4139443233251718</v>
      </c>
      <c r="I107" s="384">
        <f t="shared" ca="1" si="16"/>
        <v>3966.1417020258523</v>
      </c>
      <c r="J107" s="692" t="str">
        <f t="shared" ca="1" si="10"/>
        <v xml:space="preserve"> </v>
      </c>
      <c r="L107" s="1510">
        <f ca="1">IF($A107&gt;Endyr,0,VLOOKUP($A107,Tariff_Table,Tariff!$J$33))</f>
        <v>0.19</v>
      </c>
      <c r="M107" s="1504">
        <f t="shared" ca="1" si="11"/>
        <v>2.0977300933928777</v>
      </c>
      <c r="N107" s="1511">
        <f t="shared" ca="1" si="17"/>
        <v>0.39856871774464675</v>
      </c>
      <c r="O107" s="334">
        <f ca="1">'Plant Operations'!$I107+'Plant Operations'!$M107</f>
        <v>298980.864</v>
      </c>
      <c r="P107" s="1509">
        <f t="shared" ca="1" si="12"/>
        <v>119164.41959466662</v>
      </c>
      <c r="Q107" s="1480">
        <f t="shared" ca="1" si="18"/>
        <v>2.4139443233251718</v>
      </c>
      <c r="R107" s="335">
        <f t="shared" ca="1" si="19"/>
        <v>49365.024057605202</v>
      </c>
      <c r="S107" s="698" t="str">
        <f t="shared" ca="1" si="13"/>
        <v xml:space="preserve"> </v>
      </c>
    </row>
    <row r="108" spans="1:19">
      <c r="A108" s="672">
        <f ca="1">'Plant Operations'!A108</f>
        <v>39173</v>
      </c>
      <c r="C108" s="1484">
        <f ca="1">IF($A108&gt;Endyr,0,VLOOKUP($A108,Tariff_Table,Tariff!$D$33))</f>
        <v>9508.3383991894625</v>
      </c>
      <c r="D108" s="1480">
        <f ca="1">VLOOKUP($A108,Curves_Table,Escalation!$R$291)</f>
        <v>2.0977300933928777</v>
      </c>
      <c r="E108" s="1509">
        <f t="shared" ca="1" si="14"/>
        <v>19945.927598142796</v>
      </c>
      <c r="F108" s="330">
        <f ca="1">'Plant Operations'!C108</f>
        <v>480</v>
      </c>
      <c r="G108" s="1509">
        <f t="shared" ca="1" si="15"/>
        <v>9574.0452471085409</v>
      </c>
      <c r="H108" s="1504">
        <f ca="1">IF(Assm!$L$74=0,VLOOKUP($A108,Curves_Table,Escalation!$D$291),VLOOKUP($A108,Curves_Table,Escalation!$E$291))</f>
        <v>2.419343506228711</v>
      </c>
      <c r="I108" s="384">
        <f t="shared" ca="1" si="16"/>
        <v>3957.290571785165</v>
      </c>
      <c r="J108" s="692" t="str">
        <f t="shared" ca="1" si="10"/>
        <v xml:space="preserve"> </v>
      </c>
      <c r="L108" s="1510">
        <f ca="1">IF($A108&gt;Endyr,0,VLOOKUP($A108,Tariff_Table,Tariff!$J$33))</f>
        <v>0.19</v>
      </c>
      <c r="M108" s="1504">
        <f t="shared" ca="1" si="11"/>
        <v>2.0977300933928777</v>
      </c>
      <c r="N108" s="1511">
        <f t="shared" ca="1" si="17"/>
        <v>0.39856871774464675</v>
      </c>
      <c r="O108" s="334">
        <f ca="1">'Plant Operations'!$I108+'Plant Operations'!$M108</f>
        <v>289336.32000000001</v>
      </c>
      <c r="P108" s="1509">
        <f t="shared" ca="1" si="12"/>
        <v>115320.40605935479</v>
      </c>
      <c r="Q108" s="1480">
        <f t="shared" ca="1" si="18"/>
        <v>2.419343506228711</v>
      </c>
      <c r="R108" s="335">
        <f t="shared" ca="1" si="19"/>
        <v>47665.991109760609</v>
      </c>
      <c r="S108" s="698" t="str">
        <f t="shared" ca="1" si="13"/>
        <v xml:space="preserve"> </v>
      </c>
    </row>
    <row r="109" spans="1:19">
      <c r="A109" s="672">
        <f ca="1">'Plant Operations'!A109</f>
        <v>39203</v>
      </c>
      <c r="C109" s="1484">
        <f ca="1">IF($A109&gt;Endyr,0,VLOOKUP($A109,Tariff_Table,Tariff!$D$33))</f>
        <v>8615.7128412537932</v>
      </c>
      <c r="D109" s="1480">
        <f ca="1">VLOOKUP($A109,Curves_Table,Escalation!$R$291)</f>
        <v>2.2550598503973429</v>
      </c>
      <c r="E109" s="1509">
        <f t="shared" ca="1" si="14"/>
        <v>19428.948110864247</v>
      </c>
      <c r="F109" s="330">
        <f ca="1">'Plant Operations'!C109</f>
        <v>480</v>
      </c>
      <c r="G109" s="1509">
        <f t="shared" ca="1" si="15"/>
        <v>9325.8950932148382</v>
      </c>
      <c r="H109" s="1504">
        <f ca="1">IF(Assm!$L$74=0,VLOOKUP($A109,Curves_Table,Escalation!$D$291),VLOOKUP($A109,Curves_Table,Escalation!$E$291))</f>
        <v>2.4247547652914823</v>
      </c>
      <c r="I109" s="384">
        <f t="shared" ca="1" si="16"/>
        <v>3846.1188845601723</v>
      </c>
      <c r="J109" s="692" t="str">
        <f t="shared" ca="1" si="10"/>
        <v xml:space="preserve"> </v>
      </c>
      <c r="L109" s="1510">
        <f ca="1">IF($A109&gt;Endyr,0,VLOOKUP($A109,Tariff_Table,Tariff!$J$33))</f>
        <v>0.19</v>
      </c>
      <c r="M109" s="1504">
        <f t="shared" ca="1" si="11"/>
        <v>2.2550598503973429</v>
      </c>
      <c r="N109" s="1511">
        <f t="shared" ca="1" si="17"/>
        <v>0.42846137157549513</v>
      </c>
      <c r="O109" s="334">
        <f ca="1">'Plant Operations'!$I109+'Plant Operations'!$M109</f>
        <v>298980.864</v>
      </c>
      <c r="P109" s="1509">
        <f t="shared" ca="1" si="12"/>
        <v>128101.75106426657</v>
      </c>
      <c r="Q109" s="1480">
        <f t="shared" ca="1" si="18"/>
        <v>2.4247547652914823</v>
      </c>
      <c r="R109" s="335">
        <f t="shared" ca="1" si="19"/>
        <v>52830.807015185856</v>
      </c>
      <c r="S109" s="698" t="str">
        <f t="shared" ca="1" si="13"/>
        <v xml:space="preserve"> </v>
      </c>
    </row>
    <row r="110" spans="1:19">
      <c r="A110" s="672">
        <f ca="1">'Plant Operations'!A110</f>
        <v>39234</v>
      </c>
      <c r="C110" s="1484">
        <f ca="1">IF($A110&gt;Endyr,0,VLOOKUP($A110,Tariff_Table,Tariff!$D$33))</f>
        <v>8615.7128412537932</v>
      </c>
      <c r="D110" s="1480">
        <f ca="1">VLOOKUP($A110,Curves_Table,Escalation!$R$291)</f>
        <v>2.2550598503973429</v>
      </c>
      <c r="E110" s="1509">
        <f t="shared" ca="1" si="14"/>
        <v>19428.948110864247</v>
      </c>
      <c r="F110" s="330">
        <f ca="1">'Plant Operations'!C110</f>
        <v>480</v>
      </c>
      <c r="G110" s="1509">
        <f t="shared" ca="1" si="15"/>
        <v>9325.8950932148382</v>
      </c>
      <c r="H110" s="1504">
        <f ca="1">IF(Assm!$L$74=0,VLOOKUP($A110,Curves_Table,Escalation!$D$291),VLOOKUP($A110,Curves_Table,Escalation!$E$291))</f>
        <v>2.4301781275237988</v>
      </c>
      <c r="I110" s="384">
        <f t="shared" ca="1" si="16"/>
        <v>3837.5356059670194</v>
      </c>
      <c r="J110" s="692" t="str">
        <f t="shared" ca="1" si="10"/>
        <v xml:space="preserve"> </v>
      </c>
      <c r="L110" s="1510">
        <f ca="1">IF($A110&gt;Endyr,0,VLOOKUP($A110,Tariff_Table,Tariff!$J$33))</f>
        <v>0.19</v>
      </c>
      <c r="M110" s="1504">
        <f t="shared" ca="1" si="11"/>
        <v>2.2550598503973429</v>
      </c>
      <c r="N110" s="1511">
        <f t="shared" ca="1" si="17"/>
        <v>0.42846137157549513</v>
      </c>
      <c r="O110" s="334">
        <f ca="1">'Plant Operations'!$I110+'Plant Operations'!$M110</f>
        <v>289336.32000000001</v>
      </c>
      <c r="P110" s="1509">
        <f t="shared" ca="1" si="12"/>
        <v>123969.43651380637</v>
      </c>
      <c r="Q110" s="1480">
        <f t="shared" ca="1" si="18"/>
        <v>2.4301781275237988</v>
      </c>
      <c r="R110" s="335">
        <f t="shared" ca="1" si="19"/>
        <v>51012.489623599547</v>
      </c>
      <c r="S110" s="698" t="str">
        <f t="shared" ca="1" si="13"/>
        <v xml:space="preserve"> </v>
      </c>
    </row>
    <row r="111" spans="1:19">
      <c r="A111" s="672">
        <f ca="1">'Plant Operations'!A111</f>
        <v>39264</v>
      </c>
      <c r="C111" s="1484">
        <f ca="1">IF($A111&gt;Endyr,0,VLOOKUP($A111,Tariff_Table,Tariff!$D$33))</f>
        <v>8615.7128412537932</v>
      </c>
      <c r="D111" s="1480">
        <f ca="1">VLOOKUP($A111,Curves_Table,Escalation!$R$291)</f>
        <v>2.2550598503973429</v>
      </c>
      <c r="E111" s="1509">
        <f t="shared" ca="1" si="14"/>
        <v>19428.948110864247</v>
      </c>
      <c r="F111" s="330">
        <f ca="1">'Plant Operations'!C111</f>
        <v>480</v>
      </c>
      <c r="G111" s="1509">
        <f t="shared" ca="1" si="15"/>
        <v>9325.8950932148382</v>
      </c>
      <c r="H111" s="1504">
        <f ca="1">IF(Assm!$L$74=0,VLOOKUP($A111,Curves_Table,Escalation!$D$291),VLOOKUP($A111,Curves_Table,Escalation!$E$291))</f>
        <v>2.4356136199963871</v>
      </c>
      <c r="I111" s="384">
        <f t="shared" ca="1" si="16"/>
        <v>3828.9714824425523</v>
      </c>
      <c r="J111" s="692" t="str">
        <f t="shared" ca="1" si="10"/>
        <v xml:space="preserve"> </v>
      </c>
      <c r="L111" s="1510">
        <f ca="1">IF($A111&gt;Endyr,0,VLOOKUP($A111,Tariff_Table,Tariff!$J$33))</f>
        <v>0.19</v>
      </c>
      <c r="M111" s="1504">
        <f t="shared" ca="1" si="11"/>
        <v>2.2550598503973429</v>
      </c>
      <c r="N111" s="1511">
        <f t="shared" ca="1" si="17"/>
        <v>0.42846137157549513</v>
      </c>
      <c r="O111" s="334">
        <f ca="1">'Plant Operations'!$I111+'Plant Operations'!$M111</f>
        <v>298980.864</v>
      </c>
      <c r="P111" s="1509">
        <f t="shared" ca="1" si="12"/>
        <v>128101.75106426657</v>
      </c>
      <c r="Q111" s="1480">
        <f t="shared" ca="1" si="18"/>
        <v>2.4356136199963871</v>
      </c>
      <c r="R111" s="335">
        <f t="shared" ca="1" si="19"/>
        <v>52595.267990189917</v>
      </c>
      <c r="S111" s="698" t="str">
        <f t="shared" ca="1" si="13"/>
        <v xml:space="preserve"> </v>
      </c>
    </row>
    <row r="112" spans="1:19">
      <c r="A112" s="672">
        <f ca="1">'Plant Operations'!A112</f>
        <v>39295</v>
      </c>
      <c r="C112" s="1484">
        <f ca="1">IF($A112&gt;Endyr,0,VLOOKUP($A112,Tariff_Table,Tariff!$D$33))</f>
        <v>8615.7128412537932</v>
      </c>
      <c r="D112" s="1480">
        <f ca="1">VLOOKUP($A112,Curves_Table,Escalation!$R$291)</f>
        <v>2.2550598503973429</v>
      </c>
      <c r="E112" s="1509">
        <f t="shared" ca="1" si="14"/>
        <v>19428.948110864247</v>
      </c>
      <c r="F112" s="330">
        <f ca="1">'Plant Operations'!C112</f>
        <v>480</v>
      </c>
      <c r="G112" s="1509">
        <f t="shared" ca="1" si="15"/>
        <v>9325.8950932148382</v>
      </c>
      <c r="H112" s="1504">
        <f ca="1">IF(Assm!$L$74=0,VLOOKUP($A112,Curves_Table,Escalation!$D$291),VLOOKUP($A112,Curves_Table,Escalation!$E$291))</f>
        <v>2.4410612698405219</v>
      </c>
      <c r="I112" s="384">
        <f t="shared" ca="1" si="16"/>
        <v>3820.4264712389268</v>
      </c>
      <c r="J112" s="692" t="str">
        <f t="shared" ca="1" si="10"/>
        <v xml:space="preserve"> </v>
      </c>
      <c r="L112" s="1510">
        <f ca="1">IF($A112&gt;Endyr,0,VLOOKUP($A112,Tariff_Table,Tariff!$J$33))</f>
        <v>0.19</v>
      </c>
      <c r="M112" s="1504">
        <f t="shared" ca="1" si="11"/>
        <v>2.2550598503973429</v>
      </c>
      <c r="N112" s="1511">
        <f t="shared" ca="1" si="17"/>
        <v>0.42846137157549513</v>
      </c>
      <c r="O112" s="334">
        <f ca="1">'Plant Operations'!$I112+'Plant Operations'!$M112</f>
        <v>298980.864</v>
      </c>
      <c r="P112" s="1509">
        <f t="shared" ca="1" si="12"/>
        <v>128101.75106426657</v>
      </c>
      <c r="Q112" s="1480">
        <f t="shared" ca="1" si="18"/>
        <v>2.4410612698405219</v>
      </c>
      <c r="R112" s="335">
        <f t="shared" ca="1" si="19"/>
        <v>52477.892565406866</v>
      </c>
      <c r="S112" s="698" t="str">
        <f t="shared" ca="1" si="13"/>
        <v xml:space="preserve"> </v>
      </c>
    </row>
    <row r="113" spans="1:19">
      <c r="A113" s="672">
        <f ca="1">'Plant Operations'!A113</f>
        <v>39326</v>
      </c>
      <c r="C113" s="1484">
        <f ca="1">IF($A113&gt;Endyr,0,VLOOKUP($A113,Tariff_Table,Tariff!$D$33))</f>
        <v>8615.7128412537932</v>
      </c>
      <c r="D113" s="1480">
        <f ca="1">VLOOKUP($A113,Curves_Table,Escalation!$R$291)</f>
        <v>2.2550598503973429</v>
      </c>
      <c r="E113" s="1509">
        <f t="shared" ca="1" si="14"/>
        <v>19428.948110864247</v>
      </c>
      <c r="F113" s="330">
        <f ca="1">'Plant Operations'!C113</f>
        <v>480</v>
      </c>
      <c r="G113" s="1509">
        <f t="shared" ca="1" si="15"/>
        <v>9325.8950932148382</v>
      </c>
      <c r="H113" s="1504">
        <f ca="1">IF(Assm!$L$74=0,VLOOKUP($A113,Curves_Table,Escalation!$D$291),VLOOKUP($A113,Curves_Table,Escalation!$E$291))</f>
        <v>2.4465211042481605</v>
      </c>
      <c r="I113" s="384">
        <f t="shared" ca="1" si="16"/>
        <v>3811.9005297036974</v>
      </c>
      <c r="J113" s="692" t="str">
        <f t="shared" ca="1" si="10"/>
        <v xml:space="preserve"> </v>
      </c>
      <c r="L113" s="1510">
        <f ca="1">IF($A113&gt;Endyr,0,VLOOKUP($A113,Tariff_Table,Tariff!$J$33))</f>
        <v>0.19</v>
      </c>
      <c r="M113" s="1504">
        <f t="shared" ca="1" si="11"/>
        <v>2.2550598503973429</v>
      </c>
      <c r="N113" s="1511">
        <f t="shared" ca="1" si="17"/>
        <v>0.42846137157549513</v>
      </c>
      <c r="O113" s="334">
        <f ca="1">'Plant Operations'!$I113+'Plant Operations'!$M113</f>
        <v>289336.32000000001</v>
      </c>
      <c r="P113" s="1509">
        <f t="shared" ca="1" si="12"/>
        <v>123969.43651380637</v>
      </c>
      <c r="Q113" s="1480">
        <f t="shared" ca="1" si="18"/>
        <v>2.4465211042481605</v>
      </c>
      <c r="R113" s="335">
        <f t="shared" ca="1" si="19"/>
        <v>50671.721694345804</v>
      </c>
      <c r="S113" s="698" t="str">
        <f t="shared" ca="1" si="13"/>
        <v xml:space="preserve"> </v>
      </c>
    </row>
    <row r="114" spans="1:19">
      <c r="A114" s="672">
        <f ca="1">'Plant Operations'!A114</f>
        <v>39356</v>
      </c>
      <c r="C114" s="1484">
        <f ca="1">IF($A114&gt;Endyr,0,VLOOKUP($A114,Tariff_Table,Tariff!$D$33))</f>
        <v>8615.7128412537932</v>
      </c>
      <c r="D114" s="1480">
        <f ca="1">VLOOKUP($A114,Curves_Table,Escalation!$R$291)</f>
        <v>2.2550598503973429</v>
      </c>
      <c r="E114" s="1509">
        <f t="shared" ca="1" si="14"/>
        <v>19428.948110864247</v>
      </c>
      <c r="F114" s="330">
        <f ca="1">'Plant Operations'!C114</f>
        <v>480</v>
      </c>
      <c r="G114" s="1509">
        <f t="shared" ca="1" si="15"/>
        <v>9325.8950932148382</v>
      </c>
      <c r="H114" s="1504">
        <f ca="1">IF(Assm!$L$74=0,VLOOKUP($A114,Curves_Table,Escalation!$D$291),VLOOKUP($A114,Curves_Table,Escalation!$E$291))</f>
        <v>2.4519931504720804</v>
      </c>
      <c r="I114" s="384">
        <f t="shared" ca="1" si="16"/>
        <v>3803.3936152796064</v>
      </c>
      <c r="J114" s="692" t="str">
        <f t="shared" ca="1" si="10"/>
        <v xml:space="preserve"> </v>
      </c>
      <c r="L114" s="1510">
        <f ca="1">IF($A114&gt;Endyr,0,VLOOKUP($A114,Tariff_Table,Tariff!$J$33))</f>
        <v>0.19</v>
      </c>
      <c r="M114" s="1504">
        <f t="shared" ca="1" si="11"/>
        <v>2.2550598503973429</v>
      </c>
      <c r="N114" s="1511">
        <f t="shared" ca="1" si="17"/>
        <v>0.42846137157549513</v>
      </c>
      <c r="O114" s="334">
        <f ca="1">'Plant Operations'!$I114+'Plant Operations'!$M114</f>
        <v>298980.864</v>
      </c>
      <c r="P114" s="1509">
        <f t="shared" ca="1" si="12"/>
        <v>128101.75106426657</v>
      </c>
      <c r="Q114" s="1480">
        <f t="shared" ca="1" si="18"/>
        <v>2.4519931504720804</v>
      </c>
      <c r="R114" s="335">
        <f t="shared" ca="1" si="19"/>
        <v>52243.92696186906</v>
      </c>
      <c r="S114" s="698" t="str">
        <f t="shared" ca="1" si="13"/>
        <v xml:space="preserve"> </v>
      </c>
    </row>
    <row r="115" spans="1:19">
      <c r="A115" s="672">
        <f ca="1">'Plant Operations'!A115</f>
        <v>39387</v>
      </c>
      <c r="C115" s="1484">
        <f ca="1">IF($A115&gt;Endyr,0,VLOOKUP($A115,Tariff_Table,Tariff!$D$33))</f>
        <v>8615.7128412537932</v>
      </c>
      <c r="D115" s="1480">
        <f ca="1">VLOOKUP($A115,Curves_Table,Escalation!$R$291)</f>
        <v>2.2550598503973429</v>
      </c>
      <c r="E115" s="1509">
        <f t="shared" ca="1" si="14"/>
        <v>19428.948110864247</v>
      </c>
      <c r="F115" s="330">
        <f ca="1">'Plant Operations'!C115</f>
        <v>480</v>
      </c>
      <c r="G115" s="1509">
        <f t="shared" ca="1" si="15"/>
        <v>9325.8950932148382</v>
      </c>
      <c r="H115" s="1504">
        <f ca="1">IF(Assm!$L$74=0,VLOOKUP($A115,Curves_Table,Escalation!$D$291),VLOOKUP($A115,Curves_Table,Escalation!$E$291))</f>
        <v>2.4574774358260143</v>
      </c>
      <c r="I115" s="384">
        <f t="shared" ca="1" si="16"/>
        <v>3794.9056855043682</v>
      </c>
      <c r="J115" s="692" t="str">
        <f t="shared" ca="1" si="10"/>
        <v xml:space="preserve"> </v>
      </c>
      <c r="L115" s="1510">
        <f ca="1">IF($A115&gt;Endyr,0,VLOOKUP($A115,Tariff_Table,Tariff!$J$33))</f>
        <v>0.19</v>
      </c>
      <c r="M115" s="1504">
        <f t="shared" ca="1" si="11"/>
        <v>2.2550598503973429</v>
      </c>
      <c r="N115" s="1511">
        <f t="shared" ca="1" si="17"/>
        <v>0.42846137157549513</v>
      </c>
      <c r="O115" s="334">
        <f ca="1">'Plant Operations'!$I115+'Plant Operations'!$M115</f>
        <v>289336.32000000001</v>
      </c>
      <c r="P115" s="1509">
        <f t="shared" ca="1" si="12"/>
        <v>123969.43651380637</v>
      </c>
      <c r="Q115" s="1480">
        <f t="shared" ca="1" si="18"/>
        <v>2.4574774358260143</v>
      </c>
      <c r="R115" s="335">
        <f t="shared" ca="1" si="19"/>
        <v>50445.808659942959</v>
      </c>
      <c r="S115" s="698" t="str">
        <f t="shared" ca="1" si="13"/>
        <v xml:space="preserve"> </v>
      </c>
    </row>
    <row r="116" spans="1:19">
      <c r="A116" s="672">
        <f ca="1">'Plant Operations'!A116</f>
        <v>39417</v>
      </c>
      <c r="C116" s="1484">
        <f ca="1">IF($A116&gt;Endyr,0,VLOOKUP($A116,Tariff_Table,Tariff!$D$33))</f>
        <v>8615.7128412537932</v>
      </c>
      <c r="D116" s="1480">
        <f ca="1">VLOOKUP($A116,Curves_Table,Escalation!$R$291)</f>
        <v>2.2550598503973429</v>
      </c>
      <c r="E116" s="1509">
        <f t="shared" ca="1" si="14"/>
        <v>19428.948110864247</v>
      </c>
      <c r="F116" s="330">
        <f ca="1">'Plant Operations'!C116</f>
        <v>480</v>
      </c>
      <c r="G116" s="1509">
        <f t="shared" ca="1" si="15"/>
        <v>9325.8950932148382</v>
      </c>
      <c r="H116" s="1504">
        <f ca="1">IF(Assm!$L$74=0,VLOOKUP($A116,Curves_Table,Escalation!$D$291),VLOOKUP($A116,Curves_Table,Escalation!$E$291))</f>
        <v>2.4629739876847867</v>
      </c>
      <c r="I116" s="384">
        <f t="shared" ca="1" si="16"/>
        <v>3786.4366980104596</v>
      </c>
      <c r="J116" s="692">
        <f t="shared" ca="1" si="10"/>
        <v>46412.037273596208</v>
      </c>
      <c r="L116" s="1510">
        <f ca="1">IF($A116&gt;Endyr,0,VLOOKUP($A116,Tariff_Table,Tariff!$J$33))</f>
        <v>0.19</v>
      </c>
      <c r="M116" s="1504">
        <f t="shared" ca="1" si="11"/>
        <v>2.2550598503973429</v>
      </c>
      <c r="N116" s="1511">
        <f t="shared" ca="1" si="17"/>
        <v>0.42846137157549513</v>
      </c>
      <c r="O116" s="334">
        <f ca="1">'Plant Operations'!$I116+'Plant Operations'!$M116</f>
        <v>298980.864</v>
      </c>
      <c r="P116" s="1509">
        <f t="shared" ca="1" si="12"/>
        <v>128101.75106426657</v>
      </c>
      <c r="Q116" s="1480">
        <f t="shared" ca="1" si="18"/>
        <v>2.4629739876847867</v>
      </c>
      <c r="R116" s="335">
        <f t="shared" ca="1" si="19"/>
        <v>52011.004462407313</v>
      </c>
      <c r="S116" s="698">
        <f t="shared" ca="1" si="13"/>
        <v>605593.5226417036</v>
      </c>
    </row>
    <row r="117" spans="1:19">
      <c r="A117" s="672">
        <f ca="1">'Plant Operations'!A117</f>
        <v>39448</v>
      </c>
      <c r="C117" s="1484">
        <f ca="1">IF($A117&gt;Endyr,0,VLOOKUP($A117,Tariff_Table,Tariff!$D$33))</f>
        <v>8615.7128412537932</v>
      </c>
      <c r="D117" s="1480">
        <f ca="1">VLOOKUP($A117,Curves_Table,Escalation!$R$291)</f>
        <v>2.2550598503973429</v>
      </c>
      <c r="E117" s="1509">
        <f t="shared" ca="1" si="14"/>
        <v>19428.948110864247</v>
      </c>
      <c r="F117" s="330">
        <f ca="1">'Plant Operations'!C117</f>
        <v>480</v>
      </c>
      <c r="G117" s="1509">
        <f t="shared" ca="1" si="15"/>
        <v>9325.8950932148382</v>
      </c>
      <c r="H117" s="1504">
        <f ca="1">IF(Assm!$L$74=0,VLOOKUP($A117,Curves_Table,Escalation!$D$291),VLOOKUP($A117,Curves_Table,Escalation!$E$291))</f>
        <v>2.4681826378384035</v>
      </c>
      <c r="I117" s="384">
        <f t="shared" ca="1" si="16"/>
        <v>3778.4461126354549</v>
      </c>
      <c r="J117" s="692" t="str">
        <f t="shared" ca="1" si="10"/>
        <v xml:space="preserve"> </v>
      </c>
      <c r="L117" s="1510">
        <f ca="1">IF($A117&gt;Endyr,0,VLOOKUP($A117,Tariff_Table,Tariff!$J$33))</f>
        <v>0.19</v>
      </c>
      <c r="M117" s="1504">
        <f t="shared" ca="1" si="11"/>
        <v>2.2550598503973429</v>
      </c>
      <c r="N117" s="1511">
        <f t="shared" ca="1" si="17"/>
        <v>0.42846137157549513</v>
      </c>
      <c r="O117" s="334">
        <f ca="1">'Plant Operations'!$I117+'Plant Operations'!$M117</f>
        <v>298980.864</v>
      </c>
      <c r="P117" s="1509">
        <f t="shared" ca="1" si="12"/>
        <v>128101.75106426657</v>
      </c>
      <c r="Q117" s="1480">
        <f t="shared" ca="1" si="18"/>
        <v>2.4681826378384035</v>
      </c>
      <c r="R117" s="335">
        <f t="shared" ca="1" si="19"/>
        <v>51901.244705479381</v>
      </c>
      <c r="S117" s="698" t="str">
        <f t="shared" ca="1" si="13"/>
        <v xml:space="preserve"> </v>
      </c>
    </row>
    <row r="118" spans="1:19">
      <c r="A118" s="672">
        <f ca="1">'Plant Operations'!A118</f>
        <v>39479</v>
      </c>
      <c r="C118" s="1484">
        <f ca="1">IF($A118&gt;Endyr,0,VLOOKUP($A118,Tariff_Table,Tariff!$D$33))</f>
        <v>8615.7128412537932</v>
      </c>
      <c r="D118" s="1480">
        <f ca="1">VLOOKUP($A118,Curves_Table,Escalation!$R$291)</f>
        <v>2.2550598503973429</v>
      </c>
      <c r="E118" s="1509">
        <f t="shared" ca="1" si="14"/>
        <v>19428.948110864247</v>
      </c>
      <c r="F118" s="330">
        <f ca="1">'Plant Operations'!C118</f>
        <v>480</v>
      </c>
      <c r="G118" s="1509">
        <f t="shared" ca="1" si="15"/>
        <v>9325.8950932148382</v>
      </c>
      <c r="H118" s="1504">
        <f ca="1">IF(Assm!$L$74=0,VLOOKUP($A118,Curves_Table,Escalation!$D$291),VLOOKUP($A118,Curves_Table,Escalation!$E$291))</f>
        <v>2.4734023031454724</v>
      </c>
      <c r="I118" s="384">
        <f t="shared" ca="1" si="16"/>
        <v>3770.4723899362921</v>
      </c>
      <c r="J118" s="692" t="str">
        <f t="shared" ca="1" si="10"/>
        <v xml:space="preserve"> </v>
      </c>
      <c r="L118" s="1510">
        <f ca="1">IF($A118&gt;Endyr,0,VLOOKUP($A118,Tariff_Table,Tariff!$J$33))</f>
        <v>0.19</v>
      </c>
      <c r="M118" s="1504">
        <f t="shared" ca="1" si="11"/>
        <v>2.2550598503973429</v>
      </c>
      <c r="N118" s="1511">
        <f t="shared" ca="1" si="17"/>
        <v>0.42846137157549513</v>
      </c>
      <c r="O118" s="334">
        <f ca="1">'Plant Operations'!$I118+'Plant Operations'!$M118</f>
        <v>279691.77600000001</v>
      </c>
      <c r="P118" s="1509">
        <f t="shared" ca="1" si="12"/>
        <v>119837.12196334616</v>
      </c>
      <c r="Q118" s="1480">
        <f t="shared" ca="1" si="18"/>
        <v>2.4734023031454724</v>
      </c>
      <c r="R118" s="335">
        <f t="shared" ca="1" si="19"/>
        <v>48450.31550708392</v>
      </c>
      <c r="S118" s="698" t="str">
        <f t="shared" ca="1" si="13"/>
        <v xml:space="preserve"> </v>
      </c>
    </row>
    <row r="119" spans="1:19">
      <c r="A119" s="672">
        <f ca="1">'Plant Operations'!A119</f>
        <v>39508</v>
      </c>
      <c r="C119" s="1484">
        <f ca="1">IF($A119&gt;Endyr,0,VLOOKUP($A119,Tariff_Table,Tariff!$D$33))</f>
        <v>8615.7128412537932</v>
      </c>
      <c r="D119" s="1480">
        <f ca="1">VLOOKUP($A119,Curves_Table,Escalation!$R$291)</f>
        <v>2.2550598503973429</v>
      </c>
      <c r="E119" s="1509">
        <f t="shared" ca="1" si="14"/>
        <v>19428.948110864247</v>
      </c>
      <c r="F119" s="330">
        <f ca="1">'Plant Operations'!C119</f>
        <v>480</v>
      </c>
      <c r="G119" s="1509">
        <f t="shared" ca="1" si="15"/>
        <v>9325.8950932148382</v>
      </c>
      <c r="H119" s="1504">
        <f ca="1">IF(Assm!$L$74=0,VLOOKUP($A119,Curves_Table,Escalation!$D$291),VLOOKUP($A119,Curves_Table,Escalation!$E$291))</f>
        <v>2.4786330069006288</v>
      </c>
      <c r="I119" s="384">
        <f t="shared" ca="1" si="16"/>
        <v>3762.5154943273633</v>
      </c>
      <c r="J119" s="692" t="str">
        <f t="shared" ca="1" si="10"/>
        <v xml:space="preserve"> </v>
      </c>
      <c r="L119" s="1510">
        <f ca="1">IF($A119&gt;Endyr,0,VLOOKUP($A119,Tariff_Table,Tariff!$J$33))</f>
        <v>0.19</v>
      </c>
      <c r="M119" s="1504">
        <f t="shared" ca="1" si="11"/>
        <v>2.2550598503973429</v>
      </c>
      <c r="N119" s="1511">
        <f t="shared" ca="1" si="17"/>
        <v>0.42846137157549513</v>
      </c>
      <c r="O119" s="334">
        <f ca="1">'Plant Operations'!$I119+'Plant Operations'!$M119</f>
        <v>298980.864</v>
      </c>
      <c r="P119" s="1509">
        <f t="shared" ca="1" si="12"/>
        <v>128101.75106426657</v>
      </c>
      <c r="Q119" s="1480">
        <f t="shared" ca="1" si="18"/>
        <v>2.4786330069006288</v>
      </c>
      <c r="R119" s="335">
        <f t="shared" ca="1" si="19"/>
        <v>51682.419586774398</v>
      </c>
      <c r="S119" s="698" t="str">
        <f t="shared" ca="1" si="13"/>
        <v xml:space="preserve"> </v>
      </c>
    </row>
    <row r="120" spans="1:19">
      <c r="A120" s="672">
        <f ca="1">'Plant Operations'!A120</f>
        <v>39539</v>
      </c>
      <c r="C120" s="1484">
        <f ca="1">IF($A120&gt;Endyr,0,VLOOKUP($A120,Tariff_Table,Tariff!$D$33))</f>
        <v>8615.7128412537932</v>
      </c>
      <c r="D120" s="1480">
        <f ca="1">VLOOKUP($A120,Curves_Table,Escalation!$R$291)</f>
        <v>2.2550598503973429</v>
      </c>
      <c r="E120" s="1509">
        <f t="shared" ca="1" si="14"/>
        <v>19428.948110864247</v>
      </c>
      <c r="F120" s="330">
        <f ca="1">'Plant Operations'!C120</f>
        <v>480</v>
      </c>
      <c r="G120" s="1509">
        <f t="shared" ca="1" si="15"/>
        <v>9325.8950932148382</v>
      </c>
      <c r="H120" s="1504">
        <f ca="1">IF(Assm!$L$74=0,VLOOKUP($A120,Curves_Table,Escalation!$D$291),VLOOKUP($A120,Curves_Table,Escalation!$E$291))</f>
        <v>2.4838747724477708</v>
      </c>
      <c r="I120" s="384">
        <f t="shared" ca="1" si="16"/>
        <v>3754.5753902981583</v>
      </c>
      <c r="J120" s="692" t="str">
        <f t="shared" ca="1" si="10"/>
        <v xml:space="preserve"> </v>
      </c>
      <c r="L120" s="1510">
        <f ca="1">IF($A120&gt;Endyr,0,VLOOKUP($A120,Tariff_Table,Tariff!$J$33))</f>
        <v>0.19</v>
      </c>
      <c r="M120" s="1504">
        <f t="shared" ca="1" si="11"/>
        <v>2.2550598503973429</v>
      </c>
      <c r="N120" s="1511">
        <f t="shared" ca="1" si="17"/>
        <v>0.42846137157549513</v>
      </c>
      <c r="O120" s="334">
        <f ca="1">'Plant Operations'!$I120+'Plant Operations'!$M120</f>
        <v>289336.32000000001</v>
      </c>
      <c r="P120" s="1509">
        <f t="shared" ca="1" si="12"/>
        <v>123969.43651380637</v>
      </c>
      <c r="Q120" s="1480">
        <f t="shared" ca="1" si="18"/>
        <v>2.4838747724477708</v>
      </c>
      <c r="R120" s="335">
        <f t="shared" ca="1" si="19"/>
        <v>49909.696692011115</v>
      </c>
      <c r="S120" s="698" t="str">
        <f t="shared" ca="1" si="13"/>
        <v xml:space="preserve"> </v>
      </c>
    </row>
    <row r="121" spans="1:19">
      <c r="A121" s="672">
        <f ca="1">'Plant Operations'!A121</f>
        <v>39569</v>
      </c>
      <c r="C121" s="1484">
        <f ca="1">IF($A121&gt;Endyr,0,VLOOKUP($A121,Tariff_Table,Tariff!$D$33))</f>
        <v>7894.5932028836251</v>
      </c>
      <c r="D121" s="1480">
        <f ca="1">VLOOKUP($A121,Curves_Table,Escalation!$R$291)</f>
        <v>2.4241893391771434</v>
      </c>
      <c r="E121" s="1509">
        <f t="shared" ca="1" si="14"/>
        <v>19137.988679570823</v>
      </c>
      <c r="F121" s="330">
        <f ca="1">'Plant Operations'!C121</f>
        <v>480</v>
      </c>
      <c r="G121" s="1509">
        <f t="shared" ca="1" si="15"/>
        <v>9186.2345661939944</v>
      </c>
      <c r="H121" s="1504">
        <f ca="1">IF(Assm!$L$74=0,VLOOKUP($A121,Curves_Table,Escalation!$D$291),VLOOKUP($A121,Curves_Table,Escalation!$E$291))</f>
        <v>2.4891276231801638</v>
      </c>
      <c r="I121" s="384">
        <f t="shared" ca="1" si="16"/>
        <v>3690.5438197087942</v>
      </c>
      <c r="J121" s="692" t="str">
        <f t="shared" ca="1" si="10"/>
        <v xml:space="preserve"> </v>
      </c>
      <c r="L121" s="1510">
        <f ca="1">IF($A121&gt;Endyr,0,VLOOKUP($A121,Tariff_Table,Tariff!$J$33))</f>
        <v>0.19</v>
      </c>
      <c r="M121" s="1504">
        <f t="shared" ca="1" si="11"/>
        <v>2.4241893391771434</v>
      </c>
      <c r="N121" s="1511">
        <f t="shared" ca="1" si="17"/>
        <v>0.46059597444365724</v>
      </c>
      <c r="O121" s="334">
        <f ca="1">'Plant Operations'!$I121+'Plant Operations'!$M121</f>
        <v>298980.864</v>
      </c>
      <c r="P121" s="1509">
        <f t="shared" ca="1" si="12"/>
        <v>137709.38239408657</v>
      </c>
      <c r="Q121" s="1480">
        <f t="shared" ca="1" si="18"/>
        <v>2.4891276231801638</v>
      </c>
      <c r="R121" s="335">
        <f t="shared" ca="1" si="19"/>
        <v>55324.355855304057</v>
      </c>
      <c r="S121" s="698" t="str">
        <f t="shared" ca="1" si="13"/>
        <v xml:space="preserve"> </v>
      </c>
    </row>
    <row r="122" spans="1:19">
      <c r="A122" s="672">
        <f ca="1">'Plant Operations'!A122</f>
        <v>39600</v>
      </c>
      <c r="C122" s="1484">
        <f ca="1">IF($A122&gt;Endyr,0,VLOOKUP($A122,Tariff_Table,Tariff!$D$33))</f>
        <v>7894.5932028836251</v>
      </c>
      <c r="D122" s="1480">
        <f ca="1">VLOOKUP($A122,Curves_Table,Escalation!$R$291)</f>
        <v>2.4241893391771434</v>
      </c>
      <c r="E122" s="1509">
        <f t="shared" ca="1" si="14"/>
        <v>19137.988679570823</v>
      </c>
      <c r="F122" s="330">
        <f ca="1">'Plant Operations'!C122</f>
        <v>480</v>
      </c>
      <c r="G122" s="1509">
        <f t="shared" ca="1" si="15"/>
        <v>9186.2345661939944</v>
      </c>
      <c r="H122" s="1504">
        <f ca="1">IF(Assm!$L$74=0,VLOOKUP($A122,Curves_Table,Escalation!$D$291),VLOOKUP($A122,Curves_Table,Escalation!$E$291))</f>
        <v>2.4943915825405454</v>
      </c>
      <c r="I122" s="384">
        <f t="shared" ca="1" si="16"/>
        <v>3682.7555987972773</v>
      </c>
      <c r="J122" s="692" t="str">
        <f t="shared" ca="1" si="10"/>
        <v xml:space="preserve"> </v>
      </c>
      <c r="L122" s="1510">
        <f ca="1">IF($A122&gt;Endyr,0,VLOOKUP($A122,Tariff_Table,Tariff!$J$33))</f>
        <v>0.19</v>
      </c>
      <c r="M122" s="1504">
        <f t="shared" ca="1" si="11"/>
        <v>2.4241893391771434</v>
      </c>
      <c r="N122" s="1511">
        <f t="shared" ca="1" si="17"/>
        <v>0.46059597444365724</v>
      </c>
      <c r="O122" s="334">
        <f ca="1">'Plant Operations'!$I122+'Plant Operations'!$M122</f>
        <v>289336.32000000001</v>
      </c>
      <c r="P122" s="1509">
        <f t="shared" ca="1" si="12"/>
        <v>133267.14425234182</v>
      </c>
      <c r="Q122" s="1480">
        <f t="shared" ca="1" si="18"/>
        <v>2.4943915825405454</v>
      </c>
      <c r="R122" s="335">
        <f t="shared" ca="1" si="19"/>
        <v>53426.713425888338</v>
      </c>
      <c r="S122" s="698" t="str">
        <f t="shared" ca="1" si="13"/>
        <v xml:space="preserve"> </v>
      </c>
    </row>
    <row r="123" spans="1:19">
      <c r="A123" s="672">
        <f ca="1">'Plant Operations'!A123</f>
        <v>39630</v>
      </c>
      <c r="C123" s="1484">
        <f ca="1">IF($A123&gt;Endyr,0,VLOOKUP($A123,Tariff_Table,Tariff!$D$33))</f>
        <v>7894.5932028836251</v>
      </c>
      <c r="D123" s="1480">
        <f ca="1">VLOOKUP($A123,Curves_Table,Escalation!$R$291)</f>
        <v>2.4241893391771434</v>
      </c>
      <c r="E123" s="1509">
        <f t="shared" ca="1" si="14"/>
        <v>19137.988679570823</v>
      </c>
      <c r="F123" s="330">
        <f ca="1">'Plant Operations'!C123</f>
        <v>480</v>
      </c>
      <c r="G123" s="1509">
        <f t="shared" ca="1" si="15"/>
        <v>9186.2345661939944</v>
      </c>
      <c r="H123" s="1504">
        <f ca="1">IF(Assm!$L$74=0,VLOOKUP($A123,Curves_Table,Escalation!$D$291),VLOOKUP($A123,Curves_Table,Escalation!$E$291))</f>
        <v>2.4996666740212286</v>
      </c>
      <c r="I123" s="384">
        <f t="shared" ca="1" si="16"/>
        <v>3674.9838135082405</v>
      </c>
      <c r="J123" s="692" t="str">
        <f t="shared" ca="1" si="10"/>
        <v xml:space="preserve"> </v>
      </c>
      <c r="L123" s="1510">
        <f ca="1">IF($A123&gt;Endyr,0,VLOOKUP($A123,Tariff_Table,Tariff!$J$33))</f>
        <v>0.19</v>
      </c>
      <c r="M123" s="1504">
        <f t="shared" ca="1" si="11"/>
        <v>2.4241893391771434</v>
      </c>
      <c r="N123" s="1511">
        <f t="shared" ca="1" si="17"/>
        <v>0.46059597444365724</v>
      </c>
      <c r="O123" s="334">
        <f ca="1">'Plant Operations'!$I123+'Plant Operations'!$M123</f>
        <v>298980.864</v>
      </c>
      <c r="P123" s="1509">
        <f t="shared" ca="1" si="12"/>
        <v>137709.38239408657</v>
      </c>
      <c r="Q123" s="1480">
        <f t="shared" ca="1" si="18"/>
        <v>2.4996666740212286</v>
      </c>
      <c r="R123" s="335">
        <f t="shared" ca="1" si="19"/>
        <v>55091.098275336313</v>
      </c>
      <c r="S123" s="698" t="str">
        <f t="shared" ca="1" si="13"/>
        <v xml:space="preserve"> </v>
      </c>
    </row>
    <row r="124" spans="1:19">
      <c r="A124" s="672">
        <f ca="1">'Plant Operations'!A124</f>
        <v>39661</v>
      </c>
      <c r="C124" s="1484">
        <f ca="1">IF($A124&gt;Endyr,0,VLOOKUP($A124,Tariff_Table,Tariff!$D$33))</f>
        <v>7894.5932028836251</v>
      </c>
      <c r="D124" s="1480">
        <f ca="1">VLOOKUP($A124,Curves_Table,Escalation!$R$291)</f>
        <v>2.4241893391771434</v>
      </c>
      <c r="E124" s="1509">
        <f t="shared" ca="1" si="14"/>
        <v>19137.988679570823</v>
      </c>
      <c r="F124" s="330">
        <f ca="1">'Plant Operations'!C124</f>
        <v>480</v>
      </c>
      <c r="G124" s="1509">
        <f t="shared" ca="1" si="15"/>
        <v>9186.2345661939944</v>
      </c>
      <c r="H124" s="1504">
        <f ca="1">IF(Assm!$L$74=0,VLOOKUP($A124,Curves_Table,Escalation!$D$291),VLOOKUP($A124,Curves_Table,Escalation!$E$291))</f>
        <v>2.5049529211642083</v>
      </c>
      <c r="I124" s="384">
        <f t="shared" ca="1" si="16"/>
        <v>3667.2284291572942</v>
      </c>
      <c r="J124" s="692" t="str">
        <f t="shared" ca="1" si="10"/>
        <v xml:space="preserve"> </v>
      </c>
      <c r="L124" s="1510">
        <f ca="1">IF($A124&gt;Endyr,0,VLOOKUP($A124,Tariff_Table,Tariff!$J$33))</f>
        <v>0.19</v>
      </c>
      <c r="M124" s="1504">
        <f t="shared" ca="1" si="11"/>
        <v>2.4241893391771434</v>
      </c>
      <c r="N124" s="1511">
        <f t="shared" ca="1" si="17"/>
        <v>0.46059597444365724</v>
      </c>
      <c r="O124" s="334">
        <f ca="1">'Plant Operations'!$I124+'Plant Operations'!$M124</f>
        <v>298980.864</v>
      </c>
      <c r="P124" s="1509">
        <f t="shared" ca="1" si="12"/>
        <v>137709.38239408657</v>
      </c>
      <c r="Q124" s="1480">
        <f t="shared" ca="1" si="18"/>
        <v>2.5049529211642083</v>
      </c>
      <c r="R124" s="335">
        <f t="shared" ca="1" si="19"/>
        <v>54974.838541110948</v>
      </c>
      <c r="S124" s="698" t="str">
        <f t="shared" ca="1" si="13"/>
        <v xml:space="preserve"> </v>
      </c>
    </row>
    <row r="125" spans="1:19">
      <c r="A125" s="672">
        <f ca="1">'Plant Operations'!A125</f>
        <v>39692</v>
      </c>
      <c r="C125" s="1484">
        <f ca="1">IF($A125&gt;Endyr,0,VLOOKUP($A125,Tariff_Table,Tariff!$D$33))</f>
        <v>7894.5932028836251</v>
      </c>
      <c r="D125" s="1480">
        <f ca="1">VLOOKUP($A125,Curves_Table,Escalation!$R$291)</f>
        <v>2.4241893391771434</v>
      </c>
      <c r="E125" s="1509">
        <f t="shared" ca="1" si="14"/>
        <v>19137.988679570823</v>
      </c>
      <c r="F125" s="330">
        <f ca="1">'Plant Operations'!C125</f>
        <v>480</v>
      </c>
      <c r="G125" s="1509">
        <f t="shared" ca="1" si="15"/>
        <v>9186.2345661939944</v>
      </c>
      <c r="H125" s="1504">
        <f ca="1">IF(Assm!$L$74=0,VLOOKUP($A125,Curves_Table,Escalation!$D$291),VLOOKUP($A125,Curves_Table,Escalation!$E$291))</f>
        <v>2.5102503475612647</v>
      </c>
      <c r="I125" s="384">
        <f t="shared" ca="1" si="16"/>
        <v>3659.4894111332442</v>
      </c>
      <c r="J125" s="692" t="str">
        <f t="shared" ca="1" si="10"/>
        <v xml:space="preserve"> </v>
      </c>
      <c r="L125" s="1510">
        <f ca="1">IF($A125&gt;Endyr,0,VLOOKUP($A125,Tariff_Table,Tariff!$J$33))</f>
        <v>0.19</v>
      </c>
      <c r="M125" s="1504">
        <f t="shared" ca="1" si="11"/>
        <v>2.4241893391771434</v>
      </c>
      <c r="N125" s="1511">
        <f t="shared" ca="1" si="17"/>
        <v>0.46059597444365724</v>
      </c>
      <c r="O125" s="334">
        <f ca="1">'Plant Operations'!$I125+'Plant Operations'!$M125</f>
        <v>289336.32000000001</v>
      </c>
      <c r="P125" s="1509">
        <f t="shared" ca="1" si="12"/>
        <v>133267.14425234182</v>
      </c>
      <c r="Q125" s="1480">
        <f t="shared" ca="1" si="18"/>
        <v>2.5102503475612647</v>
      </c>
      <c r="R125" s="335">
        <f t="shared" ca="1" si="19"/>
        <v>53089.184663120272</v>
      </c>
      <c r="S125" s="698" t="str">
        <f t="shared" ca="1" si="13"/>
        <v xml:space="preserve"> </v>
      </c>
    </row>
    <row r="126" spans="1:19">
      <c r="A126" s="672">
        <f ca="1">'Plant Operations'!A126</f>
        <v>39722</v>
      </c>
      <c r="C126" s="1484">
        <f ca="1">IF($A126&gt;Endyr,0,VLOOKUP($A126,Tariff_Table,Tariff!$D$33))</f>
        <v>7894.5932028836251</v>
      </c>
      <c r="D126" s="1480">
        <f ca="1">VLOOKUP($A126,Curves_Table,Escalation!$R$291)</f>
        <v>2.4241893391771434</v>
      </c>
      <c r="E126" s="1509">
        <f t="shared" ca="1" si="14"/>
        <v>19137.988679570823</v>
      </c>
      <c r="F126" s="330">
        <f ca="1">'Plant Operations'!C126</f>
        <v>480</v>
      </c>
      <c r="G126" s="1509">
        <f t="shared" ca="1" si="15"/>
        <v>9186.2345661939944</v>
      </c>
      <c r="H126" s="1504">
        <f ca="1">IF(Assm!$L$74=0,VLOOKUP($A126,Curves_Table,Escalation!$D$291),VLOOKUP($A126,Curves_Table,Escalation!$E$291))</f>
        <v>2.5155589768540705</v>
      </c>
      <c r="I126" s="384">
        <f t="shared" ca="1" si="16"/>
        <v>3651.7667248979369</v>
      </c>
      <c r="J126" s="692" t="str">
        <f t="shared" ca="1" si="10"/>
        <v xml:space="preserve"> </v>
      </c>
      <c r="L126" s="1510">
        <f ca="1">IF($A126&gt;Endyr,0,VLOOKUP($A126,Tariff_Table,Tariff!$J$33))</f>
        <v>0.19</v>
      </c>
      <c r="M126" s="1504">
        <f t="shared" ca="1" si="11"/>
        <v>2.4241893391771434</v>
      </c>
      <c r="N126" s="1511">
        <f t="shared" ca="1" si="17"/>
        <v>0.46059597444365724</v>
      </c>
      <c r="O126" s="334">
        <f ca="1">'Plant Operations'!$I126+'Plant Operations'!$M126</f>
        <v>298980.864</v>
      </c>
      <c r="P126" s="1509">
        <f t="shared" ca="1" si="12"/>
        <v>137709.38239408657</v>
      </c>
      <c r="Q126" s="1480">
        <f t="shared" ca="1" si="18"/>
        <v>2.5155589768540705</v>
      </c>
      <c r="R126" s="335">
        <f t="shared" ca="1" si="19"/>
        <v>54743.05458992035</v>
      </c>
      <c r="S126" s="698" t="str">
        <f t="shared" ca="1" si="13"/>
        <v xml:space="preserve"> </v>
      </c>
    </row>
    <row r="127" spans="1:19">
      <c r="A127" s="672">
        <f ca="1">'Plant Operations'!A127</f>
        <v>39753</v>
      </c>
      <c r="C127" s="1484">
        <f ca="1">IF($A127&gt;Endyr,0,VLOOKUP($A127,Tariff_Table,Tariff!$D$33))</f>
        <v>7894.5932028836251</v>
      </c>
      <c r="D127" s="1480">
        <f ca="1">VLOOKUP($A127,Curves_Table,Escalation!$R$291)</f>
        <v>2.4241893391771434</v>
      </c>
      <c r="E127" s="1509">
        <f t="shared" ca="1" si="14"/>
        <v>19137.988679570823</v>
      </c>
      <c r="F127" s="330">
        <f ca="1">'Plant Operations'!C127</f>
        <v>480</v>
      </c>
      <c r="G127" s="1509">
        <f t="shared" ca="1" si="15"/>
        <v>9186.2345661939944</v>
      </c>
      <c r="H127" s="1504">
        <f ca="1">IF(Assm!$L$74=0,VLOOKUP($A127,Curves_Table,Escalation!$D$291),VLOOKUP($A127,Curves_Table,Escalation!$E$291))</f>
        <v>2.5208788327342946</v>
      </c>
      <c r="I127" s="384">
        <f t="shared" ca="1" si="16"/>
        <v>3644.0603359861052</v>
      </c>
      <c r="J127" s="692" t="str">
        <f t="shared" ca="1" si="10"/>
        <v xml:space="preserve"> </v>
      </c>
      <c r="L127" s="1510">
        <f ca="1">IF($A127&gt;Endyr,0,VLOOKUP($A127,Tariff_Table,Tariff!$J$33))</f>
        <v>0.19</v>
      </c>
      <c r="M127" s="1504">
        <f t="shared" ca="1" si="11"/>
        <v>2.4241893391771434</v>
      </c>
      <c r="N127" s="1511">
        <f t="shared" ca="1" si="17"/>
        <v>0.46059597444365724</v>
      </c>
      <c r="O127" s="334">
        <f ca="1">'Plant Operations'!$I127+'Plant Operations'!$M127</f>
        <v>289336.32000000001</v>
      </c>
      <c r="P127" s="1509">
        <f t="shared" ca="1" si="12"/>
        <v>133267.14425234182</v>
      </c>
      <c r="Q127" s="1480">
        <f t="shared" ca="1" si="18"/>
        <v>2.5208788327342946</v>
      </c>
      <c r="R127" s="335">
        <f t="shared" ca="1" si="19"/>
        <v>52865.350972776578</v>
      </c>
      <c r="S127" s="698" t="str">
        <f t="shared" ca="1" si="13"/>
        <v xml:space="preserve"> </v>
      </c>
    </row>
    <row r="128" spans="1:19">
      <c r="A128" s="672">
        <f ca="1">'Plant Operations'!A128</f>
        <v>39783</v>
      </c>
      <c r="C128" s="1484">
        <f ca="1">IF($A128&gt;Endyr,0,VLOOKUP($A128,Tariff_Table,Tariff!$D$33))</f>
        <v>7894.5932028836251</v>
      </c>
      <c r="D128" s="1480">
        <f ca="1">VLOOKUP($A128,Curves_Table,Escalation!$R$291)</f>
        <v>2.4241893391771434</v>
      </c>
      <c r="E128" s="1509">
        <f t="shared" ca="1" si="14"/>
        <v>19137.988679570823</v>
      </c>
      <c r="F128" s="330">
        <f ca="1">'Plant Operations'!C128</f>
        <v>480</v>
      </c>
      <c r="G128" s="1509">
        <f t="shared" ca="1" si="15"/>
        <v>9186.2345661939944</v>
      </c>
      <c r="H128" s="1504">
        <f ca="1">IF(Assm!$L$74=0,VLOOKUP($A128,Curves_Table,Escalation!$D$291),VLOOKUP($A128,Curves_Table,Escalation!$E$291))</f>
        <v>2.5262099389437069</v>
      </c>
      <c r="I128" s="384">
        <f t="shared" ca="1" si="16"/>
        <v>3636.3702100052174</v>
      </c>
      <c r="J128" s="692">
        <f t="shared" ca="1" si="10"/>
        <v>44373.207730391376</v>
      </c>
      <c r="L128" s="1510">
        <f ca="1">IF($A128&gt;Endyr,0,VLOOKUP($A128,Tariff_Table,Tariff!$J$33))</f>
        <v>0.19</v>
      </c>
      <c r="M128" s="1504">
        <f t="shared" ca="1" si="11"/>
        <v>2.4241893391771434</v>
      </c>
      <c r="N128" s="1511">
        <f t="shared" ca="1" si="17"/>
        <v>0.46059597444365724</v>
      </c>
      <c r="O128" s="334">
        <f ca="1">'Plant Operations'!$I128+'Plant Operations'!$M128</f>
        <v>298980.864</v>
      </c>
      <c r="P128" s="1509">
        <f t="shared" ca="1" si="12"/>
        <v>137709.38239408657</v>
      </c>
      <c r="Q128" s="1480">
        <f t="shared" ca="1" si="18"/>
        <v>2.5262099389437069</v>
      </c>
      <c r="R128" s="335">
        <f t="shared" ca="1" si="19"/>
        <v>54512.247882164331</v>
      </c>
      <c r="S128" s="698">
        <f t="shared" ca="1" si="13"/>
        <v>635970.52069696994</v>
      </c>
    </row>
    <row r="129" spans="1:19">
      <c r="A129" s="672">
        <f ca="1">'Plant Operations'!A129</f>
        <v>39814</v>
      </c>
      <c r="C129" s="1484">
        <f ca="1">IF($A129&gt;Endyr,0,VLOOKUP($A129,Tariff_Table,Tariff!$D$33))</f>
        <v>7894.5932028836251</v>
      </c>
      <c r="D129" s="1480">
        <f ca="1">VLOOKUP($A129,Curves_Table,Escalation!$R$291)</f>
        <v>2.4241893391771434</v>
      </c>
      <c r="E129" s="1509">
        <f t="shared" ca="1" si="14"/>
        <v>19137.988679570823</v>
      </c>
      <c r="F129" s="330">
        <f ca="1">'Plant Operations'!C129</f>
        <v>480</v>
      </c>
      <c r="G129" s="1509">
        <f t="shared" ca="1" si="15"/>
        <v>9186.2345661939944</v>
      </c>
      <c r="H129" s="1504">
        <f ca="1">IF(Assm!$L$74=0,VLOOKUP($A129,Curves_Table,Escalation!$D$291),VLOOKUP($A129,Curves_Table,Escalation!$E$291))</f>
        <v>2.5314135178011798</v>
      </c>
      <c r="I129" s="384">
        <f t="shared" ca="1" si="16"/>
        <v>3628.8952798882428</v>
      </c>
      <c r="J129" s="692" t="str">
        <f t="shared" ca="1" si="10"/>
        <v xml:space="preserve"> </v>
      </c>
      <c r="L129" s="1510">
        <f ca="1">IF($A129&gt;Endyr,0,VLOOKUP($A129,Tariff_Table,Tariff!$J$33))</f>
        <v>0.19</v>
      </c>
      <c r="M129" s="1504">
        <f t="shared" ca="1" si="11"/>
        <v>2.4241893391771434</v>
      </c>
      <c r="N129" s="1511">
        <f t="shared" ca="1" si="17"/>
        <v>0.46059597444365724</v>
      </c>
      <c r="O129" s="334">
        <f ca="1">'Plant Operations'!$I129+'Plant Operations'!$M129</f>
        <v>298980.864</v>
      </c>
      <c r="P129" s="1509">
        <f t="shared" ca="1" si="12"/>
        <v>137709.38239408657</v>
      </c>
      <c r="Q129" s="1480">
        <f t="shared" ca="1" si="18"/>
        <v>2.5314135178011798</v>
      </c>
      <c r="R129" s="335">
        <f t="shared" ca="1" si="19"/>
        <v>54400.192392787256</v>
      </c>
      <c r="S129" s="698" t="str">
        <f t="shared" ca="1" si="13"/>
        <v xml:space="preserve"> </v>
      </c>
    </row>
    <row r="130" spans="1:19">
      <c r="A130" s="672">
        <f ca="1">'Plant Operations'!A130</f>
        <v>39845</v>
      </c>
      <c r="C130" s="1484">
        <f ca="1">IF($A130&gt;Endyr,0,VLOOKUP($A130,Tariff_Table,Tariff!$D$33))</f>
        <v>7894.5932028836251</v>
      </c>
      <c r="D130" s="1480">
        <f ca="1">VLOOKUP($A130,Curves_Table,Escalation!$R$291)</f>
        <v>2.4241893391771434</v>
      </c>
      <c r="E130" s="1509">
        <f t="shared" ca="1" si="14"/>
        <v>19137.988679570823</v>
      </c>
      <c r="F130" s="330">
        <f ca="1">'Plant Operations'!C130</f>
        <v>480</v>
      </c>
      <c r="G130" s="1509">
        <f t="shared" ca="1" si="15"/>
        <v>9186.2345661939944</v>
      </c>
      <c r="H130" s="1504">
        <f ca="1">IF(Assm!$L$74=0,VLOOKUP($A130,Curves_Table,Escalation!$D$291),VLOOKUP($A130,Curves_Table,Escalation!$E$291))</f>
        <v>2.5366278151791164</v>
      </c>
      <c r="I130" s="384">
        <f t="shared" ca="1" si="16"/>
        <v>3621.4357152530615</v>
      </c>
      <c r="J130" s="692" t="str">
        <f t="shared" ca="1" si="10"/>
        <v xml:space="preserve"> </v>
      </c>
      <c r="L130" s="1510">
        <f ca="1">IF($A130&gt;Endyr,0,VLOOKUP($A130,Tariff_Table,Tariff!$J$33))</f>
        <v>0.19</v>
      </c>
      <c r="M130" s="1504">
        <f t="shared" ca="1" si="11"/>
        <v>2.4241893391771434</v>
      </c>
      <c r="N130" s="1511">
        <f t="shared" ca="1" si="17"/>
        <v>0.46059597444365724</v>
      </c>
      <c r="O130" s="334">
        <f ca="1">'Plant Operations'!$I130+'Plant Operations'!$M130</f>
        <v>270047.23200000002</v>
      </c>
      <c r="P130" s="1509">
        <f t="shared" ca="1" si="12"/>
        <v>124382.66796885239</v>
      </c>
      <c r="Q130" s="1480">
        <f t="shared" ca="1" si="18"/>
        <v>2.5366278151791164</v>
      </c>
      <c r="R130" s="335">
        <f t="shared" ca="1" si="19"/>
        <v>49034.654285721248</v>
      </c>
      <c r="S130" s="698" t="str">
        <f t="shared" ca="1" si="13"/>
        <v xml:space="preserve"> </v>
      </c>
    </row>
    <row r="131" spans="1:19">
      <c r="A131" s="672">
        <f ca="1">'Plant Operations'!A131</f>
        <v>39873</v>
      </c>
      <c r="C131" s="1484">
        <f ca="1">IF($A131&gt;Endyr,0,VLOOKUP($A131,Tariff_Table,Tariff!$D$33))</f>
        <v>7894.5932028836251</v>
      </c>
      <c r="D131" s="1480">
        <f ca="1">VLOOKUP($A131,Curves_Table,Escalation!$R$291)</f>
        <v>2.4241893391771434</v>
      </c>
      <c r="E131" s="1509">
        <f t="shared" ca="1" si="14"/>
        <v>19137.988679570823</v>
      </c>
      <c r="F131" s="330">
        <f ca="1">'Plant Operations'!C131</f>
        <v>480</v>
      </c>
      <c r="G131" s="1509">
        <f t="shared" ca="1" si="15"/>
        <v>9186.2345661939944</v>
      </c>
      <c r="H131" s="1504">
        <f ca="1">IF(Assm!$L$74=0,VLOOKUP($A131,Curves_Table,Escalation!$D$291),VLOOKUP($A131,Curves_Table,Escalation!$E$291))</f>
        <v>2.5418528531559139</v>
      </c>
      <c r="I131" s="384">
        <f t="shared" ca="1" si="16"/>
        <v>3613.9914845143567</v>
      </c>
      <c r="J131" s="692" t="str">
        <f t="shared" ca="1" si="10"/>
        <v xml:space="preserve"> </v>
      </c>
      <c r="L131" s="1510">
        <f ca="1">IF($A131&gt;Endyr,0,VLOOKUP($A131,Tariff_Table,Tariff!$J$33))</f>
        <v>0.19</v>
      </c>
      <c r="M131" s="1504">
        <f t="shared" ca="1" si="11"/>
        <v>2.4241893391771434</v>
      </c>
      <c r="N131" s="1511">
        <f t="shared" ca="1" si="17"/>
        <v>0.46059597444365724</v>
      </c>
      <c r="O131" s="334">
        <f ca="1">'Plant Operations'!$I131+'Plant Operations'!$M131</f>
        <v>298980.864</v>
      </c>
      <c r="P131" s="1509">
        <f t="shared" ca="1" si="12"/>
        <v>137709.38239408657</v>
      </c>
      <c r="Q131" s="1480">
        <f t="shared" ca="1" si="18"/>
        <v>2.5418528531559139</v>
      </c>
      <c r="R131" s="335">
        <f t="shared" ca="1" si="19"/>
        <v>54176.771965029111</v>
      </c>
      <c r="S131" s="698" t="str">
        <f t="shared" ca="1" si="13"/>
        <v xml:space="preserve"> </v>
      </c>
    </row>
    <row r="132" spans="1:19">
      <c r="A132" s="672">
        <f ca="1">'Plant Operations'!A132</f>
        <v>39904</v>
      </c>
      <c r="C132" s="1484">
        <f ca="1">IF($A132&gt;Endyr,0,VLOOKUP($A132,Tariff_Table,Tariff!$D$33))</f>
        <v>7894.5932028836251</v>
      </c>
      <c r="D132" s="1480">
        <f ca="1">VLOOKUP($A132,Curves_Table,Escalation!$R$291)</f>
        <v>2.4241893391771434</v>
      </c>
      <c r="E132" s="1509">
        <f t="shared" ca="1" si="14"/>
        <v>19137.988679570823</v>
      </c>
      <c r="F132" s="330">
        <f ca="1">'Plant Operations'!C132</f>
        <v>480</v>
      </c>
      <c r="G132" s="1509">
        <f t="shared" ca="1" si="15"/>
        <v>9186.2345661939944</v>
      </c>
      <c r="H132" s="1504">
        <f ca="1">IF(Assm!$L$74=0,VLOOKUP($A132,Curves_Table,Escalation!$D$291),VLOOKUP($A132,Curves_Table,Escalation!$E$291))</f>
        <v>2.5470886538554471</v>
      </c>
      <c r="I132" s="384">
        <f t="shared" ca="1" si="16"/>
        <v>3606.5625561517395</v>
      </c>
      <c r="J132" s="692" t="str">
        <f t="shared" ca="1" si="10"/>
        <v xml:space="preserve"> </v>
      </c>
      <c r="L132" s="1510">
        <f ca="1">IF($A132&gt;Endyr,0,VLOOKUP($A132,Tariff_Table,Tariff!$J$33))</f>
        <v>0.19</v>
      </c>
      <c r="M132" s="1504">
        <f t="shared" ca="1" si="11"/>
        <v>2.4241893391771434</v>
      </c>
      <c r="N132" s="1511">
        <f t="shared" ca="1" si="17"/>
        <v>0.46059597444365724</v>
      </c>
      <c r="O132" s="334">
        <f ca="1">'Plant Operations'!$I132+'Plant Operations'!$M132</f>
        <v>289336.32000000001</v>
      </c>
      <c r="P132" s="1509">
        <f t="shared" ca="1" si="12"/>
        <v>133267.14425234182</v>
      </c>
      <c r="Q132" s="1480">
        <f t="shared" ca="1" si="18"/>
        <v>2.5470886538554471</v>
      </c>
      <c r="R132" s="335">
        <f t="shared" ca="1" si="19"/>
        <v>52321.360723200421</v>
      </c>
      <c r="S132" s="698" t="str">
        <f t="shared" ca="1" si="13"/>
        <v xml:space="preserve"> </v>
      </c>
    </row>
    <row r="133" spans="1:19">
      <c r="A133" s="672">
        <f ca="1">'Plant Operations'!A133</f>
        <v>39934</v>
      </c>
      <c r="C133" s="1484">
        <f ca="1">IF($A133&gt;Endyr,0,VLOOKUP($A133,Tariff_Table,Tariff!$D$33))</f>
        <v>7730.9607438016528</v>
      </c>
      <c r="D133" s="1480">
        <f ca="1">VLOOKUP($A133,Curves_Table,Escalation!$R$291)</f>
        <v>2.6035770917136669</v>
      </c>
      <c r="E133" s="1509">
        <f t="shared" ca="1" si="14"/>
        <v>20128.152289499634</v>
      </c>
      <c r="F133" s="330">
        <f ca="1">'Plant Operations'!C133</f>
        <v>480</v>
      </c>
      <c r="G133" s="1509">
        <f t="shared" ca="1" si="15"/>
        <v>9661.5130989598238</v>
      </c>
      <c r="H133" s="1504">
        <f ca="1">IF(Assm!$L$74=0,VLOOKUP($A133,Curves_Table,Escalation!$D$291),VLOOKUP($A133,Curves_Table,Escalation!$E$291))</f>
        <v>2.5523352394471628</v>
      </c>
      <c r="I133" s="384">
        <f t="shared" ca="1" si="16"/>
        <v>3785.3621066849009</v>
      </c>
      <c r="J133" s="692" t="str">
        <f t="shared" ca="1" si="10"/>
        <v xml:space="preserve"> </v>
      </c>
      <c r="L133" s="1510">
        <f ca="1">IF($A133&gt;Endyr,0,VLOOKUP($A133,Tariff_Table,Tariff!$J$33))</f>
        <v>0.19</v>
      </c>
      <c r="M133" s="1504">
        <f t="shared" ca="1" si="11"/>
        <v>2.6035770917136669</v>
      </c>
      <c r="N133" s="1511">
        <f t="shared" ca="1" si="17"/>
        <v>0.49467964742559672</v>
      </c>
      <c r="O133" s="334">
        <f ca="1">'Plant Operations'!$I133+'Plant Operations'!$M133</f>
        <v>298980.864</v>
      </c>
      <c r="P133" s="1509">
        <f t="shared" ca="1" si="12"/>
        <v>147899.74839052028</v>
      </c>
      <c r="Q133" s="1480">
        <f t="shared" ca="1" si="18"/>
        <v>2.5523352394471628</v>
      </c>
      <c r="R133" s="335">
        <f t="shared" ca="1" si="19"/>
        <v>57946.834767111337</v>
      </c>
      <c r="S133" s="698" t="str">
        <f t="shared" ca="1" si="13"/>
        <v xml:space="preserve"> </v>
      </c>
    </row>
    <row r="134" spans="1:19">
      <c r="A134" s="672">
        <f ca="1">'Plant Operations'!A134</f>
        <v>39965</v>
      </c>
      <c r="C134" s="1484">
        <f ca="1">IF($A134&gt;Endyr,0,VLOOKUP($A134,Tariff_Table,Tariff!$D$33))</f>
        <v>7730.9607438016528</v>
      </c>
      <c r="D134" s="1480">
        <f ca="1">VLOOKUP($A134,Curves_Table,Escalation!$R$291)</f>
        <v>2.6035770917136669</v>
      </c>
      <c r="E134" s="1509">
        <f t="shared" ca="1" si="14"/>
        <v>20128.152289499634</v>
      </c>
      <c r="F134" s="330">
        <f ca="1">'Plant Operations'!C134</f>
        <v>480</v>
      </c>
      <c r="G134" s="1509">
        <f t="shared" ca="1" si="15"/>
        <v>9661.5130989598238</v>
      </c>
      <c r="H134" s="1504">
        <f ca="1">IF(Assm!$L$74=0,VLOOKUP($A134,Curves_Table,Escalation!$D$291),VLOOKUP($A134,Curves_Table,Escalation!$E$291))</f>
        <v>2.5575926321461733</v>
      </c>
      <c r="I134" s="384">
        <f t="shared" ca="1" si="16"/>
        <v>3777.5809085172727</v>
      </c>
      <c r="J134" s="692" t="str">
        <f t="shared" ca="1" si="10"/>
        <v xml:space="preserve"> </v>
      </c>
      <c r="L134" s="1510">
        <f ca="1">IF($A134&gt;Endyr,0,VLOOKUP($A134,Tariff_Table,Tariff!$J$33))</f>
        <v>0.19</v>
      </c>
      <c r="M134" s="1504">
        <f t="shared" ca="1" si="11"/>
        <v>2.6035770917136669</v>
      </c>
      <c r="N134" s="1511">
        <f t="shared" ca="1" si="17"/>
        <v>0.49467964742559672</v>
      </c>
      <c r="O134" s="334">
        <f ca="1">'Plant Operations'!$I134+'Plant Operations'!$M134</f>
        <v>289336.32000000001</v>
      </c>
      <c r="P134" s="1509">
        <f t="shared" ca="1" si="12"/>
        <v>143128.78876501962</v>
      </c>
      <c r="Q134" s="1480">
        <f t="shared" ca="1" si="18"/>
        <v>2.5575926321461733</v>
      </c>
      <c r="R134" s="335">
        <f t="shared" ca="1" si="19"/>
        <v>55962.308839197278</v>
      </c>
      <c r="S134" s="698" t="str">
        <f t="shared" ca="1" si="13"/>
        <v xml:space="preserve"> </v>
      </c>
    </row>
    <row r="135" spans="1:19">
      <c r="A135" s="672">
        <f ca="1">'Plant Operations'!A135</f>
        <v>39995</v>
      </c>
      <c r="C135" s="1484">
        <f ca="1">IF($A135&gt;Endyr,0,VLOOKUP($A135,Tariff_Table,Tariff!$D$33))</f>
        <v>7730.9607438016528</v>
      </c>
      <c r="D135" s="1480">
        <f ca="1">VLOOKUP($A135,Curves_Table,Escalation!$R$291)</f>
        <v>2.6035770917136669</v>
      </c>
      <c r="E135" s="1509">
        <f t="shared" ca="1" si="14"/>
        <v>20128.152289499634</v>
      </c>
      <c r="F135" s="330">
        <f ca="1">'Plant Operations'!C135</f>
        <v>480</v>
      </c>
      <c r="G135" s="1509">
        <f t="shared" ca="1" si="15"/>
        <v>9661.5130989598238</v>
      </c>
      <c r="H135" s="1504">
        <f ca="1">IF(Assm!$L$74=0,VLOOKUP($A135,Curves_Table,Escalation!$D$291),VLOOKUP($A135,Curves_Table,Escalation!$E$291))</f>
        <v>2.56286085421335</v>
      </c>
      <c r="I135" s="384">
        <f t="shared" ca="1" si="16"/>
        <v>3769.8157053966747</v>
      </c>
      <c r="J135" s="692" t="str">
        <f t="shared" ca="1" si="10"/>
        <v xml:space="preserve"> </v>
      </c>
      <c r="L135" s="1510">
        <f ca="1">IF($A135&gt;Endyr,0,VLOOKUP($A135,Tariff_Table,Tariff!$J$33))</f>
        <v>0.19</v>
      </c>
      <c r="M135" s="1504">
        <f t="shared" ca="1" si="11"/>
        <v>2.6035770917136669</v>
      </c>
      <c r="N135" s="1511">
        <f t="shared" ca="1" si="17"/>
        <v>0.49467964742559672</v>
      </c>
      <c r="O135" s="334">
        <f ca="1">'Plant Operations'!$I135+'Plant Operations'!$M135</f>
        <v>298980.864</v>
      </c>
      <c r="P135" s="1509">
        <f t="shared" ca="1" si="12"/>
        <v>147899.74839052028</v>
      </c>
      <c r="Q135" s="1480">
        <f t="shared" ca="1" si="18"/>
        <v>2.56286085421335</v>
      </c>
      <c r="R135" s="335">
        <f t="shared" ca="1" si="19"/>
        <v>57708.848354904912</v>
      </c>
      <c r="S135" s="698" t="str">
        <f t="shared" ca="1" si="13"/>
        <v xml:space="preserve"> </v>
      </c>
    </row>
    <row r="136" spans="1:19">
      <c r="A136" s="672">
        <f ca="1">'Plant Operations'!A136</f>
        <v>40026</v>
      </c>
      <c r="C136" s="1484">
        <f ca="1">IF($A136&gt;Endyr,0,VLOOKUP($A136,Tariff_Table,Tariff!$D$33))</f>
        <v>7730.9607438016528</v>
      </c>
      <c r="D136" s="1480">
        <f ca="1">VLOOKUP($A136,Curves_Table,Escalation!$R$291)</f>
        <v>2.6035770917136669</v>
      </c>
      <c r="E136" s="1509">
        <f t="shared" ca="1" si="14"/>
        <v>20128.152289499634</v>
      </c>
      <c r="F136" s="330">
        <f ca="1">'Plant Operations'!C136</f>
        <v>480</v>
      </c>
      <c r="G136" s="1509">
        <f t="shared" ca="1" si="15"/>
        <v>9661.5130989598238</v>
      </c>
      <c r="H136" s="1504">
        <f ca="1">IF(Assm!$L$74=0,VLOOKUP($A136,Curves_Table,Escalation!$D$291),VLOOKUP($A136,Curves_Table,Escalation!$E$291))</f>
        <v>2.5681399279554182</v>
      </c>
      <c r="I136" s="384">
        <f t="shared" ca="1" si="16"/>
        <v>3762.0664644436551</v>
      </c>
      <c r="J136" s="692" t="str">
        <f t="shared" ca="1" si="10"/>
        <v xml:space="preserve"> </v>
      </c>
      <c r="L136" s="1510">
        <f ca="1">IF($A136&gt;Endyr,0,VLOOKUP($A136,Tariff_Table,Tariff!$J$33))</f>
        <v>0.19</v>
      </c>
      <c r="M136" s="1504">
        <f t="shared" ca="1" si="11"/>
        <v>2.6035770917136669</v>
      </c>
      <c r="N136" s="1511">
        <f t="shared" ca="1" si="17"/>
        <v>0.49467964742559672</v>
      </c>
      <c r="O136" s="334">
        <f ca="1">'Plant Operations'!$I136+'Plant Operations'!$M136</f>
        <v>298980.864</v>
      </c>
      <c r="P136" s="1509">
        <f t="shared" ca="1" si="12"/>
        <v>147899.74839052028</v>
      </c>
      <c r="Q136" s="1480">
        <f t="shared" ca="1" si="18"/>
        <v>2.5681399279554182</v>
      </c>
      <c r="R136" s="335">
        <f t="shared" ca="1" si="19"/>
        <v>57590.221926991413</v>
      </c>
      <c r="S136" s="698" t="str">
        <f t="shared" ca="1" si="13"/>
        <v xml:space="preserve"> </v>
      </c>
    </row>
    <row r="137" spans="1:19">
      <c r="A137" s="672">
        <f ca="1">'Plant Operations'!A137</f>
        <v>40057</v>
      </c>
      <c r="C137" s="1484">
        <f ca="1">IF($A137&gt;Endyr,0,VLOOKUP($A137,Tariff_Table,Tariff!$D$33))</f>
        <v>7730.9607438016528</v>
      </c>
      <c r="D137" s="1480">
        <f ca="1">VLOOKUP($A137,Curves_Table,Escalation!$R$291)</f>
        <v>2.6035770917136669</v>
      </c>
      <c r="E137" s="1509">
        <f t="shared" ca="1" si="14"/>
        <v>20128.152289499634</v>
      </c>
      <c r="F137" s="330">
        <f ca="1">'Plant Operations'!C137</f>
        <v>480</v>
      </c>
      <c r="G137" s="1509">
        <f t="shared" ca="1" si="15"/>
        <v>9661.5130989598238</v>
      </c>
      <c r="H137" s="1504">
        <f ca="1">IF(Assm!$L$74=0,VLOOKUP($A137,Curves_Table,Escalation!$D$291),VLOOKUP($A137,Curves_Table,Escalation!$E$291))</f>
        <v>2.5734298757250516</v>
      </c>
      <c r="I137" s="384">
        <f t="shared" ca="1" si="16"/>
        <v>3754.33315284635</v>
      </c>
      <c r="J137" s="692" t="str">
        <f t="shared" ca="1" si="10"/>
        <v xml:space="preserve"> </v>
      </c>
      <c r="L137" s="1510">
        <f ca="1">IF($A137&gt;Endyr,0,VLOOKUP($A137,Tariff_Table,Tariff!$J$33))</f>
        <v>0.19</v>
      </c>
      <c r="M137" s="1504">
        <f t="shared" ca="1" si="11"/>
        <v>2.6035770917136669</v>
      </c>
      <c r="N137" s="1511">
        <f t="shared" ca="1" si="17"/>
        <v>0.49467964742559672</v>
      </c>
      <c r="O137" s="334">
        <f ca="1">'Plant Operations'!$I137+'Plant Operations'!$M137</f>
        <v>289336.32000000001</v>
      </c>
      <c r="P137" s="1509">
        <f t="shared" ca="1" si="12"/>
        <v>143128.78876501962</v>
      </c>
      <c r="Q137" s="1480">
        <f t="shared" ca="1" si="18"/>
        <v>2.5734298757250516</v>
      </c>
      <c r="R137" s="335">
        <f t="shared" ca="1" si="19"/>
        <v>55617.909046266032</v>
      </c>
      <c r="S137" s="698" t="str">
        <f t="shared" ca="1" si="13"/>
        <v xml:space="preserve"> </v>
      </c>
    </row>
    <row r="138" spans="1:19">
      <c r="A138" s="672">
        <f ca="1">'Plant Operations'!A138</f>
        <v>40087</v>
      </c>
      <c r="C138" s="1484">
        <f ca="1">IF($A138&gt;Endyr,0,VLOOKUP($A138,Tariff_Table,Tariff!$D$33))</f>
        <v>7730.9607438016528</v>
      </c>
      <c r="D138" s="1480">
        <f ca="1">VLOOKUP($A138,Curves_Table,Escalation!$R$291)</f>
        <v>2.6035770917136669</v>
      </c>
      <c r="E138" s="1509">
        <f t="shared" ca="1" si="14"/>
        <v>20128.152289499634</v>
      </c>
      <c r="F138" s="330">
        <f ca="1">'Plant Operations'!C138</f>
        <v>480</v>
      </c>
      <c r="G138" s="1509">
        <f t="shared" ca="1" si="15"/>
        <v>9661.5130989598238</v>
      </c>
      <c r="H138" s="1504">
        <f ca="1">IF(Assm!$L$74=0,VLOOKUP($A138,Curves_Table,Escalation!$D$291),VLOOKUP($A138,Curves_Table,Escalation!$E$291))</f>
        <v>2.5787307199209661</v>
      </c>
      <c r="I138" s="384">
        <f t="shared" ca="1" si="16"/>
        <v>3746.615737860343</v>
      </c>
      <c r="J138" s="692" t="str">
        <f t="shared" ca="1" si="10"/>
        <v xml:space="preserve"> </v>
      </c>
      <c r="L138" s="1510">
        <f ca="1">IF($A138&gt;Endyr,0,VLOOKUP($A138,Tariff_Table,Tariff!$J$33))</f>
        <v>0.19</v>
      </c>
      <c r="M138" s="1504">
        <f t="shared" ca="1" si="11"/>
        <v>2.6035770917136669</v>
      </c>
      <c r="N138" s="1511">
        <f t="shared" ca="1" si="17"/>
        <v>0.49467964742559672</v>
      </c>
      <c r="O138" s="334">
        <f ca="1">'Plant Operations'!$I138+'Plant Operations'!$M138</f>
        <v>298980.864</v>
      </c>
      <c r="P138" s="1509">
        <f t="shared" ca="1" si="12"/>
        <v>147899.74839052028</v>
      </c>
      <c r="Q138" s="1480">
        <f t="shared" ca="1" si="18"/>
        <v>2.5787307199209661</v>
      </c>
      <c r="R138" s="335">
        <f t="shared" ca="1" si="19"/>
        <v>57353.700116099433</v>
      </c>
      <c r="S138" s="698" t="str">
        <f t="shared" ca="1" si="13"/>
        <v xml:space="preserve"> </v>
      </c>
    </row>
    <row r="139" spans="1:19">
      <c r="A139" s="672">
        <f ca="1">'Plant Operations'!A139</f>
        <v>40118</v>
      </c>
      <c r="C139" s="1484">
        <f ca="1">IF($A139&gt;Endyr,0,VLOOKUP($A139,Tariff_Table,Tariff!$D$33))</f>
        <v>7730.9607438016528</v>
      </c>
      <c r="D139" s="1480">
        <f ca="1">VLOOKUP($A139,Curves_Table,Escalation!$R$291)</f>
        <v>2.6035770917136669</v>
      </c>
      <c r="E139" s="1509">
        <f t="shared" ca="1" si="14"/>
        <v>20128.152289499634</v>
      </c>
      <c r="F139" s="330">
        <f ca="1">'Plant Operations'!C139</f>
        <v>480</v>
      </c>
      <c r="G139" s="1509">
        <f t="shared" ca="1" si="15"/>
        <v>9661.5130989598238</v>
      </c>
      <c r="H139" s="1504">
        <f ca="1">IF(Assm!$L$74=0,VLOOKUP($A139,Curves_Table,Escalation!$D$291),VLOOKUP($A139,Curves_Table,Escalation!$E$291))</f>
        <v>2.5840424829880164</v>
      </c>
      <c r="I139" s="384">
        <f t="shared" ca="1" si="16"/>
        <v>3738.9141868085262</v>
      </c>
      <c r="J139" s="692" t="str">
        <f t="shared" ca="1" si="10"/>
        <v xml:space="preserve"> </v>
      </c>
      <c r="L139" s="1510">
        <f ca="1">IF($A139&gt;Endyr,0,VLOOKUP($A139,Tariff_Table,Tariff!$J$33))</f>
        <v>0.19</v>
      </c>
      <c r="M139" s="1504">
        <f t="shared" ca="1" si="11"/>
        <v>2.6035770917136669</v>
      </c>
      <c r="N139" s="1511">
        <f t="shared" ca="1" si="17"/>
        <v>0.49467964742559672</v>
      </c>
      <c r="O139" s="334">
        <f ca="1">'Plant Operations'!$I139+'Plant Operations'!$M139</f>
        <v>289336.32000000001</v>
      </c>
      <c r="P139" s="1509">
        <f t="shared" ca="1" si="12"/>
        <v>143128.78876501962</v>
      </c>
      <c r="Q139" s="1480">
        <f t="shared" ca="1" si="18"/>
        <v>2.5840424829880164</v>
      </c>
      <c r="R139" s="335">
        <f t="shared" ca="1" si="19"/>
        <v>55389.487482231685</v>
      </c>
      <c r="S139" s="698" t="str">
        <f t="shared" ca="1" si="13"/>
        <v xml:space="preserve"> </v>
      </c>
    </row>
    <row r="140" spans="1:19">
      <c r="A140" s="672">
        <f ca="1">'Plant Operations'!A140</f>
        <v>40148</v>
      </c>
      <c r="C140" s="1484">
        <f ca="1">IF($A140&gt;Endyr,0,VLOOKUP($A140,Tariff_Table,Tariff!$D$33))</f>
        <v>7730.9607438016528</v>
      </c>
      <c r="D140" s="1480">
        <f ca="1">VLOOKUP($A140,Curves_Table,Escalation!$R$291)</f>
        <v>2.6035770917136669</v>
      </c>
      <c r="E140" s="1509">
        <f t="shared" ca="1" si="14"/>
        <v>20128.152289499634</v>
      </c>
      <c r="F140" s="330">
        <f ca="1">'Plant Operations'!C140</f>
        <v>480</v>
      </c>
      <c r="G140" s="1509">
        <f t="shared" ca="1" si="15"/>
        <v>9661.5130989598238</v>
      </c>
      <c r="H140" s="1504">
        <f ca="1">IF(Assm!$L$74=0,VLOOKUP($A140,Curves_Table,Escalation!$D$291),VLOOKUP($A140,Curves_Table,Escalation!$E$291))</f>
        <v>2.5893651874172878</v>
      </c>
      <c r="I140" s="384">
        <f t="shared" ca="1" si="16"/>
        <v>3731.2284670809654</v>
      </c>
      <c r="J140" s="692">
        <f t="shared" ref="J140:J203" ca="1" si="20">IF(MONTH($A140)=12,SUM(I129:I140)," ")</f>
        <v>44536.801765446093</v>
      </c>
      <c r="L140" s="1510">
        <f ca="1">IF($A140&gt;Endyr,0,VLOOKUP($A140,Tariff_Table,Tariff!$J$33))</f>
        <v>0.19</v>
      </c>
      <c r="M140" s="1504">
        <f t="shared" ref="M140:M203" ca="1" si="21">D140</f>
        <v>2.6035770917136669</v>
      </c>
      <c r="N140" s="1511">
        <f t="shared" ca="1" si="17"/>
        <v>0.49467964742559672</v>
      </c>
      <c r="O140" s="334">
        <f ca="1">'Plant Operations'!$I140+'Plant Operations'!$M140</f>
        <v>298980.864</v>
      </c>
      <c r="P140" s="1509">
        <f t="shared" ref="P140:P203" ca="1" si="22">N140*O140</f>
        <v>147899.74839052028</v>
      </c>
      <c r="Q140" s="1480">
        <f t="shared" ca="1" si="18"/>
        <v>2.5893651874172878</v>
      </c>
      <c r="R140" s="335">
        <f t="shared" ca="1" si="19"/>
        <v>57118.14969523091</v>
      </c>
      <c r="S140" s="698">
        <f t="shared" ref="S140:S203" ca="1" si="23">IF(MONTH($A140)=12,SUM(R129:R140)," ")</f>
        <v>664620.43959477101</v>
      </c>
    </row>
    <row r="141" spans="1:19">
      <c r="A141" s="672">
        <f ca="1">'Plant Operations'!A141</f>
        <v>40179</v>
      </c>
      <c r="C141" s="1484">
        <f ca="1">IF($A141&gt;Endyr,0,VLOOKUP($A141,Tariff_Table,Tariff!$D$33))</f>
        <v>7730.9607438016528</v>
      </c>
      <c r="D141" s="1480">
        <f ca="1">VLOOKUP($A141,Curves_Table,Escalation!$R$291)</f>
        <v>2.6035770917136669</v>
      </c>
      <c r="E141" s="1509">
        <f t="shared" ref="E141:E204" ca="1" si="24">C141*D141</f>
        <v>20128.152289499634</v>
      </c>
      <c r="F141" s="330">
        <f ca="1">'Plant Operations'!C141</f>
        <v>480</v>
      </c>
      <c r="G141" s="1509">
        <f t="shared" ref="G141:G204" ca="1" si="25">E141*F141/1000</f>
        <v>9661.5130989598238</v>
      </c>
      <c r="H141" s="1504">
        <f ca="1">IF(Assm!$L$74=0,VLOOKUP($A141,Curves_Table,Escalation!$D$291),VLOOKUP($A141,Curves_Table,Escalation!$E$291))</f>
        <v>2.5944082870946334</v>
      </c>
      <c r="I141" s="384">
        <f t="shared" ref="I141:I204" ca="1" si="26">G141/H141</f>
        <v>3723.9755774058744</v>
      </c>
      <c r="J141" s="692" t="str">
        <f t="shared" ca="1" si="20"/>
        <v xml:space="preserve"> </v>
      </c>
      <c r="L141" s="1510">
        <f ca="1">IF($A141&gt;Endyr,0,VLOOKUP($A141,Tariff_Table,Tariff!$J$33))</f>
        <v>0.19</v>
      </c>
      <c r="M141" s="1504">
        <f t="shared" ca="1" si="21"/>
        <v>2.6035770917136669</v>
      </c>
      <c r="N141" s="1511">
        <f t="shared" ref="N141:N204" ca="1" si="27">L141*M141</f>
        <v>0.49467964742559672</v>
      </c>
      <c r="O141" s="334">
        <f ca="1">'Plant Operations'!$I141+'Plant Operations'!$M141</f>
        <v>298980.864</v>
      </c>
      <c r="P141" s="1509">
        <f t="shared" ca="1" si="22"/>
        <v>147899.74839052028</v>
      </c>
      <c r="Q141" s="1480">
        <f t="shared" ref="Q141:Q204" ca="1" si="28">$H141</f>
        <v>2.5944082870946334</v>
      </c>
      <c r="R141" s="335">
        <f t="shared" ref="R141:R204" ca="1" si="29">P141/Q141</f>
        <v>57007.121479767884</v>
      </c>
      <c r="S141" s="698" t="str">
        <f t="shared" ca="1" si="23"/>
        <v xml:space="preserve"> </v>
      </c>
    </row>
    <row r="142" spans="1:19">
      <c r="A142" s="672">
        <f ca="1">'Plant Operations'!A142</f>
        <v>40210</v>
      </c>
      <c r="C142" s="1484">
        <f ca="1">IF($A142&gt;Endyr,0,VLOOKUP($A142,Tariff_Table,Tariff!$D$33))</f>
        <v>7730.9607438016528</v>
      </c>
      <c r="D142" s="1480">
        <f ca="1">VLOOKUP($A142,Curves_Table,Escalation!$R$291)</f>
        <v>2.6035770917136669</v>
      </c>
      <c r="E142" s="1509">
        <f t="shared" ca="1" si="24"/>
        <v>20128.152289499634</v>
      </c>
      <c r="F142" s="330">
        <f ca="1">'Plant Operations'!C142</f>
        <v>480</v>
      </c>
      <c r="G142" s="1509">
        <f t="shared" ca="1" si="25"/>
        <v>9661.5130989598238</v>
      </c>
      <c r="H142" s="1504">
        <f ca="1">IF(Assm!$L$74=0,VLOOKUP($A142,Curves_Table,Escalation!$D$291),VLOOKUP($A142,Curves_Table,Escalation!$E$291))</f>
        <v>2.5994612088142612</v>
      </c>
      <c r="I142" s="384">
        <f t="shared" ca="1" si="26"/>
        <v>3716.7367861461194</v>
      </c>
      <c r="J142" s="692" t="str">
        <f t="shared" ca="1" si="20"/>
        <v xml:space="preserve"> </v>
      </c>
      <c r="L142" s="1510">
        <f ca="1">IF($A142&gt;Endyr,0,VLOOKUP($A142,Tariff_Table,Tariff!$J$33))</f>
        <v>0.19</v>
      </c>
      <c r="M142" s="1504">
        <f t="shared" ca="1" si="21"/>
        <v>2.6035770917136669</v>
      </c>
      <c r="N142" s="1511">
        <f t="shared" ca="1" si="27"/>
        <v>0.49467964742559672</v>
      </c>
      <c r="O142" s="334">
        <f ca="1">'Plant Operations'!$I142+'Plant Operations'!$M142</f>
        <v>270047.23200000002</v>
      </c>
      <c r="P142" s="1509">
        <f t="shared" ca="1" si="22"/>
        <v>133586.86951401833</v>
      </c>
      <c r="Q142" s="1480">
        <f t="shared" ca="1" si="28"/>
        <v>2.5994612088142612</v>
      </c>
      <c r="R142" s="335">
        <f t="shared" ca="1" si="29"/>
        <v>51390.214657195713</v>
      </c>
      <c r="S142" s="698" t="str">
        <f t="shared" ca="1" si="23"/>
        <v xml:space="preserve"> </v>
      </c>
    </row>
    <row r="143" spans="1:19">
      <c r="A143" s="672">
        <f ca="1">'Plant Operations'!A143</f>
        <v>40238</v>
      </c>
      <c r="C143" s="1484">
        <f ca="1">IF($A143&gt;Endyr,0,VLOOKUP($A143,Tariff_Table,Tariff!$D$33))</f>
        <v>7730.9607438016528</v>
      </c>
      <c r="D143" s="1480">
        <f ca="1">VLOOKUP($A143,Curves_Table,Escalation!$R$291)</f>
        <v>2.6035770917136669</v>
      </c>
      <c r="E143" s="1509">
        <f t="shared" ca="1" si="24"/>
        <v>20128.152289499634</v>
      </c>
      <c r="F143" s="330">
        <f ca="1">'Plant Operations'!C143</f>
        <v>480</v>
      </c>
      <c r="G143" s="1509">
        <f t="shared" ca="1" si="25"/>
        <v>9661.5130989598238</v>
      </c>
      <c r="H143" s="1504">
        <f ca="1">IF(Assm!$L$74=0,VLOOKUP($A143,Curves_Table,Escalation!$D$291),VLOOKUP($A143,Curves_Table,Escalation!$E$291))</f>
        <v>2.6045239717057789</v>
      </c>
      <c r="I143" s="384">
        <f t="shared" ca="1" si="26"/>
        <v>3709.5120658967162</v>
      </c>
      <c r="J143" s="692" t="str">
        <f t="shared" ca="1" si="20"/>
        <v xml:space="preserve"> </v>
      </c>
      <c r="L143" s="1510">
        <f ca="1">IF($A143&gt;Endyr,0,VLOOKUP($A143,Tariff_Table,Tariff!$J$33))</f>
        <v>0.19</v>
      </c>
      <c r="M143" s="1504">
        <f t="shared" ca="1" si="21"/>
        <v>2.6035770917136669</v>
      </c>
      <c r="N143" s="1511">
        <f t="shared" ca="1" si="27"/>
        <v>0.49467964742559672</v>
      </c>
      <c r="O143" s="334">
        <f ca="1">'Plant Operations'!$I143+'Plant Operations'!$M143</f>
        <v>298980.864</v>
      </c>
      <c r="P143" s="1509">
        <f t="shared" ca="1" si="22"/>
        <v>147899.74839052028</v>
      </c>
      <c r="Q143" s="1480">
        <f t="shared" ca="1" si="28"/>
        <v>2.6045239717057789</v>
      </c>
      <c r="R143" s="335">
        <f t="shared" ca="1" si="29"/>
        <v>56785.712090665234</v>
      </c>
      <c r="S143" s="698" t="str">
        <f t="shared" ca="1" si="23"/>
        <v xml:space="preserve"> </v>
      </c>
    </row>
    <row r="144" spans="1:19">
      <c r="A144" s="672">
        <f ca="1">'Plant Operations'!A144</f>
        <v>40269</v>
      </c>
      <c r="C144" s="1484">
        <f ca="1">IF($A144&gt;Endyr,0,VLOOKUP($A144,Tariff_Table,Tariff!$D$33))</f>
        <v>7730.9607438016528</v>
      </c>
      <c r="D144" s="1480">
        <f ca="1">VLOOKUP($A144,Curves_Table,Escalation!$R$291)</f>
        <v>2.6035770917136669</v>
      </c>
      <c r="E144" s="1509">
        <f t="shared" ca="1" si="24"/>
        <v>20128.152289499634</v>
      </c>
      <c r="F144" s="330">
        <f ca="1">'Plant Operations'!C144</f>
        <v>480</v>
      </c>
      <c r="G144" s="1509">
        <f t="shared" ca="1" si="25"/>
        <v>9661.5130989598238</v>
      </c>
      <c r="H144" s="1504">
        <f ca="1">IF(Assm!$L$74=0,VLOOKUP($A144,Curves_Table,Escalation!$D$291),VLOOKUP($A144,Curves_Table,Escalation!$E$291))</f>
        <v>2.60959659493605</v>
      </c>
      <c r="I144" s="384">
        <f t="shared" ca="1" si="26"/>
        <v>3702.3013893059538</v>
      </c>
      <c r="J144" s="692" t="str">
        <f t="shared" ca="1" si="20"/>
        <v xml:space="preserve"> </v>
      </c>
      <c r="L144" s="1510">
        <f ca="1">IF($A144&gt;Endyr,0,VLOOKUP($A144,Tariff_Table,Tariff!$J$33))</f>
        <v>0.19</v>
      </c>
      <c r="M144" s="1504">
        <f t="shared" ca="1" si="21"/>
        <v>2.6035770917136669</v>
      </c>
      <c r="N144" s="1511">
        <f t="shared" ca="1" si="27"/>
        <v>0.49467964742559672</v>
      </c>
      <c r="O144" s="334">
        <f ca="1">'Plant Operations'!$I144+'Plant Operations'!$M144</f>
        <v>289336.32000000001</v>
      </c>
      <c r="P144" s="1509">
        <f t="shared" ca="1" si="22"/>
        <v>143128.78876501962</v>
      </c>
      <c r="Q144" s="1480">
        <f t="shared" ca="1" si="28"/>
        <v>2.60959659493605</v>
      </c>
      <c r="R144" s="335">
        <f t="shared" ca="1" si="29"/>
        <v>54847.093624647794</v>
      </c>
      <c r="S144" s="698" t="str">
        <f t="shared" ca="1" si="23"/>
        <v xml:space="preserve"> </v>
      </c>
    </row>
    <row r="145" spans="1:19">
      <c r="A145" s="672">
        <f ca="1">'Plant Operations'!A145</f>
        <v>40299</v>
      </c>
      <c r="C145" s="1484">
        <f ca="1">IF($A145&gt;Endyr,0,VLOOKUP($A145,Tariff_Table,Tariff!$D$33))</f>
        <v>7728.3891213389124</v>
      </c>
      <c r="D145" s="1480">
        <f ca="1">VLOOKUP($A145,Curves_Table,Escalation!$R$291)</f>
        <v>2.7910346423170522</v>
      </c>
      <c r="E145" s="1509">
        <f t="shared" ca="1" si="24"/>
        <v>21570.20176696315</v>
      </c>
      <c r="F145" s="330">
        <f ca="1">'Plant Operations'!C145</f>
        <v>480</v>
      </c>
      <c r="G145" s="1509">
        <f t="shared" ca="1" si="25"/>
        <v>10353.696848142312</v>
      </c>
      <c r="H145" s="1504">
        <f ca="1">IF(Assm!$L$74=0,VLOOKUP($A145,Curves_Table,Escalation!$D$291),VLOOKUP($A145,Curves_Table,Escalation!$E$291))</f>
        <v>2.6146790977092684</v>
      </c>
      <c r="I145" s="384">
        <f t="shared" ca="1" si="26"/>
        <v>3959.8346340907497</v>
      </c>
      <c r="J145" s="692" t="str">
        <f t="shared" ca="1" si="20"/>
        <v xml:space="preserve"> </v>
      </c>
      <c r="L145" s="1510">
        <f ca="1">IF($A145&gt;Endyr,0,VLOOKUP($A145,Tariff_Table,Tariff!$J$33))</f>
        <v>0.19</v>
      </c>
      <c r="M145" s="1504">
        <f t="shared" ca="1" si="21"/>
        <v>2.7910346423170522</v>
      </c>
      <c r="N145" s="1511">
        <f t="shared" ca="1" si="27"/>
        <v>0.53029658204023988</v>
      </c>
      <c r="O145" s="334">
        <f ca="1">'Plant Operations'!$I145+'Plant Operations'!$M145</f>
        <v>298980.864</v>
      </c>
      <c r="P145" s="1509">
        <f t="shared" ca="1" si="22"/>
        <v>158548.5302746378</v>
      </c>
      <c r="Q145" s="1480">
        <f t="shared" ca="1" si="28"/>
        <v>2.6146790977092684</v>
      </c>
      <c r="R145" s="335">
        <f t="shared" ca="1" si="29"/>
        <v>60637.854340726881</v>
      </c>
      <c r="S145" s="698" t="str">
        <f t="shared" ca="1" si="23"/>
        <v xml:space="preserve"> </v>
      </c>
    </row>
    <row r="146" spans="1:19">
      <c r="A146" s="672">
        <f ca="1">'Plant Operations'!A146</f>
        <v>40330</v>
      </c>
      <c r="C146" s="1484">
        <f ca="1">IF($A146&gt;Endyr,0,VLOOKUP($A146,Tariff_Table,Tariff!$D$33))</f>
        <v>7728.3891213389124</v>
      </c>
      <c r="D146" s="1480">
        <f ca="1">VLOOKUP($A146,Curves_Table,Escalation!$R$291)</f>
        <v>2.7910346423170522</v>
      </c>
      <c r="E146" s="1509">
        <f t="shared" ca="1" si="24"/>
        <v>21570.20176696315</v>
      </c>
      <c r="F146" s="330">
        <f ca="1">'Plant Operations'!C146</f>
        <v>480</v>
      </c>
      <c r="G146" s="1509">
        <f t="shared" ca="1" si="25"/>
        <v>10353.696848142312</v>
      </c>
      <c r="H146" s="1504">
        <f ca="1">IF(Assm!$L$74=0,VLOOKUP($A146,Curves_Table,Escalation!$D$291),VLOOKUP($A146,Curves_Table,Escalation!$E$291))</f>
        <v>2.6197714992670309</v>
      </c>
      <c r="I146" s="384">
        <f t="shared" ca="1" si="26"/>
        <v>3952.1373719193093</v>
      </c>
      <c r="J146" s="692" t="str">
        <f t="shared" ca="1" si="20"/>
        <v xml:space="preserve"> </v>
      </c>
      <c r="L146" s="1510">
        <f ca="1">IF($A146&gt;Endyr,0,VLOOKUP($A146,Tariff_Table,Tariff!$J$33))</f>
        <v>0.19</v>
      </c>
      <c r="M146" s="1504">
        <f t="shared" ca="1" si="21"/>
        <v>2.7910346423170522</v>
      </c>
      <c r="N146" s="1511">
        <f t="shared" ca="1" si="27"/>
        <v>0.53029658204023988</v>
      </c>
      <c r="O146" s="334">
        <f ca="1">'Plant Operations'!$I146+'Plant Operations'!$M146</f>
        <v>289336.32000000001</v>
      </c>
      <c r="P146" s="1509">
        <f t="shared" ca="1" si="22"/>
        <v>153434.06155610111</v>
      </c>
      <c r="Q146" s="1480">
        <f t="shared" ca="1" si="28"/>
        <v>2.6197714992670309</v>
      </c>
      <c r="R146" s="335">
        <f t="shared" ca="1" si="29"/>
        <v>58567.726841455231</v>
      </c>
      <c r="S146" s="698" t="str">
        <f t="shared" ca="1" si="23"/>
        <v xml:space="preserve"> </v>
      </c>
    </row>
    <row r="147" spans="1:19">
      <c r="A147" s="672">
        <f ca="1">'Plant Operations'!A147</f>
        <v>40360</v>
      </c>
      <c r="C147" s="1484">
        <f ca="1">IF($A147&gt;Endyr,0,VLOOKUP($A147,Tariff_Table,Tariff!$D$33))</f>
        <v>7728.3891213389124</v>
      </c>
      <c r="D147" s="1480">
        <f ca="1">VLOOKUP($A147,Curves_Table,Escalation!$R$291)</f>
        <v>2.7910346423170522</v>
      </c>
      <c r="E147" s="1509">
        <f t="shared" ca="1" si="24"/>
        <v>21570.20176696315</v>
      </c>
      <c r="F147" s="330">
        <f ca="1">'Plant Operations'!C147</f>
        <v>480</v>
      </c>
      <c r="G147" s="1509">
        <f t="shared" ca="1" si="25"/>
        <v>10353.696848142312</v>
      </c>
      <c r="H147" s="1504">
        <f ca="1">IF(Assm!$L$74=0,VLOOKUP($A147,Curves_Table,Escalation!$D$291),VLOOKUP($A147,Curves_Table,Escalation!$E$291))</f>
        <v>2.6248738188884091</v>
      </c>
      <c r="I147" s="384">
        <f t="shared" ca="1" si="26"/>
        <v>3944.4550719496801</v>
      </c>
      <c r="J147" s="692" t="str">
        <f t="shared" ca="1" si="20"/>
        <v xml:space="preserve"> </v>
      </c>
      <c r="L147" s="1510">
        <f ca="1">IF($A147&gt;Endyr,0,VLOOKUP($A147,Tariff_Table,Tariff!$J$33))</f>
        <v>0.19</v>
      </c>
      <c r="M147" s="1504">
        <f t="shared" ca="1" si="21"/>
        <v>2.7910346423170522</v>
      </c>
      <c r="N147" s="1511">
        <f t="shared" ca="1" si="27"/>
        <v>0.53029658204023988</v>
      </c>
      <c r="O147" s="334">
        <f ca="1">'Plant Operations'!$I147+'Plant Operations'!$M147</f>
        <v>298980.864</v>
      </c>
      <c r="P147" s="1509">
        <f t="shared" ca="1" si="22"/>
        <v>158548.5302746378</v>
      </c>
      <c r="Q147" s="1480">
        <f t="shared" ca="1" si="28"/>
        <v>2.6248738188884091</v>
      </c>
      <c r="R147" s="335">
        <f t="shared" ca="1" si="29"/>
        <v>60402.343584569142</v>
      </c>
      <c r="S147" s="698" t="str">
        <f t="shared" ca="1" si="23"/>
        <v xml:space="preserve"> </v>
      </c>
    </row>
    <row r="148" spans="1:19">
      <c r="A148" s="672">
        <f ca="1">'Plant Operations'!A148</f>
        <v>40391</v>
      </c>
      <c r="C148" s="1484">
        <f ca="1">IF($A148&gt;Endyr,0,VLOOKUP($A148,Tariff_Table,Tariff!$D$33))</f>
        <v>7728.3891213389124</v>
      </c>
      <c r="D148" s="1480">
        <f ca="1">VLOOKUP($A148,Curves_Table,Escalation!$R$291)</f>
        <v>2.7910346423170522</v>
      </c>
      <c r="E148" s="1509">
        <f t="shared" ca="1" si="24"/>
        <v>21570.20176696315</v>
      </c>
      <c r="F148" s="330">
        <f ca="1">'Plant Operations'!C148</f>
        <v>480</v>
      </c>
      <c r="G148" s="1509">
        <f t="shared" ca="1" si="25"/>
        <v>10353.696848142312</v>
      </c>
      <c r="H148" s="1504">
        <f ca="1">IF(Assm!$L$74=0,VLOOKUP($A148,Curves_Table,Escalation!$D$291),VLOOKUP($A148,Curves_Table,Escalation!$E$291))</f>
        <v>2.6299860758900229</v>
      </c>
      <c r="I148" s="384">
        <f t="shared" ca="1" si="26"/>
        <v>3936.7877050978227</v>
      </c>
      <c r="J148" s="692" t="str">
        <f t="shared" ca="1" si="20"/>
        <v xml:space="preserve"> </v>
      </c>
      <c r="L148" s="1510">
        <f ca="1">IF($A148&gt;Endyr,0,VLOOKUP($A148,Tariff_Table,Tariff!$J$33))</f>
        <v>0.19</v>
      </c>
      <c r="M148" s="1504">
        <f t="shared" ca="1" si="21"/>
        <v>2.7910346423170522</v>
      </c>
      <c r="N148" s="1511">
        <f t="shared" ca="1" si="27"/>
        <v>0.53029658204023988</v>
      </c>
      <c r="O148" s="334">
        <f ca="1">'Plant Operations'!$I148+'Plant Operations'!$M148</f>
        <v>298980.864</v>
      </c>
      <c r="P148" s="1509">
        <f t="shared" ca="1" si="22"/>
        <v>158548.5302746378</v>
      </c>
      <c r="Q148" s="1480">
        <f t="shared" ca="1" si="28"/>
        <v>2.6299860758900229</v>
      </c>
      <c r="R148" s="335">
        <f t="shared" ca="1" si="29"/>
        <v>60284.931440552522</v>
      </c>
      <c r="S148" s="698" t="str">
        <f t="shared" ca="1" si="23"/>
        <v xml:space="preserve"> </v>
      </c>
    </row>
    <row r="149" spans="1:19">
      <c r="A149" s="672">
        <f ca="1">'Plant Operations'!A149</f>
        <v>40422</v>
      </c>
      <c r="C149" s="1484">
        <f ca="1">IF($A149&gt;Endyr,0,VLOOKUP($A149,Tariff_Table,Tariff!$D$33))</f>
        <v>7728.3891213389124</v>
      </c>
      <c r="D149" s="1480">
        <f ca="1">VLOOKUP($A149,Curves_Table,Escalation!$R$291)</f>
        <v>2.7910346423170522</v>
      </c>
      <c r="E149" s="1509">
        <f t="shared" ca="1" si="24"/>
        <v>21570.20176696315</v>
      </c>
      <c r="F149" s="330">
        <f ca="1">'Plant Operations'!C149</f>
        <v>480</v>
      </c>
      <c r="G149" s="1509">
        <f t="shared" ca="1" si="25"/>
        <v>10353.696848142312</v>
      </c>
      <c r="H149" s="1504">
        <f ca="1">IF(Assm!$L$74=0,VLOOKUP($A149,Curves_Table,Escalation!$D$291),VLOOKUP($A149,Curves_Table,Escalation!$E$291))</f>
        <v>2.6351082896261135</v>
      </c>
      <c r="I149" s="384">
        <f t="shared" ca="1" si="26"/>
        <v>3929.1352423362314</v>
      </c>
      <c r="J149" s="692" t="str">
        <f t="shared" ca="1" si="20"/>
        <v xml:space="preserve"> </v>
      </c>
      <c r="L149" s="1510">
        <f ca="1">IF($A149&gt;Endyr,0,VLOOKUP($A149,Tariff_Table,Tariff!$J$33))</f>
        <v>0.19</v>
      </c>
      <c r="M149" s="1504">
        <f t="shared" ca="1" si="21"/>
        <v>2.7910346423170522</v>
      </c>
      <c r="N149" s="1511">
        <f t="shared" ca="1" si="27"/>
        <v>0.53029658204023988</v>
      </c>
      <c r="O149" s="334">
        <f ca="1">'Plant Operations'!$I149+'Plant Operations'!$M149</f>
        <v>289336.32000000001</v>
      </c>
      <c r="P149" s="1509">
        <f t="shared" ca="1" si="22"/>
        <v>153434.06155610111</v>
      </c>
      <c r="Q149" s="1480">
        <f t="shared" ca="1" si="28"/>
        <v>2.6351082896261135</v>
      </c>
      <c r="R149" s="335">
        <f t="shared" ca="1" si="29"/>
        <v>58226.852444789409</v>
      </c>
      <c r="S149" s="698" t="str">
        <f t="shared" ca="1" si="23"/>
        <v xml:space="preserve"> </v>
      </c>
    </row>
    <row r="150" spans="1:19">
      <c r="A150" s="672">
        <f ca="1">'Plant Operations'!A150</f>
        <v>40452</v>
      </c>
      <c r="C150" s="1484">
        <f ca="1">IF($A150&gt;Endyr,0,VLOOKUP($A150,Tariff_Table,Tariff!$D$33))</f>
        <v>7728.3891213389124</v>
      </c>
      <c r="D150" s="1480">
        <f ca="1">VLOOKUP($A150,Curves_Table,Escalation!$R$291)</f>
        <v>2.7910346423170522</v>
      </c>
      <c r="E150" s="1509">
        <f t="shared" ca="1" si="24"/>
        <v>21570.20176696315</v>
      </c>
      <c r="F150" s="330">
        <f ca="1">'Plant Operations'!C150</f>
        <v>480</v>
      </c>
      <c r="G150" s="1509">
        <f t="shared" ca="1" si="25"/>
        <v>10353.696848142312</v>
      </c>
      <c r="H150" s="1504">
        <f ca="1">IF(Assm!$L$74=0,VLOOKUP($A150,Curves_Table,Escalation!$D$291),VLOOKUP($A150,Curves_Table,Escalation!$E$291))</f>
        <v>2.6402404794886176</v>
      </c>
      <c r="I150" s="384">
        <f t="shared" ca="1" si="26"/>
        <v>3921.4976546938242</v>
      </c>
      <c r="J150" s="692" t="str">
        <f t="shared" ca="1" si="20"/>
        <v xml:space="preserve"> </v>
      </c>
      <c r="L150" s="1510">
        <f ca="1">IF($A150&gt;Endyr,0,VLOOKUP($A150,Tariff_Table,Tariff!$J$33))</f>
        <v>0.19</v>
      </c>
      <c r="M150" s="1504">
        <f t="shared" ca="1" si="21"/>
        <v>2.7910346423170522</v>
      </c>
      <c r="N150" s="1511">
        <f t="shared" ca="1" si="27"/>
        <v>0.53029658204023988</v>
      </c>
      <c r="O150" s="334">
        <f ca="1">'Plant Operations'!$I150+'Plant Operations'!$M150</f>
        <v>298980.864</v>
      </c>
      <c r="P150" s="1509">
        <f t="shared" ca="1" si="22"/>
        <v>158548.5302746378</v>
      </c>
      <c r="Q150" s="1480">
        <f t="shared" ca="1" si="28"/>
        <v>2.6402404794886176</v>
      </c>
      <c r="R150" s="335">
        <f t="shared" ca="1" si="29"/>
        <v>60050.791398117915</v>
      </c>
      <c r="S150" s="698" t="str">
        <f t="shared" ca="1" si="23"/>
        <v xml:space="preserve"> </v>
      </c>
    </row>
    <row r="151" spans="1:19">
      <c r="A151" s="672">
        <f ca="1">'Plant Operations'!A151</f>
        <v>40483</v>
      </c>
      <c r="C151" s="1484">
        <f ca="1">IF($A151&gt;Endyr,0,VLOOKUP($A151,Tariff_Table,Tariff!$D$33))</f>
        <v>7728.3891213389124</v>
      </c>
      <c r="D151" s="1480">
        <f ca="1">VLOOKUP($A151,Curves_Table,Escalation!$R$291)</f>
        <v>2.7910346423170522</v>
      </c>
      <c r="E151" s="1509">
        <f t="shared" ca="1" si="24"/>
        <v>21570.20176696315</v>
      </c>
      <c r="F151" s="330">
        <f ca="1">'Plant Operations'!C151</f>
        <v>480</v>
      </c>
      <c r="G151" s="1509">
        <f t="shared" ca="1" si="25"/>
        <v>10353.696848142312</v>
      </c>
      <c r="H151" s="1504">
        <f ca="1">IF(Assm!$L$74=0,VLOOKUP($A151,Curves_Table,Escalation!$D$291),VLOOKUP($A151,Curves_Table,Escalation!$E$291))</f>
        <v>2.6453826649072392</v>
      </c>
      <c r="I151" s="384">
        <f t="shared" ca="1" si="26"/>
        <v>3913.8749132558355</v>
      </c>
      <c r="J151" s="692" t="str">
        <f t="shared" ca="1" si="20"/>
        <v xml:space="preserve"> </v>
      </c>
      <c r="L151" s="1510">
        <f ca="1">IF($A151&gt;Endyr,0,VLOOKUP($A151,Tariff_Table,Tariff!$J$33))</f>
        <v>0.19</v>
      </c>
      <c r="M151" s="1504">
        <f t="shared" ca="1" si="21"/>
        <v>2.7910346423170522</v>
      </c>
      <c r="N151" s="1511">
        <f t="shared" ca="1" si="27"/>
        <v>0.53029658204023988</v>
      </c>
      <c r="O151" s="334">
        <f ca="1">'Plant Operations'!$I151+'Plant Operations'!$M151</f>
        <v>289336.32000000001</v>
      </c>
      <c r="P151" s="1509">
        <f t="shared" ca="1" si="22"/>
        <v>153434.06155610111</v>
      </c>
      <c r="Q151" s="1480">
        <f t="shared" ca="1" si="28"/>
        <v>2.6453826649072392</v>
      </c>
      <c r="R151" s="335">
        <f t="shared" ca="1" si="29"/>
        <v>58000.70575478777</v>
      </c>
      <c r="S151" s="698" t="str">
        <f t="shared" ca="1" si="23"/>
        <v xml:space="preserve"> </v>
      </c>
    </row>
    <row r="152" spans="1:19">
      <c r="A152" s="672">
        <f ca="1">'Plant Operations'!A152</f>
        <v>40513</v>
      </c>
      <c r="C152" s="1484">
        <f ca="1">IF($A152&gt;Endyr,0,VLOOKUP($A152,Tariff_Table,Tariff!$D$33))</f>
        <v>7728.3891213389124</v>
      </c>
      <c r="D152" s="1480">
        <f ca="1">VLOOKUP($A152,Curves_Table,Escalation!$R$291)</f>
        <v>2.7910346423170522</v>
      </c>
      <c r="E152" s="1509">
        <f t="shared" ca="1" si="24"/>
        <v>21570.20176696315</v>
      </c>
      <c r="F152" s="330">
        <f ca="1">'Plant Operations'!C152</f>
        <v>480</v>
      </c>
      <c r="G152" s="1509">
        <f t="shared" ca="1" si="25"/>
        <v>10353.696848142312</v>
      </c>
      <c r="H152" s="1504">
        <f ca="1">IF(Assm!$L$74=0,VLOOKUP($A152,Curves_Table,Escalation!$D$291),VLOOKUP($A152,Curves_Table,Escalation!$E$291))</f>
        <v>2.6505348653495227</v>
      </c>
      <c r="I152" s="384">
        <f t="shared" ca="1" si="26"/>
        <v>3906.266989163707</v>
      </c>
      <c r="J152" s="692">
        <f t="shared" ca="1" si="20"/>
        <v>46316.51540126183</v>
      </c>
      <c r="L152" s="1510">
        <f ca="1">IF($A152&gt;Endyr,0,VLOOKUP($A152,Tariff_Table,Tariff!$J$33))</f>
        <v>0.19</v>
      </c>
      <c r="M152" s="1504">
        <f t="shared" ca="1" si="21"/>
        <v>2.7910346423170522</v>
      </c>
      <c r="N152" s="1511">
        <f t="shared" ca="1" si="27"/>
        <v>0.53029658204023988</v>
      </c>
      <c r="O152" s="334">
        <f ca="1">'Plant Operations'!$I152+'Plant Operations'!$M152</f>
        <v>298980.864</v>
      </c>
      <c r="P152" s="1509">
        <f t="shared" ca="1" si="22"/>
        <v>158548.5302746378</v>
      </c>
      <c r="Q152" s="1480">
        <f t="shared" ca="1" si="28"/>
        <v>2.6505348653495227</v>
      </c>
      <c r="R152" s="335">
        <f t="shared" ca="1" si="29"/>
        <v>59817.560729852994</v>
      </c>
      <c r="S152" s="698">
        <f t="shared" ca="1" si="23"/>
        <v>696018.9083871285</v>
      </c>
    </row>
    <row r="153" spans="1:19">
      <c r="A153" s="672">
        <f ca="1">'Plant Operations'!A153</f>
        <v>40544</v>
      </c>
      <c r="C153" s="1484">
        <f ca="1">IF($A153&gt;Endyr,0,VLOOKUP($A153,Tariff_Table,Tariff!$D$33))</f>
        <v>7728.3891213389124</v>
      </c>
      <c r="D153" s="1480">
        <f ca="1">VLOOKUP($A153,Curves_Table,Escalation!$R$291)</f>
        <v>2.7910346423170522</v>
      </c>
      <c r="E153" s="1509">
        <f t="shared" ca="1" si="24"/>
        <v>21570.20176696315</v>
      </c>
      <c r="F153" s="330">
        <f ca="1">'Plant Operations'!C153</f>
        <v>480</v>
      </c>
      <c r="G153" s="1509">
        <f t="shared" ca="1" si="25"/>
        <v>10353.696848142312</v>
      </c>
      <c r="H153" s="1504">
        <f ca="1">IF(Assm!$L$74=0,VLOOKUP($A153,Curves_Table,Escalation!$D$291),VLOOKUP($A153,Curves_Table,Escalation!$E$291))</f>
        <v>2.6551333521534075</v>
      </c>
      <c r="I153" s="384">
        <f t="shared" ca="1" si="26"/>
        <v>3899.5016351043519</v>
      </c>
      <c r="J153" s="692" t="str">
        <f t="shared" ca="1" si="20"/>
        <v xml:space="preserve"> </v>
      </c>
      <c r="L153" s="1510">
        <f ca="1">IF($A153&gt;Endyr,0,VLOOKUP($A153,Tariff_Table,Tariff!$J$33))</f>
        <v>0.19</v>
      </c>
      <c r="M153" s="1504">
        <f t="shared" ca="1" si="21"/>
        <v>2.7910346423170522</v>
      </c>
      <c r="N153" s="1511">
        <f t="shared" ca="1" si="27"/>
        <v>0.53029658204023988</v>
      </c>
      <c r="O153" s="334">
        <f ca="1">'Plant Operations'!$I153+'Plant Operations'!$M153</f>
        <v>298980.864</v>
      </c>
      <c r="P153" s="1509">
        <f t="shared" ca="1" si="22"/>
        <v>158548.5302746378</v>
      </c>
      <c r="Q153" s="1480">
        <f t="shared" ca="1" si="28"/>
        <v>2.6551333521534075</v>
      </c>
      <c r="R153" s="335">
        <f t="shared" ca="1" si="29"/>
        <v>59713.961314240325</v>
      </c>
      <c r="S153" s="698" t="str">
        <f t="shared" ca="1" si="23"/>
        <v xml:space="preserve"> </v>
      </c>
    </row>
    <row r="154" spans="1:19">
      <c r="A154" s="672">
        <f ca="1">'Plant Operations'!A154</f>
        <v>40575</v>
      </c>
      <c r="C154" s="1484">
        <f ca="1">IF($A154&gt;Endyr,0,VLOOKUP($A154,Tariff_Table,Tariff!$D$33))</f>
        <v>7728.3891213389124</v>
      </c>
      <c r="D154" s="1480">
        <f ca="1">VLOOKUP($A154,Curves_Table,Escalation!$R$291)</f>
        <v>2.7910346423170522</v>
      </c>
      <c r="E154" s="1509">
        <f t="shared" ca="1" si="24"/>
        <v>21570.20176696315</v>
      </c>
      <c r="F154" s="330">
        <f ca="1">'Plant Operations'!C154</f>
        <v>480</v>
      </c>
      <c r="G154" s="1509">
        <f t="shared" ca="1" si="25"/>
        <v>10353.696848142312</v>
      </c>
      <c r="H154" s="1504">
        <f ca="1">IF(Assm!$L$74=0,VLOOKUP($A154,Curves_Table,Escalation!$D$291),VLOOKUP($A154,Curves_Table,Escalation!$E$291))</f>
        <v>2.6597398170002005</v>
      </c>
      <c r="I154" s="384">
        <f t="shared" ca="1" si="26"/>
        <v>3892.7479981180172</v>
      </c>
      <c r="J154" s="692" t="str">
        <f t="shared" ca="1" si="20"/>
        <v xml:space="preserve"> </v>
      </c>
      <c r="L154" s="1510">
        <f ca="1">IF($A154&gt;Endyr,0,VLOOKUP($A154,Tariff_Table,Tariff!$J$33))</f>
        <v>0.19</v>
      </c>
      <c r="M154" s="1504">
        <f t="shared" ca="1" si="21"/>
        <v>2.7910346423170522</v>
      </c>
      <c r="N154" s="1511">
        <f t="shared" ca="1" si="27"/>
        <v>0.53029658204023988</v>
      </c>
      <c r="O154" s="334">
        <f ca="1">'Plant Operations'!$I154+'Plant Operations'!$M154</f>
        <v>270047.23200000002</v>
      </c>
      <c r="P154" s="1509">
        <f t="shared" ca="1" si="22"/>
        <v>143205.12411902769</v>
      </c>
      <c r="Q154" s="1480">
        <f t="shared" ca="1" si="28"/>
        <v>2.6597398170002005</v>
      </c>
      <c r="R154" s="335">
        <f t="shared" ca="1" si="29"/>
        <v>53841.77926115429</v>
      </c>
      <c r="S154" s="698" t="str">
        <f t="shared" ca="1" si="23"/>
        <v xml:space="preserve"> </v>
      </c>
    </row>
    <row r="155" spans="1:19">
      <c r="A155" s="672">
        <f ca="1">'Plant Operations'!A155</f>
        <v>40603</v>
      </c>
      <c r="C155" s="1484">
        <f ca="1">IF($A155&gt;Endyr,0,VLOOKUP($A155,Tariff_Table,Tariff!$D$33))</f>
        <v>7728.3891213389124</v>
      </c>
      <c r="D155" s="1480">
        <f ca="1">VLOOKUP($A155,Curves_Table,Escalation!$R$291)</f>
        <v>2.7910346423170522</v>
      </c>
      <c r="E155" s="1509">
        <f t="shared" ca="1" si="24"/>
        <v>21570.20176696315</v>
      </c>
      <c r="F155" s="330">
        <f ca="1">'Plant Operations'!C155</f>
        <v>480</v>
      </c>
      <c r="G155" s="1509">
        <f t="shared" ca="1" si="25"/>
        <v>10353.696848142312</v>
      </c>
      <c r="H155" s="1504">
        <f ca="1">IF(Assm!$L$74=0,VLOOKUP($A155,Curves_Table,Escalation!$D$291),VLOOKUP($A155,Curves_Table,Escalation!$E$291))</f>
        <v>2.6643542737312305</v>
      </c>
      <c r="I155" s="384">
        <f t="shared" ca="1" si="26"/>
        <v>3886.0060579116334</v>
      </c>
      <c r="J155" s="692" t="str">
        <f t="shared" ca="1" si="20"/>
        <v xml:space="preserve"> </v>
      </c>
      <c r="L155" s="1510">
        <f ca="1">IF($A155&gt;Endyr,0,VLOOKUP($A155,Tariff_Table,Tariff!$J$33))</f>
        <v>0.19</v>
      </c>
      <c r="M155" s="1504">
        <f t="shared" ca="1" si="21"/>
        <v>2.7910346423170522</v>
      </c>
      <c r="N155" s="1511">
        <f t="shared" ca="1" si="27"/>
        <v>0.53029658204023988</v>
      </c>
      <c r="O155" s="334">
        <f ca="1">'Plant Operations'!$I155+'Plant Operations'!$M155</f>
        <v>298980.864</v>
      </c>
      <c r="P155" s="1509">
        <f t="shared" ca="1" si="22"/>
        <v>158548.5302746378</v>
      </c>
      <c r="Q155" s="1480">
        <f t="shared" ca="1" si="28"/>
        <v>2.6643542737312305</v>
      </c>
      <c r="R155" s="335">
        <f t="shared" ca="1" si="29"/>
        <v>59507.300450927774</v>
      </c>
      <c r="S155" s="698" t="str">
        <f t="shared" ca="1" si="23"/>
        <v xml:space="preserve"> </v>
      </c>
    </row>
    <row r="156" spans="1:19">
      <c r="A156" s="672">
        <f ca="1">'Plant Operations'!A156</f>
        <v>40634</v>
      </c>
      <c r="C156" s="1484">
        <f ca="1">IF($A156&gt;Endyr,0,VLOOKUP($A156,Tariff_Table,Tariff!$D$33))</f>
        <v>7728.3891213389124</v>
      </c>
      <c r="D156" s="1480">
        <f ca="1">VLOOKUP($A156,Curves_Table,Escalation!$R$291)</f>
        <v>2.7910346423170522</v>
      </c>
      <c r="E156" s="1509">
        <f t="shared" ca="1" si="24"/>
        <v>21570.20176696315</v>
      </c>
      <c r="F156" s="330">
        <f ca="1">'Plant Operations'!C156</f>
        <v>480</v>
      </c>
      <c r="G156" s="1509">
        <f t="shared" ca="1" si="25"/>
        <v>10353.696848142312</v>
      </c>
      <c r="H156" s="1504">
        <f ca="1">IF(Assm!$L$74=0,VLOOKUP($A156,Curves_Table,Escalation!$D$291),VLOOKUP($A156,Curves_Table,Escalation!$E$291))</f>
        <v>2.6689767362118406</v>
      </c>
      <c r="I156" s="384">
        <f t="shared" ca="1" si="26"/>
        <v>3879.2757942272765</v>
      </c>
      <c r="J156" s="692" t="str">
        <f t="shared" ca="1" si="20"/>
        <v xml:space="preserve"> </v>
      </c>
      <c r="L156" s="1510">
        <f ca="1">IF($A156&gt;Endyr,0,VLOOKUP($A156,Tariff_Table,Tariff!$J$33))</f>
        <v>0.19</v>
      </c>
      <c r="M156" s="1504">
        <f t="shared" ca="1" si="21"/>
        <v>2.7910346423170522</v>
      </c>
      <c r="N156" s="1511">
        <f t="shared" ca="1" si="27"/>
        <v>0.53029658204023988</v>
      </c>
      <c r="O156" s="334">
        <f ca="1">'Plant Operations'!$I156+'Plant Operations'!$M156</f>
        <v>289336.32000000001</v>
      </c>
      <c r="P156" s="1509">
        <f t="shared" ca="1" si="22"/>
        <v>153434.06155610111</v>
      </c>
      <c r="Q156" s="1480">
        <f t="shared" ca="1" si="28"/>
        <v>2.6689767362118406</v>
      </c>
      <c r="R156" s="335">
        <f t="shared" ca="1" si="29"/>
        <v>57487.972627994772</v>
      </c>
      <c r="S156" s="698" t="str">
        <f t="shared" ca="1" si="23"/>
        <v xml:space="preserve"> </v>
      </c>
    </row>
    <row r="157" spans="1:19">
      <c r="A157" s="672">
        <f ca="1">'Plant Operations'!A157</f>
        <v>40664</v>
      </c>
      <c r="C157" s="1484">
        <f ca="1">IF($A157&gt;Endyr,0,VLOOKUP($A157,Tariff_Table,Tariff!$D$33))</f>
        <v>7277.2784810126586</v>
      </c>
      <c r="D157" s="1480">
        <f ca="1">VLOOKUP($A157,Curves_Table,Escalation!$R$291)</f>
        <v>2.9919891365638813</v>
      </c>
      <c r="E157" s="1509">
        <f t="shared" ca="1" si="24"/>
        <v>21773.538158939977</v>
      </c>
      <c r="F157" s="330">
        <f ca="1">'Plant Operations'!C157</f>
        <v>480</v>
      </c>
      <c r="G157" s="1509">
        <f t="shared" ca="1" si="25"/>
        <v>10451.29831629119</v>
      </c>
      <c r="H157" s="1504">
        <f ca="1">IF(Assm!$L$74=0,VLOOKUP($A157,Curves_Table,Escalation!$D$291),VLOOKUP($A157,Curves_Table,Escalation!$E$291))</f>
        <v>2.6736072183314286</v>
      </c>
      <c r="I157" s="384">
        <f t="shared" ca="1" si="26"/>
        <v>3909.0627241849461</v>
      </c>
      <c r="J157" s="692" t="str">
        <f t="shared" ca="1" si="20"/>
        <v xml:space="preserve"> </v>
      </c>
      <c r="L157" s="1510">
        <f ca="1">IF($A157&gt;Endyr,0,VLOOKUP($A157,Tariff_Table,Tariff!$J$33))</f>
        <v>0.19</v>
      </c>
      <c r="M157" s="1504">
        <f t="shared" ca="1" si="21"/>
        <v>2.9919891365638813</v>
      </c>
      <c r="N157" s="1511">
        <f t="shared" ca="1" si="27"/>
        <v>0.56847793594713747</v>
      </c>
      <c r="O157" s="334">
        <f ca="1">'Plant Operations'!$I157+'Plant Operations'!$M157</f>
        <v>298980.864</v>
      </c>
      <c r="P157" s="1509">
        <f t="shared" ca="1" si="22"/>
        <v>169964.02445441182</v>
      </c>
      <c r="Q157" s="1480">
        <f t="shared" ca="1" si="28"/>
        <v>2.6736072183314286</v>
      </c>
      <c r="R157" s="335">
        <f t="shared" ca="1" si="29"/>
        <v>63571.05235543337</v>
      </c>
      <c r="S157" s="698" t="str">
        <f t="shared" ca="1" si="23"/>
        <v xml:space="preserve"> </v>
      </c>
    </row>
    <row r="158" spans="1:19">
      <c r="A158" s="672">
        <f ca="1">'Plant Operations'!A158</f>
        <v>40695</v>
      </c>
      <c r="C158" s="1484">
        <f ca="1">IF($A158&gt;Endyr,0,VLOOKUP($A158,Tariff_Table,Tariff!$D$33))</f>
        <v>7277.2784810126586</v>
      </c>
      <c r="D158" s="1480">
        <f ca="1">VLOOKUP($A158,Curves_Table,Escalation!$R$291)</f>
        <v>2.9919891365638813</v>
      </c>
      <c r="E158" s="1509">
        <f t="shared" ca="1" si="24"/>
        <v>21773.538158939977</v>
      </c>
      <c r="F158" s="330">
        <f ca="1">'Plant Operations'!C158</f>
        <v>480</v>
      </c>
      <c r="G158" s="1509">
        <f t="shared" ca="1" si="25"/>
        <v>10451.29831629119</v>
      </c>
      <c r="H158" s="1504">
        <f ca="1">IF(Assm!$L$74=0,VLOOKUP($A158,Curves_Table,Escalation!$D$291),VLOOKUP($A158,Curves_Table,Escalation!$E$291))</f>
        <v>2.6782457340034895</v>
      </c>
      <c r="I158" s="384">
        <f t="shared" ca="1" si="26"/>
        <v>3902.2925281275075</v>
      </c>
      <c r="J158" s="692" t="str">
        <f t="shared" ca="1" si="20"/>
        <v xml:space="preserve"> </v>
      </c>
      <c r="L158" s="1510">
        <f ca="1">IF($A158&gt;Endyr,0,VLOOKUP($A158,Tariff_Table,Tariff!$J$33))</f>
        <v>0.19</v>
      </c>
      <c r="M158" s="1504">
        <f t="shared" ca="1" si="21"/>
        <v>2.9919891365638813</v>
      </c>
      <c r="N158" s="1511">
        <f t="shared" ca="1" si="27"/>
        <v>0.56847793594713747</v>
      </c>
      <c r="O158" s="334">
        <f ca="1">'Plant Operations'!$I158+'Plant Operations'!$M158</f>
        <v>289336.32000000001</v>
      </c>
      <c r="P158" s="1509">
        <f t="shared" ca="1" si="22"/>
        <v>164481.31398814046</v>
      </c>
      <c r="Q158" s="1480">
        <f t="shared" ca="1" si="28"/>
        <v>2.6782457340034895</v>
      </c>
      <c r="R158" s="335">
        <f t="shared" ca="1" si="29"/>
        <v>61413.824691235801</v>
      </c>
      <c r="S158" s="698" t="str">
        <f t="shared" ca="1" si="23"/>
        <v xml:space="preserve"> </v>
      </c>
    </row>
    <row r="159" spans="1:19">
      <c r="A159" s="672">
        <f ca="1">'Plant Operations'!A159</f>
        <v>40725</v>
      </c>
      <c r="C159" s="1484">
        <f ca="1">IF($A159&gt;Endyr,0,VLOOKUP($A159,Tariff_Table,Tariff!$D$33))</f>
        <v>7277.2784810126586</v>
      </c>
      <c r="D159" s="1480">
        <f ca="1">VLOOKUP($A159,Curves_Table,Escalation!$R$291)</f>
        <v>2.9919891365638813</v>
      </c>
      <c r="E159" s="1509">
        <f t="shared" ca="1" si="24"/>
        <v>21773.538158939977</v>
      </c>
      <c r="F159" s="330">
        <f ca="1">'Plant Operations'!C159</f>
        <v>480</v>
      </c>
      <c r="G159" s="1509">
        <f t="shared" ca="1" si="25"/>
        <v>10451.29831629119</v>
      </c>
      <c r="H159" s="1504">
        <f ca="1">IF(Assm!$L$74=0,VLOOKUP($A159,Curves_Table,Escalation!$D$291),VLOOKUP($A159,Curves_Table,Escalation!$E$291))</f>
        <v>2.6828922971656577</v>
      </c>
      <c r="I159" s="384">
        <f t="shared" ca="1" si="26"/>
        <v>3895.5340575290579</v>
      </c>
      <c r="J159" s="692" t="str">
        <f t="shared" ca="1" si="20"/>
        <v xml:space="preserve"> </v>
      </c>
      <c r="L159" s="1510">
        <f ca="1">IF($A159&gt;Endyr,0,VLOOKUP($A159,Tariff_Table,Tariff!$J$33))</f>
        <v>0.19</v>
      </c>
      <c r="M159" s="1504">
        <f t="shared" ca="1" si="21"/>
        <v>2.9919891365638813</v>
      </c>
      <c r="N159" s="1511">
        <f t="shared" ca="1" si="27"/>
        <v>0.56847793594713747</v>
      </c>
      <c r="O159" s="334">
        <f ca="1">'Plant Operations'!$I159+'Plant Operations'!$M159</f>
        <v>298980.864</v>
      </c>
      <c r="P159" s="1509">
        <f t="shared" ca="1" si="22"/>
        <v>169964.02445441182</v>
      </c>
      <c r="Q159" s="1480">
        <f t="shared" ca="1" si="28"/>
        <v>2.6828922971656577</v>
      </c>
      <c r="R159" s="335">
        <f t="shared" ca="1" si="29"/>
        <v>63351.042691490213</v>
      </c>
      <c r="S159" s="698" t="str">
        <f t="shared" ca="1" si="23"/>
        <v xml:space="preserve"> </v>
      </c>
    </row>
    <row r="160" spans="1:19">
      <c r="A160" s="672">
        <f ca="1">'Plant Operations'!A160</f>
        <v>40756</v>
      </c>
      <c r="C160" s="1484">
        <f ca="1">IF($A160&gt;Endyr,0,VLOOKUP($A160,Tariff_Table,Tariff!$D$33))</f>
        <v>7277.2784810126586</v>
      </c>
      <c r="D160" s="1480">
        <f ca="1">VLOOKUP($A160,Curves_Table,Escalation!$R$291)</f>
        <v>2.9919891365638813</v>
      </c>
      <c r="E160" s="1509">
        <f t="shared" ca="1" si="24"/>
        <v>21773.538158939977</v>
      </c>
      <c r="F160" s="330">
        <f ca="1">'Plant Operations'!C160</f>
        <v>480</v>
      </c>
      <c r="G160" s="1509">
        <f t="shared" ca="1" si="25"/>
        <v>10451.29831629119</v>
      </c>
      <c r="H160" s="1504">
        <f ca="1">IF(Assm!$L$74=0,VLOOKUP($A160,Curves_Table,Escalation!$D$291),VLOOKUP($A160,Curves_Table,Escalation!$E$291))</f>
        <v>2.6875469217797479</v>
      </c>
      <c r="I160" s="384">
        <f t="shared" ca="1" si="26"/>
        <v>3888.7872920820037</v>
      </c>
      <c r="J160" s="692" t="str">
        <f t="shared" ca="1" si="20"/>
        <v xml:space="preserve"> </v>
      </c>
      <c r="L160" s="1510">
        <f ca="1">IF($A160&gt;Endyr,0,VLOOKUP($A160,Tariff_Table,Tariff!$J$33))</f>
        <v>0.19</v>
      </c>
      <c r="M160" s="1504">
        <f t="shared" ca="1" si="21"/>
        <v>2.9919891365638813</v>
      </c>
      <c r="N160" s="1511">
        <f t="shared" ca="1" si="27"/>
        <v>0.56847793594713747</v>
      </c>
      <c r="O160" s="334">
        <f ca="1">'Plant Operations'!$I160+'Plant Operations'!$M160</f>
        <v>298980.864</v>
      </c>
      <c r="P160" s="1509">
        <f t="shared" ca="1" si="22"/>
        <v>169964.02445441182</v>
      </c>
      <c r="Q160" s="1480">
        <f t="shared" ca="1" si="28"/>
        <v>2.6875469217797479</v>
      </c>
      <c r="R160" s="335">
        <f t="shared" ca="1" si="29"/>
        <v>63241.323556821182</v>
      </c>
      <c r="S160" s="698" t="str">
        <f t="shared" ca="1" si="23"/>
        <v xml:space="preserve"> </v>
      </c>
    </row>
    <row r="161" spans="1:19">
      <c r="A161" s="672">
        <f ca="1">'Plant Operations'!A161</f>
        <v>40787</v>
      </c>
      <c r="C161" s="1484">
        <f ca="1">IF($A161&gt;Endyr,0,VLOOKUP($A161,Tariff_Table,Tariff!$D$33))</f>
        <v>7277.2784810126586</v>
      </c>
      <c r="D161" s="1480">
        <f ca="1">VLOOKUP($A161,Curves_Table,Escalation!$R$291)</f>
        <v>2.9919891365638813</v>
      </c>
      <c r="E161" s="1509">
        <f t="shared" ca="1" si="24"/>
        <v>21773.538158939977</v>
      </c>
      <c r="F161" s="330">
        <f ca="1">'Plant Operations'!C161</f>
        <v>480</v>
      </c>
      <c r="G161" s="1509">
        <f t="shared" ca="1" si="25"/>
        <v>10451.29831629119</v>
      </c>
      <c r="H161" s="1504">
        <f ca="1">IF(Assm!$L$74=0,VLOOKUP($A161,Curves_Table,Escalation!$D$291),VLOOKUP($A161,Curves_Table,Escalation!$E$291))</f>
        <v>2.6922096218317977</v>
      </c>
      <c r="I161" s="384">
        <f t="shared" ca="1" si="26"/>
        <v>3882.052211513922</v>
      </c>
      <c r="J161" s="692" t="str">
        <f t="shared" ca="1" si="20"/>
        <v xml:space="preserve"> </v>
      </c>
      <c r="L161" s="1510">
        <f ca="1">IF($A161&gt;Endyr,0,VLOOKUP($A161,Tariff_Table,Tariff!$J$33))</f>
        <v>0.19</v>
      </c>
      <c r="M161" s="1504">
        <f t="shared" ca="1" si="21"/>
        <v>2.9919891365638813</v>
      </c>
      <c r="N161" s="1511">
        <f t="shared" ca="1" si="27"/>
        <v>0.56847793594713747</v>
      </c>
      <c r="O161" s="334">
        <f ca="1">'Plant Operations'!$I161+'Plant Operations'!$M161</f>
        <v>289336.32000000001</v>
      </c>
      <c r="P161" s="1509">
        <f t="shared" ca="1" si="22"/>
        <v>164481.31398814046</v>
      </c>
      <c r="Q161" s="1480">
        <f t="shared" ca="1" si="28"/>
        <v>2.6922096218317977</v>
      </c>
      <c r="R161" s="335">
        <f t="shared" ca="1" si="29"/>
        <v>61095.28494895812</v>
      </c>
      <c r="S161" s="698" t="str">
        <f t="shared" ca="1" si="23"/>
        <v xml:space="preserve"> </v>
      </c>
    </row>
    <row r="162" spans="1:19">
      <c r="A162" s="672">
        <f ca="1">'Plant Operations'!A162</f>
        <v>40817</v>
      </c>
      <c r="C162" s="1484">
        <f ca="1">IF($A162&gt;Endyr,0,VLOOKUP($A162,Tariff_Table,Tariff!$D$33))</f>
        <v>7277.2784810126586</v>
      </c>
      <c r="D162" s="1480">
        <f ca="1">VLOOKUP($A162,Curves_Table,Escalation!$R$291)</f>
        <v>2.9919891365638813</v>
      </c>
      <c r="E162" s="1509">
        <f t="shared" ca="1" si="24"/>
        <v>21773.538158939977</v>
      </c>
      <c r="F162" s="330">
        <f ca="1">'Plant Operations'!C162</f>
        <v>480</v>
      </c>
      <c r="G162" s="1509">
        <f t="shared" ca="1" si="25"/>
        <v>10451.29831629119</v>
      </c>
      <c r="H162" s="1504">
        <f ca="1">IF(Assm!$L$74=0,VLOOKUP($A162,Curves_Table,Escalation!$D$291),VLOOKUP($A162,Curves_Table,Escalation!$E$291))</f>
        <v>2.6968804113321094</v>
      </c>
      <c r="I162" s="384">
        <f t="shared" ca="1" si="26"/>
        <v>3875.3287955875016</v>
      </c>
      <c r="J162" s="692" t="str">
        <f t="shared" ca="1" si="20"/>
        <v xml:space="preserve"> </v>
      </c>
      <c r="L162" s="1510">
        <f ca="1">IF($A162&gt;Endyr,0,VLOOKUP($A162,Tariff_Table,Tariff!$J$33))</f>
        <v>0.19</v>
      </c>
      <c r="M162" s="1504">
        <f t="shared" ca="1" si="21"/>
        <v>2.9919891365638813</v>
      </c>
      <c r="N162" s="1511">
        <f t="shared" ca="1" si="27"/>
        <v>0.56847793594713747</v>
      </c>
      <c r="O162" s="334">
        <f ca="1">'Plant Operations'!$I162+'Plant Operations'!$M162</f>
        <v>298980.864</v>
      </c>
      <c r="P162" s="1509">
        <f t="shared" ca="1" si="22"/>
        <v>169964.02445441182</v>
      </c>
      <c r="Q162" s="1480">
        <f t="shared" ca="1" si="28"/>
        <v>2.6968804113321094</v>
      </c>
      <c r="R162" s="335">
        <f t="shared" ca="1" si="29"/>
        <v>63022.455033687984</v>
      </c>
      <c r="S162" s="698" t="str">
        <f t="shared" ca="1" si="23"/>
        <v xml:space="preserve"> </v>
      </c>
    </row>
    <row r="163" spans="1:19">
      <c r="A163" s="672">
        <f ca="1">'Plant Operations'!A163</f>
        <v>40848</v>
      </c>
      <c r="C163" s="1484">
        <f ca="1">IF($A163&gt;Endyr,0,VLOOKUP($A163,Tariff_Table,Tariff!$D$33))</f>
        <v>7277.2784810126586</v>
      </c>
      <c r="D163" s="1480">
        <f ca="1">VLOOKUP($A163,Curves_Table,Escalation!$R$291)</f>
        <v>2.9919891365638813</v>
      </c>
      <c r="E163" s="1509">
        <f t="shared" ca="1" si="24"/>
        <v>21773.538158939977</v>
      </c>
      <c r="F163" s="330">
        <f ca="1">'Plant Operations'!C163</f>
        <v>480</v>
      </c>
      <c r="G163" s="1509">
        <f t="shared" ca="1" si="25"/>
        <v>10451.29831629119</v>
      </c>
      <c r="H163" s="1504">
        <f ca="1">IF(Assm!$L$74=0,VLOOKUP($A163,Curves_Table,Escalation!$D$291),VLOOKUP($A163,Curves_Table,Escalation!$E$291))</f>
        <v>2.7015593043152926</v>
      </c>
      <c r="I163" s="384">
        <f t="shared" ca="1" si="26"/>
        <v>3868.6170241004797</v>
      </c>
      <c r="J163" s="692" t="str">
        <f t="shared" ca="1" si="20"/>
        <v xml:space="preserve"> </v>
      </c>
      <c r="L163" s="1510">
        <f ca="1">IF($A163&gt;Endyr,0,VLOOKUP($A163,Tariff_Table,Tariff!$J$33))</f>
        <v>0.19</v>
      </c>
      <c r="M163" s="1504">
        <f t="shared" ca="1" si="21"/>
        <v>2.9919891365638813</v>
      </c>
      <c r="N163" s="1511">
        <f t="shared" ca="1" si="27"/>
        <v>0.56847793594713747</v>
      </c>
      <c r="O163" s="334">
        <f ca="1">'Plant Operations'!$I163+'Plant Operations'!$M163</f>
        <v>289336.32000000001</v>
      </c>
      <c r="P163" s="1509">
        <f t="shared" ca="1" si="22"/>
        <v>164481.31398814046</v>
      </c>
      <c r="Q163" s="1480">
        <f t="shared" ca="1" si="28"/>
        <v>2.7015593043152926</v>
      </c>
      <c r="R163" s="335">
        <f t="shared" ca="1" si="29"/>
        <v>60883.843536363929</v>
      </c>
      <c r="S163" s="698" t="str">
        <f t="shared" ca="1" si="23"/>
        <v xml:space="preserve"> </v>
      </c>
    </row>
    <row r="164" spans="1:19">
      <c r="A164" s="672">
        <f ca="1">'Plant Operations'!A164</f>
        <v>40878</v>
      </c>
      <c r="C164" s="1484">
        <f ca="1">IF($A164&gt;Endyr,0,VLOOKUP($A164,Tariff_Table,Tariff!$D$33))</f>
        <v>7277.2784810126586</v>
      </c>
      <c r="D164" s="1480">
        <f ca="1">VLOOKUP($A164,Curves_Table,Escalation!$R$291)</f>
        <v>2.9919891365638813</v>
      </c>
      <c r="E164" s="1509">
        <f t="shared" ca="1" si="24"/>
        <v>21773.538158939977</v>
      </c>
      <c r="F164" s="330">
        <f ca="1">'Plant Operations'!C164</f>
        <v>480</v>
      </c>
      <c r="G164" s="1509">
        <f t="shared" ca="1" si="25"/>
        <v>10451.29831629119</v>
      </c>
      <c r="H164" s="1504">
        <f ca="1">IF(Assm!$L$74=0,VLOOKUP($A164,Curves_Table,Escalation!$D$291),VLOOKUP($A164,Curves_Table,Escalation!$E$291))</f>
        <v>2.7062463148403069</v>
      </c>
      <c r="I164" s="384">
        <f t="shared" ca="1" si="26"/>
        <v>3861.9168768855807</v>
      </c>
      <c r="J164" s="692">
        <f t="shared" ca="1" si="20"/>
        <v>46641.12299537228</v>
      </c>
      <c r="L164" s="1510">
        <f ca="1">IF($A164&gt;Endyr,0,VLOOKUP($A164,Tariff_Table,Tariff!$J$33))</f>
        <v>0.19</v>
      </c>
      <c r="M164" s="1504">
        <f t="shared" ca="1" si="21"/>
        <v>2.9919891365638813</v>
      </c>
      <c r="N164" s="1511">
        <f t="shared" ca="1" si="27"/>
        <v>0.56847793594713747</v>
      </c>
      <c r="O164" s="334">
        <f ca="1">'Plant Operations'!$I164+'Plant Operations'!$M164</f>
        <v>298980.864</v>
      </c>
      <c r="P164" s="1509">
        <f t="shared" ca="1" si="22"/>
        <v>169964.02445441182</v>
      </c>
      <c r="Q164" s="1480">
        <f t="shared" ca="1" si="28"/>
        <v>2.7062463148403069</v>
      </c>
      <c r="R164" s="335">
        <f t="shared" ca="1" si="29"/>
        <v>62804.34398095106</v>
      </c>
      <c r="S164" s="698">
        <f t="shared" ca="1" si="23"/>
        <v>729934.18444925873</v>
      </c>
    </row>
    <row r="165" spans="1:19">
      <c r="A165" s="672">
        <f ca="1">'Plant Operations'!A165</f>
        <v>40909</v>
      </c>
      <c r="C165" s="1484">
        <f ca="1">IF($A165&gt;Endyr,0,VLOOKUP($A165,Tariff_Table,Tariff!$D$33))</f>
        <v>7277.2784810126586</v>
      </c>
      <c r="D165" s="1480">
        <f ca="1">VLOOKUP($A165,Curves_Table,Escalation!$R$291)</f>
        <v>2.9919891365638813</v>
      </c>
      <c r="E165" s="1509">
        <f t="shared" ca="1" si="24"/>
        <v>21773.538158939977</v>
      </c>
      <c r="F165" s="330">
        <f ca="1">'Plant Operations'!C165</f>
        <v>480</v>
      </c>
      <c r="G165" s="1509">
        <f t="shared" ca="1" si="25"/>
        <v>10451.29831629119</v>
      </c>
      <c r="H165" s="1504">
        <f ca="1">IF(Assm!$L$74=0,VLOOKUP($A165,Curves_Table,Escalation!$D$291),VLOOKUP($A165,Curves_Table,Escalation!$E$291))</f>
        <v>2.7107133756643873</v>
      </c>
      <c r="I165" s="384">
        <f t="shared" ca="1" si="26"/>
        <v>3855.5527154285019</v>
      </c>
      <c r="J165" s="692" t="str">
        <f t="shared" ca="1" si="20"/>
        <v xml:space="preserve"> </v>
      </c>
      <c r="L165" s="1510">
        <f ca="1">IF($A165&gt;Endyr,0,VLOOKUP($A165,Tariff_Table,Tariff!$J$33))</f>
        <v>0.19</v>
      </c>
      <c r="M165" s="1504">
        <f t="shared" ca="1" si="21"/>
        <v>2.9919891365638813</v>
      </c>
      <c r="N165" s="1511">
        <f t="shared" ca="1" si="27"/>
        <v>0.56847793594713747</v>
      </c>
      <c r="O165" s="334">
        <f ca="1">'Plant Operations'!$I165+'Plant Operations'!$M165</f>
        <v>298980.864</v>
      </c>
      <c r="P165" s="1509">
        <f t="shared" ca="1" si="22"/>
        <v>169964.02445441182</v>
      </c>
      <c r="Q165" s="1480">
        <f t="shared" ca="1" si="28"/>
        <v>2.7107133756643873</v>
      </c>
      <c r="R165" s="335">
        <f t="shared" ca="1" si="29"/>
        <v>62700.846935819682</v>
      </c>
      <c r="S165" s="698" t="str">
        <f t="shared" ca="1" si="23"/>
        <v xml:space="preserve"> </v>
      </c>
    </row>
    <row r="166" spans="1:19">
      <c r="A166" s="672">
        <f ca="1">'Plant Operations'!A166</f>
        <v>40940</v>
      </c>
      <c r="C166" s="1484">
        <f ca="1">IF($A166&gt;Endyr,0,VLOOKUP($A166,Tariff_Table,Tariff!$D$33))</f>
        <v>7277.2784810126586</v>
      </c>
      <c r="D166" s="1480">
        <f ca="1">VLOOKUP($A166,Curves_Table,Escalation!$R$291)</f>
        <v>2.9919891365638813</v>
      </c>
      <c r="E166" s="1509">
        <f t="shared" ca="1" si="24"/>
        <v>21773.538158939977</v>
      </c>
      <c r="F166" s="330">
        <f ca="1">'Plant Operations'!C166</f>
        <v>480</v>
      </c>
      <c r="G166" s="1509">
        <f t="shared" ca="1" si="25"/>
        <v>10451.29831629119</v>
      </c>
      <c r="H166" s="1504">
        <f ca="1">IF(Assm!$L$74=0,VLOOKUP($A166,Curves_Table,Escalation!$D$291),VLOOKUP($A166,Curves_Table,Escalation!$E$291))</f>
        <v>2.7151878100347324</v>
      </c>
      <c r="I166" s="384">
        <f t="shared" ca="1" si="26"/>
        <v>3849.1990416521121</v>
      </c>
      <c r="J166" s="692" t="str">
        <f t="shared" ca="1" si="20"/>
        <v xml:space="preserve"> </v>
      </c>
      <c r="L166" s="1510">
        <f ca="1">IF($A166&gt;Endyr,0,VLOOKUP($A166,Tariff_Table,Tariff!$J$33))</f>
        <v>0.19</v>
      </c>
      <c r="M166" s="1504">
        <f t="shared" ca="1" si="21"/>
        <v>2.9919891365638813</v>
      </c>
      <c r="N166" s="1511">
        <f t="shared" ca="1" si="27"/>
        <v>0.56847793594713747</v>
      </c>
      <c r="O166" s="334">
        <f ca="1">'Plant Operations'!$I166+'Plant Operations'!$M166</f>
        <v>279691.77600000001</v>
      </c>
      <c r="P166" s="1509">
        <f t="shared" ca="1" si="22"/>
        <v>158998.60352186914</v>
      </c>
      <c r="Q166" s="1480">
        <f t="shared" ca="1" si="28"/>
        <v>2.7151878100347324</v>
      </c>
      <c r="R166" s="335">
        <f t="shared" ca="1" si="29"/>
        <v>58558.970740162258</v>
      </c>
      <c r="S166" s="698" t="str">
        <f t="shared" ca="1" si="23"/>
        <v xml:space="preserve"> </v>
      </c>
    </row>
    <row r="167" spans="1:19">
      <c r="A167" s="672">
        <f ca="1">'Plant Operations'!A167</f>
        <v>40969</v>
      </c>
      <c r="C167" s="1484">
        <f ca="1">IF($A167&gt;Endyr,0,VLOOKUP($A167,Tariff_Table,Tariff!$D$33))</f>
        <v>7277.2784810126586</v>
      </c>
      <c r="D167" s="1480">
        <f ca="1">VLOOKUP($A167,Curves_Table,Escalation!$R$291)</f>
        <v>2.9919891365638813</v>
      </c>
      <c r="E167" s="1509">
        <f t="shared" ca="1" si="24"/>
        <v>21773.538158939977</v>
      </c>
      <c r="F167" s="330">
        <f ca="1">'Plant Operations'!C167</f>
        <v>480</v>
      </c>
      <c r="G167" s="1509">
        <f t="shared" ca="1" si="25"/>
        <v>10451.29831629119</v>
      </c>
      <c r="H167" s="1504">
        <f ca="1">IF(Assm!$L$74=0,VLOOKUP($A167,Curves_Table,Escalation!$D$291),VLOOKUP($A167,Curves_Table,Escalation!$E$291))</f>
        <v>2.7196696301224734</v>
      </c>
      <c r="I167" s="384">
        <f t="shared" ca="1" si="26"/>
        <v>3842.8558382734677</v>
      </c>
      <c r="J167" s="692" t="str">
        <f t="shared" ca="1" si="20"/>
        <v xml:space="preserve"> </v>
      </c>
      <c r="L167" s="1510">
        <f ca="1">IF($A167&gt;Endyr,0,VLOOKUP($A167,Tariff_Table,Tariff!$J$33))</f>
        <v>0.19</v>
      </c>
      <c r="M167" s="1504">
        <f t="shared" ca="1" si="21"/>
        <v>2.9919891365638813</v>
      </c>
      <c r="N167" s="1511">
        <f t="shared" ca="1" si="27"/>
        <v>0.56847793594713747</v>
      </c>
      <c r="O167" s="334">
        <f ca="1">'Plant Operations'!$I167+'Plant Operations'!$M167</f>
        <v>298980.864</v>
      </c>
      <c r="P167" s="1509">
        <f t="shared" ca="1" si="22"/>
        <v>169964.02445441182</v>
      </c>
      <c r="Q167" s="1480">
        <f t="shared" ca="1" si="28"/>
        <v>2.7196696301224734</v>
      </c>
      <c r="R167" s="335">
        <f t="shared" ca="1" si="29"/>
        <v>62494.364231569525</v>
      </c>
      <c r="S167" s="698" t="str">
        <f t="shared" ca="1" si="23"/>
        <v xml:space="preserve"> </v>
      </c>
    </row>
    <row r="168" spans="1:19">
      <c r="A168" s="672">
        <f ca="1">'Plant Operations'!A168</f>
        <v>41000</v>
      </c>
      <c r="C168" s="1484">
        <f ca="1">IF($A168&gt;Endyr,0,VLOOKUP($A168,Tariff_Table,Tariff!$D$33))</f>
        <v>7277.2784810126586</v>
      </c>
      <c r="D168" s="1480">
        <f ca="1">VLOOKUP($A168,Curves_Table,Escalation!$R$291)</f>
        <v>2.9919891365638813</v>
      </c>
      <c r="E168" s="1509">
        <f t="shared" ca="1" si="24"/>
        <v>21773.538158939977</v>
      </c>
      <c r="F168" s="330">
        <f ca="1">'Plant Operations'!C168</f>
        <v>480</v>
      </c>
      <c r="G168" s="1509">
        <f t="shared" ca="1" si="25"/>
        <v>10451.29831629119</v>
      </c>
      <c r="H168" s="1504">
        <f ca="1">IF(Assm!$L$74=0,VLOOKUP($A168,Curves_Table,Escalation!$D$291),VLOOKUP($A168,Curves_Table,Escalation!$E$291))</f>
        <v>2.7241588481188321</v>
      </c>
      <c r="I168" s="384">
        <f t="shared" ca="1" si="26"/>
        <v>3836.5230880381055</v>
      </c>
      <c r="J168" s="692" t="str">
        <f t="shared" ca="1" si="20"/>
        <v xml:space="preserve"> </v>
      </c>
      <c r="L168" s="1510">
        <f ca="1">IF($A168&gt;Endyr,0,VLOOKUP($A168,Tariff_Table,Tariff!$J$33))</f>
        <v>0.19</v>
      </c>
      <c r="M168" s="1504">
        <f t="shared" ca="1" si="21"/>
        <v>2.9919891365638813</v>
      </c>
      <c r="N168" s="1511">
        <f t="shared" ca="1" si="27"/>
        <v>0.56847793594713747</v>
      </c>
      <c r="O168" s="334">
        <f ca="1">'Plant Operations'!$I168+'Plant Operations'!$M168</f>
        <v>289336.32000000001</v>
      </c>
      <c r="P168" s="1509">
        <f t="shared" ca="1" si="22"/>
        <v>164481.31398814046</v>
      </c>
      <c r="Q168" s="1480">
        <f t="shared" ca="1" si="28"/>
        <v>2.7241588481188321</v>
      </c>
      <c r="R168" s="335">
        <f t="shared" ca="1" si="29"/>
        <v>60378.752913664721</v>
      </c>
      <c r="S168" s="698" t="str">
        <f t="shared" ca="1" si="23"/>
        <v xml:space="preserve"> </v>
      </c>
    </row>
    <row r="169" spans="1:19">
      <c r="A169" s="672">
        <f ca="1">'Plant Operations'!A169</f>
        <v>41030</v>
      </c>
      <c r="C169" s="1484">
        <f ca="1">IF($A169&gt;Endyr,0,VLOOKUP($A169,Tariff_Table,Tariff!$D$33))</f>
        <v>6768.8424437299027</v>
      </c>
      <c r="D169" s="1480">
        <f ca="1">VLOOKUP($A169,Curves_Table,Escalation!$R$291)</f>
        <v>3.2074123543964816</v>
      </c>
      <c r="E169" s="1509">
        <f t="shared" ca="1" si="24"/>
        <v>21710.468878982563</v>
      </c>
      <c r="F169" s="330">
        <f ca="1">'Plant Operations'!C169</f>
        <v>480</v>
      </c>
      <c r="G169" s="1509">
        <f t="shared" ca="1" si="25"/>
        <v>10421.025061911629</v>
      </c>
      <c r="H169" s="1504">
        <f ca="1">IF(Assm!$L$74=0,VLOOKUP($A169,Curves_Table,Escalation!$D$291),VLOOKUP($A169,Curves_Table,Escalation!$E$291))</f>
        <v>2.7286554762351538</v>
      </c>
      <c r="I169" s="384">
        <f t="shared" ca="1" si="26"/>
        <v>3819.1062054818208</v>
      </c>
      <c r="J169" s="692" t="str">
        <f t="shared" ca="1" si="20"/>
        <v xml:space="preserve"> </v>
      </c>
      <c r="L169" s="1510">
        <f ca="1">IF($A169&gt;Endyr,0,VLOOKUP($A169,Tariff_Table,Tariff!$J$33))</f>
        <v>0.19</v>
      </c>
      <c r="M169" s="1504">
        <f t="shared" ca="1" si="21"/>
        <v>3.2074123543964816</v>
      </c>
      <c r="N169" s="1511">
        <f t="shared" ca="1" si="27"/>
        <v>0.60940834733533156</v>
      </c>
      <c r="O169" s="334">
        <f ca="1">'Plant Operations'!$I169+'Plant Operations'!$M169</f>
        <v>298980.864</v>
      </c>
      <c r="P169" s="1509">
        <f t="shared" ca="1" si="22"/>
        <v>182201.43421512953</v>
      </c>
      <c r="Q169" s="1480">
        <f t="shared" ca="1" si="28"/>
        <v>2.7286554762351538</v>
      </c>
      <c r="R169" s="335">
        <f t="shared" ca="1" si="29"/>
        <v>66773.337932174894</v>
      </c>
      <c r="S169" s="698" t="str">
        <f t="shared" ca="1" si="23"/>
        <v xml:space="preserve"> </v>
      </c>
    </row>
    <row r="170" spans="1:19">
      <c r="A170" s="672">
        <f ca="1">'Plant Operations'!A170</f>
        <v>41061</v>
      </c>
      <c r="C170" s="1484">
        <f ca="1">IF($A170&gt;Endyr,0,VLOOKUP($A170,Tariff_Table,Tariff!$D$33))</f>
        <v>6768.8424437299027</v>
      </c>
      <c r="D170" s="1480">
        <f ca="1">VLOOKUP($A170,Curves_Table,Escalation!$R$291)</f>
        <v>3.2074123543964816</v>
      </c>
      <c r="E170" s="1509">
        <f t="shared" ca="1" si="24"/>
        <v>21710.468878982563</v>
      </c>
      <c r="F170" s="330">
        <f ca="1">'Plant Operations'!C170</f>
        <v>480</v>
      </c>
      <c r="G170" s="1509">
        <f t="shared" ca="1" si="25"/>
        <v>10421.025061911629</v>
      </c>
      <c r="H170" s="1504">
        <f ca="1">IF(Assm!$L$74=0,VLOOKUP($A170,Curves_Table,Escalation!$D$291),VLOOKUP($A170,Curves_Table,Escalation!$E$291))</f>
        <v>2.7331595267029405</v>
      </c>
      <c r="I170" s="384">
        <f t="shared" ca="1" si="26"/>
        <v>3812.8125929344119</v>
      </c>
      <c r="J170" s="692" t="str">
        <f t="shared" ca="1" si="20"/>
        <v xml:space="preserve"> </v>
      </c>
      <c r="L170" s="1510">
        <f ca="1">IF($A170&gt;Endyr,0,VLOOKUP($A170,Tariff_Table,Tariff!$J$33))</f>
        <v>0.19</v>
      </c>
      <c r="M170" s="1504">
        <f t="shared" ca="1" si="21"/>
        <v>3.2074123543964816</v>
      </c>
      <c r="N170" s="1511">
        <f t="shared" ca="1" si="27"/>
        <v>0.60940834733533156</v>
      </c>
      <c r="O170" s="334">
        <f ca="1">'Plant Operations'!$I170+'Plant Operations'!$M170</f>
        <v>289336.32000000001</v>
      </c>
      <c r="P170" s="1509">
        <f t="shared" ca="1" si="22"/>
        <v>176323.96859528666</v>
      </c>
      <c r="Q170" s="1480">
        <f t="shared" ca="1" si="28"/>
        <v>2.7331595267029405</v>
      </c>
      <c r="R170" s="335">
        <f t="shared" ca="1" si="29"/>
        <v>64512.87122928731</v>
      </c>
      <c r="S170" s="698" t="str">
        <f t="shared" ca="1" si="23"/>
        <v xml:space="preserve"> </v>
      </c>
    </row>
    <row r="171" spans="1:19">
      <c r="A171" s="672">
        <f ca="1">'Plant Operations'!A171</f>
        <v>41091</v>
      </c>
      <c r="C171" s="1484">
        <f ca="1">IF($A171&gt;Endyr,0,VLOOKUP($A171,Tariff_Table,Tariff!$D$33))</f>
        <v>6768.8424437299027</v>
      </c>
      <c r="D171" s="1480">
        <f ca="1">VLOOKUP($A171,Curves_Table,Escalation!$R$291)</f>
        <v>3.2074123543964816</v>
      </c>
      <c r="E171" s="1509">
        <f t="shared" ca="1" si="24"/>
        <v>21710.468878982563</v>
      </c>
      <c r="F171" s="330">
        <f ca="1">'Plant Operations'!C171</f>
        <v>480</v>
      </c>
      <c r="G171" s="1509">
        <f t="shared" ca="1" si="25"/>
        <v>10421.025061911629</v>
      </c>
      <c r="H171" s="1504">
        <f ca="1">IF(Assm!$L$74=0,VLOOKUP($A171,Curves_Table,Escalation!$D$291),VLOOKUP($A171,Curves_Table,Escalation!$E$291))</f>
        <v>2.7376710117738834</v>
      </c>
      <c r="I171" s="384">
        <f t="shared" ca="1" si="26"/>
        <v>3806.5293518081594</v>
      </c>
      <c r="J171" s="692" t="str">
        <f t="shared" ca="1" si="20"/>
        <v xml:space="preserve"> </v>
      </c>
      <c r="L171" s="1510">
        <f ca="1">IF($A171&gt;Endyr,0,VLOOKUP($A171,Tariff_Table,Tariff!$J$33))</f>
        <v>0.19</v>
      </c>
      <c r="M171" s="1504">
        <f t="shared" ca="1" si="21"/>
        <v>3.2074123543964816</v>
      </c>
      <c r="N171" s="1511">
        <f t="shared" ca="1" si="27"/>
        <v>0.60940834733533156</v>
      </c>
      <c r="O171" s="334">
        <f ca="1">'Plant Operations'!$I171+'Plant Operations'!$M171</f>
        <v>298980.864</v>
      </c>
      <c r="P171" s="1509">
        <f t="shared" ca="1" si="22"/>
        <v>182201.43421512953</v>
      </c>
      <c r="Q171" s="1480">
        <f t="shared" ca="1" si="28"/>
        <v>2.7376710117738834</v>
      </c>
      <c r="R171" s="335">
        <f t="shared" ca="1" si="29"/>
        <v>66553.443942510639</v>
      </c>
      <c r="S171" s="698" t="str">
        <f t="shared" ca="1" si="23"/>
        <v xml:space="preserve"> </v>
      </c>
    </row>
    <row r="172" spans="1:19">
      <c r="A172" s="672">
        <f ca="1">'Plant Operations'!A172</f>
        <v>41122</v>
      </c>
      <c r="C172" s="1484">
        <f ca="1">IF($A172&gt;Endyr,0,VLOOKUP($A172,Tariff_Table,Tariff!$D$33))</f>
        <v>6768.8424437299027</v>
      </c>
      <c r="D172" s="1480">
        <f ca="1">VLOOKUP($A172,Curves_Table,Escalation!$R$291)</f>
        <v>3.2074123543964816</v>
      </c>
      <c r="E172" s="1509">
        <f t="shared" ca="1" si="24"/>
        <v>21710.468878982563</v>
      </c>
      <c r="F172" s="330">
        <f ca="1">'Plant Operations'!C172</f>
        <v>480</v>
      </c>
      <c r="G172" s="1509">
        <f t="shared" ca="1" si="25"/>
        <v>10421.025061911629</v>
      </c>
      <c r="H172" s="1504">
        <f ca="1">IF(Assm!$L$74=0,VLOOKUP($A172,Curves_Table,Escalation!$D$291),VLOOKUP($A172,Curves_Table,Escalation!$E$291))</f>
        <v>2.7421899437198975</v>
      </c>
      <c r="I172" s="384">
        <f t="shared" ca="1" si="26"/>
        <v>3800.2564650117065</v>
      </c>
      <c r="J172" s="692" t="str">
        <f t="shared" ca="1" si="20"/>
        <v xml:space="preserve"> </v>
      </c>
      <c r="L172" s="1510">
        <f ca="1">IF($A172&gt;Endyr,0,VLOOKUP($A172,Tariff_Table,Tariff!$J$33))</f>
        <v>0.19</v>
      </c>
      <c r="M172" s="1504">
        <f t="shared" ca="1" si="21"/>
        <v>3.2074123543964816</v>
      </c>
      <c r="N172" s="1511">
        <f t="shared" ca="1" si="27"/>
        <v>0.60940834733533156</v>
      </c>
      <c r="O172" s="334">
        <f ca="1">'Plant Operations'!$I172+'Plant Operations'!$M172</f>
        <v>298980.864</v>
      </c>
      <c r="P172" s="1509">
        <f t="shared" ca="1" si="22"/>
        <v>182201.43421512953</v>
      </c>
      <c r="Q172" s="1480">
        <f t="shared" ca="1" si="28"/>
        <v>2.7421899437198975</v>
      </c>
      <c r="R172" s="335">
        <f t="shared" ca="1" si="29"/>
        <v>66443.768650090482</v>
      </c>
      <c r="S172" s="698" t="str">
        <f t="shared" ca="1" si="23"/>
        <v xml:space="preserve"> </v>
      </c>
    </row>
    <row r="173" spans="1:19">
      <c r="A173" s="672">
        <f ca="1">'Plant Operations'!A173</f>
        <v>41153</v>
      </c>
      <c r="C173" s="1484">
        <f ca="1">IF($A173&gt;Endyr,0,VLOOKUP($A173,Tariff_Table,Tariff!$D$33))</f>
        <v>6768.8424437299027</v>
      </c>
      <c r="D173" s="1480">
        <f ca="1">VLOOKUP($A173,Curves_Table,Escalation!$R$291)</f>
        <v>3.2074123543964816</v>
      </c>
      <c r="E173" s="1509">
        <f t="shared" ca="1" si="24"/>
        <v>21710.468878982563</v>
      </c>
      <c r="F173" s="330">
        <f ca="1">'Plant Operations'!C173</f>
        <v>480</v>
      </c>
      <c r="G173" s="1509">
        <f t="shared" ca="1" si="25"/>
        <v>10421.025061911629</v>
      </c>
      <c r="H173" s="1504">
        <f ca="1">IF(Assm!$L$74=0,VLOOKUP($A173,Curves_Table,Escalation!$D$291),VLOOKUP($A173,Curves_Table,Escalation!$E$291))</f>
        <v>2.7467163348331547</v>
      </c>
      <c r="I173" s="384">
        <f t="shared" ca="1" si="26"/>
        <v>3793.9939154818617</v>
      </c>
      <c r="J173" s="692" t="str">
        <f t="shared" ca="1" si="20"/>
        <v xml:space="preserve"> </v>
      </c>
      <c r="L173" s="1510">
        <f ca="1">IF($A173&gt;Endyr,0,VLOOKUP($A173,Tariff_Table,Tariff!$J$33))</f>
        <v>0.19</v>
      </c>
      <c r="M173" s="1504">
        <f t="shared" ca="1" si="21"/>
        <v>3.2074123543964816</v>
      </c>
      <c r="N173" s="1511">
        <f t="shared" ca="1" si="27"/>
        <v>0.60940834733533156</v>
      </c>
      <c r="O173" s="334">
        <f ca="1">'Plant Operations'!$I173+'Plant Operations'!$M173</f>
        <v>289336.32000000001</v>
      </c>
      <c r="P173" s="1509">
        <f t="shared" ca="1" si="22"/>
        <v>176323.96859528666</v>
      </c>
      <c r="Q173" s="1480">
        <f t="shared" ca="1" si="28"/>
        <v>2.7467163348331547</v>
      </c>
      <c r="R173" s="335">
        <f t="shared" ca="1" si="29"/>
        <v>64194.458801293433</v>
      </c>
      <c r="S173" s="698" t="str">
        <f t="shared" ca="1" si="23"/>
        <v xml:space="preserve"> </v>
      </c>
    </row>
    <row r="174" spans="1:19">
      <c r="A174" s="672">
        <f ca="1">'Plant Operations'!A174</f>
        <v>41183</v>
      </c>
      <c r="C174" s="1484">
        <f ca="1">IF($A174&gt;Endyr,0,VLOOKUP($A174,Tariff_Table,Tariff!$D$33))</f>
        <v>6768.8424437299027</v>
      </c>
      <c r="D174" s="1480">
        <f ca="1">VLOOKUP($A174,Curves_Table,Escalation!$R$291)</f>
        <v>3.2074123543964816</v>
      </c>
      <c r="E174" s="1509">
        <f t="shared" ca="1" si="24"/>
        <v>21710.468878982563</v>
      </c>
      <c r="F174" s="330">
        <f ca="1">'Plant Operations'!C174</f>
        <v>480</v>
      </c>
      <c r="G174" s="1509">
        <f t="shared" ca="1" si="25"/>
        <v>10421.025061911629</v>
      </c>
      <c r="H174" s="1504">
        <f ca="1">IF(Assm!$L$74=0,VLOOKUP($A174,Curves_Table,Escalation!$D$291),VLOOKUP($A174,Curves_Table,Escalation!$E$291))</f>
        <v>2.7512501974261161</v>
      </c>
      <c r="I174" s="384">
        <f t="shared" ca="1" si="26"/>
        <v>3787.7416861835527</v>
      </c>
      <c r="J174" s="692" t="str">
        <f t="shared" ca="1" si="20"/>
        <v xml:space="preserve"> </v>
      </c>
      <c r="L174" s="1510">
        <f ca="1">IF($A174&gt;Endyr,0,VLOOKUP($A174,Tariff_Table,Tariff!$J$33))</f>
        <v>0.19</v>
      </c>
      <c r="M174" s="1504">
        <f t="shared" ca="1" si="21"/>
        <v>3.2074123543964816</v>
      </c>
      <c r="N174" s="1511">
        <f t="shared" ca="1" si="27"/>
        <v>0.60940834733533156</v>
      </c>
      <c r="O174" s="334">
        <f ca="1">'Plant Operations'!$I174+'Plant Operations'!$M174</f>
        <v>298980.864</v>
      </c>
      <c r="P174" s="1509">
        <f t="shared" ca="1" si="22"/>
        <v>182201.43421512953</v>
      </c>
      <c r="Q174" s="1480">
        <f t="shared" ca="1" si="28"/>
        <v>2.7512501974261161</v>
      </c>
      <c r="R174" s="335">
        <f t="shared" ca="1" si="29"/>
        <v>66224.959978407234</v>
      </c>
      <c r="S174" s="698" t="str">
        <f t="shared" ca="1" si="23"/>
        <v xml:space="preserve"> </v>
      </c>
    </row>
    <row r="175" spans="1:19">
      <c r="A175" s="672">
        <f ca="1">'Plant Operations'!A175</f>
        <v>41214</v>
      </c>
      <c r="C175" s="1484">
        <f ca="1">IF($A175&gt;Endyr,0,VLOOKUP($A175,Tariff_Table,Tariff!$D$33))</f>
        <v>6768.8424437299027</v>
      </c>
      <c r="D175" s="1480">
        <f ca="1">VLOOKUP($A175,Curves_Table,Escalation!$R$291)</f>
        <v>3.2074123543964816</v>
      </c>
      <c r="E175" s="1509">
        <f t="shared" ca="1" si="24"/>
        <v>21710.468878982563</v>
      </c>
      <c r="F175" s="330">
        <f ca="1">'Plant Operations'!C175</f>
        <v>480</v>
      </c>
      <c r="G175" s="1509">
        <f t="shared" ca="1" si="25"/>
        <v>10421.025061911629</v>
      </c>
      <c r="H175" s="1504">
        <f ca="1">IF(Assm!$L$74=0,VLOOKUP($A175,Curves_Table,Escalation!$D$291),VLOOKUP($A175,Curves_Table,Escalation!$E$291))</f>
        <v>2.7557915438315672</v>
      </c>
      <c r="I175" s="384">
        <f t="shared" ca="1" si="26"/>
        <v>3781.4997601097789</v>
      </c>
      <c r="J175" s="692" t="str">
        <f t="shared" ca="1" si="20"/>
        <v xml:space="preserve"> </v>
      </c>
      <c r="L175" s="1510">
        <f ca="1">IF($A175&gt;Endyr,0,VLOOKUP($A175,Tariff_Table,Tariff!$J$33))</f>
        <v>0.19</v>
      </c>
      <c r="M175" s="1504">
        <f t="shared" ca="1" si="21"/>
        <v>3.2074123543964816</v>
      </c>
      <c r="N175" s="1511">
        <f t="shared" ca="1" si="27"/>
        <v>0.60940834733533156</v>
      </c>
      <c r="O175" s="334">
        <f ca="1">'Plant Operations'!$I175+'Plant Operations'!$M175</f>
        <v>289336.32000000001</v>
      </c>
      <c r="P175" s="1509">
        <f t="shared" ca="1" si="22"/>
        <v>176323.96859528666</v>
      </c>
      <c r="Q175" s="1480">
        <f t="shared" ca="1" si="28"/>
        <v>2.7557915438315672</v>
      </c>
      <c r="R175" s="335">
        <f t="shared" ca="1" si="29"/>
        <v>63983.05742317914</v>
      </c>
      <c r="S175" s="698" t="str">
        <f t="shared" ca="1" si="23"/>
        <v xml:space="preserve"> </v>
      </c>
    </row>
    <row r="176" spans="1:19">
      <c r="A176" s="672">
        <f ca="1">'Plant Operations'!A176</f>
        <v>41244</v>
      </c>
      <c r="C176" s="1484">
        <f ca="1">IF($A176&gt;Endyr,0,VLOOKUP($A176,Tariff_Table,Tariff!$D$33))</f>
        <v>6768.8424437299027</v>
      </c>
      <c r="D176" s="1480">
        <f ca="1">VLOOKUP($A176,Curves_Table,Escalation!$R$291)</f>
        <v>3.2074123543964816</v>
      </c>
      <c r="E176" s="1509">
        <f t="shared" ca="1" si="24"/>
        <v>21710.468878982563</v>
      </c>
      <c r="F176" s="330">
        <f ca="1">'Plant Operations'!C176</f>
        <v>480</v>
      </c>
      <c r="G176" s="1509">
        <f t="shared" ca="1" si="25"/>
        <v>10421.025061911629</v>
      </c>
      <c r="H176" s="1504">
        <f ca="1">IF(Assm!$L$74=0,VLOOKUP($A176,Curves_Table,Escalation!$D$291),VLOOKUP($A176,Curves_Table,Escalation!$E$291))</f>
        <v>2.7603403864026497</v>
      </c>
      <c r="I176" s="384">
        <f t="shared" ca="1" si="26"/>
        <v>3775.2681202815679</v>
      </c>
      <c r="J176" s="692">
        <f t="shared" ca="1" si="20"/>
        <v>45761.338780685044</v>
      </c>
      <c r="L176" s="1510">
        <f ca="1">IF($A176&gt;Endyr,0,VLOOKUP($A176,Tariff_Table,Tariff!$J$33))</f>
        <v>0.19</v>
      </c>
      <c r="M176" s="1504">
        <f t="shared" ca="1" si="21"/>
        <v>3.2074123543964816</v>
      </c>
      <c r="N176" s="1511">
        <f t="shared" ca="1" si="27"/>
        <v>0.60940834733533156</v>
      </c>
      <c r="O176" s="334">
        <f ca="1">'Plant Operations'!$I176+'Plant Operations'!$M176</f>
        <v>298980.864</v>
      </c>
      <c r="P176" s="1509">
        <f t="shared" ca="1" si="22"/>
        <v>182201.43421512953</v>
      </c>
      <c r="Q176" s="1480">
        <f t="shared" ca="1" si="28"/>
        <v>2.7603403864026497</v>
      </c>
      <c r="R176" s="335">
        <f t="shared" ca="1" si="29"/>
        <v>66006.871874442761</v>
      </c>
      <c r="S176" s="698">
        <f t="shared" ca="1" si="23"/>
        <v>768825.70465260209</v>
      </c>
    </row>
    <row r="177" spans="1:19">
      <c r="A177" s="672">
        <f ca="1">'Plant Operations'!A177</f>
        <v>41275</v>
      </c>
      <c r="C177" s="1484">
        <f ca="1">IF($A177&gt;Endyr,0,VLOOKUP($A177,Tariff_Table,Tariff!$D$33))</f>
        <v>6768.8424437299027</v>
      </c>
      <c r="D177" s="1480">
        <f ca="1">VLOOKUP($A177,Curves_Table,Escalation!$R$291)</f>
        <v>3.2074123543964816</v>
      </c>
      <c r="E177" s="1509">
        <f t="shared" ca="1" si="24"/>
        <v>21710.468878982563</v>
      </c>
      <c r="F177" s="330">
        <f ca="1">'Plant Operations'!C177</f>
        <v>480</v>
      </c>
      <c r="G177" s="1509">
        <f t="shared" ca="1" si="25"/>
        <v>10421.025061911629</v>
      </c>
      <c r="H177" s="1504">
        <f ca="1">IF(Assm!$L$74=0,VLOOKUP($A177,Curves_Table,Escalation!$D$291),VLOOKUP($A177,Curves_Table,Escalation!$E$291))</f>
        <v>2.7649282340797861</v>
      </c>
      <c r="I177" s="384">
        <f t="shared" ca="1" si="26"/>
        <v>3769.0038148060353</v>
      </c>
      <c r="J177" s="692" t="str">
        <f t="shared" ca="1" si="20"/>
        <v xml:space="preserve"> </v>
      </c>
      <c r="L177" s="1510">
        <f ca="1">IF($A177&gt;Endyr,0,VLOOKUP($A177,Tariff_Table,Tariff!$J$33))</f>
        <v>0.19</v>
      </c>
      <c r="M177" s="1504">
        <f t="shared" ca="1" si="21"/>
        <v>3.2074123543964816</v>
      </c>
      <c r="N177" s="1511">
        <f t="shared" ca="1" si="27"/>
        <v>0.60940834733533156</v>
      </c>
      <c r="O177" s="334">
        <f ca="1">'Plant Operations'!$I177+'Plant Operations'!$M177</f>
        <v>298980.864</v>
      </c>
      <c r="P177" s="1509">
        <f t="shared" ca="1" si="22"/>
        <v>182201.43421512953</v>
      </c>
      <c r="Q177" s="1480">
        <f t="shared" ca="1" si="28"/>
        <v>2.7649282340797861</v>
      </c>
      <c r="R177" s="335">
        <f t="shared" ca="1" si="29"/>
        <v>65897.346618028649</v>
      </c>
      <c r="S177" s="698" t="str">
        <f t="shared" ca="1" si="23"/>
        <v xml:space="preserve"> </v>
      </c>
    </row>
    <row r="178" spans="1:19">
      <c r="A178" s="672">
        <f ca="1">'Plant Operations'!A178</f>
        <v>41306</v>
      </c>
      <c r="C178" s="1484">
        <f ca="1">IF($A178&gt;Endyr,0,VLOOKUP($A178,Tariff_Table,Tariff!$D$33))</f>
        <v>6768.8424437299027</v>
      </c>
      <c r="D178" s="1480">
        <f ca="1">VLOOKUP($A178,Curves_Table,Escalation!$R$291)</f>
        <v>3.2074123543964816</v>
      </c>
      <c r="E178" s="1509">
        <f t="shared" ca="1" si="24"/>
        <v>21710.468878982563</v>
      </c>
      <c r="F178" s="330">
        <f ca="1">'Plant Operations'!C178</f>
        <v>480</v>
      </c>
      <c r="G178" s="1509">
        <f t="shared" ca="1" si="25"/>
        <v>10421.025061911629</v>
      </c>
      <c r="H178" s="1504">
        <f ca="1">IF(Assm!$L$74=0,VLOOKUP($A178,Curves_Table,Escalation!$D$291),VLOOKUP($A178,Curves_Table,Escalation!$E$291))</f>
        <v>2.7695237070289402</v>
      </c>
      <c r="I178" s="384">
        <f t="shared" ca="1" si="26"/>
        <v>3762.7499036976951</v>
      </c>
      <c r="J178" s="692" t="str">
        <f t="shared" ca="1" si="20"/>
        <v xml:space="preserve"> </v>
      </c>
      <c r="L178" s="1510">
        <f ca="1">IF($A178&gt;Endyr,0,VLOOKUP($A178,Tariff_Table,Tariff!$J$33))</f>
        <v>0.19</v>
      </c>
      <c r="M178" s="1504">
        <f t="shared" ca="1" si="21"/>
        <v>3.2074123543964816</v>
      </c>
      <c r="N178" s="1511">
        <f t="shared" ca="1" si="27"/>
        <v>0.60940834733533156</v>
      </c>
      <c r="O178" s="334">
        <f ca="1">'Plant Operations'!$I178+'Plant Operations'!$M178</f>
        <v>270047.23200000002</v>
      </c>
      <c r="P178" s="1509">
        <f t="shared" ca="1" si="22"/>
        <v>164569.03735560089</v>
      </c>
      <c r="Q178" s="1480">
        <f t="shared" ca="1" si="28"/>
        <v>2.7695237070289402</v>
      </c>
      <c r="R178" s="335">
        <f t="shared" ca="1" si="29"/>
        <v>59421.422152094696</v>
      </c>
      <c r="S178" s="698" t="str">
        <f t="shared" ca="1" si="23"/>
        <v xml:space="preserve"> </v>
      </c>
    </row>
    <row r="179" spans="1:19">
      <c r="A179" s="672">
        <f ca="1">'Plant Operations'!A179</f>
        <v>41334</v>
      </c>
      <c r="C179" s="1484">
        <f ca="1">IF($A179&gt;Endyr,0,VLOOKUP($A179,Tariff_Table,Tariff!$D$33))</f>
        <v>6768.8424437299027</v>
      </c>
      <c r="D179" s="1480">
        <f ca="1">VLOOKUP($A179,Curves_Table,Escalation!$R$291)</f>
        <v>3.2074123543964816</v>
      </c>
      <c r="E179" s="1509">
        <f t="shared" ca="1" si="24"/>
        <v>21710.468878982563</v>
      </c>
      <c r="F179" s="330">
        <f ca="1">'Plant Operations'!C179</f>
        <v>480</v>
      </c>
      <c r="G179" s="1509">
        <f t="shared" ca="1" si="25"/>
        <v>10421.025061911629</v>
      </c>
      <c r="H179" s="1504">
        <f ca="1">IF(Assm!$L$74=0,VLOOKUP($A179,Curves_Table,Escalation!$D$291),VLOOKUP($A179,Curves_Table,Escalation!$E$291))</f>
        <v>2.7741268179237619</v>
      </c>
      <c r="I179" s="384">
        <f t="shared" ca="1" si="26"/>
        <v>3756.506369709165</v>
      </c>
      <c r="J179" s="692" t="str">
        <f t="shared" ca="1" si="20"/>
        <v xml:space="preserve"> </v>
      </c>
      <c r="L179" s="1510">
        <f ca="1">IF($A179&gt;Endyr,0,VLOOKUP($A179,Tariff_Table,Tariff!$J$33))</f>
        <v>0.19</v>
      </c>
      <c r="M179" s="1504">
        <f t="shared" ca="1" si="21"/>
        <v>3.2074123543964816</v>
      </c>
      <c r="N179" s="1511">
        <f t="shared" ca="1" si="27"/>
        <v>0.60940834733533156</v>
      </c>
      <c r="O179" s="334">
        <f ca="1">'Plant Operations'!$I179+'Plant Operations'!$M179</f>
        <v>298980.864</v>
      </c>
      <c r="P179" s="1509">
        <f t="shared" ca="1" si="22"/>
        <v>182201.43421512953</v>
      </c>
      <c r="Q179" s="1480">
        <f t="shared" ca="1" si="28"/>
        <v>2.7741268179237619</v>
      </c>
      <c r="R179" s="335">
        <f t="shared" ca="1" si="29"/>
        <v>65678.841009689117</v>
      </c>
      <c r="S179" s="698" t="str">
        <f t="shared" ca="1" si="23"/>
        <v xml:space="preserve"> </v>
      </c>
    </row>
    <row r="180" spans="1:19">
      <c r="A180" s="672">
        <f ca="1">'Plant Operations'!A180</f>
        <v>41365</v>
      </c>
      <c r="C180" s="1484">
        <f ca="1">IF($A180&gt;Endyr,0,VLOOKUP($A180,Tariff_Table,Tariff!$D$33))</f>
        <v>6768.8424437299027</v>
      </c>
      <c r="D180" s="1480">
        <f ca="1">VLOOKUP($A180,Curves_Table,Escalation!$R$291)</f>
        <v>3.2074123543964816</v>
      </c>
      <c r="E180" s="1509">
        <f t="shared" ca="1" si="24"/>
        <v>21710.468878982563</v>
      </c>
      <c r="F180" s="330">
        <f ca="1">'Plant Operations'!C180</f>
        <v>480</v>
      </c>
      <c r="G180" s="1509">
        <f t="shared" ca="1" si="25"/>
        <v>10421.025061911629</v>
      </c>
      <c r="H180" s="1504">
        <f ca="1">IF(Assm!$L$74=0,VLOOKUP($A180,Curves_Table,Escalation!$D$291),VLOOKUP($A180,Curves_Table,Escalation!$E$291))</f>
        <v>2.7787375794589648</v>
      </c>
      <c r="I180" s="384">
        <f t="shared" ca="1" si="26"/>
        <v>3750.2731956216817</v>
      </c>
      <c r="J180" s="692" t="str">
        <f t="shared" ca="1" si="20"/>
        <v xml:space="preserve"> </v>
      </c>
      <c r="L180" s="1510">
        <f ca="1">IF($A180&gt;Endyr,0,VLOOKUP($A180,Tariff_Table,Tariff!$J$33))</f>
        <v>0.19</v>
      </c>
      <c r="M180" s="1504">
        <f t="shared" ca="1" si="21"/>
        <v>3.2074123543964816</v>
      </c>
      <c r="N180" s="1511">
        <f t="shared" ca="1" si="27"/>
        <v>0.60940834733533156</v>
      </c>
      <c r="O180" s="334">
        <f ca="1">'Plant Operations'!$I180+'Plant Operations'!$M180</f>
        <v>289336.32000000001</v>
      </c>
      <c r="P180" s="1509">
        <f t="shared" ca="1" si="22"/>
        <v>176323.96859528666</v>
      </c>
      <c r="Q180" s="1480">
        <f t="shared" ca="1" si="28"/>
        <v>2.7787375794589648</v>
      </c>
      <c r="R180" s="335">
        <f t="shared" ca="1" si="29"/>
        <v>63454.703279184025</v>
      </c>
      <c r="S180" s="698" t="str">
        <f t="shared" ca="1" si="23"/>
        <v xml:space="preserve"> </v>
      </c>
    </row>
    <row r="181" spans="1:19">
      <c r="A181" s="672">
        <f ca="1">'Plant Operations'!A181</f>
        <v>41395</v>
      </c>
      <c r="C181" s="1484">
        <f ca="1">IF($A181&gt;Endyr,0,VLOOKUP($A181,Tariff_Table,Tariff!$D$33))</f>
        <v>6530.3842049092846</v>
      </c>
      <c r="D181" s="1480">
        <f ca="1">VLOOKUP($A181,Curves_Table,Escalation!$R$291)</f>
        <v>3.4362064378571429</v>
      </c>
      <c r="E181" s="1509">
        <f t="shared" ca="1" si="24"/>
        <v>22439.748246589883</v>
      </c>
      <c r="F181" s="330">
        <f ca="1">'Plant Operations'!C181</f>
        <v>480</v>
      </c>
      <c r="G181" s="1509">
        <f t="shared" ca="1" si="25"/>
        <v>10771.079158363144</v>
      </c>
      <c r="H181" s="1504">
        <f ca="1">IF(Assm!$L$74=0,VLOOKUP($A181,Curves_Table,Escalation!$D$291),VLOOKUP($A181,Curves_Table,Escalation!$E$291))</f>
        <v>2.7833560043503622</v>
      </c>
      <c r="I181" s="384">
        <f t="shared" ca="1" si="26"/>
        <v>3869.8172786837317</v>
      </c>
      <c r="J181" s="692" t="str">
        <f t="shared" ca="1" si="20"/>
        <v xml:space="preserve"> </v>
      </c>
      <c r="L181" s="1510">
        <f ca="1">IF($A181&gt;Endyr,0,VLOOKUP($A181,Tariff_Table,Tariff!$J$33))</f>
        <v>0.19</v>
      </c>
      <c r="M181" s="1504">
        <f t="shared" ca="1" si="21"/>
        <v>3.4362064378571429</v>
      </c>
      <c r="N181" s="1511">
        <f t="shared" ca="1" si="27"/>
        <v>0.65287922319285718</v>
      </c>
      <c r="O181" s="334">
        <f ca="1">'Plant Operations'!$I181+'Plant Operations'!$M181</f>
        <v>298980.864</v>
      </c>
      <c r="P181" s="1509">
        <f t="shared" ca="1" si="22"/>
        <v>195198.39423784928</v>
      </c>
      <c r="Q181" s="1480">
        <f t="shared" ca="1" si="28"/>
        <v>2.7833560043503622</v>
      </c>
      <c r="R181" s="335">
        <f t="shared" ca="1" si="29"/>
        <v>70130.588373444072</v>
      </c>
      <c r="S181" s="698" t="str">
        <f t="shared" ca="1" si="23"/>
        <v xml:space="preserve"> </v>
      </c>
    </row>
    <row r="182" spans="1:19">
      <c r="A182" s="672">
        <f ca="1">'Plant Operations'!A182</f>
        <v>41426</v>
      </c>
      <c r="C182" s="1484">
        <f ca="1">IF($A182&gt;Endyr,0,VLOOKUP($A182,Tariff_Table,Tariff!$D$33))</f>
        <v>6530.3842049092846</v>
      </c>
      <c r="D182" s="1480">
        <f ca="1">VLOOKUP($A182,Curves_Table,Escalation!$R$291)</f>
        <v>3.4362064378571429</v>
      </c>
      <c r="E182" s="1509">
        <f t="shared" ca="1" si="24"/>
        <v>22439.748246589883</v>
      </c>
      <c r="F182" s="330">
        <f ca="1">'Plant Operations'!C182</f>
        <v>480</v>
      </c>
      <c r="G182" s="1509">
        <f t="shared" ca="1" si="25"/>
        <v>10771.079158363144</v>
      </c>
      <c r="H182" s="1504">
        <f ca="1">IF(Assm!$L$74=0,VLOOKUP($A182,Curves_Table,Escalation!$D$291),VLOOKUP($A182,Curves_Table,Escalation!$E$291))</f>
        <v>2.7879821053349021</v>
      </c>
      <c r="I182" s="384">
        <f t="shared" ca="1" si="26"/>
        <v>3863.3960877124368</v>
      </c>
      <c r="J182" s="692" t="str">
        <f t="shared" ca="1" si="20"/>
        <v xml:space="preserve"> </v>
      </c>
      <c r="L182" s="1510">
        <f ca="1">IF($A182&gt;Endyr,0,VLOOKUP($A182,Tariff_Table,Tariff!$J$33))</f>
        <v>0.19</v>
      </c>
      <c r="M182" s="1504">
        <f t="shared" ca="1" si="21"/>
        <v>3.4362064378571429</v>
      </c>
      <c r="N182" s="1511">
        <f t="shared" ca="1" si="27"/>
        <v>0.65287922319285718</v>
      </c>
      <c r="O182" s="334">
        <f ca="1">'Plant Operations'!$I182+'Plant Operations'!$M182</f>
        <v>289336.32000000001</v>
      </c>
      <c r="P182" s="1509">
        <f t="shared" ca="1" si="22"/>
        <v>188901.67184307997</v>
      </c>
      <c r="Q182" s="1480">
        <f t="shared" ca="1" si="28"/>
        <v>2.7879821053349021</v>
      </c>
      <c r="R182" s="335">
        <f t="shared" ca="1" si="29"/>
        <v>67755.697384717772</v>
      </c>
      <c r="S182" s="698" t="str">
        <f t="shared" ca="1" si="23"/>
        <v xml:space="preserve"> </v>
      </c>
    </row>
    <row r="183" spans="1:19">
      <c r="A183" s="672">
        <f ca="1">'Plant Operations'!A183</f>
        <v>41456</v>
      </c>
      <c r="C183" s="1484">
        <f ca="1">IF($A183&gt;Endyr,0,VLOOKUP($A183,Tariff_Table,Tariff!$D$33))</f>
        <v>6530.3842049092846</v>
      </c>
      <c r="D183" s="1480">
        <f ca="1">VLOOKUP($A183,Curves_Table,Escalation!$R$291)</f>
        <v>3.4362064378571429</v>
      </c>
      <c r="E183" s="1509">
        <f t="shared" ca="1" si="24"/>
        <v>22439.748246589883</v>
      </c>
      <c r="F183" s="330">
        <f ca="1">'Plant Operations'!C183</f>
        <v>480</v>
      </c>
      <c r="G183" s="1509">
        <f t="shared" ca="1" si="25"/>
        <v>10771.079158363144</v>
      </c>
      <c r="H183" s="1504">
        <f ca="1">IF(Assm!$L$74=0,VLOOKUP($A183,Curves_Table,Escalation!$D$291),VLOOKUP($A183,Curves_Table,Escalation!$E$291))</f>
        <v>2.7926158951707012</v>
      </c>
      <c r="I183" s="384">
        <f t="shared" ca="1" si="26"/>
        <v>3856.9855514285655</v>
      </c>
      <c r="J183" s="692" t="str">
        <f t="shared" ca="1" si="20"/>
        <v xml:space="preserve"> </v>
      </c>
      <c r="L183" s="1510">
        <f ca="1">IF($A183&gt;Endyr,0,VLOOKUP($A183,Tariff_Table,Tariff!$J$33))</f>
        <v>0.19</v>
      </c>
      <c r="M183" s="1504">
        <f t="shared" ca="1" si="21"/>
        <v>3.4362064378571429</v>
      </c>
      <c r="N183" s="1511">
        <f t="shared" ca="1" si="27"/>
        <v>0.65287922319285718</v>
      </c>
      <c r="O183" s="334">
        <f ca="1">'Plant Operations'!$I183+'Plant Operations'!$M183</f>
        <v>298980.864</v>
      </c>
      <c r="P183" s="1509">
        <f t="shared" ca="1" si="22"/>
        <v>195198.39423784928</v>
      </c>
      <c r="Q183" s="1480">
        <f t="shared" ca="1" si="28"/>
        <v>2.7926158951707012</v>
      </c>
      <c r="R183" s="335">
        <f t="shared" ca="1" si="29"/>
        <v>69898.045977396265</v>
      </c>
      <c r="S183" s="698" t="str">
        <f t="shared" ca="1" si="23"/>
        <v xml:space="preserve"> </v>
      </c>
    </row>
    <row r="184" spans="1:19">
      <c r="A184" s="672">
        <f ca="1">'Plant Operations'!A184</f>
        <v>41487</v>
      </c>
      <c r="C184" s="1484">
        <f ca="1">IF($A184&gt;Endyr,0,VLOOKUP($A184,Tariff_Table,Tariff!$D$33))</f>
        <v>6530.3842049092846</v>
      </c>
      <c r="D184" s="1480">
        <f ca="1">VLOOKUP($A184,Curves_Table,Escalation!$R$291)</f>
        <v>3.4362064378571429</v>
      </c>
      <c r="E184" s="1509">
        <f t="shared" ca="1" si="24"/>
        <v>22439.748246589883</v>
      </c>
      <c r="F184" s="330">
        <f ca="1">'Plant Operations'!C184</f>
        <v>480</v>
      </c>
      <c r="G184" s="1509">
        <f t="shared" ca="1" si="25"/>
        <v>10771.079158363144</v>
      </c>
      <c r="H184" s="1504">
        <f ca="1">IF(Assm!$L$74=0,VLOOKUP($A184,Curves_Table,Escalation!$D$291),VLOOKUP($A184,Curves_Table,Escalation!$E$291))</f>
        <v>2.7972573866370816</v>
      </c>
      <c r="I184" s="384">
        <f t="shared" ca="1" si="26"/>
        <v>3850.5856521527858</v>
      </c>
      <c r="J184" s="692" t="str">
        <f t="shared" ca="1" si="20"/>
        <v xml:space="preserve"> </v>
      </c>
      <c r="L184" s="1510">
        <f ca="1">IF($A184&gt;Endyr,0,VLOOKUP($A184,Tariff_Table,Tariff!$J$33))</f>
        <v>0.19</v>
      </c>
      <c r="M184" s="1504">
        <f t="shared" ca="1" si="21"/>
        <v>3.4362064378571429</v>
      </c>
      <c r="N184" s="1511">
        <f t="shared" ca="1" si="27"/>
        <v>0.65287922319285718</v>
      </c>
      <c r="O184" s="334">
        <f ca="1">'Plant Operations'!$I184+'Plant Operations'!$M184</f>
        <v>298980.864</v>
      </c>
      <c r="P184" s="1509">
        <f t="shared" ca="1" si="22"/>
        <v>195198.39423784928</v>
      </c>
      <c r="Q184" s="1480">
        <f t="shared" ca="1" si="28"/>
        <v>2.7972573866370816</v>
      </c>
      <c r="R184" s="335">
        <f t="shared" ca="1" si="29"/>
        <v>69782.064092614892</v>
      </c>
      <c r="S184" s="698" t="str">
        <f t="shared" ca="1" si="23"/>
        <v xml:space="preserve"> </v>
      </c>
    </row>
    <row r="185" spans="1:19">
      <c r="A185" s="672">
        <f ca="1">'Plant Operations'!A185</f>
        <v>41518</v>
      </c>
      <c r="C185" s="1484">
        <f ca="1">IF($A185&gt;Endyr,0,VLOOKUP($A185,Tariff_Table,Tariff!$D$33))</f>
        <v>6530.3842049092846</v>
      </c>
      <c r="D185" s="1480">
        <f ca="1">VLOOKUP($A185,Curves_Table,Escalation!$R$291)</f>
        <v>3.4362064378571429</v>
      </c>
      <c r="E185" s="1509">
        <f t="shared" ca="1" si="24"/>
        <v>22439.748246589883</v>
      </c>
      <c r="F185" s="330">
        <f ca="1">'Plant Operations'!C185</f>
        <v>480</v>
      </c>
      <c r="G185" s="1509">
        <f t="shared" ca="1" si="25"/>
        <v>10771.079158363144</v>
      </c>
      <c r="H185" s="1504">
        <f ca="1">IF(Assm!$L$74=0,VLOOKUP($A185,Curves_Table,Escalation!$D$291),VLOOKUP($A185,Curves_Table,Escalation!$E$291))</f>
        <v>2.8019065925346047</v>
      </c>
      <c r="I185" s="384">
        <f t="shared" ca="1" si="26"/>
        <v>3844.196372235102</v>
      </c>
      <c r="J185" s="692" t="str">
        <f t="shared" ca="1" si="20"/>
        <v xml:space="preserve"> </v>
      </c>
      <c r="L185" s="1510">
        <f ca="1">IF($A185&gt;Endyr,0,VLOOKUP($A185,Tariff_Table,Tariff!$J$33))</f>
        <v>0.19</v>
      </c>
      <c r="M185" s="1504">
        <f t="shared" ca="1" si="21"/>
        <v>3.4362064378571429</v>
      </c>
      <c r="N185" s="1511">
        <f t="shared" ca="1" si="27"/>
        <v>0.65287922319285718</v>
      </c>
      <c r="O185" s="334">
        <f ca="1">'Plant Operations'!$I185+'Plant Operations'!$M185</f>
        <v>289336.32000000001</v>
      </c>
      <c r="P185" s="1509">
        <f t="shared" ca="1" si="22"/>
        <v>188901.67184307997</v>
      </c>
      <c r="Q185" s="1480">
        <f t="shared" ca="1" si="28"/>
        <v>2.8019065925346047</v>
      </c>
      <c r="R185" s="335">
        <f t="shared" ca="1" si="29"/>
        <v>67418.975474196486</v>
      </c>
      <c r="S185" s="698" t="str">
        <f t="shared" ca="1" si="23"/>
        <v xml:space="preserve"> </v>
      </c>
    </row>
    <row r="186" spans="1:19">
      <c r="A186" s="672">
        <f ca="1">'Plant Operations'!A186</f>
        <v>41548</v>
      </c>
      <c r="C186" s="1484">
        <f ca="1">IF($A186&gt;Endyr,0,VLOOKUP($A186,Tariff_Table,Tariff!$D$33))</f>
        <v>6530.3842049092846</v>
      </c>
      <c r="D186" s="1480">
        <f ca="1">VLOOKUP($A186,Curves_Table,Escalation!$R$291)</f>
        <v>3.4362064378571429</v>
      </c>
      <c r="E186" s="1509">
        <f t="shared" ca="1" si="24"/>
        <v>22439.748246589883</v>
      </c>
      <c r="F186" s="330">
        <f ca="1">'Plant Operations'!C186</f>
        <v>480</v>
      </c>
      <c r="G186" s="1509">
        <f t="shared" ca="1" si="25"/>
        <v>10771.079158363144</v>
      </c>
      <c r="H186" s="1504">
        <f ca="1">IF(Assm!$L$74=0,VLOOKUP($A186,Curves_Table,Escalation!$D$291),VLOOKUP($A186,Curves_Table,Escalation!$E$291))</f>
        <v>2.8065635256851085</v>
      </c>
      <c r="I186" s="384">
        <f t="shared" ca="1" si="26"/>
        <v>3837.8176940548037</v>
      </c>
      <c r="J186" s="692" t="str">
        <f t="shared" ca="1" si="20"/>
        <v xml:space="preserve"> </v>
      </c>
      <c r="L186" s="1510">
        <f ca="1">IF($A186&gt;Endyr,0,VLOOKUP($A186,Tariff_Table,Tariff!$J$33))</f>
        <v>0.19</v>
      </c>
      <c r="M186" s="1504">
        <f t="shared" ca="1" si="21"/>
        <v>3.4362064378571429</v>
      </c>
      <c r="N186" s="1511">
        <f t="shared" ca="1" si="27"/>
        <v>0.65287922319285718</v>
      </c>
      <c r="O186" s="334">
        <f ca="1">'Plant Operations'!$I186+'Plant Operations'!$M186</f>
        <v>298980.864</v>
      </c>
      <c r="P186" s="1509">
        <f t="shared" ca="1" si="22"/>
        <v>195198.39423784928</v>
      </c>
      <c r="Q186" s="1480">
        <f t="shared" ca="1" si="28"/>
        <v>2.8065635256851085</v>
      </c>
      <c r="R186" s="335">
        <f t="shared" ca="1" si="29"/>
        <v>69550.677350230122</v>
      </c>
      <c r="S186" s="698" t="str">
        <f t="shared" ca="1" si="23"/>
        <v xml:space="preserve"> </v>
      </c>
    </row>
    <row r="187" spans="1:19">
      <c r="A187" s="672">
        <f ca="1">'Plant Operations'!A187</f>
        <v>41579</v>
      </c>
      <c r="C187" s="1484">
        <f ca="1">IF($A187&gt;Endyr,0,VLOOKUP($A187,Tariff_Table,Tariff!$D$33))</f>
        <v>6530.3842049092846</v>
      </c>
      <c r="D187" s="1480">
        <f ca="1">VLOOKUP($A187,Curves_Table,Escalation!$R$291)</f>
        <v>3.4362064378571429</v>
      </c>
      <c r="E187" s="1509">
        <f t="shared" ca="1" si="24"/>
        <v>22439.748246589883</v>
      </c>
      <c r="F187" s="330">
        <f ca="1">'Plant Operations'!C187</f>
        <v>480</v>
      </c>
      <c r="G187" s="1509">
        <f t="shared" ca="1" si="25"/>
        <v>10771.079158363144</v>
      </c>
      <c r="H187" s="1504">
        <f ca="1">IF(Assm!$L$74=0,VLOOKUP($A187,Curves_Table,Escalation!$D$291),VLOOKUP($A187,Curves_Table,Escalation!$E$291))</f>
        <v>2.8112281989317403</v>
      </c>
      <c r="I187" s="384">
        <f t="shared" ca="1" si="26"/>
        <v>3831.4496000204203</v>
      </c>
      <c r="J187" s="692" t="str">
        <f t="shared" ca="1" si="20"/>
        <v xml:space="preserve"> </v>
      </c>
      <c r="L187" s="1510">
        <f ca="1">IF($A187&gt;Endyr,0,VLOOKUP($A187,Tariff_Table,Tariff!$J$33))</f>
        <v>0.19</v>
      </c>
      <c r="M187" s="1504">
        <f t="shared" ca="1" si="21"/>
        <v>3.4362064378571429</v>
      </c>
      <c r="N187" s="1511">
        <f t="shared" ca="1" si="27"/>
        <v>0.65287922319285718</v>
      </c>
      <c r="O187" s="334">
        <f ca="1">'Plant Operations'!$I187+'Plant Operations'!$M187</f>
        <v>289336.32000000001</v>
      </c>
      <c r="P187" s="1509">
        <f t="shared" ca="1" si="22"/>
        <v>188901.67184307997</v>
      </c>
      <c r="Q187" s="1480">
        <f t="shared" ca="1" si="28"/>
        <v>2.8112281989317403</v>
      </c>
      <c r="R187" s="335">
        <f t="shared" ca="1" si="29"/>
        <v>67195.424375318282</v>
      </c>
      <c r="S187" s="698" t="str">
        <f t="shared" ca="1" si="23"/>
        <v xml:space="preserve"> </v>
      </c>
    </row>
    <row r="188" spans="1:19">
      <c r="A188" s="672">
        <f ca="1">'Plant Operations'!A188</f>
        <v>41609</v>
      </c>
      <c r="C188" s="1484">
        <f ca="1">IF($A188&gt;Endyr,0,VLOOKUP($A188,Tariff_Table,Tariff!$D$33))</f>
        <v>6530.3842049092846</v>
      </c>
      <c r="D188" s="1480">
        <f ca="1">VLOOKUP($A188,Curves_Table,Escalation!$R$291)</f>
        <v>3.4362064378571429</v>
      </c>
      <c r="E188" s="1509">
        <f t="shared" ca="1" si="24"/>
        <v>22439.748246589883</v>
      </c>
      <c r="F188" s="330">
        <f ca="1">'Plant Operations'!C188</f>
        <v>480</v>
      </c>
      <c r="G188" s="1509">
        <f t="shared" ca="1" si="25"/>
        <v>10771.079158363144</v>
      </c>
      <c r="H188" s="1504">
        <f ca="1">IF(Assm!$L$74=0,VLOOKUP($A188,Curves_Table,Escalation!$D$291),VLOOKUP($A188,Curves_Table,Escalation!$E$291))</f>
        <v>2.8159006251389909</v>
      </c>
      <c r="I188" s="384">
        <f t="shared" ca="1" si="26"/>
        <v>3825.0920725696742</v>
      </c>
      <c r="J188" s="692">
        <f t="shared" ca="1" si="20"/>
        <v>45817.873592692107</v>
      </c>
      <c r="L188" s="1510">
        <f ca="1">IF($A188&gt;Endyr,0,VLOOKUP($A188,Tariff_Table,Tariff!$J$33))</f>
        <v>0.19</v>
      </c>
      <c r="M188" s="1504">
        <f t="shared" ca="1" si="21"/>
        <v>3.4362064378571429</v>
      </c>
      <c r="N188" s="1511">
        <f t="shared" ca="1" si="27"/>
        <v>0.65287922319285718</v>
      </c>
      <c r="O188" s="334">
        <f ca="1">'Plant Operations'!$I188+'Plant Operations'!$M188</f>
        <v>298980.864</v>
      </c>
      <c r="P188" s="1509">
        <f t="shared" ca="1" si="22"/>
        <v>195198.39423784928</v>
      </c>
      <c r="Q188" s="1480">
        <f t="shared" ca="1" si="28"/>
        <v>2.8159006251389909</v>
      </c>
      <c r="R188" s="335">
        <f t="shared" ca="1" si="29"/>
        <v>69320.05785119439</v>
      </c>
      <c r="S188" s="698">
        <f t="shared" ca="1" si="23"/>
        <v>805503.84393810877</v>
      </c>
    </row>
    <row r="189" spans="1:19">
      <c r="A189" s="672">
        <f ca="1">'Plant Operations'!A189</f>
        <v>41640</v>
      </c>
      <c r="C189" s="1484">
        <f ca="1">IF($A189&gt;Endyr,0,VLOOKUP($A189,Tariff_Table,Tariff!$D$33))</f>
        <v>6530.3842049092846</v>
      </c>
      <c r="D189" s="1480">
        <f ca="1">VLOOKUP($A189,Curves_Table,Escalation!$R$291)</f>
        <v>3.4362064378571429</v>
      </c>
      <c r="E189" s="1509">
        <f t="shared" ca="1" si="24"/>
        <v>22439.748246589883</v>
      </c>
      <c r="F189" s="330">
        <f ca="1">'Plant Operations'!C189</f>
        <v>480</v>
      </c>
      <c r="G189" s="1509">
        <f t="shared" ca="1" si="25"/>
        <v>10771.079158363144</v>
      </c>
      <c r="H189" s="1504">
        <f ca="1">IF(Assm!$L$74=0,VLOOKUP($A189,Curves_Table,Escalation!$D$291),VLOOKUP($A189,Curves_Table,Escalation!$E$291))</f>
        <v>2.8205502274907825</v>
      </c>
      <c r="I189" s="384">
        <f t="shared" ca="1" si="26"/>
        <v>3818.7865095901197</v>
      </c>
      <c r="J189" s="692" t="str">
        <f t="shared" ca="1" si="20"/>
        <v xml:space="preserve"> </v>
      </c>
      <c r="L189" s="1510">
        <f ca="1">IF($A189&gt;Endyr,0,VLOOKUP($A189,Tariff_Table,Tariff!$J$33))</f>
        <v>0.19</v>
      </c>
      <c r="M189" s="1504">
        <f t="shared" ca="1" si="21"/>
        <v>3.4362064378571429</v>
      </c>
      <c r="N189" s="1511">
        <f t="shared" ca="1" si="27"/>
        <v>0.65287922319285718</v>
      </c>
      <c r="O189" s="334">
        <f ca="1">'Plant Operations'!$I189+'Plant Operations'!$M189</f>
        <v>298980.864</v>
      </c>
      <c r="P189" s="1509">
        <f t="shared" ca="1" si="22"/>
        <v>195198.39423784928</v>
      </c>
      <c r="Q189" s="1480">
        <f t="shared" ca="1" si="28"/>
        <v>2.8205502274907825</v>
      </c>
      <c r="R189" s="335">
        <f t="shared" ca="1" si="29"/>
        <v>69205.785571668981</v>
      </c>
      <c r="S189" s="698" t="str">
        <f t="shared" ca="1" si="23"/>
        <v xml:space="preserve"> </v>
      </c>
    </row>
    <row r="190" spans="1:19">
      <c r="A190" s="672">
        <f ca="1">'Plant Operations'!A190</f>
        <v>41671</v>
      </c>
      <c r="C190" s="1484">
        <f ca="1">IF($A190&gt;Endyr,0,VLOOKUP($A190,Tariff_Table,Tariff!$D$33))</f>
        <v>6530.3842049092846</v>
      </c>
      <c r="D190" s="1480">
        <f ca="1">VLOOKUP($A190,Curves_Table,Escalation!$R$291)</f>
        <v>3.4362064378571429</v>
      </c>
      <c r="E190" s="1509">
        <f t="shared" ca="1" si="24"/>
        <v>22439.748246589883</v>
      </c>
      <c r="F190" s="330">
        <f ca="1">'Plant Operations'!C190</f>
        <v>480</v>
      </c>
      <c r="G190" s="1509">
        <f t="shared" ca="1" si="25"/>
        <v>10771.079158363144</v>
      </c>
      <c r="H190" s="1504">
        <f ca="1">IF(Assm!$L$74=0,VLOOKUP($A190,Curves_Table,Escalation!$D$291),VLOOKUP($A190,Curves_Table,Escalation!$E$291))</f>
        <v>2.8252075072449077</v>
      </c>
      <c r="I190" s="384">
        <f t="shared" ca="1" si="26"/>
        <v>3812.4913411641433</v>
      </c>
      <c r="J190" s="692" t="str">
        <f t="shared" ca="1" si="20"/>
        <v xml:space="preserve"> </v>
      </c>
      <c r="L190" s="1510">
        <f ca="1">IF($A190&gt;Endyr,0,VLOOKUP($A190,Tariff_Table,Tariff!$J$33))</f>
        <v>0.19</v>
      </c>
      <c r="M190" s="1504">
        <f t="shared" ca="1" si="21"/>
        <v>3.4362064378571429</v>
      </c>
      <c r="N190" s="1511">
        <f t="shared" ca="1" si="27"/>
        <v>0.65287922319285718</v>
      </c>
      <c r="O190" s="334">
        <f ca="1">'Plant Operations'!$I190+'Plant Operations'!$M190</f>
        <v>270047.23200000002</v>
      </c>
      <c r="P190" s="1509">
        <f t="shared" ca="1" si="22"/>
        <v>176308.22705354128</v>
      </c>
      <c r="Q190" s="1480">
        <f t="shared" ca="1" si="28"/>
        <v>2.8252075072449077</v>
      </c>
      <c r="R190" s="335">
        <f t="shared" ca="1" si="29"/>
        <v>62405.407957263269</v>
      </c>
      <c r="S190" s="698" t="str">
        <f t="shared" ca="1" si="23"/>
        <v xml:space="preserve"> </v>
      </c>
    </row>
    <row r="191" spans="1:19">
      <c r="A191" s="672">
        <f ca="1">'Plant Operations'!A191</f>
        <v>41699</v>
      </c>
      <c r="C191" s="1484">
        <f ca="1">IF($A191&gt;Endyr,0,VLOOKUP($A191,Tariff_Table,Tariff!$D$33))</f>
        <v>6530.3842049092846</v>
      </c>
      <c r="D191" s="1480">
        <f ca="1">VLOOKUP($A191,Curves_Table,Escalation!$R$291)</f>
        <v>3.4362064378571429</v>
      </c>
      <c r="E191" s="1509">
        <f t="shared" ca="1" si="24"/>
        <v>22439.748246589883</v>
      </c>
      <c r="F191" s="330">
        <f ca="1">'Plant Operations'!C191</f>
        <v>480</v>
      </c>
      <c r="G191" s="1509">
        <f t="shared" ca="1" si="25"/>
        <v>10771.079158363144</v>
      </c>
      <c r="H191" s="1504">
        <f ca="1">IF(Assm!$L$74=0,VLOOKUP($A191,Curves_Table,Escalation!$D$291),VLOOKUP($A191,Curves_Table,Escalation!$E$291))</f>
        <v>2.8298724770782577</v>
      </c>
      <c r="I191" s="384">
        <f t="shared" ca="1" si="26"/>
        <v>3806.2065501565985</v>
      </c>
      <c r="J191" s="692" t="str">
        <f t="shared" ca="1" si="20"/>
        <v xml:space="preserve"> </v>
      </c>
      <c r="L191" s="1510">
        <f ca="1">IF($A191&gt;Endyr,0,VLOOKUP($A191,Tariff_Table,Tariff!$J$33))</f>
        <v>0.19</v>
      </c>
      <c r="M191" s="1504">
        <f t="shared" ca="1" si="21"/>
        <v>3.4362064378571429</v>
      </c>
      <c r="N191" s="1511">
        <f t="shared" ca="1" si="27"/>
        <v>0.65287922319285718</v>
      </c>
      <c r="O191" s="334">
        <f ca="1">'Plant Operations'!$I191+'Plant Operations'!$M191</f>
        <v>298980.864</v>
      </c>
      <c r="P191" s="1509">
        <f t="shared" ca="1" si="22"/>
        <v>195198.39423784928</v>
      </c>
      <c r="Q191" s="1480">
        <f t="shared" ca="1" si="28"/>
        <v>2.8298724770782577</v>
      </c>
      <c r="R191" s="335">
        <f t="shared" ca="1" si="29"/>
        <v>68977.805826566662</v>
      </c>
      <c r="S191" s="698" t="str">
        <f t="shared" ca="1" si="23"/>
        <v xml:space="preserve"> </v>
      </c>
    </row>
    <row r="192" spans="1:19">
      <c r="A192" s="672">
        <f ca="1">'Plant Operations'!A192</f>
        <v>41730</v>
      </c>
      <c r="C192" s="1484">
        <f ca="1">IF($A192&gt;Endyr,0,VLOOKUP($A192,Tariff_Table,Tariff!$D$33))</f>
        <v>6530.3842049092846</v>
      </c>
      <c r="D192" s="1480">
        <f ca="1">VLOOKUP($A192,Curves_Table,Escalation!$R$291)</f>
        <v>3.4362064378571429</v>
      </c>
      <c r="E192" s="1509">
        <f t="shared" ca="1" si="24"/>
        <v>22439.748246589883</v>
      </c>
      <c r="F192" s="330">
        <f ca="1">'Plant Operations'!C192</f>
        <v>480</v>
      </c>
      <c r="G192" s="1509">
        <f t="shared" ca="1" si="25"/>
        <v>10771.079158363144</v>
      </c>
      <c r="H192" s="1504">
        <f ca="1">IF(Assm!$L$74=0,VLOOKUP($A192,Curves_Table,Escalation!$D$291),VLOOKUP($A192,Curves_Table,Escalation!$E$291))</f>
        <v>2.8345451496886573</v>
      </c>
      <c r="I192" s="384">
        <f t="shared" ca="1" si="26"/>
        <v>3799.9321194605859</v>
      </c>
      <c r="J192" s="692" t="str">
        <f t="shared" ca="1" si="20"/>
        <v xml:space="preserve"> </v>
      </c>
      <c r="L192" s="1510">
        <f ca="1">IF($A192&gt;Endyr,0,VLOOKUP($A192,Tariff_Table,Tariff!$J$33))</f>
        <v>0.19</v>
      </c>
      <c r="M192" s="1504">
        <f t="shared" ca="1" si="21"/>
        <v>3.4362064378571429</v>
      </c>
      <c r="N192" s="1511">
        <f t="shared" ca="1" si="27"/>
        <v>0.65287922319285718</v>
      </c>
      <c r="O192" s="334">
        <f ca="1">'Plant Operations'!$I192+'Plant Operations'!$M192</f>
        <v>289336.32000000001</v>
      </c>
      <c r="P192" s="1509">
        <f t="shared" ca="1" si="22"/>
        <v>188901.67184307997</v>
      </c>
      <c r="Q192" s="1480">
        <f t="shared" ca="1" si="28"/>
        <v>2.8345451496886573</v>
      </c>
      <c r="R192" s="335">
        <f t="shared" ca="1" si="29"/>
        <v>66642.675232683687</v>
      </c>
      <c r="S192" s="698" t="str">
        <f t="shared" ca="1" si="23"/>
        <v xml:space="preserve"> </v>
      </c>
    </row>
    <row r="193" spans="1:19">
      <c r="A193" s="672">
        <f ca="1">'Plant Operations'!A193</f>
        <v>41760</v>
      </c>
      <c r="C193" s="1484">
        <f ca="1">IF($A193&gt;Endyr,0,VLOOKUP($A193,Tariff_Table,Tariff!$D$33))</f>
        <v>4167.6561693340209</v>
      </c>
      <c r="D193" s="1480">
        <f ca="1">VLOOKUP($A193,Curves_Table,Escalation!$R$291)</f>
        <v>3.6767408885071422</v>
      </c>
      <c r="E193" s="1509">
        <f t="shared" ca="1" si="24"/>
        <v>15323.391847029441</v>
      </c>
      <c r="F193" s="330">
        <f ca="1">'Plant Operations'!C193</f>
        <v>480</v>
      </c>
      <c r="G193" s="1509">
        <f t="shared" ca="1" si="25"/>
        <v>7355.2280865741313</v>
      </c>
      <c r="H193" s="1504">
        <f ca="1">IF(Assm!$L$74=0,VLOOKUP($A193,Curves_Table,Escalation!$D$291),VLOOKUP($A193,Curves_Table,Escalation!$E$291))</f>
        <v>2.8392255377948965</v>
      </c>
      <c r="I193" s="384">
        <f t="shared" ca="1" si="26"/>
        <v>2590.5754892183095</v>
      </c>
      <c r="J193" s="692" t="str">
        <f t="shared" ca="1" si="20"/>
        <v xml:space="preserve"> </v>
      </c>
      <c r="L193" s="1510">
        <f ca="1">IF($A193&gt;Endyr,0,VLOOKUP($A193,Tariff_Table,Tariff!$J$33))</f>
        <v>0.19</v>
      </c>
      <c r="M193" s="1504">
        <f t="shared" ca="1" si="21"/>
        <v>3.6767408885071422</v>
      </c>
      <c r="N193" s="1511">
        <f t="shared" ca="1" si="27"/>
        <v>0.698580768816357</v>
      </c>
      <c r="O193" s="334">
        <f ca="1">'Plant Operations'!$I193+'Plant Operations'!$M193</f>
        <v>298980.864</v>
      </c>
      <c r="P193" s="1509">
        <f t="shared" ca="1" si="22"/>
        <v>208862.28183449869</v>
      </c>
      <c r="Q193" s="1480">
        <f t="shared" ca="1" si="28"/>
        <v>2.8392255377948965</v>
      </c>
      <c r="R193" s="335">
        <f t="shared" ca="1" si="29"/>
        <v>73563.117496017236</v>
      </c>
      <c r="S193" s="698" t="str">
        <f t="shared" ca="1" si="23"/>
        <v xml:space="preserve"> </v>
      </c>
    </row>
    <row r="194" spans="1:19">
      <c r="A194" s="672">
        <f ca="1">'Plant Operations'!A194</f>
        <v>41791</v>
      </c>
      <c r="C194" s="1484">
        <f ca="1">IF($A194&gt;Endyr,0,VLOOKUP($A194,Tariff_Table,Tariff!$D$33))</f>
        <v>4167.6561693340209</v>
      </c>
      <c r="D194" s="1480">
        <f ca="1">VLOOKUP($A194,Curves_Table,Escalation!$R$291)</f>
        <v>3.6767408885071422</v>
      </c>
      <c r="E194" s="1509">
        <f t="shared" ca="1" si="24"/>
        <v>15323.391847029441</v>
      </c>
      <c r="F194" s="330">
        <f ca="1">'Plant Operations'!C194</f>
        <v>480</v>
      </c>
      <c r="G194" s="1509">
        <f t="shared" ca="1" si="25"/>
        <v>7355.2280865741313</v>
      </c>
      <c r="H194" s="1504">
        <f ca="1">IF(Assm!$L$74=0,VLOOKUP($A194,Curves_Table,Escalation!$D$291),VLOOKUP($A194,Curves_Table,Escalation!$E$291))</f>
        <v>2.8439136541367671</v>
      </c>
      <c r="I194" s="384">
        <f t="shared" ca="1" si="26"/>
        <v>2586.3049941320087</v>
      </c>
      <c r="J194" s="692" t="str">
        <f t="shared" ca="1" si="20"/>
        <v xml:space="preserve"> </v>
      </c>
      <c r="L194" s="1510">
        <f ca="1">IF($A194&gt;Endyr,0,VLOOKUP($A194,Tariff_Table,Tariff!$J$33))</f>
        <v>0.19</v>
      </c>
      <c r="M194" s="1504">
        <f t="shared" ca="1" si="21"/>
        <v>3.6767408885071422</v>
      </c>
      <c r="N194" s="1511">
        <f t="shared" ca="1" si="27"/>
        <v>0.698580768816357</v>
      </c>
      <c r="O194" s="334">
        <f ca="1">'Plant Operations'!$I194+'Plant Operations'!$M194</f>
        <v>289336.32000000001</v>
      </c>
      <c r="P194" s="1509">
        <f t="shared" ca="1" si="22"/>
        <v>202124.78887209549</v>
      </c>
      <c r="Q194" s="1480">
        <f t="shared" ca="1" si="28"/>
        <v>2.8439136541367671</v>
      </c>
      <c r="R194" s="335">
        <f t="shared" ca="1" si="29"/>
        <v>71072.758688747126</v>
      </c>
      <c r="S194" s="698" t="str">
        <f t="shared" ca="1" si="23"/>
        <v xml:space="preserve"> </v>
      </c>
    </row>
    <row r="195" spans="1:19">
      <c r="A195" s="672">
        <f ca="1">'Plant Operations'!A195</f>
        <v>41821</v>
      </c>
      <c r="C195" s="1484">
        <f ca="1">IF($A195&gt;Endyr,0,VLOOKUP($A195,Tariff_Table,Tariff!$D$33))</f>
        <v>4167.6561693340209</v>
      </c>
      <c r="D195" s="1480">
        <f ca="1">VLOOKUP($A195,Curves_Table,Escalation!$R$291)</f>
        <v>3.6767408885071422</v>
      </c>
      <c r="E195" s="1509">
        <f t="shared" ca="1" si="24"/>
        <v>15323.391847029441</v>
      </c>
      <c r="F195" s="330">
        <f ca="1">'Plant Operations'!C195</f>
        <v>480</v>
      </c>
      <c r="G195" s="1509">
        <f t="shared" ca="1" si="25"/>
        <v>7355.2280865741313</v>
      </c>
      <c r="H195" s="1504">
        <f ca="1">IF(Assm!$L$74=0,VLOOKUP($A195,Curves_Table,Escalation!$D$291),VLOOKUP($A195,Curves_Table,Escalation!$E$291))</f>
        <v>2.8486095114750971</v>
      </c>
      <c r="I195" s="384">
        <f t="shared" ca="1" si="26"/>
        <v>2582.04153884376</v>
      </c>
      <c r="J195" s="692" t="str">
        <f t="shared" ca="1" si="20"/>
        <v xml:space="preserve"> </v>
      </c>
      <c r="L195" s="1510">
        <f ca="1">IF($A195&gt;Endyr,0,VLOOKUP($A195,Tariff_Table,Tariff!$J$33))</f>
        <v>0.19</v>
      </c>
      <c r="M195" s="1504">
        <f t="shared" ca="1" si="21"/>
        <v>3.6767408885071422</v>
      </c>
      <c r="N195" s="1511">
        <f t="shared" ca="1" si="27"/>
        <v>0.698580768816357</v>
      </c>
      <c r="O195" s="334">
        <f ca="1">'Plant Operations'!$I195+'Plant Operations'!$M195</f>
        <v>298980.864</v>
      </c>
      <c r="P195" s="1509">
        <f t="shared" ca="1" si="22"/>
        <v>208862.28183449869</v>
      </c>
      <c r="Q195" s="1480">
        <f t="shared" ca="1" si="28"/>
        <v>2.8486095114750971</v>
      </c>
      <c r="R195" s="335">
        <f t="shared" ca="1" si="29"/>
        <v>73320.78369925241</v>
      </c>
      <c r="S195" s="698" t="str">
        <f t="shared" ca="1" si="23"/>
        <v xml:space="preserve"> </v>
      </c>
    </row>
    <row r="196" spans="1:19">
      <c r="A196" s="672">
        <f ca="1">'Plant Operations'!A196</f>
        <v>41852</v>
      </c>
      <c r="C196" s="1484">
        <f ca="1">IF($A196&gt;Endyr,0,VLOOKUP($A196,Tariff_Table,Tariff!$D$33))</f>
        <v>4167.6561693340209</v>
      </c>
      <c r="D196" s="1480">
        <f ca="1">VLOOKUP($A196,Curves_Table,Escalation!$R$291)</f>
        <v>3.6767408885071422</v>
      </c>
      <c r="E196" s="1509">
        <f t="shared" ca="1" si="24"/>
        <v>15323.391847029441</v>
      </c>
      <c r="F196" s="330">
        <f ca="1">'Plant Operations'!C196</f>
        <v>480</v>
      </c>
      <c r="G196" s="1509">
        <f t="shared" ca="1" si="25"/>
        <v>7355.2280865741313</v>
      </c>
      <c r="H196" s="1504">
        <f ca="1">IF(Assm!$L$74=0,VLOOKUP($A196,Curves_Table,Escalation!$D$291),VLOOKUP($A196,Curves_Table,Escalation!$E$291))</f>
        <v>2.8533131225917847</v>
      </c>
      <c r="I196" s="384">
        <f t="shared" ca="1" si="26"/>
        <v>2577.7851117486425</v>
      </c>
      <c r="J196" s="692" t="str">
        <f t="shared" ca="1" si="20"/>
        <v xml:space="preserve"> </v>
      </c>
      <c r="L196" s="1510">
        <f ca="1">IF($A196&gt;Endyr,0,VLOOKUP($A196,Tariff_Table,Tariff!$J$33))</f>
        <v>0.19</v>
      </c>
      <c r="M196" s="1504">
        <f t="shared" ca="1" si="21"/>
        <v>3.6767408885071422</v>
      </c>
      <c r="N196" s="1511">
        <f t="shared" ca="1" si="27"/>
        <v>0.698580768816357</v>
      </c>
      <c r="O196" s="334">
        <f ca="1">'Plant Operations'!$I196+'Plant Operations'!$M196</f>
        <v>298980.864</v>
      </c>
      <c r="P196" s="1509">
        <f t="shared" ca="1" si="22"/>
        <v>208862.28183449869</v>
      </c>
      <c r="Q196" s="1480">
        <f t="shared" ca="1" si="28"/>
        <v>2.8533131225917847</v>
      </c>
      <c r="R196" s="335">
        <f t="shared" ca="1" si="29"/>
        <v>73199.91632911998</v>
      </c>
      <c r="S196" s="698" t="str">
        <f t="shared" ca="1" si="23"/>
        <v xml:space="preserve"> </v>
      </c>
    </row>
    <row r="197" spans="1:19">
      <c r="A197" s="672">
        <f ca="1">'Plant Operations'!A197</f>
        <v>41883</v>
      </c>
      <c r="C197" s="1484">
        <f ca="1">IF($A197&gt;Endyr,0,VLOOKUP($A197,Tariff_Table,Tariff!$D$33))</f>
        <v>4167.6561693340209</v>
      </c>
      <c r="D197" s="1480">
        <f ca="1">VLOOKUP($A197,Curves_Table,Escalation!$R$291)</f>
        <v>3.6767408885071422</v>
      </c>
      <c r="E197" s="1509">
        <f t="shared" ca="1" si="24"/>
        <v>15323.391847029441</v>
      </c>
      <c r="F197" s="330">
        <f ca="1">'Plant Operations'!C197</f>
        <v>480</v>
      </c>
      <c r="G197" s="1509">
        <f t="shared" ca="1" si="25"/>
        <v>7355.2280865741313</v>
      </c>
      <c r="H197" s="1504">
        <f ca="1">IF(Assm!$L$74=0,VLOOKUP($A197,Curves_Table,Escalation!$D$291),VLOOKUP($A197,Curves_Table,Escalation!$E$291))</f>
        <v>2.8580245002898335</v>
      </c>
      <c r="I197" s="384">
        <f t="shared" ca="1" si="26"/>
        <v>2573.5357012608656</v>
      </c>
      <c r="J197" s="692" t="str">
        <f t="shared" ca="1" si="20"/>
        <v xml:space="preserve"> </v>
      </c>
      <c r="L197" s="1510">
        <f ca="1">IF($A197&gt;Endyr,0,VLOOKUP($A197,Tariff_Table,Tariff!$J$33))</f>
        <v>0.19</v>
      </c>
      <c r="M197" s="1504">
        <f t="shared" ca="1" si="21"/>
        <v>3.6767408885071422</v>
      </c>
      <c r="N197" s="1511">
        <f t="shared" ca="1" si="27"/>
        <v>0.698580768816357</v>
      </c>
      <c r="O197" s="334">
        <f ca="1">'Plant Operations'!$I197+'Plant Operations'!$M197</f>
        <v>289336.32000000001</v>
      </c>
      <c r="P197" s="1509">
        <f t="shared" ca="1" si="22"/>
        <v>202124.78887209549</v>
      </c>
      <c r="Q197" s="1480">
        <f t="shared" ca="1" si="28"/>
        <v>2.8580245002898335</v>
      </c>
      <c r="R197" s="335">
        <f t="shared" ca="1" si="29"/>
        <v>70721.853102238252</v>
      </c>
      <c r="S197" s="698" t="str">
        <f t="shared" ca="1" si="23"/>
        <v xml:space="preserve"> </v>
      </c>
    </row>
    <row r="198" spans="1:19">
      <c r="A198" s="672">
        <f ca="1">'Plant Operations'!A198</f>
        <v>41913</v>
      </c>
      <c r="C198" s="1484">
        <f ca="1">IF($A198&gt;Endyr,0,VLOOKUP($A198,Tariff_Table,Tariff!$D$33))</f>
        <v>4167.6561693340209</v>
      </c>
      <c r="D198" s="1480">
        <f ca="1">VLOOKUP($A198,Curves_Table,Escalation!$R$291)</f>
        <v>3.6767408885071422</v>
      </c>
      <c r="E198" s="1509">
        <f t="shared" ca="1" si="24"/>
        <v>15323.391847029441</v>
      </c>
      <c r="F198" s="330">
        <f ca="1">'Plant Operations'!C198</f>
        <v>480</v>
      </c>
      <c r="G198" s="1509">
        <f t="shared" ca="1" si="25"/>
        <v>7355.2280865741313</v>
      </c>
      <c r="H198" s="1504">
        <f ca="1">IF(Assm!$L$74=0,VLOOKUP($A198,Curves_Table,Escalation!$D$291),VLOOKUP($A198,Curves_Table,Escalation!$E$291))</f>
        <v>2.8627436573933873</v>
      </c>
      <c r="I198" s="384">
        <f t="shared" ca="1" si="26"/>
        <v>2569.2932958137385</v>
      </c>
      <c r="J198" s="692" t="str">
        <f t="shared" ca="1" si="20"/>
        <v xml:space="preserve"> </v>
      </c>
      <c r="L198" s="1510">
        <f ca="1">IF($A198&gt;Endyr,0,VLOOKUP($A198,Tariff_Table,Tariff!$J$33))</f>
        <v>0.19</v>
      </c>
      <c r="M198" s="1504">
        <f t="shared" ca="1" si="21"/>
        <v>3.6767408885071422</v>
      </c>
      <c r="N198" s="1511">
        <f t="shared" ca="1" si="27"/>
        <v>0.698580768816357</v>
      </c>
      <c r="O198" s="334">
        <f ca="1">'Plant Operations'!$I198+'Plant Operations'!$M198</f>
        <v>298980.864</v>
      </c>
      <c r="P198" s="1509">
        <f t="shared" ca="1" si="22"/>
        <v>208862.28183449869</v>
      </c>
      <c r="Q198" s="1480">
        <f t="shared" ca="1" si="28"/>
        <v>2.8627436573933873</v>
      </c>
      <c r="R198" s="335">
        <f t="shared" ca="1" si="29"/>
        <v>72958.779000378243</v>
      </c>
      <c r="S198" s="698" t="str">
        <f t="shared" ca="1" si="23"/>
        <v xml:space="preserve"> </v>
      </c>
    </row>
    <row r="199" spans="1:19">
      <c r="A199" s="672">
        <f ca="1">'Plant Operations'!A199</f>
        <v>41944</v>
      </c>
      <c r="C199" s="1484">
        <f ca="1">IF($A199&gt;Endyr,0,VLOOKUP($A199,Tariff_Table,Tariff!$D$33))</f>
        <v>4167.6561693340209</v>
      </c>
      <c r="D199" s="1480">
        <f ca="1">VLOOKUP($A199,Curves_Table,Escalation!$R$291)</f>
        <v>3.6767408885071422</v>
      </c>
      <c r="E199" s="1509">
        <f t="shared" ca="1" si="24"/>
        <v>15323.391847029441</v>
      </c>
      <c r="F199" s="330">
        <f ca="1">'Plant Operations'!C199</f>
        <v>480</v>
      </c>
      <c r="G199" s="1509">
        <f t="shared" ca="1" si="25"/>
        <v>7355.2280865741313</v>
      </c>
      <c r="H199" s="1504">
        <f ca="1">IF(Assm!$L$74=0,VLOOKUP($A199,Curves_Table,Escalation!$D$291),VLOOKUP($A199,Curves_Table,Escalation!$E$291))</f>
        <v>2.8674706067477653</v>
      </c>
      <c r="I199" s="384">
        <f t="shared" ca="1" si="26"/>
        <v>2565.0578838596366</v>
      </c>
      <c r="J199" s="692" t="str">
        <f t="shared" ca="1" si="20"/>
        <v xml:space="preserve"> </v>
      </c>
      <c r="L199" s="1510">
        <f ca="1">IF($A199&gt;Endyr,0,VLOOKUP($A199,Tariff_Table,Tariff!$J$33))</f>
        <v>0.19</v>
      </c>
      <c r="M199" s="1504">
        <f t="shared" ca="1" si="21"/>
        <v>3.6767408885071422</v>
      </c>
      <c r="N199" s="1511">
        <f t="shared" ca="1" si="27"/>
        <v>0.698580768816357</v>
      </c>
      <c r="O199" s="334">
        <f ca="1">'Plant Operations'!$I199+'Plant Operations'!$M199</f>
        <v>289336.32000000001</v>
      </c>
      <c r="P199" s="1509">
        <f t="shared" ca="1" si="22"/>
        <v>202124.78887209549</v>
      </c>
      <c r="Q199" s="1480">
        <f t="shared" ca="1" si="28"/>
        <v>2.8674706067477653</v>
      </c>
      <c r="R199" s="335">
        <f t="shared" ca="1" si="29"/>
        <v>70488.879082649728</v>
      </c>
      <c r="S199" s="698" t="str">
        <f t="shared" ca="1" si="23"/>
        <v xml:space="preserve"> </v>
      </c>
    </row>
    <row r="200" spans="1:19">
      <c r="A200" s="672">
        <f ca="1">'Plant Operations'!A200</f>
        <v>41974</v>
      </c>
      <c r="C200" s="1484">
        <f ca="1">IF($A200&gt;Endyr,0,VLOOKUP($A200,Tariff_Table,Tariff!$D$33))</f>
        <v>4167.6561693340209</v>
      </c>
      <c r="D200" s="1480">
        <f ca="1">VLOOKUP($A200,Curves_Table,Escalation!$R$291)</f>
        <v>3.6767408885071422</v>
      </c>
      <c r="E200" s="1509">
        <f t="shared" ca="1" si="24"/>
        <v>15323.391847029441</v>
      </c>
      <c r="F200" s="330">
        <f ca="1">'Plant Operations'!C200</f>
        <v>480</v>
      </c>
      <c r="G200" s="1509">
        <f t="shared" ca="1" si="25"/>
        <v>7355.2280865741313</v>
      </c>
      <c r="H200" s="1504">
        <f ca="1">IF(Assm!$L$74=0,VLOOKUP($A200,Curves_Table,Escalation!$D$291),VLOOKUP($A200,Curves_Table,Escalation!$E$291))</f>
        <v>2.8722053612194949</v>
      </c>
      <c r="I200" s="384">
        <f t="shared" ca="1" si="26"/>
        <v>2560.8294538699743</v>
      </c>
      <c r="J200" s="692">
        <f t="shared" ca="1" si="20"/>
        <v>35842.839989118387</v>
      </c>
      <c r="L200" s="1510">
        <f ca="1">IF($A200&gt;Endyr,0,VLOOKUP($A200,Tariff_Table,Tariff!$J$33))</f>
        <v>0.19</v>
      </c>
      <c r="M200" s="1504">
        <f t="shared" ca="1" si="21"/>
        <v>3.6767408885071422</v>
      </c>
      <c r="N200" s="1511">
        <f t="shared" ca="1" si="27"/>
        <v>0.698580768816357</v>
      </c>
      <c r="O200" s="334">
        <f ca="1">'Plant Operations'!$I200+'Plant Operations'!$M200</f>
        <v>298980.864</v>
      </c>
      <c r="P200" s="1509">
        <f t="shared" ca="1" si="22"/>
        <v>208862.28183449869</v>
      </c>
      <c r="Q200" s="1480">
        <f t="shared" ca="1" si="28"/>
        <v>2.8722053612194949</v>
      </c>
      <c r="R200" s="335">
        <f t="shared" ca="1" si="29"/>
        <v>72718.436033354839</v>
      </c>
      <c r="S200" s="698">
        <f t="shared" ca="1" si="23"/>
        <v>845276.19801994041</v>
      </c>
    </row>
    <row r="201" spans="1:19">
      <c r="A201" s="672">
        <f ca="1">'Plant Operations'!A201</f>
        <v>42005</v>
      </c>
      <c r="C201" s="1484">
        <f ca="1">IF($A201&gt;Endyr,0,VLOOKUP($A201,Tariff_Table,Tariff!$D$33))</f>
        <v>4167.6561693340209</v>
      </c>
      <c r="D201" s="1480">
        <f ca="1">VLOOKUP($A201,Curves_Table,Escalation!$R$291)</f>
        <v>3.6767408885071422</v>
      </c>
      <c r="E201" s="1509">
        <f t="shared" ca="1" si="24"/>
        <v>15323.391847029441</v>
      </c>
      <c r="F201" s="330">
        <f ca="1">'Plant Operations'!C201</f>
        <v>480</v>
      </c>
      <c r="G201" s="1509">
        <f t="shared" ca="1" si="25"/>
        <v>7355.2280865741313</v>
      </c>
      <c r="H201" s="1504">
        <f ca="1">IF(Assm!$L$74=0,VLOOKUP($A201,Curves_Table,Escalation!$D$291),VLOOKUP($A201,Curves_Table,Escalation!$E$291))</f>
        <v>2.8769423701861823</v>
      </c>
      <c r="I201" s="384">
        <f t="shared" ca="1" si="26"/>
        <v>2556.6129383739221</v>
      </c>
      <c r="J201" s="692" t="str">
        <f t="shared" ca="1" si="20"/>
        <v xml:space="preserve"> </v>
      </c>
      <c r="L201" s="1510">
        <f ca="1">IF($A201&gt;Endyr,0,VLOOKUP($A201,Tariff_Table,Tariff!$J$33))</f>
        <v>0.19</v>
      </c>
      <c r="M201" s="1504">
        <f t="shared" ca="1" si="21"/>
        <v>3.6767408885071422</v>
      </c>
      <c r="N201" s="1511">
        <f t="shared" ca="1" si="27"/>
        <v>0.698580768816357</v>
      </c>
      <c r="O201" s="334">
        <f ca="1">'Plant Operations'!$I201+'Plant Operations'!$M201</f>
        <v>298980.864</v>
      </c>
      <c r="P201" s="1509">
        <f t="shared" ca="1" si="22"/>
        <v>208862.28183449869</v>
      </c>
      <c r="Q201" s="1480">
        <f t="shared" ca="1" si="28"/>
        <v>2.8769423701861823</v>
      </c>
      <c r="R201" s="335">
        <f t="shared" ca="1" si="29"/>
        <v>72598.702010489738</v>
      </c>
      <c r="S201" s="698" t="str">
        <f t="shared" ca="1" si="23"/>
        <v xml:space="preserve"> </v>
      </c>
    </row>
    <row r="202" spans="1:19">
      <c r="A202" s="672">
        <f ca="1">'Plant Operations'!A202</f>
        <v>42036</v>
      </c>
      <c r="C202" s="1484">
        <f ca="1">IF($A202&gt;Endyr,0,VLOOKUP($A202,Tariff_Table,Tariff!$D$33))</f>
        <v>4167.6561693340209</v>
      </c>
      <c r="D202" s="1480">
        <f ca="1">VLOOKUP($A202,Curves_Table,Escalation!$R$291)</f>
        <v>3.6767408885071422</v>
      </c>
      <c r="E202" s="1509">
        <f t="shared" ca="1" si="24"/>
        <v>15323.391847029441</v>
      </c>
      <c r="F202" s="330">
        <f ca="1">'Plant Operations'!C202</f>
        <v>480</v>
      </c>
      <c r="G202" s="1509">
        <f t="shared" ca="1" si="25"/>
        <v>7355.2280865741313</v>
      </c>
      <c r="H202" s="1504">
        <f ca="1">IF(Assm!$L$74=0,VLOOKUP($A202,Curves_Table,Escalation!$D$291),VLOOKUP($A202,Curves_Table,Escalation!$E$291))</f>
        <v>2.8816871917049434</v>
      </c>
      <c r="I202" s="384">
        <f t="shared" ca="1" si="26"/>
        <v>2552.4033655514249</v>
      </c>
      <c r="J202" s="692" t="str">
        <f t="shared" ca="1" si="20"/>
        <v xml:space="preserve"> </v>
      </c>
      <c r="L202" s="1510">
        <f ca="1">IF($A202&gt;Endyr,0,VLOOKUP($A202,Tariff_Table,Tariff!$J$33))</f>
        <v>0.19</v>
      </c>
      <c r="M202" s="1504">
        <f t="shared" ca="1" si="21"/>
        <v>3.6767408885071422</v>
      </c>
      <c r="N202" s="1511">
        <f t="shared" ca="1" si="27"/>
        <v>0.698580768816357</v>
      </c>
      <c r="O202" s="334">
        <f ca="1">'Plant Operations'!$I202+'Plant Operations'!$M202</f>
        <v>270047.23200000002</v>
      </c>
      <c r="P202" s="1509">
        <f t="shared" ca="1" si="22"/>
        <v>188649.80294728914</v>
      </c>
      <c r="Q202" s="1480">
        <f t="shared" ca="1" si="28"/>
        <v>2.8816871917049434</v>
      </c>
      <c r="R202" s="335">
        <f t="shared" ca="1" si="29"/>
        <v>65465.052379843815</v>
      </c>
      <c r="S202" s="698" t="str">
        <f t="shared" ca="1" si="23"/>
        <v xml:space="preserve"> </v>
      </c>
    </row>
    <row r="203" spans="1:19">
      <c r="A203" s="672">
        <f ca="1">'Plant Operations'!A203</f>
        <v>42064</v>
      </c>
      <c r="C203" s="1484">
        <f ca="1">IF($A203&gt;Endyr,0,VLOOKUP($A203,Tariff_Table,Tariff!$D$33))</f>
        <v>4167.6561693340209</v>
      </c>
      <c r="D203" s="1480">
        <f ca="1">VLOOKUP($A203,Curves_Table,Escalation!$R$291)</f>
        <v>3.6767408885071422</v>
      </c>
      <c r="E203" s="1509">
        <f t="shared" ca="1" si="24"/>
        <v>15323.391847029441</v>
      </c>
      <c r="F203" s="330">
        <f ca="1">'Plant Operations'!C203</f>
        <v>480</v>
      </c>
      <c r="G203" s="1509">
        <f t="shared" ca="1" si="25"/>
        <v>7355.2280865741313</v>
      </c>
      <c r="H203" s="1504">
        <f ca="1">IF(Assm!$L$74=0,VLOOKUP($A203,Curves_Table,Escalation!$D$291),VLOOKUP($A203,Curves_Table,Escalation!$E$291))</f>
        <v>2.8864398386606953</v>
      </c>
      <c r="I203" s="384">
        <f t="shared" ca="1" si="26"/>
        <v>2548.2007239710733</v>
      </c>
      <c r="J203" s="692" t="str">
        <f t="shared" ca="1" si="20"/>
        <v xml:space="preserve"> </v>
      </c>
      <c r="L203" s="1510">
        <f ca="1">IF($A203&gt;Endyr,0,VLOOKUP($A203,Tariff_Table,Tariff!$J$33))</f>
        <v>0.19</v>
      </c>
      <c r="M203" s="1504">
        <f t="shared" ca="1" si="21"/>
        <v>3.6767408885071422</v>
      </c>
      <c r="N203" s="1511">
        <f t="shared" ca="1" si="27"/>
        <v>0.698580768816357</v>
      </c>
      <c r="O203" s="334">
        <f ca="1">'Plant Operations'!$I203+'Plant Operations'!$M203</f>
        <v>298980.864</v>
      </c>
      <c r="P203" s="1509">
        <f t="shared" ca="1" si="22"/>
        <v>208862.28183449869</v>
      </c>
      <c r="Q203" s="1480">
        <f t="shared" ca="1" si="28"/>
        <v>2.8864398386606953</v>
      </c>
      <c r="R203" s="335">
        <f t="shared" ca="1" si="29"/>
        <v>72359.825081755567</v>
      </c>
      <c r="S203" s="698" t="str">
        <f t="shared" ca="1" si="23"/>
        <v xml:space="preserve"> </v>
      </c>
    </row>
    <row r="204" spans="1:19">
      <c r="A204" s="672">
        <f ca="1">'Plant Operations'!A204</f>
        <v>42095</v>
      </c>
      <c r="C204" s="1484">
        <f ca="1">IF($A204&gt;Endyr,0,VLOOKUP($A204,Tariff_Table,Tariff!$D$33))</f>
        <v>4167.6561693340209</v>
      </c>
      <c r="D204" s="1480">
        <f ca="1">VLOOKUP($A204,Curves_Table,Escalation!$R$291)</f>
        <v>3.6767408885071422</v>
      </c>
      <c r="E204" s="1509">
        <f t="shared" ca="1" si="24"/>
        <v>15323.391847029441</v>
      </c>
      <c r="F204" s="330">
        <f ca="1">'Plant Operations'!C204</f>
        <v>480</v>
      </c>
      <c r="G204" s="1509">
        <f t="shared" ca="1" si="25"/>
        <v>7355.2280865741313</v>
      </c>
      <c r="H204" s="1504">
        <f ca="1">IF(Assm!$L$74=0,VLOOKUP($A204,Curves_Table,Escalation!$D$291),VLOOKUP($A204,Curves_Table,Escalation!$E$291))</f>
        <v>2.8912003239596067</v>
      </c>
      <c r="I204" s="384">
        <f t="shared" ca="1" si="26"/>
        <v>2544.005002220279</v>
      </c>
      <c r="J204" s="692" t="str">
        <f t="shared" ref="J204:J266" ca="1" si="30">IF(MONTH($A204)=12,SUM(I193:I204)," ")</f>
        <v xml:space="preserve"> </v>
      </c>
      <c r="L204" s="1510">
        <f ca="1">IF($A204&gt;Endyr,0,VLOOKUP($A204,Tariff_Table,Tariff!$J$33))</f>
        <v>0.19</v>
      </c>
      <c r="M204" s="1504">
        <f t="shared" ref="M204:M266" ca="1" si="31">D204</f>
        <v>3.6767408885071422</v>
      </c>
      <c r="N204" s="1511">
        <f t="shared" ca="1" si="27"/>
        <v>0.698580768816357</v>
      </c>
      <c r="O204" s="334">
        <f ca="1">'Plant Operations'!$I204+'Plant Operations'!$M204</f>
        <v>289336.32000000001</v>
      </c>
      <c r="P204" s="1509">
        <f t="shared" ref="P204:P266" ca="1" si="32">N204*O204</f>
        <v>202124.78887209549</v>
      </c>
      <c r="Q204" s="1480">
        <f t="shared" ca="1" si="28"/>
        <v>2.8912003239596067</v>
      </c>
      <c r="R204" s="335">
        <f t="shared" ca="1" si="29"/>
        <v>69910.33696180486</v>
      </c>
      <c r="S204" s="698" t="str">
        <f t="shared" ref="S204:S266" ca="1" si="33">IF(MONTH($A204)=12,SUM(R193:R204)," ")</f>
        <v xml:space="preserve"> </v>
      </c>
    </row>
    <row r="205" spans="1:19">
      <c r="A205" s="672">
        <f ca="1">'Plant Operations'!A205</f>
        <v>42125</v>
      </c>
      <c r="C205" s="1484">
        <f ca="1">IF($A205&gt;Endyr,0,VLOOKUP($A205,Tariff_Table,Tariff!$D$33))</f>
        <v>2290.3249630723781</v>
      </c>
      <c r="D205" s="1480">
        <f ca="1">VLOOKUP($A205,Curves_Table,Escalation!$R$291)</f>
        <v>3.9328867884073979</v>
      </c>
      <c r="E205" s="1509">
        <f t="shared" ref="E205:E266" ca="1" si="34">C205*D205</f>
        <v>9007.5887884270178</v>
      </c>
      <c r="F205" s="330">
        <f ca="1">'Plant Operations'!C205</f>
        <v>480</v>
      </c>
      <c r="G205" s="1509">
        <f t="shared" ref="G205:G266" ca="1" si="35">E205*F205/1000</f>
        <v>4323.6426184449692</v>
      </c>
      <c r="H205" s="1504">
        <f ca="1">IF(Assm!$L$74=0,VLOOKUP($A205,Curves_Table,Escalation!$D$291),VLOOKUP($A205,Curves_Table,Escalation!$E$291))</f>
        <v>2.8959686605291308</v>
      </c>
      <c r="I205" s="384">
        <f t="shared" ref="I205:I266" ca="1" si="36">G205/H205</f>
        <v>1492.9866739838903</v>
      </c>
      <c r="J205" s="692" t="str">
        <f t="shared" ca="1" si="30"/>
        <v xml:space="preserve"> </v>
      </c>
      <c r="L205" s="1510">
        <f ca="1">IF($A205&gt;Endyr,0,VLOOKUP($A205,Tariff_Table,Tariff!$J$33))</f>
        <v>0.19</v>
      </c>
      <c r="M205" s="1504">
        <f t="shared" ca="1" si="31"/>
        <v>3.9328867884073979</v>
      </c>
      <c r="N205" s="1511">
        <f t="shared" ref="N205:N266" ca="1" si="37">L205*M205</f>
        <v>0.74724848979740566</v>
      </c>
      <c r="O205" s="334">
        <f ca="1">'Plant Operations'!$I205+'Plant Operations'!$M205</f>
        <v>298980.864</v>
      </c>
      <c r="P205" s="1509">
        <f t="shared" ca="1" si="32"/>
        <v>223412.99910232352</v>
      </c>
      <c r="Q205" s="1480">
        <f t="shared" ref="Q205:Q266" ca="1" si="38">$H205</f>
        <v>2.8959686605291308</v>
      </c>
      <c r="R205" s="335">
        <f t="shared" ref="R205:R266" ca="1" si="39">P205/Q205</f>
        <v>77146.207466728272</v>
      </c>
      <c r="S205" s="698" t="str">
        <f t="shared" ca="1" si="33"/>
        <v xml:space="preserve"> </v>
      </c>
    </row>
    <row r="206" spans="1:19">
      <c r="A206" s="672">
        <f ca="1">'Plant Operations'!A206</f>
        <v>42156</v>
      </c>
      <c r="C206" s="1484">
        <f ca="1">IF($A206&gt;Endyr,0,VLOOKUP($A206,Tariff_Table,Tariff!$D$33))</f>
        <v>2290.3249630723781</v>
      </c>
      <c r="D206" s="1480">
        <f ca="1">VLOOKUP($A206,Curves_Table,Escalation!$R$291)</f>
        <v>3.9328867884073979</v>
      </c>
      <c r="E206" s="1509">
        <f t="shared" ca="1" si="34"/>
        <v>9007.5887884270178</v>
      </c>
      <c r="F206" s="330">
        <f ca="1">'Plant Operations'!C206</f>
        <v>480</v>
      </c>
      <c r="G206" s="1509">
        <f t="shared" ca="1" si="35"/>
        <v>4323.6426184449692</v>
      </c>
      <c r="H206" s="1504">
        <f ca="1">IF(Assm!$L$74=0,VLOOKUP($A206,Curves_Table,Escalation!$D$291),VLOOKUP($A206,Curves_Table,Escalation!$E$291))</f>
        <v>2.9007448613180422</v>
      </c>
      <c r="I206" s="384">
        <f t="shared" ca="1" si="36"/>
        <v>1490.5284074106366</v>
      </c>
      <c r="J206" s="692" t="str">
        <f t="shared" ca="1" si="30"/>
        <v xml:space="preserve"> </v>
      </c>
      <c r="L206" s="1510">
        <f ca="1">IF($A206&gt;Endyr,0,VLOOKUP($A206,Tariff_Table,Tariff!$J$33))</f>
        <v>0.19</v>
      </c>
      <c r="M206" s="1504">
        <f t="shared" ca="1" si="31"/>
        <v>3.9328867884073979</v>
      </c>
      <c r="N206" s="1511">
        <f t="shared" ca="1" si="37"/>
        <v>0.74724848979740566</v>
      </c>
      <c r="O206" s="334">
        <f ca="1">'Plant Operations'!$I206+'Plant Operations'!$M206</f>
        <v>289336.32000000001</v>
      </c>
      <c r="P206" s="1509">
        <f t="shared" ca="1" si="32"/>
        <v>216206.1281635389</v>
      </c>
      <c r="Q206" s="1480">
        <f t="shared" ca="1" si="38"/>
        <v>2.9007448613180422</v>
      </c>
      <c r="R206" s="335">
        <f t="shared" ca="1" si="39"/>
        <v>74534.693156467067</v>
      </c>
      <c r="S206" s="698" t="str">
        <f t="shared" ca="1" si="33"/>
        <v xml:space="preserve"> </v>
      </c>
    </row>
    <row r="207" spans="1:19">
      <c r="A207" s="672">
        <f ca="1">'Plant Operations'!A207</f>
        <v>42186</v>
      </c>
      <c r="C207" s="1484">
        <f ca="1">IF($A207&gt;Endyr,0,VLOOKUP($A207,Tariff_Table,Tariff!$D$33))</f>
        <v>2290.3249630723781</v>
      </c>
      <c r="D207" s="1480">
        <f ca="1">VLOOKUP($A207,Curves_Table,Escalation!$R$291)</f>
        <v>3.9328867884073979</v>
      </c>
      <c r="E207" s="1509">
        <f t="shared" ca="1" si="34"/>
        <v>9007.5887884270178</v>
      </c>
      <c r="F207" s="330">
        <f ca="1">'Plant Operations'!C207</f>
        <v>480</v>
      </c>
      <c r="G207" s="1509">
        <f t="shared" ca="1" si="35"/>
        <v>4323.6426184449692</v>
      </c>
      <c r="H207" s="1504">
        <f ca="1">IF(Assm!$L$74=0,VLOOKUP($A207,Curves_Table,Escalation!$D$291),VLOOKUP($A207,Curves_Table,Escalation!$E$291))</f>
        <v>2.9055289392964712</v>
      </c>
      <c r="I207" s="384">
        <f t="shared" ca="1" si="36"/>
        <v>1488.0741884786983</v>
      </c>
      <c r="J207" s="692" t="str">
        <f t="shared" ca="1" si="30"/>
        <v xml:space="preserve"> </v>
      </c>
      <c r="L207" s="1510">
        <f ca="1">IF($A207&gt;Endyr,0,VLOOKUP($A207,Tariff_Table,Tariff!$J$33))</f>
        <v>0.19</v>
      </c>
      <c r="M207" s="1504">
        <f t="shared" ca="1" si="31"/>
        <v>3.9328867884073979</v>
      </c>
      <c r="N207" s="1511">
        <f t="shared" ca="1" si="37"/>
        <v>0.74724848979740566</v>
      </c>
      <c r="O207" s="334">
        <f ca="1">'Plant Operations'!$I207+'Plant Operations'!$M207</f>
        <v>298980.864</v>
      </c>
      <c r="P207" s="1509">
        <f t="shared" ca="1" si="32"/>
        <v>223412.99910232352</v>
      </c>
      <c r="Q207" s="1480">
        <f t="shared" ca="1" si="38"/>
        <v>2.9055289392964712</v>
      </c>
      <c r="R207" s="335">
        <f t="shared" ca="1" si="39"/>
        <v>76892.367541319181</v>
      </c>
      <c r="S207" s="698" t="str">
        <f t="shared" ca="1" si="33"/>
        <v xml:space="preserve"> </v>
      </c>
    </row>
    <row r="208" spans="1:19">
      <c r="A208" s="672">
        <f ca="1">'Plant Operations'!A208</f>
        <v>42217</v>
      </c>
      <c r="C208" s="1484">
        <f ca="1">IF($A208&gt;Endyr,0,VLOOKUP($A208,Tariff_Table,Tariff!$D$33))</f>
        <v>2290.3249630723781</v>
      </c>
      <c r="D208" s="1480">
        <f ca="1">VLOOKUP($A208,Curves_Table,Escalation!$R$291)</f>
        <v>3.9328867884073979</v>
      </c>
      <c r="E208" s="1509">
        <f t="shared" ca="1" si="34"/>
        <v>9007.5887884270178</v>
      </c>
      <c r="F208" s="330">
        <f ca="1">'Plant Operations'!C208</f>
        <v>480</v>
      </c>
      <c r="G208" s="1509">
        <f t="shared" ca="1" si="35"/>
        <v>4323.6426184449692</v>
      </c>
      <c r="H208" s="1504">
        <f ca="1">IF(Assm!$L$74=0,VLOOKUP($A208,Curves_Table,Escalation!$D$291),VLOOKUP($A208,Curves_Table,Escalation!$E$291))</f>
        <v>2.9103209074559393</v>
      </c>
      <c r="I208" s="384">
        <f t="shared" ca="1" si="36"/>
        <v>1485.6240105234604</v>
      </c>
      <c r="J208" s="692" t="str">
        <f t="shared" ca="1" si="30"/>
        <v xml:space="preserve"> </v>
      </c>
      <c r="L208" s="1510">
        <f ca="1">IF($A208&gt;Endyr,0,VLOOKUP($A208,Tariff_Table,Tariff!$J$33))</f>
        <v>0.19</v>
      </c>
      <c r="M208" s="1504">
        <f t="shared" ca="1" si="31"/>
        <v>3.9328867884073979</v>
      </c>
      <c r="N208" s="1511">
        <f t="shared" ca="1" si="37"/>
        <v>0.74724848979740566</v>
      </c>
      <c r="O208" s="334">
        <f ca="1">'Plant Operations'!$I208+'Plant Operations'!$M208</f>
        <v>298980.864</v>
      </c>
      <c r="P208" s="1509">
        <f t="shared" ca="1" si="32"/>
        <v>223412.99910232352</v>
      </c>
      <c r="Q208" s="1480">
        <f t="shared" ca="1" si="38"/>
        <v>2.9103209074559393</v>
      </c>
      <c r="R208" s="335">
        <f t="shared" ca="1" si="39"/>
        <v>76765.760961261243</v>
      </c>
      <c r="S208" s="698" t="str">
        <f t="shared" ca="1" si="33"/>
        <v xml:space="preserve"> </v>
      </c>
    </row>
    <row r="209" spans="1:19">
      <c r="A209" s="672">
        <f ca="1">'Plant Operations'!A209</f>
        <v>42248</v>
      </c>
      <c r="C209" s="1484">
        <f ca="1">IF($A209&gt;Endyr,0,VLOOKUP($A209,Tariff_Table,Tariff!$D$33))</f>
        <v>2290.3249630723781</v>
      </c>
      <c r="D209" s="1480">
        <f ca="1">VLOOKUP($A209,Curves_Table,Escalation!$R$291)</f>
        <v>3.9328867884073979</v>
      </c>
      <c r="E209" s="1509">
        <f t="shared" ca="1" si="34"/>
        <v>9007.5887884270178</v>
      </c>
      <c r="F209" s="330">
        <f ca="1">'Plant Operations'!C209</f>
        <v>480</v>
      </c>
      <c r="G209" s="1509">
        <f t="shared" ca="1" si="35"/>
        <v>4323.6426184449692</v>
      </c>
      <c r="H209" s="1504">
        <f ca="1">IF(Assm!$L$74=0,VLOOKUP($A209,Curves_Table,Escalation!$D$291),VLOOKUP($A209,Curves_Table,Escalation!$E$291))</f>
        <v>2.9151207788093942</v>
      </c>
      <c r="I209" s="384">
        <f t="shared" ca="1" si="36"/>
        <v>1483.1778668912816</v>
      </c>
      <c r="J209" s="692" t="str">
        <f t="shared" ca="1" si="30"/>
        <v xml:space="preserve"> </v>
      </c>
      <c r="L209" s="1510">
        <f ca="1">IF($A209&gt;Endyr,0,VLOOKUP($A209,Tariff_Table,Tariff!$J$33))</f>
        <v>0.19</v>
      </c>
      <c r="M209" s="1504">
        <f t="shared" ca="1" si="31"/>
        <v>3.9328867884073979</v>
      </c>
      <c r="N209" s="1511">
        <f t="shared" ca="1" si="37"/>
        <v>0.74724848979740566</v>
      </c>
      <c r="O209" s="334">
        <f ca="1">'Plant Operations'!$I209+'Plant Operations'!$M209</f>
        <v>289336.32000000001</v>
      </c>
      <c r="P209" s="1509">
        <f t="shared" ca="1" si="32"/>
        <v>216206.1281635389</v>
      </c>
      <c r="Q209" s="1480">
        <f t="shared" ca="1" si="38"/>
        <v>2.9151207788093942</v>
      </c>
      <c r="R209" s="335">
        <f t="shared" ca="1" si="39"/>
        <v>74167.125333257281</v>
      </c>
      <c r="S209" s="698" t="str">
        <f t="shared" ca="1" si="33"/>
        <v xml:space="preserve"> </v>
      </c>
    </row>
    <row r="210" spans="1:19">
      <c r="A210" s="672">
        <f ca="1">'Plant Operations'!A210</f>
        <v>42278</v>
      </c>
      <c r="C210" s="1484">
        <f ca="1">IF($A210&gt;Endyr,0,VLOOKUP($A210,Tariff_Table,Tariff!$D$33))</f>
        <v>2290.3249630723781</v>
      </c>
      <c r="D210" s="1480">
        <f ca="1">VLOOKUP($A210,Curves_Table,Escalation!$R$291)</f>
        <v>3.9328867884073979</v>
      </c>
      <c r="E210" s="1509">
        <f t="shared" ca="1" si="34"/>
        <v>9007.5887884270178</v>
      </c>
      <c r="F210" s="330">
        <f ca="1">'Plant Operations'!C210</f>
        <v>480</v>
      </c>
      <c r="G210" s="1509">
        <f t="shared" ca="1" si="35"/>
        <v>4323.6426184449692</v>
      </c>
      <c r="H210" s="1504">
        <f ca="1">IF(Assm!$L$74=0,VLOOKUP($A210,Curves_Table,Escalation!$D$291),VLOOKUP($A210,Curves_Table,Escalation!$E$291))</f>
        <v>2.9199285663912451</v>
      </c>
      <c r="I210" s="384">
        <f t="shared" ca="1" si="36"/>
        <v>1480.7357509394765</v>
      </c>
      <c r="J210" s="692" t="str">
        <f t="shared" ca="1" si="30"/>
        <v xml:space="preserve"> </v>
      </c>
      <c r="L210" s="1510">
        <f ca="1">IF($A210&gt;Endyr,0,VLOOKUP($A210,Tariff_Table,Tariff!$J$33))</f>
        <v>0.19</v>
      </c>
      <c r="M210" s="1504">
        <f t="shared" ca="1" si="31"/>
        <v>3.9328867884073979</v>
      </c>
      <c r="N210" s="1511">
        <f t="shared" ca="1" si="37"/>
        <v>0.74724848979740566</v>
      </c>
      <c r="O210" s="334">
        <f ca="1">'Plant Operations'!$I210+'Plant Operations'!$M210</f>
        <v>298980.864</v>
      </c>
      <c r="P210" s="1509">
        <f t="shared" ca="1" si="32"/>
        <v>223412.99910232352</v>
      </c>
      <c r="Q210" s="1480">
        <f t="shared" ca="1" si="38"/>
        <v>2.9199285663912451</v>
      </c>
      <c r="R210" s="335">
        <f t="shared" ca="1" si="39"/>
        <v>76513.172847389491</v>
      </c>
      <c r="S210" s="698" t="str">
        <f t="shared" ca="1" si="33"/>
        <v xml:space="preserve"> </v>
      </c>
    </row>
    <row r="211" spans="1:19">
      <c r="A211" s="672">
        <f ca="1">'Plant Operations'!A211</f>
        <v>42309</v>
      </c>
      <c r="C211" s="1484">
        <f ca="1">IF($A211&gt;Endyr,0,VLOOKUP($A211,Tariff_Table,Tariff!$D$33))</f>
        <v>2290.3249630723781</v>
      </c>
      <c r="D211" s="1480">
        <f ca="1">VLOOKUP($A211,Curves_Table,Escalation!$R$291)</f>
        <v>3.9328867884073979</v>
      </c>
      <c r="E211" s="1509">
        <f t="shared" ca="1" si="34"/>
        <v>9007.5887884270178</v>
      </c>
      <c r="F211" s="330">
        <f ca="1">'Plant Operations'!C211</f>
        <v>480</v>
      </c>
      <c r="G211" s="1509">
        <f t="shared" ca="1" si="35"/>
        <v>4323.6426184449692</v>
      </c>
      <c r="H211" s="1504">
        <f ca="1">IF(Assm!$L$74=0,VLOOKUP($A211,Curves_Table,Escalation!$D$291),VLOOKUP($A211,Curves_Table,Escalation!$E$291))</f>
        <v>2.9247442832573989</v>
      </c>
      <c r="I211" s="384">
        <f t="shared" ca="1" si="36"/>
        <v>1478.2976560362961</v>
      </c>
      <c r="J211" s="692" t="str">
        <f t="shared" ca="1" si="30"/>
        <v xml:space="preserve"> </v>
      </c>
      <c r="L211" s="1510">
        <f ca="1">IF($A211&gt;Endyr,0,VLOOKUP($A211,Tariff_Table,Tariff!$J$33))</f>
        <v>0.19</v>
      </c>
      <c r="M211" s="1504">
        <f t="shared" ca="1" si="31"/>
        <v>3.9328867884073979</v>
      </c>
      <c r="N211" s="1511">
        <f t="shared" ca="1" si="37"/>
        <v>0.74724848979740566</v>
      </c>
      <c r="O211" s="334">
        <f ca="1">'Plant Operations'!$I211+'Plant Operations'!$M211</f>
        <v>289336.32000000001</v>
      </c>
      <c r="P211" s="1509">
        <f t="shared" ca="1" si="32"/>
        <v>216206.1281635389</v>
      </c>
      <c r="Q211" s="1480">
        <f t="shared" ca="1" si="38"/>
        <v>2.9247442832573989</v>
      </c>
      <c r="R211" s="335">
        <f t="shared" ca="1" si="39"/>
        <v>73923.087704181075</v>
      </c>
      <c r="S211" s="698" t="str">
        <f t="shared" ca="1" si="33"/>
        <v xml:space="preserve"> </v>
      </c>
    </row>
    <row r="212" spans="1:19">
      <c r="A212" s="672">
        <f ca="1">'Plant Operations'!A212</f>
        <v>42339</v>
      </c>
      <c r="C212" s="1484">
        <f ca="1">IF($A212&gt;Endyr,0,VLOOKUP($A212,Tariff_Table,Tariff!$D$33))</f>
        <v>2290.3249630723781</v>
      </c>
      <c r="D212" s="1480">
        <f ca="1">VLOOKUP($A212,Curves_Table,Escalation!$R$291)</f>
        <v>3.9328867884073979</v>
      </c>
      <c r="E212" s="1509">
        <f t="shared" ca="1" si="34"/>
        <v>9007.5887884270178</v>
      </c>
      <c r="F212" s="330">
        <f ca="1">'Plant Operations'!C212</f>
        <v>480</v>
      </c>
      <c r="G212" s="1509">
        <f t="shared" ca="1" si="35"/>
        <v>4323.6426184449692</v>
      </c>
      <c r="H212" s="1504">
        <f ca="1">IF(Assm!$L$74=0,VLOOKUP($A212,Curves_Table,Escalation!$D$291),VLOOKUP($A212,Curves_Table,Escalation!$E$291))</f>
        <v>2.9295679424852956</v>
      </c>
      <c r="I212" s="384">
        <f t="shared" ca="1" si="36"/>
        <v>1475.8635755609109</v>
      </c>
      <c r="J212" s="692">
        <f t="shared" ca="1" si="30"/>
        <v>22076.51015994135</v>
      </c>
      <c r="L212" s="1510">
        <f ca="1">IF($A212&gt;Endyr,0,VLOOKUP($A212,Tariff_Table,Tariff!$J$33))</f>
        <v>0.19</v>
      </c>
      <c r="M212" s="1504">
        <f t="shared" ca="1" si="31"/>
        <v>3.9328867884073979</v>
      </c>
      <c r="N212" s="1511">
        <f t="shared" ca="1" si="37"/>
        <v>0.74724848979740566</v>
      </c>
      <c r="O212" s="334">
        <f ca="1">'Plant Operations'!$I212+'Plant Operations'!$M212</f>
        <v>298980.864</v>
      </c>
      <c r="P212" s="1509">
        <f t="shared" ca="1" si="32"/>
        <v>223412.99910232352</v>
      </c>
      <c r="Q212" s="1480">
        <f t="shared" ca="1" si="38"/>
        <v>2.9295679424852956</v>
      </c>
      <c r="R212" s="335">
        <f t="shared" ca="1" si="39"/>
        <v>76261.415843044539</v>
      </c>
      <c r="S212" s="698">
        <f t="shared" ca="1" si="33"/>
        <v>886537.74728754209</v>
      </c>
    </row>
    <row r="213" spans="1:19">
      <c r="A213" s="672">
        <f ca="1">'Plant Operations'!A213</f>
        <v>42370</v>
      </c>
      <c r="C213" s="1484">
        <f ca="1">IF($A213&gt;Endyr,0,VLOOKUP($A213,Tariff_Table,Tariff!$D$33))</f>
        <v>2290.3249630723781</v>
      </c>
      <c r="D213" s="1480">
        <f ca="1">VLOOKUP($A213,Curves_Table,Escalation!$R$291)</f>
        <v>3.9328867884073979</v>
      </c>
      <c r="E213" s="1509">
        <f t="shared" ca="1" si="34"/>
        <v>9007.5887884270178</v>
      </c>
      <c r="F213" s="330">
        <f ca="1">'Plant Operations'!C213</f>
        <v>480</v>
      </c>
      <c r="G213" s="1509">
        <f t="shared" ca="1" si="35"/>
        <v>4323.6426184449692</v>
      </c>
      <c r="H213" s="1504">
        <f ca="1">IF(Assm!$L$74=0,VLOOKUP($A213,Curves_Table,Escalation!$D$291),VLOOKUP($A213,Curves_Table,Escalation!$E$291))</f>
        <v>2.9344084151188023</v>
      </c>
      <c r="I213" s="384">
        <f t="shared" ca="1" si="36"/>
        <v>1473.4290551269164</v>
      </c>
      <c r="J213" s="692" t="str">
        <f t="shared" ca="1" si="30"/>
        <v xml:space="preserve"> </v>
      </c>
      <c r="L213" s="1510">
        <f ca="1">IF($A213&gt;Endyr,0,VLOOKUP($A213,Tariff_Table,Tariff!$J$33))</f>
        <v>0.19</v>
      </c>
      <c r="M213" s="1504">
        <f t="shared" ca="1" si="31"/>
        <v>3.9328867884073979</v>
      </c>
      <c r="N213" s="1511">
        <f t="shared" ca="1" si="37"/>
        <v>0.74724848979740566</v>
      </c>
      <c r="O213" s="334">
        <f ca="1">'Plant Operations'!$I213+'Plant Operations'!$M213</f>
        <v>298980.864</v>
      </c>
      <c r="P213" s="1509">
        <f t="shared" ca="1" si="32"/>
        <v>223412.99910232352</v>
      </c>
      <c r="Q213" s="1480">
        <f t="shared" ca="1" si="38"/>
        <v>2.9344084151188023</v>
      </c>
      <c r="R213" s="335">
        <f t="shared" ca="1" si="39"/>
        <v>76135.61832471723</v>
      </c>
      <c r="S213" s="698" t="str">
        <f t="shared" ca="1" si="33"/>
        <v xml:space="preserve"> </v>
      </c>
    </row>
    <row r="214" spans="1:19">
      <c r="A214" s="672">
        <f ca="1">'Plant Operations'!A214</f>
        <v>42401</v>
      </c>
      <c r="C214" s="1484">
        <f ca="1">IF($A214&gt;Endyr,0,VLOOKUP($A214,Tariff_Table,Tariff!$D$33))</f>
        <v>2290.3249630723781</v>
      </c>
      <c r="D214" s="1480">
        <f ca="1">VLOOKUP($A214,Curves_Table,Escalation!$R$291)</f>
        <v>3.9328867884073979</v>
      </c>
      <c r="E214" s="1509">
        <f t="shared" ca="1" si="34"/>
        <v>9007.5887884270178</v>
      </c>
      <c r="F214" s="330">
        <f ca="1">'Plant Operations'!C214</f>
        <v>480</v>
      </c>
      <c r="G214" s="1509">
        <f t="shared" ca="1" si="35"/>
        <v>4323.6426184449692</v>
      </c>
      <c r="H214" s="1504">
        <f ca="1">IF(Assm!$L$74=0,VLOOKUP($A214,Curves_Table,Escalation!$D$291),VLOOKUP($A214,Curves_Table,Escalation!$E$291))</f>
        <v>2.939256885578533</v>
      </c>
      <c r="I214" s="384">
        <f t="shared" ca="1" si="36"/>
        <v>1470.9985505720599</v>
      </c>
      <c r="J214" s="692" t="str">
        <f t="shared" ca="1" si="30"/>
        <v xml:space="preserve"> </v>
      </c>
      <c r="L214" s="1510">
        <f ca="1">IF($A214&gt;Endyr,0,VLOOKUP($A214,Tariff_Table,Tariff!$J$33))</f>
        <v>0.19</v>
      </c>
      <c r="M214" s="1504">
        <f t="shared" ca="1" si="31"/>
        <v>3.9328867884073979</v>
      </c>
      <c r="N214" s="1511">
        <f t="shared" ca="1" si="37"/>
        <v>0.74724848979740566</v>
      </c>
      <c r="O214" s="334">
        <f ca="1">'Plant Operations'!$I214+'Plant Operations'!$M214</f>
        <v>279691.77600000001</v>
      </c>
      <c r="P214" s="1509">
        <f t="shared" ca="1" si="32"/>
        <v>208999.25722475428</v>
      </c>
      <c r="Q214" s="1480">
        <f t="shared" ca="1" si="38"/>
        <v>2.939256885578533</v>
      </c>
      <c r="R214" s="335">
        <f t="shared" ca="1" si="39"/>
        <v>71106.155521897163</v>
      </c>
      <c r="S214" s="698" t="str">
        <f t="shared" ca="1" si="33"/>
        <v xml:space="preserve"> </v>
      </c>
    </row>
    <row r="215" spans="1:19">
      <c r="A215" s="672">
        <f ca="1">'Plant Operations'!A215</f>
        <v>42430</v>
      </c>
      <c r="C215" s="1484">
        <f ca="1">IF($A215&gt;Endyr,0,VLOOKUP($A215,Tariff_Table,Tariff!$D$33))</f>
        <v>2290.3249630723781</v>
      </c>
      <c r="D215" s="1480">
        <f ca="1">VLOOKUP($A215,Curves_Table,Escalation!$R$291)</f>
        <v>3.9328867884073979</v>
      </c>
      <c r="E215" s="1509">
        <f t="shared" ca="1" si="34"/>
        <v>9007.5887884270178</v>
      </c>
      <c r="F215" s="330">
        <f ca="1">'Plant Operations'!C215</f>
        <v>480</v>
      </c>
      <c r="G215" s="1509">
        <f t="shared" ca="1" si="35"/>
        <v>4323.6426184449692</v>
      </c>
      <c r="H215" s="1504">
        <f ca="1">IF(Assm!$L$74=0,VLOOKUP($A215,Curves_Table,Escalation!$D$291),VLOOKUP($A215,Curves_Table,Escalation!$E$291))</f>
        <v>2.9441133670791526</v>
      </c>
      <c r="I215" s="384">
        <f t="shared" ca="1" si="36"/>
        <v>1468.572055271922</v>
      </c>
      <c r="J215" s="692" t="str">
        <f t="shared" ca="1" si="30"/>
        <v xml:space="preserve"> </v>
      </c>
      <c r="L215" s="1510">
        <f ca="1">IF($A215&gt;Endyr,0,VLOOKUP($A215,Tariff_Table,Tariff!$J$33))</f>
        <v>0.19</v>
      </c>
      <c r="M215" s="1504">
        <f t="shared" ca="1" si="31"/>
        <v>3.9328867884073979</v>
      </c>
      <c r="N215" s="1511">
        <f t="shared" ca="1" si="37"/>
        <v>0.74724848979740566</v>
      </c>
      <c r="O215" s="334">
        <f ca="1">'Plant Operations'!$I215+'Plant Operations'!$M215</f>
        <v>298980.864</v>
      </c>
      <c r="P215" s="1509">
        <f t="shared" ca="1" si="32"/>
        <v>223412.99910232352</v>
      </c>
      <c r="Q215" s="1480">
        <f t="shared" ca="1" si="38"/>
        <v>2.9441133670791526</v>
      </c>
      <c r="R215" s="335">
        <f t="shared" ca="1" si="39"/>
        <v>75884.645476125457</v>
      </c>
      <c r="S215" s="698" t="str">
        <f t="shared" ca="1" si="33"/>
        <v xml:space="preserve"> </v>
      </c>
    </row>
    <row r="216" spans="1:19">
      <c r="A216" s="672">
        <f ca="1">'Plant Operations'!A216</f>
        <v>42461</v>
      </c>
      <c r="C216" s="1484">
        <f ca="1">IF($A216&gt;Endyr,0,VLOOKUP($A216,Tariff_Table,Tariff!$D$33))</f>
        <v>2290.3249630723781</v>
      </c>
      <c r="D216" s="1480">
        <f ca="1">VLOOKUP($A216,Curves_Table,Escalation!$R$291)</f>
        <v>3.9328867884073979</v>
      </c>
      <c r="E216" s="1509">
        <f t="shared" ca="1" si="34"/>
        <v>9007.5887884270178</v>
      </c>
      <c r="F216" s="330">
        <f ca="1">'Plant Operations'!C216</f>
        <v>480</v>
      </c>
      <c r="G216" s="1509">
        <f t="shared" ca="1" si="35"/>
        <v>4323.6426184449692</v>
      </c>
      <c r="H216" s="1504">
        <f ca="1">IF(Assm!$L$74=0,VLOOKUP($A216,Curves_Table,Escalation!$D$291),VLOOKUP($A216,Curves_Table,Escalation!$E$291))</f>
        <v>2.948977872857161</v>
      </c>
      <c r="I216" s="384">
        <f t="shared" ca="1" si="36"/>
        <v>1466.1495626130093</v>
      </c>
      <c r="J216" s="692" t="str">
        <f t="shared" ca="1" si="30"/>
        <v xml:space="preserve"> </v>
      </c>
      <c r="L216" s="1510">
        <f ca="1">IF($A216&gt;Endyr,0,VLOOKUP($A216,Tariff_Table,Tariff!$J$33))</f>
        <v>0.19</v>
      </c>
      <c r="M216" s="1504">
        <f t="shared" ca="1" si="31"/>
        <v>3.9328867884073979</v>
      </c>
      <c r="N216" s="1511">
        <f t="shared" ca="1" si="37"/>
        <v>0.74724848979740566</v>
      </c>
      <c r="O216" s="334">
        <f ca="1">'Plant Operations'!$I216+'Plant Operations'!$M216</f>
        <v>289336.32000000001</v>
      </c>
      <c r="P216" s="1509">
        <f t="shared" ca="1" si="32"/>
        <v>216206.1281635389</v>
      </c>
      <c r="Q216" s="1480">
        <f t="shared" ca="1" si="38"/>
        <v>2.948977872857161</v>
      </c>
      <c r="R216" s="335">
        <f t="shared" ca="1" si="39"/>
        <v>73315.615608218985</v>
      </c>
      <c r="S216" s="698" t="str">
        <f t="shared" ca="1" si="33"/>
        <v xml:space="preserve"> </v>
      </c>
    </row>
    <row r="217" spans="1:19">
      <c r="A217" s="672">
        <f ca="1">'Plant Operations'!A217</f>
        <v>42491</v>
      </c>
      <c r="C217" s="1484">
        <f ca="1">IF($A217&gt;Endyr,0,VLOOKUP($A217,Tariff_Table,Tariff!$D$33))</f>
        <v>2290.3249630723781</v>
      </c>
      <c r="D217" s="1480">
        <f ca="1">VLOOKUP($A217,Curves_Table,Escalation!$R$291)</f>
        <v>4.2042559768075041</v>
      </c>
      <c r="E217" s="1509">
        <f t="shared" ca="1" si="34"/>
        <v>9629.1124148284707</v>
      </c>
      <c r="F217" s="330">
        <f ca="1">'Plant Operations'!C217</f>
        <v>480</v>
      </c>
      <c r="G217" s="1509">
        <f t="shared" ca="1" si="35"/>
        <v>4621.9739591176658</v>
      </c>
      <c r="H217" s="1504">
        <f ca="1">IF(Assm!$L$74=0,VLOOKUP($A217,Curves_Table,Escalation!$D$291),VLOOKUP($A217,Curves_Table,Escalation!$E$291))</f>
        <v>2.9538504161709276</v>
      </c>
      <c r="I217" s="384">
        <f t="shared" ca="1" si="36"/>
        <v>1564.7285095462364</v>
      </c>
      <c r="J217" s="692" t="str">
        <f t="shared" ca="1" si="30"/>
        <v xml:space="preserve"> </v>
      </c>
      <c r="L217" s="1510">
        <f ca="1">IF($A217&gt;Endyr,0,VLOOKUP($A217,Tariff_Table,Tariff!$J$33))</f>
        <v>0.19</v>
      </c>
      <c r="M217" s="1504">
        <f t="shared" ca="1" si="31"/>
        <v>4.2042559768075041</v>
      </c>
      <c r="N217" s="1511">
        <f t="shared" ca="1" si="37"/>
        <v>0.79880863559342574</v>
      </c>
      <c r="O217" s="334">
        <f ca="1">'Plant Operations'!$I217+'Plant Operations'!$M217</f>
        <v>298980.864</v>
      </c>
      <c r="P217" s="1509">
        <f t="shared" ca="1" si="32"/>
        <v>238828.49604038359</v>
      </c>
      <c r="Q217" s="1480">
        <f t="shared" ca="1" si="38"/>
        <v>2.9538504161709276</v>
      </c>
      <c r="R217" s="335">
        <f t="shared" ca="1" si="39"/>
        <v>80853.280427780308</v>
      </c>
      <c r="S217" s="698" t="str">
        <f t="shared" ca="1" si="33"/>
        <v xml:space="preserve"> </v>
      </c>
    </row>
    <row r="218" spans="1:19">
      <c r="A218" s="672">
        <f ca="1">'Plant Operations'!A218</f>
        <v>42522</v>
      </c>
      <c r="C218" s="1484">
        <f ca="1">IF($A218&gt;Endyr,0,VLOOKUP($A218,Tariff_Table,Tariff!$D$33))</f>
        <v>2290.3249630723781</v>
      </c>
      <c r="D218" s="1480">
        <f ca="1">VLOOKUP($A218,Curves_Table,Escalation!$R$291)</f>
        <v>4.2042559768075041</v>
      </c>
      <c r="E218" s="1509">
        <f t="shared" ca="1" si="34"/>
        <v>9629.1124148284707</v>
      </c>
      <c r="F218" s="330">
        <f ca="1">'Plant Operations'!C218</f>
        <v>480</v>
      </c>
      <c r="G218" s="1509">
        <f t="shared" ca="1" si="35"/>
        <v>4621.9739591176658</v>
      </c>
      <c r="H218" s="1504">
        <f ca="1">IF(Assm!$L$74=0,VLOOKUP($A218,Curves_Table,Escalation!$D$291),VLOOKUP($A218,Curves_Table,Escalation!$E$291))</f>
        <v>2.9587310103007285</v>
      </c>
      <c r="I218" s="384">
        <f t="shared" ca="1" si="36"/>
        <v>1562.1474013779589</v>
      </c>
      <c r="J218" s="692" t="str">
        <f t="shared" ca="1" si="30"/>
        <v xml:space="preserve"> </v>
      </c>
      <c r="L218" s="1510">
        <f ca="1">IF($A218&gt;Endyr,0,VLOOKUP($A218,Tariff_Table,Tariff!$J$33))</f>
        <v>0.19</v>
      </c>
      <c r="M218" s="1504">
        <f t="shared" ca="1" si="31"/>
        <v>4.2042559768075041</v>
      </c>
      <c r="N218" s="1511">
        <f t="shared" ca="1" si="37"/>
        <v>0.79880863559342574</v>
      </c>
      <c r="O218" s="334">
        <f ca="1">'Plant Operations'!$I218+'Plant Operations'!$M218</f>
        <v>289336.32000000001</v>
      </c>
      <c r="P218" s="1509">
        <f t="shared" ca="1" si="32"/>
        <v>231124.35100682284</v>
      </c>
      <c r="Q218" s="1480">
        <f t="shared" ca="1" si="38"/>
        <v>2.9587310103007285</v>
      </c>
      <c r="R218" s="335">
        <f t="shared" ca="1" si="39"/>
        <v>78116.040357224338</v>
      </c>
      <c r="S218" s="698" t="str">
        <f t="shared" ca="1" si="33"/>
        <v xml:space="preserve"> </v>
      </c>
    </row>
    <row r="219" spans="1:19">
      <c r="A219" s="672">
        <f ca="1">'Plant Operations'!A219</f>
        <v>42552</v>
      </c>
      <c r="C219" s="1484">
        <f ca="1">IF($A219&gt;Endyr,0,VLOOKUP($A219,Tariff_Table,Tariff!$D$33))</f>
        <v>2290.3249630723781</v>
      </c>
      <c r="D219" s="1480">
        <f ca="1">VLOOKUP($A219,Curves_Table,Escalation!$R$291)</f>
        <v>4.2042559768075041</v>
      </c>
      <c r="E219" s="1509">
        <f t="shared" ca="1" si="34"/>
        <v>9629.1124148284707</v>
      </c>
      <c r="F219" s="330">
        <f ca="1">'Plant Operations'!C219</f>
        <v>480</v>
      </c>
      <c r="G219" s="1509">
        <f t="shared" ca="1" si="35"/>
        <v>4621.9739591176658</v>
      </c>
      <c r="H219" s="1504">
        <f ca="1">IF(Assm!$L$74=0,VLOOKUP($A219,Curves_Table,Escalation!$D$291),VLOOKUP($A219,Curves_Table,Escalation!$E$291))</f>
        <v>2.9636196685487834</v>
      </c>
      <c r="I219" s="384">
        <f t="shared" ca="1" si="36"/>
        <v>1559.5705508935769</v>
      </c>
      <c r="J219" s="692" t="str">
        <f t="shared" ca="1" si="30"/>
        <v xml:space="preserve"> </v>
      </c>
      <c r="L219" s="1510">
        <f ca="1">IF($A219&gt;Endyr,0,VLOOKUP($A219,Tariff_Table,Tariff!$J$33))</f>
        <v>0.19</v>
      </c>
      <c r="M219" s="1504">
        <f t="shared" ca="1" si="31"/>
        <v>4.2042559768075041</v>
      </c>
      <c r="N219" s="1511">
        <f t="shared" ca="1" si="37"/>
        <v>0.79880863559342574</v>
      </c>
      <c r="O219" s="334">
        <f ca="1">'Plant Operations'!$I219+'Plant Operations'!$M219</f>
        <v>298980.864</v>
      </c>
      <c r="P219" s="1509">
        <f t="shared" ca="1" si="32"/>
        <v>238828.49604038359</v>
      </c>
      <c r="Q219" s="1480">
        <f t="shared" ca="1" si="38"/>
        <v>2.9636196685487834</v>
      </c>
      <c r="R219" s="335">
        <f t="shared" ca="1" si="39"/>
        <v>80586.75631523678</v>
      </c>
      <c r="S219" s="698" t="str">
        <f t="shared" ca="1" si="33"/>
        <v xml:space="preserve"> </v>
      </c>
    </row>
    <row r="220" spans="1:19">
      <c r="A220" s="672">
        <f ca="1">'Plant Operations'!A220</f>
        <v>42583</v>
      </c>
      <c r="C220" s="1484">
        <f ca="1">IF($A220&gt;Endyr,0,VLOOKUP($A220,Tariff_Table,Tariff!$D$33))</f>
        <v>2290.3249630723781</v>
      </c>
      <c r="D220" s="1480">
        <f ca="1">VLOOKUP($A220,Curves_Table,Escalation!$R$291)</f>
        <v>4.2042559768075041</v>
      </c>
      <c r="E220" s="1509">
        <f t="shared" ca="1" si="34"/>
        <v>9629.1124148284707</v>
      </c>
      <c r="F220" s="330">
        <f ca="1">'Plant Operations'!C220</f>
        <v>480</v>
      </c>
      <c r="G220" s="1509">
        <f t="shared" ca="1" si="35"/>
        <v>4621.9739591176658</v>
      </c>
      <c r="H220" s="1504">
        <f ca="1">IF(Assm!$L$74=0,VLOOKUP($A220,Curves_Table,Escalation!$D$291),VLOOKUP($A220,Curves_Table,Escalation!$E$291))</f>
        <v>2.9685164042392902</v>
      </c>
      <c r="I220" s="384">
        <f t="shared" ca="1" si="36"/>
        <v>1556.9979510698004</v>
      </c>
      <c r="J220" s="692" t="str">
        <f t="shared" ca="1" si="30"/>
        <v xml:space="preserve"> </v>
      </c>
      <c r="L220" s="1510">
        <f ca="1">IF($A220&gt;Endyr,0,VLOOKUP($A220,Tariff_Table,Tariff!$J$33))</f>
        <v>0.19</v>
      </c>
      <c r="M220" s="1504">
        <f t="shared" ca="1" si="31"/>
        <v>4.2042559768075041</v>
      </c>
      <c r="N220" s="1511">
        <f t="shared" ca="1" si="37"/>
        <v>0.79880863559342574</v>
      </c>
      <c r="O220" s="334">
        <f ca="1">'Plant Operations'!$I220+'Plant Operations'!$M220</f>
        <v>298980.864</v>
      </c>
      <c r="P220" s="1509">
        <f t="shared" ca="1" si="32"/>
        <v>238828.49604038359</v>
      </c>
      <c r="Q220" s="1480">
        <f t="shared" ca="1" si="38"/>
        <v>2.9685164042392902</v>
      </c>
      <c r="R220" s="335">
        <f t="shared" ca="1" si="39"/>
        <v>80453.823903184937</v>
      </c>
      <c r="S220" s="698" t="str">
        <f t="shared" ca="1" si="33"/>
        <v xml:space="preserve"> </v>
      </c>
    </row>
    <row r="221" spans="1:19">
      <c r="A221" s="672">
        <f ca="1">'Plant Operations'!A221</f>
        <v>42614</v>
      </c>
      <c r="C221" s="1484">
        <f ca="1">IF($A221&gt;Endyr,0,VLOOKUP($A221,Tariff_Table,Tariff!$D$33))</f>
        <v>2290.3249630723781</v>
      </c>
      <c r="D221" s="1480">
        <f ca="1">VLOOKUP($A221,Curves_Table,Escalation!$R$291)</f>
        <v>4.2042559768075041</v>
      </c>
      <c r="E221" s="1509">
        <f t="shared" ca="1" si="34"/>
        <v>9629.1124148284707</v>
      </c>
      <c r="F221" s="330">
        <f ca="1">'Plant Operations'!C221</f>
        <v>480</v>
      </c>
      <c r="G221" s="1509">
        <f t="shared" ca="1" si="35"/>
        <v>4621.9739591176658</v>
      </c>
      <c r="H221" s="1504">
        <f ca="1">IF(Assm!$L$74=0,VLOOKUP($A221,Curves_Table,Escalation!$D$291),VLOOKUP($A221,Curves_Table,Escalation!$E$291))</f>
        <v>2.9734212307184622</v>
      </c>
      <c r="I221" s="384">
        <f t="shared" ca="1" si="36"/>
        <v>1554.4295948949241</v>
      </c>
      <c r="J221" s="692" t="str">
        <f t="shared" ca="1" si="30"/>
        <v xml:space="preserve"> </v>
      </c>
      <c r="L221" s="1510">
        <f ca="1">IF($A221&gt;Endyr,0,VLOOKUP($A221,Tariff_Table,Tariff!$J$33))</f>
        <v>0.19</v>
      </c>
      <c r="M221" s="1504">
        <f t="shared" ca="1" si="31"/>
        <v>4.2042559768075041</v>
      </c>
      <c r="N221" s="1511">
        <f t="shared" ca="1" si="37"/>
        <v>0.79880863559342574</v>
      </c>
      <c r="O221" s="334">
        <f ca="1">'Plant Operations'!$I221+'Plant Operations'!$M221</f>
        <v>289336.32000000001</v>
      </c>
      <c r="P221" s="1509">
        <f t="shared" ca="1" si="32"/>
        <v>231124.35100682284</v>
      </c>
      <c r="Q221" s="1480">
        <f t="shared" ca="1" si="38"/>
        <v>2.9734212307184622</v>
      </c>
      <c r="R221" s="335">
        <f t="shared" ca="1" si="39"/>
        <v>77730.107197417397</v>
      </c>
      <c r="S221" s="698" t="str">
        <f t="shared" ca="1" si="33"/>
        <v xml:space="preserve"> </v>
      </c>
    </row>
    <row r="222" spans="1:19">
      <c r="A222" s="672">
        <f ca="1">'Plant Operations'!A222</f>
        <v>42644</v>
      </c>
      <c r="C222" s="1484">
        <f ca="1">IF($A222&gt;Endyr,0,VLOOKUP($A222,Tariff_Table,Tariff!$D$33))</f>
        <v>2290.3249630723781</v>
      </c>
      <c r="D222" s="1480">
        <f ca="1">VLOOKUP($A222,Curves_Table,Escalation!$R$291)</f>
        <v>4.2042559768075041</v>
      </c>
      <c r="E222" s="1509">
        <f t="shared" ca="1" si="34"/>
        <v>9629.1124148284707</v>
      </c>
      <c r="F222" s="330">
        <f ca="1">'Plant Operations'!C222</f>
        <v>480</v>
      </c>
      <c r="G222" s="1509">
        <f t="shared" ca="1" si="35"/>
        <v>4621.9739591176658</v>
      </c>
      <c r="H222" s="1504">
        <f ca="1">IF(Assm!$L$74=0,VLOOKUP($A222,Curves_Table,Escalation!$D$291),VLOOKUP($A222,Curves_Table,Escalation!$E$291))</f>
        <v>2.9783341613545646</v>
      </c>
      <c r="I222" s="384">
        <f t="shared" ca="1" si="36"/>
        <v>1551.8654753688095</v>
      </c>
      <c r="J222" s="692" t="str">
        <f t="shared" ca="1" si="30"/>
        <v xml:space="preserve"> </v>
      </c>
      <c r="L222" s="1510">
        <f ca="1">IF($A222&gt;Endyr,0,VLOOKUP($A222,Tariff_Table,Tariff!$J$33))</f>
        <v>0.19</v>
      </c>
      <c r="M222" s="1504">
        <f t="shared" ca="1" si="31"/>
        <v>4.2042559768075041</v>
      </c>
      <c r="N222" s="1511">
        <f t="shared" ca="1" si="37"/>
        <v>0.79880863559342574</v>
      </c>
      <c r="O222" s="334">
        <f ca="1">'Plant Operations'!$I222+'Plant Operations'!$M222</f>
        <v>298980.864</v>
      </c>
      <c r="P222" s="1509">
        <f t="shared" ca="1" si="32"/>
        <v>238828.49604038359</v>
      </c>
      <c r="Q222" s="1480">
        <f t="shared" ca="1" si="38"/>
        <v>2.9783341613545646</v>
      </c>
      <c r="R222" s="335">
        <f t="shared" ca="1" si="39"/>
        <v>80188.616555961911</v>
      </c>
      <c r="S222" s="698" t="str">
        <f t="shared" ca="1" si="33"/>
        <v xml:space="preserve"> </v>
      </c>
    </row>
    <row r="223" spans="1:19">
      <c r="A223" s="672">
        <f ca="1">'Plant Operations'!A223</f>
        <v>42675</v>
      </c>
      <c r="C223" s="1484">
        <f ca="1">IF($A223&gt;Endyr,0,VLOOKUP($A223,Tariff_Table,Tariff!$D$33))</f>
        <v>2290.3249630723781</v>
      </c>
      <c r="D223" s="1480">
        <f ca="1">VLOOKUP($A223,Curves_Table,Escalation!$R$291)</f>
        <v>4.2042559768075041</v>
      </c>
      <c r="E223" s="1509">
        <f t="shared" ca="1" si="34"/>
        <v>9629.1124148284707</v>
      </c>
      <c r="F223" s="330">
        <f ca="1">'Plant Operations'!C223</f>
        <v>480</v>
      </c>
      <c r="G223" s="1509">
        <f t="shared" ca="1" si="35"/>
        <v>4621.9739591176658</v>
      </c>
      <c r="H223" s="1504">
        <f ca="1">IF(Assm!$L$74=0,VLOOKUP($A223,Curves_Table,Escalation!$D$291),VLOOKUP($A223,Curves_Table,Escalation!$E$291))</f>
        <v>2.9832552095379512</v>
      </c>
      <c r="I223" s="384">
        <f t="shared" ca="1" si="36"/>
        <v>1549.3055855028645</v>
      </c>
      <c r="J223" s="692" t="str">
        <f t="shared" ca="1" si="30"/>
        <v xml:space="preserve"> </v>
      </c>
      <c r="L223" s="1510">
        <f ca="1">IF($A223&gt;Endyr,0,VLOOKUP($A223,Tariff_Table,Tariff!$J$33))</f>
        <v>0.19</v>
      </c>
      <c r="M223" s="1504">
        <f t="shared" ca="1" si="31"/>
        <v>4.2042559768075041</v>
      </c>
      <c r="N223" s="1511">
        <f t="shared" ca="1" si="37"/>
        <v>0.79880863559342574</v>
      </c>
      <c r="O223" s="334">
        <f ca="1">'Plant Operations'!$I223+'Plant Operations'!$M223</f>
        <v>289336.32000000001</v>
      </c>
      <c r="P223" s="1509">
        <f t="shared" ca="1" si="32"/>
        <v>231124.35100682284</v>
      </c>
      <c r="Q223" s="1480">
        <f t="shared" ca="1" si="38"/>
        <v>2.9832552095379512</v>
      </c>
      <c r="R223" s="335">
        <f t="shared" ca="1" si="39"/>
        <v>77473.878288347827</v>
      </c>
      <c r="S223" s="698" t="str">
        <f t="shared" ca="1" si="33"/>
        <v xml:space="preserve"> </v>
      </c>
    </row>
    <row r="224" spans="1:19">
      <c r="A224" s="672">
        <f ca="1">'Plant Operations'!A224</f>
        <v>42705</v>
      </c>
      <c r="C224" s="1484">
        <f ca="1">IF($A224&gt;Endyr,0,VLOOKUP($A224,Tariff_Table,Tariff!$D$33))</f>
        <v>2290.3249630723781</v>
      </c>
      <c r="D224" s="1480">
        <f ca="1">VLOOKUP($A224,Curves_Table,Escalation!$R$291)</f>
        <v>4.2042559768075041</v>
      </c>
      <c r="E224" s="1509">
        <f t="shared" ca="1" si="34"/>
        <v>9629.1124148284707</v>
      </c>
      <c r="F224" s="330">
        <f ca="1">'Plant Operations'!C224</f>
        <v>480</v>
      </c>
      <c r="G224" s="1509">
        <f t="shared" ca="1" si="35"/>
        <v>4621.9739591176658</v>
      </c>
      <c r="H224" s="1504">
        <f ca="1">IF(Assm!$L$74=0,VLOOKUP($A224,Curves_Table,Escalation!$D$291),VLOOKUP($A224,Curves_Table,Escalation!$E$291))</f>
        <v>2.9881843886810961</v>
      </c>
      <c r="I224" s="384">
        <f t="shared" ca="1" si="36"/>
        <v>1546.7499183200271</v>
      </c>
      <c r="J224" s="692">
        <f t="shared" ca="1" si="30"/>
        <v>18324.944210558104</v>
      </c>
      <c r="L224" s="1510">
        <f ca="1">IF($A224&gt;Endyr,0,VLOOKUP($A224,Tariff_Table,Tariff!$J$33))</f>
        <v>0.19</v>
      </c>
      <c r="M224" s="1504">
        <f t="shared" ca="1" si="31"/>
        <v>4.2042559768075041</v>
      </c>
      <c r="N224" s="1511">
        <f t="shared" ca="1" si="37"/>
        <v>0.79880863559342574</v>
      </c>
      <c r="O224" s="334">
        <f ca="1">'Plant Operations'!$I224+'Plant Operations'!$M224</f>
        <v>298980.864</v>
      </c>
      <c r="P224" s="1509">
        <f t="shared" ca="1" si="32"/>
        <v>238828.49604038359</v>
      </c>
      <c r="Q224" s="1480">
        <f t="shared" ca="1" si="38"/>
        <v>2.9881843886810961</v>
      </c>
      <c r="R224" s="335">
        <f t="shared" ca="1" si="39"/>
        <v>79924.283436135622</v>
      </c>
      <c r="S224" s="698">
        <f t="shared" ca="1" si="33"/>
        <v>931768.82141224807</v>
      </c>
    </row>
    <row r="225" spans="1:19">
      <c r="A225" s="672">
        <f ca="1">'Plant Operations'!A225</f>
        <v>42736</v>
      </c>
      <c r="C225" s="1484">
        <f ca="1">IF($A225&gt;Endyr,0,VLOOKUP($A225,Tariff_Table,Tariff!$D$33))</f>
        <v>2290.3249630723781</v>
      </c>
      <c r="D225" s="1480">
        <f ca="1">VLOOKUP($A225,Curves_Table,Escalation!$R$291)</f>
        <v>4.2042559768075041</v>
      </c>
      <c r="E225" s="1509">
        <f t="shared" ca="1" si="34"/>
        <v>9629.1124148284707</v>
      </c>
      <c r="F225" s="330">
        <f ca="1">'Plant Operations'!C225</f>
        <v>480</v>
      </c>
      <c r="G225" s="1509">
        <f t="shared" ca="1" si="35"/>
        <v>4621.9739591176658</v>
      </c>
      <c r="H225" s="1504">
        <f ca="1">IF(Assm!$L$74=0,VLOOKUP($A225,Curves_Table,Escalation!$D$291),VLOOKUP($A225,Curves_Table,Escalation!$E$291))</f>
        <v>2.9931091016997291</v>
      </c>
      <c r="I225" s="384">
        <f t="shared" ca="1" si="36"/>
        <v>1544.2049728467753</v>
      </c>
      <c r="J225" s="692" t="str">
        <f t="shared" ca="1" si="30"/>
        <v xml:space="preserve"> </v>
      </c>
      <c r="L225" s="1510">
        <f ca="1">IF($A225&gt;Endyr,0,VLOOKUP($A225,Tariff_Table,Tariff!$J$33))</f>
        <v>0.19</v>
      </c>
      <c r="M225" s="1504">
        <f t="shared" ca="1" si="31"/>
        <v>4.2042559768075041</v>
      </c>
      <c r="N225" s="1511">
        <f t="shared" ca="1" si="37"/>
        <v>0.79880863559342574</v>
      </c>
      <c r="O225" s="334">
        <f ca="1">'Plant Operations'!$I225+'Plant Operations'!$M225</f>
        <v>298980.864</v>
      </c>
      <c r="P225" s="1509">
        <f t="shared" ca="1" si="32"/>
        <v>238828.49604038359</v>
      </c>
      <c r="Q225" s="1480">
        <f t="shared" ca="1" si="38"/>
        <v>2.9931091016997291</v>
      </c>
      <c r="R225" s="335">
        <f t="shared" ca="1" si="39"/>
        <v>79792.779990798692</v>
      </c>
      <c r="S225" s="698" t="str">
        <f t="shared" ca="1" si="33"/>
        <v xml:space="preserve"> </v>
      </c>
    </row>
    <row r="226" spans="1:19">
      <c r="A226" s="672">
        <f ca="1">'Plant Operations'!A226</f>
        <v>42767</v>
      </c>
      <c r="C226" s="1484">
        <f ca="1">IF($A226&gt;Endyr,0,VLOOKUP($A226,Tariff_Table,Tariff!$D$33))</f>
        <v>2290.3249630723781</v>
      </c>
      <c r="D226" s="1480">
        <f ca="1">VLOOKUP($A226,Curves_Table,Escalation!$R$291)</f>
        <v>4.2042559768075041</v>
      </c>
      <c r="E226" s="1509">
        <f t="shared" ca="1" si="34"/>
        <v>9629.1124148284707</v>
      </c>
      <c r="F226" s="330">
        <f ca="1">'Plant Operations'!C226</f>
        <v>480</v>
      </c>
      <c r="G226" s="1509">
        <f t="shared" ca="1" si="35"/>
        <v>4621.9739591176658</v>
      </c>
      <c r="H226" s="1504">
        <f ca="1">IF(Assm!$L$74=0,VLOOKUP($A226,Curves_Table,Escalation!$D$291),VLOOKUP($A226,Curves_Table,Escalation!$E$291))</f>
        <v>2.9980419309505488</v>
      </c>
      <c r="I226" s="384">
        <f t="shared" ca="1" si="36"/>
        <v>1541.6642147003724</v>
      </c>
      <c r="J226" s="692" t="str">
        <f t="shared" ca="1" si="30"/>
        <v xml:space="preserve"> </v>
      </c>
      <c r="L226" s="1510">
        <f ca="1">IF($A226&gt;Endyr,0,VLOOKUP($A226,Tariff_Table,Tariff!$J$33))</f>
        <v>0.19</v>
      </c>
      <c r="M226" s="1504">
        <f t="shared" ca="1" si="31"/>
        <v>4.2042559768075041</v>
      </c>
      <c r="N226" s="1511">
        <f t="shared" ca="1" si="37"/>
        <v>0.79880863559342574</v>
      </c>
      <c r="O226" s="334">
        <f ca="1">'Plant Operations'!$I226+'Plant Operations'!$M226</f>
        <v>270047.23200000002</v>
      </c>
      <c r="P226" s="1509">
        <f t="shared" ca="1" si="32"/>
        <v>215716.0609397013</v>
      </c>
      <c r="Q226" s="1480">
        <f t="shared" ca="1" si="38"/>
        <v>2.9980419309505488</v>
      </c>
      <c r="R226" s="335">
        <f t="shared" ca="1" si="39"/>
        <v>71952.316181017231</v>
      </c>
      <c r="S226" s="698" t="str">
        <f t="shared" ca="1" si="33"/>
        <v xml:space="preserve"> </v>
      </c>
    </row>
    <row r="227" spans="1:19">
      <c r="A227" s="672">
        <f ca="1">'Plant Operations'!A227</f>
        <v>42795</v>
      </c>
      <c r="C227" s="1484">
        <f ca="1">IF($A227&gt;Endyr,0,VLOOKUP($A227,Tariff_Table,Tariff!$D$33))</f>
        <v>2290.3249630723781</v>
      </c>
      <c r="D227" s="1480">
        <f ca="1">VLOOKUP($A227,Curves_Table,Escalation!$R$291)</f>
        <v>4.2042559768075041</v>
      </c>
      <c r="E227" s="1509">
        <f t="shared" ca="1" si="34"/>
        <v>9629.1124148284707</v>
      </c>
      <c r="F227" s="330">
        <f ca="1">'Plant Operations'!C227</f>
        <v>480</v>
      </c>
      <c r="G227" s="1509">
        <f t="shared" ca="1" si="35"/>
        <v>4621.9739591176658</v>
      </c>
      <c r="H227" s="1504">
        <f ca="1">IF(Assm!$L$74=0,VLOOKUP($A227,Curves_Table,Escalation!$D$291),VLOOKUP($A227,Curves_Table,Escalation!$E$291))</f>
        <v>3.0029828898096089</v>
      </c>
      <c r="I227" s="384">
        <f t="shared" ca="1" si="36"/>
        <v>1539.1276369911991</v>
      </c>
      <c r="J227" s="692" t="str">
        <f t="shared" ca="1" si="30"/>
        <v xml:space="preserve"> </v>
      </c>
      <c r="L227" s="1510">
        <f ca="1">IF($A227&gt;Endyr,0,VLOOKUP($A227,Tariff_Table,Tariff!$J$33))</f>
        <v>0.19</v>
      </c>
      <c r="M227" s="1504">
        <f t="shared" ca="1" si="31"/>
        <v>4.2042559768075041</v>
      </c>
      <c r="N227" s="1511">
        <f t="shared" ca="1" si="37"/>
        <v>0.79880863559342574</v>
      </c>
      <c r="O227" s="334">
        <f ca="1">'Plant Operations'!$I227+'Plant Operations'!$M227</f>
        <v>298980.864</v>
      </c>
      <c r="P227" s="1509">
        <f t="shared" ca="1" si="32"/>
        <v>238828.49604038359</v>
      </c>
      <c r="Q227" s="1480">
        <f t="shared" ca="1" si="38"/>
        <v>3.0029828898096089</v>
      </c>
      <c r="R227" s="335">
        <f t="shared" ca="1" si="39"/>
        <v>79530.421851829291</v>
      </c>
      <c r="S227" s="698" t="str">
        <f t="shared" ca="1" si="33"/>
        <v xml:space="preserve"> </v>
      </c>
    </row>
    <row r="228" spans="1:19">
      <c r="A228" s="672">
        <f ca="1">'Plant Operations'!A228</f>
        <v>42826</v>
      </c>
      <c r="C228" s="1484">
        <f ca="1">IF($A228&gt;Endyr,0,VLOOKUP($A228,Tariff_Table,Tariff!$D$33))</f>
        <v>2290.3249630723781</v>
      </c>
      <c r="D228" s="1480">
        <f ca="1">VLOOKUP($A228,Curves_Table,Escalation!$R$291)</f>
        <v>4.2042559768075041</v>
      </c>
      <c r="E228" s="1509">
        <f t="shared" ca="1" si="34"/>
        <v>9629.1124148284707</v>
      </c>
      <c r="F228" s="330">
        <f ca="1">'Plant Operations'!C228</f>
        <v>480</v>
      </c>
      <c r="G228" s="1509">
        <f t="shared" ca="1" si="35"/>
        <v>4621.9739591176658</v>
      </c>
      <c r="H228" s="1504">
        <f ca="1">IF(Assm!$L$74=0,VLOOKUP($A228,Curves_Table,Escalation!$D$291),VLOOKUP($A228,Curves_Table,Escalation!$E$291))</f>
        <v>3.0079319916750076</v>
      </c>
      <c r="I228" s="384">
        <f t="shared" ca="1" si="36"/>
        <v>1536.5952328409717</v>
      </c>
      <c r="J228" s="692" t="str">
        <f t="shared" ca="1" si="30"/>
        <v xml:space="preserve"> </v>
      </c>
      <c r="L228" s="1510">
        <f ca="1">IF($A228&gt;Endyr,0,VLOOKUP($A228,Tariff_Table,Tariff!$J$33))</f>
        <v>0.19</v>
      </c>
      <c r="M228" s="1504">
        <f t="shared" ca="1" si="31"/>
        <v>4.2042559768075041</v>
      </c>
      <c r="N228" s="1511">
        <f t="shared" ca="1" si="37"/>
        <v>0.79880863559342574</v>
      </c>
      <c r="O228" s="334">
        <f ca="1">'Plant Operations'!$I228+'Plant Operations'!$M228</f>
        <v>289336.32000000001</v>
      </c>
      <c r="P228" s="1509">
        <f t="shared" ca="1" si="32"/>
        <v>231124.35100682284</v>
      </c>
      <c r="Q228" s="1480">
        <f t="shared" ca="1" si="38"/>
        <v>3.0079319916750076</v>
      </c>
      <c r="R228" s="335">
        <f t="shared" ca="1" si="39"/>
        <v>76838.290109783411</v>
      </c>
      <c r="S228" s="698" t="str">
        <f t="shared" ca="1" si="33"/>
        <v xml:space="preserve"> </v>
      </c>
    </row>
    <row r="229" spans="1:19">
      <c r="A229" s="672">
        <f ca="1">'Plant Operations'!A229</f>
        <v>42856</v>
      </c>
      <c r="C229" s="1484">
        <f ca="1">IF($A229&gt;Endyr,0,VLOOKUP($A229,Tariff_Table,Tariff!$D$33))</f>
        <v>2089.0491283676706</v>
      </c>
      <c r="D229" s="1480">
        <f ca="1">VLOOKUP($A229,Curves_Table,Escalation!$R$291)</f>
        <v>4.4929477833336211</v>
      </c>
      <c r="E229" s="1509">
        <f t="shared" ca="1" si="34"/>
        <v>9385.9886505745599</v>
      </c>
      <c r="F229" s="330">
        <f ca="1">'Plant Operations'!C229</f>
        <v>480</v>
      </c>
      <c r="G229" s="1509">
        <f t="shared" ca="1" si="35"/>
        <v>4505.2745522757887</v>
      </c>
      <c r="H229" s="1504">
        <f ca="1">IF(Assm!$L$74=0,VLOOKUP($A229,Curves_Table,Escalation!$D$291),VLOOKUP($A229,Curves_Table,Escalation!$E$291))</f>
        <v>3.012889249966924</v>
      </c>
      <c r="I229" s="384">
        <f t="shared" ca="1" si="36"/>
        <v>1495.3336078733223</v>
      </c>
      <c r="J229" s="692" t="str">
        <f t="shared" ca="1" si="30"/>
        <v xml:space="preserve"> </v>
      </c>
      <c r="L229" s="1510">
        <f ca="1">IF($A229&gt;Endyr,0,VLOOKUP($A229,Tariff_Table,Tariff!$J$33))</f>
        <v>0.19</v>
      </c>
      <c r="M229" s="1504">
        <f t="shared" ca="1" si="31"/>
        <v>4.4929477833336211</v>
      </c>
      <c r="N229" s="1511">
        <f t="shared" ca="1" si="37"/>
        <v>0.85366007883338801</v>
      </c>
      <c r="O229" s="334">
        <f ca="1">'Plant Operations'!$I229+'Plant Operations'!$M229</f>
        <v>298980.864</v>
      </c>
      <c r="P229" s="1509">
        <f t="shared" ca="1" si="32"/>
        <v>255228.02793191446</v>
      </c>
      <c r="Q229" s="1480">
        <f t="shared" ca="1" si="38"/>
        <v>3.012889249966924</v>
      </c>
      <c r="R229" s="335">
        <f t="shared" ca="1" si="39"/>
        <v>84712.051043600892</v>
      </c>
      <c r="S229" s="698" t="str">
        <f t="shared" ca="1" si="33"/>
        <v xml:space="preserve"> </v>
      </c>
    </row>
    <row r="230" spans="1:19">
      <c r="A230" s="672">
        <f ca="1">'Plant Operations'!A230</f>
        <v>42887</v>
      </c>
      <c r="C230" s="1484">
        <f ca="1">IF($A230&gt;Endyr,0,VLOOKUP($A230,Tariff_Table,Tariff!$D$33))</f>
        <v>2089.0491283676706</v>
      </c>
      <c r="D230" s="1480">
        <f ca="1">VLOOKUP($A230,Curves_Table,Escalation!$R$291)</f>
        <v>4.4929477833336211</v>
      </c>
      <c r="E230" s="1509">
        <f t="shared" ca="1" si="34"/>
        <v>9385.9886505745599</v>
      </c>
      <c r="F230" s="330">
        <f ca="1">'Plant Operations'!C230</f>
        <v>480</v>
      </c>
      <c r="G230" s="1509">
        <f t="shared" ca="1" si="35"/>
        <v>4505.2745522757887</v>
      </c>
      <c r="H230" s="1504">
        <f ca="1">IF(Assm!$L$74=0,VLOOKUP($A230,Curves_Table,Escalation!$D$291),VLOOKUP($A230,Curves_Table,Escalation!$E$291))</f>
        <v>3.0178546781276538</v>
      </c>
      <c r="I230" s="384">
        <f t="shared" ca="1" si="36"/>
        <v>1492.8732602429234</v>
      </c>
      <c r="J230" s="692" t="str">
        <f t="shared" ca="1" si="30"/>
        <v xml:space="preserve"> </v>
      </c>
      <c r="L230" s="1510">
        <f ca="1">IF($A230&gt;Endyr,0,VLOOKUP($A230,Tariff_Table,Tariff!$J$33))</f>
        <v>0.19</v>
      </c>
      <c r="M230" s="1504">
        <f t="shared" ca="1" si="31"/>
        <v>4.4929477833336211</v>
      </c>
      <c r="N230" s="1511">
        <f t="shared" ca="1" si="37"/>
        <v>0.85366007883338801</v>
      </c>
      <c r="O230" s="334">
        <f ca="1">'Plant Operations'!$I230+'Plant Operations'!$M230</f>
        <v>289336.32000000001</v>
      </c>
      <c r="P230" s="1509">
        <f t="shared" ca="1" si="32"/>
        <v>246994.86574056238</v>
      </c>
      <c r="Q230" s="1480">
        <f t="shared" ca="1" si="38"/>
        <v>3.0178546781276538</v>
      </c>
      <c r="R230" s="335">
        <f t="shared" ca="1" si="39"/>
        <v>81844.519396740347</v>
      </c>
      <c r="S230" s="698" t="str">
        <f t="shared" ca="1" si="33"/>
        <v xml:space="preserve"> </v>
      </c>
    </row>
    <row r="231" spans="1:19">
      <c r="A231" s="672">
        <f ca="1">'Plant Operations'!A231</f>
        <v>42917</v>
      </c>
      <c r="C231" s="1484">
        <f ca="1">IF($A231&gt;Endyr,0,VLOOKUP($A231,Tariff_Table,Tariff!$D$33))</f>
        <v>2089.0491283676706</v>
      </c>
      <c r="D231" s="1480">
        <f ca="1">VLOOKUP($A231,Curves_Table,Escalation!$R$291)</f>
        <v>4.4929477833336211</v>
      </c>
      <c r="E231" s="1509">
        <f t="shared" ca="1" si="34"/>
        <v>9385.9886505745599</v>
      </c>
      <c r="F231" s="330">
        <f ca="1">'Plant Operations'!C231</f>
        <v>480</v>
      </c>
      <c r="G231" s="1509">
        <f t="shared" ca="1" si="35"/>
        <v>4505.2745522757887</v>
      </c>
      <c r="H231" s="1504">
        <f ca="1">IF(Assm!$L$74=0,VLOOKUP($A231,Curves_Table,Escalation!$D$291),VLOOKUP($A231,Curves_Table,Escalation!$E$291))</f>
        <v>3.0228282896216476</v>
      </c>
      <c r="I231" s="384">
        <f t="shared" ca="1" si="36"/>
        <v>1490.4169607462854</v>
      </c>
      <c r="J231" s="692" t="str">
        <f t="shared" ca="1" si="30"/>
        <v xml:space="preserve"> </v>
      </c>
      <c r="L231" s="1510">
        <f ca="1">IF($A231&gt;Endyr,0,VLOOKUP($A231,Tariff_Table,Tariff!$J$33))</f>
        <v>0.19</v>
      </c>
      <c r="M231" s="1504">
        <f t="shared" ca="1" si="31"/>
        <v>4.4929477833336211</v>
      </c>
      <c r="N231" s="1511">
        <f t="shared" ca="1" si="37"/>
        <v>0.85366007883338801</v>
      </c>
      <c r="O231" s="334">
        <f ca="1">'Plant Operations'!$I231+'Plant Operations'!$M231</f>
        <v>298980.864</v>
      </c>
      <c r="P231" s="1509">
        <f t="shared" ca="1" si="32"/>
        <v>255228.02793191446</v>
      </c>
      <c r="Q231" s="1480">
        <f t="shared" ca="1" si="38"/>
        <v>3.0228282896216476</v>
      </c>
      <c r="R231" s="335">
        <f t="shared" ca="1" si="39"/>
        <v>84433.518373569299</v>
      </c>
      <c r="S231" s="698" t="str">
        <f t="shared" ca="1" si="33"/>
        <v xml:space="preserve"> </v>
      </c>
    </row>
    <row r="232" spans="1:19">
      <c r="A232" s="672">
        <f ca="1">'Plant Operations'!A232</f>
        <v>42948</v>
      </c>
      <c r="C232" s="1484">
        <f ca="1">IF($A232&gt;Endyr,0,VLOOKUP($A232,Tariff_Table,Tariff!$D$33))</f>
        <v>2089.0491283676706</v>
      </c>
      <c r="D232" s="1480">
        <f ca="1">VLOOKUP($A232,Curves_Table,Escalation!$R$291)</f>
        <v>4.4929477833336211</v>
      </c>
      <c r="E232" s="1509">
        <f t="shared" ca="1" si="34"/>
        <v>9385.9886505745599</v>
      </c>
      <c r="F232" s="330">
        <f ca="1">'Plant Operations'!C232</f>
        <v>480</v>
      </c>
      <c r="G232" s="1509">
        <f t="shared" ca="1" si="35"/>
        <v>4505.2745522757887</v>
      </c>
      <c r="H232" s="1504">
        <f ca="1">IF(Assm!$L$74=0,VLOOKUP($A232,Curves_Table,Escalation!$D$291),VLOOKUP($A232,Curves_Table,Escalation!$E$291))</f>
        <v>3.0278100979355456</v>
      </c>
      <c r="I232" s="384">
        <f t="shared" ca="1" si="36"/>
        <v>1487.9647027228109</v>
      </c>
      <c r="J232" s="692" t="str">
        <f t="shared" ca="1" si="30"/>
        <v xml:space="preserve"> </v>
      </c>
      <c r="L232" s="1510">
        <f ca="1">IF($A232&gt;Endyr,0,VLOOKUP($A232,Tariff_Table,Tariff!$J$33))</f>
        <v>0.19</v>
      </c>
      <c r="M232" s="1504">
        <f t="shared" ca="1" si="31"/>
        <v>4.4929477833336211</v>
      </c>
      <c r="N232" s="1511">
        <f t="shared" ca="1" si="37"/>
        <v>0.85366007883338801</v>
      </c>
      <c r="O232" s="334">
        <f ca="1">'Plant Operations'!$I232+'Plant Operations'!$M232</f>
        <v>298980.864</v>
      </c>
      <c r="P232" s="1509">
        <f t="shared" ca="1" si="32"/>
        <v>255228.02793191446</v>
      </c>
      <c r="Q232" s="1480">
        <f t="shared" ca="1" si="38"/>
        <v>3.0278100979355456</v>
      </c>
      <c r="R232" s="335">
        <f t="shared" ca="1" si="39"/>
        <v>84294.595657084574</v>
      </c>
      <c r="S232" s="698" t="str">
        <f t="shared" ca="1" si="33"/>
        <v xml:space="preserve"> </v>
      </c>
    </row>
    <row r="233" spans="1:19">
      <c r="A233" s="672">
        <f ca="1">'Plant Operations'!A233</f>
        <v>42979</v>
      </c>
      <c r="C233" s="1484">
        <f ca="1">IF($A233&gt;Endyr,0,VLOOKUP($A233,Tariff_Table,Tariff!$D$33))</f>
        <v>2089.0491283676706</v>
      </c>
      <c r="D233" s="1480">
        <f ca="1">VLOOKUP($A233,Curves_Table,Escalation!$R$291)</f>
        <v>4.4929477833336211</v>
      </c>
      <c r="E233" s="1509">
        <f t="shared" ca="1" si="34"/>
        <v>9385.9886505745599</v>
      </c>
      <c r="F233" s="330">
        <f ca="1">'Plant Operations'!C233</f>
        <v>480</v>
      </c>
      <c r="G233" s="1509">
        <f t="shared" ca="1" si="35"/>
        <v>4505.2745522757887</v>
      </c>
      <c r="H233" s="1504">
        <f ca="1">IF(Assm!$L$74=0,VLOOKUP($A233,Curves_Table,Escalation!$D$291),VLOOKUP($A233,Curves_Table,Escalation!$E$291))</f>
        <v>3.0328001165782146</v>
      </c>
      <c r="I233" s="384">
        <f t="shared" ca="1" si="36"/>
        <v>1485.51647952286</v>
      </c>
      <c r="J233" s="692" t="str">
        <f t="shared" ca="1" si="30"/>
        <v xml:space="preserve"> </v>
      </c>
      <c r="L233" s="1510">
        <f ca="1">IF($A233&gt;Endyr,0,VLOOKUP($A233,Tariff_Table,Tariff!$J$33))</f>
        <v>0.19</v>
      </c>
      <c r="M233" s="1504">
        <f t="shared" ca="1" si="31"/>
        <v>4.4929477833336211</v>
      </c>
      <c r="N233" s="1511">
        <f t="shared" ca="1" si="37"/>
        <v>0.85366007883338801</v>
      </c>
      <c r="O233" s="334">
        <f ca="1">'Plant Operations'!$I233+'Plant Operations'!$M233</f>
        <v>289336.32000000001</v>
      </c>
      <c r="P233" s="1509">
        <f t="shared" ca="1" si="32"/>
        <v>246994.86574056238</v>
      </c>
      <c r="Q233" s="1480">
        <f t="shared" ca="1" si="38"/>
        <v>3.0328001165782146</v>
      </c>
      <c r="R233" s="335">
        <f t="shared" ca="1" si="39"/>
        <v>81441.195016583122</v>
      </c>
      <c r="S233" s="698" t="str">
        <f t="shared" ca="1" si="33"/>
        <v xml:space="preserve"> </v>
      </c>
    </row>
    <row r="234" spans="1:19">
      <c r="A234" s="672">
        <f ca="1">'Plant Operations'!A234</f>
        <v>43009</v>
      </c>
      <c r="C234" s="1484">
        <f ca="1">IF($A234&gt;Endyr,0,VLOOKUP($A234,Tariff_Table,Tariff!$D$33))</f>
        <v>2089.0491283676706</v>
      </c>
      <c r="D234" s="1480">
        <f ca="1">VLOOKUP($A234,Curves_Table,Escalation!$R$291)</f>
        <v>4.4929477833336211</v>
      </c>
      <c r="E234" s="1509">
        <f t="shared" ca="1" si="34"/>
        <v>9385.9886505745599</v>
      </c>
      <c r="F234" s="330">
        <f ca="1">'Plant Operations'!C234</f>
        <v>480</v>
      </c>
      <c r="G234" s="1509">
        <f t="shared" ca="1" si="35"/>
        <v>4505.2745522757887</v>
      </c>
      <c r="H234" s="1504">
        <f ca="1">IF(Assm!$L$74=0,VLOOKUP($A234,Curves_Table,Escalation!$D$291),VLOOKUP($A234,Curves_Table,Escalation!$E$291))</f>
        <v>3.0377983590807851</v>
      </c>
      <c r="I234" s="384">
        <f t="shared" ca="1" si="36"/>
        <v>1483.072284507735</v>
      </c>
      <c r="J234" s="692" t="str">
        <f t="shared" ca="1" si="30"/>
        <v xml:space="preserve"> </v>
      </c>
      <c r="L234" s="1510">
        <f ca="1">IF($A234&gt;Endyr,0,VLOOKUP($A234,Tariff_Table,Tariff!$J$33))</f>
        <v>0.19</v>
      </c>
      <c r="M234" s="1504">
        <f t="shared" ca="1" si="31"/>
        <v>4.4929477833336211</v>
      </c>
      <c r="N234" s="1511">
        <f t="shared" ca="1" si="37"/>
        <v>0.85366007883338801</v>
      </c>
      <c r="O234" s="334">
        <f ca="1">'Plant Operations'!$I234+'Plant Operations'!$M234</f>
        <v>298980.864</v>
      </c>
      <c r="P234" s="1509">
        <f t="shared" ca="1" si="32"/>
        <v>255228.02793191446</v>
      </c>
      <c r="Q234" s="1480">
        <f t="shared" ca="1" si="38"/>
        <v>3.0377983590807851</v>
      </c>
      <c r="R234" s="335">
        <f t="shared" ca="1" si="39"/>
        <v>84017.435577634766</v>
      </c>
      <c r="S234" s="698" t="str">
        <f t="shared" ca="1" si="33"/>
        <v xml:space="preserve"> </v>
      </c>
    </row>
    <row r="235" spans="1:19">
      <c r="A235" s="672">
        <f ca="1">'Plant Operations'!A235</f>
        <v>43040</v>
      </c>
      <c r="C235" s="1484">
        <f ca="1">IF($A235&gt;Endyr,0,VLOOKUP($A235,Tariff_Table,Tariff!$D$33))</f>
        <v>2089.0491283676706</v>
      </c>
      <c r="D235" s="1480">
        <f ca="1">VLOOKUP($A235,Curves_Table,Escalation!$R$291)</f>
        <v>4.4929477833336211</v>
      </c>
      <c r="E235" s="1509">
        <f t="shared" ca="1" si="34"/>
        <v>9385.9886505745599</v>
      </c>
      <c r="F235" s="330">
        <f ca="1">'Plant Operations'!C235</f>
        <v>480</v>
      </c>
      <c r="G235" s="1509">
        <f t="shared" ca="1" si="35"/>
        <v>4505.2745522757887</v>
      </c>
      <c r="H235" s="1504">
        <f ca="1">IF(Assm!$L$74=0,VLOOKUP($A235,Curves_Table,Escalation!$D$291),VLOOKUP($A235,Curves_Table,Escalation!$E$291))</f>
        <v>3.042804838996688</v>
      </c>
      <c r="I235" s="384">
        <f t="shared" ca="1" si="36"/>
        <v>1480.6321110496606</v>
      </c>
      <c r="J235" s="692" t="str">
        <f t="shared" ca="1" si="30"/>
        <v xml:space="preserve"> </v>
      </c>
      <c r="L235" s="1510">
        <f ca="1">IF($A235&gt;Endyr,0,VLOOKUP($A235,Tariff_Table,Tariff!$J$33))</f>
        <v>0.19</v>
      </c>
      <c r="M235" s="1504">
        <f t="shared" ca="1" si="31"/>
        <v>4.4929477833336211</v>
      </c>
      <c r="N235" s="1511">
        <f t="shared" ca="1" si="37"/>
        <v>0.85366007883338801</v>
      </c>
      <c r="O235" s="334">
        <f ca="1">'Plant Operations'!$I235+'Plant Operations'!$M235</f>
        <v>289336.32000000001</v>
      </c>
      <c r="P235" s="1509">
        <f t="shared" ca="1" si="32"/>
        <v>246994.86574056238</v>
      </c>
      <c r="Q235" s="1480">
        <f t="shared" ca="1" si="38"/>
        <v>3.042804838996688</v>
      </c>
      <c r="R235" s="335">
        <f t="shared" ca="1" si="39"/>
        <v>81173.416899785341</v>
      </c>
      <c r="S235" s="698" t="str">
        <f t="shared" ca="1" si="33"/>
        <v xml:space="preserve"> </v>
      </c>
    </row>
    <row r="236" spans="1:19">
      <c r="A236" s="672">
        <f ca="1">'Plant Operations'!A236</f>
        <v>43070</v>
      </c>
      <c r="C236" s="1484">
        <f ca="1">IF($A236&gt;Endyr,0,VLOOKUP($A236,Tariff_Table,Tariff!$D$33))</f>
        <v>2089.0491283676706</v>
      </c>
      <c r="D236" s="1480">
        <f ca="1">VLOOKUP($A236,Curves_Table,Escalation!$R$291)</f>
        <v>4.4929477833336211</v>
      </c>
      <c r="E236" s="1509">
        <f t="shared" ca="1" si="34"/>
        <v>9385.9886505745599</v>
      </c>
      <c r="F236" s="330">
        <f ca="1">'Plant Operations'!C236</f>
        <v>480</v>
      </c>
      <c r="G236" s="1509">
        <f t="shared" ca="1" si="35"/>
        <v>4505.2745522757887</v>
      </c>
      <c r="H236" s="1504">
        <f ca="1">IF(Assm!$L$74=0,VLOOKUP($A236,Curves_Table,Escalation!$D$291),VLOOKUP($A236,Curves_Table,Escalation!$E$291))</f>
        <v>3.0478195699016921</v>
      </c>
      <c r="I236" s="384">
        <f t="shared" ca="1" si="36"/>
        <v>1478.1959525317659</v>
      </c>
      <c r="J236" s="692">
        <f t="shared" ca="1" si="30"/>
        <v>18055.597416576682</v>
      </c>
      <c r="L236" s="1510">
        <f ca="1">IF($A236&gt;Endyr,0,VLOOKUP($A236,Tariff_Table,Tariff!$J$33))</f>
        <v>0.19</v>
      </c>
      <c r="M236" s="1504">
        <f t="shared" ca="1" si="31"/>
        <v>4.4929477833336211</v>
      </c>
      <c r="N236" s="1511">
        <f t="shared" ca="1" si="37"/>
        <v>0.85366007883338801</v>
      </c>
      <c r="O236" s="334">
        <f ca="1">'Plant Operations'!$I236+'Plant Operations'!$M236</f>
        <v>298980.864</v>
      </c>
      <c r="P236" s="1509">
        <f t="shared" ca="1" si="32"/>
        <v>255228.02793191446</v>
      </c>
      <c r="Q236" s="1480">
        <f t="shared" ca="1" si="38"/>
        <v>3.0478195699016921</v>
      </c>
      <c r="R236" s="335">
        <f t="shared" ca="1" si="39"/>
        <v>83741.186798714232</v>
      </c>
      <c r="S236" s="698">
        <f t="shared" ca="1" si="33"/>
        <v>973771.72689714108</v>
      </c>
    </row>
    <row r="237" spans="1:19">
      <c r="A237" s="672">
        <f ca="1">'Plant Operations'!A237</f>
        <v>43101</v>
      </c>
      <c r="C237" s="1484">
        <f ca="1">IF($A237&gt;Endyr,0,VLOOKUP($A237,Tariff_Table,Tariff!$D$33))</f>
        <v>2089.0491283676706</v>
      </c>
      <c r="D237" s="1480">
        <f ca="1">VLOOKUP($A237,Curves_Table,Escalation!$R$291)</f>
        <v>4.4929477833336211</v>
      </c>
      <c r="E237" s="1509">
        <f t="shared" ca="1" si="34"/>
        <v>9385.9886505745599</v>
      </c>
      <c r="F237" s="330">
        <f ca="1">'Plant Operations'!C237</f>
        <v>480</v>
      </c>
      <c r="G237" s="1509">
        <f t="shared" ca="1" si="35"/>
        <v>4505.2745522757887</v>
      </c>
      <c r="H237" s="1504">
        <f ca="1">IF(Assm!$L$74=0,VLOOKUP($A237,Curves_Table,Escalation!$D$291),VLOOKUP($A237,Curves_Table,Escalation!$E$291))</f>
        <v>3.0528509811596467</v>
      </c>
      <c r="I237" s="384">
        <f t="shared" ca="1" si="36"/>
        <v>1475.7597341238152</v>
      </c>
      <c r="J237" s="692" t="str">
        <f t="shared" ca="1" si="30"/>
        <v xml:space="preserve"> </v>
      </c>
      <c r="L237" s="1510">
        <f ca="1">IF($A237&gt;Endyr,0,VLOOKUP($A237,Tariff_Table,Tariff!$J$33))</f>
        <v>0.19</v>
      </c>
      <c r="M237" s="1504">
        <f t="shared" ca="1" si="31"/>
        <v>4.4929477833336211</v>
      </c>
      <c r="N237" s="1511">
        <f t="shared" ca="1" si="37"/>
        <v>0.85366007883338801</v>
      </c>
      <c r="O237" s="334">
        <f ca="1">'Plant Operations'!$I237+'Plant Operations'!$M237</f>
        <v>298980.864</v>
      </c>
      <c r="P237" s="1509">
        <f t="shared" ca="1" si="32"/>
        <v>255228.02793191446</v>
      </c>
      <c r="Q237" s="1480">
        <f t="shared" ca="1" si="38"/>
        <v>3.0528509811596467</v>
      </c>
      <c r="R237" s="335">
        <f t="shared" ca="1" si="39"/>
        <v>83603.172741489107</v>
      </c>
      <c r="S237" s="698" t="str">
        <f t="shared" ca="1" si="33"/>
        <v xml:space="preserve"> </v>
      </c>
    </row>
    <row r="238" spans="1:19">
      <c r="A238" s="672">
        <f ca="1">'Plant Operations'!A238</f>
        <v>43132</v>
      </c>
      <c r="C238" s="1484">
        <f ca="1">IF($A238&gt;Endyr,0,VLOOKUP($A238,Tariff_Table,Tariff!$D$33))</f>
        <v>2089.0491283676706</v>
      </c>
      <c r="D238" s="1480">
        <f ca="1">VLOOKUP($A238,Curves_Table,Escalation!$R$291)</f>
        <v>4.4929477833336211</v>
      </c>
      <c r="E238" s="1509">
        <f t="shared" ca="1" si="34"/>
        <v>9385.9886505745599</v>
      </c>
      <c r="F238" s="330">
        <f ca="1">'Plant Operations'!C238</f>
        <v>480</v>
      </c>
      <c r="G238" s="1509">
        <f t="shared" ca="1" si="35"/>
        <v>4505.2745522757887</v>
      </c>
      <c r="H238" s="1504">
        <f ca="1">IF(Assm!$L$74=0,VLOOKUP($A238,Curves_Table,Escalation!$D$291),VLOOKUP($A238,Curves_Table,Escalation!$E$291))</f>
        <v>3.057890698388039</v>
      </c>
      <c r="I238" s="384">
        <f t="shared" ca="1" si="36"/>
        <v>1473.3275308534523</v>
      </c>
      <c r="J238" s="692" t="str">
        <f t="shared" ca="1" si="30"/>
        <v xml:space="preserve"> </v>
      </c>
      <c r="L238" s="1510">
        <f ca="1">IF($A238&gt;Endyr,0,VLOOKUP($A238,Tariff_Table,Tariff!$J$33))</f>
        <v>0.19</v>
      </c>
      <c r="M238" s="1504">
        <f t="shared" ca="1" si="31"/>
        <v>4.4929477833336211</v>
      </c>
      <c r="N238" s="1511">
        <f t="shared" ca="1" si="37"/>
        <v>0.85366007883338801</v>
      </c>
      <c r="O238" s="334">
        <f ca="1">'Plant Operations'!$I238+'Plant Operations'!$M238</f>
        <v>270047.23200000002</v>
      </c>
      <c r="P238" s="1509">
        <f t="shared" ca="1" si="32"/>
        <v>230528.54135785825</v>
      </c>
      <c r="Q238" s="1480">
        <f t="shared" ca="1" si="38"/>
        <v>3.057890698388039</v>
      </c>
      <c r="R238" s="335">
        <f t="shared" ca="1" si="39"/>
        <v>75388.090712130725</v>
      </c>
      <c r="S238" s="698" t="str">
        <f t="shared" ca="1" si="33"/>
        <v xml:space="preserve"> </v>
      </c>
    </row>
    <row r="239" spans="1:19">
      <c r="A239" s="672">
        <f ca="1">'Plant Operations'!A239</f>
        <v>43160</v>
      </c>
      <c r="C239" s="1484">
        <f ca="1">IF($A239&gt;Endyr,0,VLOOKUP($A239,Tariff_Table,Tariff!$D$33))</f>
        <v>2089.0491283676706</v>
      </c>
      <c r="D239" s="1480">
        <f ca="1">VLOOKUP($A239,Curves_Table,Escalation!$R$291)</f>
        <v>4.4929477833336211</v>
      </c>
      <c r="E239" s="1509">
        <f t="shared" ca="1" si="34"/>
        <v>9385.9886505745599</v>
      </c>
      <c r="F239" s="330">
        <f ca="1">'Plant Operations'!C239</f>
        <v>480</v>
      </c>
      <c r="G239" s="1509">
        <f t="shared" ca="1" si="35"/>
        <v>4505.2745522757887</v>
      </c>
      <c r="H239" s="1504">
        <f ca="1">IF(Assm!$L$74=0,VLOOKUP($A239,Curves_Table,Escalation!$D$291),VLOOKUP($A239,Curves_Table,Escalation!$E$291))</f>
        <v>3.0629387352985575</v>
      </c>
      <c r="I239" s="384">
        <f t="shared" ca="1" si="36"/>
        <v>1470.8993361033192</v>
      </c>
      <c r="J239" s="692" t="str">
        <f t="shared" ca="1" si="30"/>
        <v xml:space="preserve"> </v>
      </c>
      <c r="L239" s="1510">
        <f ca="1">IF($A239&gt;Endyr,0,VLOOKUP($A239,Tariff_Table,Tariff!$J$33))</f>
        <v>0.19</v>
      </c>
      <c r="M239" s="1504">
        <f t="shared" ca="1" si="31"/>
        <v>4.4929477833336211</v>
      </c>
      <c r="N239" s="1511">
        <f t="shared" ca="1" si="37"/>
        <v>0.85366007883338801</v>
      </c>
      <c r="O239" s="334">
        <f ca="1">'Plant Operations'!$I239+'Plant Operations'!$M239</f>
        <v>298980.864</v>
      </c>
      <c r="P239" s="1509">
        <f t="shared" ca="1" si="32"/>
        <v>255228.02793191446</v>
      </c>
      <c r="Q239" s="1480">
        <f t="shared" ca="1" si="38"/>
        <v>3.0629387352985575</v>
      </c>
      <c r="R239" s="335">
        <f t="shared" ca="1" si="39"/>
        <v>83327.826636087222</v>
      </c>
      <c r="S239" s="698" t="str">
        <f t="shared" ca="1" si="33"/>
        <v xml:space="preserve"> </v>
      </c>
    </row>
    <row r="240" spans="1:19">
      <c r="A240" s="672">
        <f ca="1">'Plant Operations'!A240</f>
        <v>43191</v>
      </c>
      <c r="C240" s="1484">
        <f ca="1">IF($A240&gt;Endyr,0,VLOOKUP($A240,Tariff_Table,Tariff!$D$33))</f>
        <v>2089.0491283676706</v>
      </c>
      <c r="D240" s="1480">
        <f ca="1">VLOOKUP($A240,Curves_Table,Escalation!$R$291)</f>
        <v>4.4929477833336211</v>
      </c>
      <c r="E240" s="1509">
        <f t="shared" ca="1" si="34"/>
        <v>9385.9886505745599</v>
      </c>
      <c r="F240" s="330">
        <f ca="1">'Plant Operations'!C240</f>
        <v>480</v>
      </c>
      <c r="G240" s="1509">
        <f t="shared" ca="1" si="35"/>
        <v>4505.2745522757887</v>
      </c>
      <c r="H240" s="1504">
        <f ca="1">IF(Assm!$L$74=0,VLOOKUP($A240,Curves_Table,Escalation!$D$291),VLOOKUP($A240,Curves_Table,Escalation!$E$291))</f>
        <v>3.0679951056255268</v>
      </c>
      <c r="I240" s="384">
        <f t="shared" ca="1" si="36"/>
        <v>1468.4751432669636</v>
      </c>
      <c r="J240" s="692" t="str">
        <f t="shared" ca="1" si="30"/>
        <v xml:space="preserve"> </v>
      </c>
      <c r="L240" s="1510">
        <f ca="1">IF($A240&gt;Endyr,0,VLOOKUP($A240,Tariff_Table,Tariff!$J$33))</f>
        <v>0.19</v>
      </c>
      <c r="M240" s="1504">
        <f t="shared" ca="1" si="31"/>
        <v>4.4929477833336211</v>
      </c>
      <c r="N240" s="1511">
        <f t="shared" ca="1" si="37"/>
        <v>0.85366007883338801</v>
      </c>
      <c r="O240" s="334">
        <f ca="1">'Plant Operations'!$I240+'Plant Operations'!$M240</f>
        <v>289336.32000000001</v>
      </c>
      <c r="P240" s="1509">
        <f t="shared" ca="1" si="32"/>
        <v>246994.86574056238</v>
      </c>
      <c r="Q240" s="1480">
        <f t="shared" ca="1" si="38"/>
        <v>3.0679951056255268</v>
      </c>
      <c r="R240" s="335">
        <f t="shared" ca="1" si="39"/>
        <v>80506.929521389553</v>
      </c>
      <c r="S240" s="698" t="str">
        <f t="shared" ca="1" si="33"/>
        <v xml:space="preserve"> </v>
      </c>
    </row>
    <row r="241" spans="1:19">
      <c r="A241" s="672">
        <f ca="1">'Plant Operations'!A241</f>
        <v>43221</v>
      </c>
      <c r="C241" s="1484">
        <f ca="1">IF($A241&gt;Endyr,0,VLOOKUP($A241,Tariff_Table,Tariff!$D$33))</f>
        <v>1291.0185185185185</v>
      </c>
      <c r="D241" s="1480">
        <f ca="1">VLOOKUP($A241,Curves_Table,Escalation!$R$291)</f>
        <v>4.7984682326003112</v>
      </c>
      <c r="E241" s="1509">
        <f t="shared" ca="1" si="34"/>
        <v>6194.9113488098274</v>
      </c>
      <c r="F241" s="330">
        <f ca="1">'Plant Operations'!C241</f>
        <v>480</v>
      </c>
      <c r="G241" s="1509">
        <f t="shared" ca="1" si="35"/>
        <v>2973.5574474287173</v>
      </c>
      <c r="H241" s="1504">
        <f ca="1">IF(Assm!$L$74=0,VLOOKUP($A241,Curves_Table,Escalation!$D$291),VLOOKUP($A241,Curves_Table,Escalation!$E$291))</f>
        <v>3.0730598231259436</v>
      </c>
      <c r="I241" s="384">
        <f t="shared" ca="1" si="36"/>
        <v>967.62107429590753</v>
      </c>
      <c r="J241" s="692" t="str">
        <f t="shared" ca="1" si="30"/>
        <v xml:space="preserve"> </v>
      </c>
      <c r="L241" s="1510">
        <f ca="1">IF($A241&gt;Endyr,0,VLOOKUP($A241,Tariff_Table,Tariff!$J$33))</f>
        <v>0.19</v>
      </c>
      <c r="M241" s="1504">
        <f t="shared" ca="1" si="31"/>
        <v>4.7984682326003112</v>
      </c>
      <c r="N241" s="1511">
        <f t="shared" ca="1" si="37"/>
        <v>0.91170896419405911</v>
      </c>
      <c r="O241" s="334">
        <f ca="1">'Plant Operations'!$I241+'Plant Operations'!$M241</f>
        <v>298980.864</v>
      </c>
      <c r="P241" s="1509">
        <f t="shared" ca="1" si="32"/>
        <v>272583.53383128485</v>
      </c>
      <c r="Q241" s="1480">
        <f t="shared" ca="1" si="38"/>
        <v>3.0730598231259436</v>
      </c>
      <c r="R241" s="335">
        <f t="shared" ca="1" si="39"/>
        <v>88701.017721812677</v>
      </c>
      <c r="S241" s="698" t="str">
        <f t="shared" ca="1" si="33"/>
        <v xml:space="preserve"> </v>
      </c>
    </row>
    <row r="242" spans="1:19">
      <c r="A242" s="672">
        <f ca="1">'Plant Operations'!A242</f>
        <v>43252</v>
      </c>
      <c r="C242" s="1484">
        <f ca="1">IF($A242&gt;Endyr,0,VLOOKUP($A242,Tariff_Table,Tariff!$D$33))</f>
        <v>1291.0185185185185</v>
      </c>
      <c r="D242" s="1480">
        <f ca="1">VLOOKUP($A242,Curves_Table,Escalation!$R$291)</f>
        <v>4.7984682326003112</v>
      </c>
      <c r="E242" s="1509">
        <f t="shared" ca="1" si="34"/>
        <v>6194.9113488098274</v>
      </c>
      <c r="F242" s="330">
        <f ca="1">'Plant Operations'!C242</f>
        <v>480</v>
      </c>
      <c r="G242" s="1509">
        <f t="shared" ca="1" si="35"/>
        <v>2973.5574474287173</v>
      </c>
      <c r="H242" s="1504">
        <f ca="1">IF(Assm!$L$74=0,VLOOKUP($A242,Curves_Table,Escalation!$D$291),VLOOKUP($A242,Curves_Table,Escalation!$E$291))</f>
        <v>3.078132901579516</v>
      </c>
      <c r="I242" s="384">
        <f t="shared" ca="1" si="36"/>
        <v>966.02633560846687</v>
      </c>
      <c r="J242" s="692" t="str">
        <f t="shared" ca="1" si="30"/>
        <v xml:space="preserve"> </v>
      </c>
      <c r="L242" s="1510">
        <f ca="1">IF($A242&gt;Endyr,0,VLOOKUP($A242,Tariff_Table,Tariff!$J$33))</f>
        <v>0.19</v>
      </c>
      <c r="M242" s="1504">
        <f t="shared" ca="1" si="31"/>
        <v>4.7984682326003112</v>
      </c>
      <c r="N242" s="1511">
        <f t="shared" ca="1" si="37"/>
        <v>0.91170896419405911</v>
      </c>
      <c r="O242" s="334">
        <f ca="1">'Plant Operations'!$I242+'Plant Operations'!$M242</f>
        <v>289336.32000000001</v>
      </c>
      <c r="P242" s="1509">
        <f t="shared" ca="1" si="32"/>
        <v>263790.51661092084</v>
      </c>
      <c r="Q242" s="1480">
        <f t="shared" ca="1" si="38"/>
        <v>3.078132901579516</v>
      </c>
      <c r="R242" s="335">
        <f t="shared" ca="1" si="39"/>
        <v>85698.221956420108</v>
      </c>
      <c r="S242" s="698" t="str">
        <f t="shared" ca="1" si="33"/>
        <v xml:space="preserve"> </v>
      </c>
    </row>
    <row r="243" spans="1:19">
      <c r="A243" s="672">
        <f ca="1">'Plant Operations'!A243</f>
        <v>43282</v>
      </c>
      <c r="C243" s="1484">
        <f ca="1">IF($A243&gt;Endyr,0,VLOOKUP($A243,Tariff_Table,Tariff!$D$33))</f>
        <v>1291.0185185185185</v>
      </c>
      <c r="D243" s="1480">
        <f ca="1">VLOOKUP($A243,Curves_Table,Escalation!$R$291)</f>
        <v>4.7984682326003112</v>
      </c>
      <c r="E243" s="1509">
        <f t="shared" ca="1" si="34"/>
        <v>6194.9113488098274</v>
      </c>
      <c r="F243" s="330">
        <f ca="1">'Plant Operations'!C243</f>
        <v>480</v>
      </c>
      <c r="G243" s="1509">
        <f t="shared" ca="1" si="35"/>
        <v>2973.5574474287173</v>
      </c>
      <c r="H243" s="1504">
        <f ca="1">IF(Assm!$L$74=0,VLOOKUP($A243,Curves_Table,Escalation!$D$291),VLOOKUP($A243,Curves_Table,Escalation!$E$291))</f>
        <v>3.0832143547886992</v>
      </c>
      <c r="I243" s="384">
        <f t="shared" ca="1" si="36"/>
        <v>964.43422521380387</v>
      </c>
      <c r="J243" s="692" t="str">
        <f t="shared" ca="1" si="30"/>
        <v xml:space="preserve"> </v>
      </c>
      <c r="L243" s="1510">
        <f ca="1">IF($A243&gt;Endyr,0,VLOOKUP($A243,Tariff_Table,Tariff!$J$33))</f>
        <v>0.19</v>
      </c>
      <c r="M243" s="1504">
        <f t="shared" ca="1" si="31"/>
        <v>4.7984682326003112</v>
      </c>
      <c r="N243" s="1511">
        <f t="shared" ca="1" si="37"/>
        <v>0.91170896419405911</v>
      </c>
      <c r="O243" s="334">
        <f ca="1">'Plant Operations'!$I243+'Plant Operations'!$M243</f>
        <v>298980.864</v>
      </c>
      <c r="P243" s="1509">
        <f t="shared" ca="1" si="32"/>
        <v>272583.53383128485</v>
      </c>
      <c r="Q243" s="1480">
        <f t="shared" ca="1" si="38"/>
        <v>3.0832143547886992</v>
      </c>
      <c r="R243" s="335">
        <f t="shared" ca="1" si="39"/>
        <v>88408.881921531443</v>
      </c>
      <c r="S243" s="698" t="str">
        <f t="shared" ca="1" si="33"/>
        <v xml:space="preserve"> </v>
      </c>
    </row>
    <row r="244" spans="1:19">
      <c r="A244" s="672">
        <f ca="1">'Plant Operations'!A244</f>
        <v>43313</v>
      </c>
      <c r="C244" s="1484">
        <f ca="1">IF($A244&gt;Endyr,0,VLOOKUP($A244,Tariff_Table,Tariff!$D$33))</f>
        <v>1291.0185185185185</v>
      </c>
      <c r="D244" s="1480">
        <f ca="1">VLOOKUP($A244,Curves_Table,Escalation!$R$291)</f>
        <v>4.7984682326003112</v>
      </c>
      <c r="E244" s="1509">
        <f t="shared" ca="1" si="34"/>
        <v>6194.9113488098274</v>
      </c>
      <c r="F244" s="330">
        <f ca="1">'Plant Operations'!C244</f>
        <v>480</v>
      </c>
      <c r="G244" s="1509">
        <f t="shared" ca="1" si="35"/>
        <v>2973.5574474287173</v>
      </c>
      <c r="H244" s="1504">
        <f ca="1">IF(Assm!$L$74=0,VLOOKUP($A244,Curves_Table,Escalation!$D$291),VLOOKUP($A244,Curves_Table,Escalation!$E$291))</f>
        <v>3.0883041965787341</v>
      </c>
      <c r="I244" s="384">
        <f t="shared" ca="1" si="36"/>
        <v>962.84473878022288</v>
      </c>
      <c r="J244" s="692" t="str">
        <f t="shared" ca="1" si="30"/>
        <v xml:space="preserve"> </v>
      </c>
      <c r="L244" s="1510">
        <f ca="1">IF($A244&gt;Endyr,0,VLOOKUP($A244,Tariff_Table,Tariff!$J$33))</f>
        <v>0.19</v>
      </c>
      <c r="M244" s="1504">
        <f t="shared" ca="1" si="31"/>
        <v>4.7984682326003112</v>
      </c>
      <c r="N244" s="1511">
        <f t="shared" ca="1" si="37"/>
        <v>0.91170896419405911</v>
      </c>
      <c r="O244" s="334">
        <f ca="1">'Plant Operations'!$I244+'Plant Operations'!$M244</f>
        <v>298980.864</v>
      </c>
      <c r="P244" s="1509">
        <f t="shared" ca="1" si="32"/>
        <v>272583.53383128485</v>
      </c>
      <c r="Q244" s="1480">
        <f t="shared" ca="1" si="38"/>
        <v>3.0883041965787341</v>
      </c>
      <c r="R244" s="335">
        <f t="shared" ca="1" si="39"/>
        <v>88263.175024421696</v>
      </c>
      <c r="S244" s="698" t="str">
        <f t="shared" ca="1" si="33"/>
        <v xml:space="preserve"> </v>
      </c>
    </row>
    <row r="245" spans="1:19">
      <c r="A245" s="672">
        <f ca="1">'Plant Operations'!A245</f>
        <v>43344</v>
      </c>
      <c r="C245" s="1484">
        <f ca="1">IF($A245&gt;Endyr,0,VLOOKUP($A245,Tariff_Table,Tariff!$D$33))</f>
        <v>1291.0185185185185</v>
      </c>
      <c r="D245" s="1480">
        <f ca="1">VLOOKUP($A245,Curves_Table,Escalation!$R$291)</f>
        <v>4.7984682326003112</v>
      </c>
      <c r="E245" s="1509">
        <f t="shared" ca="1" si="34"/>
        <v>6194.9113488098274</v>
      </c>
      <c r="F245" s="330">
        <f ca="1">'Plant Operations'!C245</f>
        <v>480</v>
      </c>
      <c r="G245" s="1509">
        <f t="shared" ca="1" si="35"/>
        <v>2973.5574474287173</v>
      </c>
      <c r="H245" s="1504">
        <f ca="1">IF(Assm!$L$74=0,VLOOKUP($A245,Curves_Table,Escalation!$D$291),VLOOKUP($A245,Curves_Table,Escalation!$E$291))</f>
        <v>3.0934024407976843</v>
      </c>
      <c r="I245" s="384">
        <f t="shared" ca="1" si="36"/>
        <v>961.25787198316721</v>
      </c>
      <c r="J245" s="692" t="str">
        <f t="shared" ca="1" si="30"/>
        <v xml:space="preserve"> </v>
      </c>
      <c r="L245" s="1510">
        <f ca="1">IF($A245&gt;Endyr,0,VLOOKUP($A245,Tariff_Table,Tariff!$J$33))</f>
        <v>0.19</v>
      </c>
      <c r="M245" s="1504">
        <f t="shared" ca="1" si="31"/>
        <v>4.7984682326003112</v>
      </c>
      <c r="N245" s="1511">
        <f t="shared" ca="1" si="37"/>
        <v>0.91170896419405911</v>
      </c>
      <c r="O245" s="334">
        <f ca="1">'Plant Operations'!$I245+'Plant Operations'!$M245</f>
        <v>289336.32000000001</v>
      </c>
      <c r="P245" s="1509">
        <f t="shared" ca="1" si="32"/>
        <v>263790.51661092084</v>
      </c>
      <c r="Q245" s="1480">
        <f t="shared" ca="1" si="38"/>
        <v>3.0934024407976843</v>
      </c>
      <c r="R245" s="335">
        <f t="shared" ca="1" si="39"/>
        <v>85275.201548912635</v>
      </c>
      <c r="S245" s="698" t="str">
        <f t="shared" ca="1" si="33"/>
        <v xml:space="preserve"> </v>
      </c>
    </row>
    <row r="246" spans="1:19">
      <c r="A246" s="672">
        <f ca="1">'Plant Operations'!A246</f>
        <v>43374</v>
      </c>
      <c r="C246" s="1484">
        <f ca="1">IF($A246&gt;Endyr,0,VLOOKUP($A246,Tariff_Table,Tariff!$D$33))</f>
        <v>1291.0185185185185</v>
      </c>
      <c r="D246" s="1480">
        <f ca="1">VLOOKUP($A246,Curves_Table,Escalation!$R$291)</f>
        <v>4.7984682326003112</v>
      </c>
      <c r="E246" s="1509">
        <f t="shared" ca="1" si="34"/>
        <v>6194.9113488098274</v>
      </c>
      <c r="F246" s="330">
        <f ca="1">'Plant Operations'!C246</f>
        <v>480</v>
      </c>
      <c r="G246" s="1509">
        <f t="shared" ca="1" si="35"/>
        <v>2973.5574474287173</v>
      </c>
      <c r="H246" s="1504">
        <f ca="1">IF(Assm!$L$74=0,VLOOKUP($A246,Curves_Table,Escalation!$D$291),VLOOKUP($A246,Curves_Table,Escalation!$E$291))</f>
        <v>3.0985091013164747</v>
      </c>
      <c r="I246" s="384">
        <f t="shared" ca="1" si="36"/>
        <v>959.67362050520728</v>
      </c>
      <c r="J246" s="692" t="str">
        <f t="shared" ca="1" si="30"/>
        <v xml:space="preserve"> </v>
      </c>
      <c r="L246" s="1510">
        <f ca="1">IF($A246&gt;Endyr,0,VLOOKUP($A246,Tariff_Table,Tariff!$J$33))</f>
        <v>0.19</v>
      </c>
      <c r="M246" s="1504">
        <f t="shared" ca="1" si="31"/>
        <v>4.7984682326003112</v>
      </c>
      <c r="N246" s="1511">
        <f t="shared" ca="1" si="37"/>
        <v>0.91170896419405911</v>
      </c>
      <c r="O246" s="334">
        <f ca="1">'Plant Operations'!$I246+'Plant Operations'!$M246</f>
        <v>298980.864</v>
      </c>
      <c r="P246" s="1509">
        <f t="shared" ca="1" si="32"/>
        <v>272583.53383128485</v>
      </c>
      <c r="Q246" s="1480">
        <f t="shared" ca="1" si="38"/>
        <v>3.0985091013164747</v>
      </c>
      <c r="R246" s="335">
        <f t="shared" ca="1" si="39"/>
        <v>87972.481254120343</v>
      </c>
      <c r="S246" s="698" t="str">
        <f t="shared" ca="1" si="33"/>
        <v xml:space="preserve"> </v>
      </c>
    </row>
    <row r="247" spans="1:19">
      <c r="A247" s="672">
        <f ca="1">'Plant Operations'!A247</f>
        <v>43405</v>
      </c>
      <c r="C247" s="1484">
        <f ca="1">IF($A247&gt;Endyr,0,VLOOKUP($A247,Tariff_Table,Tariff!$D$33))</f>
        <v>1291.0185185185185</v>
      </c>
      <c r="D247" s="1480">
        <f ca="1">VLOOKUP($A247,Curves_Table,Escalation!$R$291)</f>
        <v>4.7984682326003112</v>
      </c>
      <c r="E247" s="1509">
        <f t="shared" ca="1" si="34"/>
        <v>6194.9113488098274</v>
      </c>
      <c r="F247" s="330">
        <f ca="1">'Plant Operations'!C247</f>
        <v>480</v>
      </c>
      <c r="G247" s="1509">
        <f t="shared" ca="1" si="35"/>
        <v>2973.5574474287173</v>
      </c>
      <c r="H247" s="1504">
        <f ca="1">IF(Assm!$L$74=0,VLOOKUP($A247,Curves_Table,Escalation!$D$291),VLOOKUP($A247,Curves_Table,Escalation!$E$291))</f>
        <v>3.1036241920289283</v>
      </c>
      <c r="I247" s="384">
        <f t="shared" ca="1" si="36"/>
        <v>958.09198003602921</v>
      </c>
      <c r="J247" s="692" t="str">
        <f t="shared" ca="1" si="30"/>
        <v xml:space="preserve"> </v>
      </c>
      <c r="L247" s="1510">
        <f ca="1">IF($A247&gt;Endyr,0,VLOOKUP($A247,Tariff_Table,Tariff!$J$33))</f>
        <v>0.19</v>
      </c>
      <c r="M247" s="1504">
        <f t="shared" ca="1" si="31"/>
        <v>4.7984682326003112</v>
      </c>
      <c r="N247" s="1511">
        <f t="shared" ca="1" si="37"/>
        <v>0.91170896419405911</v>
      </c>
      <c r="O247" s="334">
        <f ca="1">'Plant Operations'!$I247+'Plant Operations'!$M247</f>
        <v>289336.32000000001</v>
      </c>
      <c r="P247" s="1509">
        <f t="shared" ca="1" si="32"/>
        <v>263790.51661092084</v>
      </c>
      <c r="Q247" s="1480">
        <f t="shared" ca="1" si="38"/>
        <v>3.1036241920289283</v>
      </c>
      <c r="R247" s="335">
        <f t="shared" ca="1" si="39"/>
        <v>84994.348635513568</v>
      </c>
      <c r="S247" s="698" t="str">
        <f t="shared" ca="1" si="33"/>
        <v xml:space="preserve"> </v>
      </c>
    </row>
    <row r="248" spans="1:19">
      <c r="A248" s="672">
        <f ca="1">'Plant Operations'!A248</f>
        <v>43435</v>
      </c>
      <c r="C248" s="1484">
        <f ca="1">IF($A248&gt;Endyr,0,VLOOKUP($A248,Tariff_Table,Tariff!$D$33))</f>
        <v>1291.0185185185185</v>
      </c>
      <c r="D248" s="1480">
        <f ca="1">VLOOKUP($A248,Curves_Table,Escalation!$R$291)</f>
        <v>4.7984682326003112</v>
      </c>
      <c r="E248" s="1509">
        <f t="shared" ca="1" si="34"/>
        <v>6194.9113488098274</v>
      </c>
      <c r="F248" s="330">
        <f ca="1">'Plant Operations'!C248</f>
        <v>480</v>
      </c>
      <c r="G248" s="1509">
        <f t="shared" ca="1" si="35"/>
        <v>2973.5574474287173</v>
      </c>
      <c r="H248" s="1504">
        <f ca="1">IF(Assm!$L$74=0,VLOOKUP($A248,Curves_Table,Escalation!$D$291),VLOOKUP($A248,Curves_Table,Escalation!$E$291))</f>
        <v>3.1087477268518051</v>
      </c>
      <c r="I248" s="384">
        <f t="shared" ca="1" si="36"/>
        <v>956.51294627242282</v>
      </c>
      <c r="J248" s="692">
        <f t="shared" ca="1" si="30"/>
        <v>13584.924537042778</v>
      </c>
      <c r="L248" s="1510">
        <f ca="1">IF($A248&gt;Endyr,0,VLOOKUP($A248,Tariff_Table,Tariff!$J$33))</f>
        <v>0.19</v>
      </c>
      <c r="M248" s="1504">
        <f t="shared" ca="1" si="31"/>
        <v>4.7984682326003112</v>
      </c>
      <c r="N248" s="1511">
        <f t="shared" ca="1" si="37"/>
        <v>0.91170896419405911</v>
      </c>
      <c r="O248" s="334">
        <f ca="1">'Plant Operations'!$I248+'Plant Operations'!$M248</f>
        <v>298980.864</v>
      </c>
      <c r="P248" s="1509">
        <f t="shared" ca="1" si="32"/>
        <v>272583.53383128485</v>
      </c>
      <c r="Q248" s="1480">
        <f t="shared" ca="1" si="38"/>
        <v>3.1087477268518051</v>
      </c>
      <c r="R248" s="335">
        <f t="shared" ca="1" si="39"/>
        <v>87682.744880469036</v>
      </c>
      <c r="S248" s="698">
        <f t="shared" ca="1" si="33"/>
        <v>1019822.0925542981</v>
      </c>
    </row>
    <row r="249" spans="1:19">
      <c r="A249" s="672">
        <f ca="1">'Plant Operations'!A249</f>
        <v>43466</v>
      </c>
      <c r="C249" s="1484">
        <f ca="1">IF($A249&gt;Endyr,0,VLOOKUP($A249,Tariff_Table,Tariff!$D$33))</f>
        <v>1291.0185185185185</v>
      </c>
      <c r="D249" s="1480">
        <f ca="1">VLOOKUP($A249,Curves_Table,Escalation!$R$291)</f>
        <v>4.7984682326003112</v>
      </c>
      <c r="E249" s="1509">
        <f t="shared" ca="1" si="34"/>
        <v>6194.9113488098274</v>
      </c>
      <c r="F249" s="330">
        <f ca="1">'Plant Operations'!C249</f>
        <v>480</v>
      </c>
      <c r="G249" s="1509">
        <f t="shared" ca="1" si="35"/>
        <v>2973.5574474287173</v>
      </c>
      <c r="H249" s="1504">
        <f ca="1">IF(Assm!$L$74=0,VLOOKUP($A249,Curves_Table,Escalation!$D$291),VLOOKUP($A249,Curves_Table,Escalation!$E$291))</f>
        <v>3.1138921883315391</v>
      </c>
      <c r="I249" s="384">
        <f t="shared" ca="1" si="36"/>
        <v>954.9326911738666</v>
      </c>
      <c r="J249" s="692" t="str">
        <f t="shared" ca="1" si="30"/>
        <v xml:space="preserve"> </v>
      </c>
      <c r="L249" s="1510">
        <f ca="1">IF($A249&gt;Endyr,0,VLOOKUP($A249,Tariff_Table,Tariff!$J$33))</f>
        <v>0.19</v>
      </c>
      <c r="M249" s="1504">
        <f t="shared" ca="1" si="31"/>
        <v>4.7984682326003112</v>
      </c>
      <c r="N249" s="1511">
        <f t="shared" ca="1" si="37"/>
        <v>0.91170896419405911</v>
      </c>
      <c r="O249" s="334">
        <f ca="1">'Plant Operations'!$I249+'Plant Operations'!$M249</f>
        <v>298980.864</v>
      </c>
      <c r="P249" s="1509">
        <f t="shared" ca="1" si="32"/>
        <v>272583.53383128485</v>
      </c>
      <c r="Q249" s="1480">
        <f t="shared" ca="1" si="38"/>
        <v>3.1138921883315391</v>
      </c>
      <c r="R249" s="335">
        <f t="shared" ca="1" si="39"/>
        <v>87537.884212150064</v>
      </c>
      <c r="S249" s="698" t="str">
        <f t="shared" ca="1" si="33"/>
        <v xml:space="preserve"> </v>
      </c>
    </row>
    <row r="250" spans="1:19">
      <c r="A250" s="672">
        <f ca="1">'Plant Operations'!A250</f>
        <v>43497</v>
      </c>
      <c r="C250" s="1484">
        <f ca="1">IF($A250&gt;Endyr,0,VLOOKUP($A250,Tariff_Table,Tariff!$D$33))</f>
        <v>1291.0185185185185</v>
      </c>
      <c r="D250" s="1480">
        <f ca="1">VLOOKUP($A250,Curves_Table,Escalation!$R$291)</f>
        <v>4.7984682326003112</v>
      </c>
      <c r="E250" s="1509">
        <f t="shared" ca="1" si="34"/>
        <v>6194.9113488098274</v>
      </c>
      <c r="F250" s="330">
        <f ca="1">'Plant Operations'!C250</f>
        <v>480</v>
      </c>
      <c r="G250" s="1509">
        <f t="shared" ca="1" si="35"/>
        <v>2973.5574474287173</v>
      </c>
      <c r="H250" s="1504">
        <f ca="1">IF(Assm!$L$74=0,VLOOKUP($A250,Curves_Table,Escalation!$D$291),VLOOKUP($A250,Curves_Table,Escalation!$E$291))</f>
        <v>3.1190451630411142</v>
      </c>
      <c r="I250" s="384">
        <f t="shared" ca="1" si="36"/>
        <v>953.35504681485781</v>
      </c>
      <c r="J250" s="692" t="str">
        <f t="shared" ca="1" si="30"/>
        <v xml:space="preserve"> </v>
      </c>
      <c r="L250" s="1510">
        <f ca="1">IF($A250&gt;Endyr,0,VLOOKUP($A250,Tariff_Table,Tariff!$J$33))</f>
        <v>0.19</v>
      </c>
      <c r="M250" s="1504">
        <f t="shared" ca="1" si="31"/>
        <v>4.7984682326003112</v>
      </c>
      <c r="N250" s="1511">
        <f t="shared" ca="1" si="37"/>
        <v>0.91170896419405911</v>
      </c>
      <c r="O250" s="334">
        <f ca="1">'Plant Operations'!$I250+'Plant Operations'!$M250</f>
        <v>270047.23200000002</v>
      </c>
      <c r="P250" s="1509">
        <f t="shared" ca="1" si="32"/>
        <v>246204.48217019279</v>
      </c>
      <c r="Q250" s="1480">
        <f t="shared" ca="1" si="38"/>
        <v>3.1190451630411142</v>
      </c>
      <c r="R250" s="335">
        <f t="shared" ca="1" si="39"/>
        <v>78935.850332522867</v>
      </c>
      <c r="S250" s="698" t="str">
        <f t="shared" ca="1" si="33"/>
        <v xml:space="preserve"> </v>
      </c>
    </row>
    <row r="251" spans="1:19">
      <c r="A251" s="672">
        <f ca="1">'Plant Operations'!A251</f>
        <v>43525</v>
      </c>
      <c r="C251" s="1484">
        <f ca="1">IF($A251&gt;Endyr,0,VLOOKUP($A251,Tariff_Table,Tariff!$D$33))</f>
        <v>1291.0185185185185</v>
      </c>
      <c r="D251" s="1480">
        <f ca="1">VLOOKUP($A251,Curves_Table,Escalation!$R$291)</f>
        <v>4.7984682326003112</v>
      </c>
      <c r="E251" s="1509">
        <f t="shared" ca="1" si="34"/>
        <v>6194.9113488098274</v>
      </c>
      <c r="F251" s="330">
        <f ca="1">'Plant Operations'!C251</f>
        <v>480</v>
      </c>
      <c r="G251" s="1509">
        <f t="shared" ca="1" si="35"/>
        <v>2973.5574474287173</v>
      </c>
      <c r="H251" s="1504">
        <f ca="1">IF(Assm!$L$74=0,VLOOKUP($A251,Curves_Table,Escalation!$D$291),VLOOKUP($A251,Curves_Table,Escalation!$E$291))</f>
        <v>3.1242066650685127</v>
      </c>
      <c r="I251" s="384">
        <f t="shared" ca="1" si="36"/>
        <v>951.78000888219356</v>
      </c>
      <c r="J251" s="692" t="str">
        <f t="shared" ca="1" si="30"/>
        <v xml:space="preserve"> </v>
      </c>
      <c r="L251" s="1510">
        <f ca="1">IF($A251&gt;Endyr,0,VLOOKUP($A251,Tariff_Table,Tariff!$J$33))</f>
        <v>0.19</v>
      </c>
      <c r="M251" s="1504">
        <f t="shared" ca="1" si="31"/>
        <v>4.7984682326003112</v>
      </c>
      <c r="N251" s="1511">
        <f t="shared" ca="1" si="37"/>
        <v>0.91170896419405911</v>
      </c>
      <c r="O251" s="334">
        <f ca="1">'Plant Operations'!$I251+'Plant Operations'!$M251</f>
        <v>298980.864</v>
      </c>
      <c r="P251" s="1509">
        <f t="shared" ca="1" si="32"/>
        <v>272583.53383128485</v>
      </c>
      <c r="Q251" s="1480">
        <f t="shared" ca="1" si="38"/>
        <v>3.1242066650685127</v>
      </c>
      <c r="R251" s="335">
        <f t="shared" ca="1" si="39"/>
        <v>87248.880453082063</v>
      </c>
      <c r="S251" s="698" t="str">
        <f t="shared" ca="1" si="33"/>
        <v xml:space="preserve"> </v>
      </c>
    </row>
    <row r="252" spans="1:19">
      <c r="A252" s="672">
        <f ca="1">'Plant Operations'!A252</f>
        <v>43556</v>
      </c>
      <c r="C252" s="1484">
        <f ca="1">IF($A252&gt;Endyr,0,VLOOKUP($A252,Tariff_Table,Tariff!$D$33))</f>
        <v>1291.0185185185185</v>
      </c>
      <c r="D252" s="1480">
        <f ca="1">VLOOKUP($A252,Curves_Table,Escalation!$R$291)</f>
        <v>4.7984682326003112</v>
      </c>
      <c r="E252" s="1509">
        <f t="shared" ca="1" si="34"/>
        <v>6194.9113488098274</v>
      </c>
      <c r="F252" s="330">
        <f ca="1">'Plant Operations'!C252</f>
        <v>480</v>
      </c>
      <c r="G252" s="1509">
        <f t="shared" ca="1" si="35"/>
        <v>2973.5574474287173</v>
      </c>
      <c r="H252" s="1504">
        <f ca="1">IF(Assm!$L$74=0,VLOOKUP($A252,Curves_Table,Escalation!$D$291),VLOOKUP($A252,Curves_Table,Escalation!$E$291))</f>
        <v>3.1293767085250299</v>
      </c>
      <c r="I252" s="384">
        <f t="shared" ca="1" si="36"/>
        <v>950.20757306979669</v>
      </c>
      <c r="J252" s="692" t="str">
        <f t="shared" ca="1" si="30"/>
        <v xml:space="preserve"> </v>
      </c>
      <c r="L252" s="1510">
        <f ca="1">IF($A252&gt;Endyr,0,VLOOKUP($A252,Tariff_Table,Tariff!$J$33))</f>
        <v>0.19</v>
      </c>
      <c r="M252" s="1504">
        <f t="shared" ca="1" si="31"/>
        <v>4.7984682326003112</v>
      </c>
      <c r="N252" s="1511">
        <f t="shared" ca="1" si="37"/>
        <v>0.91170896419405911</v>
      </c>
      <c r="O252" s="334">
        <f ca="1">'Plant Operations'!$I252+'Plant Operations'!$M252</f>
        <v>289336.32000000001</v>
      </c>
      <c r="P252" s="1509">
        <f t="shared" ca="1" si="32"/>
        <v>263790.51661092084</v>
      </c>
      <c r="Q252" s="1480">
        <f t="shared" ca="1" si="38"/>
        <v>3.1293767085250299</v>
      </c>
      <c r="R252" s="335">
        <f t="shared" ca="1" si="39"/>
        <v>84294.906360204011</v>
      </c>
      <c r="S252" s="698" t="str">
        <f t="shared" ca="1" si="33"/>
        <v xml:space="preserve"> </v>
      </c>
    </row>
    <row r="253" spans="1:19">
      <c r="A253" s="672">
        <f ca="1">'Plant Operations'!A253</f>
        <v>43586</v>
      </c>
      <c r="C253" s="1484">
        <f ca="1">IF($A253&gt;Endyr,0,VLOOKUP($A253,Tariff_Table,Tariff!$D$33))</f>
        <v>0</v>
      </c>
      <c r="D253" s="1480">
        <f ca="1">VLOOKUP($A253,Curves_Table,Escalation!$R$291)</f>
        <v>5.1247640724171344</v>
      </c>
      <c r="E253" s="1509">
        <f t="shared" ca="1" si="34"/>
        <v>0</v>
      </c>
      <c r="F253" s="330">
        <f ca="1">'Plant Operations'!C253</f>
        <v>0</v>
      </c>
      <c r="G253" s="1509">
        <f t="shared" ca="1" si="35"/>
        <v>0</v>
      </c>
      <c r="H253" s="1504">
        <f ca="1">IF(Assm!$L$74=0,VLOOKUP($A253,Curves_Table,Escalation!$D$291),VLOOKUP($A253,Curves_Table,Escalation!$E$291))</f>
        <v>3.1345553075453139</v>
      </c>
      <c r="I253" s="384">
        <f t="shared" ca="1" si="36"/>
        <v>0</v>
      </c>
      <c r="J253" s="692" t="str">
        <f t="shared" ca="1" si="30"/>
        <v xml:space="preserve"> </v>
      </c>
      <c r="L253" s="1510">
        <f ca="1">IF($A253&gt;Endyr,0,VLOOKUP($A253,Tariff_Table,Tariff!$J$33))</f>
        <v>0</v>
      </c>
      <c r="M253" s="1504">
        <f t="shared" ca="1" si="31"/>
        <v>5.1247640724171344</v>
      </c>
      <c r="N253" s="1511">
        <f t="shared" ca="1" si="37"/>
        <v>0</v>
      </c>
      <c r="O253" s="334">
        <f ca="1">'Plant Operations'!$I253+'Plant Operations'!$M253</f>
        <v>0</v>
      </c>
      <c r="P253" s="1509">
        <f t="shared" ca="1" si="32"/>
        <v>0</v>
      </c>
      <c r="Q253" s="1480">
        <f t="shared" ca="1" si="38"/>
        <v>3.1345553075453139</v>
      </c>
      <c r="R253" s="335">
        <f t="shared" ca="1" si="39"/>
        <v>0</v>
      </c>
      <c r="S253" s="698" t="str">
        <f t="shared" ca="1" si="33"/>
        <v xml:space="preserve"> </v>
      </c>
    </row>
    <row r="254" spans="1:19">
      <c r="A254" s="672">
        <f ca="1">'Plant Operations'!A254</f>
        <v>43617</v>
      </c>
      <c r="C254" s="1484">
        <f ca="1">IF($A254&gt;Endyr,0,VLOOKUP($A254,Tariff_Table,Tariff!$D$33))</f>
        <v>0</v>
      </c>
      <c r="D254" s="1480">
        <f ca="1">VLOOKUP($A254,Curves_Table,Escalation!$R$291)</f>
        <v>5.1247640724171344</v>
      </c>
      <c r="E254" s="1509">
        <f t="shared" ca="1" si="34"/>
        <v>0</v>
      </c>
      <c r="F254" s="330">
        <f ca="1">'Plant Operations'!C254</f>
        <v>0</v>
      </c>
      <c r="G254" s="1509">
        <f t="shared" ca="1" si="35"/>
        <v>0</v>
      </c>
      <c r="H254" s="1504">
        <f ca="1">IF(Assm!$L$74=0,VLOOKUP($A254,Curves_Table,Escalation!$D$291),VLOOKUP($A254,Curves_Table,Escalation!$E$291))</f>
        <v>3.1345553075453139</v>
      </c>
      <c r="I254" s="384">
        <f t="shared" ca="1" si="36"/>
        <v>0</v>
      </c>
      <c r="J254" s="692" t="str">
        <f t="shared" ca="1" si="30"/>
        <v xml:space="preserve"> </v>
      </c>
      <c r="L254" s="1510">
        <f ca="1">IF($A254&gt;Endyr,0,VLOOKUP($A254,Tariff_Table,Tariff!$J$33))</f>
        <v>0</v>
      </c>
      <c r="M254" s="1504">
        <f t="shared" ca="1" si="31"/>
        <v>5.1247640724171344</v>
      </c>
      <c r="N254" s="1511">
        <f t="shared" ca="1" si="37"/>
        <v>0</v>
      </c>
      <c r="O254" s="334">
        <f ca="1">'Plant Operations'!$I254+'Plant Operations'!$M254</f>
        <v>0</v>
      </c>
      <c r="P254" s="1509">
        <f t="shared" ca="1" si="32"/>
        <v>0</v>
      </c>
      <c r="Q254" s="1480">
        <f t="shared" ca="1" si="38"/>
        <v>3.1345553075453139</v>
      </c>
      <c r="R254" s="335">
        <f t="shared" ca="1" si="39"/>
        <v>0</v>
      </c>
      <c r="S254" s="698" t="str">
        <f t="shared" ca="1" si="33"/>
        <v xml:space="preserve"> </v>
      </c>
    </row>
    <row r="255" spans="1:19">
      <c r="A255" s="672">
        <f ca="1">'Plant Operations'!A255</f>
        <v>43647</v>
      </c>
      <c r="C255" s="1484">
        <f ca="1">IF($A255&gt;Endyr,0,VLOOKUP($A255,Tariff_Table,Tariff!$D$33))</f>
        <v>0</v>
      </c>
      <c r="D255" s="1480">
        <f ca="1">VLOOKUP($A255,Curves_Table,Escalation!$R$291)</f>
        <v>5.1247640724171344</v>
      </c>
      <c r="E255" s="1509">
        <f t="shared" ca="1" si="34"/>
        <v>0</v>
      </c>
      <c r="F255" s="330">
        <f ca="1">'Plant Operations'!C255</f>
        <v>0</v>
      </c>
      <c r="G255" s="1509">
        <f t="shared" ca="1" si="35"/>
        <v>0</v>
      </c>
      <c r="H255" s="1504">
        <f ca="1">IF(Assm!$L$74=0,VLOOKUP($A255,Curves_Table,Escalation!$D$291),VLOOKUP($A255,Curves_Table,Escalation!$E$291))</f>
        <v>3.1345553075453139</v>
      </c>
      <c r="I255" s="384">
        <f t="shared" ca="1" si="36"/>
        <v>0</v>
      </c>
      <c r="J255" s="692" t="str">
        <f t="shared" ca="1" si="30"/>
        <v xml:space="preserve"> </v>
      </c>
      <c r="L255" s="1510">
        <f ca="1">IF($A255&gt;Endyr,0,VLOOKUP($A255,Tariff_Table,Tariff!$J$33))</f>
        <v>0</v>
      </c>
      <c r="M255" s="1504">
        <f t="shared" ca="1" si="31"/>
        <v>5.1247640724171344</v>
      </c>
      <c r="N255" s="1511">
        <f t="shared" ca="1" si="37"/>
        <v>0</v>
      </c>
      <c r="O255" s="334">
        <f ca="1">'Plant Operations'!$I255+'Plant Operations'!$M255</f>
        <v>0</v>
      </c>
      <c r="P255" s="1509">
        <f t="shared" ca="1" si="32"/>
        <v>0</v>
      </c>
      <c r="Q255" s="1480">
        <f t="shared" ca="1" si="38"/>
        <v>3.1345553075453139</v>
      </c>
      <c r="R255" s="335">
        <f t="shared" ca="1" si="39"/>
        <v>0</v>
      </c>
      <c r="S255" s="698" t="str">
        <f t="shared" ca="1" si="33"/>
        <v xml:space="preserve"> </v>
      </c>
    </row>
    <row r="256" spans="1:19">
      <c r="A256" s="672">
        <f ca="1">'Plant Operations'!A256</f>
        <v>43678</v>
      </c>
      <c r="C256" s="1484">
        <f ca="1">IF($A256&gt;Endyr,0,VLOOKUP($A256,Tariff_Table,Tariff!$D$33))</f>
        <v>0</v>
      </c>
      <c r="D256" s="1480">
        <f ca="1">VLOOKUP($A256,Curves_Table,Escalation!$R$291)</f>
        <v>5.1247640724171344</v>
      </c>
      <c r="E256" s="1509">
        <f t="shared" ca="1" si="34"/>
        <v>0</v>
      </c>
      <c r="F256" s="330">
        <f ca="1">'Plant Operations'!C256</f>
        <v>0</v>
      </c>
      <c r="G256" s="1509">
        <f t="shared" ca="1" si="35"/>
        <v>0</v>
      </c>
      <c r="H256" s="1504">
        <f ca="1">IF(Assm!$L$74=0,VLOOKUP($A256,Curves_Table,Escalation!$D$291),VLOOKUP($A256,Curves_Table,Escalation!$E$291))</f>
        <v>3.1345553075453139</v>
      </c>
      <c r="I256" s="384">
        <f t="shared" ca="1" si="36"/>
        <v>0</v>
      </c>
      <c r="J256" s="692" t="str">
        <f t="shared" ca="1" si="30"/>
        <v xml:space="preserve"> </v>
      </c>
      <c r="L256" s="1510">
        <f ca="1">IF($A256&gt;Endyr,0,VLOOKUP($A256,Tariff_Table,Tariff!$J$33))</f>
        <v>0</v>
      </c>
      <c r="M256" s="1504">
        <f t="shared" ca="1" si="31"/>
        <v>5.1247640724171344</v>
      </c>
      <c r="N256" s="1511">
        <f t="shared" ca="1" si="37"/>
        <v>0</v>
      </c>
      <c r="O256" s="334">
        <f ca="1">'Plant Operations'!$I256+'Plant Operations'!$M256</f>
        <v>0</v>
      </c>
      <c r="P256" s="1509">
        <f t="shared" ca="1" si="32"/>
        <v>0</v>
      </c>
      <c r="Q256" s="1480">
        <f t="shared" ca="1" si="38"/>
        <v>3.1345553075453139</v>
      </c>
      <c r="R256" s="335">
        <f t="shared" ca="1" si="39"/>
        <v>0</v>
      </c>
      <c r="S256" s="698" t="str">
        <f t="shared" ca="1" si="33"/>
        <v xml:space="preserve"> </v>
      </c>
    </row>
    <row r="257" spans="1:19">
      <c r="A257" s="672">
        <f ca="1">'Plant Operations'!A257</f>
        <v>43709</v>
      </c>
      <c r="C257" s="1484">
        <f ca="1">IF($A257&gt;Endyr,0,VLOOKUP($A257,Tariff_Table,Tariff!$D$33))</f>
        <v>0</v>
      </c>
      <c r="D257" s="1480">
        <f ca="1">VLOOKUP($A257,Curves_Table,Escalation!$R$291)</f>
        <v>5.1247640724171344</v>
      </c>
      <c r="E257" s="1509">
        <f t="shared" ca="1" si="34"/>
        <v>0</v>
      </c>
      <c r="F257" s="330">
        <f ca="1">'Plant Operations'!C257</f>
        <v>0</v>
      </c>
      <c r="G257" s="1509">
        <f t="shared" ca="1" si="35"/>
        <v>0</v>
      </c>
      <c r="H257" s="1504">
        <f ca="1">IF(Assm!$L$74=0,VLOOKUP($A257,Curves_Table,Escalation!$D$291),VLOOKUP($A257,Curves_Table,Escalation!$E$291))</f>
        <v>3.1345553075453139</v>
      </c>
      <c r="I257" s="384">
        <f t="shared" ca="1" si="36"/>
        <v>0</v>
      </c>
      <c r="J257" s="692" t="str">
        <f t="shared" ca="1" si="30"/>
        <v xml:space="preserve"> </v>
      </c>
      <c r="L257" s="1510">
        <f ca="1">IF($A257&gt;Endyr,0,VLOOKUP($A257,Tariff_Table,Tariff!$J$33))</f>
        <v>0</v>
      </c>
      <c r="M257" s="1504">
        <f t="shared" ca="1" si="31"/>
        <v>5.1247640724171344</v>
      </c>
      <c r="N257" s="1511">
        <f t="shared" ca="1" si="37"/>
        <v>0</v>
      </c>
      <c r="O257" s="334">
        <f ca="1">'Plant Operations'!$I257+'Plant Operations'!$M257</f>
        <v>0</v>
      </c>
      <c r="P257" s="1509">
        <f t="shared" ca="1" si="32"/>
        <v>0</v>
      </c>
      <c r="Q257" s="1480">
        <f t="shared" ca="1" si="38"/>
        <v>3.1345553075453139</v>
      </c>
      <c r="R257" s="335">
        <f t="shared" ca="1" si="39"/>
        <v>0</v>
      </c>
      <c r="S257" s="698" t="str">
        <f t="shared" ca="1" si="33"/>
        <v xml:space="preserve"> </v>
      </c>
    </row>
    <row r="258" spans="1:19">
      <c r="A258" s="672">
        <f ca="1">'Plant Operations'!A258</f>
        <v>43739</v>
      </c>
      <c r="C258" s="1484">
        <f ca="1">IF($A258&gt;Endyr,0,VLOOKUP($A258,Tariff_Table,Tariff!$D$33))</f>
        <v>0</v>
      </c>
      <c r="D258" s="1480">
        <f ca="1">VLOOKUP($A258,Curves_Table,Escalation!$R$291)</f>
        <v>5.1247640724171344</v>
      </c>
      <c r="E258" s="1509">
        <f t="shared" ca="1" si="34"/>
        <v>0</v>
      </c>
      <c r="F258" s="330">
        <f ca="1">'Plant Operations'!C258</f>
        <v>0</v>
      </c>
      <c r="G258" s="1509">
        <f t="shared" ca="1" si="35"/>
        <v>0</v>
      </c>
      <c r="H258" s="1504">
        <f ca="1">IF(Assm!$L$74=0,VLOOKUP($A258,Curves_Table,Escalation!$D$291),VLOOKUP($A258,Curves_Table,Escalation!$E$291))</f>
        <v>3.1345553075453139</v>
      </c>
      <c r="I258" s="384">
        <f t="shared" ca="1" si="36"/>
        <v>0</v>
      </c>
      <c r="J258" s="692" t="str">
        <f t="shared" ca="1" si="30"/>
        <v xml:space="preserve"> </v>
      </c>
      <c r="L258" s="1510">
        <f ca="1">IF($A258&gt;Endyr,0,VLOOKUP($A258,Tariff_Table,Tariff!$J$33))</f>
        <v>0</v>
      </c>
      <c r="M258" s="1504">
        <f t="shared" ca="1" si="31"/>
        <v>5.1247640724171344</v>
      </c>
      <c r="N258" s="1511">
        <f t="shared" ca="1" si="37"/>
        <v>0</v>
      </c>
      <c r="O258" s="334">
        <f ca="1">'Plant Operations'!$I258+'Plant Operations'!$M258</f>
        <v>0</v>
      </c>
      <c r="P258" s="1509">
        <f t="shared" ca="1" si="32"/>
        <v>0</v>
      </c>
      <c r="Q258" s="1480">
        <f t="shared" ca="1" si="38"/>
        <v>3.1345553075453139</v>
      </c>
      <c r="R258" s="335">
        <f t="shared" ca="1" si="39"/>
        <v>0</v>
      </c>
      <c r="S258" s="698" t="str">
        <f t="shared" ca="1" si="33"/>
        <v xml:space="preserve"> </v>
      </c>
    </row>
    <row r="259" spans="1:19">
      <c r="A259" s="672">
        <f ca="1">'Plant Operations'!A259</f>
        <v>43770</v>
      </c>
      <c r="C259" s="1484">
        <f ca="1">IF($A259&gt;Endyr,0,VLOOKUP($A259,Tariff_Table,Tariff!$D$33))</f>
        <v>0</v>
      </c>
      <c r="D259" s="1480">
        <f ca="1">VLOOKUP($A259,Curves_Table,Escalation!$R$291)</f>
        <v>5.1247640724171344</v>
      </c>
      <c r="E259" s="1509">
        <f t="shared" ca="1" si="34"/>
        <v>0</v>
      </c>
      <c r="F259" s="330">
        <f ca="1">'Plant Operations'!C259</f>
        <v>0</v>
      </c>
      <c r="G259" s="1509">
        <f t="shared" ca="1" si="35"/>
        <v>0</v>
      </c>
      <c r="H259" s="1504">
        <f ca="1">IF(Assm!$L$74=0,VLOOKUP($A259,Curves_Table,Escalation!$D$291),VLOOKUP($A259,Curves_Table,Escalation!$E$291))</f>
        <v>3.1345553075453139</v>
      </c>
      <c r="I259" s="384">
        <f t="shared" ca="1" si="36"/>
        <v>0</v>
      </c>
      <c r="J259" s="692" t="str">
        <f t="shared" ca="1" si="30"/>
        <v xml:space="preserve"> </v>
      </c>
      <c r="L259" s="1510">
        <f ca="1">IF($A259&gt;Endyr,0,VLOOKUP($A259,Tariff_Table,Tariff!$J$33))</f>
        <v>0</v>
      </c>
      <c r="M259" s="1504">
        <f t="shared" ca="1" si="31"/>
        <v>5.1247640724171344</v>
      </c>
      <c r="N259" s="1511">
        <f t="shared" ca="1" si="37"/>
        <v>0</v>
      </c>
      <c r="O259" s="334">
        <f ca="1">'Plant Operations'!$I259+'Plant Operations'!$M259</f>
        <v>0</v>
      </c>
      <c r="P259" s="1509">
        <f t="shared" ca="1" si="32"/>
        <v>0</v>
      </c>
      <c r="Q259" s="1480">
        <f t="shared" ca="1" si="38"/>
        <v>3.1345553075453139</v>
      </c>
      <c r="R259" s="335">
        <f t="shared" ca="1" si="39"/>
        <v>0</v>
      </c>
      <c r="S259" s="698" t="str">
        <f t="shared" ca="1" si="33"/>
        <v xml:space="preserve"> </v>
      </c>
    </row>
    <row r="260" spans="1:19">
      <c r="A260" s="672">
        <f ca="1">'Plant Operations'!A260</f>
        <v>43800</v>
      </c>
      <c r="C260" s="1484">
        <f ca="1">IF($A260&gt;Endyr,0,VLOOKUP($A260,Tariff_Table,Tariff!$D$33))</f>
        <v>0</v>
      </c>
      <c r="D260" s="1480">
        <f ca="1">VLOOKUP($A260,Curves_Table,Escalation!$R$291)</f>
        <v>5.1247640724171344</v>
      </c>
      <c r="E260" s="1509">
        <f t="shared" ca="1" si="34"/>
        <v>0</v>
      </c>
      <c r="F260" s="330">
        <f ca="1">'Plant Operations'!C260</f>
        <v>0</v>
      </c>
      <c r="G260" s="1509">
        <f t="shared" ca="1" si="35"/>
        <v>0</v>
      </c>
      <c r="H260" s="1504">
        <f ca="1">IF(Assm!$L$74=0,VLOOKUP($A260,Curves_Table,Escalation!$D$291),VLOOKUP($A260,Curves_Table,Escalation!$E$291))</f>
        <v>3.1345553075453139</v>
      </c>
      <c r="I260" s="384">
        <f t="shared" ca="1" si="36"/>
        <v>0</v>
      </c>
      <c r="J260" s="692">
        <f t="shared" ca="1" si="30"/>
        <v>3810.2753199407148</v>
      </c>
      <c r="L260" s="1510">
        <f ca="1">IF($A260&gt;Endyr,0,VLOOKUP($A260,Tariff_Table,Tariff!$J$33))</f>
        <v>0</v>
      </c>
      <c r="M260" s="1504">
        <f t="shared" ca="1" si="31"/>
        <v>5.1247640724171344</v>
      </c>
      <c r="N260" s="1511">
        <f t="shared" ca="1" si="37"/>
        <v>0</v>
      </c>
      <c r="O260" s="334">
        <f ca="1">'Plant Operations'!$I260+'Plant Operations'!$M260</f>
        <v>0</v>
      </c>
      <c r="P260" s="1509">
        <f t="shared" ca="1" si="32"/>
        <v>0</v>
      </c>
      <c r="Q260" s="1480">
        <f t="shared" ca="1" si="38"/>
        <v>3.1345553075453139</v>
      </c>
      <c r="R260" s="335">
        <f t="shared" ca="1" si="39"/>
        <v>0</v>
      </c>
      <c r="S260" s="698">
        <f t="shared" ca="1" si="33"/>
        <v>338017.52135795902</v>
      </c>
    </row>
    <row r="261" spans="1:19">
      <c r="A261" s="672">
        <f ca="1">'Plant Operations'!A261</f>
        <v>43831</v>
      </c>
      <c r="C261" s="1484">
        <f ca="1">IF($A261&gt;Endyr,0,VLOOKUP($A261,Tariff_Table,Tariff!$D$33))</f>
        <v>0</v>
      </c>
      <c r="D261" s="1480">
        <f ca="1">VLOOKUP($A261,Curves_Table,Escalation!$R$291)</f>
        <v>5.1247640724171344</v>
      </c>
      <c r="E261" s="1509">
        <f t="shared" ca="1" si="34"/>
        <v>0</v>
      </c>
      <c r="F261" s="330">
        <f ca="1">'Plant Operations'!C261</f>
        <v>0</v>
      </c>
      <c r="G261" s="1509">
        <f t="shared" ca="1" si="35"/>
        <v>0</v>
      </c>
      <c r="H261" s="1504">
        <f ca="1">IF(Assm!$L$74=0,VLOOKUP($A261,Curves_Table,Escalation!$D$291),VLOOKUP($A261,Curves_Table,Escalation!$E$291))</f>
        <v>3.1345553075453139</v>
      </c>
      <c r="I261" s="384">
        <f t="shared" ca="1" si="36"/>
        <v>0</v>
      </c>
      <c r="J261" s="692" t="str">
        <f t="shared" ca="1" si="30"/>
        <v xml:space="preserve"> </v>
      </c>
      <c r="L261" s="1510">
        <f ca="1">IF($A261&gt;Endyr,0,VLOOKUP($A261,Tariff_Table,Tariff!$J$33))</f>
        <v>0</v>
      </c>
      <c r="M261" s="1504">
        <f t="shared" ca="1" si="31"/>
        <v>5.1247640724171344</v>
      </c>
      <c r="N261" s="1511">
        <f t="shared" ca="1" si="37"/>
        <v>0</v>
      </c>
      <c r="O261" s="334">
        <f ca="1">'Plant Operations'!$I261+'Plant Operations'!$M261</f>
        <v>0</v>
      </c>
      <c r="P261" s="1509">
        <f t="shared" ca="1" si="32"/>
        <v>0</v>
      </c>
      <c r="Q261" s="1480">
        <f t="shared" ca="1" si="38"/>
        <v>3.1345553075453139</v>
      </c>
      <c r="R261" s="335">
        <f t="shared" ca="1" si="39"/>
        <v>0</v>
      </c>
      <c r="S261" s="698" t="str">
        <f t="shared" ca="1" si="33"/>
        <v xml:space="preserve"> </v>
      </c>
    </row>
    <row r="262" spans="1:19">
      <c r="A262" s="672">
        <f ca="1">'Plant Operations'!A262</f>
        <v>43862</v>
      </c>
      <c r="C262" s="1484">
        <f ca="1">IF($A262&gt;Endyr,0,VLOOKUP($A262,Tariff_Table,Tariff!$D$33))</f>
        <v>0</v>
      </c>
      <c r="D262" s="1480">
        <f ca="1">VLOOKUP($A262,Curves_Table,Escalation!$R$291)</f>
        <v>5.1247640724171344</v>
      </c>
      <c r="E262" s="1509">
        <f t="shared" ca="1" si="34"/>
        <v>0</v>
      </c>
      <c r="F262" s="330">
        <f ca="1">'Plant Operations'!C262</f>
        <v>0</v>
      </c>
      <c r="G262" s="1509">
        <f t="shared" ca="1" si="35"/>
        <v>0</v>
      </c>
      <c r="H262" s="1504">
        <f ca="1">IF(Assm!$L$74=0,VLOOKUP($A262,Curves_Table,Escalation!$D$291),VLOOKUP($A262,Curves_Table,Escalation!$E$291))</f>
        <v>3.1345553075453139</v>
      </c>
      <c r="I262" s="384">
        <f t="shared" ca="1" si="36"/>
        <v>0</v>
      </c>
      <c r="J262" s="692" t="str">
        <f t="shared" ca="1" si="30"/>
        <v xml:space="preserve"> </v>
      </c>
      <c r="L262" s="1510">
        <f ca="1">IF($A262&gt;Endyr,0,VLOOKUP($A262,Tariff_Table,Tariff!$J$33))</f>
        <v>0</v>
      </c>
      <c r="M262" s="1504">
        <f t="shared" ca="1" si="31"/>
        <v>5.1247640724171344</v>
      </c>
      <c r="N262" s="1511">
        <f t="shared" ca="1" si="37"/>
        <v>0</v>
      </c>
      <c r="O262" s="334">
        <f ca="1">'Plant Operations'!$I262+'Plant Operations'!$M262</f>
        <v>0</v>
      </c>
      <c r="P262" s="1509">
        <f t="shared" ca="1" si="32"/>
        <v>0</v>
      </c>
      <c r="Q262" s="1480">
        <f t="shared" ca="1" si="38"/>
        <v>3.1345553075453139</v>
      </c>
      <c r="R262" s="335">
        <f t="shared" ca="1" si="39"/>
        <v>0</v>
      </c>
      <c r="S262" s="698" t="str">
        <f t="shared" ca="1" si="33"/>
        <v xml:space="preserve"> </v>
      </c>
    </row>
    <row r="263" spans="1:19">
      <c r="A263" s="672">
        <f ca="1">'Plant Operations'!A263</f>
        <v>43891</v>
      </c>
      <c r="C263" s="1484">
        <f ca="1">IF($A263&gt;Endyr,0,VLOOKUP($A263,Tariff_Table,Tariff!$D$33))</f>
        <v>0</v>
      </c>
      <c r="D263" s="1480">
        <f ca="1">VLOOKUP($A263,Curves_Table,Escalation!$R$291)</f>
        <v>5.1247640724171344</v>
      </c>
      <c r="E263" s="1509">
        <f t="shared" ca="1" si="34"/>
        <v>0</v>
      </c>
      <c r="F263" s="330">
        <f ca="1">'Plant Operations'!C263</f>
        <v>0</v>
      </c>
      <c r="G263" s="1509">
        <f t="shared" ca="1" si="35"/>
        <v>0</v>
      </c>
      <c r="H263" s="1504">
        <f ca="1">IF(Assm!$L$74=0,VLOOKUP($A263,Curves_Table,Escalation!$D$291),VLOOKUP($A263,Curves_Table,Escalation!$E$291))</f>
        <v>3.1345553075453139</v>
      </c>
      <c r="I263" s="384">
        <f t="shared" ca="1" si="36"/>
        <v>0</v>
      </c>
      <c r="J263" s="692" t="str">
        <f t="shared" ca="1" si="30"/>
        <v xml:space="preserve"> </v>
      </c>
      <c r="L263" s="1510">
        <f ca="1">IF($A263&gt;Endyr,0,VLOOKUP($A263,Tariff_Table,Tariff!$J$33))</f>
        <v>0</v>
      </c>
      <c r="M263" s="1504">
        <f t="shared" ca="1" si="31"/>
        <v>5.1247640724171344</v>
      </c>
      <c r="N263" s="1511">
        <f t="shared" ca="1" si="37"/>
        <v>0</v>
      </c>
      <c r="O263" s="334">
        <f ca="1">'Plant Operations'!$I263+'Plant Operations'!$M263</f>
        <v>0</v>
      </c>
      <c r="P263" s="1509">
        <f t="shared" ca="1" si="32"/>
        <v>0</v>
      </c>
      <c r="Q263" s="1480">
        <f t="shared" ca="1" si="38"/>
        <v>3.1345553075453139</v>
      </c>
      <c r="R263" s="335">
        <f t="shared" ca="1" si="39"/>
        <v>0</v>
      </c>
      <c r="S263" s="698" t="str">
        <f t="shared" ca="1" si="33"/>
        <v xml:space="preserve"> </v>
      </c>
    </row>
    <row r="264" spans="1:19">
      <c r="A264" s="672">
        <f ca="1">'Plant Operations'!A264</f>
        <v>43922</v>
      </c>
      <c r="C264" s="1484">
        <f ca="1">IF($A264&gt;Endyr,0,VLOOKUP($A264,Tariff_Table,Tariff!$D$33))</f>
        <v>0</v>
      </c>
      <c r="D264" s="1480">
        <f ca="1">VLOOKUP($A264,Curves_Table,Escalation!$R$291)</f>
        <v>5.1247640724171344</v>
      </c>
      <c r="E264" s="1509">
        <f t="shared" ca="1" si="34"/>
        <v>0</v>
      </c>
      <c r="F264" s="330">
        <f ca="1">'Plant Operations'!C264</f>
        <v>0</v>
      </c>
      <c r="G264" s="1509">
        <f t="shared" ca="1" si="35"/>
        <v>0</v>
      </c>
      <c r="H264" s="1504">
        <f ca="1">IF(Assm!$L$74=0,VLOOKUP($A264,Curves_Table,Escalation!$D$291),VLOOKUP($A264,Curves_Table,Escalation!$E$291))</f>
        <v>3.1345553075453139</v>
      </c>
      <c r="I264" s="384">
        <f t="shared" ca="1" si="36"/>
        <v>0</v>
      </c>
      <c r="J264" s="692" t="str">
        <f t="shared" ca="1" si="30"/>
        <v xml:space="preserve"> </v>
      </c>
      <c r="L264" s="1510">
        <f ca="1">IF($A264&gt;Endyr,0,VLOOKUP($A264,Tariff_Table,Tariff!$J$33))</f>
        <v>0</v>
      </c>
      <c r="M264" s="1504">
        <f t="shared" ca="1" si="31"/>
        <v>5.1247640724171344</v>
      </c>
      <c r="N264" s="1511">
        <f t="shared" ca="1" si="37"/>
        <v>0</v>
      </c>
      <c r="O264" s="334">
        <f ca="1">'Plant Operations'!$I264+'Plant Operations'!$M264</f>
        <v>0</v>
      </c>
      <c r="P264" s="1509">
        <f t="shared" ca="1" si="32"/>
        <v>0</v>
      </c>
      <c r="Q264" s="1480">
        <f t="shared" ca="1" si="38"/>
        <v>3.1345553075453139</v>
      </c>
      <c r="R264" s="335">
        <f t="shared" ca="1" si="39"/>
        <v>0</v>
      </c>
      <c r="S264" s="698" t="str">
        <f t="shared" ca="1" si="33"/>
        <v xml:space="preserve"> </v>
      </c>
    </row>
    <row r="265" spans="1:19">
      <c r="A265" s="672">
        <f ca="1">'Plant Operations'!A265</f>
        <v>43952</v>
      </c>
      <c r="C265" s="1484">
        <f ca="1">IF($A265&gt;Endyr,0,VLOOKUP($A265,Tariff_Table,Tariff!$D$33))</f>
        <v>0</v>
      </c>
      <c r="D265" s="1480">
        <f ca="1">VLOOKUP($A265,Curves_Table,Escalation!$R$291)</f>
        <v>5.1247640724171344</v>
      </c>
      <c r="E265" s="1509">
        <f t="shared" ca="1" si="34"/>
        <v>0</v>
      </c>
      <c r="F265" s="330">
        <f ca="1">'Plant Operations'!C265</f>
        <v>0</v>
      </c>
      <c r="G265" s="1509">
        <f t="shared" ca="1" si="35"/>
        <v>0</v>
      </c>
      <c r="H265" s="1504">
        <f ca="1">IF(Assm!$L$74=0,VLOOKUP($A265,Curves_Table,Escalation!$D$291),VLOOKUP($A265,Curves_Table,Escalation!$E$291))</f>
        <v>3.1345553075453139</v>
      </c>
      <c r="I265" s="384">
        <f t="shared" ca="1" si="36"/>
        <v>0</v>
      </c>
      <c r="J265" s="692" t="str">
        <f t="shared" ca="1" si="30"/>
        <v xml:space="preserve"> </v>
      </c>
      <c r="L265" s="1510">
        <f ca="1">IF($A265&gt;Endyr,0,VLOOKUP($A265,Tariff_Table,Tariff!$J$33))</f>
        <v>0</v>
      </c>
      <c r="M265" s="1504">
        <f t="shared" ca="1" si="31"/>
        <v>5.1247640724171344</v>
      </c>
      <c r="N265" s="1511">
        <f t="shared" ca="1" si="37"/>
        <v>0</v>
      </c>
      <c r="O265" s="334">
        <f ca="1">'Plant Operations'!$I265+'Plant Operations'!$M265</f>
        <v>0</v>
      </c>
      <c r="P265" s="1509">
        <f t="shared" ca="1" si="32"/>
        <v>0</v>
      </c>
      <c r="Q265" s="1480">
        <f t="shared" ca="1" si="38"/>
        <v>3.1345553075453139</v>
      </c>
      <c r="R265" s="335">
        <f t="shared" ca="1" si="39"/>
        <v>0</v>
      </c>
      <c r="S265" s="698" t="str">
        <f t="shared" ca="1" si="33"/>
        <v xml:space="preserve"> </v>
      </c>
    </row>
    <row r="266" spans="1:19">
      <c r="A266" s="672">
        <f ca="1">'Plant Operations'!A266</f>
        <v>43983</v>
      </c>
      <c r="C266" s="1484">
        <f ca="1">IF($A266&gt;Endyr,0,VLOOKUP($A266,Tariff_Table,Tariff!$D$33))</f>
        <v>0</v>
      </c>
      <c r="D266" s="1480">
        <f ca="1">VLOOKUP($A266,Curves_Table,Escalation!$R$291)</f>
        <v>5.1247640724171344</v>
      </c>
      <c r="E266" s="1509">
        <f t="shared" ca="1" si="34"/>
        <v>0</v>
      </c>
      <c r="F266" s="330">
        <f ca="1">'Plant Operations'!C266</f>
        <v>0</v>
      </c>
      <c r="G266" s="1509">
        <f t="shared" ca="1" si="35"/>
        <v>0</v>
      </c>
      <c r="H266" s="1504">
        <f ca="1">IF(Assm!$L$74=0,VLOOKUP($A266,Curves_Table,Escalation!$D$291),VLOOKUP($A266,Curves_Table,Escalation!$E$291))</f>
        <v>3.1345553075453139</v>
      </c>
      <c r="I266" s="384">
        <f t="shared" ca="1" si="36"/>
        <v>0</v>
      </c>
      <c r="J266" s="692" t="str">
        <f t="shared" ca="1" si="30"/>
        <v xml:space="preserve"> </v>
      </c>
      <c r="L266" s="1510">
        <f ca="1">IF($A266&gt;Endyr,0,VLOOKUP($A266,Tariff_Table,Tariff!$J$33))</f>
        <v>0</v>
      </c>
      <c r="M266" s="1504">
        <f t="shared" ca="1" si="31"/>
        <v>5.1247640724171344</v>
      </c>
      <c r="N266" s="1511">
        <f t="shared" ca="1" si="37"/>
        <v>0</v>
      </c>
      <c r="O266" s="334">
        <f ca="1">'Plant Operations'!$I266+'Plant Operations'!$M266</f>
        <v>0</v>
      </c>
      <c r="P266" s="1509">
        <f t="shared" ca="1" si="32"/>
        <v>0</v>
      </c>
      <c r="Q266" s="1480">
        <f t="shared" ca="1" si="38"/>
        <v>3.1345553075453139</v>
      </c>
      <c r="R266" s="335">
        <f t="shared" ca="1" si="39"/>
        <v>0</v>
      </c>
      <c r="S266" s="698" t="str">
        <f t="shared" ca="1" si="33"/>
        <v xml:space="preserve"> </v>
      </c>
    </row>
    <row r="267" spans="1:19" ht="13.5" thickBot="1">
      <c r="A267" s="672"/>
      <c r="C267" s="398"/>
      <c r="D267" s="1"/>
      <c r="E267" s="1"/>
      <c r="G267" s="1"/>
      <c r="H267" s="1"/>
      <c r="I267" s="1"/>
      <c r="J267" s="401"/>
      <c r="L267" s="398"/>
      <c r="N267" s="1"/>
      <c r="O267" s="1"/>
      <c r="P267" s="1"/>
      <c r="Q267" s="1"/>
      <c r="R267" s="1"/>
      <c r="S267" s="401"/>
    </row>
    <row r="268" spans="1:19" ht="13.5" thickBot="1">
      <c r="A268" s="673"/>
      <c r="C268" s="684"/>
      <c r="D268" s="685"/>
      <c r="E268" s="685"/>
      <c r="F268" s="685"/>
      <c r="G268" s="685"/>
      <c r="H268" s="685"/>
      <c r="I268" s="686" t="s">
        <v>1285</v>
      </c>
      <c r="J268" s="693">
        <f ca="1">SUM(J12:J266)</f>
        <v>696474.40044808423</v>
      </c>
      <c r="L268" s="684"/>
      <c r="M268" s="685"/>
      <c r="N268" s="685"/>
      <c r="O268" s="685"/>
      <c r="P268" s="685"/>
      <c r="Q268" s="685"/>
      <c r="R268" s="686" t="s">
        <v>1328</v>
      </c>
      <c r="S268" s="693">
        <f ca="1">SUM(S12:S266)</f>
        <v>12890503.844345894</v>
      </c>
    </row>
    <row r="270" spans="1:19">
      <c r="A270" s="357">
        <v>1</v>
      </c>
      <c r="B270" s="357">
        <f t="shared" ref="B270:S270" si="40">A270+1</f>
        <v>2</v>
      </c>
      <c r="C270" s="357">
        <f t="shared" si="40"/>
        <v>3</v>
      </c>
      <c r="D270" s="357">
        <f t="shared" si="40"/>
        <v>4</v>
      </c>
      <c r="E270" s="357">
        <f t="shared" si="40"/>
        <v>5</v>
      </c>
      <c r="F270" s="357">
        <f t="shared" si="40"/>
        <v>6</v>
      </c>
      <c r="G270" s="357">
        <f t="shared" si="40"/>
        <v>7</v>
      </c>
      <c r="H270" s="357">
        <f t="shared" si="40"/>
        <v>8</v>
      </c>
      <c r="I270" s="357">
        <f t="shared" si="40"/>
        <v>9</v>
      </c>
      <c r="J270" s="357">
        <f t="shared" si="40"/>
        <v>10</v>
      </c>
      <c r="K270" s="357">
        <f t="shared" si="40"/>
        <v>11</v>
      </c>
      <c r="L270" s="357">
        <f t="shared" si="40"/>
        <v>12</v>
      </c>
      <c r="M270" s="357">
        <f t="shared" si="40"/>
        <v>13</v>
      </c>
      <c r="N270" s="357">
        <f t="shared" si="40"/>
        <v>14</v>
      </c>
      <c r="O270" s="357">
        <f t="shared" si="40"/>
        <v>15</v>
      </c>
      <c r="P270" s="357">
        <f t="shared" si="40"/>
        <v>16</v>
      </c>
      <c r="Q270" s="357">
        <f t="shared" si="40"/>
        <v>17</v>
      </c>
      <c r="R270" s="357">
        <f t="shared" si="40"/>
        <v>18</v>
      </c>
      <c r="S270" s="357">
        <f t="shared" si="40"/>
        <v>19</v>
      </c>
    </row>
  </sheetData>
  <printOptions horizontalCentered="1"/>
  <pageMargins left="0.25" right="0.25" top="0.5" bottom="0.5" header="0.25" footer="0.25"/>
  <pageSetup scale="48" fitToHeight="4" orientation="landscape" horizontalDpi="4294967294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11">
    <pageSetUpPr autoPageBreaks="0" fitToPage="1"/>
  </sheetPr>
  <dimension ref="A1:AD270"/>
  <sheetViews>
    <sheetView showGridLines="0" zoomScale="90" workbookViewId="0">
      <selection activeCell="C12" sqref="C12"/>
    </sheetView>
  </sheetViews>
  <sheetFormatPr defaultRowHeight="12.75"/>
  <cols>
    <col min="2" max="2" width="2.7109375" customWidth="1"/>
    <col min="3" max="3" width="13.7109375" customWidth="1"/>
    <col min="4" max="4" width="10.7109375" customWidth="1"/>
    <col min="5" max="5" width="13.7109375" customWidth="1"/>
    <col min="6" max="6" width="10.7109375" style="1" customWidth="1"/>
    <col min="7" max="9" width="10.7109375" customWidth="1"/>
    <col min="10" max="10" width="12.7109375" customWidth="1"/>
    <col min="11" max="11" width="2.7109375" customWidth="1"/>
    <col min="12" max="12" width="13.7109375" customWidth="1"/>
    <col min="13" max="13" width="10.7109375" customWidth="1"/>
    <col min="14" max="14" width="13.7109375" customWidth="1"/>
    <col min="15" max="15" width="10.7109375" style="1" customWidth="1"/>
    <col min="16" max="18" width="10.7109375" customWidth="1"/>
    <col min="19" max="19" width="12.7109375" customWidth="1"/>
    <col min="20" max="20" width="2.7109375" customWidth="1"/>
    <col min="21" max="21" width="10.7109375" customWidth="1"/>
    <col min="22" max="22" width="10.7109375" style="1" customWidth="1"/>
    <col min="23" max="29" width="10.7109375" customWidth="1"/>
    <col min="30" max="30" width="12.7109375" customWidth="1"/>
  </cols>
  <sheetData>
    <row r="1" spans="1:30" s="1" customFormat="1" ht="15.75">
      <c r="A1" s="1137" t="str">
        <f>CONCATENATE(TOC!B2," ",TOC!B6)</f>
        <v>EMPRESSA PRODUTORA DE ENERGÍA LTDA (EPE) *** DRAFT COPY ***</v>
      </c>
      <c r="B1" s="117"/>
      <c r="K1" s="117"/>
      <c r="T1" s="117"/>
    </row>
    <row r="2" spans="1:30" s="1" customFormat="1" ht="15.75">
      <c r="A2" s="1137" t="str">
        <f>TOC!B3</f>
        <v>480 MW POWER PLANT (CUIABA, BRAZIL)</v>
      </c>
      <c r="B2" s="117"/>
      <c r="K2" s="117"/>
      <c r="T2" s="117"/>
    </row>
    <row r="3" spans="1:30" s="1" customFormat="1" ht="15">
      <c r="A3" s="118" t="str">
        <f>TOC!B4</f>
        <v>ENRON INTERNATIONAL</v>
      </c>
      <c r="B3" s="118"/>
      <c r="K3" s="118"/>
      <c r="T3" s="118"/>
    </row>
    <row r="4" spans="1:30" s="1" customFormat="1" ht="15">
      <c r="A4" s="932" t="s">
        <v>1793</v>
      </c>
      <c r="B4" s="932"/>
      <c r="C4" s="933"/>
      <c r="D4" s="933"/>
      <c r="E4" s="933"/>
      <c r="K4" s="214"/>
      <c r="T4" s="214"/>
    </row>
    <row r="5" spans="1:30" s="288" customFormat="1">
      <c r="D5" s="1"/>
      <c r="E5" s="1"/>
      <c r="F5" s="1"/>
      <c r="G5" s="1"/>
      <c r="H5" s="1"/>
      <c r="I5" s="1"/>
      <c r="J5" s="1"/>
      <c r="M5" s="1"/>
      <c r="N5" s="1"/>
      <c r="O5" s="1"/>
      <c r="P5" s="1"/>
      <c r="Q5" s="1"/>
      <c r="R5" s="1"/>
      <c r="S5" s="1"/>
      <c r="W5" s="1"/>
      <c r="X5" s="1"/>
      <c r="Y5" s="1"/>
      <c r="Z5" s="1"/>
      <c r="AA5" s="1"/>
      <c r="AB5" s="1"/>
      <c r="AC5" s="1"/>
      <c r="AD5" s="1"/>
    </row>
    <row r="6" spans="1:30">
      <c r="C6" s="666" t="s">
        <v>1452</v>
      </c>
      <c r="D6" s="694"/>
      <c r="E6" s="694"/>
      <c r="F6" s="694"/>
      <c r="G6" s="694"/>
      <c r="H6" s="694"/>
      <c r="I6" s="694"/>
      <c r="J6" s="695"/>
      <c r="L6" s="666" t="s">
        <v>1455</v>
      </c>
      <c r="M6" s="694"/>
      <c r="N6" s="694"/>
      <c r="O6" s="694"/>
      <c r="P6" s="694"/>
      <c r="Q6" s="694"/>
      <c r="R6" s="694"/>
      <c r="S6" s="695"/>
      <c r="U6" s="666" t="s">
        <v>1460</v>
      </c>
      <c r="V6" s="694"/>
      <c r="W6" s="694"/>
      <c r="X6" s="667"/>
      <c r="Y6" s="694"/>
      <c r="Z6" s="694"/>
      <c r="AA6" s="694"/>
      <c r="AB6" s="694"/>
      <c r="AC6" s="667"/>
      <c r="AD6" s="695"/>
    </row>
    <row r="7" spans="1:30" ht="13.5" thickBot="1"/>
    <row r="8" spans="1:30">
      <c r="A8" s="670"/>
      <c r="C8" s="416"/>
      <c r="D8" s="675"/>
      <c r="E8" s="675" t="s">
        <v>1435</v>
      </c>
      <c r="F8" s="675" t="s">
        <v>1488</v>
      </c>
      <c r="G8" s="675" t="s">
        <v>1489</v>
      </c>
      <c r="H8" s="675" t="s">
        <v>1216</v>
      </c>
      <c r="I8" s="675" t="s">
        <v>1489</v>
      </c>
      <c r="J8" s="677" t="s">
        <v>1484</v>
      </c>
      <c r="L8" s="416"/>
      <c r="M8" s="675"/>
      <c r="N8" s="675" t="s">
        <v>1435</v>
      </c>
      <c r="O8" s="675" t="s">
        <v>1488</v>
      </c>
      <c r="P8" s="675" t="s">
        <v>1489</v>
      </c>
      <c r="Q8" s="675" t="s">
        <v>1216</v>
      </c>
      <c r="R8" s="675" t="s">
        <v>1489</v>
      </c>
      <c r="S8" s="677" t="s">
        <v>1484</v>
      </c>
      <c r="U8" s="416"/>
      <c r="V8" s="675"/>
      <c r="W8" s="675" t="s">
        <v>1435</v>
      </c>
      <c r="X8" s="675" t="s">
        <v>1780</v>
      </c>
      <c r="Y8" s="675" t="s">
        <v>1489</v>
      </c>
      <c r="Z8" s="675" t="s">
        <v>1216</v>
      </c>
      <c r="AA8" s="675"/>
      <c r="AB8" s="675"/>
      <c r="AC8" s="675" t="s">
        <v>1489</v>
      </c>
      <c r="AD8" s="677" t="s">
        <v>1484</v>
      </c>
    </row>
    <row r="9" spans="1:30">
      <c r="A9" s="426"/>
      <c r="C9" s="139" t="s">
        <v>1286</v>
      </c>
      <c r="D9" s="62" t="s">
        <v>1217</v>
      </c>
      <c r="E9" s="113" t="s">
        <v>1286</v>
      </c>
      <c r="F9" s="113" t="s">
        <v>333</v>
      </c>
      <c r="G9" s="113" t="s">
        <v>800</v>
      </c>
      <c r="H9" s="55" t="s">
        <v>689</v>
      </c>
      <c r="I9" s="113" t="s">
        <v>800</v>
      </c>
      <c r="J9" s="399" t="s">
        <v>800</v>
      </c>
      <c r="L9" s="139" t="s">
        <v>1288</v>
      </c>
      <c r="M9" s="62" t="str">
        <f>D9</f>
        <v>Annex 10</v>
      </c>
      <c r="N9" s="113" t="s">
        <v>1288</v>
      </c>
      <c r="O9" s="113" t="s">
        <v>333</v>
      </c>
      <c r="P9" s="113" t="s">
        <v>800</v>
      </c>
      <c r="Q9" s="55" t="s">
        <v>689</v>
      </c>
      <c r="R9" s="113" t="s">
        <v>800</v>
      </c>
      <c r="S9" s="399" t="s">
        <v>800</v>
      </c>
      <c r="U9" s="139" t="s">
        <v>1290</v>
      </c>
      <c r="V9" s="62" t="str">
        <f>D9</f>
        <v>Annex 10</v>
      </c>
      <c r="W9" s="113" t="s">
        <v>1290</v>
      </c>
      <c r="X9" s="113" t="s">
        <v>1532</v>
      </c>
      <c r="Y9" s="113" t="s">
        <v>800</v>
      </c>
      <c r="Z9" s="55" t="s">
        <v>689</v>
      </c>
      <c r="AA9" s="55"/>
      <c r="AB9" s="113" t="s">
        <v>1435</v>
      </c>
      <c r="AC9" s="113" t="s">
        <v>800</v>
      </c>
      <c r="AD9" s="399" t="s">
        <v>800</v>
      </c>
    </row>
    <row r="10" spans="1:30">
      <c r="A10" s="671" t="s">
        <v>1436</v>
      </c>
      <c r="C10" s="679" t="s">
        <v>1283</v>
      </c>
      <c r="D10" s="93" t="s">
        <v>982</v>
      </c>
      <c r="E10" s="93" t="s">
        <v>1283</v>
      </c>
      <c r="F10" s="93" t="s">
        <v>332</v>
      </c>
      <c r="G10" s="93" t="s">
        <v>1214</v>
      </c>
      <c r="H10" s="93" t="s">
        <v>1284</v>
      </c>
      <c r="I10" s="93" t="s">
        <v>1490</v>
      </c>
      <c r="J10" s="680" t="s">
        <v>1490</v>
      </c>
      <c r="L10" s="679" t="s">
        <v>1283</v>
      </c>
      <c r="M10" s="93" t="str">
        <f>D10</f>
        <v>Gas Esc</v>
      </c>
      <c r="N10" s="93" t="s">
        <v>1283</v>
      </c>
      <c r="O10" s="93" t="s">
        <v>332</v>
      </c>
      <c r="P10" s="93" t="s">
        <v>1214</v>
      </c>
      <c r="Q10" s="93" t="s">
        <v>1284</v>
      </c>
      <c r="R10" s="93" t="s">
        <v>1490</v>
      </c>
      <c r="S10" s="680" t="s">
        <v>1490</v>
      </c>
      <c r="U10" s="679" t="s">
        <v>1300</v>
      </c>
      <c r="V10" s="93" t="str">
        <f>D10</f>
        <v>Gas Esc</v>
      </c>
      <c r="W10" s="93" t="s">
        <v>1283</v>
      </c>
      <c r="X10" s="93" t="s">
        <v>1324</v>
      </c>
      <c r="Y10" s="93" t="s">
        <v>1214</v>
      </c>
      <c r="Z10" s="93" t="s">
        <v>1284</v>
      </c>
      <c r="AA10" s="93" t="str">
        <f>H10</f>
        <v>Exch Rate</v>
      </c>
      <c r="AB10" s="93" t="s">
        <v>1323</v>
      </c>
      <c r="AC10" s="93" t="s">
        <v>1490</v>
      </c>
      <c r="AD10" s="680" t="s">
        <v>1490</v>
      </c>
    </row>
    <row r="11" spans="1:30">
      <c r="A11" s="426"/>
      <c r="C11" s="398"/>
      <c r="D11" s="1"/>
      <c r="E11" s="1"/>
      <c r="G11" s="1"/>
      <c r="H11" s="1"/>
      <c r="I11" s="1"/>
      <c r="J11" s="401"/>
      <c r="L11" s="398"/>
      <c r="M11" s="1"/>
      <c r="N11" s="1"/>
      <c r="P11" s="1"/>
      <c r="Q11" s="1"/>
      <c r="R11" s="1"/>
      <c r="S11" s="401"/>
      <c r="U11" s="398"/>
      <c r="W11" s="1"/>
      <c r="X11" s="1"/>
      <c r="Y11" s="1"/>
      <c r="Z11" s="1"/>
      <c r="AA11" s="1"/>
      <c r="AB11" s="1"/>
      <c r="AC11" s="1"/>
      <c r="AD11" s="401"/>
    </row>
    <row r="12" spans="1:30">
      <c r="A12" s="672">
        <f>'Annex 12-Gas'!A12</f>
        <v>36951</v>
      </c>
      <c r="C12" s="1484">
        <f ca="1">IF($A12&gt;Endyr,0,VLOOKUP($A12,Tariff_Table,Tariff!$G$33))</f>
        <v>11645.56</v>
      </c>
      <c r="D12" s="1480">
        <f ca="1">VLOOKUP($A12,Curves_Table,Escalation!$AW$291)</f>
        <v>1.924882629107981</v>
      </c>
      <c r="E12" s="1486">
        <f ca="1">C12*D12</f>
        <v>22416.33615023474</v>
      </c>
      <c r="F12" s="330">
        <f ca="1">VLOOKUP($A12,Plant_Table,'Plant Operations'!$C$270)</f>
        <v>150</v>
      </c>
      <c r="G12" s="1486">
        <f ca="1">E12*F12/1000</f>
        <v>3362.4504225352107</v>
      </c>
      <c r="H12" s="1480">
        <f ca="1">IF(Assm!$L$74=0,VLOOKUP($A12,Curves_Table,Escalation!$D$291),VLOOKUP($A12,Curves_Table,Escalation!$E$291))</f>
        <v>1.849101270029893</v>
      </c>
      <c r="I12" s="384">
        <f ca="1">G12/H12</f>
        <v>1818.4241593651886</v>
      </c>
      <c r="J12" s="692" t="str">
        <f t="shared" ref="J12:J75" ca="1" si="0">IF(MONTH($A12)=12,SUM(I1:I12)," ")</f>
        <v xml:space="preserve"> </v>
      </c>
      <c r="L12" s="1484">
        <f ca="1">IF($A12&gt;Endyr,0,VLOOKUP($A12,Tariff_Table,Tariff!$H$33))</f>
        <v>9025.02</v>
      </c>
      <c r="M12" s="1480">
        <f ca="1">D12</f>
        <v>1.924882629107981</v>
      </c>
      <c r="N12" s="1486">
        <f ca="1">L12*M12</f>
        <v>17372.104225352112</v>
      </c>
      <c r="O12" s="330">
        <f ca="1">$F12</f>
        <v>150</v>
      </c>
      <c r="P12" s="1486">
        <f ca="1">N12*O12/1000</f>
        <v>2605.8156338028166</v>
      </c>
      <c r="Q12" s="1480">
        <f ca="1">$H12</f>
        <v>1.849101270029893</v>
      </c>
      <c r="R12" s="384">
        <f ca="1">P12/Q12</f>
        <v>1409.2335969033704</v>
      </c>
      <c r="S12" s="692" t="str">
        <f t="shared" ref="S12:S75" ca="1" si="1">IF(MONTH($A12)=12,SUM(R1:R12)," ")</f>
        <v xml:space="preserve"> </v>
      </c>
      <c r="U12" s="1484">
        <f ca="1">IF($A12&gt;Endyr,0,VLOOKUP($A12,Tariff_Table,Tariff!$I$33))</f>
        <v>3.2801999999999998</v>
      </c>
      <c r="V12" s="1480">
        <f t="shared" ref="V12:V75" ca="1" si="2">D12</f>
        <v>1.924882629107981</v>
      </c>
      <c r="W12" s="1486">
        <f ca="1">U12*V12</f>
        <v>6.3139999999999992</v>
      </c>
      <c r="X12" s="334">
        <f ca="1">VLOOKUP($A12,Plant_Table,'Plant Operations'!$M$270)</f>
        <v>12600</v>
      </c>
      <c r="Y12" s="1006">
        <f ca="1">W12*X12/1000</f>
        <v>79.556399999999996</v>
      </c>
      <c r="Z12" s="1480">
        <f ca="1">$H12</f>
        <v>1.849101270029893</v>
      </c>
      <c r="AA12" s="1480">
        <f t="shared" ref="AA12:AA75" ca="1" si="3">H12</f>
        <v>1.849101270029893</v>
      </c>
      <c r="AB12" s="333">
        <f ca="1">W12/AA12</f>
        <v>3.4146318010467462</v>
      </c>
      <c r="AC12" s="335">
        <f ca="1">Y12/Z12</f>
        <v>43.024360693189003</v>
      </c>
      <c r="AD12" s="698" t="str">
        <f t="shared" ref="AD12:AD75" ca="1" si="4">IF(MONTH($A12)=12,SUM(AC1:AC12)," ")</f>
        <v xml:space="preserve"> </v>
      </c>
    </row>
    <row r="13" spans="1:30">
      <c r="A13" s="672">
        <f>'Annex 12-Gas'!A13</f>
        <v>36982</v>
      </c>
      <c r="C13" s="1484">
        <f ca="1">IF($A13&gt;Endyr,0,VLOOKUP($A13,Tariff_Table,Tariff!$G$33))</f>
        <v>11645.56</v>
      </c>
      <c r="D13" s="1480">
        <f ca="1">VLOOKUP($A13,Curves_Table,Escalation!$AW$291)</f>
        <v>1.924882629107981</v>
      </c>
      <c r="E13" s="1486">
        <f t="shared" ref="E13:E76" ca="1" si="5">C13*D13</f>
        <v>22416.33615023474</v>
      </c>
      <c r="F13" s="330">
        <f ca="1">VLOOKUP($A13,Plant_Table,'Plant Operations'!$C$270)</f>
        <v>237.77937158469945</v>
      </c>
      <c r="G13" s="1486">
        <f t="shared" ref="G13:G76" ca="1" si="6">E13*F13/1000</f>
        <v>5330.142323034197</v>
      </c>
      <c r="H13" s="1480">
        <f ca="1">IF(Assm!$L$74=0,VLOOKUP($A13,Curves_Table,Escalation!$D$291),VLOOKUP($A13,Curves_Table,Escalation!$E$291))</f>
        <v>1.8644297889367973</v>
      </c>
      <c r="I13" s="384">
        <f t="shared" ref="I13:I76" ca="1" si="7">G13/H13</f>
        <v>2858.8592365678428</v>
      </c>
      <c r="J13" s="692" t="str">
        <f t="shared" ca="1" si="0"/>
        <v xml:space="preserve"> </v>
      </c>
      <c r="L13" s="1484">
        <f ca="1">IF($A13&gt;Endyr,0,VLOOKUP($A13,Tariff_Table,Tariff!$H$33))</f>
        <v>9025.02</v>
      </c>
      <c r="M13" s="1480">
        <f t="shared" ref="M13:M76" ca="1" si="8">D13</f>
        <v>1.924882629107981</v>
      </c>
      <c r="N13" s="1486">
        <f t="shared" ref="N13:N76" ca="1" si="9">L13*M13</f>
        <v>17372.104225352112</v>
      </c>
      <c r="O13" s="330">
        <f t="shared" ref="O13:O76" ca="1" si="10">$F13</f>
        <v>237.77937158469945</v>
      </c>
      <c r="P13" s="1486">
        <f t="shared" ref="P13:P76" ca="1" si="11">N13*O13/1000</f>
        <v>4130.7280258081273</v>
      </c>
      <c r="Q13" s="1480">
        <f t="shared" ref="Q13:Q76" ca="1" si="12">$H13</f>
        <v>1.8644297889367973</v>
      </c>
      <c r="R13" s="384">
        <f t="shared" ref="R13:R76" ca="1" si="13">P13/Q13</f>
        <v>2215.5449619605683</v>
      </c>
      <c r="S13" s="692" t="str">
        <f t="shared" ca="1" si="1"/>
        <v xml:space="preserve"> </v>
      </c>
      <c r="U13" s="1484">
        <f ca="1">IF($A13&gt;Endyr,0,VLOOKUP($A13,Tariff_Table,Tariff!$I$33))</f>
        <v>3.2801999999999998</v>
      </c>
      <c r="V13" s="1480">
        <f t="shared" ca="1" si="2"/>
        <v>1.924882629107981</v>
      </c>
      <c r="W13" s="1486">
        <f t="shared" ref="W13:W76" ca="1" si="14">U13*V13</f>
        <v>6.3139999999999992</v>
      </c>
      <c r="X13" s="334">
        <f ca="1">VLOOKUP($A13,Plant_Table,'Plant Operations'!$M$270)</f>
        <v>70200</v>
      </c>
      <c r="Y13" s="1006">
        <f t="shared" ref="Y13:Y76" ca="1" si="15">W13*X13/1000</f>
        <v>443.24279999999993</v>
      </c>
      <c r="Z13" s="1480">
        <f t="shared" ref="Z13:Z76" ca="1" si="16">$H13</f>
        <v>1.8644297889367973</v>
      </c>
      <c r="AA13" s="1480">
        <f t="shared" ca="1" si="3"/>
        <v>1.8644297889367973</v>
      </c>
      <c r="AB13" s="333">
        <f t="shared" ref="AB13:AB76" ca="1" si="17">W13/AA13</f>
        <v>3.3865582053377277</v>
      </c>
      <c r="AC13" s="335">
        <f t="shared" ref="AC13:AC76" ca="1" si="18">Y13/Z13</f>
        <v>237.7363860147085</v>
      </c>
      <c r="AD13" s="698" t="str">
        <f t="shared" ca="1" si="4"/>
        <v xml:space="preserve"> </v>
      </c>
    </row>
    <row r="14" spans="1:30">
      <c r="A14" s="672">
        <f>'Annex 12-Gas'!A14</f>
        <v>37012</v>
      </c>
      <c r="C14" s="1484">
        <f ca="1">IF($A14&gt;Endyr,0,VLOOKUP($A14,Tariff_Table,Tariff!$G$33))</f>
        <v>11645.56</v>
      </c>
      <c r="D14" s="1480">
        <f ca="1">VLOOKUP($A14,Curves_Table,Escalation!$AW$291)</f>
        <v>1.924882629107981</v>
      </c>
      <c r="E14" s="1486">
        <f t="shared" ca="1" si="5"/>
        <v>22416.33615023474</v>
      </c>
      <c r="F14" s="330">
        <f ca="1">VLOOKUP($A14,Plant_Table,'Plant Operations'!$C$270)</f>
        <v>237.77937158469945</v>
      </c>
      <c r="G14" s="1486">
        <f t="shared" ca="1" si="6"/>
        <v>5330.142323034197</v>
      </c>
      <c r="H14" s="1480">
        <f ca="1">IF(Assm!$L$74=0,VLOOKUP($A14,Curves_Table,Escalation!$D$291),VLOOKUP($A14,Curves_Table,Escalation!$E$291))</f>
        <v>1.8798853768667387</v>
      </c>
      <c r="I14" s="384">
        <f t="shared" ca="1" si="7"/>
        <v>2835.3549576081627</v>
      </c>
      <c r="J14" s="692" t="str">
        <f t="shared" ca="1" si="0"/>
        <v xml:space="preserve"> </v>
      </c>
      <c r="L14" s="1484">
        <f ca="1">IF($A14&gt;Endyr,0,VLOOKUP($A14,Tariff_Table,Tariff!$H$33))</f>
        <v>9025.02</v>
      </c>
      <c r="M14" s="1480">
        <f t="shared" ca="1" si="8"/>
        <v>1.924882629107981</v>
      </c>
      <c r="N14" s="1486">
        <f t="shared" ca="1" si="9"/>
        <v>17372.104225352112</v>
      </c>
      <c r="O14" s="330">
        <f t="shared" ca="1" si="10"/>
        <v>237.77937158469945</v>
      </c>
      <c r="P14" s="1486">
        <f t="shared" ca="1" si="11"/>
        <v>4130.7280258081273</v>
      </c>
      <c r="Q14" s="1480">
        <f t="shared" ca="1" si="12"/>
        <v>1.8798853768667387</v>
      </c>
      <c r="R14" s="384">
        <f t="shared" ca="1" si="13"/>
        <v>2197.3297290566384</v>
      </c>
      <c r="S14" s="692" t="str">
        <f t="shared" ca="1" si="1"/>
        <v xml:space="preserve"> </v>
      </c>
      <c r="U14" s="1484">
        <f ca="1">IF($A14&gt;Endyr,0,VLOOKUP($A14,Tariff_Table,Tariff!$I$33))</f>
        <v>3.2801999999999998</v>
      </c>
      <c r="V14" s="1480">
        <f t="shared" ca="1" si="2"/>
        <v>1.924882629107981</v>
      </c>
      <c r="W14" s="1486">
        <f t="shared" ca="1" si="14"/>
        <v>6.3139999999999992</v>
      </c>
      <c r="X14" s="334">
        <f ca="1">VLOOKUP($A14,Plant_Table,'Plant Operations'!$M$270)</f>
        <v>146880</v>
      </c>
      <c r="Y14" s="1006">
        <f t="shared" ca="1" si="15"/>
        <v>927.40031999999985</v>
      </c>
      <c r="Z14" s="1480">
        <f t="shared" ca="1" si="16"/>
        <v>1.8798853768667387</v>
      </c>
      <c r="AA14" s="1480">
        <f t="shared" ca="1" si="3"/>
        <v>1.8798853768667387</v>
      </c>
      <c r="AB14" s="333">
        <f t="shared" ca="1" si="17"/>
        <v>3.3587154183430759</v>
      </c>
      <c r="AC14" s="335">
        <f t="shared" ca="1" si="18"/>
        <v>493.32812064623096</v>
      </c>
      <c r="AD14" s="698" t="str">
        <f t="shared" ca="1" si="4"/>
        <v xml:space="preserve"> </v>
      </c>
    </row>
    <row r="15" spans="1:30">
      <c r="A15" s="672">
        <f>'Annex 12-Gas'!A15</f>
        <v>37043</v>
      </c>
      <c r="C15" s="1484">
        <f ca="1">IF($A15&gt;Endyr,0,VLOOKUP($A15,Tariff_Table,Tariff!$G$33))</f>
        <v>11645.56</v>
      </c>
      <c r="D15" s="1480">
        <f ca="1">VLOOKUP($A15,Curves_Table,Escalation!$AW$291)</f>
        <v>1.924882629107981</v>
      </c>
      <c r="E15" s="1486">
        <f t="shared" ca="1" si="5"/>
        <v>22416.33615023474</v>
      </c>
      <c r="F15" s="330">
        <f ca="1">VLOOKUP($A15,Plant_Table,'Plant Operations'!$C$270)</f>
        <v>237.77937158469945</v>
      </c>
      <c r="G15" s="1486">
        <f t="shared" ca="1" si="6"/>
        <v>5330.142323034197</v>
      </c>
      <c r="H15" s="1480">
        <f ca="1">IF(Assm!$L$74=0,VLOOKUP($A15,Curves_Table,Escalation!$D$291),VLOOKUP($A15,Curves_Table,Escalation!$E$291))</f>
        <v>1.8954690871854543</v>
      </c>
      <c r="I15" s="384">
        <f t="shared" ca="1" si="7"/>
        <v>2812.0439204570848</v>
      </c>
      <c r="J15" s="692" t="str">
        <f t="shared" ca="1" si="0"/>
        <v xml:space="preserve"> </v>
      </c>
      <c r="L15" s="1484">
        <f ca="1">IF($A15&gt;Endyr,0,VLOOKUP($A15,Tariff_Table,Tariff!$H$33))</f>
        <v>9025.02</v>
      </c>
      <c r="M15" s="1480">
        <f t="shared" ca="1" si="8"/>
        <v>1.924882629107981</v>
      </c>
      <c r="N15" s="1486">
        <f t="shared" ca="1" si="9"/>
        <v>17372.104225352112</v>
      </c>
      <c r="O15" s="330">
        <f t="shared" ca="1" si="10"/>
        <v>237.77937158469945</v>
      </c>
      <c r="P15" s="1486">
        <f t="shared" ca="1" si="11"/>
        <v>4130.7280258081273</v>
      </c>
      <c r="Q15" s="1480">
        <f t="shared" ca="1" si="12"/>
        <v>1.8954690871854543</v>
      </c>
      <c r="R15" s="384">
        <f t="shared" ca="1" si="13"/>
        <v>2179.2642537588235</v>
      </c>
      <c r="S15" s="692" t="str">
        <f t="shared" ca="1" si="1"/>
        <v xml:space="preserve"> </v>
      </c>
      <c r="U15" s="1484">
        <f ca="1">IF($A15&gt;Endyr,0,VLOOKUP($A15,Tariff_Table,Tariff!$I$33))</f>
        <v>3.2801999999999998</v>
      </c>
      <c r="V15" s="1480">
        <f t="shared" ca="1" si="2"/>
        <v>1.924882629107981</v>
      </c>
      <c r="W15" s="1486">
        <f t="shared" ca="1" si="14"/>
        <v>6.3139999999999992</v>
      </c>
      <c r="X15" s="334">
        <f ca="1">VLOOKUP($A15,Plant_Table,'Plant Operations'!$M$270)</f>
        <v>232128</v>
      </c>
      <c r="Y15" s="1006">
        <f t="shared" ca="1" si="15"/>
        <v>1465.6561919999999</v>
      </c>
      <c r="Z15" s="1480">
        <f t="shared" ca="1" si="16"/>
        <v>1.8954690871854543</v>
      </c>
      <c r="AA15" s="1480">
        <f t="shared" ca="1" si="3"/>
        <v>1.8954690871854543</v>
      </c>
      <c r="AB15" s="333">
        <f t="shared" ca="1" si="17"/>
        <v>3.3311015424554018</v>
      </c>
      <c r="AC15" s="335">
        <f t="shared" ca="1" si="18"/>
        <v>773.24193884708757</v>
      </c>
      <c r="AD15" s="698" t="str">
        <f t="shared" ca="1" si="4"/>
        <v xml:space="preserve"> </v>
      </c>
    </row>
    <row r="16" spans="1:30">
      <c r="A16" s="672">
        <f>'Annex 12-Gas'!A16</f>
        <v>37073</v>
      </c>
      <c r="C16" s="1484">
        <f ca="1">IF($A16&gt;Endyr,0,VLOOKUP($A16,Tariff_Table,Tariff!$G$33))</f>
        <v>11645.56</v>
      </c>
      <c r="D16" s="1480">
        <f ca="1">VLOOKUP($A16,Curves_Table,Escalation!$AW$291)</f>
        <v>1.924882629107981</v>
      </c>
      <c r="E16" s="1486">
        <f t="shared" ca="1" si="5"/>
        <v>22416.33615023474</v>
      </c>
      <c r="F16" s="330">
        <f ca="1">VLOOKUP($A16,Plant_Table,'Plant Operations'!$C$270)</f>
        <v>237.77937158469945</v>
      </c>
      <c r="G16" s="1486">
        <f t="shared" ca="1" si="6"/>
        <v>5330.142323034197</v>
      </c>
      <c r="H16" s="1480">
        <f ca="1">IF(Assm!$L$74=0,VLOOKUP($A16,Curves_Table,Escalation!$D$291),VLOOKUP($A16,Curves_Table,Escalation!$E$291))</f>
        <v>1.9111819819907805</v>
      </c>
      <c r="I16" s="384">
        <f t="shared" ca="1" si="7"/>
        <v>2788.9245363657419</v>
      </c>
      <c r="J16" s="692" t="str">
        <f t="shared" ca="1" si="0"/>
        <v xml:space="preserve"> </v>
      </c>
      <c r="L16" s="1484">
        <f ca="1">IF($A16&gt;Endyr,0,VLOOKUP($A16,Tariff_Table,Tariff!$H$33))</f>
        <v>9025.02</v>
      </c>
      <c r="M16" s="1480">
        <f t="shared" ca="1" si="8"/>
        <v>1.924882629107981</v>
      </c>
      <c r="N16" s="1486">
        <f t="shared" ca="1" si="9"/>
        <v>17372.104225352112</v>
      </c>
      <c r="O16" s="330">
        <f t="shared" ca="1" si="10"/>
        <v>237.77937158469945</v>
      </c>
      <c r="P16" s="1486">
        <f t="shared" ca="1" si="11"/>
        <v>4130.7280258081273</v>
      </c>
      <c r="Q16" s="1480">
        <f t="shared" ca="1" si="12"/>
        <v>1.9111819819907805</v>
      </c>
      <c r="R16" s="384">
        <f t="shared" ca="1" si="13"/>
        <v>2161.3473048261785</v>
      </c>
      <c r="S16" s="692" t="str">
        <f t="shared" ca="1" si="1"/>
        <v xml:space="preserve"> </v>
      </c>
      <c r="U16" s="1484">
        <f ca="1">IF($A16&gt;Endyr,0,VLOOKUP($A16,Tariff_Table,Tariff!$I$33))</f>
        <v>3.2801999999999998</v>
      </c>
      <c r="V16" s="1480">
        <f t="shared" ca="1" si="2"/>
        <v>1.924882629107981</v>
      </c>
      <c r="W16" s="1486">
        <f t="shared" ca="1" si="14"/>
        <v>6.3139999999999992</v>
      </c>
      <c r="X16" s="334">
        <f ca="1">VLOOKUP($A16,Plant_Table,'Plant Operations'!$M$270)</f>
        <v>234410</v>
      </c>
      <c r="Y16" s="1006">
        <f t="shared" ca="1" si="15"/>
        <v>1480.0647399999998</v>
      </c>
      <c r="Z16" s="1480">
        <f t="shared" ca="1" si="16"/>
        <v>1.9111819819907805</v>
      </c>
      <c r="AA16" s="1480">
        <f t="shared" ca="1" si="3"/>
        <v>1.9111819819907805</v>
      </c>
      <c r="AB16" s="333">
        <f t="shared" ca="1" si="17"/>
        <v>3.3037146956686083</v>
      </c>
      <c r="AC16" s="335">
        <f t="shared" ca="1" si="18"/>
        <v>774.42376181167845</v>
      </c>
      <c r="AD16" s="698" t="str">
        <f t="shared" ca="1" si="4"/>
        <v xml:space="preserve"> </v>
      </c>
    </row>
    <row r="17" spans="1:30">
      <c r="A17" s="672">
        <f>'Annex 12-Gas'!A17</f>
        <v>37104</v>
      </c>
      <c r="C17" s="1484">
        <f ca="1">IF($A17&gt;Endyr,0,VLOOKUP($A17,Tariff_Table,Tariff!$G$33))</f>
        <v>11645.56</v>
      </c>
      <c r="D17" s="1480">
        <f ca="1">VLOOKUP($A17,Curves_Table,Escalation!$AW$291)</f>
        <v>1.924882629107981</v>
      </c>
      <c r="E17" s="1486">
        <f t="shared" ca="1" si="5"/>
        <v>22416.33615023474</v>
      </c>
      <c r="F17" s="330">
        <f ca="1">VLOOKUP($A17,Plant_Table,'Plant Operations'!$C$270)</f>
        <v>480</v>
      </c>
      <c r="G17" s="1486">
        <f t="shared" ca="1" si="6"/>
        <v>10759.841352112675</v>
      </c>
      <c r="H17" s="1480">
        <f ca="1">IF(Assm!$L$74=0,VLOOKUP($A17,Curves_Table,Escalation!$D$291),VLOOKUP($A17,Curves_Table,Escalation!$E$291))</f>
        <v>1.9270251321850405</v>
      </c>
      <c r="I17" s="384">
        <f t="shared" ca="1" si="7"/>
        <v>5583.6538778880195</v>
      </c>
      <c r="J17" s="692" t="str">
        <f t="shared" ca="1" si="0"/>
        <v xml:space="preserve"> </v>
      </c>
      <c r="L17" s="1484">
        <f ca="1">IF($A17&gt;Endyr,0,VLOOKUP($A17,Tariff_Table,Tariff!$H$33))</f>
        <v>9025.02</v>
      </c>
      <c r="M17" s="1480">
        <f t="shared" ca="1" si="8"/>
        <v>1.924882629107981</v>
      </c>
      <c r="N17" s="1486">
        <f t="shared" ca="1" si="9"/>
        <v>17372.104225352112</v>
      </c>
      <c r="O17" s="330">
        <f t="shared" ca="1" si="10"/>
        <v>480</v>
      </c>
      <c r="P17" s="1486">
        <f t="shared" ca="1" si="11"/>
        <v>8338.6100281690142</v>
      </c>
      <c r="Q17" s="1480">
        <f t="shared" ca="1" si="12"/>
        <v>1.9270251321850405</v>
      </c>
      <c r="R17" s="384">
        <f t="shared" ca="1" si="13"/>
        <v>4327.1931895947419</v>
      </c>
      <c r="S17" s="692" t="str">
        <f t="shared" ca="1" si="1"/>
        <v xml:space="preserve"> </v>
      </c>
      <c r="U17" s="1484">
        <f ca="1">IF($A17&gt;Endyr,0,VLOOKUP($A17,Tariff_Table,Tariff!$I$33))</f>
        <v>3.2801999999999998</v>
      </c>
      <c r="V17" s="1480">
        <f t="shared" ca="1" si="2"/>
        <v>1.924882629107981</v>
      </c>
      <c r="W17" s="1486">
        <f t="shared" ca="1" si="14"/>
        <v>6.3139999999999992</v>
      </c>
      <c r="X17" s="334">
        <f ca="1">VLOOKUP($A17,Plant_Table,'Plant Operations'!$M$270)</f>
        <v>298980.864</v>
      </c>
      <c r="Y17" s="1006">
        <f t="shared" ca="1" si="15"/>
        <v>1887.7651752959998</v>
      </c>
      <c r="Z17" s="1480">
        <f t="shared" ca="1" si="16"/>
        <v>1.9270251321850405</v>
      </c>
      <c r="AA17" s="1480">
        <f t="shared" ca="1" si="3"/>
        <v>1.9270251321850405</v>
      </c>
      <c r="AB17" s="333">
        <f t="shared" ca="1" si="17"/>
        <v>3.2765530114496215</v>
      </c>
      <c r="AC17" s="335">
        <f t="shared" ca="1" si="18"/>
        <v>979.62665030500978</v>
      </c>
      <c r="AD17" s="698" t="str">
        <f t="shared" ca="1" si="4"/>
        <v xml:space="preserve"> </v>
      </c>
    </row>
    <row r="18" spans="1:30">
      <c r="A18" s="672">
        <f>'Annex 12-Gas'!A18</f>
        <v>37135</v>
      </c>
      <c r="C18" s="1484">
        <f ca="1">IF($A18&gt;Endyr,0,VLOOKUP($A18,Tariff_Table,Tariff!$G$33))</f>
        <v>7427.29</v>
      </c>
      <c r="D18" s="1480">
        <f ca="1">VLOOKUP($A18,Curves_Table,Escalation!$AW$291)</f>
        <v>1.924882629107981</v>
      </c>
      <c r="E18" s="1486">
        <f t="shared" ca="1" si="5"/>
        <v>14296.661502347417</v>
      </c>
      <c r="F18" s="330">
        <f ca="1">VLOOKUP($A18,Plant_Table,'Plant Operations'!$C$270)</f>
        <v>480</v>
      </c>
      <c r="G18" s="1486">
        <f t="shared" ca="1" si="6"/>
        <v>6862.3975211267598</v>
      </c>
      <c r="H18" s="1480">
        <f ca="1">IF(Assm!$L$74=0,VLOOKUP($A18,Curves_Table,Escalation!$D$291),VLOOKUP($A18,Curves_Table,Escalation!$E$291))</f>
        <v>1.9429996175480302</v>
      </c>
      <c r="I18" s="384">
        <f t="shared" ca="1" si="7"/>
        <v>3531.8573710203646</v>
      </c>
      <c r="J18" s="692" t="str">
        <f t="shared" ca="1" si="0"/>
        <v xml:space="preserve"> </v>
      </c>
      <c r="L18" s="1484">
        <f ca="1">IF($A18&gt;Endyr,0,VLOOKUP($A18,Tariff_Table,Tariff!$H$33))</f>
        <v>6126.75</v>
      </c>
      <c r="M18" s="1480">
        <f t="shared" ca="1" si="8"/>
        <v>1.924882629107981</v>
      </c>
      <c r="N18" s="1486">
        <f t="shared" ca="1" si="9"/>
        <v>11793.274647887323</v>
      </c>
      <c r="O18" s="330">
        <f t="shared" ca="1" si="10"/>
        <v>480</v>
      </c>
      <c r="P18" s="1486">
        <f t="shared" ca="1" si="11"/>
        <v>5660.7718309859147</v>
      </c>
      <c r="Q18" s="1480">
        <f t="shared" ca="1" si="12"/>
        <v>1.9429996175480302</v>
      </c>
      <c r="R18" s="384">
        <f t="shared" ca="1" si="13"/>
        <v>2913.4189115948102</v>
      </c>
      <c r="S18" s="692" t="str">
        <f t="shared" ca="1" si="1"/>
        <v xml:space="preserve"> </v>
      </c>
      <c r="U18" s="1484">
        <f ca="1">IF($A18&gt;Endyr,0,VLOOKUP($A18,Tariff_Table,Tariff!$I$33))</f>
        <v>2.36</v>
      </c>
      <c r="V18" s="1480">
        <f t="shared" ca="1" si="2"/>
        <v>1.924882629107981</v>
      </c>
      <c r="W18" s="1486">
        <f t="shared" ca="1" si="14"/>
        <v>4.5427230046948353</v>
      </c>
      <c r="X18" s="334">
        <f ca="1">VLOOKUP($A18,Plant_Table,'Plant Operations'!$M$270)</f>
        <v>289336.32000000001</v>
      </c>
      <c r="Y18" s="1006">
        <f t="shared" ca="1" si="15"/>
        <v>1314.3747569577463</v>
      </c>
      <c r="Z18" s="1480">
        <f t="shared" ca="1" si="16"/>
        <v>1.9429996175480302</v>
      </c>
      <c r="AA18" s="1480">
        <f t="shared" ca="1" si="3"/>
        <v>1.9429996175480302</v>
      </c>
      <c r="AB18" s="333">
        <f t="shared" ca="1" si="17"/>
        <v>2.3379948012689411</v>
      </c>
      <c r="AC18" s="335">
        <f t="shared" ca="1" si="18"/>
        <v>676.46681197828673</v>
      </c>
      <c r="AD18" s="698" t="str">
        <f t="shared" ca="1" si="4"/>
        <v xml:space="preserve"> </v>
      </c>
    </row>
    <row r="19" spans="1:30">
      <c r="A19" s="672">
        <f>'Annex 12-Gas'!A19</f>
        <v>37165</v>
      </c>
      <c r="C19" s="1484">
        <f ca="1">IF($A19&gt;Endyr,0,VLOOKUP($A19,Tariff_Table,Tariff!$G$33))</f>
        <v>7427.29</v>
      </c>
      <c r="D19" s="1480">
        <f ca="1">VLOOKUP($A19,Curves_Table,Escalation!$AW$291)</f>
        <v>1.924882629107981</v>
      </c>
      <c r="E19" s="1486">
        <f t="shared" ca="1" si="5"/>
        <v>14296.661502347417</v>
      </c>
      <c r="F19" s="330">
        <f ca="1">VLOOKUP($A19,Plant_Table,'Plant Operations'!$C$270)</f>
        <v>480</v>
      </c>
      <c r="G19" s="1486">
        <f t="shared" ca="1" si="6"/>
        <v>6862.3975211267598</v>
      </c>
      <c r="H19" s="1480">
        <f ca="1">IF(Assm!$L$74=0,VLOOKUP($A19,Curves_Table,Escalation!$D$291),VLOOKUP($A19,Curves_Table,Escalation!$E$291))</f>
        <v>1.95910652681061</v>
      </c>
      <c r="I19" s="384">
        <f t="shared" ca="1" si="7"/>
        <v>3502.8199984094886</v>
      </c>
      <c r="J19" s="692" t="str">
        <f t="shared" ca="1" si="0"/>
        <v xml:space="preserve"> </v>
      </c>
      <c r="L19" s="1484">
        <f ca="1">IF($A19&gt;Endyr,0,VLOOKUP($A19,Tariff_Table,Tariff!$H$33))</f>
        <v>6126.75</v>
      </c>
      <c r="M19" s="1480">
        <f t="shared" ca="1" si="8"/>
        <v>1.924882629107981</v>
      </c>
      <c r="N19" s="1486">
        <f t="shared" ca="1" si="9"/>
        <v>11793.274647887323</v>
      </c>
      <c r="O19" s="330">
        <f t="shared" ca="1" si="10"/>
        <v>480</v>
      </c>
      <c r="P19" s="1486">
        <f t="shared" ca="1" si="11"/>
        <v>5660.7718309859147</v>
      </c>
      <c r="Q19" s="1480">
        <f t="shared" ca="1" si="12"/>
        <v>1.95910652681061</v>
      </c>
      <c r="R19" s="384">
        <f t="shared" ca="1" si="13"/>
        <v>2889.4660670655562</v>
      </c>
      <c r="S19" s="692" t="str">
        <f t="shared" ca="1" si="1"/>
        <v xml:space="preserve"> </v>
      </c>
      <c r="U19" s="1484">
        <f ca="1">IF($A19&gt;Endyr,0,VLOOKUP($A19,Tariff_Table,Tariff!$I$33))</f>
        <v>2.36</v>
      </c>
      <c r="V19" s="1480">
        <f t="shared" ca="1" si="2"/>
        <v>1.924882629107981</v>
      </c>
      <c r="W19" s="1486">
        <f t="shared" ca="1" si="14"/>
        <v>4.5427230046948353</v>
      </c>
      <c r="X19" s="334">
        <f ca="1">VLOOKUP($A19,Plant_Table,'Plant Operations'!$M$270)</f>
        <v>298980.864</v>
      </c>
      <c r="Y19" s="1006">
        <f t="shared" ca="1" si="15"/>
        <v>1358.1872488563379</v>
      </c>
      <c r="Z19" s="1480">
        <f t="shared" ca="1" si="16"/>
        <v>1.95910652681061</v>
      </c>
      <c r="AA19" s="1480">
        <f t="shared" ca="1" si="3"/>
        <v>1.95910652681061</v>
      </c>
      <c r="AB19" s="333">
        <f t="shared" ca="1" si="17"/>
        <v>2.3187728398262784</v>
      </c>
      <c r="AC19" s="335">
        <f t="shared" ca="1" si="18"/>
        <v>693.26870707099431</v>
      </c>
      <c r="AD19" s="698" t="str">
        <f t="shared" ca="1" si="4"/>
        <v xml:space="preserve"> </v>
      </c>
    </row>
    <row r="20" spans="1:30">
      <c r="A20" s="672">
        <f>'Annex 12-Gas'!A20</f>
        <v>37196</v>
      </c>
      <c r="C20" s="1484">
        <f ca="1">IF($A20&gt;Endyr,0,VLOOKUP($A20,Tariff_Table,Tariff!$G$33))</f>
        <v>7427.29</v>
      </c>
      <c r="D20" s="1480">
        <f ca="1">VLOOKUP($A20,Curves_Table,Escalation!$AW$291)</f>
        <v>1.924882629107981</v>
      </c>
      <c r="E20" s="1486">
        <f t="shared" ca="1" si="5"/>
        <v>14296.661502347417</v>
      </c>
      <c r="F20" s="330">
        <f ca="1">VLOOKUP($A20,Plant_Table,'Plant Operations'!$C$270)</f>
        <v>480</v>
      </c>
      <c r="G20" s="1486">
        <f t="shared" ca="1" si="6"/>
        <v>6862.3975211267598</v>
      </c>
      <c r="H20" s="1480">
        <f ca="1">IF(Assm!$L$74=0,VLOOKUP($A20,Curves_Table,Escalation!$D$291),VLOOKUP($A20,Curves_Table,Escalation!$E$291))</f>
        <v>1.9753469577289071</v>
      </c>
      <c r="I20" s="384">
        <f t="shared" ca="1" si="7"/>
        <v>3474.0213582613278</v>
      </c>
      <c r="J20" s="692" t="str">
        <f t="shared" ca="1" si="0"/>
        <v xml:space="preserve"> </v>
      </c>
      <c r="L20" s="1484">
        <f ca="1">IF($A20&gt;Endyr,0,VLOOKUP($A20,Tariff_Table,Tariff!$H$33))</f>
        <v>6126.75</v>
      </c>
      <c r="M20" s="1480">
        <f t="shared" ca="1" si="8"/>
        <v>1.924882629107981</v>
      </c>
      <c r="N20" s="1486">
        <f t="shared" ca="1" si="9"/>
        <v>11793.274647887323</v>
      </c>
      <c r="O20" s="330">
        <f t="shared" ca="1" si="10"/>
        <v>480</v>
      </c>
      <c r="P20" s="1486">
        <f t="shared" ca="1" si="11"/>
        <v>5660.7718309859147</v>
      </c>
      <c r="Q20" s="1480">
        <f t="shared" ca="1" si="12"/>
        <v>1.9753469577289071</v>
      </c>
      <c r="R20" s="384">
        <f t="shared" ca="1" si="13"/>
        <v>2865.7101522530547</v>
      </c>
      <c r="S20" s="692" t="str">
        <f t="shared" ca="1" si="1"/>
        <v xml:space="preserve"> </v>
      </c>
      <c r="U20" s="1484">
        <f ca="1">IF($A20&gt;Endyr,0,VLOOKUP($A20,Tariff_Table,Tariff!$I$33))</f>
        <v>2.36</v>
      </c>
      <c r="V20" s="1480">
        <f t="shared" ca="1" si="2"/>
        <v>1.924882629107981</v>
      </c>
      <c r="W20" s="1486">
        <f t="shared" ca="1" si="14"/>
        <v>4.5427230046948353</v>
      </c>
      <c r="X20" s="334">
        <f ca="1">VLOOKUP($A20,Plant_Table,'Plant Operations'!$M$270)</f>
        <v>289336.32000000001</v>
      </c>
      <c r="Y20" s="1006">
        <f t="shared" ca="1" si="15"/>
        <v>1314.3747569577463</v>
      </c>
      <c r="Z20" s="1480">
        <f t="shared" ca="1" si="16"/>
        <v>1.9753469577289071</v>
      </c>
      <c r="AA20" s="1480">
        <f t="shared" ca="1" si="3"/>
        <v>1.9753469577289071</v>
      </c>
      <c r="AB20" s="333">
        <f t="shared" ca="1" si="17"/>
        <v>2.2997089128674832</v>
      </c>
      <c r="AC20" s="335">
        <f t="shared" ca="1" si="18"/>
        <v>665.38931392027825</v>
      </c>
      <c r="AD20" s="698" t="str">
        <f t="shared" ca="1" si="4"/>
        <v xml:space="preserve"> </v>
      </c>
    </row>
    <row r="21" spans="1:30">
      <c r="A21" s="672">
        <f>'Annex 12-Gas'!A21</f>
        <v>37226</v>
      </c>
      <c r="C21" s="1484">
        <f ca="1">IF($A21&gt;Endyr,0,VLOOKUP($A21,Tariff_Table,Tariff!$G$33))</f>
        <v>7427.29</v>
      </c>
      <c r="D21" s="1480">
        <f ca="1">VLOOKUP($A21,Curves_Table,Escalation!$AW$291)</f>
        <v>1.924882629107981</v>
      </c>
      <c r="E21" s="1486">
        <f t="shared" ca="1" si="5"/>
        <v>14296.661502347417</v>
      </c>
      <c r="F21" s="330">
        <f ca="1">VLOOKUP($A21,Plant_Table,'Plant Operations'!$C$270)</f>
        <v>480</v>
      </c>
      <c r="G21" s="1486">
        <f t="shared" ca="1" si="6"/>
        <v>6862.3975211267598</v>
      </c>
      <c r="H21" s="1480">
        <f ca="1">IF(Assm!$L$74=0,VLOOKUP($A21,Curves_Table,Escalation!$D$291),VLOOKUP($A21,Curves_Table,Escalation!$E$291))</f>
        <v>1.9917220171591306</v>
      </c>
      <c r="I21" s="384">
        <f t="shared" ca="1" si="7"/>
        <v>3445.4594878229345</v>
      </c>
      <c r="J21" s="692">
        <f t="shared" ca="1" si="0"/>
        <v>32651.418903766156</v>
      </c>
      <c r="L21" s="1484">
        <f ca="1">IF($A21&gt;Endyr,0,VLOOKUP($A21,Tariff_Table,Tariff!$H$33))</f>
        <v>6126.75</v>
      </c>
      <c r="M21" s="1480">
        <f t="shared" ca="1" si="8"/>
        <v>1.924882629107981</v>
      </c>
      <c r="N21" s="1486">
        <f t="shared" ca="1" si="9"/>
        <v>11793.274647887323</v>
      </c>
      <c r="O21" s="330">
        <f t="shared" ca="1" si="10"/>
        <v>480</v>
      </c>
      <c r="P21" s="1486">
        <f t="shared" ca="1" si="11"/>
        <v>5660.7718309859147</v>
      </c>
      <c r="Q21" s="1480">
        <f t="shared" ca="1" si="12"/>
        <v>1.9917220171591306</v>
      </c>
      <c r="R21" s="384">
        <f t="shared" ca="1" si="13"/>
        <v>2842.1495480880862</v>
      </c>
      <c r="S21" s="692">
        <f t="shared" ca="1" si="1"/>
        <v>26000.657715101828</v>
      </c>
      <c r="U21" s="1484">
        <f ca="1">IF($A21&gt;Endyr,0,VLOOKUP($A21,Tariff_Table,Tariff!$I$33))</f>
        <v>2.36</v>
      </c>
      <c r="V21" s="1480">
        <f t="shared" ca="1" si="2"/>
        <v>1.924882629107981</v>
      </c>
      <c r="W21" s="1486">
        <f t="shared" ca="1" si="14"/>
        <v>4.5427230046948353</v>
      </c>
      <c r="X21" s="334">
        <f ca="1">VLOOKUP($A21,Plant_Table,'Plant Operations'!$M$270)</f>
        <v>298980.864</v>
      </c>
      <c r="Y21" s="1006">
        <f t="shared" ca="1" si="15"/>
        <v>1358.1872488563379</v>
      </c>
      <c r="Z21" s="1480">
        <f t="shared" ca="1" si="16"/>
        <v>1.9917220171591306</v>
      </c>
      <c r="AA21" s="1480">
        <f t="shared" ca="1" si="3"/>
        <v>1.9917220171591306</v>
      </c>
      <c r="AB21" s="333">
        <f t="shared" ca="1" si="17"/>
        <v>2.2808017211027747</v>
      </c>
      <c r="AC21" s="335">
        <f t="shared" ca="1" si="18"/>
        <v>681.91606918799459</v>
      </c>
      <c r="AD21" s="698">
        <f t="shared" ca="1" si="4"/>
        <v>6018.4221204754576</v>
      </c>
    </row>
    <row r="22" spans="1:30">
      <c r="A22" s="672">
        <f>'Annex 12-Gas'!A22</f>
        <v>37257</v>
      </c>
      <c r="C22" s="1484">
        <f ca="1">IF($A22&gt;Endyr,0,VLOOKUP($A22,Tariff_Table,Tariff!$G$33))</f>
        <v>7427.29</v>
      </c>
      <c r="D22" s="1480">
        <f ca="1">VLOOKUP($A22,Curves_Table,Escalation!$AW$291)</f>
        <v>1.924882629107981</v>
      </c>
      <c r="E22" s="1486">
        <f t="shared" ca="1" si="5"/>
        <v>14296.661502347417</v>
      </c>
      <c r="F22" s="330">
        <f ca="1">VLOOKUP($A22,Plant_Table,'Plant Operations'!$C$270)</f>
        <v>480</v>
      </c>
      <c r="G22" s="1486">
        <f t="shared" ca="1" si="6"/>
        <v>6862.3975211267598</v>
      </c>
      <c r="H22" s="1480">
        <f ca="1">IF(Assm!$L$74=0,VLOOKUP($A22,Curves_Table,Escalation!$D$291),VLOOKUP($A22,Curves_Table,Escalation!$E$291))</f>
        <v>2.0024865610216462</v>
      </c>
      <c r="I22" s="384">
        <f t="shared" ca="1" si="7"/>
        <v>3426.9381151929638</v>
      </c>
      <c r="J22" s="692" t="str">
        <f t="shared" ca="1" si="0"/>
        <v xml:space="preserve"> </v>
      </c>
      <c r="L22" s="1484">
        <f ca="1">IF($A22&gt;Endyr,0,VLOOKUP($A22,Tariff_Table,Tariff!$H$33))</f>
        <v>6126.75</v>
      </c>
      <c r="M22" s="1480">
        <f t="shared" ca="1" si="8"/>
        <v>1.924882629107981</v>
      </c>
      <c r="N22" s="1486">
        <f t="shared" ca="1" si="9"/>
        <v>11793.274647887323</v>
      </c>
      <c r="O22" s="330">
        <f t="shared" ca="1" si="10"/>
        <v>480</v>
      </c>
      <c r="P22" s="1486">
        <f t="shared" ca="1" si="11"/>
        <v>5660.7718309859147</v>
      </c>
      <c r="Q22" s="1480">
        <f t="shared" ca="1" si="12"/>
        <v>2.0024865610216462</v>
      </c>
      <c r="R22" s="384">
        <f t="shared" ca="1" si="13"/>
        <v>2826.8713214723662</v>
      </c>
      <c r="S22" s="692" t="str">
        <f t="shared" ca="1" si="1"/>
        <v xml:space="preserve"> </v>
      </c>
      <c r="U22" s="1484">
        <f ca="1">IF($A22&gt;Endyr,0,VLOOKUP($A22,Tariff_Table,Tariff!$I$33))</f>
        <v>2.36</v>
      </c>
      <c r="V22" s="1480">
        <f t="shared" ca="1" si="2"/>
        <v>1.924882629107981</v>
      </c>
      <c r="W22" s="1486">
        <f t="shared" ca="1" si="14"/>
        <v>4.5427230046948353</v>
      </c>
      <c r="X22" s="334">
        <f ca="1">VLOOKUP($A22,Plant_Table,'Plant Operations'!$M$270)</f>
        <v>298980.864</v>
      </c>
      <c r="Y22" s="1006">
        <f t="shared" ca="1" si="15"/>
        <v>1358.1872488563379</v>
      </c>
      <c r="Z22" s="1480">
        <f t="shared" ca="1" si="16"/>
        <v>2.0024865610216462</v>
      </c>
      <c r="AA22" s="1480">
        <f t="shared" ca="1" si="3"/>
        <v>2.0024865610216462</v>
      </c>
      <c r="AB22" s="333">
        <f t="shared" ca="1" si="17"/>
        <v>2.2685410694477715</v>
      </c>
      <c r="AC22" s="335">
        <f t="shared" ca="1" si="18"/>
        <v>678.25036896297865</v>
      </c>
      <c r="AD22" s="698" t="str">
        <f t="shared" ca="1" si="4"/>
        <v xml:space="preserve"> </v>
      </c>
    </row>
    <row r="23" spans="1:30">
      <c r="A23" s="672">
        <f>'Annex 12-Gas'!A23</f>
        <v>37288</v>
      </c>
      <c r="C23" s="1484">
        <f ca="1">IF($A23&gt;Endyr,0,VLOOKUP($A23,Tariff_Table,Tariff!$G$33))</f>
        <v>7427.29</v>
      </c>
      <c r="D23" s="1480">
        <f ca="1">VLOOKUP($A23,Curves_Table,Escalation!$AW$291)</f>
        <v>1.924882629107981</v>
      </c>
      <c r="E23" s="1486">
        <f t="shared" ca="1" si="5"/>
        <v>14296.661502347417</v>
      </c>
      <c r="F23" s="330">
        <f ca="1">VLOOKUP($A23,Plant_Table,'Plant Operations'!$C$270)</f>
        <v>480</v>
      </c>
      <c r="G23" s="1486">
        <f t="shared" ca="1" si="6"/>
        <v>6862.3975211267598</v>
      </c>
      <c r="H23" s="1480">
        <f ca="1">IF(Assm!$L$74=0,VLOOKUP($A23,Curves_Table,Escalation!$D$291),VLOOKUP($A23,Curves_Table,Escalation!$E$291))</f>
        <v>2.0133092833867692</v>
      </c>
      <c r="I23" s="384">
        <f t="shared" ca="1" si="7"/>
        <v>3408.516305841943</v>
      </c>
      <c r="J23" s="692" t="str">
        <f t="shared" ca="1" si="0"/>
        <v xml:space="preserve"> </v>
      </c>
      <c r="L23" s="1484">
        <f ca="1">IF($A23&gt;Endyr,0,VLOOKUP($A23,Tariff_Table,Tariff!$H$33))</f>
        <v>6126.75</v>
      </c>
      <c r="M23" s="1480">
        <f t="shared" ca="1" si="8"/>
        <v>1.924882629107981</v>
      </c>
      <c r="N23" s="1486">
        <f t="shared" ca="1" si="9"/>
        <v>11793.274647887323</v>
      </c>
      <c r="O23" s="330">
        <f t="shared" ca="1" si="10"/>
        <v>480</v>
      </c>
      <c r="P23" s="1486">
        <f t="shared" ca="1" si="11"/>
        <v>5660.7718309859147</v>
      </c>
      <c r="Q23" s="1480">
        <f t="shared" ca="1" si="12"/>
        <v>2.0133092833867692</v>
      </c>
      <c r="R23" s="384">
        <f t="shared" ca="1" si="13"/>
        <v>2811.6752243169612</v>
      </c>
      <c r="S23" s="692" t="str">
        <f t="shared" ca="1" si="1"/>
        <v xml:space="preserve"> </v>
      </c>
      <c r="U23" s="1484">
        <f ca="1">IF($A23&gt;Endyr,0,VLOOKUP($A23,Tariff_Table,Tariff!$I$33))</f>
        <v>2.36</v>
      </c>
      <c r="V23" s="1480">
        <f t="shared" ca="1" si="2"/>
        <v>1.924882629107981</v>
      </c>
      <c r="W23" s="1486">
        <f t="shared" ca="1" si="14"/>
        <v>4.5427230046948353</v>
      </c>
      <c r="X23" s="334">
        <f ca="1">VLOOKUP($A23,Plant_Table,'Plant Operations'!$M$270)</f>
        <v>270047.23200000002</v>
      </c>
      <c r="Y23" s="1006">
        <f t="shared" ca="1" si="15"/>
        <v>1226.7497731605633</v>
      </c>
      <c r="Z23" s="1480">
        <f t="shared" ca="1" si="16"/>
        <v>2.0133092833867692</v>
      </c>
      <c r="AA23" s="1480">
        <f t="shared" ca="1" si="3"/>
        <v>2.0133092833867692</v>
      </c>
      <c r="AB23" s="333">
        <f t="shared" ca="1" si="17"/>
        <v>2.2563463260116254</v>
      </c>
      <c r="AC23" s="335">
        <f t="shared" ca="1" si="18"/>
        <v>609.32007977280909</v>
      </c>
      <c r="AD23" s="698" t="str">
        <f t="shared" ca="1" si="4"/>
        <v xml:space="preserve"> </v>
      </c>
    </row>
    <row r="24" spans="1:30">
      <c r="A24" s="672">
        <f>'Annex 12-Gas'!A24</f>
        <v>37316</v>
      </c>
      <c r="C24" s="1484">
        <f ca="1">IF($A24&gt;Endyr,0,VLOOKUP($A24,Tariff_Table,Tariff!$G$33))</f>
        <v>7427.29</v>
      </c>
      <c r="D24" s="1480">
        <f ca="1">VLOOKUP($A24,Curves_Table,Escalation!$AW$291)</f>
        <v>1.924882629107981</v>
      </c>
      <c r="E24" s="1486">
        <f t="shared" ca="1" si="5"/>
        <v>14296.661502347417</v>
      </c>
      <c r="F24" s="330">
        <f ca="1">VLOOKUP($A24,Plant_Table,'Plant Operations'!$C$270)</f>
        <v>480</v>
      </c>
      <c r="G24" s="1486">
        <f t="shared" ca="1" si="6"/>
        <v>6862.3975211267598</v>
      </c>
      <c r="H24" s="1480">
        <f ca="1">IF(Assm!$L$74=0,VLOOKUP($A24,Curves_Table,Escalation!$D$291),VLOOKUP($A24,Curves_Table,Escalation!$E$291))</f>
        <v>2.0241904986884602</v>
      </c>
      <c r="I24" s="384">
        <f t="shared" ca="1" si="7"/>
        <v>3390.1935245586487</v>
      </c>
      <c r="J24" s="692" t="str">
        <f t="shared" ca="1" si="0"/>
        <v xml:space="preserve"> </v>
      </c>
      <c r="L24" s="1484">
        <f ca="1">IF($A24&gt;Endyr,0,VLOOKUP($A24,Tariff_Table,Tariff!$H$33))</f>
        <v>6126.75</v>
      </c>
      <c r="M24" s="1480">
        <f t="shared" ca="1" si="8"/>
        <v>1.924882629107981</v>
      </c>
      <c r="N24" s="1486">
        <f t="shared" ca="1" si="9"/>
        <v>11793.274647887323</v>
      </c>
      <c r="O24" s="330">
        <f t="shared" ca="1" si="10"/>
        <v>480</v>
      </c>
      <c r="P24" s="1486">
        <f t="shared" ca="1" si="11"/>
        <v>5660.7718309859147</v>
      </c>
      <c r="Q24" s="1480">
        <f t="shared" ca="1" si="12"/>
        <v>2.0241904986884602</v>
      </c>
      <c r="R24" s="384">
        <f t="shared" ca="1" si="13"/>
        <v>2796.5608151276847</v>
      </c>
      <c r="S24" s="692" t="str">
        <f t="shared" ca="1" si="1"/>
        <v xml:space="preserve"> </v>
      </c>
      <c r="U24" s="1484">
        <f ca="1">IF($A24&gt;Endyr,0,VLOOKUP($A24,Tariff_Table,Tariff!$I$33))</f>
        <v>2.36</v>
      </c>
      <c r="V24" s="1480">
        <f t="shared" ca="1" si="2"/>
        <v>1.924882629107981</v>
      </c>
      <c r="W24" s="1486">
        <f t="shared" ca="1" si="14"/>
        <v>4.5427230046948353</v>
      </c>
      <c r="X24" s="334">
        <f ca="1">VLOOKUP($A24,Plant_Table,'Plant Operations'!$M$270)</f>
        <v>298980.864</v>
      </c>
      <c r="Y24" s="1006">
        <f t="shared" ca="1" si="15"/>
        <v>1358.1872488563379</v>
      </c>
      <c r="Z24" s="1480">
        <f t="shared" ca="1" si="16"/>
        <v>2.0241904986884602</v>
      </c>
      <c r="AA24" s="1480">
        <f t="shared" ca="1" si="3"/>
        <v>2.0241904986884602</v>
      </c>
      <c r="AB24" s="333">
        <f t="shared" ca="1" si="17"/>
        <v>2.2442171364988699</v>
      </c>
      <c r="AC24" s="335">
        <f t="shared" ca="1" si="18"/>
        <v>670.97797847403797</v>
      </c>
      <c r="AD24" s="698" t="str">
        <f t="shared" ca="1" si="4"/>
        <v xml:space="preserve"> </v>
      </c>
    </row>
    <row r="25" spans="1:30">
      <c r="A25" s="672">
        <f>'Annex 12-Gas'!A25</f>
        <v>37347</v>
      </c>
      <c r="C25" s="1484">
        <f ca="1">IF($A25&gt;Endyr,0,VLOOKUP($A25,Tariff_Table,Tariff!$G$33))</f>
        <v>7427.29</v>
      </c>
      <c r="D25" s="1480">
        <f ca="1">VLOOKUP($A25,Curves_Table,Escalation!$AW$291)</f>
        <v>1.924882629107981</v>
      </c>
      <c r="E25" s="1486">
        <f t="shared" ca="1" si="5"/>
        <v>14296.661502347417</v>
      </c>
      <c r="F25" s="330">
        <f ca="1">VLOOKUP($A25,Plant_Table,'Plant Operations'!$C$270)</f>
        <v>480</v>
      </c>
      <c r="G25" s="1486">
        <f t="shared" ca="1" si="6"/>
        <v>6862.3975211267598</v>
      </c>
      <c r="H25" s="1480">
        <f ca="1">IF(Assm!$L$74=0,VLOOKUP($A25,Curves_Table,Escalation!$D$291),VLOOKUP($A25,Curves_Table,Escalation!$E$291))</f>
        <v>2.0351305230600838</v>
      </c>
      <c r="I25" s="384">
        <f t="shared" ca="1" si="7"/>
        <v>3371.9692390089317</v>
      </c>
      <c r="J25" s="692" t="str">
        <f t="shared" ca="1" si="0"/>
        <v xml:space="preserve"> </v>
      </c>
      <c r="L25" s="1484">
        <f ca="1">IF($A25&gt;Endyr,0,VLOOKUP($A25,Tariff_Table,Tariff!$H$33))</f>
        <v>6126.75</v>
      </c>
      <c r="M25" s="1480">
        <f t="shared" ca="1" si="8"/>
        <v>1.924882629107981</v>
      </c>
      <c r="N25" s="1486">
        <f t="shared" ca="1" si="9"/>
        <v>11793.274647887323</v>
      </c>
      <c r="O25" s="330">
        <f t="shared" ca="1" si="10"/>
        <v>480</v>
      </c>
      <c r="P25" s="1486">
        <f t="shared" ca="1" si="11"/>
        <v>5660.7718309859147</v>
      </c>
      <c r="Q25" s="1480">
        <f t="shared" ca="1" si="12"/>
        <v>2.0351305230600838</v>
      </c>
      <c r="R25" s="384">
        <f t="shared" ca="1" si="13"/>
        <v>2781.5276547836388</v>
      </c>
      <c r="S25" s="692" t="str">
        <f t="shared" ca="1" si="1"/>
        <v xml:space="preserve"> </v>
      </c>
      <c r="U25" s="1484">
        <f ca="1">IF($A25&gt;Endyr,0,VLOOKUP($A25,Tariff_Table,Tariff!$I$33))</f>
        <v>2.36</v>
      </c>
      <c r="V25" s="1480">
        <f t="shared" ca="1" si="2"/>
        <v>1.924882629107981</v>
      </c>
      <c r="W25" s="1486">
        <f t="shared" ca="1" si="14"/>
        <v>4.5427230046948353</v>
      </c>
      <c r="X25" s="334">
        <f ca="1">VLOOKUP($A25,Plant_Table,'Plant Operations'!$M$270)</f>
        <v>289336.32000000001</v>
      </c>
      <c r="Y25" s="1006">
        <f t="shared" ca="1" si="15"/>
        <v>1314.3747569577463</v>
      </c>
      <c r="Z25" s="1480">
        <f t="shared" ca="1" si="16"/>
        <v>2.0351305230600838</v>
      </c>
      <c r="AA25" s="1480">
        <f t="shared" ca="1" si="3"/>
        <v>2.0351305230600838</v>
      </c>
      <c r="AB25" s="333">
        <f t="shared" ca="1" si="17"/>
        <v>2.2321531485185822</v>
      </c>
      <c r="AC25" s="335">
        <f t="shared" ca="1" si="18"/>
        <v>645.84297766878001</v>
      </c>
      <c r="AD25" s="698" t="str">
        <f t="shared" ca="1" si="4"/>
        <v xml:space="preserve"> </v>
      </c>
    </row>
    <row r="26" spans="1:30">
      <c r="A26" s="672">
        <f>'Annex 12-Gas'!A26</f>
        <v>37377</v>
      </c>
      <c r="C26" s="1484">
        <f ca="1">IF($A26&gt;Endyr,0,VLOOKUP($A26,Tariff_Table,Tariff!$G$33))</f>
        <v>7420.08</v>
      </c>
      <c r="D26" s="1480">
        <f ca="1">VLOOKUP($A26,Curves_Table,Escalation!$AW$291)</f>
        <v>1.924882629107981</v>
      </c>
      <c r="E26" s="1486">
        <f t="shared" ca="1" si="5"/>
        <v>14282.783098591548</v>
      </c>
      <c r="F26" s="330">
        <f ca="1">VLOOKUP($A26,Plant_Table,'Plant Operations'!$C$270)</f>
        <v>480</v>
      </c>
      <c r="G26" s="1486">
        <f t="shared" ca="1" si="6"/>
        <v>6855.7358873239427</v>
      </c>
      <c r="H26" s="1480">
        <f ca="1">IF(Assm!$L$74=0,VLOOKUP($A26,Curves_Table,Escalation!$D$291),VLOOKUP($A26,Curves_Table,Escalation!$E$291))</f>
        <v>2.0461296743435908</v>
      </c>
      <c r="I26" s="384">
        <f t="shared" ca="1" si="7"/>
        <v>3350.5871955663315</v>
      </c>
      <c r="J26" s="692" t="str">
        <f t="shared" ca="1" si="0"/>
        <v xml:space="preserve"> </v>
      </c>
      <c r="L26" s="1484">
        <f ca="1">IF($A26&gt;Endyr,0,VLOOKUP($A26,Tariff_Table,Tariff!$H$33))</f>
        <v>6103.17</v>
      </c>
      <c r="M26" s="1480">
        <f t="shared" ca="1" si="8"/>
        <v>1.924882629107981</v>
      </c>
      <c r="N26" s="1486">
        <f t="shared" ca="1" si="9"/>
        <v>11747.885915492956</v>
      </c>
      <c r="O26" s="330">
        <f t="shared" ca="1" si="10"/>
        <v>480</v>
      </c>
      <c r="P26" s="1486">
        <f t="shared" ca="1" si="11"/>
        <v>5638.9852394366189</v>
      </c>
      <c r="Q26" s="1480">
        <f t="shared" ca="1" si="12"/>
        <v>2.0461296743435908</v>
      </c>
      <c r="R26" s="384">
        <f t="shared" ca="1" si="13"/>
        <v>2755.9275984038673</v>
      </c>
      <c r="S26" s="692" t="str">
        <f t="shared" ca="1" si="1"/>
        <v xml:space="preserve"> </v>
      </c>
      <c r="U26" s="1484">
        <f ca="1">IF($A26&gt;Endyr,0,VLOOKUP($A26,Tariff_Table,Tariff!$I$33))</f>
        <v>2.2999999999999998</v>
      </c>
      <c r="V26" s="1480">
        <f t="shared" ca="1" si="2"/>
        <v>1.924882629107981</v>
      </c>
      <c r="W26" s="1486">
        <f t="shared" ca="1" si="14"/>
        <v>4.4272300469483561</v>
      </c>
      <c r="X26" s="334">
        <f ca="1">VLOOKUP($A26,Plant_Table,'Plant Operations'!$M$270)</f>
        <v>298980.864</v>
      </c>
      <c r="Y26" s="1006">
        <f t="shared" ca="1" si="15"/>
        <v>1323.6570645633801</v>
      </c>
      <c r="Z26" s="1480">
        <f t="shared" ca="1" si="16"/>
        <v>2.0461296743435908</v>
      </c>
      <c r="AA26" s="1480">
        <f t="shared" ca="1" si="3"/>
        <v>2.0461296743435908</v>
      </c>
      <c r="AB26" s="333">
        <f t="shared" ca="1" si="17"/>
        <v>2.1637094180595544</v>
      </c>
      <c r="AC26" s="335">
        <f t="shared" ca="1" si="18"/>
        <v>646.90771125638275</v>
      </c>
      <c r="AD26" s="698" t="str">
        <f t="shared" ca="1" si="4"/>
        <v xml:space="preserve"> </v>
      </c>
    </row>
    <row r="27" spans="1:30">
      <c r="A27" s="672">
        <f>'Annex 12-Gas'!A27</f>
        <v>37408</v>
      </c>
      <c r="C27" s="1484">
        <f ca="1">IF($A27&gt;Endyr,0,VLOOKUP($A27,Tariff_Table,Tariff!$G$33))</f>
        <v>7420.08</v>
      </c>
      <c r="D27" s="1480">
        <f ca="1">VLOOKUP($A27,Curves_Table,Escalation!$AW$291)</f>
        <v>1.924882629107981</v>
      </c>
      <c r="E27" s="1486">
        <f t="shared" ca="1" si="5"/>
        <v>14282.783098591548</v>
      </c>
      <c r="F27" s="330">
        <f ca="1">VLOOKUP($A27,Plant_Table,'Plant Operations'!$C$270)</f>
        <v>480</v>
      </c>
      <c r="G27" s="1486">
        <f t="shared" ca="1" si="6"/>
        <v>6855.7358873239427</v>
      </c>
      <c r="H27" s="1480">
        <f ca="1">IF(Assm!$L$74=0,VLOOKUP($A27,Curves_Table,Escalation!$D$291),VLOOKUP($A27,Curves_Table,Escalation!$E$291))</f>
        <v>2.0571882720987551</v>
      </c>
      <c r="I27" s="384">
        <f t="shared" ca="1" si="7"/>
        <v>3332.5758173459167</v>
      </c>
      <c r="J27" s="692" t="str">
        <f t="shared" ca="1" si="0"/>
        <v xml:space="preserve"> </v>
      </c>
      <c r="L27" s="1484">
        <f ca="1">IF($A27&gt;Endyr,0,VLOOKUP($A27,Tariff_Table,Tariff!$H$33))</f>
        <v>6103.17</v>
      </c>
      <c r="M27" s="1480">
        <f t="shared" ca="1" si="8"/>
        <v>1.924882629107981</v>
      </c>
      <c r="N27" s="1486">
        <f t="shared" ca="1" si="9"/>
        <v>11747.885915492956</v>
      </c>
      <c r="O27" s="330">
        <f t="shared" ca="1" si="10"/>
        <v>480</v>
      </c>
      <c r="P27" s="1486">
        <f t="shared" ca="1" si="11"/>
        <v>5638.9852394366189</v>
      </c>
      <c r="Q27" s="1480">
        <f t="shared" ca="1" si="12"/>
        <v>2.0571882720987551</v>
      </c>
      <c r="R27" s="384">
        <f t="shared" ca="1" si="13"/>
        <v>2741.1128655150724</v>
      </c>
      <c r="S27" s="692" t="str">
        <f t="shared" ca="1" si="1"/>
        <v xml:space="preserve"> </v>
      </c>
      <c r="U27" s="1484">
        <f ca="1">IF($A27&gt;Endyr,0,VLOOKUP($A27,Tariff_Table,Tariff!$I$33))</f>
        <v>2.2999999999999998</v>
      </c>
      <c r="V27" s="1480">
        <f t="shared" ca="1" si="2"/>
        <v>1.924882629107981</v>
      </c>
      <c r="W27" s="1486">
        <f t="shared" ca="1" si="14"/>
        <v>4.4272300469483561</v>
      </c>
      <c r="X27" s="334">
        <f ca="1">VLOOKUP($A27,Plant_Table,'Plant Operations'!$M$270)</f>
        <v>289336.32000000001</v>
      </c>
      <c r="Y27" s="1006">
        <f t="shared" ca="1" si="15"/>
        <v>1280.9584495774648</v>
      </c>
      <c r="Z27" s="1480">
        <f t="shared" ca="1" si="16"/>
        <v>2.0571882720987551</v>
      </c>
      <c r="AA27" s="1480">
        <f t="shared" ca="1" si="3"/>
        <v>2.0571882720987551</v>
      </c>
      <c r="AB27" s="333">
        <f t="shared" ca="1" si="17"/>
        <v>2.152078206450045</v>
      </c>
      <c r="AC27" s="335">
        <f t="shared" ca="1" si="18"/>
        <v>622.67438860645643</v>
      </c>
      <c r="AD27" s="698" t="str">
        <f t="shared" ca="1" si="4"/>
        <v xml:space="preserve"> </v>
      </c>
    </row>
    <row r="28" spans="1:30">
      <c r="A28" s="672">
        <f>'Annex 12-Gas'!A28</f>
        <v>37438</v>
      </c>
      <c r="C28" s="1484">
        <f ca="1">IF($A28&gt;Endyr,0,VLOOKUP($A28,Tariff_Table,Tariff!$G$33))</f>
        <v>7420.08</v>
      </c>
      <c r="D28" s="1480">
        <f ca="1">VLOOKUP($A28,Curves_Table,Escalation!$AW$291)</f>
        <v>1.924882629107981</v>
      </c>
      <c r="E28" s="1486">
        <f t="shared" ca="1" si="5"/>
        <v>14282.783098591548</v>
      </c>
      <c r="F28" s="330">
        <f ca="1">VLOOKUP($A28,Plant_Table,'Plant Operations'!$C$270)</f>
        <v>480</v>
      </c>
      <c r="G28" s="1486">
        <f t="shared" ca="1" si="6"/>
        <v>6855.7358873239427</v>
      </c>
      <c r="H28" s="1480">
        <f ca="1">IF(Assm!$L$74=0,VLOOKUP($A28,Curves_Table,Escalation!$D$291),VLOOKUP($A28,Curves_Table,Escalation!$E$291))</f>
        <v>2.0683066376124559</v>
      </c>
      <c r="I28" s="384">
        <f t="shared" ca="1" si="7"/>
        <v>3314.6612608843352</v>
      </c>
      <c r="J28" s="692" t="str">
        <f t="shared" ca="1" si="0"/>
        <v xml:space="preserve"> </v>
      </c>
      <c r="L28" s="1484">
        <f ca="1">IF($A28&gt;Endyr,0,VLOOKUP($A28,Tariff_Table,Tariff!$H$33))</f>
        <v>6103.17</v>
      </c>
      <c r="M28" s="1480">
        <f t="shared" ca="1" si="8"/>
        <v>1.924882629107981</v>
      </c>
      <c r="N28" s="1486">
        <f t="shared" ca="1" si="9"/>
        <v>11747.885915492956</v>
      </c>
      <c r="O28" s="330">
        <f t="shared" ca="1" si="10"/>
        <v>480</v>
      </c>
      <c r="P28" s="1486">
        <f t="shared" ca="1" si="11"/>
        <v>5638.9852394366189</v>
      </c>
      <c r="Q28" s="1480">
        <f t="shared" ca="1" si="12"/>
        <v>2.0683066376124559</v>
      </c>
      <c r="R28" s="384">
        <f t="shared" ca="1" si="13"/>
        <v>2726.377770535014</v>
      </c>
      <c r="S28" s="692" t="str">
        <f t="shared" ca="1" si="1"/>
        <v xml:space="preserve"> </v>
      </c>
      <c r="U28" s="1484">
        <f ca="1">IF($A28&gt;Endyr,0,VLOOKUP($A28,Tariff_Table,Tariff!$I$33))</f>
        <v>2.2999999999999998</v>
      </c>
      <c r="V28" s="1480">
        <f t="shared" ca="1" si="2"/>
        <v>1.924882629107981</v>
      </c>
      <c r="W28" s="1486">
        <f t="shared" ca="1" si="14"/>
        <v>4.4272300469483561</v>
      </c>
      <c r="X28" s="334">
        <f ca="1">VLOOKUP($A28,Plant_Table,'Plant Operations'!$M$270)</f>
        <v>298980.864</v>
      </c>
      <c r="Y28" s="1006">
        <f t="shared" ca="1" si="15"/>
        <v>1323.6570645633801</v>
      </c>
      <c r="Z28" s="1480">
        <f t="shared" ca="1" si="16"/>
        <v>2.0683066376124559</v>
      </c>
      <c r="AA28" s="1480">
        <f t="shared" ca="1" si="3"/>
        <v>2.0683066376124559</v>
      </c>
      <c r="AB28" s="333">
        <f t="shared" ca="1" si="17"/>
        <v>2.1405095194486816</v>
      </c>
      <c r="AC28" s="335">
        <f t="shared" ca="1" si="18"/>
        <v>639.97138552499155</v>
      </c>
      <c r="AD28" s="698" t="str">
        <f t="shared" ca="1" si="4"/>
        <v xml:space="preserve"> </v>
      </c>
    </row>
    <row r="29" spans="1:30">
      <c r="A29" s="672">
        <f>'Annex 12-Gas'!A29</f>
        <v>37469</v>
      </c>
      <c r="C29" s="1484">
        <f ca="1">IF($A29&gt;Endyr,0,VLOOKUP($A29,Tariff_Table,Tariff!$G$33))</f>
        <v>7420.08</v>
      </c>
      <c r="D29" s="1480">
        <f ca="1">VLOOKUP($A29,Curves_Table,Escalation!$AW$291)</f>
        <v>1.924882629107981</v>
      </c>
      <c r="E29" s="1486">
        <f t="shared" ca="1" si="5"/>
        <v>14282.783098591548</v>
      </c>
      <c r="F29" s="330">
        <f ca="1">VLOOKUP($A29,Plant_Table,'Plant Operations'!$C$270)</f>
        <v>480</v>
      </c>
      <c r="G29" s="1486">
        <f t="shared" ca="1" si="6"/>
        <v>6855.7358873239427</v>
      </c>
      <c r="H29" s="1480">
        <f ca="1">IF(Assm!$L$74=0,VLOOKUP($A29,Curves_Table,Escalation!$D$291),VLOOKUP($A29,Curves_Table,Escalation!$E$291))</f>
        <v>2.0794850939080129</v>
      </c>
      <c r="I29" s="384">
        <f t="shared" ca="1" si="7"/>
        <v>3296.8430057076475</v>
      </c>
      <c r="J29" s="692" t="str">
        <f t="shared" ca="1" si="0"/>
        <v xml:space="preserve"> </v>
      </c>
      <c r="L29" s="1484">
        <f ca="1">IF($A29&gt;Endyr,0,VLOOKUP($A29,Tariff_Table,Tariff!$H$33))</f>
        <v>6103.17</v>
      </c>
      <c r="M29" s="1480">
        <f t="shared" ca="1" si="8"/>
        <v>1.924882629107981</v>
      </c>
      <c r="N29" s="1486">
        <f t="shared" ca="1" si="9"/>
        <v>11747.885915492956</v>
      </c>
      <c r="O29" s="330">
        <f t="shared" ca="1" si="10"/>
        <v>480</v>
      </c>
      <c r="P29" s="1486">
        <f t="shared" ca="1" si="11"/>
        <v>5638.9852394366189</v>
      </c>
      <c r="Q29" s="1480">
        <f t="shared" ca="1" si="12"/>
        <v>2.0794850939080129</v>
      </c>
      <c r="R29" s="384">
        <f t="shared" ca="1" si="13"/>
        <v>2711.7218853630611</v>
      </c>
      <c r="S29" s="692" t="str">
        <f t="shared" ca="1" si="1"/>
        <v xml:space="preserve"> </v>
      </c>
      <c r="U29" s="1484">
        <f ca="1">IF($A29&gt;Endyr,0,VLOOKUP($A29,Tariff_Table,Tariff!$I$33))</f>
        <v>2.2999999999999998</v>
      </c>
      <c r="V29" s="1480">
        <f t="shared" ca="1" si="2"/>
        <v>1.924882629107981</v>
      </c>
      <c r="W29" s="1486">
        <f t="shared" ca="1" si="14"/>
        <v>4.4272300469483561</v>
      </c>
      <c r="X29" s="334">
        <f ca="1">VLOOKUP($A29,Plant_Table,'Plant Operations'!$M$270)</f>
        <v>298980.864</v>
      </c>
      <c r="Y29" s="1006">
        <f t="shared" ca="1" si="15"/>
        <v>1323.6570645633801</v>
      </c>
      <c r="Z29" s="1480">
        <f t="shared" ca="1" si="16"/>
        <v>2.0794850939080129</v>
      </c>
      <c r="AA29" s="1480">
        <f t="shared" ca="1" si="3"/>
        <v>2.0794850939080129</v>
      </c>
      <c r="AB29" s="333">
        <f t="shared" ca="1" si="17"/>
        <v>2.129003020948895</v>
      </c>
      <c r="AC29" s="335">
        <f t="shared" ca="1" si="18"/>
        <v>636.53116266191068</v>
      </c>
      <c r="AD29" s="698" t="str">
        <f t="shared" ca="1" si="4"/>
        <v xml:space="preserve"> </v>
      </c>
    </row>
    <row r="30" spans="1:30">
      <c r="A30" s="672">
        <f>'Annex 12-Gas'!A30</f>
        <v>37500</v>
      </c>
      <c r="C30" s="1484">
        <f ca="1">IF($A30&gt;Endyr,0,VLOOKUP($A30,Tariff_Table,Tariff!$G$33))</f>
        <v>7420.08</v>
      </c>
      <c r="D30" s="1480">
        <f ca="1">VLOOKUP($A30,Curves_Table,Escalation!$AW$291)</f>
        <v>1.924882629107981</v>
      </c>
      <c r="E30" s="1486">
        <f t="shared" ca="1" si="5"/>
        <v>14282.783098591548</v>
      </c>
      <c r="F30" s="330">
        <f ca="1">VLOOKUP($A30,Plant_Table,'Plant Operations'!$C$270)</f>
        <v>480</v>
      </c>
      <c r="G30" s="1486">
        <f t="shared" ca="1" si="6"/>
        <v>6855.7358873239427</v>
      </c>
      <c r="H30" s="1480">
        <f ca="1">IF(Assm!$L$74=0,VLOOKUP($A30,Curves_Table,Escalation!$D$291),VLOOKUP($A30,Curves_Table,Escalation!$E$291))</f>
        <v>2.0907239657545715</v>
      </c>
      <c r="I30" s="384">
        <f t="shared" ca="1" si="7"/>
        <v>3279.1205341397672</v>
      </c>
      <c r="J30" s="692" t="str">
        <f t="shared" ca="1" si="0"/>
        <v xml:space="preserve"> </v>
      </c>
      <c r="L30" s="1484">
        <f ca="1">IF($A30&gt;Endyr,0,VLOOKUP($A30,Tariff_Table,Tariff!$H$33))</f>
        <v>6103.17</v>
      </c>
      <c r="M30" s="1480">
        <f t="shared" ca="1" si="8"/>
        <v>1.924882629107981</v>
      </c>
      <c r="N30" s="1486">
        <f t="shared" ca="1" si="9"/>
        <v>11747.885915492956</v>
      </c>
      <c r="O30" s="330">
        <f t="shared" ca="1" si="10"/>
        <v>480</v>
      </c>
      <c r="P30" s="1486">
        <f t="shared" ca="1" si="11"/>
        <v>5638.9852394366189</v>
      </c>
      <c r="Q30" s="1480">
        <f t="shared" ca="1" si="12"/>
        <v>2.0907239657545715</v>
      </c>
      <c r="R30" s="384">
        <f t="shared" ca="1" si="13"/>
        <v>2697.1447841998743</v>
      </c>
      <c r="S30" s="692" t="str">
        <f t="shared" ca="1" si="1"/>
        <v xml:space="preserve"> </v>
      </c>
      <c r="U30" s="1484">
        <f ca="1">IF($A30&gt;Endyr,0,VLOOKUP($A30,Tariff_Table,Tariff!$I$33))</f>
        <v>2.2999999999999998</v>
      </c>
      <c r="V30" s="1480">
        <f t="shared" ca="1" si="2"/>
        <v>1.924882629107981</v>
      </c>
      <c r="W30" s="1486">
        <f t="shared" ca="1" si="14"/>
        <v>4.4272300469483561</v>
      </c>
      <c r="X30" s="334">
        <f ca="1">VLOOKUP($A30,Plant_Table,'Plant Operations'!$M$270)</f>
        <v>289336.32000000001</v>
      </c>
      <c r="Y30" s="1006">
        <f t="shared" ca="1" si="15"/>
        <v>1280.9584495774648</v>
      </c>
      <c r="Z30" s="1480">
        <f t="shared" ca="1" si="16"/>
        <v>2.0907239657545715</v>
      </c>
      <c r="AA30" s="1480">
        <f t="shared" ca="1" si="3"/>
        <v>2.0907239657545715</v>
      </c>
      <c r="AB30" s="333">
        <f t="shared" ca="1" si="17"/>
        <v>2.1175583766508876</v>
      </c>
      <c r="AC30" s="335">
        <f t="shared" ca="1" si="18"/>
        <v>612.68654808534177</v>
      </c>
      <c r="AD30" s="698" t="str">
        <f t="shared" ca="1" si="4"/>
        <v xml:space="preserve"> </v>
      </c>
    </row>
    <row r="31" spans="1:30">
      <c r="A31" s="672">
        <f>'Annex 12-Gas'!A31</f>
        <v>37530</v>
      </c>
      <c r="C31" s="1484">
        <f ca="1">IF($A31&gt;Endyr,0,VLOOKUP($A31,Tariff_Table,Tariff!$G$33))</f>
        <v>7420.08</v>
      </c>
      <c r="D31" s="1480">
        <f ca="1">VLOOKUP($A31,Curves_Table,Escalation!$AW$291)</f>
        <v>1.924882629107981</v>
      </c>
      <c r="E31" s="1486">
        <f t="shared" ca="1" si="5"/>
        <v>14282.783098591548</v>
      </c>
      <c r="F31" s="330">
        <f ca="1">VLOOKUP($A31,Plant_Table,'Plant Operations'!$C$270)</f>
        <v>480</v>
      </c>
      <c r="G31" s="1486">
        <f t="shared" ca="1" si="6"/>
        <v>6855.7358873239427</v>
      </c>
      <c r="H31" s="1480">
        <f ca="1">IF(Assm!$L$74=0,VLOOKUP($A31,Curves_Table,Escalation!$D$291),VLOOKUP($A31,Curves_Table,Escalation!$E$291))</f>
        <v>2.1020235796765379</v>
      </c>
      <c r="I31" s="384">
        <f t="shared" ca="1" si="7"/>
        <v>3261.4933312874218</v>
      </c>
      <c r="J31" s="692" t="str">
        <f t="shared" ca="1" si="0"/>
        <v xml:space="preserve"> </v>
      </c>
      <c r="L31" s="1484">
        <f ca="1">IF($A31&gt;Endyr,0,VLOOKUP($A31,Tariff_Table,Tariff!$H$33))</f>
        <v>6103.17</v>
      </c>
      <c r="M31" s="1480">
        <f t="shared" ca="1" si="8"/>
        <v>1.924882629107981</v>
      </c>
      <c r="N31" s="1486">
        <f t="shared" ca="1" si="9"/>
        <v>11747.885915492956</v>
      </c>
      <c r="O31" s="330">
        <f t="shared" ca="1" si="10"/>
        <v>480</v>
      </c>
      <c r="P31" s="1486">
        <f t="shared" ca="1" si="11"/>
        <v>5638.9852394366189</v>
      </c>
      <c r="Q31" s="1480">
        <f t="shared" ca="1" si="12"/>
        <v>2.1020235796765379</v>
      </c>
      <c r="R31" s="384">
        <f t="shared" ca="1" si="13"/>
        <v>2682.6460435350364</v>
      </c>
      <c r="S31" s="692" t="str">
        <f t="shared" ca="1" si="1"/>
        <v xml:space="preserve"> </v>
      </c>
      <c r="U31" s="1484">
        <f ca="1">IF($A31&gt;Endyr,0,VLOOKUP($A31,Tariff_Table,Tariff!$I$33))</f>
        <v>2.2999999999999998</v>
      </c>
      <c r="V31" s="1480">
        <f t="shared" ca="1" si="2"/>
        <v>1.924882629107981</v>
      </c>
      <c r="W31" s="1486">
        <f t="shared" ca="1" si="14"/>
        <v>4.4272300469483561</v>
      </c>
      <c r="X31" s="334">
        <f ca="1">VLOOKUP($A31,Plant_Table,'Plant Operations'!$M$270)</f>
        <v>298980.864</v>
      </c>
      <c r="Y31" s="1006">
        <f t="shared" ca="1" si="15"/>
        <v>1323.6570645633801</v>
      </c>
      <c r="Z31" s="1480">
        <f t="shared" ca="1" si="16"/>
        <v>2.1020235796765379</v>
      </c>
      <c r="AA31" s="1480">
        <f t="shared" ca="1" si="3"/>
        <v>2.1020235796765379</v>
      </c>
      <c r="AB31" s="333">
        <f t="shared" ca="1" si="17"/>
        <v>2.106175254051919</v>
      </c>
      <c r="AC31" s="335">
        <f t="shared" ca="1" si="18"/>
        <v>629.70609719186223</v>
      </c>
      <c r="AD31" s="698" t="str">
        <f t="shared" ca="1" si="4"/>
        <v xml:space="preserve"> </v>
      </c>
    </row>
    <row r="32" spans="1:30">
      <c r="A32" s="672">
        <f>'Annex 12-Gas'!A32</f>
        <v>37561</v>
      </c>
      <c r="C32" s="1484">
        <f ca="1">IF($A32&gt;Endyr,0,VLOOKUP($A32,Tariff_Table,Tariff!$G$33))</f>
        <v>7420.08</v>
      </c>
      <c r="D32" s="1480">
        <f ca="1">VLOOKUP($A32,Curves_Table,Escalation!$AW$291)</f>
        <v>1.924882629107981</v>
      </c>
      <c r="E32" s="1486">
        <f t="shared" ca="1" si="5"/>
        <v>14282.783098591548</v>
      </c>
      <c r="F32" s="330">
        <f ca="1">VLOOKUP($A32,Plant_Table,'Plant Operations'!$C$270)</f>
        <v>480</v>
      </c>
      <c r="G32" s="1486">
        <f t="shared" ca="1" si="6"/>
        <v>6855.7358873239427</v>
      </c>
      <c r="H32" s="1480">
        <f ca="1">IF(Assm!$L$74=0,VLOOKUP($A32,Curves_Table,Escalation!$D$291),VLOOKUP($A32,Curves_Table,Escalation!$E$291))</f>
        <v>2.1133842639630656</v>
      </c>
      <c r="I32" s="384">
        <f t="shared" ca="1" si="7"/>
        <v>3243.9608850251934</v>
      </c>
      <c r="J32" s="692" t="str">
        <f t="shared" ca="1" si="0"/>
        <v xml:space="preserve"> </v>
      </c>
      <c r="L32" s="1484">
        <f ca="1">IF($A32&gt;Endyr,0,VLOOKUP($A32,Tariff_Table,Tariff!$H$33))</f>
        <v>6103.17</v>
      </c>
      <c r="M32" s="1480">
        <f t="shared" ca="1" si="8"/>
        <v>1.924882629107981</v>
      </c>
      <c r="N32" s="1486">
        <f t="shared" ca="1" si="9"/>
        <v>11747.885915492956</v>
      </c>
      <c r="O32" s="330">
        <f t="shared" ca="1" si="10"/>
        <v>480</v>
      </c>
      <c r="P32" s="1486">
        <f t="shared" ca="1" si="11"/>
        <v>5638.9852394366189</v>
      </c>
      <c r="Q32" s="1480">
        <f t="shared" ca="1" si="12"/>
        <v>2.1133842639630656</v>
      </c>
      <c r="R32" s="384">
        <f t="shared" ca="1" si="13"/>
        <v>2668.2252421347489</v>
      </c>
      <c r="S32" s="692" t="str">
        <f t="shared" ca="1" si="1"/>
        <v xml:space="preserve"> </v>
      </c>
      <c r="U32" s="1484">
        <f ca="1">IF($A32&gt;Endyr,0,VLOOKUP($A32,Tariff_Table,Tariff!$I$33))</f>
        <v>2.2999999999999998</v>
      </c>
      <c r="V32" s="1480">
        <f t="shared" ca="1" si="2"/>
        <v>1.924882629107981</v>
      </c>
      <c r="W32" s="1486">
        <f t="shared" ca="1" si="14"/>
        <v>4.4272300469483561</v>
      </c>
      <c r="X32" s="334">
        <f ca="1">VLOOKUP($A32,Plant_Table,'Plant Operations'!$M$270)</f>
        <v>289336.32000000001</v>
      </c>
      <c r="Y32" s="1006">
        <f t="shared" ca="1" si="15"/>
        <v>1280.9584495774648</v>
      </c>
      <c r="Z32" s="1480">
        <f t="shared" ca="1" si="16"/>
        <v>2.1133842639630656</v>
      </c>
      <c r="AA32" s="1480">
        <f t="shared" ca="1" si="3"/>
        <v>2.1133842639630656</v>
      </c>
      <c r="AB32" s="333">
        <f t="shared" ca="1" si="17"/>
        <v>2.0948533224366472</v>
      </c>
      <c r="AC32" s="335">
        <f t="shared" ca="1" si="18"/>
        <v>606.11715125359297</v>
      </c>
      <c r="AD32" s="698" t="str">
        <f t="shared" ca="1" si="4"/>
        <v xml:space="preserve"> </v>
      </c>
    </row>
    <row r="33" spans="1:30">
      <c r="A33" s="672">
        <f>'Annex 12-Gas'!A33</f>
        <v>37591</v>
      </c>
      <c r="C33" s="1484">
        <f ca="1">IF($A33&gt;Endyr,0,VLOOKUP($A33,Tariff_Table,Tariff!$G$33))</f>
        <v>7420.08</v>
      </c>
      <c r="D33" s="1480">
        <f ca="1">VLOOKUP($A33,Curves_Table,Escalation!$AW$291)</f>
        <v>1.924882629107981</v>
      </c>
      <c r="E33" s="1486">
        <f t="shared" ca="1" si="5"/>
        <v>14282.783098591548</v>
      </c>
      <c r="F33" s="330">
        <f ca="1">VLOOKUP($A33,Plant_Table,'Plant Operations'!$C$270)</f>
        <v>480</v>
      </c>
      <c r="G33" s="1486">
        <f t="shared" ca="1" si="6"/>
        <v>6855.7358873239427</v>
      </c>
      <c r="H33" s="1480">
        <f ca="1">IF(Assm!$L$74=0,VLOOKUP($A33,Curves_Table,Escalation!$D$291),VLOOKUP($A33,Curves_Table,Escalation!$E$291))</f>
        <v>2.1248063486775925</v>
      </c>
      <c r="I33" s="384">
        <f t="shared" ca="1" si="7"/>
        <v>3226.5226859806403</v>
      </c>
      <c r="J33" s="692">
        <f t="shared" ca="1" si="0"/>
        <v>39903.381900539738</v>
      </c>
      <c r="L33" s="1484">
        <f ca="1">IF($A33&gt;Endyr,0,VLOOKUP($A33,Tariff_Table,Tariff!$H$33))</f>
        <v>6103.17</v>
      </c>
      <c r="M33" s="1480">
        <f t="shared" ca="1" si="8"/>
        <v>1.924882629107981</v>
      </c>
      <c r="N33" s="1486">
        <f t="shared" ca="1" si="9"/>
        <v>11747.885915492956</v>
      </c>
      <c r="O33" s="330">
        <f t="shared" ca="1" si="10"/>
        <v>480</v>
      </c>
      <c r="P33" s="1486">
        <f t="shared" ca="1" si="11"/>
        <v>5638.9852394366189</v>
      </c>
      <c r="Q33" s="1480">
        <f t="shared" ca="1" si="12"/>
        <v>2.1248063486775925</v>
      </c>
      <c r="R33" s="384">
        <f t="shared" ca="1" si="13"/>
        <v>2653.8819610295932</v>
      </c>
      <c r="S33" s="692">
        <f t="shared" ca="1" si="1"/>
        <v>32853.67316641692</v>
      </c>
      <c r="U33" s="1484">
        <f ca="1">IF($A33&gt;Endyr,0,VLOOKUP($A33,Tariff_Table,Tariff!$I$33))</f>
        <v>2.2999999999999998</v>
      </c>
      <c r="V33" s="1480">
        <f t="shared" ca="1" si="2"/>
        <v>1.924882629107981</v>
      </c>
      <c r="W33" s="1486">
        <f t="shared" ca="1" si="14"/>
        <v>4.4272300469483561</v>
      </c>
      <c r="X33" s="334">
        <f ca="1">VLOOKUP($A33,Plant_Table,'Plant Operations'!$M$270)</f>
        <v>298980.864</v>
      </c>
      <c r="Y33" s="1006">
        <f t="shared" ca="1" si="15"/>
        <v>1323.6570645633801</v>
      </c>
      <c r="Z33" s="1480">
        <f t="shared" ca="1" si="16"/>
        <v>2.1248063486775925</v>
      </c>
      <c r="AA33" s="1480">
        <f t="shared" ca="1" si="3"/>
        <v>2.1248063486775925</v>
      </c>
      <c r="AB33" s="333">
        <f t="shared" ca="1" si="17"/>
        <v>2.083592252867521</v>
      </c>
      <c r="AC33" s="335">
        <f t="shared" ca="1" si="18"/>
        <v>622.95421198603788</v>
      </c>
      <c r="AD33" s="698">
        <f t="shared" ca="1" si="4"/>
        <v>7621.9400614451824</v>
      </c>
    </row>
    <row r="34" spans="1:30">
      <c r="A34" s="672">
        <f>'Annex 12-Gas'!A34</f>
        <v>37622</v>
      </c>
      <c r="C34" s="1484">
        <f ca="1">IF($A34&gt;Endyr,0,VLOOKUP($A34,Tariff_Table,Tariff!$G$33))</f>
        <v>7420.08</v>
      </c>
      <c r="D34" s="1480">
        <f ca="1">VLOOKUP($A34,Curves_Table,Escalation!$AW$291)</f>
        <v>1.924882629107981</v>
      </c>
      <c r="E34" s="1486">
        <f t="shared" ca="1" si="5"/>
        <v>14282.783098591548</v>
      </c>
      <c r="F34" s="330">
        <f ca="1">VLOOKUP($A34,Plant_Table,'Plant Operations'!$C$270)</f>
        <v>480</v>
      </c>
      <c r="G34" s="1486">
        <f t="shared" ca="1" si="6"/>
        <v>6855.7358873239427</v>
      </c>
      <c r="H34" s="1480">
        <f ca="1">IF(Assm!$L$74=0,VLOOKUP($A34,Curves_Table,Escalation!$D$291),VLOOKUP($A34,Curves_Table,Escalation!$E$291))</f>
        <v>2.1308778783404252</v>
      </c>
      <c r="I34" s="384">
        <f t="shared" ca="1" si="7"/>
        <v>3217.3293256314346</v>
      </c>
      <c r="J34" s="692" t="str">
        <f t="shared" ca="1" si="0"/>
        <v xml:space="preserve"> </v>
      </c>
      <c r="L34" s="1484">
        <f ca="1">IF($A34&gt;Endyr,0,VLOOKUP($A34,Tariff_Table,Tariff!$H$33))</f>
        <v>6103.17</v>
      </c>
      <c r="M34" s="1480">
        <f t="shared" ca="1" si="8"/>
        <v>1.924882629107981</v>
      </c>
      <c r="N34" s="1486">
        <f t="shared" ca="1" si="9"/>
        <v>11747.885915492956</v>
      </c>
      <c r="O34" s="330">
        <f t="shared" ca="1" si="10"/>
        <v>480</v>
      </c>
      <c r="P34" s="1486">
        <f t="shared" ca="1" si="11"/>
        <v>5638.9852394366189</v>
      </c>
      <c r="Q34" s="1480">
        <f t="shared" ca="1" si="12"/>
        <v>2.1308778783404252</v>
      </c>
      <c r="R34" s="384">
        <f t="shared" ca="1" si="13"/>
        <v>2646.3202310910401</v>
      </c>
      <c r="S34" s="692" t="str">
        <f t="shared" ca="1" si="1"/>
        <v xml:space="preserve"> </v>
      </c>
      <c r="U34" s="1484">
        <f ca="1">IF($A34&gt;Endyr,0,VLOOKUP($A34,Tariff_Table,Tariff!$I$33))</f>
        <v>2.2999999999999998</v>
      </c>
      <c r="V34" s="1480">
        <f t="shared" ca="1" si="2"/>
        <v>1.924882629107981</v>
      </c>
      <c r="W34" s="1486">
        <f t="shared" ca="1" si="14"/>
        <v>4.4272300469483561</v>
      </c>
      <c r="X34" s="334">
        <f ca="1">VLOOKUP($A34,Plant_Table,'Plant Operations'!$M$270)</f>
        <v>298980.864</v>
      </c>
      <c r="Y34" s="1006">
        <f t="shared" ca="1" si="15"/>
        <v>1323.6570645633801</v>
      </c>
      <c r="Z34" s="1480">
        <f t="shared" ca="1" si="16"/>
        <v>2.1308778783404252</v>
      </c>
      <c r="AA34" s="1480">
        <f t="shared" ca="1" si="3"/>
        <v>2.1308778783404252</v>
      </c>
      <c r="AB34" s="333">
        <f t="shared" ca="1" si="17"/>
        <v>2.0776554545661625</v>
      </c>
      <c r="AC34" s="335">
        <f t="shared" ca="1" si="18"/>
        <v>621.17922290050399</v>
      </c>
      <c r="AD34" s="698" t="str">
        <f t="shared" ca="1" si="4"/>
        <v xml:space="preserve"> </v>
      </c>
    </row>
    <row r="35" spans="1:30">
      <c r="A35" s="672">
        <f>'Annex 12-Gas'!A35</f>
        <v>37653</v>
      </c>
      <c r="C35" s="1484">
        <f ca="1">IF($A35&gt;Endyr,0,VLOOKUP($A35,Tariff_Table,Tariff!$G$33))</f>
        <v>7420.08</v>
      </c>
      <c r="D35" s="1480">
        <f ca="1">VLOOKUP($A35,Curves_Table,Escalation!$AW$291)</f>
        <v>1.924882629107981</v>
      </c>
      <c r="E35" s="1486">
        <f t="shared" ca="1" si="5"/>
        <v>14282.783098591548</v>
      </c>
      <c r="F35" s="330">
        <f ca="1">VLOOKUP($A35,Plant_Table,'Plant Operations'!$C$270)</f>
        <v>480</v>
      </c>
      <c r="G35" s="1486">
        <f t="shared" ca="1" si="6"/>
        <v>6855.7358873239427</v>
      </c>
      <c r="H35" s="1480">
        <f ca="1">IF(Assm!$L$74=0,VLOOKUP($A35,Curves_Table,Escalation!$D$291),VLOOKUP($A35,Curves_Table,Escalation!$E$291))</f>
        <v>2.1369667571007271</v>
      </c>
      <c r="I35" s="384">
        <f t="shared" ca="1" si="7"/>
        <v>3208.1621600072431</v>
      </c>
      <c r="J35" s="692" t="str">
        <f t="shared" ca="1" si="0"/>
        <v xml:space="preserve"> </v>
      </c>
      <c r="L35" s="1484">
        <f ca="1">IF($A35&gt;Endyr,0,VLOOKUP($A35,Tariff_Table,Tariff!$H$33))</f>
        <v>6103.17</v>
      </c>
      <c r="M35" s="1480">
        <f t="shared" ca="1" si="8"/>
        <v>1.924882629107981</v>
      </c>
      <c r="N35" s="1486">
        <f t="shared" ca="1" si="9"/>
        <v>11747.885915492956</v>
      </c>
      <c r="O35" s="330">
        <f t="shared" ca="1" si="10"/>
        <v>480</v>
      </c>
      <c r="P35" s="1486">
        <f t="shared" ca="1" si="11"/>
        <v>5638.9852394366189</v>
      </c>
      <c r="Q35" s="1480">
        <f t="shared" ca="1" si="12"/>
        <v>2.1369667571007271</v>
      </c>
      <c r="R35" s="384">
        <f t="shared" ca="1" si="13"/>
        <v>2638.780046858175</v>
      </c>
      <c r="S35" s="692" t="str">
        <f t="shared" ca="1" si="1"/>
        <v xml:space="preserve"> </v>
      </c>
      <c r="U35" s="1484">
        <f ca="1">IF($A35&gt;Endyr,0,VLOOKUP($A35,Tariff_Table,Tariff!$I$33))</f>
        <v>2.2999999999999998</v>
      </c>
      <c r="V35" s="1480">
        <f t="shared" ca="1" si="2"/>
        <v>1.924882629107981</v>
      </c>
      <c r="W35" s="1486">
        <f t="shared" ca="1" si="14"/>
        <v>4.4272300469483561</v>
      </c>
      <c r="X35" s="334">
        <f ca="1">VLOOKUP($A35,Plant_Table,'Plant Operations'!$M$270)</f>
        <v>270047.23200000002</v>
      </c>
      <c r="Y35" s="1006">
        <f t="shared" ca="1" si="15"/>
        <v>1195.5612196056338</v>
      </c>
      <c r="Z35" s="1480">
        <f t="shared" ca="1" si="16"/>
        <v>2.1369667571007271</v>
      </c>
      <c r="AA35" s="1480">
        <f t="shared" ca="1" si="3"/>
        <v>2.1369667571007271</v>
      </c>
      <c r="AB35" s="333">
        <f t="shared" ca="1" si="17"/>
        <v>2.0717355720380426</v>
      </c>
      <c r="AC35" s="335">
        <f t="shared" ca="1" si="18"/>
        <v>559.46645666481015</v>
      </c>
      <c r="AD35" s="698" t="str">
        <f t="shared" ca="1" si="4"/>
        <v xml:space="preserve"> </v>
      </c>
    </row>
    <row r="36" spans="1:30">
      <c r="A36" s="672">
        <f>'Annex 12-Gas'!A36</f>
        <v>37681</v>
      </c>
      <c r="C36" s="1484">
        <f ca="1">IF($A36&gt;Endyr,0,VLOOKUP($A36,Tariff_Table,Tariff!$G$33))</f>
        <v>7420.08</v>
      </c>
      <c r="D36" s="1480">
        <f ca="1">VLOOKUP($A36,Curves_Table,Escalation!$AW$291)</f>
        <v>1.924882629107981</v>
      </c>
      <c r="E36" s="1486">
        <f t="shared" ca="1" si="5"/>
        <v>14282.783098591548</v>
      </c>
      <c r="F36" s="330">
        <f ca="1">VLOOKUP($A36,Plant_Table,'Plant Operations'!$C$270)</f>
        <v>480</v>
      </c>
      <c r="G36" s="1486">
        <f t="shared" ca="1" si="6"/>
        <v>6855.7358873239427</v>
      </c>
      <c r="H36" s="1480">
        <f ca="1">IF(Assm!$L$74=0,VLOOKUP($A36,Curves_Table,Escalation!$D$291),VLOOKUP($A36,Curves_Table,Escalation!$E$291))</f>
        <v>2.1430730345326912</v>
      </c>
      <c r="I36" s="384">
        <f t="shared" ca="1" si="7"/>
        <v>3199.0211144711984</v>
      </c>
      <c r="J36" s="692" t="str">
        <f t="shared" ca="1" si="0"/>
        <v xml:space="preserve"> </v>
      </c>
      <c r="L36" s="1484">
        <f ca="1">IF($A36&gt;Endyr,0,VLOOKUP($A36,Tariff_Table,Tariff!$H$33))</f>
        <v>6103.17</v>
      </c>
      <c r="M36" s="1480">
        <f t="shared" ca="1" si="8"/>
        <v>1.924882629107981</v>
      </c>
      <c r="N36" s="1486">
        <f t="shared" ca="1" si="9"/>
        <v>11747.885915492956</v>
      </c>
      <c r="O36" s="330">
        <f t="shared" ca="1" si="10"/>
        <v>480</v>
      </c>
      <c r="P36" s="1486">
        <f t="shared" ca="1" si="11"/>
        <v>5638.9852394366189</v>
      </c>
      <c r="Q36" s="1480">
        <f t="shared" ca="1" si="12"/>
        <v>2.1430730345326912</v>
      </c>
      <c r="R36" s="384">
        <f t="shared" ca="1" si="13"/>
        <v>2631.2613469406238</v>
      </c>
      <c r="S36" s="692" t="str">
        <f t="shared" ca="1" si="1"/>
        <v xml:space="preserve"> </v>
      </c>
      <c r="U36" s="1484">
        <f ca="1">IF($A36&gt;Endyr,0,VLOOKUP($A36,Tariff_Table,Tariff!$I$33))</f>
        <v>2.2999999999999998</v>
      </c>
      <c r="V36" s="1480">
        <f t="shared" ca="1" si="2"/>
        <v>1.924882629107981</v>
      </c>
      <c r="W36" s="1486">
        <f t="shared" ca="1" si="14"/>
        <v>4.4272300469483561</v>
      </c>
      <c r="X36" s="334">
        <f ca="1">VLOOKUP($A36,Plant_Table,'Plant Operations'!$M$270)</f>
        <v>298980.864</v>
      </c>
      <c r="Y36" s="1006">
        <f t="shared" ca="1" si="15"/>
        <v>1323.6570645633801</v>
      </c>
      <c r="Z36" s="1480">
        <f t="shared" ca="1" si="16"/>
        <v>2.1430730345326912</v>
      </c>
      <c r="AA36" s="1480">
        <f t="shared" ca="1" si="3"/>
        <v>2.1430730345326912</v>
      </c>
      <c r="AB36" s="333">
        <f t="shared" ca="1" si="17"/>
        <v>2.0658325570848954</v>
      </c>
      <c r="AC36" s="335">
        <f t="shared" ca="1" si="18"/>
        <v>617.6444027965714</v>
      </c>
      <c r="AD36" s="698" t="str">
        <f t="shared" ca="1" si="4"/>
        <v xml:space="preserve"> </v>
      </c>
    </row>
    <row r="37" spans="1:30">
      <c r="A37" s="672">
        <f>'Annex 12-Gas'!A37</f>
        <v>37712</v>
      </c>
      <c r="C37" s="1484">
        <f ca="1">IF($A37&gt;Endyr,0,VLOOKUP($A37,Tariff_Table,Tariff!$G$33))</f>
        <v>7420.08</v>
      </c>
      <c r="D37" s="1480">
        <f ca="1">VLOOKUP($A37,Curves_Table,Escalation!$AW$291)</f>
        <v>1.924882629107981</v>
      </c>
      <c r="E37" s="1486">
        <f t="shared" ca="1" si="5"/>
        <v>14282.783098591548</v>
      </c>
      <c r="F37" s="330">
        <f ca="1">VLOOKUP($A37,Plant_Table,'Plant Operations'!$C$270)</f>
        <v>480</v>
      </c>
      <c r="G37" s="1486">
        <f t="shared" ca="1" si="6"/>
        <v>6855.7358873239427</v>
      </c>
      <c r="H37" s="1480">
        <f ca="1">IF(Assm!$L$74=0,VLOOKUP($A37,Curves_Table,Escalation!$D$291),VLOOKUP($A37,Curves_Table,Escalation!$E$291))</f>
        <v>2.1491967603521664</v>
      </c>
      <c r="I37" s="384">
        <f t="shared" ca="1" si="7"/>
        <v>3189.9061145990954</v>
      </c>
      <c r="J37" s="692" t="str">
        <f t="shared" ca="1" si="0"/>
        <v xml:space="preserve"> </v>
      </c>
      <c r="L37" s="1484">
        <f ca="1">IF($A37&gt;Endyr,0,VLOOKUP($A37,Tariff_Table,Tariff!$H$33))</f>
        <v>6103.17</v>
      </c>
      <c r="M37" s="1480">
        <f t="shared" ca="1" si="8"/>
        <v>1.924882629107981</v>
      </c>
      <c r="N37" s="1486">
        <f t="shared" ca="1" si="9"/>
        <v>11747.885915492956</v>
      </c>
      <c r="O37" s="330">
        <f t="shared" ca="1" si="10"/>
        <v>480</v>
      </c>
      <c r="P37" s="1486">
        <f t="shared" ca="1" si="11"/>
        <v>5638.9852394366189</v>
      </c>
      <c r="Q37" s="1480">
        <f t="shared" ca="1" si="12"/>
        <v>2.1491967603521664</v>
      </c>
      <c r="R37" s="384">
        <f t="shared" ca="1" si="13"/>
        <v>2623.7640701229316</v>
      </c>
      <c r="S37" s="692" t="str">
        <f t="shared" ca="1" si="1"/>
        <v xml:space="preserve"> </v>
      </c>
      <c r="U37" s="1484">
        <f ca="1">IF($A37&gt;Endyr,0,VLOOKUP($A37,Tariff_Table,Tariff!$I$33))</f>
        <v>2.2999999999999998</v>
      </c>
      <c r="V37" s="1480">
        <f t="shared" ca="1" si="2"/>
        <v>1.924882629107981</v>
      </c>
      <c r="W37" s="1486">
        <f t="shared" ca="1" si="14"/>
        <v>4.4272300469483561</v>
      </c>
      <c r="X37" s="334">
        <f ca="1">VLOOKUP($A37,Plant_Table,'Plant Operations'!$M$270)</f>
        <v>289336.32000000001</v>
      </c>
      <c r="Y37" s="1006">
        <f t="shared" ca="1" si="15"/>
        <v>1280.9584495774648</v>
      </c>
      <c r="Z37" s="1480">
        <f t="shared" ca="1" si="16"/>
        <v>2.1491967603521664</v>
      </c>
      <c r="AA37" s="1480">
        <f t="shared" ca="1" si="3"/>
        <v>2.1491967603521664</v>
      </c>
      <c r="AB37" s="333">
        <f t="shared" ca="1" si="17"/>
        <v>2.0599463616457863</v>
      </c>
      <c r="AC37" s="335">
        <f t="shared" ca="1" si="18"/>
        <v>596.01729967598101</v>
      </c>
      <c r="AD37" s="698" t="str">
        <f t="shared" ca="1" si="4"/>
        <v xml:space="preserve"> </v>
      </c>
    </row>
    <row r="38" spans="1:30">
      <c r="A38" s="672">
        <f>'Annex 12-Gas'!A38</f>
        <v>37742</v>
      </c>
      <c r="C38" s="1484">
        <f ca="1">IF($A38&gt;Endyr,0,VLOOKUP($A38,Tariff_Table,Tariff!$G$33))</f>
        <v>7428.1</v>
      </c>
      <c r="D38" s="1480">
        <f ca="1">VLOOKUP($A38,Curves_Table,Escalation!$AW$291)</f>
        <v>2.0852845741966393</v>
      </c>
      <c r="E38" s="1486">
        <f t="shared" ca="1" si="5"/>
        <v>15489.702345590056</v>
      </c>
      <c r="F38" s="330">
        <f ca="1">VLOOKUP($A38,Plant_Table,'Plant Operations'!$C$270)</f>
        <v>480</v>
      </c>
      <c r="G38" s="1486">
        <f t="shared" ca="1" si="6"/>
        <v>7435.0571258832269</v>
      </c>
      <c r="H38" s="1480">
        <f ca="1">IF(Assm!$L$74=0,VLOOKUP($A38,Curves_Table,Escalation!$D$291),VLOOKUP($A38,Curves_Table,Escalation!$E$291))</f>
        <v>2.1553379844170619</v>
      </c>
      <c r="I38" s="384">
        <f t="shared" ca="1" si="7"/>
        <v>3449.6014915703026</v>
      </c>
      <c r="J38" s="692" t="str">
        <f t="shared" ca="1" si="0"/>
        <v xml:space="preserve"> </v>
      </c>
      <c r="L38" s="1484">
        <f ca="1">IF($A38&gt;Endyr,0,VLOOKUP($A38,Tariff_Table,Tariff!$H$33))</f>
        <v>6129.36</v>
      </c>
      <c r="M38" s="1480">
        <f t="shared" ca="1" si="8"/>
        <v>2.0852845741966393</v>
      </c>
      <c r="N38" s="1486">
        <f t="shared" ca="1" si="9"/>
        <v>12781.459857697912</v>
      </c>
      <c r="O38" s="330">
        <f t="shared" ca="1" si="10"/>
        <v>480</v>
      </c>
      <c r="P38" s="1486">
        <f t="shared" ca="1" si="11"/>
        <v>6135.1007316949972</v>
      </c>
      <c r="Q38" s="1480">
        <f t="shared" ca="1" si="12"/>
        <v>2.1553379844170619</v>
      </c>
      <c r="R38" s="384">
        <f t="shared" ca="1" si="13"/>
        <v>2846.4680602538128</v>
      </c>
      <c r="S38" s="692" t="str">
        <f t="shared" ca="1" si="1"/>
        <v xml:space="preserve"> </v>
      </c>
      <c r="U38" s="1484">
        <f ca="1">IF($A38&gt;Endyr,0,VLOOKUP($A38,Tariff_Table,Tariff!$I$33))</f>
        <v>2.31</v>
      </c>
      <c r="V38" s="1480">
        <f t="shared" ca="1" si="2"/>
        <v>2.0852845741966393</v>
      </c>
      <c r="W38" s="1486">
        <f t="shared" ca="1" si="14"/>
        <v>4.817007366394237</v>
      </c>
      <c r="X38" s="334">
        <f ca="1">VLOOKUP($A38,Plant_Table,'Plant Operations'!$M$270)</f>
        <v>298980.864</v>
      </c>
      <c r="Y38" s="1006">
        <f t="shared" ca="1" si="15"/>
        <v>1440.1930242989135</v>
      </c>
      <c r="Z38" s="1480">
        <f t="shared" ca="1" si="16"/>
        <v>2.1553379844170619</v>
      </c>
      <c r="AA38" s="1480">
        <f t="shared" ca="1" si="3"/>
        <v>2.1553379844170619</v>
      </c>
      <c r="AB38" s="333">
        <f t="shared" ca="1" si="17"/>
        <v>2.234919720814486</v>
      </c>
      <c r="AC38" s="335">
        <f t="shared" ca="1" si="18"/>
        <v>668.1982290997538</v>
      </c>
      <c r="AD38" s="698" t="str">
        <f t="shared" ca="1" si="4"/>
        <v xml:space="preserve"> </v>
      </c>
    </row>
    <row r="39" spans="1:30">
      <c r="A39" s="672">
        <f>'Annex 12-Gas'!A39</f>
        <v>37773</v>
      </c>
      <c r="C39" s="1484">
        <f ca="1">IF($A39&gt;Endyr,0,VLOOKUP($A39,Tariff_Table,Tariff!$G$33))</f>
        <v>7428.1</v>
      </c>
      <c r="D39" s="1480">
        <f ca="1">VLOOKUP($A39,Curves_Table,Escalation!$AW$291)</f>
        <v>2.0852845741966393</v>
      </c>
      <c r="E39" s="1486">
        <f t="shared" ca="1" si="5"/>
        <v>15489.702345590056</v>
      </c>
      <c r="F39" s="330">
        <f ca="1">VLOOKUP($A39,Plant_Table,'Plant Operations'!$C$270)</f>
        <v>480</v>
      </c>
      <c r="G39" s="1486">
        <f t="shared" ca="1" si="6"/>
        <v>7435.0571258832269</v>
      </c>
      <c r="H39" s="1480">
        <f ca="1">IF(Assm!$L$74=0,VLOOKUP($A39,Curves_Table,Escalation!$D$291),VLOOKUP($A39,Curves_Table,Escalation!$E$291))</f>
        <v>2.1614967567277539</v>
      </c>
      <c r="I39" s="384">
        <f t="shared" ca="1" si="7"/>
        <v>3439.7725107573187</v>
      </c>
      <c r="J39" s="692" t="str">
        <f t="shared" ca="1" si="0"/>
        <v xml:space="preserve"> </v>
      </c>
      <c r="L39" s="1484">
        <f ca="1">IF($A39&gt;Endyr,0,VLOOKUP($A39,Tariff_Table,Tariff!$H$33))</f>
        <v>6129.36</v>
      </c>
      <c r="M39" s="1480">
        <f t="shared" ca="1" si="8"/>
        <v>2.0852845741966393</v>
      </c>
      <c r="N39" s="1486">
        <f t="shared" ca="1" si="9"/>
        <v>12781.459857697912</v>
      </c>
      <c r="O39" s="330">
        <f t="shared" ca="1" si="10"/>
        <v>480</v>
      </c>
      <c r="P39" s="1486">
        <f t="shared" ca="1" si="11"/>
        <v>6135.1007316949972</v>
      </c>
      <c r="Q39" s="1480">
        <f t="shared" ca="1" si="12"/>
        <v>2.1614967567277539</v>
      </c>
      <c r="R39" s="384">
        <f t="shared" ca="1" si="13"/>
        <v>2838.357592996254</v>
      </c>
      <c r="S39" s="692" t="str">
        <f t="shared" ca="1" si="1"/>
        <v xml:space="preserve"> </v>
      </c>
      <c r="U39" s="1484">
        <f ca="1">IF($A39&gt;Endyr,0,VLOOKUP($A39,Tariff_Table,Tariff!$I$33))</f>
        <v>2.31</v>
      </c>
      <c r="V39" s="1480">
        <f t="shared" ca="1" si="2"/>
        <v>2.0852845741966393</v>
      </c>
      <c r="W39" s="1486">
        <f t="shared" ca="1" si="14"/>
        <v>4.817007366394237</v>
      </c>
      <c r="X39" s="334">
        <f ca="1">VLOOKUP($A39,Plant_Table,'Plant Operations'!$M$270)</f>
        <v>289336.32000000001</v>
      </c>
      <c r="Y39" s="1006">
        <f t="shared" ca="1" si="15"/>
        <v>1393.7351848054002</v>
      </c>
      <c r="Z39" s="1480">
        <f t="shared" ca="1" si="16"/>
        <v>2.1614967567277539</v>
      </c>
      <c r="AA39" s="1480">
        <f t="shared" ca="1" si="3"/>
        <v>2.1614967567277539</v>
      </c>
      <c r="AB39" s="333">
        <f t="shared" ca="1" si="17"/>
        <v>2.2285517437863782</v>
      </c>
      <c r="AC39" s="335">
        <f t="shared" ca="1" si="18"/>
        <v>644.80096047673351</v>
      </c>
      <c r="AD39" s="698" t="str">
        <f t="shared" ca="1" si="4"/>
        <v xml:space="preserve"> </v>
      </c>
    </row>
    <row r="40" spans="1:30">
      <c r="A40" s="672">
        <f>'Annex 12-Gas'!A40</f>
        <v>37803</v>
      </c>
      <c r="C40" s="1484">
        <f ca="1">IF($A40&gt;Endyr,0,VLOOKUP($A40,Tariff_Table,Tariff!$G$33))</f>
        <v>7428.1</v>
      </c>
      <c r="D40" s="1480">
        <f ca="1">VLOOKUP($A40,Curves_Table,Escalation!$AW$291)</f>
        <v>2.0852845741966393</v>
      </c>
      <c r="E40" s="1486">
        <f t="shared" ca="1" si="5"/>
        <v>15489.702345590056</v>
      </c>
      <c r="F40" s="330">
        <f ca="1">VLOOKUP($A40,Plant_Table,'Plant Operations'!$C$270)</f>
        <v>480</v>
      </c>
      <c r="G40" s="1486">
        <f t="shared" ca="1" si="6"/>
        <v>7435.0571258832269</v>
      </c>
      <c r="H40" s="1480">
        <f ca="1">IF(Assm!$L$74=0,VLOOKUP($A40,Curves_Table,Escalation!$D$291),VLOOKUP($A40,Curves_Table,Escalation!$E$291))</f>
        <v>2.1676731274274914</v>
      </c>
      <c r="I40" s="384">
        <f t="shared" ca="1" si="7"/>
        <v>3429.9715357485002</v>
      </c>
      <c r="J40" s="692" t="str">
        <f t="shared" ca="1" si="0"/>
        <v xml:space="preserve"> </v>
      </c>
      <c r="L40" s="1484">
        <f ca="1">IF($A40&gt;Endyr,0,VLOOKUP($A40,Tariff_Table,Tariff!$H$33))</f>
        <v>6129.36</v>
      </c>
      <c r="M40" s="1480">
        <f t="shared" ca="1" si="8"/>
        <v>2.0852845741966393</v>
      </c>
      <c r="N40" s="1486">
        <f t="shared" ca="1" si="9"/>
        <v>12781.459857697912</v>
      </c>
      <c r="O40" s="330">
        <f t="shared" ca="1" si="10"/>
        <v>480</v>
      </c>
      <c r="P40" s="1486">
        <f t="shared" ca="1" si="11"/>
        <v>6135.1007316949972</v>
      </c>
      <c r="Q40" s="1480">
        <f t="shared" ca="1" si="12"/>
        <v>2.1676731274274914</v>
      </c>
      <c r="R40" s="384">
        <f t="shared" ca="1" si="13"/>
        <v>2830.2702349666029</v>
      </c>
      <c r="S40" s="692" t="str">
        <f t="shared" ca="1" si="1"/>
        <v xml:space="preserve"> </v>
      </c>
      <c r="U40" s="1484">
        <f ca="1">IF($A40&gt;Endyr,0,VLOOKUP($A40,Tariff_Table,Tariff!$I$33))</f>
        <v>2.31</v>
      </c>
      <c r="V40" s="1480">
        <f t="shared" ca="1" si="2"/>
        <v>2.0852845741966393</v>
      </c>
      <c r="W40" s="1486">
        <f t="shared" ca="1" si="14"/>
        <v>4.817007366394237</v>
      </c>
      <c r="X40" s="334">
        <f ca="1">VLOOKUP($A40,Plant_Table,'Plant Operations'!$M$270)</f>
        <v>298980.864</v>
      </c>
      <c r="Y40" s="1006">
        <f t="shared" ca="1" si="15"/>
        <v>1440.1930242989135</v>
      </c>
      <c r="Z40" s="1480">
        <f t="shared" ca="1" si="16"/>
        <v>2.1676731274274914</v>
      </c>
      <c r="AA40" s="1480">
        <f t="shared" ca="1" si="3"/>
        <v>2.1676731274274914</v>
      </c>
      <c r="AB40" s="333">
        <f t="shared" ca="1" si="17"/>
        <v>2.2222019110929656</v>
      </c>
      <c r="AC40" s="335">
        <f t="shared" ca="1" si="18"/>
        <v>664.39584736102609</v>
      </c>
      <c r="AD40" s="698" t="str">
        <f t="shared" ca="1" si="4"/>
        <v xml:space="preserve"> </v>
      </c>
    </row>
    <row r="41" spans="1:30">
      <c r="A41" s="672">
        <f>'Annex 12-Gas'!A41</f>
        <v>37834</v>
      </c>
      <c r="C41" s="1484">
        <f ca="1">IF($A41&gt;Endyr,0,VLOOKUP($A41,Tariff_Table,Tariff!$G$33))</f>
        <v>7428.1</v>
      </c>
      <c r="D41" s="1480">
        <f ca="1">VLOOKUP($A41,Curves_Table,Escalation!$AW$291)</f>
        <v>2.0852845741966393</v>
      </c>
      <c r="E41" s="1486">
        <f t="shared" ca="1" si="5"/>
        <v>15489.702345590056</v>
      </c>
      <c r="F41" s="330">
        <f ca="1">VLOOKUP($A41,Plant_Table,'Plant Operations'!$C$270)</f>
        <v>480</v>
      </c>
      <c r="G41" s="1486">
        <f t="shared" ca="1" si="6"/>
        <v>7435.0571258832269</v>
      </c>
      <c r="H41" s="1480">
        <f ca="1">IF(Assm!$L$74=0,VLOOKUP($A41,Curves_Table,Escalation!$D$291),VLOOKUP($A41,Curves_Table,Escalation!$E$291))</f>
        <v>2.1738671468028063</v>
      </c>
      <c r="I41" s="384">
        <f t="shared" ca="1" si="7"/>
        <v>3420.1984867466549</v>
      </c>
      <c r="J41" s="692" t="str">
        <f t="shared" ca="1" si="0"/>
        <v xml:space="preserve"> </v>
      </c>
      <c r="L41" s="1484">
        <f ca="1">IF($A41&gt;Endyr,0,VLOOKUP($A41,Tariff_Table,Tariff!$H$33))</f>
        <v>6129.36</v>
      </c>
      <c r="M41" s="1480">
        <f t="shared" ca="1" si="8"/>
        <v>2.0852845741966393</v>
      </c>
      <c r="N41" s="1486">
        <f t="shared" ca="1" si="9"/>
        <v>12781.459857697912</v>
      </c>
      <c r="O41" s="330">
        <f t="shared" ca="1" si="10"/>
        <v>480</v>
      </c>
      <c r="P41" s="1486">
        <f t="shared" ca="1" si="11"/>
        <v>6135.1007316949972</v>
      </c>
      <c r="Q41" s="1480">
        <f t="shared" ca="1" si="12"/>
        <v>2.1738671468028063</v>
      </c>
      <c r="R41" s="384">
        <f t="shared" ca="1" si="13"/>
        <v>2822.2059203195263</v>
      </c>
      <c r="S41" s="692" t="str">
        <f t="shared" ca="1" si="1"/>
        <v xml:space="preserve"> </v>
      </c>
      <c r="U41" s="1484">
        <f ca="1">IF($A41&gt;Endyr,0,VLOOKUP($A41,Tariff_Table,Tariff!$I$33))</f>
        <v>2.31</v>
      </c>
      <c r="V41" s="1480">
        <f t="shared" ca="1" si="2"/>
        <v>2.0852845741966393</v>
      </c>
      <c r="W41" s="1486">
        <f t="shared" ca="1" si="14"/>
        <v>4.817007366394237</v>
      </c>
      <c r="X41" s="334">
        <f ca="1">VLOOKUP($A41,Plant_Table,'Plant Operations'!$M$270)</f>
        <v>298980.864</v>
      </c>
      <c r="Y41" s="1006">
        <f t="shared" ca="1" si="15"/>
        <v>1440.1930242989135</v>
      </c>
      <c r="Z41" s="1480">
        <f t="shared" ca="1" si="16"/>
        <v>2.1738671468028063</v>
      </c>
      <c r="AA41" s="1480">
        <f t="shared" ca="1" si="3"/>
        <v>2.1738671468028063</v>
      </c>
      <c r="AB41" s="333">
        <f t="shared" ca="1" si="17"/>
        <v>2.21587017103543</v>
      </c>
      <c r="AC41" s="335">
        <f t="shared" ca="1" si="18"/>
        <v>662.50277824800071</v>
      </c>
      <c r="AD41" s="698" t="str">
        <f t="shared" ca="1" si="4"/>
        <v xml:space="preserve"> </v>
      </c>
    </row>
    <row r="42" spans="1:30">
      <c r="A42" s="672">
        <f>'Annex 12-Gas'!A42</f>
        <v>37865</v>
      </c>
      <c r="C42" s="1484">
        <f ca="1">IF($A42&gt;Endyr,0,VLOOKUP($A42,Tariff_Table,Tariff!$G$33))</f>
        <v>7428.1</v>
      </c>
      <c r="D42" s="1480">
        <f ca="1">VLOOKUP($A42,Curves_Table,Escalation!$AW$291)</f>
        <v>2.0852845741966393</v>
      </c>
      <c r="E42" s="1486">
        <f t="shared" ca="1" si="5"/>
        <v>15489.702345590056</v>
      </c>
      <c r="F42" s="330">
        <f ca="1">VLOOKUP($A42,Plant_Table,'Plant Operations'!$C$270)</f>
        <v>480</v>
      </c>
      <c r="G42" s="1486">
        <f t="shared" ca="1" si="6"/>
        <v>7435.0571258832269</v>
      </c>
      <c r="H42" s="1480">
        <f ca="1">IF(Assm!$L$74=0,VLOOKUP($A42,Curves_Table,Escalation!$D$291),VLOOKUP($A42,Curves_Table,Escalation!$E$291))</f>
        <v>2.1800788652839209</v>
      </c>
      <c r="I42" s="384">
        <f t="shared" ca="1" si="7"/>
        <v>3410.4532841819591</v>
      </c>
      <c r="J42" s="692" t="str">
        <f t="shared" ca="1" si="0"/>
        <v xml:space="preserve"> </v>
      </c>
      <c r="L42" s="1484">
        <f ca="1">IF($A42&gt;Endyr,0,VLOOKUP($A42,Tariff_Table,Tariff!$H$33))</f>
        <v>6129.36</v>
      </c>
      <c r="M42" s="1480">
        <f t="shared" ca="1" si="8"/>
        <v>2.0852845741966393</v>
      </c>
      <c r="N42" s="1486">
        <f t="shared" ca="1" si="9"/>
        <v>12781.459857697912</v>
      </c>
      <c r="O42" s="330">
        <f t="shared" ca="1" si="10"/>
        <v>480</v>
      </c>
      <c r="P42" s="1486">
        <f t="shared" ca="1" si="11"/>
        <v>6135.1007316949972</v>
      </c>
      <c r="Q42" s="1480">
        <f t="shared" ca="1" si="12"/>
        <v>2.1800788652839209</v>
      </c>
      <c r="R42" s="384">
        <f t="shared" ca="1" si="13"/>
        <v>2814.1645833973062</v>
      </c>
      <c r="S42" s="692" t="str">
        <f t="shared" ca="1" si="1"/>
        <v xml:space="preserve"> </v>
      </c>
      <c r="U42" s="1484">
        <f ca="1">IF($A42&gt;Endyr,0,VLOOKUP($A42,Tariff_Table,Tariff!$I$33))</f>
        <v>2.31</v>
      </c>
      <c r="V42" s="1480">
        <f t="shared" ca="1" si="2"/>
        <v>2.0852845741966393</v>
      </c>
      <c r="W42" s="1486">
        <f t="shared" ca="1" si="14"/>
        <v>4.817007366394237</v>
      </c>
      <c r="X42" s="334">
        <f ca="1">VLOOKUP($A42,Plant_Table,'Plant Operations'!$M$270)</f>
        <v>289336.32000000001</v>
      </c>
      <c r="Y42" s="1006">
        <f t="shared" ca="1" si="15"/>
        <v>1393.7351848054002</v>
      </c>
      <c r="Z42" s="1480">
        <f t="shared" ca="1" si="16"/>
        <v>2.1800788652839209</v>
      </c>
      <c r="AA42" s="1480">
        <f t="shared" ca="1" si="3"/>
        <v>2.1800788652839209</v>
      </c>
      <c r="AB42" s="333">
        <f t="shared" ca="1" si="17"/>
        <v>2.2095564720622609</v>
      </c>
      <c r="AC42" s="335">
        <f t="shared" ca="1" si="18"/>
        <v>639.30493845867738</v>
      </c>
      <c r="AD42" s="698" t="str">
        <f t="shared" ca="1" si="4"/>
        <v xml:space="preserve"> </v>
      </c>
    </row>
    <row r="43" spans="1:30">
      <c r="A43" s="672">
        <f>'Annex 12-Gas'!A43</f>
        <v>37895</v>
      </c>
      <c r="C43" s="1484">
        <f ca="1">IF($A43&gt;Endyr,0,VLOOKUP($A43,Tariff_Table,Tariff!$G$33))</f>
        <v>7428.1</v>
      </c>
      <c r="D43" s="1480">
        <f ca="1">VLOOKUP($A43,Curves_Table,Escalation!$AW$291)</f>
        <v>2.0852845741966393</v>
      </c>
      <c r="E43" s="1486">
        <f t="shared" ca="1" si="5"/>
        <v>15489.702345590056</v>
      </c>
      <c r="F43" s="330">
        <f ca="1">VLOOKUP($A43,Plant_Table,'Plant Operations'!$C$270)</f>
        <v>480</v>
      </c>
      <c r="G43" s="1486">
        <f t="shared" ca="1" si="6"/>
        <v>7435.0571258832269</v>
      </c>
      <c r="H43" s="1480">
        <f ca="1">IF(Assm!$L$74=0,VLOOKUP($A43,Curves_Table,Escalation!$D$291),VLOOKUP($A43,Curves_Table,Escalation!$E$291))</f>
        <v>2.1863083334451598</v>
      </c>
      <c r="I43" s="384">
        <f t="shared" ca="1" si="7"/>
        <v>3400.7358487113061</v>
      </c>
      <c r="J43" s="692" t="str">
        <f t="shared" ca="1" si="0"/>
        <v xml:space="preserve"> </v>
      </c>
      <c r="L43" s="1484">
        <f ca="1">IF($A43&gt;Endyr,0,VLOOKUP($A43,Tariff_Table,Tariff!$H$33))</f>
        <v>6129.36</v>
      </c>
      <c r="M43" s="1480">
        <f t="shared" ca="1" si="8"/>
        <v>2.0852845741966393</v>
      </c>
      <c r="N43" s="1486">
        <f t="shared" ca="1" si="9"/>
        <v>12781.459857697912</v>
      </c>
      <c r="O43" s="330">
        <f t="shared" ca="1" si="10"/>
        <v>480</v>
      </c>
      <c r="P43" s="1486">
        <f t="shared" ca="1" si="11"/>
        <v>6135.1007316949972</v>
      </c>
      <c r="Q43" s="1480">
        <f t="shared" ca="1" si="12"/>
        <v>2.1863083334451598</v>
      </c>
      <c r="R43" s="384">
        <f t="shared" ca="1" si="13"/>
        <v>2806.146158729302</v>
      </c>
      <c r="S43" s="692" t="str">
        <f t="shared" ca="1" si="1"/>
        <v xml:space="preserve"> </v>
      </c>
      <c r="U43" s="1484">
        <f ca="1">IF($A43&gt;Endyr,0,VLOOKUP($A43,Tariff_Table,Tariff!$I$33))</f>
        <v>2.31</v>
      </c>
      <c r="V43" s="1480">
        <f t="shared" ca="1" si="2"/>
        <v>2.0852845741966393</v>
      </c>
      <c r="W43" s="1486">
        <f t="shared" ca="1" si="14"/>
        <v>4.817007366394237</v>
      </c>
      <c r="X43" s="334">
        <f ca="1">VLOOKUP($A43,Plant_Table,'Plant Operations'!$M$270)</f>
        <v>298980.864</v>
      </c>
      <c r="Y43" s="1006">
        <f t="shared" ca="1" si="15"/>
        <v>1440.1930242989135</v>
      </c>
      <c r="Z43" s="1480">
        <f t="shared" ca="1" si="16"/>
        <v>2.1863083334451598</v>
      </c>
      <c r="AA43" s="1480">
        <f t="shared" ca="1" si="3"/>
        <v>2.1863083334451598</v>
      </c>
      <c r="AB43" s="333">
        <f t="shared" ca="1" si="17"/>
        <v>2.2032607627688323</v>
      </c>
      <c r="AC43" s="335">
        <f t="shared" ca="1" si="18"/>
        <v>658.73280646992441</v>
      </c>
      <c r="AD43" s="698" t="str">
        <f t="shared" ca="1" si="4"/>
        <v xml:space="preserve"> </v>
      </c>
    </row>
    <row r="44" spans="1:30">
      <c r="A44" s="672">
        <f>'Annex 12-Gas'!A44</f>
        <v>37926</v>
      </c>
      <c r="C44" s="1484">
        <f ca="1">IF($A44&gt;Endyr,0,VLOOKUP($A44,Tariff_Table,Tariff!$G$33))</f>
        <v>7428.1</v>
      </c>
      <c r="D44" s="1480">
        <f ca="1">VLOOKUP($A44,Curves_Table,Escalation!$AW$291)</f>
        <v>2.0852845741966393</v>
      </c>
      <c r="E44" s="1486">
        <f t="shared" ca="1" si="5"/>
        <v>15489.702345590056</v>
      </c>
      <c r="F44" s="330">
        <f ca="1">VLOOKUP($A44,Plant_Table,'Plant Operations'!$C$270)</f>
        <v>480</v>
      </c>
      <c r="G44" s="1486">
        <f t="shared" ca="1" si="6"/>
        <v>7435.0571258832269</v>
      </c>
      <c r="H44" s="1480">
        <f ca="1">IF(Assm!$L$74=0,VLOOKUP($A44,Curves_Table,Escalation!$D$291),VLOOKUP($A44,Curves_Table,Escalation!$E$291))</f>
        <v>2.1925556020053616</v>
      </c>
      <c r="I44" s="384">
        <f t="shared" ca="1" si="7"/>
        <v>3391.0461012176629</v>
      </c>
      <c r="J44" s="692" t="str">
        <f t="shared" ca="1" si="0"/>
        <v xml:space="preserve"> </v>
      </c>
      <c r="L44" s="1484">
        <f ca="1">IF($A44&gt;Endyr,0,VLOOKUP($A44,Tariff_Table,Tariff!$H$33))</f>
        <v>6129.36</v>
      </c>
      <c r="M44" s="1480">
        <f t="shared" ca="1" si="8"/>
        <v>2.0852845741966393</v>
      </c>
      <c r="N44" s="1486">
        <f t="shared" ca="1" si="9"/>
        <v>12781.459857697912</v>
      </c>
      <c r="O44" s="330">
        <f t="shared" ca="1" si="10"/>
        <v>480</v>
      </c>
      <c r="P44" s="1486">
        <f t="shared" ca="1" si="11"/>
        <v>6135.1007316949972</v>
      </c>
      <c r="Q44" s="1480">
        <f t="shared" ca="1" si="12"/>
        <v>2.1925556020053616</v>
      </c>
      <c r="R44" s="384">
        <f t="shared" ca="1" si="13"/>
        <v>2798.1505810314197</v>
      </c>
      <c r="S44" s="692" t="str">
        <f t="shared" ca="1" si="1"/>
        <v xml:space="preserve"> </v>
      </c>
      <c r="U44" s="1484">
        <f ca="1">IF($A44&gt;Endyr,0,VLOOKUP($A44,Tariff_Table,Tariff!$I$33))</f>
        <v>2.31</v>
      </c>
      <c r="V44" s="1480">
        <f t="shared" ca="1" si="2"/>
        <v>2.0852845741966393</v>
      </c>
      <c r="W44" s="1486">
        <f t="shared" ca="1" si="14"/>
        <v>4.817007366394237</v>
      </c>
      <c r="X44" s="334">
        <f ca="1">VLOOKUP($A44,Plant_Table,'Plant Operations'!$M$270)</f>
        <v>289336.32000000001</v>
      </c>
      <c r="Y44" s="1006">
        <f t="shared" ca="1" si="15"/>
        <v>1393.7351848054002</v>
      </c>
      <c r="Z44" s="1480">
        <f t="shared" ca="1" si="16"/>
        <v>2.1925556020053616</v>
      </c>
      <c r="AA44" s="1480">
        <f t="shared" ca="1" si="3"/>
        <v>2.1925556020053616</v>
      </c>
      <c r="AB44" s="333">
        <f t="shared" ca="1" si="17"/>
        <v>2.1969829918969861</v>
      </c>
      <c r="AC44" s="335">
        <f t="shared" ca="1" si="18"/>
        <v>635.66697397806377</v>
      </c>
      <c r="AD44" s="698" t="str">
        <f t="shared" ca="1" si="4"/>
        <v xml:space="preserve"> </v>
      </c>
    </row>
    <row r="45" spans="1:30">
      <c r="A45" s="672">
        <f>'Annex 12-Gas'!A45</f>
        <v>37956</v>
      </c>
      <c r="C45" s="1484">
        <f ca="1">IF($A45&gt;Endyr,0,VLOOKUP($A45,Tariff_Table,Tariff!$G$33))</f>
        <v>7428.1</v>
      </c>
      <c r="D45" s="1480">
        <f ca="1">VLOOKUP($A45,Curves_Table,Escalation!$AW$291)</f>
        <v>2.0852845741966393</v>
      </c>
      <c r="E45" s="1486">
        <f t="shared" ca="1" si="5"/>
        <v>15489.702345590056</v>
      </c>
      <c r="F45" s="330">
        <f ca="1">VLOOKUP($A45,Plant_Table,'Plant Operations'!$C$270)</f>
        <v>480</v>
      </c>
      <c r="G45" s="1486">
        <f t="shared" ca="1" si="6"/>
        <v>7435.0571258832269</v>
      </c>
      <c r="H45" s="1480">
        <f ca="1">IF(Assm!$L$74=0,VLOOKUP($A45,Curves_Table,Escalation!$D$291),VLOOKUP($A45,Curves_Table,Escalation!$E$291))</f>
        <v>2.1988207218282909</v>
      </c>
      <c r="I45" s="384">
        <f t="shared" ca="1" si="7"/>
        <v>3381.3839628094252</v>
      </c>
      <c r="J45" s="692">
        <f t="shared" ca="1" si="0"/>
        <v>40137.581936452108</v>
      </c>
      <c r="L45" s="1484">
        <f ca="1">IF($A45&gt;Endyr,0,VLOOKUP($A45,Tariff_Table,Tariff!$H$33))</f>
        <v>6129.36</v>
      </c>
      <c r="M45" s="1480">
        <f t="shared" ca="1" si="8"/>
        <v>2.0852845741966393</v>
      </c>
      <c r="N45" s="1486">
        <f t="shared" ca="1" si="9"/>
        <v>12781.459857697912</v>
      </c>
      <c r="O45" s="330">
        <f t="shared" ca="1" si="10"/>
        <v>480</v>
      </c>
      <c r="P45" s="1486">
        <f t="shared" ca="1" si="11"/>
        <v>6135.1007316949972</v>
      </c>
      <c r="Q45" s="1480">
        <f t="shared" ca="1" si="12"/>
        <v>2.1988207218282909</v>
      </c>
      <c r="R45" s="384">
        <f t="shared" ca="1" si="13"/>
        <v>2790.1777852055807</v>
      </c>
      <c r="S45" s="692">
        <f t="shared" ca="1" si="1"/>
        <v>33086.066611912574</v>
      </c>
      <c r="U45" s="1484">
        <f ca="1">IF($A45&gt;Endyr,0,VLOOKUP($A45,Tariff_Table,Tariff!$I$33))</f>
        <v>2.31</v>
      </c>
      <c r="V45" s="1480">
        <f t="shared" ca="1" si="2"/>
        <v>2.0852845741966393</v>
      </c>
      <c r="W45" s="1486">
        <f t="shared" ca="1" si="14"/>
        <v>4.817007366394237</v>
      </c>
      <c r="X45" s="334">
        <f ca="1">VLOOKUP($A45,Plant_Table,'Plant Operations'!$M$270)</f>
        <v>298980.864</v>
      </c>
      <c r="Y45" s="1006">
        <f t="shared" ca="1" si="15"/>
        <v>1440.1930242989135</v>
      </c>
      <c r="Z45" s="1480">
        <f t="shared" ca="1" si="16"/>
        <v>2.1988207218282909</v>
      </c>
      <c r="AA45" s="1480">
        <f t="shared" ca="1" si="3"/>
        <v>2.1988207218282909</v>
      </c>
      <c r="AB45" s="333">
        <f t="shared" ca="1" si="17"/>
        <v>2.1907231083346157</v>
      </c>
      <c r="AC45" s="335">
        <f t="shared" ca="1" si="18"/>
        <v>654.98428771464899</v>
      </c>
      <c r="AD45" s="698">
        <f t="shared" ca="1" si="4"/>
        <v>7622.8942038446958</v>
      </c>
    </row>
    <row r="46" spans="1:30">
      <c r="A46" s="672">
        <f>'Annex 12-Gas'!A46</f>
        <v>37987</v>
      </c>
      <c r="C46" s="1484">
        <f ca="1">IF($A46&gt;Endyr,0,VLOOKUP($A46,Tariff_Table,Tariff!$G$33))</f>
        <v>7428.1</v>
      </c>
      <c r="D46" s="1480">
        <f ca="1">VLOOKUP($A46,Curves_Table,Escalation!$AW$291)</f>
        <v>2.0852845741966393</v>
      </c>
      <c r="E46" s="1486">
        <f t="shared" ca="1" si="5"/>
        <v>15489.702345590056</v>
      </c>
      <c r="F46" s="330">
        <f ca="1">VLOOKUP($A46,Plant_Table,'Plant Operations'!$C$270)</f>
        <v>480</v>
      </c>
      <c r="G46" s="1486">
        <f t="shared" ca="1" si="6"/>
        <v>7435.0571258832269</v>
      </c>
      <c r="H46" s="1480">
        <f ca="1">IF(Assm!$L$74=0,VLOOKUP($A46,Curves_Table,Escalation!$D$291),VLOOKUP($A46,Curves_Table,Escalation!$E$291))</f>
        <v>2.2045030649335842</v>
      </c>
      <c r="I46" s="384">
        <f t="shared" ca="1" si="7"/>
        <v>3372.6680829573834</v>
      </c>
      <c r="J46" s="692" t="str">
        <f t="shared" ca="1" si="0"/>
        <v xml:space="preserve"> </v>
      </c>
      <c r="L46" s="1484">
        <f ca="1">IF($A46&gt;Endyr,0,VLOOKUP($A46,Tariff_Table,Tariff!$H$33))</f>
        <v>6129.36</v>
      </c>
      <c r="M46" s="1480">
        <f t="shared" ca="1" si="8"/>
        <v>2.0852845741966393</v>
      </c>
      <c r="N46" s="1486">
        <f t="shared" ca="1" si="9"/>
        <v>12781.459857697912</v>
      </c>
      <c r="O46" s="330">
        <f t="shared" ca="1" si="10"/>
        <v>480</v>
      </c>
      <c r="P46" s="1486">
        <f t="shared" ca="1" si="11"/>
        <v>6135.1007316949972</v>
      </c>
      <c r="Q46" s="1480">
        <f t="shared" ca="1" si="12"/>
        <v>2.2045030649335842</v>
      </c>
      <c r="R46" s="384">
        <f t="shared" ca="1" si="13"/>
        <v>2782.985802689202</v>
      </c>
      <c r="S46" s="692" t="str">
        <f t="shared" ca="1" si="1"/>
        <v xml:space="preserve"> </v>
      </c>
      <c r="U46" s="1484">
        <f ca="1">IF($A46&gt;Endyr,0,VLOOKUP($A46,Tariff_Table,Tariff!$I$33))</f>
        <v>2.31</v>
      </c>
      <c r="V46" s="1480">
        <f t="shared" ca="1" si="2"/>
        <v>2.0852845741966393</v>
      </c>
      <c r="W46" s="1486">
        <f t="shared" ca="1" si="14"/>
        <v>4.817007366394237</v>
      </c>
      <c r="X46" s="334">
        <f ca="1">VLOOKUP($A46,Plant_Table,'Plant Operations'!$M$270)</f>
        <v>298980.864</v>
      </c>
      <c r="Y46" s="1006">
        <f t="shared" ca="1" si="15"/>
        <v>1440.1930242989135</v>
      </c>
      <c r="Z46" s="1480">
        <f t="shared" ca="1" si="16"/>
        <v>2.2045030649335842</v>
      </c>
      <c r="AA46" s="1480">
        <f t="shared" ca="1" si="3"/>
        <v>2.2045030649335842</v>
      </c>
      <c r="AB46" s="333">
        <f t="shared" ca="1" si="17"/>
        <v>2.185076284545497</v>
      </c>
      <c r="AC46" s="335">
        <f t="shared" ca="1" si="18"/>
        <v>653.29599545932263</v>
      </c>
      <c r="AD46" s="698" t="str">
        <f t="shared" ca="1" si="4"/>
        <v xml:space="preserve"> </v>
      </c>
    </row>
    <row r="47" spans="1:30">
      <c r="A47" s="672">
        <f>'Annex 12-Gas'!A47</f>
        <v>38018</v>
      </c>
      <c r="C47" s="1484">
        <f ca="1">IF($A47&gt;Endyr,0,VLOOKUP($A47,Tariff_Table,Tariff!$G$33))</f>
        <v>7428.1</v>
      </c>
      <c r="D47" s="1480">
        <f ca="1">VLOOKUP($A47,Curves_Table,Escalation!$AW$291)</f>
        <v>2.0852845741966393</v>
      </c>
      <c r="E47" s="1486">
        <f t="shared" ca="1" si="5"/>
        <v>15489.702345590056</v>
      </c>
      <c r="F47" s="330">
        <f ca="1">VLOOKUP($A47,Plant_Table,'Plant Operations'!$C$270)</f>
        <v>480</v>
      </c>
      <c r="G47" s="1486">
        <f t="shared" ca="1" si="6"/>
        <v>7435.0571258832269</v>
      </c>
      <c r="H47" s="1480">
        <f ca="1">IF(Assm!$L$74=0,VLOOKUP($A47,Curves_Table,Escalation!$D$291),VLOOKUP($A47,Curves_Table,Escalation!$E$291))</f>
        <v>2.2102000927391106</v>
      </c>
      <c r="I47" s="384">
        <f t="shared" ca="1" si="7"/>
        <v>3363.9746692205267</v>
      </c>
      <c r="J47" s="692" t="str">
        <f t="shared" ca="1" si="0"/>
        <v xml:space="preserve"> </v>
      </c>
      <c r="L47" s="1484">
        <f ca="1">IF($A47&gt;Endyr,0,VLOOKUP($A47,Tariff_Table,Tariff!$H$33))</f>
        <v>6129.36</v>
      </c>
      <c r="M47" s="1480">
        <f t="shared" ca="1" si="8"/>
        <v>2.0852845741966393</v>
      </c>
      <c r="N47" s="1486">
        <f t="shared" ca="1" si="9"/>
        <v>12781.459857697912</v>
      </c>
      <c r="O47" s="330">
        <f t="shared" ca="1" si="10"/>
        <v>480</v>
      </c>
      <c r="P47" s="1486">
        <f t="shared" ca="1" si="11"/>
        <v>6135.1007316949972</v>
      </c>
      <c r="Q47" s="1480">
        <f t="shared" ca="1" si="12"/>
        <v>2.2102000927391106</v>
      </c>
      <c r="R47" s="384">
        <f t="shared" ca="1" si="13"/>
        <v>2775.8123582791727</v>
      </c>
      <c r="S47" s="692" t="str">
        <f t="shared" ca="1" si="1"/>
        <v xml:space="preserve"> </v>
      </c>
      <c r="U47" s="1484">
        <f ca="1">IF($A47&gt;Endyr,0,VLOOKUP($A47,Tariff_Table,Tariff!$I$33))</f>
        <v>2.31</v>
      </c>
      <c r="V47" s="1480">
        <f t="shared" ca="1" si="2"/>
        <v>2.0852845741966393</v>
      </c>
      <c r="W47" s="1486">
        <f t="shared" ca="1" si="14"/>
        <v>4.817007366394237</v>
      </c>
      <c r="X47" s="334">
        <f ca="1">VLOOKUP($A47,Plant_Table,'Plant Operations'!$M$270)</f>
        <v>279691.77600000001</v>
      </c>
      <c r="Y47" s="1006">
        <f t="shared" ca="1" si="15"/>
        <v>1347.2773453118868</v>
      </c>
      <c r="Z47" s="1480">
        <f t="shared" ca="1" si="16"/>
        <v>2.2102000927391106</v>
      </c>
      <c r="AA47" s="1480">
        <f t="shared" ca="1" si="3"/>
        <v>2.2102000927391106</v>
      </c>
      <c r="AB47" s="333">
        <f t="shared" ca="1" si="17"/>
        <v>2.1794440160503745</v>
      </c>
      <c r="AC47" s="335">
        <f t="shared" ca="1" si="18"/>
        <v>609.57256754170169</v>
      </c>
      <c r="AD47" s="698" t="str">
        <f t="shared" ca="1" si="4"/>
        <v xml:space="preserve"> </v>
      </c>
    </row>
    <row r="48" spans="1:30">
      <c r="A48" s="672">
        <f>'Annex 12-Gas'!A48</f>
        <v>38047</v>
      </c>
      <c r="C48" s="1484">
        <f ca="1">IF($A48&gt;Endyr,0,VLOOKUP($A48,Tariff_Table,Tariff!$G$33))</f>
        <v>7428.1</v>
      </c>
      <c r="D48" s="1480">
        <f ca="1">VLOOKUP($A48,Curves_Table,Escalation!$AW$291)</f>
        <v>2.0852845741966393</v>
      </c>
      <c r="E48" s="1486">
        <f t="shared" ca="1" si="5"/>
        <v>15489.702345590056</v>
      </c>
      <c r="F48" s="330">
        <f ca="1">VLOOKUP($A48,Plant_Table,'Plant Operations'!$C$270)</f>
        <v>480</v>
      </c>
      <c r="G48" s="1486">
        <f t="shared" ca="1" si="6"/>
        <v>7435.0571258832269</v>
      </c>
      <c r="H48" s="1480">
        <f ca="1">IF(Assm!$L$74=0,VLOOKUP($A48,Curves_Table,Escalation!$D$291),VLOOKUP($A48,Curves_Table,Escalation!$E$291))</f>
        <v>2.2159118431940779</v>
      </c>
      <c r="I48" s="384">
        <f t="shared" ca="1" si="7"/>
        <v>3355.3036636900347</v>
      </c>
      <c r="J48" s="692" t="str">
        <f t="shared" ca="1" si="0"/>
        <v xml:space="preserve"> </v>
      </c>
      <c r="L48" s="1484">
        <f ca="1">IF($A48&gt;Endyr,0,VLOOKUP($A48,Tariff_Table,Tariff!$H$33))</f>
        <v>6129.36</v>
      </c>
      <c r="M48" s="1480">
        <f t="shared" ca="1" si="8"/>
        <v>2.0852845741966393</v>
      </c>
      <c r="N48" s="1486">
        <f t="shared" ca="1" si="9"/>
        <v>12781.459857697912</v>
      </c>
      <c r="O48" s="330">
        <f t="shared" ca="1" si="10"/>
        <v>480</v>
      </c>
      <c r="P48" s="1486">
        <f t="shared" ca="1" si="11"/>
        <v>6135.1007316949972</v>
      </c>
      <c r="Q48" s="1480">
        <f t="shared" ca="1" si="12"/>
        <v>2.2159118431940779</v>
      </c>
      <c r="R48" s="384">
        <f t="shared" ca="1" si="13"/>
        <v>2768.657404191536</v>
      </c>
      <c r="S48" s="692" t="str">
        <f t="shared" ca="1" si="1"/>
        <v xml:space="preserve"> </v>
      </c>
      <c r="U48" s="1484">
        <f ca="1">IF($A48&gt;Endyr,0,VLOOKUP($A48,Tariff_Table,Tariff!$I$33))</f>
        <v>2.31</v>
      </c>
      <c r="V48" s="1480">
        <f t="shared" ca="1" si="2"/>
        <v>2.0852845741966393</v>
      </c>
      <c r="W48" s="1486">
        <f t="shared" ca="1" si="14"/>
        <v>4.817007366394237</v>
      </c>
      <c r="X48" s="334">
        <f ca="1">VLOOKUP($A48,Plant_Table,'Plant Operations'!$M$270)</f>
        <v>298980.864</v>
      </c>
      <c r="Y48" s="1006">
        <f t="shared" ca="1" si="15"/>
        <v>1440.1930242989135</v>
      </c>
      <c r="Z48" s="1480">
        <f t="shared" ca="1" si="16"/>
        <v>2.2159118431940779</v>
      </c>
      <c r="AA48" s="1480">
        <f t="shared" ca="1" si="3"/>
        <v>2.2159118431940779</v>
      </c>
      <c r="AB48" s="333">
        <f t="shared" ca="1" si="17"/>
        <v>2.173826265331416</v>
      </c>
      <c r="AC48" s="335">
        <f t="shared" ca="1" si="18"/>
        <v>649.93245499468003</v>
      </c>
      <c r="AD48" s="698" t="str">
        <f t="shared" ca="1" si="4"/>
        <v xml:space="preserve"> </v>
      </c>
    </row>
    <row r="49" spans="1:30">
      <c r="A49" s="672">
        <f>'Annex 12-Gas'!A49</f>
        <v>38078</v>
      </c>
      <c r="C49" s="1484">
        <f ca="1">IF($A49&gt;Endyr,0,VLOOKUP($A49,Tariff_Table,Tariff!$G$33))</f>
        <v>7428.1</v>
      </c>
      <c r="D49" s="1480">
        <f ca="1">VLOOKUP($A49,Curves_Table,Escalation!$AW$291)</f>
        <v>2.0852845741966393</v>
      </c>
      <c r="E49" s="1486">
        <f t="shared" ca="1" si="5"/>
        <v>15489.702345590056</v>
      </c>
      <c r="F49" s="330">
        <f ca="1">VLOOKUP($A49,Plant_Table,'Plant Operations'!$C$270)</f>
        <v>480</v>
      </c>
      <c r="G49" s="1486">
        <f t="shared" ca="1" si="6"/>
        <v>7435.0571258832269</v>
      </c>
      <c r="H49" s="1480">
        <f ca="1">IF(Assm!$L$74=0,VLOOKUP($A49,Curves_Table,Escalation!$D$291),VLOOKUP($A49,Curves_Table,Escalation!$E$291))</f>
        <v>2.2216383543457656</v>
      </c>
      <c r="I49" s="384">
        <f t="shared" ca="1" si="7"/>
        <v>3346.6550086063507</v>
      </c>
      <c r="J49" s="692" t="str">
        <f t="shared" ca="1" si="0"/>
        <v xml:space="preserve"> </v>
      </c>
      <c r="L49" s="1484">
        <f ca="1">IF($A49&gt;Endyr,0,VLOOKUP($A49,Tariff_Table,Tariff!$H$33))</f>
        <v>6129.36</v>
      </c>
      <c r="M49" s="1480">
        <f t="shared" ca="1" si="8"/>
        <v>2.0852845741966393</v>
      </c>
      <c r="N49" s="1486">
        <f t="shared" ca="1" si="9"/>
        <v>12781.459857697912</v>
      </c>
      <c r="O49" s="330">
        <f t="shared" ca="1" si="10"/>
        <v>480</v>
      </c>
      <c r="P49" s="1486">
        <f t="shared" ca="1" si="11"/>
        <v>6135.1007316949972</v>
      </c>
      <c r="Q49" s="1480">
        <f t="shared" ca="1" si="12"/>
        <v>2.2216383543457656</v>
      </c>
      <c r="R49" s="384">
        <f t="shared" ca="1" si="13"/>
        <v>2761.5208927655012</v>
      </c>
      <c r="S49" s="692" t="str">
        <f t="shared" ca="1" si="1"/>
        <v xml:space="preserve"> </v>
      </c>
      <c r="U49" s="1484">
        <f ca="1">IF($A49&gt;Endyr,0,VLOOKUP($A49,Tariff_Table,Tariff!$I$33))</f>
        <v>2.31</v>
      </c>
      <c r="V49" s="1480">
        <f t="shared" ca="1" si="2"/>
        <v>2.0852845741966393</v>
      </c>
      <c r="W49" s="1486">
        <f t="shared" ca="1" si="14"/>
        <v>4.817007366394237</v>
      </c>
      <c r="X49" s="334">
        <f ca="1">VLOOKUP($A49,Plant_Table,'Plant Operations'!$M$270)</f>
        <v>289336.32000000001</v>
      </c>
      <c r="Y49" s="1006">
        <f t="shared" ca="1" si="15"/>
        <v>1393.7351848054002</v>
      </c>
      <c r="Z49" s="1480">
        <f t="shared" ca="1" si="16"/>
        <v>2.2216383543457656</v>
      </c>
      <c r="AA49" s="1480">
        <f t="shared" ca="1" si="3"/>
        <v>2.2216383543457656</v>
      </c>
      <c r="AB49" s="333">
        <f t="shared" ca="1" si="17"/>
        <v>2.1682229949674969</v>
      </c>
      <c r="AC49" s="335">
        <f t="shared" ca="1" si="18"/>
        <v>627.34566230327403</v>
      </c>
      <c r="AD49" s="698" t="str">
        <f t="shared" ca="1" si="4"/>
        <v xml:space="preserve"> </v>
      </c>
    </row>
    <row r="50" spans="1:30">
      <c r="A50" s="672">
        <f>'Annex 12-Gas'!A50</f>
        <v>38108</v>
      </c>
      <c r="C50" s="1484">
        <f ca="1">IF($A50&gt;Endyr,0,VLOOKUP($A50,Tariff_Table,Tariff!$G$33))</f>
        <v>7432.1</v>
      </c>
      <c r="D50" s="1480">
        <f ca="1">VLOOKUP($A50,Curves_Table,Escalation!$AW$291)</f>
        <v>2.2521073401323695</v>
      </c>
      <c r="E50" s="1486">
        <f t="shared" ca="1" si="5"/>
        <v>16737.886962597782</v>
      </c>
      <c r="F50" s="330">
        <f ca="1">VLOOKUP($A50,Plant_Table,'Plant Operations'!$C$270)</f>
        <v>480</v>
      </c>
      <c r="G50" s="1486">
        <f t="shared" ca="1" si="6"/>
        <v>8034.185742046935</v>
      </c>
      <c r="H50" s="1480">
        <f ca="1">IF(Assm!$L$74=0,VLOOKUP($A50,Curves_Table,Escalation!$D$291),VLOOKUP($A50,Curves_Table,Escalation!$E$291))</f>
        <v>2.227379664339777</v>
      </c>
      <c r="I50" s="384">
        <f t="shared" ca="1" si="7"/>
        <v>3607.0122533099302</v>
      </c>
      <c r="J50" s="692" t="str">
        <f t="shared" ca="1" si="0"/>
        <v xml:space="preserve"> </v>
      </c>
      <c r="L50" s="1484">
        <f ca="1">IF($A50&gt;Endyr,0,VLOOKUP($A50,Tariff_Table,Tariff!$H$33))</f>
        <v>6142.46</v>
      </c>
      <c r="M50" s="1480">
        <f t="shared" ca="1" si="8"/>
        <v>2.2521073401323695</v>
      </c>
      <c r="N50" s="1486">
        <f t="shared" ca="1" si="9"/>
        <v>13833.479252469475</v>
      </c>
      <c r="O50" s="330">
        <f t="shared" ca="1" si="10"/>
        <v>480</v>
      </c>
      <c r="P50" s="1486">
        <f t="shared" ca="1" si="11"/>
        <v>6640.0700411853486</v>
      </c>
      <c r="Q50" s="1480">
        <f t="shared" ca="1" si="12"/>
        <v>2.227379664339777</v>
      </c>
      <c r="R50" s="384">
        <f t="shared" ca="1" si="13"/>
        <v>2981.1128059991279</v>
      </c>
      <c r="S50" s="692" t="str">
        <f t="shared" ca="1" si="1"/>
        <v xml:space="preserve"> </v>
      </c>
      <c r="U50" s="1484">
        <f ca="1">IF($A50&gt;Endyr,0,VLOOKUP($A50,Tariff_Table,Tariff!$I$33))</f>
        <v>2.31</v>
      </c>
      <c r="V50" s="1480">
        <f t="shared" ca="1" si="2"/>
        <v>2.2521073401323695</v>
      </c>
      <c r="W50" s="1486">
        <f t="shared" ca="1" si="14"/>
        <v>5.2023679557057738</v>
      </c>
      <c r="X50" s="334">
        <f ca="1">VLOOKUP($A50,Plant_Table,'Plant Operations'!$M$270)</f>
        <v>298980.864</v>
      </c>
      <c r="Y50" s="1006">
        <f t="shared" ca="1" si="15"/>
        <v>1555.4084662428261</v>
      </c>
      <c r="Z50" s="1480">
        <f t="shared" ca="1" si="16"/>
        <v>2.227379664339777</v>
      </c>
      <c r="AA50" s="1480">
        <f t="shared" ca="1" si="3"/>
        <v>2.227379664339777</v>
      </c>
      <c r="AB50" s="333">
        <f t="shared" ca="1" si="17"/>
        <v>2.3356449010446632</v>
      </c>
      <c r="AC50" s="335">
        <f t="shared" ca="1" si="18"/>
        <v>698.31313051152802</v>
      </c>
      <c r="AD50" s="698" t="str">
        <f t="shared" ca="1" si="4"/>
        <v xml:space="preserve"> </v>
      </c>
    </row>
    <row r="51" spans="1:30">
      <c r="A51" s="672">
        <f>'Annex 12-Gas'!A51</f>
        <v>38139</v>
      </c>
      <c r="C51" s="1484">
        <f ca="1">IF($A51&gt;Endyr,0,VLOOKUP($A51,Tariff_Table,Tariff!$G$33))</f>
        <v>7432.1</v>
      </c>
      <c r="D51" s="1480">
        <f ca="1">VLOOKUP($A51,Curves_Table,Escalation!$AW$291)</f>
        <v>2.2521073401323695</v>
      </c>
      <c r="E51" s="1486">
        <f t="shared" ca="1" si="5"/>
        <v>16737.886962597782</v>
      </c>
      <c r="F51" s="330">
        <f ca="1">VLOOKUP($A51,Plant_Table,'Plant Operations'!$C$270)</f>
        <v>480</v>
      </c>
      <c r="G51" s="1486">
        <f t="shared" ca="1" si="6"/>
        <v>8034.185742046935</v>
      </c>
      <c r="H51" s="1480">
        <f ca="1">IF(Assm!$L$74=0,VLOOKUP($A51,Curves_Table,Escalation!$D$291),VLOOKUP($A51,Curves_Table,Escalation!$E$291))</f>
        <v>2.2331358114202935</v>
      </c>
      <c r="I51" s="384">
        <f t="shared" ca="1" si="7"/>
        <v>3597.7147923381895</v>
      </c>
      <c r="J51" s="692" t="str">
        <f t="shared" ca="1" si="0"/>
        <v xml:space="preserve"> </v>
      </c>
      <c r="L51" s="1484">
        <f ca="1">IF($A51&gt;Endyr,0,VLOOKUP($A51,Tariff_Table,Tariff!$H$33))</f>
        <v>6142.46</v>
      </c>
      <c r="M51" s="1480">
        <f t="shared" ca="1" si="8"/>
        <v>2.2521073401323695</v>
      </c>
      <c r="N51" s="1486">
        <f t="shared" ca="1" si="9"/>
        <v>13833.479252469475</v>
      </c>
      <c r="O51" s="330">
        <f t="shared" ca="1" si="10"/>
        <v>480</v>
      </c>
      <c r="P51" s="1486">
        <f t="shared" ca="1" si="11"/>
        <v>6640.0700411853486</v>
      </c>
      <c r="Q51" s="1480">
        <f t="shared" ca="1" si="12"/>
        <v>2.2331358114202935</v>
      </c>
      <c r="R51" s="384">
        <f t="shared" ca="1" si="13"/>
        <v>2973.4286679869269</v>
      </c>
      <c r="S51" s="692" t="str">
        <f t="shared" ca="1" si="1"/>
        <v xml:space="preserve"> </v>
      </c>
      <c r="U51" s="1484">
        <f ca="1">IF($A51&gt;Endyr,0,VLOOKUP($A51,Tariff_Table,Tariff!$I$33))</f>
        <v>2.31</v>
      </c>
      <c r="V51" s="1480">
        <f t="shared" ca="1" si="2"/>
        <v>2.2521073401323695</v>
      </c>
      <c r="W51" s="1486">
        <f t="shared" ca="1" si="14"/>
        <v>5.2023679557057738</v>
      </c>
      <c r="X51" s="334">
        <f ca="1">VLOOKUP($A51,Plant_Table,'Plant Operations'!$M$270)</f>
        <v>289336.32000000001</v>
      </c>
      <c r="Y51" s="1006">
        <f t="shared" ca="1" si="15"/>
        <v>1505.2339995898315</v>
      </c>
      <c r="Z51" s="1480">
        <f t="shared" ca="1" si="16"/>
        <v>2.2331358114202935</v>
      </c>
      <c r="AA51" s="1480">
        <f t="shared" ca="1" si="3"/>
        <v>2.2331358114202935</v>
      </c>
      <c r="AB51" s="333">
        <f t="shared" ca="1" si="17"/>
        <v>2.3296245257904951</v>
      </c>
      <c r="AC51" s="335">
        <f t="shared" ca="1" si="18"/>
        <v>674.04498727396685</v>
      </c>
      <c r="AD51" s="698" t="str">
        <f t="shared" ca="1" si="4"/>
        <v xml:space="preserve"> </v>
      </c>
    </row>
    <row r="52" spans="1:30">
      <c r="A52" s="672">
        <f>'Annex 12-Gas'!A52</f>
        <v>38169</v>
      </c>
      <c r="C52" s="1484">
        <f ca="1">IF($A52&gt;Endyr,0,VLOOKUP($A52,Tariff_Table,Tariff!$G$33))</f>
        <v>7432.1</v>
      </c>
      <c r="D52" s="1480">
        <f ca="1">VLOOKUP($A52,Curves_Table,Escalation!$AW$291)</f>
        <v>2.2521073401323695</v>
      </c>
      <c r="E52" s="1486">
        <f t="shared" ca="1" si="5"/>
        <v>16737.886962597782</v>
      </c>
      <c r="F52" s="330">
        <f ca="1">VLOOKUP($A52,Plant_Table,'Plant Operations'!$C$270)</f>
        <v>480</v>
      </c>
      <c r="G52" s="1486">
        <f t="shared" ca="1" si="6"/>
        <v>8034.185742046935</v>
      </c>
      <c r="H52" s="1480">
        <f ca="1">IF(Assm!$L$74=0,VLOOKUP($A52,Curves_Table,Escalation!$D$291),VLOOKUP($A52,Curves_Table,Escalation!$E$291))</f>
        <v>2.2389068339303306</v>
      </c>
      <c r="I52" s="384">
        <f t="shared" ca="1" si="7"/>
        <v>3588.4412965693505</v>
      </c>
      <c r="J52" s="692" t="str">
        <f t="shared" ca="1" si="0"/>
        <v xml:space="preserve"> </v>
      </c>
      <c r="L52" s="1484">
        <f ca="1">IF($A52&gt;Endyr,0,VLOOKUP($A52,Tariff_Table,Tariff!$H$33))</f>
        <v>6142.46</v>
      </c>
      <c r="M52" s="1480">
        <f t="shared" ca="1" si="8"/>
        <v>2.2521073401323695</v>
      </c>
      <c r="N52" s="1486">
        <f t="shared" ca="1" si="9"/>
        <v>13833.479252469475</v>
      </c>
      <c r="O52" s="330">
        <f t="shared" ca="1" si="10"/>
        <v>480</v>
      </c>
      <c r="P52" s="1486">
        <f t="shared" ca="1" si="11"/>
        <v>6640.0700411853486</v>
      </c>
      <c r="Q52" s="1480">
        <f t="shared" ca="1" si="12"/>
        <v>2.2389068339303306</v>
      </c>
      <c r="R52" s="384">
        <f t="shared" ca="1" si="13"/>
        <v>2965.7643366646544</v>
      </c>
      <c r="S52" s="692" t="str">
        <f t="shared" ca="1" si="1"/>
        <v xml:space="preserve"> </v>
      </c>
      <c r="U52" s="1484">
        <f ca="1">IF($A52&gt;Endyr,0,VLOOKUP($A52,Tariff_Table,Tariff!$I$33))</f>
        <v>2.31</v>
      </c>
      <c r="V52" s="1480">
        <f t="shared" ca="1" si="2"/>
        <v>2.2521073401323695</v>
      </c>
      <c r="W52" s="1486">
        <f t="shared" ca="1" si="14"/>
        <v>5.2023679557057738</v>
      </c>
      <c r="X52" s="334">
        <f ca="1">VLOOKUP($A52,Plant_Table,'Plant Operations'!$M$270)</f>
        <v>298980.864</v>
      </c>
      <c r="Y52" s="1006">
        <f t="shared" ca="1" si="15"/>
        <v>1555.4084662428261</v>
      </c>
      <c r="Z52" s="1480">
        <f t="shared" ca="1" si="16"/>
        <v>2.2389068339303306</v>
      </c>
      <c r="AA52" s="1480">
        <f t="shared" ca="1" si="3"/>
        <v>2.2389068339303306</v>
      </c>
      <c r="AB52" s="333">
        <f t="shared" ca="1" si="17"/>
        <v>2.3236196686992914</v>
      </c>
      <c r="AC52" s="335">
        <f t="shared" ca="1" si="18"/>
        <v>694.71781615510793</v>
      </c>
      <c r="AD52" s="698" t="str">
        <f t="shared" ca="1" si="4"/>
        <v xml:space="preserve"> </v>
      </c>
    </row>
    <row r="53" spans="1:30">
      <c r="A53" s="672">
        <f>'Annex 12-Gas'!A53</f>
        <v>38200</v>
      </c>
      <c r="C53" s="1484">
        <f ca="1">IF($A53&gt;Endyr,0,VLOOKUP($A53,Tariff_Table,Tariff!$G$33))</f>
        <v>7432.1</v>
      </c>
      <c r="D53" s="1480">
        <f ca="1">VLOOKUP($A53,Curves_Table,Escalation!$AW$291)</f>
        <v>2.2521073401323695</v>
      </c>
      <c r="E53" s="1486">
        <f t="shared" ca="1" si="5"/>
        <v>16737.886962597782</v>
      </c>
      <c r="F53" s="330">
        <f ca="1">VLOOKUP($A53,Plant_Table,'Plant Operations'!$C$270)</f>
        <v>480</v>
      </c>
      <c r="G53" s="1486">
        <f t="shared" ca="1" si="6"/>
        <v>8034.185742046935</v>
      </c>
      <c r="H53" s="1480">
        <f ca="1">IF(Assm!$L$74=0,VLOOKUP($A53,Curves_Table,Escalation!$D$291),VLOOKUP($A53,Curves_Table,Escalation!$E$291))</f>
        <v>2.2446927703119925</v>
      </c>
      <c r="I53" s="384">
        <f t="shared" ca="1" si="7"/>
        <v>3579.1917042305322</v>
      </c>
      <c r="J53" s="692" t="str">
        <f t="shared" ca="1" si="0"/>
        <v xml:space="preserve"> </v>
      </c>
      <c r="L53" s="1484">
        <f ca="1">IF($A53&gt;Endyr,0,VLOOKUP($A53,Tariff_Table,Tariff!$H$33))</f>
        <v>6142.46</v>
      </c>
      <c r="M53" s="1480">
        <f t="shared" ca="1" si="8"/>
        <v>2.2521073401323695</v>
      </c>
      <c r="N53" s="1486">
        <f t="shared" ca="1" si="9"/>
        <v>13833.479252469475</v>
      </c>
      <c r="O53" s="330">
        <f t="shared" ca="1" si="10"/>
        <v>480</v>
      </c>
      <c r="P53" s="1486">
        <f t="shared" ca="1" si="11"/>
        <v>6640.0700411853486</v>
      </c>
      <c r="Q53" s="1480">
        <f t="shared" ca="1" si="12"/>
        <v>2.2446927703119925</v>
      </c>
      <c r="R53" s="384">
        <f t="shared" ca="1" si="13"/>
        <v>2958.1197609784422</v>
      </c>
      <c r="S53" s="692" t="str">
        <f t="shared" ca="1" si="1"/>
        <v xml:space="preserve"> </v>
      </c>
      <c r="U53" s="1484">
        <f ca="1">IF($A53&gt;Endyr,0,VLOOKUP($A53,Tariff_Table,Tariff!$I$33))</f>
        <v>2.31</v>
      </c>
      <c r="V53" s="1480">
        <f t="shared" ca="1" si="2"/>
        <v>2.2521073401323695</v>
      </c>
      <c r="W53" s="1486">
        <f t="shared" ca="1" si="14"/>
        <v>5.2023679557057738</v>
      </c>
      <c r="X53" s="334">
        <f ca="1">VLOOKUP($A53,Plant_Table,'Plant Operations'!$M$270)</f>
        <v>298980.864</v>
      </c>
      <c r="Y53" s="1006">
        <f t="shared" ca="1" si="15"/>
        <v>1555.4084662428261</v>
      </c>
      <c r="Z53" s="1480">
        <f t="shared" ca="1" si="16"/>
        <v>2.2446927703119925</v>
      </c>
      <c r="AA53" s="1480">
        <f t="shared" ca="1" si="3"/>
        <v>2.2446927703119925</v>
      </c>
      <c r="AB53" s="333">
        <f t="shared" ca="1" si="17"/>
        <v>2.3176302897713215</v>
      </c>
      <c r="AC53" s="335">
        <f t="shared" ca="1" si="18"/>
        <v>692.9271064684001</v>
      </c>
      <c r="AD53" s="698" t="str">
        <f t="shared" ca="1" si="4"/>
        <v xml:space="preserve"> </v>
      </c>
    </row>
    <row r="54" spans="1:30">
      <c r="A54" s="672">
        <f>'Annex 12-Gas'!A54</f>
        <v>38231</v>
      </c>
      <c r="C54" s="1484">
        <f ca="1">IF($A54&gt;Endyr,0,VLOOKUP($A54,Tariff_Table,Tariff!$G$33))</f>
        <v>7432.1</v>
      </c>
      <c r="D54" s="1480">
        <f ca="1">VLOOKUP($A54,Curves_Table,Escalation!$AW$291)</f>
        <v>2.2521073401323695</v>
      </c>
      <c r="E54" s="1486">
        <f t="shared" ca="1" si="5"/>
        <v>16737.886962597782</v>
      </c>
      <c r="F54" s="330">
        <f ca="1">VLOOKUP($A54,Plant_Table,'Plant Operations'!$C$270)</f>
        <v>480</v>
      </c>
      <c r="G54" s="1486">
        <f t="shared" ca="1" si="6"/>
        <v>8034.185742046935</v>
      </c>
      <c r="H54" s="1480">
        <f ca="1">IF(Assm!$L$74=0,VLOOKUP($A54,Curves_Table,Escalation!$D$291),VLOOKUP($A54,Curves_Table,Escalation!$E$291))</f>
        <v>2.2504936591067271</v>
      </c>
      <c r="I54" s="384">
        <f t="shared" ca="1" si="7"/>
        <v>3569.9659537080806</v>
      </c>
      <c r="J54" s="692" t="str">
        <f t="shared" ca="1" si="0"/>
        <v xml:space="preserve"> </v>
      </c>
      <c r="L54" s="1484">
        <f ca="1">IF($A54&gt;Endyr,0,VLOOKUP($A54,Tariff_Table,Tariff!$H$33))</f>
        <v>6142.46</v>
      </c>
      <c r="M54" s="1480">
        <f t="shared" ca="1" si="8"/>
        <v>2.2521073401323695</v>
      </c>
      <c r="N54" s="1486">
        <f t="shared" ca="1" si="9"/>
        <v>13833.479252469475</v>
      </c>
      <c r="O54" s="330">
        <f t="shared" ca="1" si="10"/>
        <v>480</v>
      </c>
      <c r="P54" s="1486">
        <f t="shared" ca="1" si="11"/>
        <v>6640.0700411853486</v>
      </c>
      <c r="Q54" s="1480">
        <f t="shared" ca="1" si="12"/>
        <v>2.2504936591067271</v>
      </c>
      <c r="R54" s="384">
        <f t="shared" ca="1" si="13"/>
        <v>2950.4948900060203</v>
      </c>
      <c r="S54" s="692" t="str">
        <f t="shared" ca="1" si="1"/>
        <v xml:space="preserve"> </v>
      </c>
      <c r="U54" s="1484">
        <f ca="1">IF($A54&gt;Endyr,0,VLOOKUP($A54,Tariff_Table,Tariff!$I$33))</f>
        <v>2.31</v>
      </c>
      <c r="V54" s="1480">
        <f t="shared" ca="1" si="2"/>
        <v>2.2521073401323695</v>
      </c>
      <c r="W54" s="1486">
        <f t="shared" ca="1" si="14"/>
        <v>5.2023679557057738</v>
      </c>
      <c r="X54" s="334">
        <f ca="1">VLOOKUP($A54,Plant_Table,'Plant Operations'!$M$270)</f>
        <v>289336.32000000001</v>
      </c>
      <c r="Y54" s="1006">
        <f t="shared" ca="1" si="15"/>
        <v>1505.2339995898315</v>
      </c>
      <c r="Z54" s="1480">
        <f t="shared" ca="1" si="16"/>
        <v>2.2504936591067271</v>
      </c>
      <c r="AA54" s="1480">
        <f t="shared" ca="1" si="3"/>
        <v>2.2504936591067271</v>
      </c>
      <c r="AB54" s="333">
        <f t="shared" ca="1" si="17"/>
        <v>2.3116563491099611</v>
      </c>
      <c r="AC54" s="335">
        <f t="shared" ca="1" si="18"/>
        <v>668.84614115611134</v>
      </c>
      <c r="AD54" s="698" t="str">
        <f t="shared" ca="1" si="4"/>
        <v xml:space="preserve"> </v>
      </c>
    </row>
    <row r="55" spans="1:30">
      <c r="A55" s="672">
        <f>'Annex 12-Gas'!A55</f>
        <v>38261</v>
      </c>
      <c r="C55" s="1484">
        <f ca="1">IF($A55&gt;Endyr,0,VLOOKUP($A55,Tariff_Table,Tariff!$G$33))</f>
        <v>7432.1</v>
      </c>
      <c r="D55" s="1480">
        <f ca="1">VLOOKUP($A55,Curves_Table,Escalation!$AW$291)</f>
        <v>2.2521073401323695</v>
      </c>
      <c r="E55" s="1486">
        <f t="shared" ca="1" si="5"/>
        <v>16737.886962597782</v>
      </c>
      <c r="F55" s="330">
        <f ca="1">VLOOKUP($A55,Plant_Table,'Plant Operations'!$C$270)</f>
        <v>480</v>
      </c>
      <c r="G55" s="1486">
        <f t="shared" ca="1" si="6"/>
        <v>8034.185742046935</v>
      </c>
      <c r="H55" s="1480">
        <f ca="1">IF(Assm!$L$74=0,VLOOKUP($A55,Curves_Table,Escalation!$D$291),VLOOKUP($A55,Curves_Table,Escalation!$E$291))</f>
        <v>2.2563095389555845</v>
      </c>
      <c r="I55" s="384">
        <f t="shared" ca="1" si="7"/>
        <v>3560.7639835471564</v>
      </c>
      <c r="J55" s="692" t="str">
        <f t="shared" ca="1" si="0"/>
        <v xml:space="preserve"> </v>
      </c>
      <c r="L55" s="1484">
        <f ca="1">IF($A55&gt;Endyr,0,VLOOKUP($A55,Tariff_Table,Tariff!$H$33))</f>
        <v>6142.46</v>
      </c>
      <c r="M55" s="1480">
        <f t="shared" ca="1" si="8"/>
        <v>2.2521073401323695</v>
      </c>
      <c r="N55" s="1486">
        <f t="shared" ca="1" si="9"/>
        <v>13833.479252469475</v>
      </c>
      <c r="O55" s="330">
        <f t="shared" ca="1" si="10"/>
        <v>480</v>
      </c>
      <c r="P55" s="1486">
        <f t="shared" ca="1" si="11"/>
        <v>6640.0700411853486</v>
      </c>
      <c r="Q55" s="1480">
        <f t="shared" ca="1" si="12"/>
        <v>2.2563095389555845</v>
      </c>
      <c r="R55" s="384">
        <f t="shared" ca="1" si="13"/>
        <v>2942.8896729563749</v>
      </c>
      <c r="S55" s="692" t="str">
        <f t="shared" ca="1" si="1"/>
        <v xml:space="preserve"> </v>
      </c>
      <c r="U55" s="1484">
        <f ca="1">IF($A55&gt;Endyr,0,VLOOKUP($A55,Tariff_Table,Tariff!$I$33))</f>
        <v>2.31</v>
      </c>
      <c r="V55" s="1480">
        <f t="shared" ca="1" si="2"/>
        <v>2.2521073401323695</v>
      </c>
      <c r="W55" s="1486">
        <f t="shared" ca="1" si="14"/>
        <v>5.2023679557057738</v>
      </c>
      <c r="X55" s="334">
        <f ca="1">VLOOKUP($A55,Plant_Table,'Plant Operations'!$M$270)</f>
        <v>298980.864</v>
      </c>
      <c r="Y55" s="1006">
        <f t="shared" ca="1" si="15"/>
        <v>1555.4084662428261</v>
      </c>
      <c r="Z55" s="1480">
        <f t="shared" ca="1" si="16"/>
        <v>2.2563095389555845</v>
      </c>
      <c r="AA55" s="1480">
        <f t="shared" ca="1" si="3"/>
        <v>2.2563095389555845</v>
      </c>
      <c r="AB55" s="333">
        <f t="shared" ca="1" si="17"/>
        <v>2.3056978069214211</v>
      </c>
      <c r="AC55" s="335">
        <f t="shared" ca="1" si="18"/>
        <v>689.35952243627173</v>
      </c>
      <c r="AD55" s="698" t="str">
        <f t="shared" ca="1" si="4"/>
        <v xml:space="preserve"> </v>
      </c>
    </row>
    <row r="56" spans="1:30">
      <c r="A56" s="672">
        <f>'Annex 12-Gas'!A56</f>
        <v>38292</v>
      </c>
      <c r="C56" s="1484">
        <f ca="1">IF($A56&gt;Endyr,0,VLOOKUP($A56,Tariff_Table,Tariff!$G$33))</f>
        <v>7432.1</v>
      </c>
      <c r="D56" s="1480">
        <f ca="1">VLOOKUP($A56,Curves_Table,Escalation!$AW$291)</f>
        <v>2.2521073401323695</v>
      </c>
      <c r="E56" s="1486">
        <f t="shared" ca="1" si="5"/>
        <v>16737.886962597782</v>
      </c>
      <c r="F56" s="330">
        <f ca="1">VLOOKUP($A56,Plant_Table,'Plant Operations'!$C$270)</f>
        <v>480</v>
      </c>
      <c r="G56" s="1486">
        <f t="shared" ca="1" si="6"/>
        <v>8034.185742046935</v>
      </c>
      <c r="H56" s="1480">
        <f ca="1">IF(Assm!$L$74=0,VLOOKUP($A56,Curves_Table,Escalation!$D$291),VLOOKUP($A56,Curves_Table,Escalation!$E$291))</f>
        <v>2.2621404485994736</v>
      </c>
      <c r="I56" s="384">
        <f t="shared" ca="1" si="7"/>
        <v>3551.5857324513272</v>
      </c>
      <c r="J56" s="692" t="str">
        <f t="shared" ca="1" si="0"/>
        <v xml:space="preserve"> </v>
      </c>
      <c r="L56" s="1484">
        <f ca="1">IF($A56&gt;Endyr,0,VLOOKUP($A56,Tariff_Table,Tariff!$H$33))</f>
        <v>6142.46</v>
      </c>
      <c r="M56" s="1480">
        <f t="shared" ca="1" si="8"/>
        <v>2.2521073401323695</v>
      </c>
      <c r="N56" s="1486">
        <f t="shared" ca="1" si="9"/>
        <v>13833.479252469475</v>
      </c>
      <c r="O56" s="330">
        <f t="shared" ca="1" si="10"/>
        <v>480</v>
      </c>
      <c r="P56" s="1486">
        <f t="shared" ca="1" si="11"/>
        <v>6640.0700411853486</v>
      </c>
      <c r="Q56" s="1480">
        <f t="shared" ca="1" si="12"/>
        <v>2.2621404485994736</v>
      </c>
      <c r="R56" s="384">
        <f t="shared" ca="1" si="13"/>
        <v>2935.3040591694116</v>
      </c>
      <c r="S56" s="692" t="str">
        <f t="shared" ca="1" si="1"/>
        <v xml:space="preserve"> </v>
      </c>
      <c r="U56" s="1484">
        <f ca="1">IF($A56&gt;Endyr,0,VLOOKUP($A56,Tariff_Table,Tariff!$I$33))</f>
        <v>2.31</v>
      </c>
      <c r="V56" s="1480">
        <f t="shared" ca="1" si="2"/>
        <v>2.2521073401323695</v>
      </c>
      <c r="W56" s="1486">
        <f t="shared" ca="1" si="14"/>
        <v>5.2023679557057738</v>
      </c>
      <c r="X56" s="334">
        <f ca="1">VLOOKUP($A56,Plant_Table,'Plant Operations'!$M$270)</f>
        <v>289336.32000000001</v>
      </c>
      <c r="Y56" s="1006">
        <f t="shared" ca="1" si="15"/>
        <v>1505.2339995898315</v>
      </c>
      <c r="Z56" s="1480">
        <f t="shared" ca="1" si="16"/>
        <v>2.2621404485994736</v>
      </c>
      <c r="AA56" s="1480">
        <f t="shared" ca="1" si="3"/>
        <v>2.2621404485994736</v>
      </c>
      <c r="AB56" s="333">
        <f t="shared" ca="1" si="17"/>
        <v>2.2997546235144863</v>
      </c>
      <c r="AC56" s="335">
        <f t="shared" ca="1" si="18"/>
        <v>665.4025396706669</v>
      </c>
      <c r="AD56" s="698" t="str">
        <f t="shared" ca="1" si="4"/>
        <v xml:space="preserve"> </v>
      </c>
    </row>
    <row r="57" spans="1:30">
      <c r="A57" s="672">
        <f>'Annex 12-Gas'!A57</f>
        <v>38322</v>
      </c>
      <c r="C57" s="1484">
        <f ca="1">IF($A57&gt;Endyr,0,VLOOKUP($A57,Tariff_Table,Tariff!$G$33))</f>
        <v>7432.1</v>
      </c>
      <c r="D57" s="1480">
        <f ca="1">VLOOKUP($A57,Curves_Table,Escalation!$AW$291)</f>
        <v>2.2521073401323695</v>
      </c>
      <c r="E57" s="1486">
        <f t="shared" ca="1" si="5"/>
        <v>16737.886962597782</v>
      </c>
      <c r="F57" s="330">
        <f ca="1">VLOOKUP($A57,Plant_Table,'Plant Operations'!$C$270)</f>
        <v>480</v>
      </c>
      <c r="G57" s="1486">
        <f t="shared" ca="1" si="6"/>
        <v>8034.185742046935</v>
      </c>
      <c r="H57" s="1480">
        <f ca="1">IF(Assm!$L$74=0,VLOOKUP($A57,Curves_Table,Escalation!$D$291),VLOOKUP($A57,Curves_Table,Escalation!$E$291))</f>
        <v>2.2679864268794208</v>
      </c>
      <c r="I57" s="384">
        <f t="shared" ca="1" si="7"/>
        <v>3542.4311392821569</v>
      </c>
      <c r="J57" s="692">
        <f t="shared" ca="1" si="0"/>
        <v>42035.708279911014</v>
      </c>
      <c r="L57" s="1484">
        <f ca="1">IF($A57&gt;Endyr,0,VLOOKUP($A57,Tariff_Table,Tariff!$H$33))</f>
        <v>6142.46</v>
      </c>
      <c r="M57" s="1480">
        <f t="shared" ca="1" si="8"/>
        <v>2.2521073401323695</v>
      </c>
      <c r="N57" s="1486">
        <f t="shared" ca="1" si="9"/>
        <v>13833.479252469475</v>
      </c>
      <c r="O57" s="330">
        <f t="shared" ca="1" si="10"/>
        <v>480</v>
      </c>
      <c r="P57" s="1486">
        <f t="shared" ca="1" si="11"/>
        <v>6640.0700411853486</v>
      </c>
      <c r="Q57" s="1480">
        <f t="shared" ca="1" si="12"/>
        <v>2.2679864268794208</v>
      </c>
      <c r="R57" s="384">
        <f t="shared" ca="1" si="13"/>
        <v>2927.7379981156178</v>
      </c>
      <c r="S57" s="692">
        <f t="shared" ca="1" si="1"/>
        <v>34723.828649801988</v>
      </c>
      <c r="U57" s="1484">
        <f ca="1">IF($A57&gt;Endyr,0,VLOOKUP($A57,Tariff_Table,Tariff!$I$33))</f>
        <v>2.31</v>
      </c>
      <c r="V57" s="1480">
        <f t="shared" ca="1" si="2"/>
        <v>2.2521073401323695</v>
      </c>
      <c r="W57" s="1486">
        <f t="shared" ca="1" si="14"/>
        <v>5.2023679557057738</v>
      </c>
      <c r="X57" s="334">
        <f ca="1">VLOOKUP($A57,Plant_Table,'Plant Operations'!$M$270)</f>
        <v>298980.864</v>
      </c>
      <c r="Y57" s="1006">
        <f t="shared" ca="1" si="15"/>
        <v>1555.4084662428261</v>
      </c>
      <c r="Z57" s="1480">
        <f t="shared" ca="1" si="16"/>
        <v>2.2679864268794208</v>
      </c>
      <c r="AA57" s="1480">
        <f t="shared" ca="1" si="3"/>
        <v>2.2679864268794208</v>
      </c>
      <c r="AB57" s="333">
        <f t="shared" ca="1" si="17"/>
        <v>2.2938267593002495</v>
      </c>
      <c r="AC57" s="335">
        <f t="shared" ca="1" si="18"/>
        <v>685.8103063619086</v>
      </c>
      <c r="AD57" s="698">
        <f t="shared" ca="1" si="4"/>
        <v>8009.5682303329386</v>
      </c>
    </row>
    <row r="58" spans="1:30">
      <c r="A58" s="672">
        <f>'Annex 12-Gas'!A58</f>
        <v>38353</v>
      </c>
      <c r="C58" s="1484">
        <f ca="1">IF($A58&gt;Endyr,0,VLOOKUP($A58,Tariff_Table,Tariff!$G$33))</f>
        <v>7432.1</v>
      </c>
      <c r="D58" s="1480">
        <f ca="1">VLOOKUP($A58,Curves_Table,Escalation!$AW$291)</f>
        <v>2.2521073401323695</v>
      </c>
      <c r="E58" s="1486">
        <f t="shared" ca="1" si="5"/>
        <v>16737.886962597782</v>
      </c>
      <c r="F58" s="330">
        <f ca="1">VLOOKUP($A58,Plant_Table,'Plant Operations'!$C$270)</f>
        <v>480</v>
      </c>
      <c r="G58" s="1486">
        <f t="shared" ca="1" si="6"/>
        <v>8034.185742046935</v>
      </c>
      <c r="H58" s="1480">
        <f ca="1">IF(Assm!$L$74=0,VLOOKUP($A58,Curves_Table,Escalation!$D$291),VLOOKUP($A58,Curves_Table,Escalation!$E$291))</f>
        <v>2.2732944230483629</v>
      </c>
      <c r="I58" s="384">
        <f t="shared" ca="1" si="7"/>
        <v>3534.1597905622507</v>
      </c>
      <c r="J58" s="692" t="str">
        <f t="shared" ca="1" si="0"/>
        <v xml:space="preserve"> </v>
      </c>
      <c r="L58" s="1484">
        <f ca="1">IF($A58&gt;Endyr,0,VLOOKUP($A58,Tariff_Table,Tariff!$H$33))</f>
        <v>6142.46</v>
      </c>
      <c r="M58" s="1480">
        <f t="shared" ca="1" si="8"/>
        <v>2.2521073401323695</v>
      </c>
      <c r="N58" s="1486">
        <f t="shared" ca="1" si="9"/>
        <v>13833.479252469475</v>
      </c>
      <c r="O58" s="330">
        <f t="shared" ca="1" si="10"/>
        <v>480</v>
      </c>
      <c r="P58" s="1486">
        <f t="shared" ca="1" si="11"/>
        <v>6640.0700411853486</v>
      </c>
      <c r="Q58" s="1480">
        <f t="shared" ca="1" si="12"/>
        <v>2.2732944230483629</v>
      </c>
      <c r="R58" s="384">
        <f t="shared" ca="1" si="13"/>
        <v>2920.9019183187806</v>
      </c>
      <c r="S58" s="692" t="str">
        <f t="shared" ca="1" si="1"/>
        <v xml:space="preserve"> </v>
      </c>
      <c r="U58" s="1484">
        <f ca="1">IF($A58&gt;Endyr,0,VLOOKUP($A58,Tariff_Table,Tariff!$I$33))</f>
        <v>2.31</v>
      </c>
      <c r="V58" s="1480">
        <f t="shared" ca="1" si="2"/>
        <v>2.2521073401323695</v>
      </c>
      <c r="W58" s="1486">
        <f t="shared" ca="1" si="14"/>
        <v>5.2023679557057738</v>
      </c>
      <c r="X58" s="334">
        <f ca="1">VLOOKUP($A58,Plant_Table,'Plant Operations'!$M$270)</f>
        <v>298980.864</v>
      </c>
      <c r="Y58" s="1006">
        <f t="shared" ca="1" si="15"/>
        <v>1555.4084662428261</v>
      </c>
      <c r="Z58" s="1480">
        <f t="shared" ca="1" si="16"/>
        <v>2.2732944230483629</v>
      </c>
      <c r="AA58" s="1480">
        <f t="shared" ca="1" si="3"/>
        <v>2.2732944230483629</v>
      </c>
      <c r="AB58" s="333">
        <f t="shared" ca="1" si="17"/>
        <v>2.2884708214476173</v>
      </c>
      <c r="AC58" s="335">
        <f t="shared" ca="1" si="18"/>
        <v>684.20898343519832</v>
      </c>
      <c r="AD58" s="698" t="str">
        <f t="shared" ca="1" si="4"/>
        <v xml:space="preserve"> </v>
      </c>
    </row>
    <row r="59" spans="1:30">
      <c r="A59" s="672">
        <f>'Annex 12-Gas'!A59</f>
        <v>38384</v>
      </c>
      <c r="C59" s="1484">
        <f ca="1">IF($A59&gt;Endyr,0,VLOOKUP($A59,Tariff_Table,Tariff!$G$33))</f>
        <v>7432.1</v>
      </c>
      <c r="D59" s="1480">
        <f ca="1">VLOOKUP($A59,Curves_Table,Escalation!$AW$291)</f>
        <v>2.2521073401323695</v>
      </c>
      <c r="E59" s="1486">
        <f t="shared" ca="1" si="5"/>
        <v>16737.886962597782</v>
      </c>
      <c r="F59" s="330">
        <f ca="1">VLOOKUP($A59,Plant_Table,'Plant Operations'!$C$270)</f>
        <v>480</v>
      </c>
      <c r="G59" s="1486">
        <f t="shared" ca="1" si="6"/>
        <v>8034.185742046935</v>
      </c>
      <c r="H59" s="1480">
        <f ca="1">IF(Assm!$L$74=0,VLOOKUP($A59,Curves_Table,Escalation!$D$291),VLOOKUP($A59,Curves_Table,Escalation!$E$291))</f>
        <v>2.2786148420532601</v>
      </c>
      <c r="I59" s="384">
        <f t="shared" ca="1" si="7"/>
        <v>3525.9077549092626</v>
      </c>
      <c r="J59" s="692" t="str">
        <f t="shared" ca="1" si="0"/>
        <v xml:space="preserve"> </v>
      </c>
      <c r="L59" s="1484">
        <f ca="1">IF($A59&gt;Endyr,0,VLOOKUP($A59,Tariff_Table,Tariff!$H$33))</f>
        <v>6142.46</v>
      </c>
      <c r="M59" s="1480">
        <f t="shared" ca="1" si="8"/>
        <v>2.2521073401323695</v>
      </c>
      <c r="N59" s="1486">
        <f t="shared" ca="1" si="9"/>
        <v>13833.479252469475</v>
      </c>
      <c r="O59" s="330">
        <f t="shared" ca="1" si="10"/>
        <v>480</v>
      </c>
      <c r="P59" s="1486">
        <f t="shared" ca="1" si="11"/>
        <v>6640.0700411853486</v>
      </c>
      <c r="Q59" s="1480">
        <f t="shared" ca="1" si="12"/>
        <v>2.2786148420532601</v>
      </c>
      <c r="R59" s="384">
        <f t="shared" ca="1" si="13"/>
        <v>2914.0818003282998</v>
      </c>
      <c r="S59" s="692" t="str">
        <f t="shared" ca="1" si="1"/>
        <v xml:space="preserve"> </v>
      </c>
      <c r="U59" s="1484">
        <f ca="1">IF($A59&gt;Endyr,0,VLOOKUP($A59,Tariff_Table,Tariff!$I$33))</f>
        <v>2.31</v>
      </c>
      <c r="V59" s="1480">
        <f t="shared" ca="1" si="2"/>
        <v>2.2521073401323695</v>
      </c>
      <c r="W59" s="1486">
        <f t="shared" ca="1" si="14"/>
        <v>5.2023679557057738</v>
      </c>
      <c r="X59" s="334">
        <f ca="1">VLOOKUP($A59,Plant_Table,'Plant Operations'!$M$270)</f>
        <v>270047.23200000002</v>
      </c>
      <c r="Y59" s="1006">
        <f t="shared" ca="1" si="15"/>
        <v>1404.8850662838431</v>
      </c>
      <c r="Z59" s="1480">
        <f t="shared" ca="1" si="16"/>
        <v>2.2786148420532601</v>
      </c>
      <c r="AA59" s="1480">
        <f t="shared" ca="1" si="3"/>
        <v>2.2786148420532601</v>
      </c>
      <c r="AB59" s="333">
        <f t="shared" ca="1" si="17"/>
        <v>2.2831273893651631</v>
      </c>
      <c r="AC59" s="335">
        <f t="shared" ca="1" si="18"/>
        <v>616.55223180144867</v>
      </c>
      <c r="AD59" s="698" t="str">
        <f t="shared" ca="1" si="4"/>
        <v xml:space="preserve"> </v>
      </c>
    </row>
    <row r="60" spans="1:30">
      <c r="A60" s="672">
        <f>'Annex 12-Gas'!A60</f>
        <v>38412</v>
      </c>
      <c r="C60" s="1484">
        <f ca="1">IF($A60&gt;Endyr,0,VLOOKUP($A60,Tariff_Table,Tariff!$G$33))</f>
        <v>7432.1</v>
      </c>
      <c r="D60" s="1480">
        <f ca="1">VLOOKUP($A60,Curves_Table,Escalation!$AW$291)</f>
        <v>2.2521073401323695</v>
      </c>
      <c r="E60" s="1486">
        <f t="shared" ca="1" si="5"/>
        <v>16737.886962597782</v>
      </c>
      <c r="F60" s="330">
        <f ca="1">VLOOKUP($A60,Plant_Table,'Plant Operations'!$C$270)</f>
        <v>480</v>
      </c>
      <c r="G60" s="1486">
        <f t="shared" ca="1" si="6"/>
        <v>8034.185742046935</v>
      </c>
      <c r="H60" s="1480">
        <f ca="1">IF(Assm!$L$74=0,VLOOKUP($A60,Curves_Table,Escalation!$D$291),VLOOKUP($A60,Curves_Table,Escalation!$E$291))</f>
        <v>2.2839477129685219</v>
      </c>
      <c r="I60" s="384">
        <f t="shared" ca="1" si="7"/>
        <v>3517.6749872284245</v>
      </c>
      <c r="J60" s="692" t="str">
        <f t="shared" ca="1" si="0"/>
        <v xml:space="preserve"> </v>
      </c>
      <c r="L60" s="1484">
        <f ca="1">IF($A60&gt;Endyr,0,VLOOKUP($A60,Tariff_Table,Tariff!$H$33))</f>
        <v>6142.46</v>
      </c>
      <c r="M60" s="1480">
        <f t="shared" ca="1" si="8"/>
        <v>2.2521073401323695</v>
      </c>
      <c r="N60" s="1486">
        <f t="shared" ca="1" si="9"/>
        <v>13833.479252469475</v>
      </c>
      <c r="O60" s="330">
        <f t="shared" ca="1" si="10"/>
        <v>480</v>
      </c>
      <c r="P60" s="1486">
        <f t="shared" ca="1" si="11"/>
        <v>6640.0700411853486</v>
      </c>
      <c r="Q60" s="1480">
        <f t="shared" ca="1" si="12"/>
        <v>2.2839477129685219</v>
      </c>
      <c r="R60" s="384">
        <f t="shared" ca="1" si="13"/>
        <v>2907.2776068743847</v>
      </c>
      <c r="S60" s="692" t="str">
        <f t="shared" ca="1" si="1"/>
        <v xml:space="preserve"> </v>
      </c>
      <c r="U60" s="1484">
        <f ca="1">IF($A60&gt;Endyr,0,VLOOKUP($A60,Tariff_Table,Tariff!$I$33))</f>
        <v>2.31</v>
      </c>
      <c r="V60" s="1480">
        <f t="shared" ca="1" si="2"/>
        <v>2.2521073401323695</v>
      </c>
      <c r="W60" s="1486">
        <f t="shared" ca="1" si="14"/>
        <v>5.2023679557057738</v>
      </c>
      <c r="X60" s="334">
        <f ca="1">VLOOKUP($A60,Plant_Table,'Plant Operations'!$M$270)</f>
        <v>298980.864</v>
      </c>
      <c r="Y60" s="1006">
        <f t="shared" ca="1" si="15"/>
        <v>1555.4084662428261</v>
      </c>
      <c r="Z60" s="1480">
        <f t="shared" ca="1" si="16"/>
        <v>2.2839477129685219</v>
      </c>
      <c r="AA60" s="1480">
        <f t="shared" ca="1" si="3"/>
        <v>2.2839477129685219</v>
      </c>
      <c r="AB60" s="333">
        <f t="shared" ca="1" si="17"/>
        <v>2.2777964338527195</v>
      </c>
      <c r="AC60" s="335">
        <f t="shared" ca="1" si="18"/>
        <v>681.01754580940496</v>
      </c>
      <c r="AD60" s="698" t="str">
        <f t="shared" ca="1" si="4"/>
        <v xml:space="preserve"> </v>
      </c>
    </row>
    <row r="61" spans="1:30">
      <c r="A61" s="672">
        <f>'Annex 12-Gas'!A61</f>
        <v>38443</v>
      </c>
      <c r="C61" s="1484">
        <f ca="1">IF($A61&gt;Endyr,0,VLOOKUP($A61,Tariff_Table,Tariff!$G$33))</f>
        <v>7432.1</v>
      </c>
      <c r="D61" s="1480">
        <f ca="1">VLOOKUP($A61,Curves_Table,Escalation!$AW$291)</f>
        <v>2.2521073401323695</v>
      </c>
      <c r="E61" s="1486">
        <f t="shared" ca="1" si="5"/>
        <v>16737.886962597782</v>
      </c>
      <c r="F61" s="330">
        <f ca="1">VLOOKUP($A61,Plant_Table,'Plant Operations'!$C$270)</f>
        <v>480</v>
      </c>
      <c r="G61" s="1486">
        <f t="shared" ca="1" si="6"/>
        <v>8034.185742046935</v>
      </c>
      <c r="H61" s="1480">
        <f ca="1">IF(Assm!$L$74=0,VLOOKUP($A61,Curves_Table,Escalation!$D$291),VLOOKUP($A61,Curves_Table,Escalation!$E$291))</f>
        <v>2.289293064936603</v>
      </c>
      <c r="I61" s="384">
        <f t="shared" ca="1" si="7"/>
        <v>3509.4614425302616</v>
      </c>
      <c r="J61" s="692" t="str">
        <f t="shared" ca="1" si="0"/>
        <v xml:space="preserve"> </v>
      </c>
      <c r="L61" s="1484">
        <f ca="1">IF($A61&gt;Endyr,0,VLOOKUP($A61,Tariff_Table,Tariff!$H$33))</f>
        <v>6142.46</v>
      </c>
      <c r="M61" s="1480">
        <f t="shared" ca="1" si="8"/>
        <v>2.2521073401323695</v>
      </c>
      <c r="N61" s="1486">
        <f t="shared" ca="1" si="9"/>
        <v>13833.479252469475</v>
      </c>
      <c r="O61" s="330">
        <f t="shared" ca="1" si="10"/>
        <v>480</v>
      </c>
      <c r="P61" s="1486">
        <f t="shared" ca="1" si="11"/>
        <v>6640.0700411853486</v>
      </c>
      <c r="Q61" s="1480">
        <f t="shared" ca="1" si="12"/>
        <v>2.289293064936603</v>
      </c>
      <c r="R61" s="384">
        <f t="shared" ca="1" si="13"/>
        <v>2900.489300774268</v>
      </c>
      <c r="S61" s="692" t="str">
        <f t="shared" ca="1" si="1"/>
        <v xml:space="preserve"> </v>
      </c>
      <c r="U61" s="1484">
        <f ca="1">IF($A61&gt;Endyr,0,VLOOKUP($A61,Tariff_Table,Tariff!$I$33))</f>
        <v>2.31</v>
      </c>
      <c r="V61" s="1480">
        <f t="shared" ca="1" si="2"/>
        <v>2.2521073401323695</v>
      </c>
      <c r="W61" s="1486">
        <f t="shared" ca="1" si="14"/>
        <v>5.2023679557057738</v>
      </c>
      <c r="X61" s="334">
        <f ca="1">VLOOKUP($A61,Plant_Table,'Plant Operations'!$M$270)</f>
        <v>289336.32000000001</v>
      </c>
      <c r="Y61" s="1006">
        <f t="shared" ca="1" si="15"/>
        <v>1505.2339995898315</v>
      </c>
      <c r="Z61" s="1480">
        <f t="shared" ca="1" si="16"/>
        <v>2.289293064936603</v>
      </c>
      <c r="AA61" s="1480">
        <f t="shared" ca="1" si="3"/>
        <v>2.289293064936603</v>
      </c>
      <c r="AB61" s="333">
        <f t="shared" ca="1" si="17"/>
        <v>2.2724779257782979</v>
      </c>
      <c r="AC61" s="335">
        <f t="shared" ca="1" si="18"/>
        <v>657.51040032592573</v>
      </c>
      <c r="AD61" s="698" t="str">
        <f t="shared" ca="1" si="4"/>
        <v xml:space="preserve"> </v>
      </c>
    </row>
    <row r="62" spans="1:30">
      <c r="A62" s="672">
        <f>'Annex 12-Gas'!A62</f>
        <v>38473</v>
      </c>
      <c r="C62" s="1484">
        <f ca="1">IF($A62&gt;Endyr,0,VLOOKUP($A62,Tariff_Table,Tariff!$G$33))</f>
        <v>7420.61</v>
      </c>
      <c r="D62" s="1480">
        <f ca="1">VLOOKUP($A62,Curves_Table,Escalation!$AW$291)</f>
        <v>2.4285166077078193</v>
      </c>
      <c r="E62" s="1486">
        <f t="shared" ca="1" si="5"/>
        <v>18021.074624322719</v>
      </c>
      <c r="F62" s="330">
        <f ca="1">VLOOKUP($A62,Plant_Table,'Plant Operations'!$C$270)</f>
        <v>480</v>
      </c>
      <c r="G62" s="1486">
        <f t="shared" ca="1" si="6"/>
        <v>8650.1158196749057</v>
      </c>
      <c r="H62" s="1480">
        <f ca="1">IF(Assm!$L$74=0,VLOOKUP($A62,Curves_Table,Escalation!$D$291),VLOOKUP($A62,Curves_Table,Escalation!$E$291))</f>
        <v>2.2946509271681639</v>
      </c>
      <c r="I62" s="384">
        <f t="shared" ca="1" si="7"/>
        <v>3769.6870217859419</v>
      </c>
      <c r="J62" s="692" t="str">
        <f t="shared" ca="1" si="0"/>
        <v xml:space="preserve"> </v>
      </c>
      <c r="L62" s="1484">
        <f ca="1">IF($A62&gt;Endyr,0,VLOOKUP($A62,Tariff_Table,Tariff!$H$33))</f>
        <v>6104.93</v>
      </c>
      <c r="M62" s="1480">
        <f t="shared" ca="1" si="8"/>
        <v>2.4285166077078193</v>
      </c>
      <c r="N62" s="1486">
        <f t="shared" ca="1" si="9"/>
        <v>14825.923893893698</v>
      </c>
      <c r="O62" s="330">
        <f t="shared" ca="1" si="10"/>
        <v>480</v>
      </c>
      <c r="P62" s="1486">
        <f t="shared" ca="1" si="11"/>
        <v>7116.443469068975</v>
      </c>
      <c r="Q62" s="1480">
        <f t="shared" ca="1" si="12"/>
        <v>2.2946509271681639</v>
      </c>
      <c r="R62" s="384">
        <f t="shared" ca="1" si="13"/>
        <v>3101.3185425337879</v>
      </c>
      <c r="S62" s="692" t="str">
        <f t="shared" ca="1" si="1"/>
        <v xml:space="preserve"> </v>
      </c>
      <c r="U62" s="1484">
        <f ca="1">IF($A62&gt;Endyr,0,VLOOKUP($A62,Tariff_Table,Tariff!$I$33))</f>
        <v>2.2999999999999998</v>
      </c>
      <c r="V62" s="1480">
        <f t="shared" ca="1" si="2"/>
        <v>2.4285166077078193</v>
      </c>
      <c r="W62" s="1486">
        <f t="shared" ca="1" si="14"/>
        <v>5.5855881977279838</v>
      </c>
      <c r="X62" s="334">
        <f ca="1">VLOOKUP($A62,Plant_Table,'Plant Operations'!$M$270)</f>
        <v>298980.864</v>
      </c>
      <c r="Y62" s="1006">
        <f t="shared" ca="1" si="15"/>
        <v>1669.9839853049154</v>
      </c>
      <c r="Z62" s="1480">
        <f t="shared" ca="1" si="16"/>
        <v>2.2946509271681639</v>
      </c>
      <c r="AA62" s="1480">
        <f t="shared" ca="1" si="3"/>
        <v>2.2946509271681639</v>
      </c>
      <c r="AB62" s="333">
        <f t="shared" ca="1" si="17"/>
        <v>2.4341777355308576</v>
      </c>
      <c r="AC62" s="335">
        <f t="shared" ca="1" si="18"/>
        <v>727.7725624985793</v>
      </c>
      <c r="AD62" s="698" t="str">
        <f t="shared" ca="1" si="4"/>
        <v xml:space="preserve"> </v>
      </c>
    </row>
    <row r="63" spans="1:30">
      <c r="A63" s="672">
        <f>'Annex 12-Gas'!A63</f>
        <v>38504</v>
      </c>
      <c r="C63" s="1484">
        <f ca="1">IF($A63&gt;Endyr,0,VLOOKUP($A63,Tariff_Table,Tariff!$G$33))</f>
        <v>7420.61</v>
      </c>
      <c r="D63" s="1480">
        <f ca="1">VLOOKUP($A63,Curves_Table,Escalation!$AW$291)</f>
        <v>2.4285166077078193</v>
      </c>
      <c r="E63" s="1486">
        <f t="shared" ca="1" si="5"/>
        <v>18021.074624322719</v>
      </c>
      <c r="F63" s="330">
        <f ca="1">VLOOKUP($A63,Plant_Table,'Plant Operations'!$C$270)</f>
        <v>480</v>
      </c>
      <c r="G63" s="1486">
        <f t="shared" ca="1" si="6"/>
        <v>8650.1158196749057</v>
      </c>
      <c r="H63" s="1480">
        <f ca="1">IF(Assm!$L$74=0,VLOOKUP($A63,Curves_Table,Escalation!$D$291),VLOOKUP($A63,Curves_Table,Escalation!$E$291))</f>
        <v>2.3000213289422287</v>
      </c>
      <c r="I63" s="384">
        <f t="shared" ca="1" si="7"/>
        <v>3760.8850452065426</v>
      </c>
      <c r="J63" s="692" t="str">
        <f t="shared" ca="1" si="0"/>
        <v xml:space="preserve"> </v>
      </c>
      <c r="L63" s="1484">
        <f ca="1">IF($A63&gt;Endyr,0,VLOOKUP($A63,Tariff_Table,Tariff!$H$33))</f>
        <v>6104.93</v>
      </c>
      <c r="M63" s="1480">
        <f t="shared" ca="1" si="8"/>
        <v>2.4285166077078193</v>
      </c>
      <c r="N63" s="1486">
        <f t="shared" ca="1" si="9"/>
        <v>14825.923893893698</v>
      </c>
      <c r="O63" s="330">
        <f t="shared" ca="1" si="10"/>
        <v>480</v>
      </c>
      <c r="P63" s="1486">
        <f t="shared" ca="1" si="11"/>
        <v>7116.443469068975</v>
      </c>
      <c r="Q63" s="1480">
        <f t="shared" ca="1" si="12"/>
        <v>2.3000213289422287</v>
      </c>
      <c r="R63" s="384">
        <f t="shared" ca="1" si="13"/>
        <v>3094.0771633373511</v>
      </c>
      <c r="S63" s="692" t="str">
        <f t="shared" ca="1" si="1"/>
        <v xml:space="preserve"> </v>
      </c>
      <c r="U63" s="1484">
        <f ca="1">IF($A63&gt;Endyr,0,VLOOKUP($A63,Tariff_Table,Tariff!$I$33))</f>
        <v>2.2999999999999998</v>
      </c>
      <c r="V63" s="1480">
        <f t="shared" ca="1" si="2"/>
        <v>2.4285166077078193</v>
      </c>
      <c r="W63" s="1486">
        <f t="shared" ca="1" si="14"/>
        <v>5.5855881977279838</v>
      </c>
      <c r="X63" s="334">
        <f ca="1">VLOOKUP($A63,Plant_Table,'Plant Operations'!$M$270)</f>
        <v>289336.32000000001</v>
      </c>
      <c r="Y63" s="1006">
        <f t="shared" ca="1" si="15"/>
        <v>1616.1135341660472</v>
      </c>
      <c r="Z63" s="1480">
        <f t="shared" ca="1" si="16"/>
        <v>2.3000213289422287</v>
      </c>
      <c r="AA63" s="1480">
        <f t="shared" ca="1" si="3"/>
        <v>2.3000213289422287</v>
      </c>
      <c r="AB63" s="333">
        <f t="shared" ca="1" si="17"/>
        <v>2.4284940871816936</v>
      </c>
      <c r="AC63" s="335">
        <f t="shared" ca="1" si="18"/>
        <v>702.65154232691043</v>
      </c>
      <c r="AD63" s="698" t="str">
        <f t="shared" ca="1" si="4"/>
        <v xml:space="preserve"> </v>
      </c>
    </row>
    <row r="64" spans="1:30">
      <c r="A64" s="672">
        <f>'Annex 12-Gas'!A64</f>
        <v>38534</v>
      </c>
      <c r="C64" s="1484">
        <f ca="1">IF($A64&gt;Endyr,0,VLOOKUP($A64,Tariff_Table,Tariff!$G$33))</f>
        <v>7420.61</v>
      </c>
      <c r="D64" s="1480">
        <f ca="1">VLOOKUP($A64,Curves_Table,Escalation!$AW$291)</f>
        <v>2.4285166077078193</v>
      </c>
      <c r="E64" s="1486">
        <f t="shared" ca="1" si="5"/>
        <v>18021.074624322719</v>
      </c>
      <c r="F64" s="330">
        <f ca="1">VLOOKUP($A64,Plant_Table,'Plant Operations'!$C$270)</f>
        <v>480</v>
      </c>
      <c r="G64" s="1486">
        <f t="shared" ca="1" si="6"/>
        <v>8650.1158196749057</v>
      </c>
      <c r="H64" s="1480">
        <f ca="1">IF(Assm!$L$74=0,VLOOKUP($A64,Curves_Table,Escalation!$D$291),VLOOKUP($A64,Curves_Table,Escalation!$E$291))</f>
        <v>2.3054042996063471</v>
      </c>
      <c r="I64" s="384">
        <f t="shared" ca="1" si="7"/>
        <v>3752.1036206759622</v>
      </c>
      <c r="J64" s="692" t="str">
        <f t="shared" ca="1" si="0"/>
        <v xml:space="preserve"> </v>
      </c>
      <c r="L64" s="1484">
        <f ca="1">IF($A64&gt;Endyr,0,VLOOKUP($A64,Tariff_Table,Tariff!$H$33))</f>
        <v>6104.93</v>
      </c>
      <c r="M64" s="1480">
        <f t="shared" ca="1" si="8"/>
        <v>2.4285166077078193</v>
      </c>
      <c r="N64" s="1486">
        <f t="shared" ca="1" si="9"/>
        <v>14825.923893893698</v>
      </c>
      <c r="O64" s="330">
        <f t="shared" ca="1" si="10"/>
        <v>480</v>
      </c>
      <c r="P64" s="1486">
        <f t="shared" ca="1" si="11"/>
        <v>7116.443469068975</v>
      </c>
      <c r="Q64" s="1480">
        <f t="shared" ca="1" si="12"/>
        <v>2.3054042996063471</v>
      </c>
      <c r="R64" s="384">
        <f t="shared" ca="1" si="13"/>
        <v>3086.8526922952838</v>
      </c>
      <c r="S64" s="692" t="str">
        <f t="shared" ca="1" si="1"/>
        <v xml:space="preserve"> </v>
      </c>
      <c r="U64" s="1484">
        <f ca="1">IF($A64&gt;Endyr,0,VLOOKUP($A64,Tariff_Table,Tariff!$I$33))</f>
        <v>2.2999999999999998</v>
      </c>
      <c r="V64" s="1480">
        <f t="shared" ca="1" si="2"/>
        <v>2.4285166077078193</v>
      </c>
      <c r="W64" s="1486">
        <f t="shared" ca="1" si="14"/>
        <v>5.5855881977279838</v>
      </c>
      <c r="X64" s="334">
        <f ca="1">VLOOKUP($A64,Plant_Table,'Plant Operations'!$M$270)</f>
        <v>298980.864</v>
      </c>
      <c r="Y64" s="1006">
        <f t="shared" ca="1" si="15"/>
        <v>1669.9839853049154</v>
      </c>
      <c r="Z64" s="1480">
        <f t="shared" ca="1" si="16"/>
        <v>2.3054042996063471</v>
      </c>
      <c r="AA64" s="1480">
        <f t="shared" ca="1" si="3"/>
        <v>2.3054042996063471</v>
      </c>
      <c r="AB64" s="333">
        <f t="shared" ca="1" si="17"/>
        <v>2.4228237097856264</v>
      </c>
      <c r="AC64" s="335">
        <f t="shared" ca="1" si="18"/>
        <v>724.37792607139193</v>
      </c>
      <c r="AD64" s="698" t="str">
        <f t="shared" ca="1" si="4"/>
        <v xml:space="preserve"> </v>
      </c>
    </row>
    <row r="65" spans="1:30">
      <c r="A65" s="672">
        <f>'Annex 12-Gas'!A65</f>
        <v>38565</v>
      </c>
      <c r="C65" s="1484">
        <f ca="1">IF($A65&gt;Endyr,0,VLOOKUP($A65,Tariff_Table,Tariff!$G$33))</f>
        <v>7420.61</v>
      </c>
      <c r="D65" s="1480">
        <f ca="1">VLOOKUP($A65,Curves_Table,Escalation!$AW$291)</f>
        <v>2.4285166077078193</v>
      </c>
      <c r="E65" s="1486">
        <f t="shared" ca="1" si="5"/>
        <v>18021.074624322719</v>
      </c>
      <c r="F65" s="330">
        <f ca="1">VLOOKUP($A65,Plant_Table,'Plant Operations'!$C$270)</f>
        <v>480</v>
      </c>
      <c r="G65" s="1486">
        <f t="shared" ca="1" si="6"/>
        <v>8650.1158196749057</v>
      </c>
      <c r="H65" s="1480">
        <f ca="1">IF(Assm!$L$74=0,VLOOKUP($A65,Curves_Table,Escalation!$D$291),VLOOKUP($A65,Curves_Table,Escalation!$E$291))</f>
        <v>2.3107998685767535</v>
      </c>
      <c r="I65" s="384">
        <f t="shared" ca="1" si="7"/>
        <v>3743.3427002064896</v>
      </c>
      <c r="J65" s="692" t="str">
        <f t="shared" ca="1" si="0"/>
        <v xml:space="preserve"> </v>
      </c>
      <c r="L65" s="1484">
        <f ca="1">IF($A65&gt;Endyr,0,VLOOKUP($A65,Tariff_Table,Tariff!$H$33))</f>
        <v>6104.93</v>
      </c>
      <c r="M65" s="1480">
        <f t="shared" ca="1" si="8"/>
        <v>2.4285166077078193</v>
      </c>
      <c r="N65" s="1486">
        <f t="shared" ca="1" si="9"/>
        <v>14825.923893893698</v>
      </c>
      <c r="O65" s="330">
        <f t="shared" ca="1" si="10"/>
        <v>480</v>
      </c>
      <c r="P65" s="1486">
        <f t="shared" ca="1" si="11"/>
        <v>7116.443469068975</v>
      </c>
      <c r="Q65" s="1480">
        <f t="shared" ca="1" si="12"/>
        <v>2.3107998685767535</v>
      </c>
      <c r="R65" s="384">
        <f t="shared" ca="1" si="13"/>
        <v>3079.6450899281335</v>
      </c>
      <c r="S65" s="692" t="str">
        <f t="shared" ca="1" si="1"/>
        <v xml:space="preserve"> </v>
      </c>
      <c r="U65" s="1484">
        <f ca="1">IF($A65&gt;Endyr,0,VLOOKUP($A65,Tariff_Table,Tariff!$I$33))</f>
        <v>2.2999999999999998</v>
      </c>
      <c r="V65" s="1480">
        <f t="shared" ca="1" si="2"/>
        <v>2.4285166077078193</v>
      </c>
      <c r="W65" s="1486">
        <f t="shared" ca="1" si="14"/>
        <v>5.5855881977279838</v>
      </c>
      <c r="X65" s="334">
        <f ca="1">VLOOKUP($A65,Plant_Table,'Plant Operations'!$M$270)</f>
        <v>298980.864</v>
      </c>
      <c r="Y65" s="1006">
        <f t="shared" ca="1" si="15"/>
        <v>1669.9839853049154</v>
      </c>
      <c r="Z65" s="1480">
        <f t="shared" ca="1" si="16"/>
        <v>2.3107998685767535</v>
      </c>
      <c r="AA65" s="1480">
        <f t="shared" ca="1" si="3"/>
        <v>2.3107998685767535</v>
      </c>
      <c r="AB65" s="333">
        <f t="shared" ca="1" si="17"/>
        <v>2.4171665723558342</v>
      </c>
      <c r="AC65" s="335">
        <f t="shared" ca="1" si="18"/>
        <v>722.68655023486588</v>
      </c>
      <c r="AD65" s="698" t="str">
        <f t="shared" ca="1" si="4"/>
        <v xml:space="preserve"> </v>
      </c>
    </row>
    <row r="66" spans="1:30">
      <c r="A66" s="672">
        <f>'Annex 12-Gas'!A66</f>
        <v>38596</v>
      </c>
      <c r="C66" s="1484">
        <f ca="1">IF($A66&gt;Endyr,0,VLOOKUP($A66,Tariff_Table,Tariff!$G$33))</f>
        <v>7420.61</v>
      </c>
      <c r="D66" s="1480">
        <f ca="1">VLOOKUP($A66,Curves_Table,Escalation!$AW$291)</f>
        <v>2.4285166077078193</v>
      </c>
      <c r="E66" s="1486">
        <f t="shared" ca="1" si="5"/>
        <v>18021.074624322719</v>
      </c>
      <c r="F66" s="330">
        <f ca="1">VLOOKUP($A66,Plant_Table,'Plant Operations'!$C$270)</f>
        <v>480</v>
      </c>
      <c r="G66" s="1486">
        <f t="shared" ca="1" si="6"/>
        <v>8650.1158196749057</v>
      </c>
      <c r="H66" s="1480">
        <f ca="1">IF(Assm!$L$74=0,VLOOKUP($A66,Curves_Table,Escalation!$D$291),VLOOKUP($A66,Curves_Table,Escalation!$E$291))</f>
        <v>2.316208065338528</v>
      </c>
      <c r="I66" s="384">
        <f t="shared" ca="1" si="7"/>
        <v>3734.6022359224617</v>
      </c>
      <c r="J66" s="692" t="str">
        <f t="shared" ca="1" si="0"/>
        <v xml:space="preserve"> </v>
      </c>
      <c r="L66" s="1484">
        <f ca="1">IF($A66&gt;Endyr,0,VLOOKUP($A66,Tariff_Table,Tariff!$H$33))</f>
        <v>6104.93</v>
      </c>
      <c r="M66" s="1480">
        <f t="shared" ca="1" si="8"/>
        <v>2.4285166077078193</v>
      </c>
      <c r="N66" s="1486">
        <f t="shared" ca="1" si="9"/>
        <v>14825.923893893698</v>
      </c>
      <c r="O66" s="330">
        <f t="shared" ca="1" si="10"/>
        <v>480</v>
      </c>
      <c r="P66" s="1486">
        <f t="shared" ca="1" si="11"/>
        <v>7116.443469068975</v>
      </c>
      <c r="Q66" s="1480">
        <f t="shared" ca="1" si="12"/>
        <v>2.316208065338528</v>
      </c>
      <c r="R66" s="384">
        <f t="shared" ca="1" si="13"/>
        <v>3072.4543168486307</v>
      </c>
      <c r="S66" s="692" t="str">
        <f t="shared" ca="1" si="1"/>
        <v xml:space="preserve"> </v>
      </c>
      <c r="U66" s="1484">
        <f ca="1">IF($A66&gt;Endyr,0,VLOOKUP($A66,Tariff_Table,Tariff!$I$33))</f>
        <v>2.2999999999999998</v>
      </c>
      <c r="V66" s="1480">
        <f t="shared" ca="1" si="2"/>
        <v>2.4285166077078193</v>
      </c>
      <c r="W66" s="1486">
        <f t="shared" ca="1" si="14"/>
        <v>5.5855881977279838</v>
      </c>
      <c r="X66" s="334">
        <f ca="1">VLOOKUP($A66,Plant_Table,'Plant Operations'!$M$270)</f>
        <v>289336.32000000001</v>
      </c>
      <c r="Y66" s="1006">
        <f t="shared" ca="1" si="15"/>
        <v>1616.1135341660472</v>
      </c>
      <c r="Z66" s="1480">
        <f t="shared" ca="1" si="16"/>
        <v>2.316208065338528</v>
      </c>
      <c r="AA66" s="1480">
        <f t="shared" ca="1" si="3"/>
        <v>2.316208065338528</v>
      </c>
      <c r="AB66" s="333">
        <f t="shared" ca="1" si="17"/>
        <v>2.4115226439778481</v>
      </c>
      <c r="AC66" s="335">
        <f t="shared" ca="1" si="18"/>
        <v>697.74108740522081</v>
      </c>
      <c r="AD66" s="698" t="str">
        <f t="shared" ca="1" si="4"/>
        <v xml:space="preserve"> </v>
      </c>
    </row>
    <row r="67" spans="1:30">
      <c r="A67" s="672">
        <f>'Annex 12-Gas'!A67</f>
        <v>38626</v>
      </c>
      <c r="C67" s="1484">
        <f ca="1">IF($A67&gt;Endyr,0,VLOOKUP($A67,Tariff_Table,Tariff!$G$33))</f>
        <v>7420.61</v>
      </c>
      <c r="D67" s="1480">
        <f ca="1">VLOOKUP($A67,Curves_Table,Escalation!$AW$291)</f>
        <v>2.4285166077078193</v>
      </c>
      <c r="E67" s="1486">
        <f t="shared" ca="1" si="5"/>
        <v>18021.074624322719</v>
      </c>
      <c r="F67" s="330">
        <f ca="1">VLOOKUP($A67,Plant_Table,'Plant Operations'!$C$270)</f>
        <v>480</v>
      </c>
      <c r="G67" s="1486">
        <f t="shared" ca="1" si="6"/>
        <v>8650.1158196749057</v>
      </c>
      <c r="H67" s="1480">
        <f ca="1">IF(Assm!$L$74=0,VLOOKUP($A67,Curves_Table,Escalation!$D$291),VLOOKUP($A67,Curves_Table,Escalation!$E$291))</f>
        <v>2.3216289194457573</v>
      </c>
      <c r="I67" s="384">
        <f t="shared" ca="1" si="7"/>
        <v>3725.8821800600022</v>
      </c>
      <c r="J67" s="692" t="str">
        <f t="shared" ca="1" si="0"/>
        <v xml:space="preserve"> </v>
      </c>
      <c r="L67" s="1484">
        <f ca="1">IF($A67&gt;Endyr,0,VLOOKUP($A67,Tariff_Table,Tariff!$H$33))</f>
        <v>6104.93</v>
      </c>
      <c r="M67" s="1480">
        <f t="shared" ca="1" si="8"/>
        <v>2.4285166077078193</v>
      </c>
      <c r="N67" s="1486">
        <f t="shared" ca="1" si="9"/>
        <v>14825.923893893698</v>
      </c>
      <c r="O67" s="330">
        <f t="shared" ca="1" si="10"/>
        <v>480</v>
      </c>
      <c r="P67" s="1486">
        <f t="shared" ca="1" si="11"/>
        <v>7116.443469068975</v>
      </c>
      <c r="Q67" s="1480">
        <f t="shared" ca="1" si="12"/>
        <v>2.3216289194457573</v>
      </c>
      <c r="R67" s="384">
        <f t="shared" ca="1" si="13"/>
        <v>3065.2803337614714</v>
      </c>
      <c r="S67" s="692" t="str">
        <f t="shared" ca="1" si="1"/>
        <v xml:space="preserve"> </v>
      </c>
      <c r="U67" s="1484">
        <f ca="1">IF($A67&gt;Endyr,0,VLOOKUP($A67,Tariff_Table,Tariff!$I$33))</f>
        <v>2.2999999999999998</v>
      </c>
      <c r="V67" s="1480">
        <f t="shared" ca="1" si="2"/>
        <v>2.4285166077078193</v>
      </c>
      <c r="W67" s="1486">
        <f t="shared" ca="1" si="14"/>
        <v>5.5855881977279838</v>
      </c>
      <c r="X67" s="334">
        <f ca="1">VLOOKUP($A67,Plant_Table,'Plant Operations'!$M$270)</f>
        <v>298980.864</v>
      </c>
      <c r="Y67" s="1006">
        <f t="shared" ca="1" si="15"/>
        <v>1669.9839853049154</v>
      </c>
      <c r="Z67" s="1480">
        <f t="shared" ca="1" si="16"/>
        <v>2.3216289194457573</v>
      </c>
      <c r="AA67" s="1480">
        <f t="shared" ca="1" si="3"/>
        <v>2.3216289194457573</v>
      </c>
      <c r="AB67" s="333">
        <f t="shared" ca="1" si="17"/>
        <v>2.4058918938093825</v>
      </c>
      <c r="AC67" s="335">
        <f t="shared" ca="1" si="18"/>
        <v>719.31563710172543</v>
      </c>
      <c r="AD67" s="698" t="str">
        <f t="shared" ca="1" si="4"/>
        <v xml:space="preserve"> </v>
      </c>
    </row>
    <row r="68" spans="1:30">
      <c r="A68" s="672">
        <f>'Annex 12-Gas'!A68</f>
        <v>38657</v>
      </c>
      <c r="C68" s="1484">
        <f ca="1">IF($A68&gt;Endyr,0,VLOOKUP($A68,Tariff_Table,Tariff!$G$33))</f>
        <v>7420.61</v>
      </c>
      <c r="D68" s="1480">
        <f ca="1">VLOOKUP($A68,Curves_Table,Escalation!$AW$291)</f>
        <v>2.4285166077078193</v>
      </c>
      <c r="E68" s="1486">
        <f t="shared" ca="1" si="5"/>
        <v>18021.074624322719</v>
      </c>
      <c r="F68" s="330">
        <f ca="1">VLOOKUP($A68,Plant_Table,'Plant Operations'!$C$270)</f>
        <v>480</v>
      </c>
      <c r="G68" s="1486">
        <f t="shared" ca="1" si="6"/>
        <v>8650.1158196749057</v>
      </c>
      <c r="H68" s="1480">
        <f ca="1">IF(Assm!$L$74=0,VLOOKUP($A68,Curves_Table,Escalation!$D$291),VLOOKUP($A68,Curves_Table,Escalation!$E$291))</f>
        <v>2.3270624605216974</v>
      </c>
      <c r="I68" s="384">
        <f t="shared" ca="1" si="7"/>
        <v>3717.1824849667601</v>
      </c>
      <c r="J68" s="692" t="str">
        <f t="shared" ca="1" si="0"/>
        <v xml:space="preserve"> </v>
      </c>
      <c r="L68" s="1484">
        <f ca="1">IF($A68&gt;Endyr,0,VLOOKUP($A68,Tariff_Table,Tariff!$H$33))</f>
        <v>6104.93</v>
      </c>
      <c r="M68" s="1480">
        <f t="shared" ca="1" si="8"/>
        <v>2.4285166077078193</v>
      </c>
      <c r="N68" s="1486">
        <f t="shared" ca="1" si="9"/>
        <v>14825.923893893698</v>
      </c>
      <c r="O68" s="330">
        <f t="shared" ca="1" si="10"/>
        <v>480</v>
      </c>
      <c r="P68" s="1486">
        <f t="shared" ca="1" si="11"/>
        <v>7116.443469068975</v>
      </c>
      <c r="Q68" s="1480">
        <f t="shared" ca="1" si="12"/>
        <v>2.3270624605216974</v>
      </c>
      <c r="R68" s="384">
        <f t="shared" ca="1" si="13"/>
        <v>3058.1231014631039</v>
      </c>
      <c r="S68" s="692" t="str">
        <f t="shared" ca="1" si="1"/>
        <v xml:space="preserve"> </v>
      </c>
      <c r="U68" s="1484">
        <f ca="1">IF($A68&gt;Endyr,0,VLOOKUP($A68,Tariff_Table,Tariff!$I$33))</f>
        <v>2.2999999999999998</v>
      </c>
      <c r="V68" s="1480">
        <f t="shared" ca="1" si="2"/>
        <v>2.4285166077078193</v>
      </c>
      <c r="W68" s="1486">
        <f t="shared" ca="1" si="14"/>
        <v>5.5855881977279838</v>
      </c>
      <c r="X68" s="334">
        <f ca="1">VLOOKUP($A68,Plant_Table,'Plant Operations'!$M$270)</f>
        <v>289336.32000000001</v>
      </c>
      <c r="Y68" s="1006">
        <f t="shared" ca="1" si="15"/>
        <v>1616.1135341660472</v>
      </c>
      <c r="Z68" s="1480">
        <f t="shared" ca="1" si="16"/>
        <v>2.3270624605216974</v>
      </c>
      <c r="AA68" s="1480">
        <f t="shared" ca="1" si="3"/>
        <v>2.3270624605216974</v>
      </c>
      <c r="AB68" s="333">
        <f t="shared" ca="1" si="17"/>
        <v>2.4002742910801658</v>
      </c>
      <c r="AC68" s="335">
        <f t="shared" ca="1" si="18"/>
        <v>694.48653037174404</v>
      </c>
      <c r="AD68" s="698" t="str">
        <f t="shared" ca="1" si="4"/>
        <v xml:space="preserve"> </v>
      </c>
    </row>
    <row r="69" spans="1:30">
      <c r="A69" s="672">
        <f>'Annex 12-Gas'!A69</f>
        <v>38687</v>
      </c>
      <c r="C69" s="1484">
        <f ca="1">IF($A69&gt;Endyr,0,VLOOKUP($A69,Tariff_Table,Tariff!$G$33))</f>
        <v>7420.61</v>
      </c>
      <c r="D69" s="1480">
        <f ca="1">VLOOKUP($A69,Curves_Table,Escalation!$AW$291)</f>
        <v>2.4285166077078193</v>
      </c>
      <c r="E69" s="1486">
        <f t="shared" ca="1" si="5"/>
        <v>18021.074624322719</v>
      </c>
      <c r="F69" s="330">
        <f ca="1">VLOOKUP($A69,Plant_Table,'Plant Operations'!$C$270)</f>
        <v>480</v>
      </c>
      <c r="G69" s="1486">
        <f t="shared" ca="1" si="6"/>
        <v>8650.1158196749057</v>
      </c>
      <c r="H69" s="1480">
        <f ca="1">IF(Assm!$L$74=0,VLOOKUP($A69,Curves_Table,Escalation!$D$291),VLOOKUP($A69,Curves_Table,Escalation!$E$291))</f>
        <v>2.3325087182589361</v>
      </c>
      <c r="I69" s="384">
        <f t="shared" ca="1" si="7"/>
        <v>3708.5031031016451</v>
      </c>
      <c r="J69" s="692">
        <f t="shared" ca="1" si="0"/>
        <v>43999.392367156011</v>
      </c>
      <c r="L69" s="1484">
        <f ca="1">IF($A69&gt;Endyr,0,VLOOKUP($A69,Tariff_Table,Tariff!$H$33))</f>
        <v>6104.93</v>
      </c>
      <c r="M69" s="1480">
        <f t="shared" ca="1" si="8"/>
        <v>2.4285166077078193</v>
      </c>
      <c r="N69" s="1486">
        <f t="shared" ca="1" si="9"/>
        <v>14825.923893893698</v>
      </c>
      <c r="O69" s="330">
        <f t="shared" ca="1" si="10"/>
        <v>480</v>
      </c>
      <c r="P69" s="1486">
        <f t="shared" ca="1" si="11"/>
        <v>7116.443469068975</v>
      </c>
      <c r="Q69" s="1480">
        <f t="shared" ca="1" si="12"/>
        <v>2.3325087182589361</v>
      </c>
      <c r="R69" s="384">
        <f t="shared" ca="1" si="13"/>
        <v>3050.9825808415117</v>
      </c>
      <c r="S69" s="692">
        <f t="shared" ca="1" si="1"/>
        <v>36251.484447305011</v>
      </c>
      <c r="U69" s="1484">
        <f ca="1">IF($A69&gt;Endyr,0,VLOOKUP($A69,Tariff_Table,Tariff!$I$33))</f>
        <v>2.2999999999999998</v>
      </c>
      <c r="V69" s="1480">
        <f t="shared" ca="1" si="2"/>
        <v>2.4285166077078193</v>
      </c>
      <c r="W69" s="1486">
        <f t="shared" ca="1" si="14"/>
        <v>5.5855881977279838</v>
      </c>
      <c r="X69" s="334">
        <f ca="1">VLOOKUP($A69,Plant_Table,'Plant Operations'!$M$270)</f>
        <v>298980.864</v>
      </c>
      <c r="Y69" s="1006">
        <f t="shared" ca="1" si="15"/>
        <v>1669.9839853049154</v>
      </c>
      <c r="Z69" s="1480">
        <f t="shared" ca="1" si="16"/>
        <v>2.3325087182589361</v>
      </c>
      <c r="AA69" s="1480">
        <f t="shared" ca="1" si="3"/>
        <v>2.3325087182589361</v>
      </c>
      <c r="AB69" s="333">
        <f t="shared" ca="1" si="17"/>
        <v>2.3946698050917714</v>
      </c>
      <c r="AC69" s="335">
        <f t="shared" ca="1" si="18"/>
        <v>715.9604473210494</v>
      </c>
      <c r="AD69" s="698">
        <f t="shared" ca="1" si="4"/>
        <v>8344.2814447034652</v>
      </c>
    </row>
    <row r="70" spans="1:30">
      <c r="A70" s="672">
        <f>'Annex 12-Gas'!A70</f>
        <v>38718</v>
      </c>
      <c r="C70" s="1484">
        <f ca="1">IF($A70&gt;Endyr,0,VLOOKUP($A70,Tariff_Table,Tariff!$G$33))</f>
        <v>7420.61</v>
      </c>
      <c r="D70" s="1480">
        <f ca="1">VLOOKUP($A70,Curves_Table,Escalation!$AW$291)</f>
        <v>2.4285166077078193</v>
      </c>
      <c r="E70" s="1486">
        <f t="shared" ca="1" si="5"/>
        <v>18021.074624322719</v>
      </c>
      <c r="F70" s="330">
        <f ca="1">VLOOKUP($A70,Plant_Table,'Plant Operations'!$C$270)</f>
        <v>480</v>
      </c>
      <c r="G70" s="1486">
        <f t="shared" ca="1" si="6"/>
        <v>8650.1158196749057</v>
      </c>
      <c r="H70" s="1480">
        <f ca="1">IF(Assm!$L$74=0,VLOOKUP($A70,Curves_Table,Escalation!$D$291),VLOOKUP($A70,Curves_Table,Escalation!$E$291))</f>
        <v>2.3378826174225127</v>
      </c>
      <c r="I70" s="384">
        <f t="shared" ca="1" si="7"/>
        <v>3699.9786709614846</v>
      </c>
      <c r="J70" s="692" t="str">
        <f t="shared" ca="1" si="0"/>
        <v xml:space="preserve"> </v>
      </c>
      <c r="L70" s="1484">
        <f ca="1">IF($A70&gt;Endyr,0,VLOOKUP($A70,Tariff_Table,Tariff!$H$33))</f>
        <v>6104.93</v>
      </c>
      <c r="M70" s="1480">
        <f t="shared" ca="1" si="8"/>
        <v>2.4285166077078193</v>
      </c>
      <c r="N70" s="1486">
        <f t="shared" ca="1" si="9"/>
        <v>14825.923893893698</v>
      </c>
      <c r="O70" s="330">
        <f t="shared" ca="1" si="10"/>
        <v>480</v>
      </c>
      <c r="P70" s="1486">
        <f t="shared" ca="1" si="11"/>
        <v>7116.443469068975</v>
      </c>
      <c r="Q70" s="1480">
        <f t="shared" ca="1" si="12"/>
        <v>2.3378826174225127</v>
      </c>
      <c r="R70" s="384">
        <f t="shared" ca="1" si="13"/>
        <v>3043.9695372365477</v>
      </c>
      <c r="S70" s="692" t="str">
        <f t="shared" ca="1" si="1"/>
        <v xml:space="preserve"> </v>
      </c>
      <c r="U70" s="1484">
        <f ca="1">IF($A70&gt;Endyr,0,VLOOKUP($A70,Tariff_Table,Tariff!$I$33))</f>
        <v>2.2999999999999998</v>
      </c>
      <c r="V70" s="1480">
        <f t="shared" ca="1" si="2"/>
        <v>2.4285166077078193</v>
      </c>
      <c r="W70" s="1486">
        <f t="shared" ca="1" si="14"/>
        <v>5.5855881977279838</v>
      </c>
      <c r="X70" s="334">
        <f ca="1">VLOOKUP($A70,Plant_Table,'Plant Operations'!$M$270)</f>
        <v>298980.864</v>
      </c>
      <c r="Y70" s="1006">
        <f t="shared" ca="1" si="15"/>
        <v>1669.9839853049154</v>
      </c>
      <c r="Z70" s="1480">
        <f t="shared" ca="1" si="16"/>
        <v>2.3378826174225127</v>
      </c>
      <c r="AA70" s="1480">
        <f t="shared" ca="1" si="3"/>
        <v>2.3378826174225127</v>
      </c>
      <c r="AB70" s="333">
        <f t="shared" ca="1" si="17"/>
        <v>2.3891653738740857</v>
      </c>
      <c r="AC70" s="335">
        <f t="shared" ca="1" si="18"/>
        <v>714.31472771975723</v>
      </c>
      <c r="AD70" s="698" t="str">
        <f t="shared" ca="1" si="4"/>
        <v xml:space="preserve"> </v>
      </c>
    </row>
    <row r="71" spans="1:30">
      <c r="A71" s="672">
        <f>'Annex 12-Gas'!A71</f>
        <v>38749</v>
      </c>
      <c r="C71" s="1484">
        <f ca="1">IF($A71&gt;Endyr,0,VLOOKUP($A71,Tariff_Table,Tariff!$G$33))</f>
        <v>7420.61</v>
      </c>
      <c r="D71" s="1480">
        <f ca="1">VLOOKUP($A71,Curves_Table,Escalation!$AW$291)</f>
        <v>2.4285166077078193</v>
      </c>
      <c r="E71" s="1486">
        <f t="shared" ca="1" si="5"/>
        <v>18021.074624322719</v>
      </c>
      <c r="F71" s="330">
        <f ca="1">VLOOKUP($A71,Plant_Table,'Plant Operations'!$C$270)</f>
        <v>480</v>
      </c>
      <c r="G71" s="1486">
        <f t="shared" ca="1" si="6"/>
        <v>8650.1158196749057</v>
      </c>
      <c r="H71" s="1480">
        <f ca="1">IF(Assm!$L$74=0,VLOOKUP($A71,Curves_Table,Escalation!$D$291),VLOOKUP($A71,Curves_Table,Escalation!$E$291))</f>
        <v>2.3432688975868521</v>
      </c>
      <c r="I71" s="384">
        <f t="shared" ca="1" si="7"/>
        <v>3691.4738332348361</v>
      </c>
      <c r="J71" s="692" t="str">
        <f t="shared" ca="1" si="0"/>
        <v xml:space="preserve"> </v>
      </c>
      <c r="L71" s="1484">
        <f ca="1">IF($A71&gt;Endyr,0,VLOOKUP($A71,Tariff_Table,Tariff!$H$33))</f>
        <v>6104.93</v>
      </c>
      <c r="M71" s="1480">
        <f t="shared" ca="1" si="8"/>
        <v>2.4285166077078193</v>
      </c>
      <c r="N71" s="1486">
        <f t="shared" ca="1" si="9"/>
        <v>14825.923893893698</v>
      </c>
      <c r="O71" s="330">
        <f t="shared" ca="1" si="10"/>
        <v>480</v>
      </c>
      <c r="P71" s="1486">
        <f t="shared" ca="1" si="11"/>
        <v>7116.443469068975</v>
      </c>
      <c r="Q71" s="1480">
        <f t="shared" ca="1" si="12"/>
        <v>2.3432688975868521</v>
      </c>
      <c r="R71" s="384">
        <f t="shared" ca="1" si="13"/>
        <v>3036.9726139401409</v>
      </c>
      <c r="S71" s="692" t="str">
        <f t="shared" ca="1" si="1"/>
        <v xml:space="preserve"> </v>
      </c>
      <c r="U71" s="1484">
        <f ca="1">IF($A71&gt;Endyr,0,VLOOKUP($A71,Tariff_Table,Tariff!$I$33))</f>
        <v>2.2999999999999998</v>
      </c>
      <c r="V71" s="1480">
        <f t="shared" ca="1" si="2"/>
        <v>2.4285166077078193</v>
      </c>
      <c r="W71" s="1486">
        <f t="shared" ca="1" si="14"/>
        <v>5.5855881977279838</v>
      </c>
      <c r="X71" s="334">
        <f ca="1">VLOOKUP($A71,Plant_Table,'Plant Operations'!$M$270)</f>
        <v>270047.23200000002</v>
      </c>
      <c r="Y71" s="1006">
        <f t="shared" ca="1" si="15"/>
        <v>1508.3726318883109</v>
      </c>
      <c r="Z71" s="1480">
        <f t="shared" ca="1" si="16"/>
        <v>2.3432688975868521</v>
      </c>
      <c r="AA71" s="1480">
        <f t="shared" ca="1" si="3"/>
        <v>2.3432688975868521</v>
      </c>
      <c r="AB71" s="333">
        <f t="shared" ca="1" si="17"/>
        <v>2.383673595241306</v>
      </c>
      <c r="AC71" s="335">
        <f t="shared" ca="1" si="18"/>
        <v>643.70445638640319</v>
      </c>
      <c r="AD71" s="698" t="str">
        <f t="shared" ca="1" si="4"/>
        <v xml:space="preserve"> </v>
      </c>
    </row>
    <row r="72" spans="1:30">
      <c r="A72" s="672">
        <f>'Annex 12-Gas'!A72</f>
        <v>38777</v>
      </c>
      <c r="C72" s="1484">
        <f ca="1">IF($A72&gt;Endyr,0,VLOOKUP($A72,Tariff_Table,Tariff!$G$33))</f>
        <v>7420.61</v>
      </c>
      <c r="D72" s="1480">
        <f ca="1">VLOOKUP($A72,Curves_Table,Escalation!$AW$291)</f>
        <v>2.4285166077078193</v>
      </c>
      <c r="E72" s="1486">
        <f t="shared" ca="1" si="5"/>
        <v>18021.074624322719</v>
      </c>
      <c r="F72" s="330">
        <f ca="1">VLOOKUP($A72,Plant_Table,'Plant Operations'!$C$270)</f>
        <v>480</v>
      </c>
      <c r="G72" s="1486">
        <f t="shared" ca="1" si="6"/>
        <v>8650.1158196749057</v>
      </c>
      <c r="H72" s="1480">
        <f ca="1">IF(Assm!$L$74=0,VLOOKUP($A72,Curves_Table,Escalation!$D$291),VLOOKUP($A72,Curves_Table,Escalation!$E$291))</f>
        <v>2.3486675872767138</v>
      </c>
      <c r="I72" s="384">
        <f t="shared" ca="1" si="7"/>
        <v>3682.9885448816271</v>
      </c>
      <c r="J72" s="692" t="str">
        <f t="shared" ca="1" si="0"/>
        <v xml:space="preserve"> </v>
      </c>
      <c r="L72" s="1484">
        <f ca="1">IF($A72&gt;Endyr,0,VLOOKUP($A72,Tariff_Table,Tariff!$H$33))</f>
        <v>6104.93</v>
      </c>
      <c r="M72" s="1480">
        <f t="shared" ca="1" si="8"/>
        <v>2.4285166077078193</v>
      </c>
      <c r="N72" s="1486">
        <f t="shared" ca="1" si="9"/>
        <v>14825.923893893698</v>
      </c>
      <c r="O72" s="330">
        <f t="shared" ca="1" si="10"/>
        <v>480</v>
      </c>
      <c r="P72" s="1486">
        <f t="shared" ca="1" si="11"/>
        <v>7116.443469068975</v>
      </c>
      <c r="Q72" s="1480">
        <f t="shared" ca="1" si="12"/>
        <v>2.3486675872767138</v>
      </c>
      <c r="R72" s="384">
        <f t="shared" ca="1" si="13"/>
        <v>3029.9917738978593</v>
      </c>
      <c r="S72" s="692" t="str">
        <f t="shared" ca="1" si="1"/>
        <v xml:space="preserve"> </v>
      </c>
      <c r="U72" s="1484">
        <f ca="1">IF($A72&gt;Endyr,0,VLOOKUP($A72,Tariff_Table,Tariff!$I$33))</f>
        <v>2.2999999999999998</v>
      </c>
      <c r="V72" s="1480">
        <f t="shared" ca="1" si="2"/>
        <v>2.4285166077078193</v>
      </c>
      <c r="W72" s="1486">
        <f t="shared" ca="1" si="14"/>
        <v>5.5855881977279838</v>
      </c>
      <c r="X72" s="334">
        <f ca="1">VLOOKUP($A72,Plant_Table,'Plant Operations'!$M$270)</f>
        <v>298980.864</v>
      </c>
      <c r="Y72" s="1006">
        <f t="shared" ca="1" si="15"/>
        <v>1669.9839853049154</v>
      </c>
      <c r="Z72" s="1480">
        <f t="shared" ca="1" si="16"/>
        <v>2.3486675872767138</v>
      </c>
      <c r="AA72" s="1480">
        <f t="shared" ca="1" si="3"/>
        <v>2.3486675872767138</v>
      </c>
      <c r="AB72" s="333">
        <f t="shared" ca="1" si="17"/>
        <v>2.3781944401099722</v>
      </c>
      <c r="AC72" s="335">
        <f t="shared" ca="1" si="18"/>
        <v>711.03462846407581</v>
      </c>
      <c r="AD72" s="698" t="str">
        <f t="shared" ca="1" si="4"/>
        <v xml:space="preserve"> </v>
      </c>
    </row>
    <row r="73" spans="1:30">
      <c r="A73" s="672">
        <f>'Annex 12-Gas'!A73</f>
        <v>38808</v>
      </c>
      <c r="C73" s="1484">
        <f ca="1">IF($A73&gt;Endyr,0,VLOOKUP($A73,Tariff_Table,Tariff!$G$33))</f>
        <v>7420.61</v>
      </c>
      <c r="D73" s="1480">
        <f ca="1">VLOOKUP($A73,Curves_Table,Escalation!$AW$291)</f>
        <v>2.4285166077078193</v>
      </c>
      <c r="E73" s="1486">
        <f t="shared" ca="1" si="5"/>
        <v>18021.074624322719</v>
      </c>
      <c r="F73" s="330">
        <f ca="1">VLOOKUP($A73,Plant_Table,'Plant Operations'!$C$270)</f>
        <v>480</v>
      </c>
      <c r="G73" s="1486">
        <f t="shared" ca="1" si="6"/>
        <v>8650.1158196749057</v>
      </c>
      <c r="H73" s="1480">
        <f ca="1">IF(Assm!$L$74=0,VLOOKUP($A73,Curves_Table,Escalation!$D$291),VLOOKUP($A73,Curves_Table,Escalation!$E$291))</f>
        <v>2.3540787150825753</v>
      </c>
      <c r="I73" s="384">
        <f t="shared" ca="1" si="7"/>
        <v>3674.5227609653152</v>
      </c>
      <c r="J73" s="692" t="str">
        <f t="shared" ca="1" si="0"/>
        <v xml:space="preserve"> </v>
      </c>
      <c r="L73" s="1484">
        <f ca="1">IF($A73&gt;Endyr,0,VLOOKUP($A73,Tariff_Table,Tariff!$H$33))</f>
        <v>6104.93</v>
      </c>
      <c r="M73" s="1480">
        <f t="shared" ca="1" si="8"/>
        <v>2.4285166077078193</v>
      </c>
      <c r="N73" s="1486">
        <f t="shared" ca="1" si="9"/>
        <v>14825.923893893698</v>
      </c>
      <c r="O73" s="330">
        <f t="shared" ca="1" si="10"/>
        <v>480</v>
      </c>
      <c r="P73" s="1486">
        <f t="shared" ca="1" si="11"/>
        <v>7116.443469068975</v>
      </c>
      <c r="Q73" s="1480">
        <f t="shared" ca="1" si="12"/>
        <v>2.3540787150825753</v>
      </c>
      <c r="R73" s="384">
        <f t="shared" ca="1" si="13"/>
        <v>3023.0269801404443</v>
      </c>
      <c r="S73" s="692" t="str">
        <f t="shared" ca="1" si="1"/>
        <v xml:space="preserve"> </v>
      </c>
      <c r="U73" s="1484">
        <f ca="1">IF($A73&gt;Endyr,0,VLOOKUP($A73,Tariff_Table,Tariff!$I$33))</f>
        <v>2.2999999999999998</v>
      </c>
      <c r="V73" s="1480">
        <f t="shared" ca="1" si="2"/>
        <v>2.4285166077078193</v>
      </c>
      <c r="W73" s="1486">
        <f t="shared" ca="1" si="14"/>
        <v>5.5855881977279838</v>
      </c>
      <c r="X73" s="334">
        <f ca="1">VLOOKUP($A73,Plant_Table,'Plant Operations'!$M$270)</f>
        <v>289336.32000000001</v>
      </c>
      <c r="Y73" s="1006">
        <f t="shared" ca="1" si="15"/>
        <v>1616.1135341660472</v>
      </c>
      <c r="Z73" s="1480">
        <f t="shared" ca="1" si="16"/>
        <v>2.3540787150825753</v>
      </c>
      <c r="AA73" s="1480">
        <f t="shared" ca="1" si="3"/>
        <v>2.3540787150825753</v>
      </c>
      <c r="AB73" s="333">
        <f t="shared" ca="1" si="17"/>
        <v>2.3727278794634761</v>
      </c>
      <c r="AC73" s="335">
        <f t="shared" ca="1" si="18"/>
        <v>686.51635300536577</v>
      </c>
      <c r="AD73" s="698" t="str">
        <f t="shared" ca="1" si="4"/>
        <v xml:space="preserve"> </v>
      </c>
    </row>
    <row r="74" spans="1:30">
      <c r="A74" s="672">
        <f>'Annex 12-Gas'!A74</f>
        <v>38838</v>
      </c>
      <c r="C74" s="1484">
        <f ca="1">IF($A74&gt;Endyr,0,VLOOKUP($A74,Tariff_Table,Tariff!$G$33))</f>
        <v>7429.43</v>
      </c>
      <c r="D74" s="1480">
        <f ca="1">VLOOKUP($A74,Curves_Table,Escalation!$AW$291)</f>
        <v>2.6106553532859067</v>
      </c>
      <c r="E74" s="1486">
        <f t="shared" ca="1" si="5"/>
        <v>19395.681201362913</v>
      </c>
      <c r="F74" s="330">
        <f ca="1">VLOOKUP($A74,Plant_Table,'Plant Operations'!$C$270)</f>
        <v>480</v>
      </c>
      <c r="G74" s="1486">
        <f t="shared" ca="1" si="6"/>
        <v>9309.9269766541984</v>
      </c>
      <c r="H74" s="1480">
        <f ca="1">IF(Assm!$L$74=0,VLOOKUP($A74,Curves_Table,Escalation!$D$291),VLOOKUP($A74,Curves_Table,Escalation!$E$291))</f>
        <v>2.3595023096607846</v>
      </c>
      <c r="I74" s="384">
        <f t="shared" ca="1" si="7"/>
        <v>3945.7164074540137</v>
      </c>
      <c r="J74" s="692" t="str">
        <f t="shared" ca="1" si="0"/>
        <v xml:space="preserve"> </v>
      </c>
      <c r="L74" s="1484">
        <f ca="1">IF($A74&gt;Endyr,0,VLOOKUP($A74,Tariff_Table,Tariff!$H$33))</f>
        <v>6133.73</v>
      </c>
      <c r="M74" s="1480">
        <f t="shared" ca="1" si="8"/>
        <v>2.6106553532859067</v>
      </c>
      <c r="N74" s="1486">
        <f t="shared" ca="1" si="9"/>
        <v>16013.055060110364</v>
      </c>
      <c r="O74" s="330">
        <f t="shared" ca="1" si="10"/>
        <v>480</v>
      </c>
      <c r="P74" s="1486">
        <f t="shared" ca="1" si="11"/>
        <v>7686.2664288529741</v>
      </c>
      <c r="Q74" s="1480">
        <f t="shared" ca="1" si="12"/>
        <v>2.3595023096607846</v>
      </c>
      <c r="R74" s="384">
        <f t="shared" ca="1" si="13"/>
        <v>3257.5795316589433</v>
      </c>
      <c r="S74" s="692" t="str">
        <f t="shared" ca="1" si="1"/>
        <v xml:space="preserve"> </v>
      </c>
      <c r="U74" s="1484">
        <f ca="1">IF($A74&gt;Endyr,0,VLOOKUP($A74,Tariff_Table,Tariff!$I$33))</f>
        <v>2.31</v>
      </c>
      <c r="V74" s="1480">
        <f t="shared" ca="1" si="2"/>
        <v>2.6106553532859067</v>
      </c>
      <c r="W74" s="1486">
        <f t="shared" ca="1" si="14"/>
        <v>6.0306138660904445</v>
      </c>
      <c r="X74" s="334">
        <f ca="1">VLOOKUP($A74,Plant_Table,'Plant Operations'!$M$270)</f>
        <v>298980.864</v>
      </c>
      <c r="Y74" s="1006">
        <f t="shared" ca="1" si="15"/>
        <v>1803.0381441341015</v>
      </c>
      <c r="Z74" s="1480">
        <f t="shared" ca="1" si="16"/>
        <v>2.3595023096607846</v>
      </c>
      <c r="AA74" s="1480">
        <f t="shared" ca="1" si="3"/>
        <v>2.3595023096607846</v>
      </c>
      <c r="AB74" s="333">
        <f t="shared" ca="1" si="17"/>
        <v>2.5558838579638601</v>
      </c>
      <c r="AC74" s="335">
        <f t="shared" ca="1" si="18"/>
        <v>764.16036413768825</v>
      </c>
      <c r="AD74" s="698" t="str">
        <f t="shared" ca="1" si="4"/>
        <v xml:space="preserve"> </v>
      </c>
    </row>
    <row r="75" spans="1:30">
      <c r="A75" s="672">
        <f>'Annex 12-Gas'!A75</f>
        <v>38869</v>
      </c>
      <c r="C75" s="1484">
        <f ca="1">IF($A75&gt;Endyr,0,VLOOKUP($A75,Tariff_Table,Tariff!$G$33))</f>
        <v>7429.43</v>
      </c>
      <c r="D75" s="1480">
        <f ca="1">VLOOKUP($A75,Curves_Table,Escalation!$AW$291)</f>
        <v>2.6106553532859067</v>
      </c>
      <c r="E75" s="1486">
        <f t="shared" ca="1" si="5"/>
        <v>19395.681201362913</v>
      </c>
      <c r="F75" s="330">
        <f ca="1">VLOOKUP($A75,Plant_Table,'Plant Operations'!$C$270)</f>
        <v>480</v>
      </c>
      <c r="G75" s="1486">
        <f t="shared" ca="1" si="6"/>
        <v>9309.9269766541984</v>
      </c>
      <c r="H75" s="1480">
        <f ca="1">IF(Assm!$L$74=0,VLOOKUP($A75,Curves_Table,Escalation!$D$291),VLOOKUP($A75,Curves_Table,Escalation!$E$291))</f>
        <v>2.3649383997337114</v>
      </c>
      <c r="I75" s="384">
        <f t="shared" ca="1" si="7"/>
        <v>3936.6467125327586</v>
      </c>
      <c r="J75" s="692" t="str">
        <f t="shared" ca="1" si="0"/>
        <v xml:space="preserve"> </v>
      </c>
      <c r="L75" s="1484">
        <f ca="1">IF($A75&gt;Endyr,0,VLOOKUP($A75,Tariff_Table,Tariff!$H$33))</f>
        <v>6133.73</v>
      </c>
      <c r="M75" s="1480">
        <f t="shared" ca="1" si="8"/>
        <v>2.6106553532859067</v>
      </c>
      <c r="N75" s="1486">
        <f t="shared" ca="1" si="9"/>
        <v>16013.055060110364</v>
      </c>
      <c r="O75" s="330">
        <f t="shared" ca="1" si="10"/>
        <v>480</v>
      </c>
      <c r="P75" s="1486">
        <f t="shared" ca="1" si="11"/>
        <v>7686.2664288529741</v>
      </c>
      <c r="Q75" s="1480">
        <f t="shared" ca="1" si="12"/>
        <v>2.3649383997337114</v>
      </c>
      <c r="R75" s="384">
        <f t="shared" ca="1" si="13"/>
        <v>3250.0916005754889</v>
      </c>
      <c r="S75" s="692" t="str">
        <f t="shared" ca="1" si="1"/>
        <v xml:space="preserve"> </v>
      </c>
      <c r="U75" s="1484">
        <f ca="1">IF($A75&gt;Endyr,0,VLOOKUP($A75,Tariff_Table,Tariff!$I$33))</f>
        <v>2.31</v>
      </c>
      <c r="V75" s="1480">
        <f t="shared" ca="1" si="2"/>
        <v>2.6106553532859067</v>
      </c>
      <c r="W75" s="1486">
        <f t="shared" ca="1" si="14"/>
        <v>6.0306138660904445</v>
      </c>
      <c r="X75" s="334">
        <f ca="1">VLOOKUP($A75,Plant_Table,'Plant Operations'!$M$270)</f>
        <v>289336.32000000001</v>
      </c>
      <c r="Y75" s="1006">
        <f t="shared" ca="1" si="15"/>
        <v>1744.8756233555821</v>
      </c>
      <c r="Z75" s="1480">
        <f t="shared" ca="1" si="16"/>
        <v>2.3649383997337114</v>
      </c>
      <c r="AA75" s="1480">
        <f t="shared" ca="1" si="3"/>
        <v>2.3649383997337114</v>
      </c>
      <c r="AB75" s="333">
        <f t="shared" ca="1" si="17"/>
        <v>2.5500088572156816</v>
      </c>
      <c r="AC75" s="335">
        <f t="shared" ca="1" si="18"/>
        <v>737.81017871419078</v>
      </c>
      <c r="AD75" s="698" t="str">
        <f t="shared" ca="1" si="4"/>
        <v xml:space="preserve"> </v>
      </c>
    </row>
    <row r="76" spans="1:30">
      <c r="A76" s="672">
        <f>'Annex 12-Gas'!A76</f>
        <v>38899</v>
      </c>
      <c r="C76" s="1484">
        <f ca="1">IF($A76&gt;Endyr,0,VLOOKUP($A76,Tariff_Table,Tariff!$G$33))</f>
        <v>7429.43</v>
      </c>
      <c r="D76" s="1480">
        <f ca="1">VLOOKUP($A76,Curves_Table,Escalation!$AW$291)</f>
        <v>2.6106553532859067</v>
      </c>
      <c r="E76" s="1486">
        <f t="shared" ca="1" si="5"/>
        <v>19395.681201362913</v>
      </c>
      <c r="F76" s="330">
        <f ca="1">VLOOKUP($A76,Plant_Table,'Plant Operations'!$C$270)</f>
        <v>480</v>
      </c>
      <c r="G76" s="1486">
        <f t="shared" ca="1" si="6"/>
        <v>9309.9269766541984</v>
      </c>
      <c r="H76" s="1480">
        <f ca="1">IF(Assm!$L$74=0,VLOOKUP($A76,Curves_Table,Escalation!$D$291),VLOOKUP($A76,Curves_Table,Escalation!$E$291))</f>
        <v>2.370387014089899</v>
      </c>
      <c r="I76" s="384">
        <f t="shared" ca="1" si="7"/>
        <v>3927.5978653758821</v>
      </c>
      <c r="J76" s="692" t="str">
        <f t="shared" ref="J76:J139" ca="1" si="19">IF(MONTH($A76)=12,SUM(I65:I76)," ")</f>
        <v xml:space="preserve"> </v>
      </c>
      <c r="L76" s="1484">
        <f ca="1">IF($A76&gt;Endyr,0,VLOOKUP($A76,Tariff_Table,Tariff!$H$33))</f>
        <v>6133.73</v>
      </c>
      <c r="M76" s="1480">
        <f t="shared" ca="1" si="8"/>
        <v>2.6106553532859067</v>
      </c>
      <c r="N76" s="1486">
        <f t="shared" ca="1" si="9"/>
        <v>16013.055060110364</v>
      </c>
      <c r="O76" s="330">
        <f t="shared" ca="1" si="10"/>
        <v>480</v>
      </c>
      <c r="P76" s="1486">
        <f t="shared" ca="1" si="11"/>
        <v>7686.2664288529741</v>
      </c>
      <c r="Q76" s="1480">
        <f t="shared" ca="1" si="12"/>
        <v>2.370387014089899</v>
      </c>
      <c r="R76" s="384">
        <f t="shared" ca="1" si="13"/>
        <v>3242.6208813855178</v>
      </c>
      <c r="S76" s="692" t="str">
        <f t="shared" ref="S76:S139" ca="1" si="20">IF(MONTH($A76)=12,SUM(R65:R76)," ")</f>
        <v xml:space="preserve"> </v>
      </c>
      <c r="U76" s="1484">
        <f ca="1">IF($A76&gt;Endyr,0,VLOOKUP($A76,Tariff_Table,Tariff!$I$33))</f>
        <v>2.31</v>
      </c>
      <c r="V76" s="1480">
        <f t="shared" ref="V76:V139" ca="1" si="21">D76</f>
        <v>2.6106553532859067</v>
      </c>
      <c r="W76" s="1486">
        <f t="shared" ca="1" si="14"/>
        <v>6.0306138660904445</v>
      </c>
      <c r="X76" s="334">
        <f ca="1">VLOOKUP($A76,Plant_Table,'Plant Operations'!$M$270)</f>
        <v>298980.864</v>
      </c>
      <c r="Y76" s="1006">
        <f t="shared" ca="1" si="15"/>
        <v>1803.0381441341015</v>
      </c>
      <c r="Z76" s="1480">
        <f t="shared" ca="1" si="16"/>
        <v>2.370387014089899</v>
      </c>
      <c r="AA76" s="1480">
        <f t="shared" ref="AA76:AA139" ca="1" si="22">H76</f>
        <v>2.370387014089899</v>
      </c>
      <c r="AB76" s="333">
        <f t="shared" ca="1" si="17"/>
        <v>2.5441473608502179</v>
      </c>
      <c r="AC76" s="335">
        <f t="shared" ca="1" si="18"/>
        <v>760.65137609031785</v>
      </c>
      <c r="AD76" s="698" t="str">
        <f t="shared" ref="AD76:AD139" ca="1" si="23">IF(MONTH($A76)=12,SUM(AC65:AC76)," ")</f>
        <v xml:space="preserve"> </v>
      </c>
    </row>
    <row r="77" spans="1:30">
      <c r="A77" s="672">
        <f>'Annex 12-Gas'!A77</f>
        <v>38930</v>
      </c>
      <c r="C77" s="1484">
        <f ca="1">IF($A77&gt;Endyr,0,VLOOKUP($A77,Tariff_Table,Tariff!$G$33))</f>
        <v>7429.43</v>
      </c>
      <c r="D77" s="1480">
        <f ca="1">VLOOKUP($A77,Curves_Table,Escalation!$AW$291)</f>
        <v>2.6106553532859067</v>
      </c>
      <c r="E77" s="1486">
        <f t="shared" ref="E77:E140" ca="1" si="24">C77*D77</f>
        <v>19395.681201362913</v>
      </c>
      <c r="F77" s="330">
        <f ca="1">VLOOKUP($A77,Plant_Table,'Plant Operations'!$C$270)</f>
        <v>480</v>
      </c>
      <c r="G77" s="1486">
        <f t="shared" ref="G77:G140" ca="1" si="25">E77*F77/1000</f>
        <v>9309.9269766541984</v>
      </c>
      <c r="H77" s="1480">
        <f ca="1">IF(Assm!$L$74=0,VLOOKUP($A77,Curves_Table,Escalation!$D$291),VLOOKUP($A77,Curves_Table,Escalation!$E$291))</f>
        <v>2.3758481815842174</v>
      </c>
      <c r="I77" s="384">
        <f t="shared" ref="I77:I140" ca="1" si="26">G77/H77</f>
        <v>3918.5698180623358</v>
      </c>
      <c r="J77" s="692" t="str">
        <f t="shared" ca="1" si="19"/>
        <v xml:space="preserve"> </v>
      </c>
      <c r="L77" s="1484">
        <f ca="1">IF($A77&gt;Endyr,0,VLOOKUP($A77,Tariff_Table,Tariff!$H$33))</f>
        <v>6133.73</v>
      </c>
      <c r="M77" s="1480">
        <f t="shared" ref="M77:M140" ca="1" si="27">D77</f>
        <v>2.6106553532859067</v>
      </c>
      <c r="N77" s="1486">
        <f t="shared" ref="N77:N140" ca="1" si="28">L77*M77</f>
        <v>16013.055060110364</v>
      </c>
      <c r="O77" s="330">
        <f t="shared" ref="O77:O140" ca="1" si="29">$F77</f>
        <v>480</v>
      </c>
      <c r="P77" s="1486">
        <f t="shared" ref="P77:P140" ca="1" si="30">N77*O77/1000</f>
        <v>7686.2664288529741</v>
      </c>
      <c r="Q77" s="1480">
        <f t="shared" ref="Q77:Q140" ca="1" si="31">$H77</f>
        <v>2.3758481815842174</v>
      </c>
      <c r="R77" s="384">
        <f t="shared" ref="R77:R140" ca="1" si="32">P77/Q77</f>
        <v>3235.1673345254603</v>
      </c>
      <c r="S77" s="692" t="str">
        <f t="shared" ca="1" si="20"/>
        <v xml:space="preserve"> </v>
      </c>
      <c r="U77" s="1484">
        <f ca="1">IF($A77&gt;Endyr,0,VLOOKUP($A77,Tariff_Table,Tariff!$I$33))</f>
        <v>2.31</v>
      </c>
      <c r="V77" s="1480">
        <f t="shared" ca="1" si="21"/>
        <v>2.6106553532859067</v>
      </c>
      <c r="W77" s="1486">
        <f t="shared" ref="W77:W140" ca="1" si="33">U77*V77</f>
        <v>6.0306138660904445</v>
      </c>
      <c r="X77" s="334">
        <f ca="1">VLOOKUP($A77,Plant_Table,'Plant Operations'!$M$270)</f>
        <v>298980.864</v>
      </c>
      <c r="Y77" s="1006">
        <f t="shared" ref="Y77:Y140" ca="1" si="34">W77*X77/1000</f>
        <v>1803.0381441341015</v>
      </c>
      <c r="Z77" s="1480">
        <f t="shared" ref="Z77:Z140" ca="1" si="35">$H77</f>
        <v>2.3758481815842174</v>
      </c>
      <c r="AA77" s="1480">
        <f t="shared" ca="1" si="22"/>
        <v>2.3758481815842174</v>
      </c>
      <c r="AB77" s="333">
        <f t="shared" ref="AB77:AB140" ca="1" si="36">W77/AA77</f>
        <v>2.5382993378260501</v>
      </c>
      <c r="AC77" s="335">
        <f t="shared" ref="AC77:AC140" ca="1" si="37">Y77/Z77</f>
        <v>758.90292911386041</v>
      </c>
      <c r="AD77" s="698" t="str">
        <f t="shared" ca="1" si="23"/>
        <v xml:space="preserve"> </v>
      </c>
    </row>
    <row r="78" spans="1:30">
      <c r="A78" s="672">
        <f>'Annex 12-Gas'!A78</f>
        <v>38961</v>
      </c>
      <c r="C78" s="1484">
        <f ca="1">IF($A78&gt;Endyr,0,VLOOKUP($A78,Tariff_Table,Tariff!$G$33))</f>
        <v>7429.43</v>
      </c>
      <c r="D78" s="1480">
        <f ca="1">VLOOKUP($A78,Curves_Table,Escalation!$AW$291)</f>
        <v>2.6106553532859067</v>
      </c>
      <c r="E78" s="1486">
        <f t="shared" ca="1" si="24"/>
        <v>19395.681201362913</v>
      </c>
      <c r="F78" s="330">
        <f ca="1">VLOOKUP($A78,Plant_Table,'Plant Operations'!$C$270)</f>
        <v>480</v>
      </c>
      <c r="G78" s="1486">
        <f t="shared" ca="1" si="25"/>
        <v>9309.9269766541984</v>
      </c>
      <c r="H78" s="1480">
        <f ca="1">IF(Assm!$L$74=0,VLOOKUP($A78,Curves_Table,Escalation!$D$291),VLOOKUP($A78,Curves_Table,Escalation!$E$291))</f>
        <v>2.3813219311380154</v>
      </c>
      <c r="I78" s="384">
        <f t="shared" ca="1" si="26"/>
        <v>3909.5625227812252</v>
      </c>
      <c r="J78" s="692" t="str">
        <f t="shared" ca="1" si="19"/>
        <v xml:space="preserve"> </v>
      </c>
      <c r="L78" s="1484">
        <f ca="1">IF($A78&gt;Endyr,0,VLOOKUP($A78,Tariff_Table,Tariff!$H$33))</f>
        <v>6133.73</v>
      </c>
      <c r="M78" s="1480">
        <f t="shared" ca="1" si="27"/>
        <v>2.6106553532859067</v>
      </c>
      <c r="N78" s="1486">
        <f t="shared" ca="1" si="28"/>
        <v>16013.055060110364</v>
      </c>
      <c r="O78" s="330">
        <f t="shared" ca="1" si="29"/>
        <v>480</v>
      </c>
      <c r="P78" s="1486">
        <f t="shared" ca="1" si="30"/>
        <v>7686.2664288529741</v>
      </c>
      <c r="Q78" s="1480">
        <f t="shared" ca="1" si="31"/>
        <v>2.3813219311380154</v>
      </c>
      <c r="R78" s="384">
        <f t="shared" ca="1" si="32"/>
        <v>3227.7309205226893</v>
      </c>
      <c r="S78" s="692" t="str">
        <f t="shared" ca="1" si="20"/>
        <v xml:space="preserve"> </v>
      </c>
      <c r="U78" s="1484">
        <f ca="1">IF($A78&gt;Endyr,0,VLOOKUP($A78,Tariff_Table,Tariff!$I$33))</f>
        <v>2.31</v>
      </c>
      <c r="V78" s="1480">
        <f t="shared" ca="1" si="21"/>
        <v>2.6106553532859067</v>
      </c>
      <c r="W78" s="1486">
        <f t="shared" ca="1" si="33"/>
        <v>6.0306138660904445</v>
      </c>
      <c r="X78" s="334">
        <f ca="1">VLOOKUP($A78,Plant_Table,'Plant Operations'!$M$270)</f>
        <v>289336.32000000001</v>
      </c>
      <c r="Y78" s="1006">
        <f t="shared" ca="1" si="34"/>
        <v>1744.8756233555821</v>
      </c>
      <c r="Z78" s="1480">
        <f t="shared" ca="1" si="35"/>
        <v>2.3813219311380154</v>
      </c>
      <c r="AA78" s="1480">
        <f t="shared" ca="1" si="22"/>
        <v>2.3813219311380154</v>
      </c>
      <c r="AB78" s="333">
        <f t="shared" ca="1" si="36"/>
        <v>2.5324647571731136</v>
      </c>
      <c r="AC78" s="335">
        <f t="shared" ca="1" si="37"/>
        <v>732.73403337016236</v>
      </c>
      <c r="AD78" s="698" t="str">
        <f t="shared" ca="1" si="23"/>
        <v xml:space="preserve"> </v>
      </c>
    </row>
    <row r="79" spans="1:30">
      <c r="A79" s="672">
        <f>'Annex 12-Gas'!A79</f>
        <v>38991</v>
      </c>
      <c r="C79" s="1484">
        <f ca="1">IF($A79&gt;Endyr,0,VLOOKUP($A79,Tariff_Table,Tariff!$G$33))</f>
        <v>7429.43</v>
      </c>
      <c r="D79" s="1480">
        <f ca="1">VLOOKUP($A79,Curves_Table,Escalation!$AW$291)</f>
        <v>2.6106553532859067</v>
      </c>
      <c r="E79" s="1486">
        <f t="shared" ca="1" si="24"/>
        <v>19395.681201362913</v>
      </c>
      <c r="F79" s="330">
        <f ca="1">VLOOKUP($A79,Plant_Table,'Plant Operations'!$C$270)</f>
        <v>480</v>
      </c>
      <c r="G79" s="1486">
        <f t="shared" ca="1" si="25"/>
        <v>9309.9269766541984</v>
      </c>
      <c r="H79" s="1480">
        <f ca="1">IF(Assm!$L$74=0,VLOOKUP($A79,Curves_Table,Escalation!$D$291),VLOOKUP($A79,Curves_Table,Escalation!$E$291))</f>
        <v>2.3868082917392743</v>
      </c>
      <c r="I79" s="384">
        <f t="shared" ca="1" si="26"/>
        <v>3900.5759318315536</v>
      </c>
      <c r="J79" s="692" t="str">
        <f t="shared" ca="1" si="19"/>
        <v xml:space="preserve"> </v>
      </c>
      <c r="L79" s="1484">
        <f ca="1">IF($A79&gt;Endyr,0,VLOOKUP($A79,Tariff_Table,Tariff!$H$33))</f>
        <v>6133.73</v>
      </c>
      <c r="M79" s="1480">
        <f t="shared" ca="1" si="27"/>
        <v>2.6106553532859067</v>
      </c>
      <c r="N79" s="1486">
        <f t="shared" ca="1" si="28"/>
        <v>16013.055060110364</v>
      </c>
      <c r="O79" s="330">
        <f t="shared" ca="1" si="29"/>
        <v>480</v>
      </c>
      <c r="P79" s="1486">
        <f t="shared" ca="1" si="30"/>
        <v>7686.2664288529741</v>
      </c>
      <c r="Q79" s="1480">
        <f t="shared" ca="1" si="31"/>
        <v>2.3868082917392743</v>
      </c>
      <c r="R79" s="384">
        <f t="shared" ca="1" si="32"/>
        <v>3220.3115999953097</v>
      </c>
      <c r="S79" s="692" t="str">
        <f t="shared" ca="1" si="20"/>
        <v xml:space="preserve"> </v>
      </c>
      <c r="U79" s="1484">
        <f ca="1">IF($A79&gt;Endyr,0,VLOOKUP($A79,Tariff_Table,Tariff!$I$33))</f>
        <v>2.31</v>
      </c>
      <c r="V79" s="1480">
        <f t="shared" ca="1" si="21"/>
        <v>2.6106553532859067</v>
      </c>
      <c r="W79" s="1486">
        <f t="shared" ca="1" si="33"/>
        <v>6.0306138660904445</v>
      </c>
      <c r="X79" s="334">
        <f ca="1">VLOOKUP($A79,Plant_Table,'Plant Operations'!$M$270)</f>
        <v>298980.864</v>
      </c>
      <c r="Y79" s="1006">
        <f t="shared" ca="1" si="34"/>
        <v>1803.0381441341015</v>
      </c>
      <c r="Z79" s="1480">
        <f t="shared" ca="1" si="35"/>
        <v>2.3868082917392743</v>
      </c>
      <c r="AA79" s="1480">
        <f t="shared" ca="1" si="22"/>
        <v>2.3868082917392743</v>
      </c>
      <c r="AB79" s="333">
        <f t="shared" ca="1" si="36"/>
        <v>2.5266435879925311</v>
      </c>
      <c r="AC79" s="335">
        <f t="shared" ca="1" si="37"/>
        <v>755.41808295806709</v>
      </c>
      <c r="AD79" s="698" t="str">
        <f t="shared" ca="1" si="23"/>
        <v xml:space="preserve"> </v>
      </c>
    </row>
    <row r="80" spans="1:30">
      <c r="A80" s="672">
        <f>'Annex 12-Gas'!A80</f>
        <v>39022</v>
      </c>
      <c r="C80" s="1484">
        <f ca="1">IF($A80&gt;Endyr,0,VLOOKUP($A80,Tariff_Table,Tariff!$G$33))</f>
        <v>7429.43</v>
      </c>
      <c r="D80" s="1480">
        <f ca="1">VLOOKUP($A80,Curves_Table,Escalation!$AW$291)</f>
        <v>2.6106553532859067</v>
      </c>
      <c r="E80" s="1486">
        <f t="shared" ca="1" si="24"/>
        <v>19395.681201362913</v>
      </c>
      <c r="F80" s="330">
        <f ca="1">VLOOKUP($A80,Plant_Table,'Plant Operations'!$C$270)</f>
        <v>480</v>
      </c>
      <c r="G80" s="1486">
        <f t="shared" ca="1" si="25"/>
        <v>9309.9269766541984</v>
      </c>
      <c r="H80" s="1480">
        <f ca="1">IF(Assm!$L$74=0,VLOOKUP($A80,Curves_Table,Escalation!$D$291),VLOOKUP($A80,Curves_Table,Escalation!$E$291))</f>
        <v>2.3923072924427613</v>
      </c>
      <c r="I80" s="384">
        <f t="shared" ca="1" si="26"/>
        <v>3891.6099976219712</v>
      </c>
      <c r="J80" s="692" t="str">
        <f t="shared" ca="1" si="19"/>
        <v xml:space="preserve"> </v>
      </c>
      <c r="L80" s="1484">
        <f ca="1">IF($A80&gt;Endyr,0,VLOOKUP($A80,Tariff_Table,Tariff!$H$33))</f>
        <v>6133.73</v>
      </c>
      <c r="M80" s="1480">
        <f t="shared" ca="1" si="27"/>
        <v>2.6106553532859067</v>
      </c>
      <c r="N80" s="1486">
        <f t="shared" ca="1" si="28"/>
        <v>16013.055060110364</v>
      </c>
      <c r="O80" s="330">
        <f t="shared" ca="1" si="29"/>
        <v>480</v>
      </c>
      <c r="P80" s="1486">
        <f t="shared" ca="1" si="30"/>
        <v>7686.2664288529741</v>
      </c>
      <c r="Q80" s="1480">
        <f t="shared" ca="1" si="31"/>
        <v>2.3923072924427613</v>
      </c>
      <c r="R80" s="384">
        <f t="shared" ca="1" si="32"/>
        <v>3212.9093336519504</v>
      </c>
      <c r="S80" s="692" t="str">
        <f t="shared" ca="1" si="20"/>
        <v xml:space="preserve"> </v>
      </c>
      <c r="U80" s="1484">
        <f ca="1">IF($A80&gt;Endyr,0,VLOOKUP($A80,Tariff_Table,Tariff!$I$33))</f>
        <v>2.31</v>
      </c>
      <c r="V80" s="1480">
        <f t="shared" ca="1" si="21"/>
        <v>2.6106553532859067</v>
      </c>
      <c r="W80" s="1486">
        <f t="shared" ca="1" si="33"/>
        <v>6.0306138660904445</v>
      </c>
      <c r="X80" s="334">
        <f ca="1">VLOOKUP($A80,Plant_Table,'Plant Operations'!$M$270)</f>
        <v>289336.32000000001</v>
      </c>
      <c r="Y80" s="1006">
        <f t="shared" ca="1" si="34"/>
        <v>1744.8756233555821</v>
      </c>
      <c r="Z80" s="1480">
        <f t="shared" ca="1" si="35"/>
        <v>2.3923072924427613</v>
      </c>
      <c r="AA80" s="1480">
        <f t="shared" ca="1" si="22"/>
        <v>2.3923072924427613</v>
      </c>
      <c r="AB80" s="333">
        <f t="shared" ca="1" si="36"/>
        <v>2.5208357994564503</v>
      </c>
      <c r="AC80" s="335">
        <f t="shared" ca="1" si="37"/>
        <v>729.36935353898741</v>
      </c>
      <c r="AD80" s="698" t="str">
        <f t="shared" ca="1" si="23"/>
        <v xml:space="preserve"> </v>
      </c>
    </row>
    <row r="81" spans="1:30">
      <c r="A81" s="672">
        <f>'Annex 12-Gas'!A81</f>
        <v>39052</v>
      </c>
      <c r="C81" s="1484">
        <f ca="1">IF($A81&gt;Endyr,0,VLOOKUP($A81,Tariff_Table,Tariff!$G$33))</f>
        <v>7429.43</v>
      </c>
      <c r="D81" s="1480">
        <f ca="1">VLOOKUP($A81,Curves_Table,Escalation!$AW$291)</f>
        <v>2.6106553532859067</v>
      </c>
      <c r="E81" s="1486">
        <f t="shared" ca="1" si="24"/>
        <v>19395.681201362913</v>
      </c>
      <c r="F81" s="330">
        <f ca="1">VLOOKUP($A81,Plant_Table,'Plant Operations'!$C$270)</f>
        <v>480</v>
      </c>
      <c r="G81" s="1486">
        <f t="shared" ca="1" si="25"/>
        <v>9309.9269766541984</v>
      </c>
      <c r="H81" s="1480">
        <f ca="1">IF(Assm!$L$74=0,VLOOKUP($A81,Curves_Table,Escalation!$D$291),VLOOKUP($A81,Curves_Table,Escalation!$E$291))</f>
        <v>2.39781896237018</v>
      </c>
      <c r="I81" s="384">
        <f t="shared" ca="1" si="26"/>
        <v>3882.6646726705271</v>
      </c>
      <c r="J81" s="692">
        <f t="shared" ca="1" si="19"/>
        <v>46061.907738373535</v>
      </c>
      <c r="L81" s="1484">
        <f ca="1">IF($A81&gt;Endyr,0,VLOOKUP($A81,Tariff_Table,Tariff!$H$33))</f>
        <v>6133.73</v>
      </c>
      <c r="M81" s="1480">
        <f t="shared" ca="1" si="27"/>
        <v>2.6106553532859067</v>
      </c>
      <c r="N81" s="1486">
        <f t="shared" ca="1" si="28"/>
        <v>16013.055060110364</v>
      </c>
      <c r="O81" s="330">
        <f t="shared" ca="1" si="29"/>
        <v>480</v>
      </c>
      <c r="P81" s="1486">
        <f t="shared" ca="1" si="30"/>
        <v>7686.2664288529741</v>
      </c>
      <c r="Q81" s="1480">
        <f t="shared" ca="1" si="31"/>
        <v>2.39781896237018</v>
      </c>
      <c r="R81" s="384">
        <f t="shared" ca="1" si="32"/>
        <v>3205.5240822915607</v>
      </c>
      <c r="S81" s="692">
        <f t="shared" ca="1" si="20"/>
        <v>37985.896189821913</v>
      </c>
      <c r="U81" s="1484">
        <f ca="1">IF($A81&gt;Endyr,0,VLOOKUP($A81,Tariff_Table,Tariff!$I$33))</f>
        <v>2.31</v>
      </c>
      <c r="V81" s="1480">
        <f t="shared" ca="1" si="21"/>
        <v>2.6106553532859067</v>
      </c>
      <c r="W81" s="1486">
        <f t="shared" ca="1" si="33"/>
        <v>6.0306138660904445</v>
      </c>
      <c r="X81" s="334">
        <f ca="1">VLOOKUP($A81,Plant_Table,'Plant Operations'!$M$270)</f>
        <v>298980.864</v>
      </c>
      <c r="Y81" s="1006">
        <f t="shared" ca="1" si="34"/>
        <v>1803.0381441341015</v>
      </c>
      <c r="Z81" s="1480">
        <f t="shared" ca="1" si="35"/>
        <v>2.39781896237018</v>
      </c>
      <c r="AA81" s="1480">
        <f t="shared" ca="1" si="22"/>
        <v>2.39781896237018</v>
      </c>
      <c r="AB81" s="333">
        <f t="shared" ca="1" si="36"/>
        <v>2.5150413608078832</v>
      </c>
      <c r="AC81" s="335">
        <f t="shared" ca="1" si="37"/>
        <v>751.9492390500767</v>
      </c>
      <c r="AD81" s="698">
        <f t="shared" ca="1" si="23"/>
        <v>8746.565722548954</v>
      </c>
    </row>
    <row r="82" spans="1:30">
      <c r="A82" s="672">
        <f>'Annex 12-Gas'!A82</f>
        <v>39083</v>
      </c>
      <c r="C82" s="1484">
        <f ca="1">IF($A82&gt;Endyr,0,VLOOKUP($A82,Tariff_Table,Tariff!$G$33))</f>
        <v>7429.43</v>
      </c>
      <c r="D82" s="1480">
        <f ca="1">VLOOKUP($A82,Curves_Table,Escalation!$AW$291)</f>
        <v>2.6106553532859067</v>
      </c>
      <c r="E82" s="1486">
        <f t="shared" ca="1" si="24"/>
        <v>19395.681201362913</v>
      </c>
      <c r="F82" s="330">
        <f ca="1">VLOOKUP($A82,Plant_Table,'Plant Operations'!$C$270)</f>
        <v>480</v>
      </c>
      <c r="G82" s="1486">
        <f t="shared" ca="1" si="25"/>
        <v>9309.9269766541984</v>
      </c>
      <c r="H82" s="1480">
        <f ca="1">IF(Assm!$L$74=0,VLOOKUP($A82,Curves_Table,Escalation!$D$291),VLOOKUP($A82,Curves_Table,Escalation!$E$291))</f>
        <v>2.4031820782557931</v>
      </c>
      <c r="I82" s="384">
        <f t="shared" ca="1" si="26"/>
        <v>3873.9998358390121</v>
      </c>
      <c r="J82" s="692" t="str">
        <f t="shared" ca="1" si="19"/>
        <v xml:space="preserve"> </v>
      </c>
      <c r="L82" s="1484">
        <f ca="1">IF($A82&gt;Endyr,0,VLOOKUP($A82,Tariff_Table,Tariff!$H$33))</f>
        <v>6133.73</v>
      </c>
      <c r="M82" s="1480">
        <f t="shared" ca="1" si="27"/>
        <v>2.6106553532859067</v>
      </c>
      <c r="N82" s="1486">
        <f t="shared" ca="1" si="28"/>
        <v>16013.055060110364</v>
      </c>
      <c r="O82" s="330">
        <f t="shared" ca="1" si="29"/>
        <v>480</v>
      </c>
      <c r="P82" s="1486">
        <f t="shared" ca="1" si="30"/>
        <v>7686.2664288529741</v>
      </c>
      <c r="Q82" s="1480">
        <f t="shared" ca="1" si="31"/>
        <v>2.4031820782557931</v>
      </c>
      <c r="R82" s="384">
        <f t="shared" ca="1" si="32"/>
        <v>3198.3704016433053</v>
      </c>
      <c r="S82" s="692" t="str">
        <f t="shared" ca="1" si="20"/>
        <v xml:space="preserve"> </v>
      </c>
      <c r="U82" s="1484">
        <f ca="1">IF($A82&gt;Endyr,0,VLOOKUP($A82,Tariff_Table,Tariff!$I$33))</f>
        <v>2.31</v>
      </c>
      <c r="V82" s="1480">
        <f t="shared" ca="1" si="21"/>
        <v>2.6106553532859067</v>
      </c>
      <c r="W82" s="1486">
        <f t="shared" ca="1" si="33"/>
        <v>6.0306138660904445</v>
      </c>
      <c r="X82" s="334">
        <f ca="1">VLOOKUP($A82,Plant_Table,'Plant Operations'!$M$270)</f>
        <v>298980.864</v>
      </c>
      <c r="Y82" s="1006">
        <f t="shared" ca="1" si="34"/>
        <v>1803.0381441341015</v>
      </c>
      <c r="Z82" s="1480">
        <f t="shared" ca="1" si="35"/>
        <v>2.4031820782557931</v>
      </c>
      <c r="AA82" s="1480">
        <f t="shared" ca="1" si="22"/>
        <v>2.4031820782557931</v>
      </c>
      <c r="AB82" s="333">
        <f t="shared" ca="1" si="36"/>
        <v>2.5094286116129023</v>
      </c>
      <c r="AC82" s="335">
        <f t="shared" ca="1" si="37"/>
        <v>750.27113444634608</v>
      </c>
      <c r="AD82" s="698" t="str">
        <f t="shared" ca="1" si="23"/>
        <v xml:space="preserve"> </v>
      </c>
    </row>
    <row r="83" spans="1:30">
      <c r="A83" s="672">
        <f>'Annex 12-Gas'!A83</f>
        <v>39114</v>
      </c>
      <c r="C83" s="1484">
        <f ca="1">IF($A83&gt;Endyr,0,VLOOKUP($A83,Tariff_Table,Tariff!$G$33))</f>
        <v>7429.43</v>
      </c>
      <c r="D83" s="1480">
        <f ca="1">VLOOKUP($A83,Curves_Table,Escalation!$AW$291)</f>
        <v>2.6106553532859067</v>
      </c>
      <c r="E83" s="1486">
        <f t="shared" ca="1" si="24"/>
        <v>19395.681201362913</v>
      </c>
      <c r="F83" s="330">
        <f ca="1">VLOOKUP($A83,Plant_Table,'Plant Operations'!$C$270)</f>
        <v>480</v>
      </c>
      <c r="G83" s="1486">
        <f t="shared" ca="1" si="25"/>
        <v>9309.9269766541984</v>
      </c>
      <c r="H83" s="1480">
        <f ca="1">IF(Assm!$L$74=0,VLOOKUP($A83,Curves_Table,Escalation!$D$291),VLOOKUP($A83,Curves_Table,Escalation!$E$291))</f>
        <v>2.4085571896308298</v>
      </c>
      <c r="I83" s="384">
        <f t="shared" ca="1" si="26"/>
        <v>3865.3543360874783</v>
      </c>
      <c r="J83" s="692" t="str">
        <f t="shared" ca="1" si="19"/>
        <v xml:space="preserve"> </v>
      </c>
      <c r="L83" s="1484">
        <f ca="1">IF($A83&gt;Endyr,0,VLOOKUP($A83,Tariff_Table,Tariff!$H$33))</f>
        <v>6133.73</v>
      </c>
      <c r="M83" s="1480">
        <f t="shared" ca="1" si="27"/>
        <v>2.6106553532859067</v>
      </c>
      <c r="N83" s="1486">
        <f t="shared" ca="1" si="28"/>
        <v>16013.055060110364</v>
      </c>
      <c r="O83" s="330">
        <f t="shared" ca="1" si="29"/>
        <v>480</v>
      </c>
      <c r="P83" s="1486">
        <f t="shared" ca="1" si="30"/>
        <v>7686.2664288529741</v>
      </c>
      <c r="Q83" s="1480">
        <f t="shared" ca="1" si="31"/>
        <v>2.4085571896308298</v>
      </c>
      <c r="R83" s="384">
        <f t="shared" ca="1" si="32"/>
        <v>3191.2326856690011</v>
      </c>
      <c r="S83" s="692" t="str">
        <f t="shared" ca="1" si="20"/>
        <v xml:space="preserve"> </v>
      </c>
      <c r="U83" s="1484">
        <f ca="1">IF($A83&gt;Endyr,0,VLOOKUP($A83,Tariff_Table,Tariff!$I$33))</f>
        <v>2.31</v>
      </c>
      <c r="V83" s="1480">
        <f t="shared" ca="1" si="21"/>
        <v>2.6106553532859067</v>
      </c>
      <c r="W83" s="1486">
        <f t="shared" ca="1" si="33"/>
        <v>6.0306138660904445</v>
      </c>
      <c r="X83" s="334">
        <f ca="1">VLOOKUP($A83,Plant_Table,'Plant Operations'!$M$270)</f>
        <v>270047.23200000002</v>
      </c>
      <c r="Y83" s="1006">
        <f t="shared" ca="1" si="34"/>
        <v>1628.5505817985431</v>
      </c>
      <c r="Z83" s="1480">
        <f t="shared" ca="1" si="35"/>
        <v>2.4085571896308298</v>
      </c>
      <c r="AA83" s="1480">
        <f t="shared" ca="1" si="22"/>
        <v>2.4085571896308298</v>
      </c>
      <c r="AB83" s="333">
        <f t="shared" ca="1" si="36"/>
        <v>2.503828388237185</v>
      </c>
      <c r="AC83" s="335">
        <f t="shared" ca="1" si="37"/>
        <v>676.15192564647316</v>
      </c>
      <c r="AD83" s="698" t="str">
        <f t="shared" ca="1" si="23"/>
        <v xml:space="preserve"> </v>
      </c>
    </row>
    <row r="84" spans="1:30">
      <c r="A84" s="672">
        <f>'Annex 12-Gas'!A84</f>
        <v>39142</v>
      </c>
      <c r="C84" s="1484">
        <f ca="1">IF($A84&gt;Endyr,0,VLOOKUP($A84,Tariff_Table,Tariff!$G$33))</f>
        <v>7429.43</v>
      </c>
      <c r="D84" s="1480">
        <f ca="1">VLOOKUP($A84,Curves_Table,Escalation!$AW$291)</f>
        <v>2.6106553532859067</v>
      </c>
      <c r="E84" s="1486">
        <f t="shared" ca="1" si="24"/>
        <v>19395.681201362913</v>
      </c>
      <c r="F84" s="330">
        <f ca="1">VLOOKUP($A84,Plant_Table,'Plant Operations'!$C$270)</f>
        <v>480</v>
      </c>
      <c r="G84" s="1486">
        <f t="shared" ca="1" si="25"/>
        <v>9309.9269766541984</v>
      </c>
      <c r="H84" s="1480">
        <f ca="1">IF(Assm!$L$74=0,VLOOKUP($A84,Curves_Table,Escalation!$D$291),VLOOKUP($A84,Curves_Table,Escalation!$E$291))</f>
        <v>2.4139443233251718</v>
      </c>
      <c r="I84" s="384">
        <f t="shared" ca="1" si="26"/>
        <v>3856.7281302618921</v>
      </c>
      <c r="J84" s="692" t="str">
        <f t="shared" ca="1" si="19"/>
        <v xml:space="preserve"> </v>
      </c>
      <c r="L84" s="1484">
        <f ca="1">IF($A84&gt;Endyr,0,VLOOKUP($A84,Tariff_Table,Tariff!$H$33))</f>
        <v>6133.73</v>
      </c>
      <c r="M84" s="1480">
        <f t="shared" ca="1" si="27"/>
        <v>2.6106553532859067</v>
      </c>
      <c r="N84" s="1486">
        <f t="shared" ca="1" si="28"/>
        <v>16013.055060110364</v>
      </c>
      <c r="O84" s="330">
        <f t="shared" ca="1" si="29"/>
        <v>480</v>
      </c>
      <c r="P84" s="1486">
        <f t="shared" ca="1" si="30"/>
        <v>7686.2664288529741</v>
      </c>
      <c r="Q84" s="1480">
        <f t="shared" ca="1" si="31"/>
        <v>2.4139443233251718</v>
      </c>
      <c r="R84" s="384">
        <f t="shared" ca="1" si="32"/>
        <v>3184.110898740721</v>
      </c>
      <c r="S84" s="692" t="str">
        <f t="shared" ca="1" si="20"/>
        <v xml:space="preserve"> </v>
      </c>
      <c r="U84" s="1484">
        <f ca="1">IF($A84&gt;Endyr,0,VLOOKUP($A84,Tariff_Table,Tariff!$I$33))</f>
        <v>2.31</v>
      </c>
      <c r="V84" s="1480">
        <f t="shared" ca="1" si="21"/>
        <v>2.6106553532859067</v>
      </c>
      <c r="W84" s="1486">
        <f t="shared" ca="1" si="33"/>
        <v>6.0306138660904445</v>
      </c>
      <c r="X84" s="334">
        <f ca="1">VLOOKUP($A84,Plant_Table,'Plant Operations'!$M$270)</f>
        <v>298980.864</v>
      </c>
      <c r="Y84" s="1006">
        <f t="shared" ca="1" si="34"/>
        <v>1803.0381441341015</v>
      </c>
      <c r="Z84" s="1480">
        <f t="shared" ca="1" si="35"/>
        <v>2.4139443233251718</v>
      </c>
      <c r="AA84" s="1480">
        <f t="shared" ca="1" si="22"/>
        <v>2.4139443233251718</v>
      </c>
      <c r="AB84" s="333">
        <f t="shared" ca="1" si="36"/>
        <v>2.498240662727202</v>
      </c>
      <c r="AC84" s="335">
        <f t="shared" ca="1" si="37"/>
        <v>746.92615182211148</v>
      </c>
      <c r="AD84" s="698" t="str">
        <f t="shared" ca="1" si="23"/>
        <v xml:space="preserve"> </v>
      </c>
    </row>
    <row r="85" spans="1:30">
      <c r="A85" s="672">
        <f>'Annex 12-Gas'!A85</f>
        <v>39173</v>
      </c>
      <c r="C85" s="1484">
        <f ca="1">IF($A85&gt;Endyr,0,VLOOKUP($A85,Tariff_Table,Tariff!$G$33))</f>
        <v>7429.43</v>
      </c>
      <c r="D85" s="1480">
        <f ca="1">VLOOKUP($A85,Curves_Table,Escalation!$AW$291)</f>
        <v>2.6106553532859067</v>
      </c>
      <c r="E85" s="1486">
        <f t="shared" ca="1" si="24"/>
        <v>19395.681201362913</v>
      </c>
      <c r="F85" s="330">
        <f ca="1">VLOOKUP($A85,Plant_Table,'Plant Operations'!$C$270)</f>
        <v>480</v>
      </c>
      <c r="G85" s="1486">
        <f t="shared" ca="1" si="25"/>
        <v>9309.9269766541984</v>
      </c>
      <c r="H85" s="1480">
        <f ca="1">IF(Assm!$L$74=0,VLOOKUP($A85,Curves_Table,Escalation!$D$291),VLOOKUP($A85,Curves_Table,Escalation!$E$291))</f>
        <v>2.419343506228711</v>
      </c>
      <c r="I85" s="384">
        <f t="shared" ca="1" si="26"/>
        <v>3848.1211753045254</v>
      </c>
      <c r="J85" s="692" t="str">
        <f t="shared" ca="1" si="19"/>
        <v xml:space="preserve"> </v>
      </c>
      <c r="L85" s="1484">
        <f ca="1">IF($A85&gt;Endyr,0,VLOOKUP($A85,Tariff_Table,Tariff!$H$33))</f>
        <v>6133.73</v>
      </c>
      <c r="M85" s="1480">
        <f t="shared" ca="1" si="27"/>
        <v>2.6106553532859067</v>
      </c>
      <c r="N85" s="1486">
        <f t="shared" ca="1" si="28"/>
        <v>16013.055060110364</v>
      </c>
      <c r="O85" s="330">
        <f t="shared" ca="1" si="29"/>
        <v>480</v>
      </c>
      <c r="P85" s="1486">
        <f t="shared" ca="1" si="30"/>
        <v>7686.2664288529741</v>
      </c>
      <c r="Q85" s="1480">
        <f t="shared" ca="1" si="31"/>
        <v>2.419343506228711</v>
      </c>
      <c r="R85" s="384">
        <f t="shared" ca="1" si="32"/>
        <v>3177.0050053100472</v>
      </c>
      <c r="S85" s="692" t="str">
        <f t="shared" ca="1" si="20"/>
        <v xml:space="preserve"> </v>
      </c>
      <c r="U85" s="1484">
        <f ca="1">IF($A85&gt;Endyr,0,VLOOKUP($A85,Tariff_Table,Tariff!$I$33))</f>
        <v>2.31</v>
      </c>
      <c r="V85" s="1480">
        <f t="shared" ca="1" si="21"/>
        <v>2.6106553532859067</v>
      </c>
      <c r="W85" s="1486">
        <f t="shared" ca="1" si="33"/>
        <v>6.0306138660904445</v>
      </c>
      <c r="X85" s="334">
        <f ca="1">VLOOKUP($A85,Plant_Table,'Plant Operations'!$M$270)</f>
        <v>289336.32000000001</v>
      </c>
      <c r="Y85" s="1006">
        <f t="shared" ca="1" si="34"/>
        <v>1744.8756233555821</v>
      </c>
      <c r="Z85" s="1480">
        <f t="shared" ca="1" si="35"/>
        <v>2.419343506228711</v>
      </c>
      <c r="AA85" s="1480">
        <f t="shared" ca="1" si="22"/>
        <v>2.419343506228711</v>
      </c>
      <c r="AB85" s="333">
        <f t="shared" ca="1" si="36"/>
        <v>2.4926654071918071</v>
      </c>
      <c r="AC85" s="335">
        <f t="shared" ca="1" si="37"/>
        <v>721.21863590817907</v>
      </c>
      <c r="AD85" s="698" t="str">
        <f t="shared" ca="1" si="23"/>
        <v xml:space="preserve"> </v>
      </c>
    </row>
    <row r="86" spans="1:30">
      <c r="A86" s="672">
        <f>'Annex 12-Gas'!A86</f>
        <v>39203</v>
      </c>
      <c r="C86" s="1484">
        <f ca="1">IF($A86&gt;Endyr,0,VLOOKUP($A86,Tariff_Table,Tariff!$G$33))</f>
        <v>7433.43</v>
      </c>
      <c r="D86" s="1480">
        <f ca="1">VLOOKUP($A86,Curves_Table,Escalation!$AW$291)</f>
        <v>2.6106553532859067</v>
      </c>
      <c r="E86" s="1486">
        <f t="shared" ca="1" si="24"/>
        <v>19406.123822776059</v>
      </c>
      <c r="F86" s="330">
        <f ca="1">VLOOKUP($A86,Plant_Table,'Plant Operations'!$C$270)</f>
        <v>480</v>
      </c>
      <c r="G86" s="1486">
        <f t="shared" ca="1" si="25"/>
        <v>9314.9394349325084</v>
      </c>
      <c r="H86" s="1480">
        <f ca="1">IF(Assm!$L$74=0,VLOOKUP($A86,Curves_Table,Escalation!$D$291),VLOOKUP($A86,Curves_Table,Escalation!$E$291))</f>
        <v>2.4247547652914823</v>
      </c>
      <c r="I86" s="384">
        <f t="shared" ca="1" si="26"/>
        <v>3841.6006304096281</v>
      </c>
      <c r="J86" s="692" t="str">
        <f t="shared" ca="1" si="19"/>
        <v xml:space="preserve"> </v>
      </c>
      <c r="L86" s="1484">
        <f ca="1">IF($A86&gt;Endyr,0,VLOOKUP($A86,Tariff_Table,Tariff!$H$33))</f>
        <v>6146.82</v>
      </c>
      <c r="M86" s="1480">
        <f t="shared" ca="1" si="27"/>
        <v>2.6106553532859067</v>
      </c>
      <c r="N86" s="1486">
        <f t="shared" ca="1" si="28"/>
        <v>16047.228538684876</v>
      </c>
      <c r="O86" s="330">
        <f t="shared" ca="1" si="29"/>
        <v>480</v>
      </c>
      <c r="P86" s="1486">
        <f t="shared" ca="1" si="30"/>
        <v>7702.6696985687413</v>
      </c>
      <c r="Q86" s="1480">
        <f t="shared" ca="1" si="31"/>
        <v>2.4247547652914823</v>
      </c>
      <c r="R86" s="384">
        <f t="shared" ca="1" si="32"/>
        <v>3176.6798889630372</v>
      </c>
      <c r="S86" s="692" t="str">
        <f t="shared" ca="1" si="20"/>
        <v xml:space="preserve"> </v>
      </c>
      <c r="U86" s="1484">
        <f ca="1">IF($A86&gt;Endyr,0,VLOOKUP($A86,Tariff_Table,Tariff!$I$33))</f>
        <v>2.3199999999999998</v>
      </c>
      <c r="V86" s="1480">
        <f t="shared" ca="1" si="21"/>
        <v>2.6106553532859067</v>
      </c>
      <c r="W86" s="1486">
        <f t="shared" ca="1" si="33"/>
        <v>6.0567204196233035</v>
      </c>
      <c r="X86" s="334">
        <f ca="1">VLOOKUP($A86,Plant_Table,'Plant Operations'!$M$270)</f>
        <v>298980.864</v>
      </c>
      <c r="Y86" s="1006">
        <f t="shared" ca="1" si="34"/>
        <v>1810.8435040654178</v>
      </c>
      <c r="Z86" s="1480">
        <f t="shared" ca="1" si="35"/>
        <v>2.4247547652914823</v>
      </c>
      <c r="AA86" s="1480">
        <f t="shared" ca="1" si="22"/>
        <v>2.4247547652914823</v>
      </c>
      <c r="AB86" s="333">
        <f t="shared" ca="1" si="36"/>
        <v>2.4978692716973456</v>
      </c>
      <c r="AC86" s="335">
        <f t="shared" ca="1" si="37"/>
        <v>746.81511301112323</v>
      </c>
      <c r="AD86" s="698" t="str">
        <f t="shared" ca="1" si="23"/>
        <v xml:space="preserve"> </v>
      </c>
    </row>
    <row r="87" spans="1:30">
      <c r="A87" s="672">
        <f>'Annex 12-Gas'!A87</f>
        <v>39234</v>
      </c>
      <c r="C87" s="1484">
        <f ca="1">IF($A87&gt;Endyr,0,VLOOKUP($A87,Tariff_Table,Tariff!$G$33))</f>
        <v>7433.43</v>
      </c>
      <c r="D87" s="1480">
        <f ca="1">VLOOKUP($A87,Curves_Table,Escalation!$AW$291)</f>
        <v>2.6106553532859067</v>
      </c>
      <c r="E87" s="1486">
        <f t="shared" ca="1" si="24"/>
        <v>19406.123822776059</v>
      </c>
      <c r="F87" s="330">
        <f ca="1">VLOOKUP($A87,Plant_Table,'Plant Operations'!$C$270)</f>
        <v>480</v>
      </c>
      <c r="G87" s="1486">
        <f t="shared" ca="1" si="25"/>
        <v>9314.9394349325084</v>
      </c>
      <c r="H87" s="1480">
        <f ca="1">IF(Assm!$L$74=0,VLOOKUP($A87,Curves_Table,Escalation!$D$291),VLOOKUP($A87,Curves_Table,Escalation!$E$291))</f>
        <v>2.4301781275237988</v>
      </c>
      <c r="I87" s="384">
        <f t="shared" ca="1" si="26"/>
        <v>3833.0274350810059</v>
      </c>
      <c r="J87" s="692" t="str">
        <f t="shared" ca="1" si="19"/>
        <v xml:space="preserve"> </v>
      </c>
      <c r="L87" s="1484">
        <f ca="1">IF($A87&gt;Endyr,0,VLOOKUP($A87,Tariff_Table,Tariff!$H$33))</f>
        <v>6146.82</v>
      </c>
      <c r="M87" s="1480">
        <f t="shared" ca="1" si="27"/>
        <v>2.6106553532859067</v>
      </c>
      <c r="N87" s="1486">
        <f t="shared" ca="1" si="28"/>
        <v>16047.228538684876</v>
      </c>
      <c r="O87" s="330">
        <f t="shared" ca="1" si="29"/>
        <v>480</v>
      </c>
      <c r="P87" s="1486">
        <f t="shared" ca="1" si="30"/>
        <v>7702.6696985687413</v>
      </c>
      <c r="Q87" s="1480">
        <f t="shared" ca="1" si="31"/>
        <v>2.4301781275237988</v>
      </c>
      <c r="R87" s="384">
        <f t="shared" ca="1" si="32"/>
        <v>3169.5905791141677</v>
      </c>
      <c r="S87" s="692" t="str">
        <f t="shared" ca="1" si="20"/>
        <v xml:space="preserve"> </v>
      </c>
      <c r="U87" s="1484">
        <f ca="1">IF($A87&gt;Endyr,0,VLOOKUP($A87,Tariff_Table,Tariff!$I$33))</f>
        <v>2.3199999999999998</v>
      </c>
      <c r="V87" s="1480">
        <f t="shared" ca="1" si="21"/>
        <v>2.6106553532859067</v>
      </c>
      <c r="W87" s="1486">
        <f t="shared" ca="1" si="33"/>
        <v>6.0567204196233035</v>
      </c>
      <c r="X87" s="334">
        <f ca="1">VLOOKUP($A87,Plant_Table,'Plant Operations'!$M$270)</f>
        <v>289336.32000000001</v>
      </c>
      <c r="Y87" s="1006">
        <f t="shared" ca="1" si="34"/>
        <v>1752.4291974826624</v>
      </c>
      <c r="Z87" s="1480">
        <f t="shared" ca="1" si="35"/>
        <v>2.4301781275237988</v>
      </c>
      <c r="AA87" s="1480">
        <f t="shared" ca="1" si="22"/>
        <v>2.4301781275237988</v>
      </c>
      <c r="AB87" s="333">
        <f t="shared" ca="1" si="36"/>
        <v>2.4922948449851812</v>
      </c>
      <c r="AC87" s="335">
        <f t="shared" ca="1" si="37"/>
        <v>721.11141880298271</v>
      </c>
      <c r="AD87" s="698" t="str">
        <f t="shared" ca="1" si="23"/>
        <v xml:space="preserve"> </v>
      </c>
    </row>
    <row r="88" spans="1:30">
      <c r="A88" s="672">
        <f>'Annex 12-Gas'!A88</f>
        <v>39264</v>
      </c>
      <c r="C88" s="1484">
        <f ca="1">IF($A88&gt;Endyr,0,VLOOKUP($A88,Tariff_Table,Tariff!$G$33))</f>
        <v>7433.43</v>
      </c>
      <c r="D88" s="1480">
        <f ca="1">VLOOKUP($A88,Curves_Table,Escalation!$AW$291)</f>
        <v>2.6106553532859067</v>
      </c>
      <c r="E88" s="1486">
        <f t="shared" ca="1" si="24"/>
        <v>19406.123822776059</v>
      </c>
      <c r="F88" s="330">
        <f ca="1">VLOOKUP($A88,Plant_Table,'Plant Operations'!$C$270)</f>
        <v>480</v>
      </c>
      <c r="G88" s="1486">
        <f t="shared" ca="1" si="25"/>
        <v>9314.9394349325084</v>
      </c>
      <c r="H88" s="1480">
        <f ca="1">IF(Assm!$L$74=0,VLOOKUP($A88,Curves_Table,Escalation!$D$291),VLOOKUP($A88,Curves_Table,Escalation!$E$291))</f>
        <v>2.4356136199963871</v>
      </c>
      <c r="I88" s="384">
        <f t="shared" ca="1" si="26"/>
        <v>3824.4733723185232</v>
      </c>
      <c r="J88" s="692" t="str">
        <f t="shared" ca="1" si="19"/>
        <v xml:space="preserve"> </v>
      </c>
      <c r="L88" s="1484">
        <f ca="1">IF($A88&gt;Endyr,0,VLOOKUP($A88,Tariff_Table,Tariff!$H$33))</f>
        <v>6146.82</v>
      </c>
      <c r="M88" s="1480">
        <f t="shared" ca="1" si="27"/>
        <v>2.6106553532859067</v>
      </c>
      <c r="N88" s="1486">
        <f t="shared" ca="1" si="28"/>
        <v>16047.228538684876</v>
      </c>
      <c r="O88" s="330">
        <f t="shared" ca="1" si="29"/>
        <v>480</v>
      </c>
      <c r="P88" s="1486">
        <f t="shared" ca="1" si="30"/>
        <v>7702.6696985687413</v>
      </c>
      <c r="Q88" s="1480">
        <f t="shared" ca="1" si="31"/>
        <v>2.4356136199963871</v>
      </c>
      <c r="R88" s="384">
        <f t="shared" ca="1" si="32"/>
        <v>3162.5170902846926</v>
      </c>
      <c r="S88" s="692" t="str">
        <f t="shared" ca="1" si="20"/>
        <v xml:space="preserve"> </v>
      </c>
      <c r="U88" s="1484">
        <f ca="1">IF($A88&gt;Endyr,0,VLOOKUP($A88,Tariff_Table,Tariff!$I$33))</f>
        <v>2.3199999999999998</v>
      </c>
      <c r="V88" s="1480">
        <f t="shared" ca="1" si="21"/>
        <v>2.6106553532859067</v>
      </c>
      <c r="W88" s="1486">
        <f t="shared" ca="1" si="33"/>
        <v>6.0567204196233035</v>
      </c>
      <c r="X88" s="334">
        <f ca="1">VLOOKUP($A88,Plant_Table,'Plant Operations'!$M$270)</f>
        <v>298980.864</v>
      </c>
      <c r="Y88" s="1006">
        <f t="shared" ca="1" si="34"/>
        <v>1810.8435040654178</v>
      </c>
      <c r="Z88" s="1480">
        <f t="shared" ca="1" si="35"/>
        <v>2.4356136199963871</v>
      </c>
      <c r="AA88" s="1480">
        <f t="shared" ca="1" si="22"/>
        <v>2.4356136199963871</v>
      </c>
      <c r="AB88" s="333">
        <f t="shared" ca="1" si="36"/>
        <v>2.4867328585690402</v>
      </c>
      <c r="AC88" s="335">
        <f t="shared" ca="1" si="37"/>
        <v>743.48553859216145</v>
      </c>
      <c r="AD88" s="698" t="str">
        <f t="shared" ca="1" si="23"/>
        <v xml:space="preserve"> </v>
      </c>
    </row>
    <row r="89" spans="1:30">
      <c r="A89" s="672">
        <f>'Annex 12-Gas'!A89</f>
        <v>39295</v>
      </c>
      <c r="C89" s="1484">
        <f ca="1">IF($A89&gt;Endyr,0,VLOOKUP($A89,Tariff_Table,Tariff!$G$33))</f>
        <v>7433.43</v>
      </c>
      <c r="D89" s="1480">
        <f ca="1">VLOOKUP($A89,Curves_Table,Escalation!$AW$291)</f>
        <v>2.6106553532859067</v>
      </c>
      <c r="E89" s="1486">
        <f t="shared" ca="1" si="24"/>
        <v>19406.123822776059</v>
      </c>
      <c r="F89" s="330">
        <f ca="1">VLOOKUP($A89,Plant_Table,'Plant Operations'!$C$270)</f>
        <v>480</v>
      </c>
      <c r="G89" s="1486">
        <f t="shared" ca="1" si="25"/>
        <v>9314.9394349325084</v>
      </c>
      <c r="H89" s="1480">
        <f ca="1">IF(Assm!$L$74=0,VLOOKUP($A89,Curves_Table,Escalation!$D$291),VLOOKUP($A89,Curves_Table,Escalation!$E$291))</f>
        <v>2.4410612698405219</v>
      </c>
      <c r="I89" s="384">
        <f t="shared" ca="1" si="26"/>
        <v>3815.9383994245532</v>
      </c>
      <c r="J89" s="692" t="str">
        <f t="shared" ca="1" si="19"/>
        <v xml:space="preserve"> </v>
      </c>
      <c r="L89" s="1484">
        <f ca="1">IF($A89&gt;Endyr,0,VLOOKUP($A89,Tariff_Table,Tariff!$H$33))</f>
        <v>6146.82</v>
      </c>
      <c r="M89" s="1480">
        <f t="shared" ca="1" si="27"/>
        <v>2.6106553532859067</v>
      </c>
      <c r="N89" s="1486">
        <f t="shared" ca="1" si="28"/>
        <v>16047.228538684876</v>
      </c>
      <c r="O89" s="330">
        <f t="shared" ca="1" si="29"/>
        <v>480</v>
      </c>
      <c r="P89" s="1486">
        <f t="shared" ca="1" si="30"/>
        <v>7702.6696985687413</v>
      </c>
      <c r="Q89" s="1480">
        <f t="shared" ca="1" si="31"/>
        <v>2.4410612698405219</v>
      </c>
      <c r="R89" s="384">
        <f t="shared" ca="1" si="32"/>
        <v>3155.4593871672741</v>
      </c>
      <c r="S89" s="692" t="str">
        <f t="shared" ca="1" si="20"/>
        <v xml:space="preserve"> </v>
      </c>
      <c r="U89" s="1484">
        <f ca="1">IF($A89&gt;Endyr,0,VLOOKUP($A89,Tariff_Table,Tariff!$I$33))</f>
        <v>2.3199999999999998</v>
      </c>
      <c r="V89" s="1480">
        <f t="shared" ca="1" si="21"/>
        <v>2.6106553532859067</v>
      </c>
      <c r="W89" s="1486">
        <f t="shared" ca="1" si="33"/>
        <v>6.0567204196233035</v>
      </c>
      <c r="X89" s="334">
        <f ca="1">VLOOKUP($A89,Plant_Table,'Plant Operations'!$M$270)</f>
        <v>298980.864</v>
      </c>
      <c r="Y89" s="1006">
        <f t="shared" ca="1" si="34"/>
        <v>1810.8435040654178</v>
      </c>
      <c r="Z89" s="1480">
        <f t="shared" ca="1" si="35"/>
        <v>2.4410612698405219</v>
      </c>
      <c r="AA89" s="1480">
        <f t="shared" ca="1" si="22"/>
        <v>2.4410612698405219</v>
      </c>
      <c r="AB89" s="333">
        <f t="shared" ca="1" si="36"/>
        <v>2.4811832846862538</v>
      </c>
      <c r="AC89" s="335">
        <f t="shared" ca="1" si="37"/>
        <v>741.8263221978541</v>
      </c>
      <c r="AD89" s="698" t="str">
        <f t="shared" ca="1" si="23"/>
        <v xml:space="preserve"> </v>
      </c>
    </row>
    <row r="90" spans="1:30">
      <c r="A90" s="672">
        <f>'Annex 12-Gas'!A90</f>
        <v>39326</v>
      </c>
      <c r="C90" s="1484">
        <f ca="1">IF($A90&gt;Endyr,0,VLOOKUP($A90,Tariff_Table,Tariff!$G$33))</f>
        <v>7433.43</v>
      </c>
      <c r="D90" s="1480">
        <f ca="1">VLOOKUP($A90,Curves_Table,Escalation!$AW$291)</f>
        <v>2.6106553532859067</v>
      </c>
      <c r="E90" s="1486">
        <f t="shared" ca="1" si="24"/>
        <v>19406.123822776059</v>
      </c>
      <c r="F90" s="330">
        <f ca="1">VLOOKUP($A90,Plant_Table,'Plant Operations'!$C$270)</f>
        <v>480</v>
      </c>
      <c r="G90" s="1486">
        <f t="shared" ca="1" si="25"/>
        <v>9314.9394349325084</v>
      </c>
      <c r="H90" s="1480">
        <f ca="1">IF(Assm!$L$74=0,VLOOKUP($A90,Curves_Table,Escalation!$D$291),VLOOKUP($A90,Curves_Table,Escalation!$E$291))</f>
        <v>2.4465211042481605</v>
      </c>
      <c r="I90" s="384">
        <f t="shared" ca="1" si="26"/>
        <v>3807.4224737967584</v>
      </c>
      <c r="J90" s="692" t="str">
        <f t="shared" ca="1" si="19"/>
        <v xml:space="preserve"> </v>
      </c>
      <c r="L90" s="1484">
        <f ca="1">IF($A90&gt;Endyr,0,VLOOKUP($A90,Tariff_Table,Tariff!$H$33))</f>
        <v>6146.82</v>
      </c>
      <c r="M90" s="1480">
        <f t="shared" ca="1" si="27"/>
        <v>2.6106553532859067</v>
      </c>
      <c r="N90" s="1486">
        <f t="shared" ca="1" si="28"/>
        <v>16047.228538684876</v>
      </c>
      <c r="O90" s="330">
        <f t="shared" ca="1" si="29"/>
        <v>480</v>
      </c>
      <c r="P90" s="1486">
        <f t="shared" ca="1" si="30"/>
        <v>7702.6696985687413</v>
      </c>
      <c r="Q90" s="1480">
        <f t="shared" ca="1" si="31"/>
        <v>2.4465211042481605</v>
      </c>
      <c r="R90" s="384">
        <f t="shared" ca="1" si="32"/>
        <v>3148.4174345333699</v>
      </c>
      <c r="S90" s="692" t="str">
        <f t="shared" ca="1" si="20"/>
        <v xml:space="preserve"> </v>
      </c>
      <c r="U90" s="1484">
        <f ca="1">IF($A90&gt;Endyr,0,VLOOKUP($A90,Tariff_Table,Tariff!$I$33))</f>
        <v>2.3199999999999998</v>
      </c>
      <c r="V90" s="1480">
        <f t="shared" ca="1" si="21"/>
        <v>2.6106553532859067</v>
      </c>
      <c r="W90" s="1486">
        <f t="shared" ca="1" si="33"/>
        <v>6.0567204196233035</v>
      </c>
      <c r="X90" s="334">
        <f ca="1">VLOOKUP($A90,Plant_Table,'Plant Operations'!$M$270)</f>
        <v>289336.32000000001</v>
      </c>
      <c r="Y90" s="1006">
        <f t="shared" ca="1" si="34"/>
        <v>1752.4291974826624</v>
      </c>
      <c r="Z90" s="1480">
        <f t="shared" ca="1" si="35"/>
        <v>2.4465211042481605</v>
      </c>
      <c r="AA90" s="1480">
        <f t="shared" ca="1" si="22"/>
        <v>2.4465211042481605</v>
      </c>
      <c r="AB90" s="333">
        <f t="shared" ca="1" si="36"/>
        <v>2.4756460956361104</v>
      </c>
      <c r="AC90" s="335">
        <f t="shared" ca="1" si="37"/>
        <v>716.29433093372018</v>
      </c>
      <c r="AD90" s="698" t="str">
        <f t="shared" ca="1" si="23"/>
        <v xml:space="preserve"> </v>
      </c>
    </row>
    <row r="91" spans="1:30">
      <c r="A91" s="672">
        <f>'Annex 12-Gas'!A91</f>
        <v>39356</v>
      </c>
      <c r="C91" s="1484">
        <f ca="1">IF($A91&gt;Endyr,0,VLOOKUP($A91,Tariff_Table,Tariff!$G$33))</f>
        <v>7433.43</v>
      </c>
      <c r="D91" s="1480">
        <f ca="1">VLOOKUP($A91,Curves_Table,Escalation!$AW$291)</f>
        <v>2.6106553532859067</v>
      </c>
      <c r="E91" s="1486">
        <f t="shared" ca="1" si="24"/>
        <v>19406.123822776059</v>
      </c>
      <c r="F91" s="330">
        <f ca="1">VLOOKUP($A91,Plant_Table,'Plant Operations'!$C$270)</f>
        <v>480</v>
      </c>
      <c r="G91" s="1486">
        <f t="shared" ca="1" si="25"/>
        <v>9314.9394349325084</v>
      </c>
      <c r="H91" s="1480">
        <f ca="1">IF(Assm!$L$74=0,VLOOKUP($A91,Curves_Table,Escalation!$D$291),VLOOKUP($A91,Curves_Table,Escalation!$E$291))</f>
        <v>2.4519931504720804</v>
      </c>
      <c r="I91" s="384">
        <f t="shared" ca="1" si="26"/>
        <v>3798.9255529278744</v>
      </c>
      <c r="J91" s="692" t="str">
        <f t="shared" ca="1" si="19"/>
        <v xml:space="preserve"> </v>
      </c>
      <c r="L91" s="1484">
        <f ca="1">IF($A91&gt;Endyr,0,VLOOKUP($A91,Tariff_Table,Tariff!$H$33))</f>
        <v>6146.82</v>
      </c>
      <c r="M91" s="1480">
        <f t="shared" ca="1" si="27"/>
        <v>2.6106553532859067</v>
      </c>
      <c r="N91" s="1486">
        <f t="shared" ca="1" si="28"/>
        <v>16047.228538684876</v>
      </c>
      <c r="O91" s="330">
        <f t="shared" ca="1" si="29"/>
        <v>480</v>
      </c>
      <c r="P91" s="1486">
        <f t="shared" ca="1" si="30"/>
        <v>7702.6696985687413</v>
      </c>
      <c r="Q91" s="1480">
        <f t="shared" ca="1" si="31"/>
        <v>2.4519931504720804</v>
      </c>
      <c r="R91" s="384">
        <f t="shared" ca="1" si="32"/>
        <v>3141.3911972330557</v>
      </c>
      <c r="S91" s="692" t="str">
        <f t="shared" ca="1" si="20"/>
        <v xml:space="preserve"> </v>
      </c>
      <c r="U91" s="1484">
        <f ca="1">IF($A91&gt;Endyr,0,VLOOKUP($A91,Tariff_Table,Tariff!$I$33))</f>
        <v>2.3199999999999998</v>
      </c>
      <c r="V91" s="1480">
        <f t="shared" ca="1" si="21"/>
        <v>2.6106553532859067</v>
      </c>
      <c r="W91" s="1486">
        <f t="shared" ca="1" si="33"/>
        <v>6.0567204196233035</v>
      </c>
      <c r="X91" s="334">
        <f ca="1">VLOOKUP($A91,Plant_Table,'Plant Operations'!$M$270)</f>
        <v>298980.864</v>
      </c>
      <c r="Y91" s="1006">
        <f t="shared" ca="1" si="34"/>
        <v>1810.8435040654178</v>
      </c>
      <c r="Z91" s="1480">
        <f t="shared" ca="1" si="35"/>
        <v>2.4519931504720804</v>
      </c>
      <c r="AA91" s="1480">
        <f t="shared" ca="1" si="22"/>
        <v>2.4519931504720804</v>
      </c>
      <c r="AB91" s="333">
        <f t="shared" ca="1" si="36"/>
        <v>2.4701212637797165</v>
      </c>
      <c r="AC91" s="335">
        <f t="shared" ca="1" si="37"/>
        <v>738.51898962963151</v>
      </c>
      <c r="AD91" s="698" t="str">
        <f t="shared" ca="1" si="23"/>
        <v xml:space="preserve"> </v>
      </c>
    </row>
    <row r="92" spans="1:30">
      <c r="A92" s="672">
        <f>'Annex 12-Gas'!A92</f>
        <v>39387</v>
      </c>
      <c r="C92" s="1484">
        <f ca="1">IF($A92&gt;Endyr,0,VLOOKUP($A92,Tariff_Table,Tariff!$G$33))</f>
        <v>7433.43</v>
      </c>
      <c r="D92" s="1480">
        <f ca="1">VLOOKUP($A92,Curves_Table,Escalation!$AW$291)</f>
        <v>2.6106553532859067</v>
      </c>
      <c r="E92" s="1486">
        <f t="shared" ca="1" si="24"/>
        <v>19406.123822776059</v>
      </c>
      <c r="F92" s="330">
        <f ca="1">VLOOKUP($A92,Plant_Table,'Plant Operations'!$C$270)</f>
        <v>480</v>
      </c>
      <c r="G92" s="1486">
        <f t="shared" ca="1" si="25"/>
        <v>9314.9394349325084</v>
      </c>
      <c r="H92" s="1480">
        <f ca="1">IF(Assm!$L$74=0,VLOOKUP($A92,Curves_Table,Escalation!$D$291),VLOOKUP($A92,Curves_Table,Escalation!$E$291))</f>
        <v>2.4574774358260143</v>
      </c>
      <c r="I92" s="384">
        <f t="shared" ca="1" si="26"/>
        <v>3790.4475944054984</v>
      </c>
      <c r="J92" s="692" t="str">
        <f t="shared" ca="1" si="19"/>
        <v xml:space="preserve"> </v>
      </c>
      <c r="L92" s="1484">
        <f ca="1">IF($A92&gt;Endyr,0,VLOOKUP($A92,Tariff_Table,Tariff!$H$33))</f>
        <v>6146.82</v>
      </c>
      <c r="M92" s="1480">
        <f t="shared" ca="1" si="27"/>
        <v>2.6106553532859067</v>
      </c>
      <c r="N92" s="1486">
        <f t="shared" ca="1" si="28"/>
        <v>16047.228538684876</v>
      </c>
      <c r="O92" s="330">
        <f t="shared" ca="1" si="29"/>
        <v>480</v>
      </c>
      <c r="P92" s="1486">
        <f t="shared" ca="1" si="30"/>
        <v>7702.6696985687413</v>
      </c>
      <c r="Q92" s="1480">
        <f t="shared" ca="1" si="31"/>
        <v>2.4574774358260143</v>
      </c>
      <c r="R92" s="384">
        <f t="shared" ca="1" si="32"/>
        <v>3134.38064019485</v>
      </c>
      <c r="S92" s="692" t="str">
        <f t="shared" ca="1" si="20"/>
        <v xml:space="preserve"> </v>
      </c>
      <c r="U92" s="1484">
        <f ca="1">IF($A92&gt;Endyr,0,VLOOKUP($A92,Tariff_Table,Tariff!$I$33))</f>
        <v>2.3199999999999998</v>
      </c>
      <c r="V92" s="1480">
        <f t="shared" ca="1" si="21"/>
        <v>2.6106553532859067</v>
      </c>
      <c r="W92" s="1486">
        <f t="shared" ca="1" si="33"/>
        <v>6.0567204196233035</v>
      </c>
      <c r="X92" s="334">
        <f ca="1">VLOOKUP($A92,Plant_Table,'Plant Operations'!$M$270)</f>
        <v>289336.32000000001</v>
      </c>
      <c r="Y92" s="1006">
        <f t="shared" ca="1" si="34"/>
        <v>1752.4291974826624</v>
      </c>
      <c r="Z92" s="1480">
        <f t="shared" ca="1" si="35"/>
        <v>2.4574774358260143</v>
      </c>
      <c r="AA92" s="1480">
        <f t="shared" ca="1" si="22"/>
        <v>2.4574774358260143</v>
      </c>
      <c r="AB92" s="333">
        <f t="shared" ca="1" si="36"/>
        <v>2.4646087615398597</v>
      </c>
      <c r="AC92" s="335">
        <f t="shared" ca="1" si="37"/>
        <v>713.10082930370061</v>
      </c>
      <c r="AD92" s="698" t="str">
        <f t="shared" ca="1" si="23"/>
        <v xml:space="preserve"> </v>
      </c>
    </row>
    <row r="93" spans="1:30">
      <c r="A93" s="672">
        <f>'Annex 12-Gas'!A93</f>
        <v>39417</v>
      </c>
      <c r="C93" s="1484">
        <f ca="1">IF($A93&gt;Endyr,0,VLOOKUP($A93,Tariff_Table,Tariff!$G$33))</f>
        <v>7433.43</v>
      </c>
      <c r="D93" s="1480">
        <f ca="1">VLOOKUP($A93,Curves_Table,Escalation!$AW$291)</f>
        <v>2.6106553532859067</v>
      </c>
      <c r="E93" s="1486">
        <f t="shared" ca="1" si="24"/>
        <v>19406.123822776059</v>
      </c>
      <c r="F93" s="330">
        <f ca="1">VLOOKUP($A93,Plant_Table,'Plant Operations'!$C$270)</f>
        <v>480</v>
      </c>
      <c r="G93" s="1486">
        <f t="shared" ca="1" si="25"/>
        <v>9314.9394349325084</v>
      </c>
      <c r="H93" s="1480">
        <f ca="1">IF(Assm!$L$74=0,VLOOKUP($A93,Curves_Table,Escalation!$D$291),VLOOKUP($A93,Curves_Table,Escalation!$E$291))</f>
        <v>2.4629739876847867</v>
      </c>
      <c r="I93" s="384">
        <f t="shared" ca="1" si="26"/>
        <v>3781.9885559118788</v>
      </c>
      <c r="J93" s="692">
        <f t="shared" ca="1" si="19"/>
        <v>45938.027491768633</v>
      </c>
      <c r="L93" s="1484">
        <f ca="1">IF($A93&gt;Endyr,0,VLOOKUP($A93,Tariff_Table,Tariff!$H$33))</f>
        <v>6146.82</v>
      </c>
      <c r="M93" s="1480">
        <f t="shared" ca="1" si="27"/>
        <v>2.6106553532859067</v>
      </c>
      <c r="N93" s="1486">
        <f t="shared" ca="1" si="28"/>
        <v>16047.228538684876</v>
      </c>
      <c r="O93" s="330">
        <f t="shared" ca="1" si="29"/>
        <v>480</v>
      </c>
      <c r="P93" s="1486">
        <f t="shared" ca="1" si="30"/>
        <v>7702.6696985687413</v>
      </c>
      <c r="Q93" s="1480">
        <f t="shared" ca="1" si="31"/>
        <v>2.4629739876847867</v>
      </c>
      <c r="R93" s="384">
        <f t="shared" ca="1" si="32"/>
        <v>3127.3857284255391</v>
      </c>
      <c r="S93" s="692">
        <f t="shared" ca="1" si="20"/>
        <v>37966.54093727906</v>
      </c>
      <c r="U93" s="1484">
        <f ca="1">IF($A93&gt;Endyr,0,VLOOKUP($A93,Tariff_Table,Tariff!$I$33))</f>
        <v>2.3199999999999998</v>
      </c>
      <c r="V93" s="1480">
        <f t="shared" ca="1" si="21"/>
        <v>2.6106553532859067</v>
      </c>
      <c r="W93" s="1486">
        <f t="shared" ca="1" si="33"/>
        <v>6.0567204196233035</v>
      </c>
      <c r="X93" s="334">
        <f ca="1">VLOOKUP($A93,Plant_Table,'Plant Operations'!$M$270)</f>
        <v>298980.864</v>
      </c>
      <c r="Y93" s="1006">
        <f t="shared" ca="1" si="34"/>
        <v>1810.8435040654178</v>
      </c>
      <c r="Z93" s="1480">
        <f t="shared" ca="1" si="35"/>
        <v>2.4629739876847867</v>
      </c>
      <c r="AA93" s="1480">
        <f t="shared" ca="1" si="22"/>
        <v>2.4629739876847867</v>
      </c>
      <c r="AB93" s="333">
        <f t="shared" ca="1" si="36"/>
        <v>2.4591085614008716</v>
      </c>
      <c r="AC93" s="335">
        <f t="shared" ca="1" si="37"/>
        <v>735.22640235742961</v>
      </c>
      <c r="AD93" s="698">
        <f t="shared" ca="1" si="23"/>
        <v>8750.9467926517136</v>
      </c>
    </row>
    <row r="94" spans="1:30">
      <c r="A94" s="672">
        <f>'Annex 12-Gas'!A94</f>
        <v>39448</v>
      </c>
      <c r="C94" s="1484">
        <f ca="1">IF($A94&gt;Endyr,0,VLOOKUP($A94,Tariff_Table,Tariff!$G$33))</f>
        <v>7433.43</v>
      </c>
      <c r="D94" s="1480">
        <f ca="1">VLOOKUP($A94,Curves_Table,Escalation!$AW$291)</f>
        <v>2.6106553532859067</v>
      </c>
      <c r="E94" s="1486">
        <f t="shared" ca="1" si="24"/>
        <v>19406.123822776059</v>
      </c>
      <c r="F94" s="330">
        <f ca="1">VLOOKUP($A94,Plant_Table,'Plant Operations'!$C$270)</f>
        <v>480</v>
      </c>
      <c r="G94" s="1486">
        <f t="shared" ca="1" si="25"/>
        <v>9314.9394349325084</v>
      </c>
      <c r="H94" s="1480">
        <f ca="1">IF(Assm!$L$74=0,VLOOKUP($A94,Curves_Table,Escalation!$D$291),VLOOKUP($A94,Curves_Table,Escalation!$E$291))</f>
        <v>2.4681826378384035</v>
      </c>
      <c r="I94" s="384">
        <f t="shared" ca="1" si="26"/>
        <v>3774.0073575310412</v>
      </c>
      <c r="J94" s="692" t="str">
        <f t="shared" ca="1" si="19"/>
        <v xml:space="preserve"> </v>
      </c>
      <c r="L94" s="1484">
        <f ca="1">IF($A94&gt;Endyr,0,VLOOKUP($A94,Tariff_Table,Tariff!$H$33))</f>
        <v>6146.82</v>
      </c>
      <c r="M94" s="1480">
        <f t="shared" ca="1" si="27"/>
        <v>2.6106553532859067</v>
      </c>
      <c r="N94" s="1486">
        <f t="shared" ca="1" si="28"/>
        <v>16047.228538684876</v>
      </c>
      <c r="O94" s="330">
        <f t="shared" ca="1" si="29"/>
        <v>480</v>
      </c>
      <c r="P94" s="1486">
        <f t="shared" ca="1" si="30"/>
        <v>7702.6696985687413</v>
      </c>
      <c r="Q94" s="1480">
        <f t="shared" ca="1" si="31"/>
        <v>2.4681826378384035</v>
      </c>
      <c r="R94" s="384">
        <f t="shared" ca="1" si="32"/>
        <v>3120.7859501493867</v>
      </c>
      <c r="S94" s="692" t="str">
        <f t="shared" ca="1" si="20"/>
        <v xml:space="preserve"> </v>
      </c>
      <c r="U94" s="1484">
        <f ca="1">IF($A94&gt;Endyr,0,VLOOKUP($A94,Tariff_Table,Tariff!$I$33))</f>
        <v>2.3199999999999998</v>
      </c>
      <c r="V94" s="1480">
        <f t="shared" ca="1" si="21"/>
        <v>2.6106553532859067</v>
      </c>
      <c r="W94" s="1486">
        <f t="shared" ca="1" si="33"/>
        <v>6.0567204196233035</v>
      </c>
      <c r="X94" s="334">
        <f ca="1">VLOOKUP($A94,Plant_Table,'Plant Operations'!$M$270)</f>
        <v>298980.864</v>
      </c>
      <c r="Y94" s="1006">
        <f t="shared" ca="1" si="34"/>
        <v>1810.8435040654178</v>
      </c>
      <c r="Z94" s="1480">
        <f t="shared" ca="1" si="35"/>
        <v>2.4681826378384035</v>
      </c>
      <c r="AA94" s="1480">
        <f t="shared" ca="1" si="22"/>
        <v>2.4681826378384035</v>
      </c>
      <c r="AB94" s="333">
        <f t="shared" ca="1" si="36"/>
        <v>2.4539190604337473</v>
      </c>
      <c r="AC94" s="335">
        <f t="shared" ca="1" si="37"/>
        <v>733.67484087455</v>
      </c>
      <c r="AD94" s="698" t="str">
        <f t="shared" ca="1" si="23"/>
        <v xml:space="preserve"> </v>
      </c>
    </row>
    <row r="95" spans="1:30">
      <c r="A95" s="672">
        <f>'Annex 12-Gas'!A95</f>
        <v>39479</v>
      </c>
      <c r="C95" s="1484">
        <f ca="1">IF($A95&gt;Endyr,0,VLOOKUP($A95,Tariff_Table,Tariff!$G$33))</f>
        <v>7433.43</v>
      </c>
      <c r="D95" s="1480">
        <f ca="1">VLOOKUP($A95,Curves_Table,Escalation!$AW$291)</f>
        <v>2.6106553532859067</v>
      </c>
      <c r="E95" s="1486">
        <f t="shared" ca="1" si="24"/>
        <v>19406.123822776059</v>
      </c>
      <c r="F95" s="330">
        <f ca="1">VLOOKUP($A95,Plant_Table,'Plant Operations'!$C$270)</f>
        <v>480</v>
      </c>
      <c r="G95" s="1486">
        <f t="shared" ca="1" si="25"/>
        <v>9314.9394349325084</v>
      </c>
      <c r="H95" s="1480">
        <f ca="1">IF(Assm!$L$74=0,VLOOKUP($A95,Curves_Table,Escalation!$D$291),VLOOKUP($A95,Curves_Table,Escalation!$E$291))</f>
        <v>2.4734023031454724</v>
      </c>
      <c r="I95" s="384">
        <f t="shared" ca="1" si="26"/>
        <v>3766.0430020165036</v>
      </c>
      <c r="J95" s="692" t="str">
        <f t="shared" ca="1" si="19"/>
        <v xml:space="preserve"> </v>
      </c>
      <c r="L95" s="1484">
        <f ca="1">IF($A95&gt;Endyr,0,VLOOKUP($A95,Tariff_Table,Tariff!$H$33))</f>
        <v>6146.82</v>
      </c>
      <c r="M95" s="1480">
        <f t="shared" ca="1" si="27"/>
        <v>2.6106553532859067</v>
      </c>
      <c r="N95" s="1486">
        <f t="shared" ca="1" si="28"/>
        <v>16047.228538684876</v>
      </c>
      <c r="O95" s="330">
        <f t="shared" ca="1" si="29"/>
        <v>480</v>
      </c>
      <c r="P95" s="1486">
        <f t="shared" ca="1" si="30"/>
        <v>7702.6696985687413</v>
      </c>
      <c r="Q95" s="1480">
        <f t="shared" ca="1" si="31"/>
        <v>2.4734023031454724</v>
      </c>
      <c r="R95" s="384">
        <f t="shared" ca="1" si="32"/>
        <v>3114.2000995038738</v>
      </c>
      <c r="S95" s="692" t="str">
        <f t="shared" ca="1" si="20"/>
        <v xml:space="preserve"> </v>
      </c>
      <c r="U95" s="1484">
        <f ca="1">IF($A95&gt;Endyr,0,VLOOKUP($A95,Tariff_Table,Tariff!$I$33))</f>
        <v>2.3199999999999998</v>
      </c>
      <c r="V95" s="1480">
        <f t="shared" ca="1" si="21"/>
        <v>2.6106553532859067</v>
      </c>
      <c r="W95" s="1486">
        <f t="shared" ca="1" si="33"/>
        <v>6.0567204196233035</v>
      </c>
      <c r="X95" s="334">
        <f ca="1">VLOOKUP($A95,Plant_Table,'Plant Operations'!$M$270)</f>
        <v>279691.77600000001</v>
      </c>
      <c r="Y95" s="1006">
        <f t="shared" ca="1" si="34"/>
        <v>1694.0148908999072</v>
      </c>
      <c r="Z95" s="1480">
        <f t="shared" ca="1" si="35"/>
        <v>2.4734023031454724</v>
      </c>
      <c r="AA95" s="1480">
        <f t="shared" ca="1" si="22"/>
        <v>2.4734023031454724</v>
      </c>
      <c r="AB95" s="333">
        <f t="shared" ca="1" si="36"/>
        <v>2.4487405109637272</v>
      </c>
      <c r="AC95" s="335">
        <f t="shared" ca="1" si="37"/>
        <v>684.89258247459236</v>
      </c>
      <c r="AD95" s="698" t="str">
        <f t="shared" ca="1" si="23"/>
        <v xml:space="preserve"> </v>
      </c>
    </row>
    <row r="96" spans="1:30">
      <c r="A96" s="672">
        <f>'Annex 12-Gas'!A96</f>
        <v>39508</v>
      </c>
      <c r="C96" s="1484">
        <f ca="1">IF($A96&gt;Endyr,0,VLOOKUP($A96,Tariff_Table,Tariff!$G$33))</f>
        <v>7433.43</v>
      </c>
      <c r="D96" s="1480">
        <f ca="1">VLOOKUP($A96,Curves_Table,Escalation!$AW$291)</f>
        <v>2.6106553532859067</v>
      </c>
      <c r="E96" s="1486">
        <f t="shared" ca="1" si="24"/>
        <v>19406.123822776059</v>
      </c>
      <c r="F96" s="330">
        <f ca="1">VLOOKUP($A96,Plant_Table,'Plant Operations'!$C$270)</f>
        <v>480</v>
      </c>
      <c r="G96" s="1486">
        <f t="shared" ca="1" si="25"/>
        <v>9314.9394349325084</v>
      </c>
      <c r="H96" s="1480">
        <f ca="1">IF(Assm!$L$74=0,VLOOKUP($A96,Curves_Table,Escalation!$D$291),VLOOKUP($A96,Curves_Table,Escalation!$E$291))</f>
        <v>2.4786330069006288</v>
      </c>
      <c r="I96" s="384">
        <f t="shared" ca="1" si="26"/>
        <v>3758.0954538244614</v>
      </c>
      <c r="J96" s="692" t="str">
        <f t="shared" ca="1" si="19"/>
        <v xml:space="preserve"> </v>
      </c>
      <c r="L96" s="1484">
        <f ca="1">IF($A96&gt;Endyr,0,VLOOKUP($A96,Tariff_Table,Tariff!$H$33))</f>
        <v>6146.82</v>
      </c>
      <c r="M96" s="1480">
        <f t="shared" ca="1" si="27"/>
        <v>2.6106553532859067</v>
      </c>
      <c r="N96" s="1486">
        <f t="shared" ca="1" si="28"/>
        <v>16047.228538684876</v>
      </c>
      <c r="O96" s="330">
        <f t="shared" ca="1" si="29"/>
        <v>480</v>
      </c>
      <c r="P96" s="1486">
        <f t="shared" ca="1" si="30"/>
        <v>7702.6696985687413</v>
      </c>
      <c r="Q96" s="1480">
        <f t="shared" ca="1" si="31"/>
        <v>2.4786330069006288</v>
      </c>
      <c r="R96" s="384">
        <f t="shared" ca="1" si="32"/>
        <v>3107.6281470972722</v>
      </c>
      <c r="S96" s="692" t="str">
        <f t="shared" ca="1" si="20"/>
        <v xml:space="preserve"> </v>
      </c>
      <c r="U96" s="1484">
        <f ca="1">IF($A96&gt;Endyr,0,VLOOKUP($A96,Tariff_Table,Tariff!$I$33))</f>
        <v>2.3199999999999998</v>
      </c>
      <c r="V96" s="1480">
        <f t="shared" ca="1" si="21"/>
        <v>2.6106553532859067</v>
      </c>
      <c r="W96" s="1486">
        <f t="shared" ca="1" si="33"/>
        <v>6.0567204196233035</v>
      </c>
      <c r="X96" s="334">
        <f ca="1">VLOOKUP($A96,Plant_Table,'Plant Operations'!$M$270)</f>
        <v>298980.864</v>
      </c>
      <c r="Y96" s="1006">
        <f t="shared" ca="1" si="34"/>
        <v>1810.8435040654178</v>
      </c>
      <c r="Z96" s="1480">
        <f t="shared" ca="1" si="35"/>
        <v>2.4786330069006288</v>
      </c>
      <c r="AA96" s="1480">
        <f t="shared" ca="1" si="22"/>
        <v>2.4786330069006288</v>
      </c>
      <c r="AB96" s="333">
        <f t="shared" ca="1" si="36"/>
        <v>2.4435728898796691</v>
      </c>
      <c r="AC96" s="335">
        <f t="shared" ca="1" si="37"/>
        <v>730.58153386320032</v>
      </c>
      <c r="AD96" s="698" t="str">
        <f t="shared" ca="1" si="23"/>
        <v xml:space="preserve"> </v>
      </c>
    </row>
    <row r="97" spans="1:30">
      <c r="A97" s="672">
        <f>'Annex 12-Gas'!A97</f>
        <v>39539</v>
      </c>
      <c r="C97" s="1484">
        <f ca="1">IF($A97&gt;Endyr,0,VLOOKUP($A97,Tariff_Table,Tariff!$G$33))</f>
        <v>7433.43</v>
      </c>
      <c r="D97" s="1480">
        <f ca="1">VLOOKUP($A97,Curves_Table,Escalation!$AW$291)</f>
        <v>2.6106553532859067</v>
      </c>
      <c r="E97" s="1486">
        <f t="shared" ca="1" si="24"/>
        <v>19406.123822776059</v>
      </c>
      <c r="F97" s="330">
        <f ca="1">VLOOKUP($A97,Plant_Table,'Plant Operations'!$C$270)</f>
        <v>480</v>
      </c>
      <c r="G97" s="1486">
        <f t="shared" ca="1" si="25"/>
        <v>9314.9394349325084</v>
      </c>
      <c r="H97" s="1480">
        <f ca="1">IF(Assm!$L$74=0,VLOOKUP($A97,Curves_Table,Escalation!$D$291),VLOOKUP($A97,Curves_Table,Escalation!$E$291))</f>
        <v>2.4838747724477708</v>
      </c>
      <c r="I97" s="384">
        <f t="shared" ca="1" si="26"/>
        <v>3750.1646774861219</v>
      </c>
      <c r="J97" s="692" t="str">
        <f t="shared" ca="1" si="19"/>
        <v xml:space="preserve"> </v>
      </c>
      <c r="L97" s="1484">
        <f ca="1">IF($A97&gt;Endyr,0,VLOOKUP($A97,Tariff_Table,Tariff!$H$33))</f>
        <v>6146.82</v>
      </c>
      <c r="M97" s="1480">
        <f t="shared" ca="1" si="27"/>
        <v>2.6106553532859067</v>
      </c>
      <c r="N97" s="1486">
        <f t="shared" ca="1" si="28"/>
        <v>16047.228538684876</v>
      </c>
      <c r="O97" s="330">
        <f t="shared" ca="1" si="29"/>
        <v>480</v>
      </c>
      <c r="P97" s="1486">
        <f t="shared" ca="1" si="30"/>
        <v>7702.6696985687413</v>
      </c>
      <c r="Q97" s="1480">
        <f t="shared" ca="1" si="31"/>
        <v>2.4838747724477708</v>
      </c>
      <c r="R97" s="384">
        <f t="shared" ca="1" si="32"/>
        <v>3101.0700635998783</v>
      </c>
      <c r="S97" s="692" t="str">
        <f t="shared" ca="1" si="20"/>
        <v xml:space="preserve"> </v>
      </c>
      <c r="U97" s="1484">
        <f ca="1">IF($A97&gt;Endyr,0,VLOOKUP($A97,Tariff_Table,Tariff!$I$33))</f>
        <v>2.3199999999999998</v>
      </c>
      <c r="V97" s="1480">
        <f t="shared" ca="1" si="21"/>
        <v>2.6106553532859067</v>
      </c>
      <c r="W97" s="1486">
        <f t="shared" ca="1" si="33"/>
        <v>6.0567204196233035</v>
      </c>
      <c r="X97" s="334">
        <f ca="1">VLOOKUP($A97,Plant_Table,'Plant Operations'!$M$270)</f>
        <v>289336.32000000001</v>
      </c>
      <c r="Y97" s="1006">
        <f t="shared" ca="1" si="34"/>
        <v>1752.4291974826624</v>
      </c>
      <c r="Z97" s="1480">
        <f t="shared" ca="1" si="35"/>
        <v>2.4838747724477708</v>
      </c>
      <c r="AA97" s="1480">
        <f t="shared" ca="1" si="22"/>
        <v>2.4838747724477708</v>
      </c>
      <c r="AB97" s="333">
        <f t="shared" ca="1" si="36"/>
        <v>2.438416174119205</v>
      </c>
      <c r="AC97" s="335">
        <f t="shared" ca="1" si="37"/>
        <v>705.52236244812991</v>
      </c>
      <c r="AD97" s="698" t="str">
        <f t="shared" ca="1" si="23"/>
        <v xml:space="preserve"> </v>
      </c>
    </row>
    <row r="98" spans="1:30">
      <c r="A98" s="672">
        <f>'Annex 12-Gas'!A98</f>
        <v>39569</v>
      </c>
      <c r="C98" s="1484">
        <f ca="1">IF($A98&gt;Endyr,0,VLOOKUP($A98,Tariff_Table,Tariff!$G$33))</f>
        <v>7424.62</v>
      </c>
      <c r="D98" s="1480">
        <f ca="1">VLOOKUP($A98,Curves_Table,Escalation!$AW$291)</f>
        <v>2.6106553532859067</v>
      </c>
      <c r="E98" s="1486">
        <f t="shared" ca="1" si="24"/>
        <v>19383.123949113608</v>
      </c>
      <c r="F98" s="330">
        <f ca="1">VLOOKUP($A98,Plant_Table,'Plant Operations'!$C$270)</f>
        <v>480</v>
      </c>
      <c r="G98" s="1486">
        <f t="shared" ca="1" si="25"/>
        <v>9303.8994955745329</v>
      </c>
      <c r="H98" s="1480">
        <f ca="1">IF(Assm!$L$74=0,VLOOKUP($A98,Curves_Table,Escalation!$D$291),VLOOKUP($A98,Curves_Table,Escalation!$E$291))</f>
        <v>2.4891276231801638</v>
      </c>
      <c r="I98" s="384">
        <f t="shared" ca="1" si="26"/>
        <v>3737.8153731176176</v>
      </c>
      <c r="J98" s="692" t="str">
        <f t="shared" ca="1" si="19"/>
        <v xml:space="preserve"> </v>
      </c>
      <c r="L98" s="1484">
        <f ca="1">IF($A98&gt;Endyr,0,VLOOKUP($A98,Tariff_Table,Tariff!$H$33))</f>
        <v>6118.02</v>
      </c>
      <c r="M98" s="1480">
        <f t="shared" ca="1" si="27"/>
        <v>2.6106553532859067</v>
      </c>
      <c r="N98" s="1486">
        <f t="shared" ca="1" si="28"/>
        <v>15972.041664510243</v>
      </c>
      <c r="O98" s="330">
        <f t="shared" ca="1" si="29"/>
        <v>480</v>
      </c>
      <c r="P98" s="1486">
        <f t="shared" ca="1" si="30"/>
        <v>7666.5799989649167</v>
      </c>
      <c r="Q98" s="1480">
        <f t="shared" ca="1" si="31"/>
        <v>2.4891276231801638</v>
      </c>
      <c r="R98" s="384">
        <f t="shared" ca="1" si="32"/>
        <v>3080.0268847484513</v>
      </c>
      <c r="S98" s="692" t="str">
        <f t="shared" ca="1" si="20"/>
        <v xml:space="preserve"> </v>
      </c>
      <c r="U98" s="1484">
        <f ca="1">IF($A98&gt;Endyr,0,VLOOKUP($A98,Tariff_Table,Tariff!$I$33))</f>
        <v>2.31</v>
      </c>
      <c r="V98" s="1480">
        <f t="shared" ca="1" si="21"/>
        <v>2.6106553532859067</v>
      </c>
      <c r="W98" s="1486">
        <f t="shared" ca="1" si="33"/>
        <v>6.0306138660904445</v>
      </c>
      <c r="X98" s="334">
        <f ca="1">VLOOKUP($A98,Plant_Table,'Plant Operations'!$M$270)</f>
        <v>298980.864</v>
      </c>
      <c r="Y98" s="1006">
        <f t="shared" ca="1" si="34"/>
        <v>1803.0381441341015</v>
      </c>
      <c r="Z98" s="1480">
        <f t="shared" ca="1" si="35"/>
        <v>2.4891276231801638</v>
      </c>
      <c r="AA98" s="1480">
        <f t="shared" ca="1" si="22"/>
        <v>2.4891276231801638</v>
      </c>
      <c r="AB98" s="333">
        <f t="shared" ca="1" si="36"/>
        <v>2.4227821064416135</v>
      </c>
      <c r="AC98" s="335">
        <f t="shared" ca="1" si="37"/>
        <v>724.36548746765368</v>
      </c>
      <c r="AD98" s="698" t="str">
        <f t="shared" ca="1" si="23"/>
        <v xml:space="preserve"> </v>
      </c>
    </row>
    <row r="99" spans="1:30">
      <c r="A99" s="672">
        <f>'Annex 12-Gas'!A99</f>
        <v>39600</v>
      </c>
      <c r="C99" s="1484">
        <f ca="1">IF($A99&gt;Endyr,0,VLOOKUP($A99,Tariff_Table,Tariff!$G$33))</f>
        <v>7424.62</v>
      </c>
      <c r="D99" s="1480">
        <f ca="1">VLOOKUP($A99,Curves_Table,Escalation!$AW$291)</f>
        <v>2.6106553532859067</v>
      </c>
      <c r="E99" s="1486">
        <f t="shared" ca="1" si="24"/>
        <v>19383.123949113608</v>
      </c>
      <c r="F99" s="330">
        <f ca="1">VLOOKUP($A99,Plant_Table,'Plant Operations'!$C$270)</f>
        <v>480</v>
      </c>
      <c r="G99" s="1486">
        <f t="shared" ca="1" si="25"/>
        <v>9303.8994955745329</v>
      </c>
      <c r="H99" s="1480">
        <f ca="1">IF(Assm!$L$74=0,VLOOKUP($A99,Curves_Table,Escalation!$D$291),VLOOKUP($A99,Curves_Table,Escalation!$E$291))</f>
        <v>2.4943915825405454</v>
      </c>
      <c r="I99" s="384">
        <f t="shared" ca="1" si="26"/>
        <v>3729.9273941978599</v>
      </c>
      <c r="J99" s="692" t="str">
        <f t="shared" ca="1" si="19"/>
        <v xml:space="preserve"> </v>
      </c>
      <c r="L99" s="1484">
        <f ca="1">IF($A99&gt;Endyr,0,VLOOKUP($A99,Tariff_Table,Tariff!$H$33))</f>
        <v>6118.02</v>
      </c>
      <c r="M99" s="1480">
        <f t="shared" ca="1" si="27"/>
        <v>2.6106553532859067</v>
      </c>
      <c r="N99" s="1486">
        <f t="shared" ca="1" si="28"/>
        <v>15972.041664510243</v>
      </c>
      <c r="O99" s="330">
        <f t="shared" ca="1" si="29"/>
        <v>480</v>
      </c>
      <c r="P99" s="1486">
        <f t="shared" ca="1" si="30"/>
        <v>7666.5799989649167</v>
      </c>
      <c r="Q99" s="1480">
        <f t="shared" ca="1" si="31"/>
        <v>2.4943915825405454</v>
      </c>
      <c r="R99" s="384">
        <f t="shared" ca="1" si="32"/>
        <v>3073.5270486907598</v>
      </c>
      <c r="S99" s="692" t="str">
        <f t="shared" ca="1" si="20"/>
        <v xml:space="preserve"> </v>
      </c>
      <c r="U99" s="1484">
        <f ca="1">IF($A99&gt;Endyr,0,VLOOKUP($A99,Tariff_Table,Tariff!$I$33))</f>
        <v>2.31</v>
      </c>
      <c r="V99" s="1480">
        <f t="shared" ca="1" si="21"/>
        <v>2.6106553532859067</v>
      </c>
      <c r="W99" s="1486">
        <f t="shared" ca="1" si="33"/>
        <v>6.0306138660904445</v>
      </c>
      <c r="X99" s="334">
        <f ca="1">VLOOKUP($A99,Plant_Table,'Plant Operations'!$M$270)</f>
        <v>289336.32000000001</v>
      </c>
      <c r="Y99" s="1006">
        <f t="shared" ca="1" si="34"/>
        <v>1744.8756233555821</v>
      </c>
      <c r="Z99" s="1480">
        <f t="shared" ca="1" si="35"/>
        <v>2.4943915825405454</v>
      </c>
      <c r="AA99" s="1480">
        <f t="shared" ca="1" si="22"/>
        <v>2.4943915825405454</v>
      </c>
      <c r="AB99" s="333">
        <f t="shared" ca="1" si="36"/>
        <v>2.4176692658448782</v>
      </c>
      <c r="AC99" s="335">
        <f t="shared" ca="1" si="37"/>
        <v>699.51952835665884</v>
      </c>
      <c r="AD99" s="698" t="str">
        <f t="shared" ca="1" si="23"/>
        <v xml:space="preserve"> </v>
      </c>
    </row>
    <row r="100" spans="1:30">
      <c r="A100" s="672">
        <f>'Annex 12-Gas'!A100</f>
        <v>39630</v>
      </c>
      <c r="C100" s="1484">
        <f ca="1">IF($A100&gt;Endyr,0,VLOOKUP($A100,Tariff_Table,Tariff!$G$33))</f>
        <v>7424.62</v>
      </c>
      <c r="D100" s="1480">
        <f ca="1">VLOOKUP($A100,Curves_Table,Escalation!$AW$291)</f>
        <v>2.6106553532859067</v>
      </c>
      <c r="E100" s="1486">
        <f t="shared" ca="1" si="24"/>
        <v>19383.123949113608</v>
      </c>
      <c r="F100" s="330">
        <f ca="1">VLOOKUP($A100,Plant_Table,'Plant Operations'!$C$270)</f>
        <v>480</v>
      </c>
      <c r="G100" s="1486">
        <f t="shared" ca="1" si="25"/>
        <v>9303.8994955745329</v>
      </c>
      <c r="H100" s="1480">
        <f ca="1">IF(Assm!$L$74=0,VLOOKUP($A100,Curves_Table,Escalation!$D$291),VLOOKUP($A100,Curves_Table,Escalation!$E$291))</f>
        <v>2.4996666740212286</v>
      </c>
      <c r="I100" s="384">
        <f t="shared" ca="1" si="26"/>
        <v>3722.0560614216993</v>
      </c>
      <c r="J100" s="692" t="str">
        <f t="shared" ca="1" si="19"/>
        <v xml:space="preserve"> </v>
      </c>
      <c r="L100" s="1484">
        <f ca="1">IF($A100&gt;Endyr,0,VLOOKUP($A100,Tariff_Table,Tariff!$H$33))</f>
        <v>6118.02</v>
      </c>
      <c r="M100" s="1480">
        <f t="shared" ca="1" si="27"/>
        <v>2.6106553532859067</v>
      </c>
      <c r="N100" s="1486">
        <f t="shared" ca="1" si="28"/>
        <v>15972.041664510243</v>
      </c>
      <c r="O100" s="330">
        <f t="shared" ca="1" si="29"/>
        <v>480</v>
      </c>
      <c r="P100" s="1486">
        <f t="shared" ca="1" si="30"/>
        <v>7666.5799989649167</v>
      </c>
      <c r="Q100" s="1480">
        <f t="shared" ca="1" si="31"/>
        <v>2.4996666740212286</v>
      </c>
      <c r="R100" s="384">
        <f t="shared" ca="1" si="32"/>
        <v>3067.0409293538501</v>
      </c>
      <c r="S100" s="692" t="str">
        <f t="shared" ca="1" si="20"/>
        <v xml:space="preserve"> </v>
      </c>
      <c r="U100" s="1484">
        <f ca="1">IF($A100&gt;Endyr,0,VLOOKUP($A100,Tariff_Table,Tariff!$I$33))</f>
        <v>2.31</v>
      </c>
      <c r="V100" s="1480">
        <f t="shared" ca="1" si="21"/>
        <v>2.6106553532859067</v>
      </c>
      <c r="W100" s="1486">
        <f t="shared" ca="1" si="33"/>
        <v>6.0306138660904445</v>
      </c>
      <c r="X100" s="334">
        <f ca="1">VLOOKUP($A100,Plant_Table,'Plant Operations'!$M$270)</f>
        <v>298980.864</v>
      </c>
      <c r="Y100" s="1006">
        <f t="shared" ca="1" si="34"/>
        <v>1803.0381441341015</v>
      </c>
      <c r="Z100" s="1480">
        <f t="shared" ca="1" si="35"/>
        <v>2.4996666740212286</v>
      </c>
      <c r="AA100" s="1480">
        <f t="shared" ca="1" si="22"/>
        <v>2.4996666740212286</v>
      </c>
      <c r="AB100" s="333">
        <f t="shared" ca="1" si="36"/>
        <v>2.4125672149674902</v>
      </c>
      <c r="AC100" s="335">
        <f t="shared" ca="1" si="37"/>
        <v>721.31143038905395</v>
      </c>
      <c r="AD100" s="698" t="str">
        <f t="shared" ca="1" si="23"/>
        <v xml:space="preserve"> </v>
      </c>
    </row>
    <row r="101" spans="1:30">
      <c r="A101" s="672">
        <f>'Annex 12-Gas'!A101</f>
        <v>39661</v>
      </c>
      <c r="C101" s="1484">
        <f ca="1">IF($A101&gt;Endyr,0,VLOOKUP($A101,Tariff_Table,Tariff!$G$33))</f>
        <v>7424.62</v>
      </c>
      <c r="D101" s="1480">
        <f ca="1">VLOOKUP($A101,Curves_Table,Escalation!$AW$291)</f>
        <v>2.6106553532859067</v>
      </c>
      <c r="E101" s="1486">
        <f t="shared" ca="1" si="24"/>
        <v>19383.123949113608</v>
      </c>
      <c r="F101" s="330">
        <f ca="1">VLOOKUP($A101,Plant_Table,'Plant Operations'!$C$270)</f>
        <v>480</v>
      </c>
      <c r="G101" s="1486">
        <f t="shared" ca="1" si="25"/>
        <v>9303.8994955745329</v>
      </c>
      <c r="H101" s="1480">
        <f ca="1">IF(Assm!$L$74=0,VLOOKUP($A101,Curves_Table,Escalation!$D$291),VLOOKUP($A101,Curves_Table,Escalation!$E$291))</f>
        <v>2.5049529211642083</v>
      </c>
      <c r="I101" s="384">
        <f t="shared" ca="1" si="26"/>
        <v>3714.2013396604789</v>
      </c>
      <c r="J101" s="692" t="str">
        <f t="shared" ca="1" si="19"/>
        <v xml:space="preserve"> </v>
      </c>
      <c r="L101" s="1484">
        <f ca="1">IF($A101&gt;Endyr,0,VLOOKUP($A101,Tariff_Table,Tariff!$H$33))</f>
        <v>6118.02</v>
      </c>
      <c r="M101" s="1480">
        <f t="shared" ca="1" si="27"/>
        <v>2.6106553532859067</v>
      </c>
      <c r="N101" s="1486">
        <f t="shared" ca="1" si="28"/>
        <v>15972.041664510243</v>
      </c>
      <c r="O101" s="330">
        <f t="shared" ca="1" si="29"/>
        <v>480</v>
      </c>
      <c r="P101" s="1486">
        <f t="shared" ca="1" si="30"/>
        <v>7666.5799989649167</v>
      </c>
      <c r="Q101" s="1480">
        <f t="shared" ca="1" si="31"/>
        <v>2.5049529211642083</v>
      </c>
      <c r="R101" s="384">
        <f t="shared" ca="1" si="32"/>
        <v>3060.5684977910792</v>
      </c>
      <c r="S101" s="692" t="str">
        <f t="shared" ca="1" si="20"/>
        <v xml:space="preserve"> </v>
      </c>
      <c r="U101" s="1484">
        <f ca="1">IF($A101&gt;Endyr,0,VLOOKUP($A101,Tariff_Table,Tariff!$I$33))</f>
        <v>2.31</v>
      </c>
      <c r="V101" s="1480">
        <f t="shared" ca="1" si="21"/>
        <v>2.6106553532859067</v>
      </c>
      <c r="W101" s="1486">
        <f t="shared" ca="1" si="33"/>
        <v>6.0306138660904445</v>
      </c>
      <c r="X101" s="334">
        <f ca="1">VLOOKUP($A101,Plant_Table,'Plant Operations'!$M$270)</f>
        <v>298980.864</v>
      </c>
      <c r="Y101" s="1006">
        <f t="shared" ca="1" si="34"/>
        <v>1803.0381441341015</v>
      </c>
      <c r="Z101" s="1480">
        <f t="shared" ca="1" si="35"/>
        <v>2.5049529211642083</v>
      </c>
      <c r="AA101" s="1480">
        <f t="shared" ca="1" si="22"/>
        <v>2.5049529211642083</v>
      </c>
      <c r="AB101" s="333">
        <f t="shared" ca="1" si="36"/>
        <v>2.4074759310397105</v>
      </c>
      <c r="AC101" s="335">
        <f t="shared" ca="1" si="37"/>
        <v>719.78923392145703</v>
      </c>
      <c r="AD101" s="698" t="str">
        <f t="shared" ca="1" si="23"/>
        <v xml:space="preserve"> </v>
      </c>
    </row>
    <row r="102" spans="1:30">
      <c r="A102" s="672">
        <f>'Annex 12-Gas'!A102</f>
        <v>39692</v>
      </c>
      <c r="C102" s="1484">
        <f ca="1">IF($A102&gt;Endyr,0,VLOOKUP($A102,Tariff_Table,Tariff!$G$33))</f>
        <v>7424.62</v>
      </c>
      <c r="D102" s="1480">
        <f ca="1">VLOOKUP($A102,Curves_Table,Escalation!$AW$291)</f>
        <v>2.6106553532859067</v>
      </c>
      <c r="E102" s="1486">
        <f t="shared" ca="1" si="24"/>
        <v>19383.123949113608</v>
      </c>
      <c r="F102" s="330">
        <f ca="1">VLOOKUP($A102,Plant_Table,'Plant Operations'!$C$270)</f>
        <v>480</v>
      </c>
      <c r="G102" s="1486">
        <f t="shared" ca="1" si="25"/>
        <v>9303.8994955745329</v>
      </c>
      <c r="H102" s="1480">
        <f ca="1">IF(Assm!$L$74=0,VLOOKUP($A102,Curves_Table,Escalation!$D$291),VLOOKUP($A102,Curves_Table,Escalation!$E$291))</f>
        <v>2.5102503475612647</v>
      </c>
      <c r="I102" s="384">
        <f t="shared" ca="1" si="26"/>
        <v>3706.3631938596768</v>
      </c>
      <c r="J102" s="692" t="str">
        <f t="shared" ca="1" si="19"/>
        <v xml:space="preserve"> </v>
      </c>
      <c r="L102" s="1484">
        <f ca="1">IF($A102&gt;Endyr,0,VLOOKUP($A102,Tariff_Table,Tariff!$H$33))</f>
        <v>6118.02</v>
      </c>
      <c r="M102" s="1480">
        <f t="shared" ca="1" si="27"/>
        <v>2.6106553532859067</v>
      </c>
      <c r="N102" s="1486">
        <f t="shared" ca="1" si="28"/>
        <v>15972.041664510243</v>
      </c>
      <c r="O102" s="330">
        <f t="shared" ca="1" si="29"/>
        <v>480</v>
      </c>
      <c r="P102" s="1486">
        <f t="shared" ca="1" si="30"/>
        <v>7666.5799989649167</v>
      </c>
      <c r="Q102" s="1480">
        <f t="shared" ca="1" si="31"/>
        <v>2.5102503475612647</v>
      </c>
      <c r="R102" s="384">
        <f t="shared" ca="1" si="32"/>
        <v>3054.1097251168922</v>
      </c>
      <c r="S102" s="692" t="str">
        <f t="shared" ca="1" si="20"/>
        <v xml:space="preserve"> </v>
      </c>
      <c r="U102" s="1484">
        <f ca="1">IF($A102&gt;Endyr,0,VLOOKUP($A102,Tariff_Table,Tariff!$I$33))</f>
        <v>2.31</v>
      </c>
      <c r="V102" s="1480">
        <f t="shared" ca="1" si="21"/>
        <v>2.6106553532859067</v>
      </c>
      <c r="W102" s="1486">
        <f t="shared" ca="1" si="33"/>
        <v>6.0306138660904445</v>
      </c>
      <c r="X102" s="334">
        <f ca="1">VLOOKUP($A102,Plant_Table,'Plant Operations'!$M$270)</f>
        <v>289336.32000000001</v>
      </c>
      <c r="Y102" s="1006">
        <f t="shared" ca="1" si="34"/>
        <v>1744.8756233555821</v>
      </c>
      <c r="Z102" s="1480">
        <f t="shared" ca="1" si="35"/>
        <v>2.5102503475612647</v>
      </c>
      <c r="AA102" s="1480">
        <f t="shared" ca="1" si="22"/>
        <v>2.5102503475612647</v>
      </c>
      <c r="AB102" s="333">
        <f t="shared" ca="1" si="36"/>
        <v>2.4023953913398524</v>
      </c>
      <c r="AC102" s="335">
        <f t="shared" ca="1" si="37"/>
        <v>695.10024171523276</v>
      </c>
      <c r="AD102" s="698" t="str">
        <f t="shared" ca="1" si="23"/>
        <v xml:space="preserve"> </v>
      </c>
    </row>
    <row r="103" spans="1:30">
      <c r="A103" s="672">
        <f>'Annex 12-Gas'!A103</f>
        <v>39722</v>
      </c>
      <c r="C103" s="1484">
        <f ca="1">IF($A103&gt;Endyr,0,VLOOKUP($A103,Tariff_Table,Tariff!$G$33))</f>
        <v>7424.62</v>
      </c>
      <c r="D103" s="1480">
        <f ca="1">VLOOKUP($A103,Curves_Table,Escalation!$AW$291)</f>
        <v>2.6106553532859067</v>
      </c>
      <c r="E103" s="1486">
        <f t="shared" ca="1" si="24"/>
        <v>19383.123949113608</v>
      </c>
      <c r="F103" s="330">
        <f ca="1">VLOOKUP($A103,Plant_Table,'Plant Operations'!$C$270)</f>
        <v>480</v>
      </c>
      <c r="G103" s="1486">
        <f t="shared" ca="1" si="25"/>
        <v>9303.8994955745329</v>
      </c>
      <c r="H103" s="1480">
        <f ca="1">IF(Assm!$L$74=0,VLOOKUP($A103,Curves_Table,Escalation!$D$291),VLOOKUP($A103,Curves_Table,Escalation!$E$291))</f>
        <v>2.5155589768540705</v>
      </c>
      <c r="I103" s="384">
        <f t="shared" ca="1" si="26"/>
        <v>3698.5415890387449</v>
      </c>
      <c r="J103" s="692" t="str">
        <f t="shared" ca="1" si="19"/>
        <v xml:space="preserve"> </v>
      </c>
      <c r="L103" s="1484">
        <f ca="1">IF($A103&gt;Endyr,0,VLOOKUP($A103,Tariff_Table,Tariff!$H$33))</f>
        <v>6118.02</v>
      </c>
      <c r="M103" s="1480">
        <f t="shared" ca="1" si="27"/>
        <v>2.6106553532859067</v>
      </c>
      <c r="N103" s="1486">
        <f t="shared" ca="1" si="28"/>
        <v>15972.041664510243</v>
      </c>
      <c r="O103" s="330">
        <f t="shared" ca="1" si="29"/>
        <v>480</v>
      </c>
      <c r="P103" s="1486">
        <f t="shared" ca="1" si="30"/>
        <v>7666.5799989649167</v>
      </c>
      <c r="Q103" s="1480">
        <f t="shared" ca="1" si="31"/>
        <v>2.5155589768540705</v>
      </c>
      <c r="R103" s="384">
        <f t="shared" ca="1" si="32"/>
        <v>3047.6645825066898</v>
      </c>
      <c r="S103" s="692" t="str">
        <f t="shared" ca="1" si="20"/>
        <v xml:space="preserve"> </v>
      </c>
      <c r="U103" s="1484">
        <f ca="1">IF($A103&gt;Endyr,0,VLOOKUP($A103,Tariff_Table,Tariff!$I$33))</f>
        <v>2.31</v>
      </c>
      <c r="V103" s="1480">
        <f t="shared" ca="1" si="21"/>
        <v>2.6106553532859067</v>
      </c>
      <c r="W103" s="1486">
        <f t="shared" ca="1" si="33"/>
        <v>6.0306138660904445</v>
      </c>
      <c r="X103" s="334">
        <f ca="1">VLOOKUP($A103,Plant_Table,'Plant Operations'!$M$270)</f>
        <v>298980.864</v>
      </c>
      <c r="Y103" s="1006">
        <f t="shared" ca="1" si="34"/>
        <v>1803.0381441341015</v>
      </c>
      <c r="Z103" s="1480">
        <f t="shared" ca="1" si="35"/>
        <v>2.5155589768540705</v>
      </c>
      <c r="AA103" s="1480">
        <f t="shared" ca="1" si="22"/>
        <v>2.5155589768540705</v>
      </c>
      <c r="AB103" s="333">
        <f t="shared" ca="1" si="36"/>
        <v>2.3973255731941778</v>
      </c>
      <c r="AC103" s="335">
        <f t="shared" ca="1" si="37"/>
        <v>716.75447116289058</v>
      </c>
      <c r="AD103" s="698" t="str">
        <f t="shared" ca="1" si="23"/>
        <v xml:space="preserve"> </v>
      </c>
    </row>
    <row r="104" spans="1:30">
      <c r="A104" s="672">
        <f>'Annex 12-Gas'!A104</f>
        <v>39753</v>
      </c>
      <c r="C104" s="1484">
        <f ca="1">IF($A104&gt;Endyr,0,VLOOKUP($A104,Tariff_Table,Tariff!$G$33))</f>
        <v>7424.62</v>
      </c>
      <c r="D104" s="1480">
        <f ca="1">VLOOKUP($A104,Curves_Table,Escalation!$AW$291)</f>
        <v>2.6106553532859067</v>
      </c>
      <c r="E104" s="1486">
        <f t="shared" ca="1" si="24"/>
        <v>19383.123949113608</v>
      </c>
      <c r="F104" s="330">
        <f ca="1">VLOOKUP($A104,Plant_Table,'Plant Operations'!$C$270)</f>
        <v>480</v>
      </c>
      <c r="G104" s="1486">
        <f t="shared" ca="1" si="25"/>
        <v>9303.8994955745329</v>
      </c>
      <c r="H104" s="1480">
        <f ca="1">IF(Assm!$L$74=0,VLOOKUP($A104,Curves_Table,Escalation!$D$291),VLOOKUP($A104,Curves_Table,Escalation!$E$291))</f>
        <v>2.5208788327342946</v>
      </c>
      <c r="I104" s="384">
        <f t="shared" ca="1" si="26"/>
        <v>3690.7364902909562</v>
      </c>
      <c r="J104" s="692" t="str">
        <f t="shared" ca="1" si="19"/>
        <v xml:space="preserve"> </v>
      </c>
      <c r="L104" s="1484">
        <f ca="1">IF($A104&gt;Endyr,0,VLOOKUP($A104,Tariff_Table,Tariff!$H$33))</f>
        <v>6118.02</v>
      </c>
      <c r="M104" s="1480">
        <f t="shared" ca="1" si="27"/>
        <v>2.6106553532859067</v>
      </c>
      <c r="N104" s="1486">
        <f t="shared" ca="1" si="28"/>
        <v>15972.041664510243</v>
      </c>
      <c r="O104" s="330">
        <f t="shared" ca="1" si="29"/>
        <v>480</v>
      </c>
      <c r="P104" s="1486">
        <f t="shared" ca="1" si="30"/>
        <v>7666.5799989649167</v>
      </c>
      <c r="Q104" s="1480">
        <f t="shared" ca="1" si="31"/>
        <v>2.5208788327342946</v>
      </c>
      <c r="R104" s="384">
        <f t="shared" ca="1" si="32"/>
        <v>3041.2330411967041</v>
      </c>
      <c r="S104" s="692" t="str">
        <f t="shared" ca="1" si="20"/>
        <v xml:space="preserve"> </v>
      </c>
      <c r="U104" s="1484">
        <f ca="1">IF($A104&gt;Endyr,0,VLOOKUP($A104,Tariff_Table,Tariff!$I$33))</f>
        <v>2.31</v>
      </c>
      <c r="V104" s="1480">
        <f t="shared" ca="1" si="21"/>
        <v>2.6106553532859067</v>
      </c>
      <c r="W104" s="1486">
        <f t="shared" ca="1" si="33"/>
        <v>6.0306138660904445</v>
      </c>
      <c r="X104" s="334">
        <f ca="1">VLOOKUP($A104,Plant_Table,'Plant Operations'!$M$270)</f>
        <v>289336.32000000001</v>
      </c>
      <c r="Y104" s="1006">
        <f t="shared" ca="1" si="34"/>
        <v>1744.8756233555821</v>
      </c>
      <c r="Z104" s="1480">
        <f t="shared" ca="1" si="35"/>
        <v>2.5208788327342946</v>
      </c>
      <c r="AA104" s="1480">
        <f t="shared" ca="1" si="22"/>
        <v>2.5208788327342946</v>
      </c>
      <c r="AB104" s="333">
        <f t="shared" ca="1" si="36"/>
        <v>2.3922664539767995</v>
      </c>
      <c r="AC104" s="335">
        <f t="shared" ca="1" si="37"/>
        <v>692.16957225309659</v>
      </c>
      <c r="AD104" s="698" t="str">
        <f t="shared" ca="1" si="23"/>
        <v xml:space="preserve"> </v>
      </c>
    </row>
    <row r="105" spans="1:30">
      <c r="A105" s="672">
        <f>'Annex 12-Gas'!A105</f>
        <v>39783</v>
      </c>
      <c r="C105" s="1484">
        <f ca="1">IF($A105&gt;Endyr,0,VLOOKUP($A105,Tariff_Table,Tariff!$G$33))</f>
        <v>7424.62</v>
      </c>
      <c r="D105" s="1480">
        <f ca="1">VLOOKUP($A105,Curves_Table,Escalation!$AW$291)</f>
        <v>2.6106553532859067</v>
      </c>
      <c r="E105" s="1486">
        <f t="shared" ca="1" si="24"/>
        <v>19383.123949113608</v>
      </c>
      <c r="F105" s="330">
        <f ca="1">VLOOKUP($A105,Plant_Table,'Plant Operations'!$C$270)</f>
        <v>480</v>
      </c>
      <c r="G105" s="1486">
        <f t="shared" ca="1" si="25"/>
        <v>9303.8994955745329</v>
      </c>
      <c r="H105" s="1480">
        <f ca="1">IF(Assm!$L$74=0,VLOOKUP($A105,Curves_Table,Escalation!$D$291),VLOOKUP($A105,Curves_Table,Escalation!$E$291))</f>
        <v>2.5262099389437069</v>
      </c>
      <c r="I105" s="384">
        <f t="shared" ca="1" si="26"/>
        <v>3682.9478627832514</v>
      </c>
      <c r="J105" s="692">
        <f t="shared" ca="1" si="19"/>
        <v>44730.899795228412</v>
      </c>
      <c r="L105" s="1484">
        <f ca="1">IF($A105&gt;Endyr,0,VLOOKUP($A105,Tariff_Table,Tariff!$H$33))</f>
        <v>6118.02</v>
      </c>
      <c r="M105" s="1480">
        <f t="shared" ca="1" si="27"/>
        <v>2.6106553532859067</v>
      </c>
      <c r="N105" s="1486">
        <f t="shared" ca="1" si="28"/>
        <v>15972.041664510243</v>
      </c>
      <c r="O105" s="330">
        <f t="shared" ca="1" si="29"/>
        <v>480</v>
      </c>
      <c r="P105" s="1486">
        <f t="shared" ca="1" si="30"/>
        <v>7666.5799989649167</v>
      </c>
      <c r="Q105" s="1480">
        <f t="shared" ca="1" si="31"/>
        <v>2.5262099389437069</v>
      </c>
      <c r="R105" s="384">
        <f t="shared" ca="1" si="32"/>
        <v>3034.8150724838692</v>
      </c>
      <c r="S105" s="692">
        <f t="shared" ca="1" si="20"/>
        <v>36902.670042238708</v>
      </c>
      <c r="U105" s="1484">
        <f ca="1">IF($A105&gt;Endyr,0,VLOOKUP($A105,Tariff_Table,Tariff!$I$33))</f>
        <v>2.31</v>
      </c>
      <c r="V105" s="1480">
        <f t="shared" ca="1" si="21"/>
        <v>2.6106553532859067</v>
      </c>
      <c r="W105" s="1486">
        <f t="shared" ca="1" si="33"/>
        <v>6.0306138660904445</v>
      </c>
      <c r="X105" s="334">
        <f ca="1">VLOOKUP($A105,Plant_Table,'Plant Operations'!$M$270)</f>
        <v>298980.864</v>
      </c>
      <c r="Y105" s="1006">
        <f t="shared" ca="1" si="34"/>
        <v>1803.0381441341015</v>
      </c>
      <c r="Z105" s="1480">
        <f t="shared" ca="1" si="35"/>
        <v>2.5262099389437069</v>
      </c>
      <c r="AA105" s="1480">
        <f t="shared" ca="1" si="22"/>
        <v>2.5262099389437069</v>
      </c>
      <c r="AB105" s="333">
        <f t="shared" ca="1" si="36"/>
        <v>2.387218011109578</v>
      </c>
      <c r="AC105" s="335">
        <f t="shared" ca="1" si="37"/>
        <v>713.7325035179033</v>
      </c>
      <c r="AD105" s="698">
        <f t="shared" ca="1" si="23"/>
        <v>8537.4137884444208</v>
      </c>
    </row>
    <row r="106" spans="1:30">
      <c r="A106" s="672">
        <f>'Annex 12-Gas'!A106</f>
        <v>39814</v>
      </c>
      <c r="C106" s="1484">
        <f ca="1">IF($A106&gt;Endyr,0,VLOOKUP($A106,Tariff_Table,Tariff!$G$33))</f>
        <v>7424.62</v>
      </c>
      <c r="D106" s="1480">
        <f ca="1">VLOOKUP($A106,Curves_Table,Escalation!$AW$291)</f>
        <v>2.6106553532859067</v>
      </c>
      <c r="E106" s="1486">
        <f t="shared" ca="1" si="24"/>
        <v>19383.123949113608</v>
      </c>
      <c r="F106" s="330">
        <f ca="1">VLOOKUP($A106,Plant_Table,'Plant Operations'!$C$270)</f>
        <v>480</v>
      </c>
      <c r="G106" s="1486">
        <f t="shared" ca="1" si="25"/>
        <v>9303.8994955745329</v>
      </c>
      <c r="H106" s="1480">
        <f ca="1">IF(Assm!$L$74=0,VLOOKUP($A106,Curves_Table,Escalation!$D$291),VLOOKUP($A106,Curves_Table,Escalation!$E$291))</f>
        <v>2.5314135178011798</v>
      </c>
      <c r="I106" s="384">
        <f t="shared" ca="1" si="26"/>
        <v>3675.3771875469902</v>
      </c>
      <c r="J106" s="692" t="str">
        <f t="shared" ca="1" si="19"/>
        <v xml:space="preserve"> </v>
      </c>
      <c r="L106" s="1484">
        <f ca="1">IF($A106&gt;Endyr,0,VLOOKUP($A106,Tariff_Table,Tariff!$H$33))</f>
        <v>6118.02</v>
      </c>
      <c r="M106" s="1480">
        <f t="shared" ca="1" si="27"/>
        <v>2.6106553532859067</v>
      </c>
      <c r="N106" s="1486">
        <f t="shared" ca="1" si="28"/>
        <v>15972.041664510243</v>
      </c>
      <c r="O106" s="330">
        <f t="shared" ca="1" si="29"/>
        <v>480</v>
      </c>
      <c r="P106" s="1486">
        <f t="shared" ca="1" si="30"/>
        <v>7666.5799989649167</v>
      </c>
      <c r="Q106" s="1480">
        <f t="shared" ca="1" si="31"/>
        <v>2.5314135178011798</v>
      </c>
      <c r="R106" s="384">
        <f t="shared" ca="1" si="32"/>
        <v>3028.5767003504875</v>
      </c>
      <c r="S106" s="692" t="str">
        <f t="shared" ca="1" si="20"/>
        <v xml:space="preserve"> </v>
      </c>
      <c r="U106" s="1484">
        <f ca="1">IF($A106&gt;Endyr,0,VLOOKUP($A106,Tariff_Table,Tariff!$I$33))</f>
        <v>2.31</v>
      </c>
      <c r="V106" s="1480">
        <f t="shared" ca="1" si="21"/>
        <v>2.6106553532859067</v>
      </c>
      <c r="W106" s="1486">
        <f t="shared" ca="1" si="33"/>
        <v>6.0306138660904445</v>
      </c>
      <c r="X106" s="334">
        <f ca="1">VLOOKUP($A106,Plant_Table,'Plant Operations'!$M$270)</f>
        <v>298980.864</v>
      </c>
      <c r="Y106" s="1006">
        <f t="shared" ca="1" si="34"/>
        <v>1803.0381441341015</v>
      </c>
      <c r="Z106" s="1480">
        <f t="shared" ca="1" si="35"/>
        <v>2.5314135178011798</v>
      </c>
      <c r="AA106" s="1480">
        <f t="shared" ca="1" si="22"/>
        <v>2.5314135178011798</v>
      </c>
      <c r="AB106" s="333">
        <f t="shared" ca="1" si="36"/>
        <v>2.3823108408335898</v>
      </c>
      <c r="AC106" s="335">
        <f t="shared" ca="1" si="37"/>
        <v>712.26535350899326</v>
      </c>
      <c r="AD106" s="698" t="str">
        <f t="shared" ca="1" si="23"/>
        <v xml:space="preserve"> </v>
      </c>
    </row>
    <row r="107" spans="1:30">
      <c r="A107" s="672">
        <f>'Annex 12-Gas'!A107</f>
        <v>39845</v>
      </c>
      <c r="C107" s="1484">
        <f ca="1">IF($A107&gt;Endyr,0,VLOOKUP($A107,Tariff_Table,Tariff!$G$33))</f>
        <v>7424.62</v>
      </c>
      <c r="D107" s="1480">
        <f ca="1">VLOOKUP($A107,Curves_Table,Escalation!$AW$291)</f>
        <v>2.6106553532859067</v>
      </c>
      <c r="E107" s="1486">
        <f t="shared" ca="1" si="24"/>
        <v>19383.123949113608</v>
      </c>
      <c r="F107" s="330">
        <f ca="1">VLOOKUP($A107,Plant_Table,'Plant Operations'!$C$270)</f>
        <v>480</v>
      </c>
      <c r="G107" s="1486">
        <f t="shared" ca="1" si="25"/>
        <v>9303.8994955745329</v>
      </c>
      <c r="H107" s="1480">
        <f ca="1">IF(Assm!$L$74=0,VLOOKUP($A107,Curves_Table,Escalation!$D$291),VLOOKUP($A107,Curves_Table,Escalation!$E$291))</f>
        <v>2.5366278151791164</v>
      </c>
      <c r="I107" s="384">
        <f t="shared" ca="1" si="26"/>
        <v>3667.8220746063866</v>
      </c>
      <c r="J107" s="692" t="str">
        <f t="shared" ca="1" si="19"/>
        <v xml:space="preserve"> </v>
      </c>
      <c r="L107" s="1484">
        <f ca="1">IF($A107&gt;Endyr,0,VLOOKUP($A107,Tariff_Table,Tariff!$H$33))</f>
        <v>6118.02</v>
      </c>
      <c r="M107" s="1480">
        <f t="shared" ca="1" si="27"/>
        <v>2.6106553532859067</v>
      </c>
      <c r="N107" s="1486">
        <f t="shared" ca="1" si="28"/>
        <v>15972.041664510243</v>
      </c>
      <c r="O107" s="330">
        <f t="shared" ca="1" si="29"/>
        <v>480</v>
      </c>
      <c r="P107" s="1486">
        <f t="shared" ca="1" si="30"/>
        <v>7666.5799989649167</v>
      </c>
      <c r="Q107" s="1480">
        <f t="shared" ca="1" si="31"/>
        <v>2.5366278151791164</v>
      </c>
      <c r="R107" s="384">
        <f t="shared" ca="1" si="32"/>
        <v>3022.3511518277519</v>
      </c>
      <c r="S107" s="692" t="str">
        <f t="shared" ca="1" si="20"/>
        <v xml:space="preserve"> </v>
      </c>
      <c r="U107" s="1484">
        <f ca="1">IF($A107&gt;Endyr,0,VLOOKUP($A107,Tariff_Table,Tariff!$I$33))</f>
        <v>2.31</v>
      </c>
      <c r="V107" s="1480">
        <f t="shared" ca="1" si="21"/>
        <v>2.6106553532859067</v>
      </c>
      <c r="W107" s="1486">
        <f t="shared" ca="1" si="33"/>
        <v>6.0306138660904445</v>
      </c>
      <c r="X107" s="334">
        <f ca="1">VLOOKUP($A107,Plant_Table,'Plant Operations'!$M$270)</f>
        <v>270047.23200000002</v>
      </c>
      <c r="Y107" s="1006">
        <f t="shared" ca="1" si="34"/>
        <v>1628.5505817985431</v>
      </c>
      <c r="Z107" s="1480">
        <f t="shared" ca="1" si="35"/>
        <v>2.5366278151791164</v>
      </c>
      <c r="AA107" s="1480">
        <f t="shared" ca="1" si="22"/>
        <v>2.5366278151791164</v>
      </c>
      <c r="AB107" s="333">
        <f t="shared" ca="1" si="36"/>
        <v>2.3774137577469601</v>
      </c>
      <c r="AC107" s="335">
        <f t="shared" ca="1" si="37"/>
        <v>642.01400459828506</v>
      </c>
      <c r="AD107" s="698" t="str">
        <f t="shared" ca="1" si="23"/>
        <v xml:space="preserve"> </v>
      </c>
    </row>
    <row r="108" spans="1:30">
      <c r="A108" s="672">
        <f>'Annex 12-Gas'!A108</f>
        <v>39873</v>
      </c>
      <c r="C108" s="1484">
        <f ca="1">IF($A108&gt;Endyr,0,VLOOKUP($A108,Tariff_Table,Tariff!$G$33))</f>
        <v>7424.62</v>
      </c>
      <c r="D108" s="1480">
        <f ca="1">VLOOKUP($A108,Curves_Table,Escalation!$AW$291)</f>
        <v>2.6106553532859067</v>
      </c>
      <c r="E108" s="1486">
        <f t="shared" ca="1" si="24"/>
        <v>19383.123949113608</v>
      </c>
      <c r="F108" s="330">
        <f ca="1">VLOOKUP($A108,Plant_Table,'Plant Operations'!$C$270)</f>
        <v>480</v>
      </c>
      <c r="G108" s="1486">
        <f t="shared" ca="1" si="25"/>
        <v>9303.8994955745329</v>
      </c>
      <c r="H108" s="1480">
        <f ca="1">IF(Assm!$L$74=0,VLOOKUP($A108,Curves_Table,Escalation!$D$291),VLOOKUP($A108,Curves_Table,Escalation!$E$291))</f>
        <v>2.5418528531559139</v>
      </c>
      <c r="I108" s="384">
        <f t="shared" ca="1" si="26"/>
        <v>3660.282491971554</v>
      </c>
      <c r="J108" s="692" t="str">
        <f t="shared" ca="1" si="19"/>
        <v xml:space="preserve"> </v>
      </c>
      <c r="L108" s="1484">
        <f ca="1">IF($A108&gt;Endyr,0,VLOOKUP($A108,Tariff_Table,Tariff!$H$33))</f>
        <v>6118.02</v>
      </c>
      <c r="M108" s="1480">
        <f t="shared" ca="1" si="27"/>
        <v>2.6106553532859067</v>
      </c>
      <c r="N108" s="1486">
        <f t="shared" ca="1" si="28"/>
        <v>15972.041664510243</v>
      </c>
      <c r="O108" s="330">
        <f t="shared" ca="1" si="29"/>
        <v>480</v>
      </c>
      <c r="P108" s="1486">
        <f t="shared" ca="1" si="30"/>
        <v>7666.5799989649167</v>
      </c>
      <c r="Q108" s="1480">
        <f t="shared" ca="1" si="31"/>
        <v>2.5418528531559139</v>
      </c>
      <c r="R108" s="384">
        <f t="shared" ca="1" si="32"/>
        <v>3016.1384005554232</v>
      </c>
      <c r="S108" s="692" t="str">
        <f t="shared" ca="1" si="20"/>
        <v xml:space="preserve"> </v>
      </c>
      <c r="U108" s="1484">
        <f ca="1">IF($A108&gt;Endyr,0,VLOOKUP($A108,Tariff_Table,Tariff!$I$33))</f>
        <v>2.31</v>
      </c>
      <c r="V108" s="1480">
        <f t="shared" ca="1" si="21"/>
        <v>2.6106553532859067</v>
      </c>
      <c r="W108" s="1486">
        <f t="shared" ca="1" si="33"/>
        <v>6.0306138660904445</v>
      </c>
      <c r="X108" s="334">
        <f ca="1">VLOOKUP($A108,Plant_Table,'Plant Operations'!$M$270)</f>
        <v>298980.864</v>
      </c>
      <c r="Y108" s="1006">
        <f t="shared" ca="1" si="34"/>
        <v>1803.0381441341015</v>
      </c>
      <c r="Z108" s="1480">
        <f t="shared" ca="1" si="35"/>
        <v>2.5418528531559139</v>
      </c>
      <c r="AA108" s="1480">
        <f t="shared" ca="1" si="22"/>
        <v>2.5418528531559139</v>
      </c>
      <c r="AB108" s="333">
        <f t="shared" ca="1" si="36"/>
        <v>2.3725267411144411</v>
      </c>
      <c r="AC108" s="335">
        <f t="shared" ca="1" si="37"/>
        <v>709.34009492149994</v>
      </c>
      <c r="AD108" s="698" t="str">
        <f t="shared" ca="1" si="23"/>
        <v xml:space="preserve"> </v>
      </c>
    </row>
    <row r="109" spans="1:30">
      <c r="A109" s="672">
        <f>'Annex 12-Gas'!A109</f>
        <v>39904</v>
      </c>
      <c r="C109" s="1484">
        <f ca="1">IF($A109&gt;Endyr,0,VLOOKUP($A109,Tariff_Table,Tariff!$G$33))</f>
        <v>7424.62</v>
      </c>
      <c r="D109" s="1480">
        <f ca="1">VLOOKUP($A109,Curves_Table,Escalation!$AW$291)</f>
        <v>2.6106553532859067</v>
      </c>
      <c r="E109" s="1486">
        <f t="shared" ca="1" si="24"/>
        <v>19383.123949113608</v>
      </c>
      <c r="F109" s="330">
        <f ca="1">VLOOKUP($A109,Plant_Table,'Plant Operations'!$C$270)</f>
        <v>480</v>
      </c>
      <c r="G109" s="1486">
        <f t="shared" ca="1" si="25"/>
        <v>9303.8994955745329</v>
      </c>
      <c r="H109" s="1480">
        <f ca="1">IF(Assm!$L$74=0,VLOOKUP($A109,Curves_Table,Escalation!$D$291),VLOOKUP($A109,Curves_Table,Escalation!$E$291))</f>
        <v>2.5470886538554471</v>
      </c>
      <c r="I109" s="384">
        <f t="shared" ca="1" si="26"/>
        <v>3652.7584077183633</v>
      </c>
      <c r="J109" s="692" t="str">
        <f t="shared" ca="1" si="19"/>
        <v xml:space="preserve"> </v>
      </c>
      <c r="L109" s="1484">
        <f ca="1">IF($A109&gt;Endyr,0,VLOOKUP($A109,Tariff_Table,Tariff!$H$33))</f>
        <v>6118.02</v>
      </c>
      <c r="M109" s="1480">
        <f t="shared" ca="1" si="27"/>
        <v>2.6106553532859067</v>
      </c>
      <c r="N109" s="1486">
        <f t="shared" ca="1" si="28"/>
        <v>15972.041664510243</v>
      </c>
      <c r="O109" s="330">
        <f t="shared" ca="1" si="29"/>
        <v>480</v>
      </c>
      <c r="P109" s="1486">
        <f t="shared" ca="1" si="30"/>
        <v>7666.5799989649167</v>
      </c>
      <c r="Q109" s="1480">
        <f t="shared" ca="1" si="31"/>
        <v>2.5470886538554471</v>
      </c>
      <c r="R109" s="384">
        <f t="shared" ca="1" si="32"/>
        <v>3009.9384202274459</v>
      </c>
      <c r="S109" s="692" t="str">
        <f t="shared" ca="1" si="20"/>
        <v xml:space="preserve"> </v>
      </c>
      <c r="U109" s="1484">
        <f ca="1">IF($A109&gt;Endyr,0,VLOOKUP($A109,Tariff_Table,Tariff!$I$33))</f>
        <v>2.31</v>
      </c>
      <c r="V109" s="1480">
        <f t="shared" ca="1" si="21"/>
        <v>2.6106553532859067</v>
      </c>
      <c r="W109" s="1486">
        <f t="shared" ca="1" si="33"/>
        <v>6.0306138660904445</v>
      </c>
      <c r="X109" s="334">
        <f ca="1">VLOOKUP($A109,Plant_Table,'Plant Operations'!$M$270)</f>
        <v>289336.32000000001</v>
      </c>
      <c r="Y109" s="1006">
        <f t="shared" ca="1" si="34"/>
        <v>1744.8756233555821</v>
      </c>
      <c r="Z109" s="1480">
        <f t="shared" ca="1" si="35"/>
        <v>2.5470886538554471</v>
      </c>
      <c r="AA109" s="1480">
        <f t="shared" ca="1" si="22"/>
        <v>2.5470886538554471</v>
      </c>
      <c r="AB109" s="333">
        <f t="shared" ca="1" si="36"/>
        <v>2.3676497702434096</v>
      </c>
      <c r="AC109" s="335">
        <f t="shared" ca="1" si="37"/>
        <v>685.04707157107362</v>
      </c>
      <c r="AD109" s="698" t="str">
        <f t="shared" ca="1" si="23"/>
        <v xml:space="preserve"> </v>
      </c>
    </row>
    <row r="110" spans="1:30">
      <c r="A110" s="672">
        <f>'Annex 12-Gas'!A110</f>
        <v>39934</v>
      </c>
      <c r="C110" s="1484">
        <f ca="1">IF($A110&gt;Endyr,0,VLOOKUP($A110,Tariff_Table,Tariff!$G$33))</f>
        <v>7431.57</v>
      </c>
      <c r="D110" s="1480">
        <f ca="1">VLOOKUP($A110,Curves_Table,Escalation!$AW$291)</f>
        <v>2.803841417140295</v>
      </c>
      <c r="E110" s="1486">
        <f t="shared" ca="1" si="24"/>
        <v>20836.9437603773</v>
      </c>
      <c r="F110" s="330">
        <f ca="1">VLOOKUP($A110,Plant_Table,'Plant Operations'!$C$270)</f>
        <v>480</v>
      </c>
      <c r="G110" s="1486">
        <f t="shared" ca="1" si="25"/>
        <v>10001.733004981104</v>
      </c>
      <c r="H110" s="1480">
        <f ca="1">IF(Assm!$L$74=0,VLOOKUP($A110,Curves_Table,Escalation!$D$291),VLOOKUP($A110,Curves_Table,Escalation!$E$291))</f>
        <v>2.5523352394471628</v>
      </c>
      <c r="I110" s="384">
        <f t="shared" ca="1" si="26"/>
        <v>3918.6596064659143</v>
      </c>
      <c r="J110" s="692" t="str">
        <f t="shared" ca="1" si="19"/>
        <v xml:space="preserve"> </v>
      </c>
      <c r="L110" s="1484">
        <f ca="1">IF($A110&gt;Endyr,0,VLOOKUP($A110,Tariff_Table,Tariff!$H$33))</f>
        <v>6140.72</v>
      </c>
      <c r="M110" s="1480">
        <f t="shared" ca="1" si="27"/>
        <v>2.803841417140295</v>
      </c>
      <c r="N110" s="1486">
        <f t="shared" ca="1" si="28"/>
        <v>17217.605067061751</v>
      </c>
      <c r="O110" s="330">
        <f t="shared" ca="1" si="29"/>
        <v>480</v>
      </c>
      <c r="P110" s="1486">
        <f t="shared" ca="1" si="30"/>
        <v>8264.4504321896402</v>
      </c>
      <c r="Q110" s="1480">
        <f t="shared" ca="1" si="31"/>
        <v>2.5523352394471628</v>
      </c>
      <c r="R110" s="384">
        <f t="shared" ca="1" si="32"/>
        <v>3237.9956615651026</v>
      </c>
      <c r="S110" s="692" t="str">
        <f t="shared" ca="1" si="20"/>
        <v xml:space="preserve"> </v>
      </c>
      <c r="U110" s="1484">
        <f ca="1">IF($A110&gt;Endyr,0,VLOOKUP($A110,Tariff_Table,Tariff!$I$33))</f>
        <v>2.31</v>
      </c>
      <c r="V110" s="1480">
        <f t="shared" ca="1" si="21"/>
        <v>2.803841417140295</v>
      </c>
      <c r="W110" s="1486">
        <f t="shared" ca="1" si="33"/>
        <v>6.4768736735940813</v>
      </c>
      <c r="X110" s="334">
        <f ca="1">VLOOKUP($A110,Plant_Table,'Plant Operations'!$M$270)</f>
        <v>298980.864</v>
      </c>
      <c r="Y110" s="1006">
        <f t="shared" ca="1" si="34"/>
        <v>1936.4612869500124</v>
      </c>
      <c r="Z110" s="1480">
        <f t="shared" ca="1" si="35"/>
        <v>2.5523352394471628</v>
      </c>
      <c r="AA110" s="1480">
        <f t="shared" ca="1" si="22"/>
        <v>2.5523352394471628</v>
      </c>
      <c r="AB110" s="333">
        <f t="shared" ca="1" si="36"/>
        <v>2.5376265521440575</v>
      </c>
      <c r="AC110" s="335">
        <f t="shared" ca="1" si="37"/>
        <v>758.70177906937136</v>
      </c>
      <c r="AD110" s="698" t="str">
        <f t="shared" ca="1" si="23"/>
        <v xml:space="preserve"> </v>
      </c>
    </row>
    <row r="111" spans="1:30">
      <c r="A111" s="672">
        <f>'Annex 12-Gas'!A111</f>
        <v>39965</v>
      </c>
      <c r="C111" s="1484">
        <f ca="1">IF($A111&gt;Endyr,0,VLOOKUP($A111,Tariff_Table,Tariff!$G$33))</f>
        <v>7431.57</v>
      </c>
      <c r="D111" s="1480">
        <f ca="1">VLOOKUP($A111,Curves_Table,Escalation!$AW$291)</f>
        <v>2.803841417140295</v>
      </c>
      <c r="E111" s="1486">
        <f t="shared" ca="1" si="24"/>
        <v>20836.9437603773</v>
      </c>
      <c r="F111" s="330">
        <f ca="1">VLOOKUP($A111,Plant_Table,'Plant Operations'!$C$270)</f>
        <v>480</v>
      </c>
      <c r="G111" s="1486">
        <f t="shared" ca="1" si="25"/>
        <v>10001.733004981104</v>
      </c>
      <c r="H111" s="1480">
        <f ca="1">IF(Assm!$L$74=0,VLOOKUP($A111,Curves_Table,Escalation!$D$291),VLOOKUP($A111,Curves_Table,Escalation!$E$291))</f>
        <v>2.5575926321461733</v>
      </c>
      <c r="I111" s="384">
        <f t="shared" ca="1" si="26"/>
        <v>3910.6044016823234</v>
      </c>
      <c r="J111" s="692" t="str">
        <f t="shared" ca="1" si="19"/>
        <v xml:space="preserve"> </v>
      </c>
      <c r="L111" s="1484">
        <f ca="1">IF($A111&gt;Endyr,0,VLOOKUP($A111,Tariff_Table,Tariff!$H$33))</f>
        <v>6140.72</v>
      </c>
      <c r="M111" s="1480">
        <f t="shared" ca="1" si="27"/>
        <v>2.803841417140295</v>
      </c>
      <c r="N111" s="1486">
        <f t="shared" ca="1" si="28"/>
        <v>17217.605067061751</v>
      </c>
      <c r="O111" s="330">
        <f t="shared" ca="1" si="29"/>
        <v>480</v>
      </c>
      <c r="P111" s="1486">
        <f t="shared" ca="1" si="30"/>
        <v>8264.4504321896402</v>
      </c>
      <c r="Q111" s="1480">
        <f t="shared" ca="1" si="31"/>
        <v>2.5575926321461733</v>
      </c>
      <c r="R111" s="384">
        <f t="shared" ca="1" si="32"/>
        <v>3231.3396309930035</v>
      </c>
      <c r="S111" s="692" t="str">
        <f t="shared" ca="1" si="20"/>
        <v xml:space="preserve"> </v>
      </c>
      <c r="U111" s="1484">
        <f ca="1">IF($A111&gt;Endyr,0,VLOOKUP($A111,Tariff_Table,Tariff!$I$33))</f>
        <v>2.31</v>
      </c>
      <c r="V111" s="1480">
        <f t="shared" ca="1" si="21"/>
        <v>2.803841417140295</v>
      </c>
      <c r="W111" s="1486">
        <f t="shared" ca="1" si="33"/>
        <v>6.4768736735940813</v>
      </c>
      <c r="X111" s="334">
        <f ca="1">VLOOKUP($A111,Plant_Table,'Plant Operations'!$M$270)</f>
        <v>289336.32000000001</v>
      </c>
      <c r="Y111" s="1006">
        <f t="shared" ca="1" si="34"/>
        <v>1873.9947938225926</v>
      </c>
      <c r="Z111" s="1480">
        <f t="shared" ca="1" si="35"/>
        <v>2.5575926321461733</v>
      </c>
      <c r="AA111" s="1480">
        <f t="shared" ca="1" si="22"/>
        <v>2.5575926321461733</v>
      </c>
      <c r="AB111" s="333">
        <f t="shared" ca="1" si="36"/>
        <v>2.5324102017603525</v>
      </c>
      <c r="AC111" s="335">
        <f t="shared" ca="1" si="37"/>
        <v>732.71824850779785</v>
      </c>
      <c r="AD111" s="698" t="str">
        <f t="shared" ca="1" si="23"/>
        <v xml:space="preserve"> </v>
      </c>
    </row>
    <row r="112" spans="1:30">
      <c r="A112" s="672">
        <f>'Annex 12-Gas'!A112</f>
        <v>39995</v>
      </c>
      <c r="C112" s="1484">
        <f ca="1">IF($A112&gt;Endyr,0,VLOOKUP($A112,Tariff_Table,Tariff!$G$33))</f>
        <v>7431.57</v>
      </c>
      <c r="D112" s="1480">
        <f ca="1">VLOOKUP($A112,Curves_Table,Escalation!$AW$291)</f>
        <v>2.803841417140295</v>
      </c>
      <c r="E112" s="1486">
        <f t="shared" ca="1" si="24"/>
        <v>20836.9437603773</v>
      </c>
      <c r="F112" s="330">
        <f ca="1">VLOOKUP($A112,Plant_Table,'Plant Operations'!$C$270)</f>
        <v>480</v>
      </c>
      <c r="G112" s="1486">
        <f t="shared" ca="1" si="25"/>
        <v>10001.733004981104</v>
      </c>
      <c r="H112" s="1480">
        <f ca="1">IF(Assm!$L$74=0,VLOOKUP($A112,Curves_Table,Escalation!$D$291),VLOOKUP($A112,Curves_Table,Escalation!$E$291))</f>
        <v>2.56286085421335</v>
      </c>
      <c r="I112" s="384">
        <f t="shared" ca="1" si="26"/>
        <v>3902.5657551943286</v>
      </c>
      <c r="J112" s="692" t="str">
        <f t="shared" ca="1" si="19"/>
        <v xml:space="preserve"> </v>
      </c>
      <c r="L112" s="1484">
        <f ca="1">IF($A112&gt;Endyr,0,VLOOKUP($A112,Tariff_Table,Tariff!$H$33))</f>
        <v>6140.72</v>
      </c>
      <c r="M112" s="1480">
        <f t="shared" ca="1" si="27"/>
        <v>2.803841417140295</v>
      </c>
      <c r="N112" s="1486">
        <f t="shared" ca="1" si="28"/>
        <v>17217.605067061751</v>
      </c>
      <c r="O112" s="330">
        <f t="shared" ca="1" si="29"/>
        <v>480</v>
      </c>
      <c r="P112" s="1486">
        <f t="shared" ca="1" si="30"/>
        <v>8264.4504321896402</v>
      </c>
      <c r="Q112" s="1480">
        <f t="shared" ca="1" si="31"/>
        <v>2.56286085421335</v>
      </c>
      <c r="R112" s="384">
        <f t="shared" ca="1" si="32"/>
        <v>3224.6972825711009</v>
      </c>
      <c r="S112" s="692" t="str">
        <f t="shared" ca="1" si="20"/>
        <v xml:space="preserve"> </v>
      </c>
      <c r="U112" s="1484">
        <f ca="1">IF($A112&gt;Endyr,0,VLOOKUP($A112,Tariff_Table,Tariff!$I$33))</f>
        <v>2.31</v>
      </c>
      <c r="V112" s="1480">
        <f t="shared" ca="1" si="21"/>
        <v>2.803841417140295</v>
      </c>
      <c r="W112" s="1486">
        <f t="shared" ca="1" si="33"/>
        <v>6.4768736735940813</v>
      </c>
      <c r="X112" s="334">
        <f ca="1">VLOOKUP($A112,Plant_Table,'Plant Operations'!$M$270)</f>
        <v>298980.864</v>
      </c>
      <c r="Y112" s="1006">
        <f t="shared" ca="1" si="34"/>
        <v>1936.4612869500124</v>
      </c>
      <c r="Z112" s="1480">
        <f t="shared" ca="1" si="35"/>
        <v>2.56286085421335</v>
      </c>
      <c r="AA112" s="1480">
        <f t="shared" ca="1" si="22"/>
        <v>2.56286085421335</v>
      </c>
      <c r="AB112" s="333">
        <f t="shared" ca="1" si="36"/>
        <v>2.5272045741172735</v>
      </c>
      <c r="AC112" s="335">
        <f t="shared" ca="1" si="37"/>
        <v>755.58580707433453</v>
      </c>
      <c r="AD112" s="698" t="str">
        <f t="shared" ca="1" si="23"/>
        <v xml:space="preserve"> </v>
      </c>
    </row>
    <row r="113" spans="1:30">
      <c r="A113" s="672">
        <f>'Annex 12-Gas'!A113</f>
        <v>40026</v>
      </c>
      <c r="C113" s="1484">
        <f ca="1">IF($A113&gt;Endyr,0,VLOOKUP($A113,Tariff_Table,Tariff!$G$33))</f>
        <v>7431.57</v>
      </c>
      <c r="D113" s="1480">
        <f ca="1">VLOOKUP($A113,Curves_Table,Escalation!$AW$291)</f>
        <v>2.803841417140295</v>
      </c>
      <c r="E113" s="1486">
        <f t="shared" ca="1" si="24"/>
        <v>20836.9437603773</v>
      </c>
      <c r="F113" s="330">
        <f ca="1">VLOOKUP($A113,Plant_Table,'Plant Operations'!$C$270)</f>
        <v>480</v>
      </c>
      <c r="G113" s="1486">
        <f t="shared" ca="1" si="25"/>
        <v>10001.733004981104</v>
      </c>
      <c r="H113" s="1480">
        <f ca="1">IF(Assm!$L$74=0,VLOOKUP($A113,Curves_Table,Escalation!$D$291),VLOOKUP($A113,Curves_Table,Escalation!$E$291))</f>
        <v>2.5681399279554182</v>
      </c>
      <c r="I113" s="384">
        <f t="shared" ca="1" si="26"/>
        <v>3894.5436329646636</v>
      </c>
      <c r="J113" s="692" t="str">
        <f t="shared" ca="1" si="19"/>
        <v xml:space="preserve"> </v>
      </c>
      <c r="L113" s="1484">
        <f ca="1">IF($A113&gt;Endyr,0,VLOOKUP($A113,Tariff_Table,Tariff!$H$33))</f>
        <v>6140.72</v>
      </c>
      <c r="M113" s="1480">
        <f t="shared" ca="1" si="27"/>
        <v>2.803841417140295</v>
      </c>
      <c r="N113" s="1486">
        <f t="shared" ca="1" si="28"/>
        <v>17217.605067061751</v>
      </c>
      <c r="O113" s="330">
        <f t="shared" ca="1" si="29"/>
        <v>480</v>
      </c>
      <c r="P113" s="1486">
        <f t="shared" ca="1" si="30"/>
        <v>8264.4504321896402</v>
      </c>
      <c r="Q113" s="1480">
        <f t="shared" ca="1" si="31"/>
        <v>2.5681399279554182</v>
      </c>
      <c r="R113" s="384">
        <f t="shared" ca="1" si="32"/>
        <v>3218.0685881743384</v>
      </c>
      <c r="S113" s="692" t="str">
        <f t="shared" ca="1" si="20"/>
        <v xml:space="preserve"> </v>
      </c>
      <c r="U113" s="1484">
        <f ca="1">IF($A113&gt;Endyr,0,VLOOKUP($A113,Tariff_Table,Tariff!$I$33))</f>
        <v>2.31</v>
      </c>
      <c r="V113" s="1480">
        <f t="shared" ca="1" si="21"/>
        <v>2.803841417140295</v>
      </c>
      <c r="W113" s="1486">
        <f t="shared" ca="1" si="33"/>
        <v>6.4768736735940813</v>
      </c>
      <c r="X113" s="334">
        <f ca="1">VLOOKUP($A113,Plant_Table,'Plant Operations'!$M$270)</f>
        <v>298980.864</v>
      </c>
      <c r="Y113" s="1006">
        <f t="shared" ca="1" si="34"/>
        <v>1936.4612869500124</v>
      </c>
      <c r="Z113" s="1480">
        <f t="shared" ca="1" si="35"/>
        <v>2.5681399279554182</v>
      </c>
      <c r="AA113" s="1480">
        <f t="shared" ca="1" si="22"/>
        <v>2.5681399279554182</v>
      </c>
      <c r="AB113" s="333">
        <f t="shared" ca="1" si="36"/>
        <v>2.5220096471731335</v>
      </c>
      <c r="AC113" s="335">
        <f t="shared" ca="1" si="37"/>
        <v>754.03262332815871</v>
      </c>
      <c r="AD113" s="698" t="str">
        <f t="shared" ca="1" si="23"/>
        <v xml:space="preserve"> </v>
      </c>
    </row>
    <row r="114" spans="1:30">
      <c r="A114" s="672">
        <f>'Annex 12-Gas'!A114</f>
        <v>40057</v>
      </c>
      <c r="C114" s="1484">
        <f ca="1">IF($A114&gt;Endyr,0,VLOOKUP($A114,Tariff_Table,Tariff!$G$33))</f>
        <v>7431.57</v>
      </c>
      <c r="D114" s="1480">
        <f ca="1">VLOOKUP($A114,Curves_Table,Escalation!$AW$291)</f>
        <v>2.803841417140295</v>
      </c>
      <c r="E114" s="1486">
        <f t="shared" ca="1" si="24"/>
        <v>20836.9437603773</v>
      </c>
      <c r="F114" s="330">
        <f ca="1">VLOOKUP($A114,Plant_Table,'Plant Operations'!$C$270)</f>
        <v>480</v>
      </c>
      <c r="G114" s="1486">
        <f t="shared" ca="1" si="25"/>
        <v>10001.733004981104</v>
      </c>
      <c r="H114" s="1480">
        <f ca="1">IF(Assm!$L$74=0,VLOOKUP($A114,Curves_Table,Escalation!$D$291),VLOOKUP($A114,Curves_Table,Escalation!$E$291))</f>
        <v>2.5734298757250516</v>
      </c>
      <c r="I114" s="384">
        <f t="shared" ca="1" si="26"/>
        <v>3886.5380010260292</v>
      </c>
      <c r="J114" s="692" t="str">
        <f t="shared" ca="1" si="19"/>
        <v xml:space="preserve"> </v>
      </c>
      <c r="L114" s="1484">
        <f ca="1">IF($A114&gt;Endyr,0,VLOOKUP($A114,Tariff_Table,Tariff!$H$33))</f>
        <v>6140.72</v>
      </c>
      <c r="M114" s="1480">
        <f t="shared" ca="1" si="27"/>
        <v>2.803841417140295</v>
      </c>
      <c r="N114" s="1486">
        <f t="shared" ca="1" si="28"/>
        <v>17217.605067061751</v>
      </c>
      <c r="O114" s="330">
        <f t="shared" ca="1" si="29"/>
        <v>480</v>
      </c>
      <c r="P114" s="1486">
        <f t="shared" ca="1" si="30"/>
        <v>8264.4504321896402</v>
      </c>
      <c r="Q114" s="1480">
        <f t="shared" ca="1" si="31"/>
        <v>2.5734298757250516</v>
      </c>
      <c r="R114" s="384">
        <f t="shared" ca="1" si="32"/>
        <v>3211.4535197354739</v>
      </c>
      <c r="S114" s="692" t="str">
        <f t="shared" ca="1" si="20"/>
        <v xml:space="preserve"> </v>
      </c>
      <c r="U114" s="1484">
        <f ca="1">IF($A114&gt;Endyr,0,VLOOKUP($A114,Tariff_Table,Tariff!$I$33))</f>
        <v>2.31</v>
      </c>
      <c r="V114" s="1480">
        <f t="shared" ca="1" si="21"/>
        <v>2.803841417140295</v>
      </c>
      <c r="W114" s="1486">
        <f t="shared" ca="1" si="33"/>
        <v>6.4768736735940813</v>
      </c>
      <c r="X114" s="334">
        <f ca="1">VLOOKUP($A114,Plant_Table,'Plant Operations'!$M$270)</f>
        <v>289336.32000000001</v>
      </c>
      <c r="Y114" s="1006">
        <f t="shared" ca="1" si="34"/>
        <v>1873.9947938225926</v>
      </c>
      <c r="Z114" s="1480">
        <f t="shared" ca="1" si="35"/>
        <v>2.5734298757250516</v>
      </c>
      <c r="AA114" s="1480">
        <f t="shared" ca="1" si="22"/>
        <v>2.5734298757250516</v>
      </c>
      <c r="AB114" s="333">
        <f t="shared" ca="1" si="36"/>
        <v>2.5168253989315534</v>
      </c>
      <c r="AC114" s="335">
        <f t="shared" ca="1" si="37"/>
        <v>728.20899900938764</v>
      </c>
      <c r="AD114" s="698" t="str">
        <f t="shared" ca="1" si="23"/>
        <v xml:space="preserve"> </v>
      </c>
    </row>
    <row r="115" spans="1:30">
      <c r="A115" s="672">
        <f>'Annex 12-Gas'!A115</f>
        <v>40087</v>
      </c>
      <c r="C115" s="1484">
        <f ca="1">IF($A115&gt;Endyr,0,VLOOKUP($A115,Tariff_Table,Tariff!$G$33))</f>
        <v>7431.57</v>
      </c>
      <c r="D115" s="1480">
        <f ca="1">VLOOKUP($A115,Curves_Table,Escalation!$AW$291)</f>
        <v>2.803841417140295</v>
      </c>
      <c r="E115" s="1486">
        <f t="shared" ca="1" si="24"/>
        <v>20836.9437603773</v>
      </c>
      <c r="F115" s="330">
        <f ca="1">VLOOKUP($A115,Plant_Table,'Plant Operations'!$C$270)</f>
        <v>480</v>
      </c>
      <c r="G115" s="1486">
        <f t="shared" ca="1" si="25"/>
        <v>10001.733004981104</v>
      </c>
      <c r="H115" s="1480">
        <f ca="1">IF(Assm!$L$74=0,VLOOKUP($A115,Curves_Table,Escalation!$D$291),VLOOKUP($A115,Curves_Table,Escalation!$E$291))</f>
        <v>2.5787307199209661</v>
      </c>
      <c r="I115" s="384">
        <f t="shared" ca="1" si="26"/>
        <v>3878.5488254809488</v>
      </c>
      <c r="J115" s="692" t="str">
        <f t="shared" ca="1" si="19"/>
        <v xml:space="preserve"> </v>
      </c>
      <c r="L115" s="1484">
        <f ca="1">IF($A115&gt;Endyr,0,VLOOKUP($A115,Tariff_Table,Tariff!$H$33))</f>
        <v>6140.72</v>
      </c>
      <c r="M115" s="1480">
        <f t="shared" ca="1" si="27"/>
        <v>2.803841417140295</v>
      </c>
      <c r="N115" s="1486">
        <f t="shared" ca="1" si="28"/>
        <v>17217.605067061751</v>
      </c>
      <c r="O115" s="330">
        <f t="shared" ca="1" si="29"/>
        <v>480</v>
      </c>
      <c r="P115" s="1486">
        <f t="shared" ca="1" si="30"/>
        <v>8264.4504321896402</v>
      </c>
      <c r="Q115" s="1480">
        <f t="shared" ca="1" si="31"/>
        <v>2.5787307199209661</v>
      </c>
      <c r="R115" s="384">
        <f t="shared" ca="1" si="32"/>
        <v>3204.8520492449602</v>
      </c>
      <c r="S115" s="692" t="str">
        <f t="shared" ca="1" si="20"/>
        <v xml:space="preserve"> </v>
      </c>
      <c r="U115" s="1484">
        <f ca="1">IF($A115&gt;Endyr,0,VLOOKUP($A115,Tariff_Table,Tariff!$I$33))</f>
        <v>2.31</v>
      </c>
      <c r="V115" s="1480">
        <f t="shared" ca="1" si="21"/>
        <v>2.803841417140295</v>
      </c>
      <c r="W115" s="1486">
        <f t="shared" ca="1" si="33"/>
        <v>6.4768736735940813</v>
      </c>
      <c r="X115" s="334">
        <f ca="1">VLOOKUP($A115,Plant_Table,'Plant Operations'!$M$270)</f>
        <v>298980.864</v>
      </c>
      <c r="Y115" s="1006">
        <f t="shared" ca="1" si="34"/>
        <v>1936.4612869500124</v>
      </c>
      <c r="Z115" s="1480">
        <f t="shared" ca="1" si="35"/>
        <v>2.5787307199209661</v>
      </c>
      <c r="AA115" s="1480">
        <f t="shared" ca="1" si="22"/>
        <v>2.5787307199209661</v>
      </c>
      <c r="AB115" s="333">
        <f t="shared" ca="1" si="36"/>
        <v>2.5116518074413707</v>
      </c>
      <c r="AC115" s="335">
        <f t="shared" ca="1" si="37"/>
        <v>750.93582745598258</v>
      </c>
      <c r="AD115" s="698" t="str">
        <f t="shared" ca="1" si="23"/>
        <v xml:space="preserve"> </v>
      </c>
    </row>
    <row r="116" spans="1:30">
      <c r="A116" s="672">
        <f>'Annex 12-Gas'!A116</f>
        <v>40118</v>
      </c>
      <c r="C116" s="1484">
        <f ca="1">IF($A116&gt;Endyr,0,VLOOKUP($A116,Tariff_Table,Tariff!$G$33))</f>
        <v>7431.57</v>
      </c>
      <c r="D116" s="1480">
        <f ca="1">VLOOKUP($A116,Curves_Table,Escalation!$AW$291)</f>
        <v>2.803841417140295</v>
      </c>
      <c r="E116" s="1486">
        <f t="shared" ca="1" si="24"/>
        <v>20836.9437603773</v>
      </c>
      <c r="F116" s="330">
        <f ca="1">VLOOKUP($A116,Plant_Table,'Plant Operations'!$C$270)</f>
        <v>480</v>
      </c>
      <c r="G116" s="1486">
        <f t="shared" ca="1" si="25"/>
        <v>10001.733004981104</v>
      </c>
      <c r="H116" s="1480">
        <f ca="1">IF(Assm!$L$74=0,VLOOKUP($A116,Curves_Table,Escalation!$D$291),VLOOKUP($A116,Curves_Table,Escalation!$E$291))</f>
        <v>2.5840424829880164</v>
      </c>
      <c r="I116" s="384">
        <f t="shared" ca="1" si="26"/>
        <v>3870.5760725016253</v>
      </c>
      <c r="J116" s="692" t="str">
        <f t="shared" ca="1" si="19"/>
        <v xml:space="preserve"> </v>
      </c>
      <c r="L116" s="1484">
        <f ca="1">IF($A116&gt;Endyr,0,VLOOKUP($A116,Tariff_Table,Tariff!$H$33))</f>
        <v>6140.72</v>
      </c>
      <c r="M116" s="1480">
        <f t="shared" ca="1" si="27"/>
        <v>2.803841417140295</v>
      </c>
      <c r="N116" s="1486">
        <f t="shared" ca="1" si="28"/>
        <v>17217.605067061751</v>
      </c>
      <c r="O116" s="330">
        <f t="shared" ca="1" si="29"/>
        <v>480</v>
      </c>
      <c r="P116" s="1486">
        <f t="shared" ca="1" si="30"/>
        <v>8264.4504321896402</v>
      </c>
      <c r="Q116" s="1480">
        <f t="shared" ca="1" si="31"/>
        <v>2.5840424829880164</v>
      </c>
      <c r="R116" s="384">
        <f t="shared" ca="1" si="32"/>
        <v>3198.2641487508263</v>
      </c>
      <c r="S116" s="692" t="str">
        <f t="shared" ca="1" si="20"/>
        <v xml:space="preserve"> </v>
      </c>
      <c r="U116" s="1484">
        <f ca="1">IF($A116&gt;Endyr,0,VLOOKUP($A116,Tariff_Table,Tariff!$I$33))</f>
        <v>2.31</v>
      </c>
      <c r="V116" s="1480">
        <f t="shared" ca="1" si="21"/>
        <v>2.803841417140295</v>
      </c>
      <c r="W116" s="1486">
        <f t="shared" ca="1" si="33"/>
        <v>6.4768736735940813</v>
      </c>
      <c r="X116" s="334">
        <f ca="1">VLOOKUP($A116,Plant_Table,'Plant Operations'!$M$270)</f>
        <v>289336.32000000001</v>
      </c>
      <c r="Y116" s="1006">
        <f t="shared" ca="1" si="34"/>
        <v>1873.9947938225926</v>
      </c>
      <c r="Z116" s="1480">
        <f t="shared" ca="1" si="35"/>
        <v>2.5840424829880164</v>
      </c>
      <c r="AA116" s="1480">
        <f t="shared" ca="1" si="22"/>
        <v>2.5840424829880164</v>
      </c>
      <c r="AB116" s="333">
        <f t="shared" ca="1" si="36"/>
        <v>2.5064888507965439</v>
      </c>
      <c r="AC116" s="335">
        <f t="shared" ca="1" si="37"/>
        <v>725.21826021050106</v>
      </c>
      <c r="AD116" s="698" t="str">
        <f t="shared" ca="1" si="23"/>
        <v xml:space="preserve"> </v>
      </c>
    </row>
    <row r="117" spans="1:30">
      <c r="A117" s="672">
        <f>'Annex 12-Gas'!A117</f>
        <v>40148</v>
      </c>
      <c r="C117" s="1484">
        <f ca="1">IF($A117&gt;Endyr,0,VLOOKUP($A117,Tariff_Table,Tariff!$G$33))</f>
        <v>7431.57</v>
      </c>
      <c r="D117" s="1480">
        <f ca="1">VLOOKUP($A117,Curves_Table,Escalation!$AW$291)</f>
        <v>2.803841417140295</v>
      </c>
      <c r="E117" s="1486">
        <f t="shared" ca="1" si="24"/>
        <v>20836.9437603773</v>
      </c>
      <c r="F117" s="330">
        <f ca="1">VLOOKUP($A117,Plant_Table,'Plant Operations'!$C$270)</f>
        <v>480</v>
      </c>
      <c r="G117" s="1486">
        <f t="shared" ca="1" si="25"/>
        <v>10001.733004981104</v>
      </c>
      <c r="H117" s="1480">
        <f ca="1">IF(Assm!$L$74=0,VLOOKUP($A117,Curves_Table,Escalation!$D$291),VLOOKUP($A117,Curves_Table,Escalation!$E$291))</f>
        <v>2.5893651874172878</v>
      </c>
      <c r="I117" s="384">
        <f t="shared" ca="1" si="26"/>
        <v>3862.6197083298007</v>
      </c>
      <c r="J117" s="692">
        <f t="shared" ca="1" si="19"/>
        <v>45780.896165488921</v>
      </c>
      <c r="L117" s="1484">
        <f ca="1">IF($A117&gt;Endyr,0,VLOOKUP($A117,Tariff_Table,Tariff!$H$33))</f>
        <v>6140.72</v>
      </c>
      <c r="M117" s="1480">
        <f t="shared" ca="1" si="27"/>
        <v>2.803841417140295</v>
      </c>
      <c r="N117" s="1486">
        <f t="shared" ca="1" si="28"/>
        <v>17217.605067061751</v>
      </c>
      <c r="O117" s="330">
        <f t="shared" ca="1" si="29"/>
        <v>480</v>
      </c>
      <c r="P117" s="1486">
        <f t="shared" ca="1" si="30"/>
        <v>8264.4504321896402</v>
      </c>
      <c r="Q117" s="1480">
        <f t="shared" ca="1" si="31"/>
        <v>2.5893651874172878</v>
      </c>
      <c r="R117" s="384">
        <f t="shared" ca="1" si="32"/>
        <v>3191.6897903585614</v>
      </c>
      <c r="S117" s="692">
        <f t="shared" ca="1" si="20"/>
        <v>37795.365344354475</v>
      </c>
      <c r="U117" s="1484">
        <f ca="1">IF($A117&gt;Endyr,0,VLOOKUP($A117,Tariff_Table,Tariff!$I$33))</f>
        <v>2.31</v>
      </c>
      <c r="V117" s="1480">
        <f t="shared" ca="1" si="21"/>
        <v>2.803841417140295</v>
      </c>
      <c r="W117" s="1486">
        <f t="shared" ca="1" si="33"/>
        <v>6.4768736735940813</v>
      </c>
      <c r="X117" s="334">
        <f ca="1">VLOOKUP($A117,Plant_Table,'Plant Operations'!$M$270)</f>
        <v>298980.864</v>
      </c>
      <c r="Y117" s="1006">
        <f t="shared" ca="1" si="34"/>
        <v>1936.4612869500124</v>
      </c>
      <c r="Z117" s="1480">
        <f t="shared" ca="1" si="35"/>
        <v>2.5893651874172878</v>
      </c>
      <c r="AA117" s="1480">
        <f t="shared" ca="1" si="22"/>
        <v>2.5893651874172878</v>
      </c>
      <c r="AB117" s="333">
        <f t="shared" ca="1" si="36"/>
        <v>2.5013365071360649</v>
      </c>
      <c r="AC117" s="335">
        <f t="shared" ca="1" si="37"/>
        <v>747.85175005828296</v>
      </c>
      <c r="AD117" s="698">
        <f t="shared" ca="1" si="23"/>
        <v>8701.919819313669</v>
      </c>
    </row>
    <row r="118" spans="1:30">
      <c r="A118" s="672">
        <f>'Annex 12-Gas'!A118</f>
        <v>40179</v>
      </c>
      <c r="C118" s="1484">
        <f ca="1">IF($A118&gt;Endyr,0,VLOOKUP($A118,Tariff_Table,Tariff!$G$33))</f>
        <v>7431.57</v>
      </c>
      <c r="D118" s="1480">
        <f ca="1">VLOOKUP($A118,Curves_Table,Escalation!$AW$291)</f>
        <v>2.803841417140295</v>
      </c>
      <c r="E118" s="1486">
        <f t="shared" ca="1" si="24"/>
        <v>20836.9437603773</v>
      </c>
      <c r="F118" s="330">
        <f ca="1">VLOOKUP($A118,Plant_Table,'Plant Operations'!$C$270)</f>
        <v>480</v>
      </c>
      <c r="G118" s="1486">
        <f t="shared" ca="1" si="25"/>
        <v>10001.733004981104</v>
      </c>
      <c r="H118" s="1480">
        <f ca="1">IF(Assm!$L$74=0,VLOOKUP($A118,Curves_Table,Escalation!$D$291),VLOOKUP($A118,Curves_Table,Escalation!$E$291))</f>
        <v>2.5944082870946334</v>
      </c>
      <c r="I118" s="384">
        <f t="shared" ca="1" si="26"/>
        <v>3855.1114158603064</v>
      </c>
      <c r="J118" s="692" t="str">
        <f t="shared" ca="1" si="19"/>
        <v xml:space="preserve"> </v>
      </c>
      <c r="L118" s="1484">
        <f ca="1">IF($A118&gt;Endyr,0,VLOOKUP($A118,Tariff_Table,Tariff!$H$33))</f>
        <v>6140.72</v>
      </c>
      <c r="M118" s="1480">
        <f t="shared" ca="1" si="27"/>
        <v>2.803841417140295</v>
      </c>
      <c r="N118" s="1486">
        <f t="shared" ca="1" si="28"/>
        <v>17217.605067061751</v>
      </c>
      <c r="O118" s="330">
        <f t="shared" ca="1" si="29"/>
        <v>480</v>
      </c>
      <c r="P118" s="1486">
        <f t="shared" ca="1" si="30"/>
        <v>8264.4504321896402</v>
      </c>
      <c r="Q118" s="1480">
        <f t="shared" ca="1" si="31"/>
        <v>2.5944082870946334</v>
      </c>
      <c r="R118" s="384">
        <f t="shared" ca="1" si="32"/>
        <v>3185.4856744404883</v>
      </c>
      <c r="S118" s="692" t="str">
        <f t="shared" ca="1" si="20"/>
        <v xml:space="preserve"> </v>
      </c>
      <c r="U118" s="1484">
        <f ca="1">IF($A118&gt;Endyr,0,VLOOKUP($A118,Tariff_Table,Tariff!$I$33))</f>
        <v>2.31</v>
      </c>
      <c r="V118" s="1480">
        <f t="shared" ca="1" si="21"/>
        <v>2.803841417140295</v>
      </c>
      <c r="W118" s="1486">
        <f t="shared" ca="1" si="33"/>
        <v>6.4768736735940813</v>
      </c>
      <c r="X118" s="334">
        <f ca="1">VLOOKUP($A118,Plant_Table,'Plant Operations'!$M$270)</f>
        <v>298980.864</v>
      </c>
      <c r="Y118" s="1006">
        <f t="shared" ca="1" si="34"/>
        <v>1936.4612869500124</v>
      </c>
      <c r="Z118" s="1480">
        <f t="shared" ca="1" si="35"/>
        <v>2.5944082870946334</v>
      </c>
      <c r="AA118" s="1480">
        <f t="shared" ca="1" si="22"/>
        <v>2.5944082870946334</v>
      </c>
      <c r="AB118" s="333">
        <f t="shared" ca="1" si="36"/>
        <v>2.4964743235719671</v>
      </c>
      <c r="AC118" s="335">
        <f t="shared" ca="1" si="37"/>
        <v>746.39805021536233</v>
      </c>
      <c r="AD118" s="698" t="str">
        <f t="shared" ca="1" si="23"/>
        <v xml:space="preserve"> </v>
      </c>
    </row>
    <row r="119" spans="1:30">
      <c r="A119" s="672">
        <f>'Annex 12-Gas'!A119</f>
        <v>40210</v>
      </c>
      <c r="C119" s="1484">
        <f ca="1">IF($A119&gt;Endyr,0,VLOOKUP($A119,Tariff_Table,Tariff!$G$33))</f>
        <v>7431.57</v>
      </c>
      <c r="D119" s="1480">
        <f ca="1">VLOOKUP($A119,Curves_Table,Escalation!$AW$291)</f>
        <v>2.803841417140295</v>
      </c>
      <c r="E119" s="1486">
        <f t="shared" ca="1" si="24"/>
        <v>20836.9437603773</v>
      </c>
      <c r="F119" s="330">
        <f ca="1">VLOOKUP($A119,Plant_Table,'Plant Operations'!$C$270)</f>
        <v>480</v>
      </c>
      <c r="G119" s="1486">
        <f t="shared" ca="1" si="25"/>
        <v>10001.733004981104</v>
      </c>
      <c r="H119" s="1480">
        <f ca="1">IF(Assm!$L$74=0,VLOOKUP($A119,Curves_Table,Escalation!$D$291),VLOOKUP($A119,Curves_Table,Escalation!$E$291))</f>
        <v>2.5994612088142612</v>
      </c>
      <c r="I119" s="384">
        <f t="shared" ca="1" si="26"/>
        <v>3847.6177182668457</v>
      </c>
      <c r="J119" s="692" t="str">
        <f t="shared" ca="1" si="19"/>
        <v xml:space="preserve"> </v>
      </c>
      <c r="L119" s="1484">
        <f ca="1">IF($A119&gt;Endyr,0,VLOOKUP($A119,Tariff_Table,Tariff!$H$33))</f>
        <v>6140.72</v>
      </c>
      <c r="M119" s="1480">
        <f t="shared" ca="1" si="27"/>
        <v>2.803841417140295</v>
      </c>
      <c r="N119" s="1486">
        <f t="shared" ca="1" si="28"/>
        <v>17217.605067061751</v>
      </c>
      <c r="O119" s="330">
        <f t="shared" ca="1" si="29"/>
        <v>480</v>
      </c>
      <c r="P119" s="1486">
        <f t="shared" ca="1" si="30"/>
        <v>8264.4504321896402</v>
      </c>
      <c r="Q119" s="1480">
        <f t="shared" ca="1" si="31"/>
        <v>2.5994612088142612</v>
      </c>
      <c r="R119" s="384">
        <f t="shared" ca="1" si="32"/>
        <v>3179.2936182954049</v>
      </c>
      <c r="S119" s="692" t="str">
        <f t="shared" ca="1" si="20"/>
        <v xml:space="preserve"> </v>
      </c>
      <c r="U119" s="1484">
        <f ca="1">IF($A119&gt;Endyr,0,VLOOKUP($A119,Tariff_Table,Tariff!$I$33))</f>
        <v>2.31</v>
      </c>
      <c r="V119" s="1480">
        <f t="shared" ca="1" si="21"/>
        <v>2.803841417140295</v>
      </c>
      <c r="W119" s="1486">
        <f t="shared" ca="1" si="33"/>
        <v>6.4768736735940813</v>
      </c>
      <c r="X119" s="334">
        <f ca="1">VLOOKUP($A119,Plant_Table,'Plant Operations'!$M$270)</f>
        <v>270047.23200000002</v>
      </c>
      <c r="Y119" s="1006">
        <f t="shared" ca="1" si="34"/>
        <v>1749.0618075677535</v>
      </c>
      <c r="Z119" s="1480">
        <f t="shared" ca="1" si="35"/>
        <v>2.5994612088142612</v>
      </c>
      <c r="AA119" s="1480">
        <f t="shared" ca="1" si="22"/>
        <v>2.5994612088142612</v>
      </c>
      <c r="AB119" s="333">
        <f t="shared" ca="1" si="36"/>
        <v>2.4916215912867936</v>
      </c>
      <c r="AC119" s="335">
        <f t="shared" ca="1" si="37"/>
        <v>672.85551391843399</v>
      </c>
      <c r="AD119" s="698" t="str">
        <f t="shared" ca="1" si="23"/>
        <v xml:space="preserve"> </v>
      </c>
    </row>
    <row r="120" spans="1:30">
      <c r="A120" s="672">
        <f>'Annex 12-Gas'!A120</f>
        <v>40238</v>
      </c>
      <c r="C120" s="1484">
        <f ca="1">IF($A120&gt;Endyr,0,VLOOKUP($A120,Tariff_Table,Tariff!$G$33))</f>
        <v>7431.57</v>
      </c>
      <c r="D120" s="1480">
        <f ca="1">VLOOKUP($A120,Curves_Table,Escalation!$AW$291)</f>
        <v>2.803841417140295</v>
      </c>
      <c r="E120" s="1486">
        <f t="shared" ca="1" si="24"/>
        <v>20836.9437603773</v>
      </c>
      <c r="F120" s="330">
        <f ca="1">VLOOKUP($A120,Plant_Table,'Plant Operations'!$C$270)</f>
        <v>480</v>
      </c>
      <c r="G120" s="1486">
        <f t="shared" ca="1" si="25"/>
        <v>10001.733004981104</v>
      </c>
      <c r="H120" s="1480">
        <f ca="1">IF(Assm!$L$74=0,VLOOKUP($A120,Curves_Table,Escalation!$D$291),VLOOKUP($A120,Curves_Table,Escalation!$E$291))</f>
        <v>2.6045239717057789</v>
      </c>
      <c r="I120" s="384">
        <f t="shared" ca="1" si="26"/>
        <v>3840.1385871793982</v>
      </c>
      <c r="J120" s="692" t="str">
        <f t="shared" ca="1" si="19"/>
        <v xml:space="preserve"> </v>
      </c>
      <c r="L120" s="1484">
        <f ca="1">IF($A120&gt;Endyr,0,VLOOKUP($A120,Tariff_Table,Tariff!$H$33))</f>
        <v>6140.72</v>
      </c>
      <c r="M120" s="1480">
        <f t="shared" ca="1" si="27"/>
        <v>2.803841417140295</v>
      </c>
      <c r="N120" s="1486">
        <f t="shared" ca="1" si="28"/>
        <v>17217.605067061751</v>
      </c>
      <c r="O120" s="330">
        <f t="shared" ca="1" si="29"/>
        <v>480</v>
      </c>
      <c r="P120" s="1486">
        <f t="shared" ca="1" si="30"/>
        <v>8264.4504321896402</v>
      </c>
      <c r="Q120" s="1480">
        <f t="shared" ca="1" si="31"/>
        <v>2.6045239717057789</v>
      </c>
      <c r="R120" s="384">
        <f t="shared" ca="1" si="32"/>
        <v>3173.1135984811112</v>
      </c>
      <c r="S120" s="692" t="str">
        <f t="shared" ca="1" si="20"/>
        <v xml:space="preserve"> </v>
      </c>
      <c r="U120" s="1484">
        <f ca="1">IF($A120&gt;Endyr,0,VLOOKUP($A120,Tariff_Table,Tariff!$I$33))</f>
        <v>2.31</v>
      </c>
      <c r="V120" s="1480">
        <f t="shared" ca="1" si="21"/>
        <v>2.803841417140295</v>
      </c>
      <c r="W120" s="1486">
        <f t="shared" ca="1" si="33"/>
        <v>6.4768736735940813</v>
      </c>
      <c r="X120" s="334">
        <f ca="1">VLOOKUP($A120,Plant_Table,'Plant Operations'!$M$270)</f>
        <v>298980.864</v>
      </c>
      <c r="Y120" s="1006">
        <f t="shared" ca="1" si="34"/>
        <v>1936.4612869500124</v>
      </c>
      <c r="Z120" s="1480">
        <f t="shared" ca="1" si="35"/>
        <v>2.6045239717057789</v>
      </c>
      <c r="AA120" s="1480">
        <f t="shared" ca="1" si="22"/>
        <v>2.6045239717057789</v>
      </c>
      <c r="AB120" s="333">
        <f t="shared" ca="1" si="36"/>
        <v>2.4867782919088235</v>
      </c>
      <c r="AC120" s="335">
        <f t="shared" ca="1" si="37"/>
        <v>743.49912229134418</v>
      </c>
      <c r="AD120" s="698" t="str">
        <f t="shared" ca="1" si="23"/>
        <v xml:space="preserve"> </v>
      </c>
    </row>
    <row r="121" spans="1:30">
      <c r="A121" s="672">
        <f>'Annex 12-Gas'!A121</f>
        <v>40269</v>
      </c>
      <c r="C121" s="1484">
        <f ca="1">IF($A121&gt;Endyr,0,VLOOKUP($A121,Tariff_Table,Tariff!$G$33))</f>
        <v>7431.57</v>
      </c>
      <c r="D121" s="1480">
        <f ca="1">VLOOKUP($A121,Curves_Table,Escalation!$AW$291)</f>
        <v>2.803841417140295</v>
      </c>
      <c r="E121" s="1486">
        <f t="shared" ca="1" si="24"/>
        <v>20836.9437603773</v>
      </c>
      <c r="F121" s="330">
        <f ca="1">VLOOKUP($A121,Plant_Table,'Plant Operations'!$C$270)</f>
        <v>480</v>
      </c>
      <c r="G121" s="1486">
        <f t="shared" ca="1" si="25"/>
        <v>10001.733004981104</v>
      </c>
      <c r="H121" s="1480">
        <f ca="1">IF(Assm!$L$74=0,VLOOKUP($A121,Curves_Table,Escalation!$D$291),VLOOKUP($A121,Curves_Table,Escalation!$E$291))</f>
        <v>2.60959659493605</v>
      </c>
      <c r="I121" s="384">
        <f t="shared" ca="1" si="26"/>
        <v>3832.6739942830909</v>
      </c>
      <c r="J121" s="692" t="str">
        <f t="shared" ca="1" si="19"/>
        <v xml:space="preserve"> </v>
      </c>
      <c r="L121" s="1484">
        <f ca="1">IF($A121&gt;Endyr,0,VLOOKUP($A121,Tariff_Table,Tariff!$H$33))</f>
        <v>6140.72</v>
      </c>
      <c r="M121" s="1480">
        <f t="shared" ca="1" si="27"/>
        <v>2.803841417140295</v>
      </c>
      <c r="N121" s="1486">
        <f t="shared" ca="1" si="28"/>
        <v>17217.605067061751</v>
      </c>
      <c r="O121" s="330">
        <f t="shared" ca="1" si="29"/>
        <v>480</v>
      </c>
      <c r="P121" s="1486">
        <f t="shared" ca="1" si="30"/>
        <v>8264.4504321896402</v>
      </c>
      <c r="Q121" s="1480">
        <f t="shared" ca="1" si="31"/>
        <v>2.60959659493605</v>
      </c>
      <c r="R121" s="384">
        <f t="shared" ca="1" si="32"/>
        <v>3166.9455916009756</v>
      </c>
      <c r="S121" s="692" t="str">
        <f t="shared" ca="1" si="20"/>
        <v xml:space="preserve"> </v>
      </c>
      <c r="U121" s="1484">
        <f ca="1">IF($A121&gt;Endyr,0,VLOOKUP($A121,Tariff_Table,Tariff!$I$33))</f>
        <v>2.31</v>
      </c>
      <c r="V121" s="1480">
        <f t="shared" ca="1" si="21"/>
        <v>2.803841417140295</v>
      </c>
      <c r="W121" s="1486">
        <f t="shared" ca="1" si="33"/>
        <v>6.4768736735940813</v>
      </c>
      <c r="X121" s="334">
        <f ca="1">VLOOKUP($A121,Plant_Table,'Plant Operations'!$M$270)</f>
        <v>289336.32000000001</v>
      </c>
      <c r="Y121" s="1006">
        <f t="shared" ca="1" si="34"/>
        <v>1873.9947938225926</v>
      </c>
      <c r="Z121" s="1480">
        <f t="shared" ca="1" si="35"/>
        <v>2.60959659493605</v>
      </c>
      <c r="AA121" s="1480">
        <f t="shared" ca="1" si="22"/>
        <v>2.60959659493605</v>
      </c>
      <c r="AB121" s="333">
        <f t="shared" ca="1" si="36"/>
        <v>2.4819444071020493</v>
      </c>
      <c r="AC121" s="335">
        <f t="shared" ca="1" si="37"/>
        <v>718.11666119548875</v>
      </c>
      <c r="AD121" s="698" t="str">
        <f t="shared" ca="1" si="23"/>
        <v xml:space="preserve"> </v>
      </c>
    </row>
    <row r="122" spans="1:30">
      <c r="A122" s="672">
        <f>'Annex 12-Gas'!A122</f>
        <v>40299</v>
      </c>
      <c r="C122" s="1484">
        <f ca="1">IF($A122&gt;Endyr,0,VLOOKUP($A122,Tariff_Table,Tariff!$G$33))</f>
        <v>7434.78</v>
      </c>
      <c r="D122" s="1480">
        <f ca="1">VLOOKUP($A122,Curves_Table,Escalation!$AW$291)</f>
        <v>3.0057179991743976</v>
      </c>
      <c r="E122" s="1486">
        <f t="shared" ca="1" si="24"/>
        <v>22346.852065901829</v>
      </c>
      <c r="F122" s="330">
        <f ca="1">VLOOKUP($A122,Plant_Table,'Plant Operations'!$C$270)</f>
        <v>480</v>
      </c>
      <c r="G122" s="1486">
        <f t="shared" ca="1" si="25"/>
        <v>10726.488991632878</v>
      </c>
      <c r="H122" s="1480">
        <f ca="1">IF(Assm!$L$74=0,VLOOKUP($A122,Curves_Table,Escalation!$D$291),VLOOKUP($A122,Curves_Table,Escalation!$E$291))</f>
        <v>2.6146790977092684</v>
      </c>
      <c r="I122" s="384">
        <f t="shared" ca="1" si="26"/>
        <v>4102.411267612305</v>
      </c>
      <c r="J122" s="692" t="str">
        <f t="shared" ca="1" si="19"/>
        <v xml:space="preserve"> </v>
      </c>
      <c r="L122" s="1484">
        <f ca="1">IF($A122&gt;Endyr,0,VLOOKUP($A122,Tariff_Table,Tariff!$H$33))</f>
        <v>6151.18</v>
      </c>
      <c r="M122" s="1480">
        <f t="shared" ca="1" si="27"/>
        <v>3.0057179991743976</v>
      </c>
      <c r="N122" s="1486">
        <f t="shared" ca="1" si="28"/>
        <v>18488.712442161574</v>
      </c>
      <c r="O122" s="330">
        <f t="shared" ca="1" si="29"/>
        <v>480</v>
      </c>
      <c r="P122" s="1486">
        <f t="shared" ca="1" si="30"/>
        <v>8874.5819722375545</v>
      </c>
      <c r="Q122" s="1480">
        <f t="shared" ca="1" si="31"/>
        <v>2.6146790977092684</v>
      </c>
      <c r="R122" s="384">
        <f t="shared" ca="1" si="32"/>
        <v>3394.1381104903517</v>
      </c>
      <c r="S122" s="692" t="str">
        <f t="shared" ca="1" si="20"/>
        <v xml:space="preserve"> </v>
      </c>
      <c r="U122" s="1484">
        <f ca="1">IF($A122&gt;Endyr,0,VLOOKUP($A122,Tariff_Table,Tariff!$I$33))</f>
        <v>2.3199999999999998</v>
      </c>
      <c r="V122" s="1480">
        <f t="shared" ca="1" si="21"/>
        <v>3.0057179991743976</v>
      </c>
      <c r="W122" s="1486">
        <f t="shared" ca="1" si="33"/>
        <v>6.9732657580846018</v>
      </c>
      <c r="X122" s="334">
        <f ca="1">VLOOKUP($A122,Plant_Table,'Plant Operations'!$M$270)</f>
        <v>298980.864</v>
      </c>
      <c r="Y122" s="1006">
        <f t="shared" ca="1" si="34"/>
        <v>2084.8730212537494</v>
      </c>
      <c r="Z122" s="1480">
        <f t="shared" ca="1" si="35"/>
        <v>2.6146790977092684</v>
      </c>
      <c r="AA122" s="1480">
        <f t="shared" ca="1" si="22"/>
        <v>2.6146790977092684</v>
      </c>
      <c r="AB122" s="333">
        <f t="shared" ca="1" si="36"/>
        <v>2.6669681048790692</v>
      </c>
      <c r="AC122" s="335">
        <f t="shared" ca="1" si="37"/>
        <v>797.3724282571867</v>
      </c>
      <c r="AD122" s="698" t="str">
        <f t="shared" ca="1" si="23"/>
        <v xml:space="preserve"> </v>
      </c>
    </row>
    <row r="123" spans="1:30">
      <c r="A123" s="672">
        <f>'Annex 12-Gas'!A123</f>
        <v>40330</v>
      </c>
      <c r="C123" s="1484">
        <f ca="1">IF($A123&gt;Endyr,0,VLOOKUP($A123,Tariff_Table,Tariff!$G$33))</f>
        <v>7434.78</v>
      </c>
      <c r="D123" s="1480">
        <f ca="1">VLOOKUP($A123,Curves_Table,Escalation!$AW$291)</f>
        <v>3.0057179991743976</v>
      </c>
      <c r="E123" s="1486">
        <f t="shared" ca="1" si="24"/>
        <v>22346.852065901829</v>
      </c>
      <c r="F123" s="330">
        <f ca="1">VLOOKUP($A123,Plant_Table,'Plant Operations'!$C$270)</f>
        <v>480</v>
      </c>
      <c r="G123" s="1486">
        <f t="shared" ca="1" si="25"/>
        <v>10726.488991632878</v>
      </c>
      <c r="H123" s="1480">
        <f ca="1">IF(Assm!$L$74=0,VLOOKUP($A123,Curves_Table,Escalation!$D$291),VLOOKUP($A123,Curves_Table,Escalation!$E$291))</f>
        <v>2.6197714992670309</v>
      </c>
      <c r="I123" s="384">
        <f t="shared" ca="1" si="26"/>
        <v>4094.4368600979028</v>
      </c>
      <c r="J123" s="692" t="str">
        <f t="shared" ca="1" si="19"/>
        <v xml:space="preserve"> </v>
      </c>
      <c r="L123" s="1484">
        <f ca="1">IF($A123&gt;Endyr,0,VLOOKUP($A123,Tariff_Table,Tariff!$H$33))</f>
        <v>6151.18</v>
      </c>
      <c r="M123" s="1480">
        <f t="shared" ca="1" si="27"/>
        <v>3.0057179991743976</v>
      </c>
      <c r="N123" s="1486">
        <f t="shared" ca="1" si="28"/>
        <v>18488.712442161574</v>
      </c>
      <c r="O123" s="330">
        <f t="shared" ca="1" si="29"/>
        <v>480</v>
      </c>
      <c r="P123" s="1486">
        <f t="shared" ca="1" si="30"/>
        <v>8874.5819722375545</v>
      </c>
      <c r="Q123" s="1480">
        <f t="shared" ca="1" si="31"/>
        <v>2.6197714992670309</v>
      </c>
      <c r="R123" s="384">
        <f t="shared" ca="1" si="32"/>
        <v>3387.5404685945005</v>
      </c>
      <c r="S123" s="692" t="str">
        <f t="shared" ca="1" si="20"/>
        <v xml:space="preserve"> </v>
      </c>
      <c r="U123" s="1484">
        <f ca="1">IF($A123&gt;Endyr,0,VLOOKUP($A123,Tariff_Table,Tariff!$I$33))</f>
        <v>2.3199999999999998</v>
      </c>
      <c r="V123" s="1480">
        <f t="shared" ca="1" si="21"/>
        <v>3.0057179991743976</v>
      </c>
      <c r="W123" s="1486">
        <f t="shared" ca="1" si="33"/>
        <v>6.9732657580846018</v>
      </c>
      <c r="X123" s="334">
        <f ca="1">VLOOKUP($A123,Plant_Table,'Plant Operations'!$M$270)</f>
        <v>289336.32000000001</v>
      </c>
      <c r="Y123" s="1006">
        <f t="shared" ca="1" si="34"/>
        <v>2017.6190528262091</v>
      </c>
      <c r="Z123" s="1480">
        <f t="shared" ca="1" si="35"/>
        <v>2.6197714992670309</v>
      </c>
      <c r="AA123" s="1480">
        <f t="shared" ca="1" si="22"/>
        <v>2.6197714992670309</v>
      </c>
      <c r="AB123" s="333">
        <f t="shared" ca="1" si="36"/>
        <v>2.6617839609430085</v>
      </c>
      <c r="AC123" s="335">
        <f t="shared" ca="1" si="37"/>
        <v>770.15077589427392</v>
      </c>
      <c r="AD123" s="698" t="str">
        <f t="shared" ca="1" si="23"/>
        <v xml:space="preserve"> </v>
      </c>
    </row>
    <row r="124" spans="1:30">
      <c r="A124" s="672">
        <f>'Annex 12-Gas'!A124</f>
        <v>40360</v>
      </c>
      <c r="C124" s="1484">
        <f ca="1">IF($A124&gt;Endyr,0,VLOOKUP($A124,Tariff_Table,Tariff!$G$33))</f>
        <v>7434.78</v>
      </c>
      <c r="D124" s="1480">
        <f ca="1">VLOOKUP($A124,Curves_Table,Escalation!$AW$291)</f>
        <v>3.0057179991743976</v>
      </c>
      <c r="E124" s="1486">
        <f t="shared" ca="1" si="24"/>
        <v>22346.852065901829</v>
      </c>
      <c r="F124" s="330">
        <f ca="1">VLOOKUP($A124,Plant_Table,'Plant Operations'!$C$270)</f>
        <v>480</v>
      </c>
      <c r="G124" s="1486">
        <f t="shared" ca="1" si="25"/>
        <v>10726.488991632878</v>
      </c>
      <c r="H124" s="1480">
        <f ca="1">IF(Assm!$L$74=0,VLOOKUP($A124,Curves_Table,Escalation!$D$291),VLOOKUP($A124,Curves_Table,Escalation!$E$291))</f>
        <v>2.6248738188884091</v>
      </c>
      <c r="I124" s="384">
        <f t="shared" ca="1" si="26"/>
        <v>4086.477953509921</v>
      </c>
      <c r="J124" s="692" t="str">
        <f t="shared" ca="1" si="19"/>
        <v xml:space="preserve"> </v>
      </c>
      <c r="L124" s="1484">
        <f ca="1">IF($A124&gt;Endyr,0,VLOOKUP($A124,Tariff_Table,Tariff!$H$33))</f>
        <v>6151.18</v>
      </c>
      <c r="M124" s="1480">
        <f t="shared" ca="1" si="27"/>
        <v>3.0057179991743976</v>
      </c>
      <c r="N124" s="1486">
        <f t="shared" ca="1" si="28"/>
        <v>18488.712442161574</v>
      </c>
      <c r="O124" s="330">
        <f t="shared" ca="1" si="29"/>
        <v>480</v>
      </c>
      <c r="P124" s="1486">
        <f t="shared" ca="1" si="30"/>
        <v>8874.5819722375545</v>
      </c>
      <c r="Q124" s="1480">
        <f t="shared" ca="1" si="31"/>
        <v>2.6248738188884091</v>
      </c>
      <c r="R124" s="384">
        <f t="shared" ca="1" si="32"/>
        <v>3380.9556514209107</v>
      </c>
      <c r="S124" s="692" t="str">
        <f t="shared" ca="1" si="20"/>
        <v xml:space="preserve"> </v>
      </c>
      <c r="U124" s="1484">
        <f ca="1">IF($A124&gt;Endyr,0,VLOOKUP($A124,Tariff_Table,Tariff!$I$33))</f>
        <v>2.3199999999999998</v>
      </c>
      <c r="V124" s="1480">
        <f t="shared" ca="1" si="21"/>
        <v>3.0057179991743976</v>
      </c>
      <c r="W124" s="1486">
        <f t="shared" ca="1" si="33"/>
        <v>6.9732657580846018</v>
      </c>
      <c r="X124" s="334">
        <f ca="1">VLOOKUP($A124,Plant_Table,'Plant Operations'!$M$270)</f>
        <v>298980.864</v>
      </c>
      <c r="Y124" s="1006">
        <f t="shared" ca="1" si="34"/>
        <v>2084.8730212537494</v>
      </c>
      <c r="Z124" s="1480">
        <f t="shared" ca="1" si="35"/>
        <v>2.6248738188884091</v>
      </c>
      <c r="AA124" s="1480">
        <f t="shared" ca="1" si="22"/>
        <v>2.6248738188884091</v>
      </c>
      <c r="AB124" s="333">
        <f t="shared" ca="1" si="36"/>
        <v>2.656609894123469</v>
      </c>
      <c r="AC124" s="335">
        <f t="shared" ca="1" si="37"/>
        <v>794.27552145598327</v>
      </c>
      <c r="AD124" s="698" t="str">
        <f t="shared" ca="1" si="23"/>
        <v xml:space="preserve"> </v>
      </c>
    </row>
    <row r="125" spans="1:30">
      <c r="A125" s="672">
        <f>'Annex 12-Gas'!A125</f>
        <v>40391</v>
      </c>
      <c r="C125" s="1484">
        <f ca="1">IF($A125&gt;Endyr,0,VLOOKUP($A125,Tariff_Table,Tariff!$G$33))</f>
        <v>7434.78</v>
      </c>
      <c r="D125" s="1480">
        <f ca="1">VLOOKUP($A125,Curves_Table,Escalation!$AW$291)</f>
        <v>3.0057179991743976</v>
      </c>
      <c r="E125" s="1486">
        <f t="shared" ca="1" si="24"/>
        <v>22346.852065901829</v>
      </c>
      <c r="F125" s="330">
        <f ca="1">VLOOKUP($A125,Plant_Table,'Plant Operations'!$C$270)</f>
        <v>480</v>
      </c>
      <c r="G125" s="1486">
        <f t="shared" ca="1" si="25"/>
        <v>10726.488991632878</v>
      </c>
      <c r="H125" s="1480">
        <f ca="1">IF(Assm!$L$74=0,VLOOKUP($A125,Curves_Table,Escalation!$D$291),VLOOKUP($A125,Curves_Table,Escalation!$E$291))</f>
        <v>2.6299860758900229</v>
      </c>
      <c r="I125" s="384">
        <f t="shared" ca="1" si="26"/>
        <v>4078.5345177171284</v>
      </c>
      <c r="J125" s="692" t="str">
        <f t="shared" ca="1" si="19"/>
        <v xml:space="preserve"> </v>
      </c>
      <c r="L125" s="1484">
        <f ca="1">IF($A125&gt;Endyr,0,VLOOKUP($A125,Tariff_Table,Tariff!$H$33))</f>
        <v>6151.18</v>
      </c>
      <c r="M125" s="1480">
        <f t="shared" ca="1" si="27"/>
        <v>3.0057179991743976</v>
      </c>
      <c r="N125" s="1486">
        <f t="shared" ca="1" si="28"/>
        <v>18488.712442161574</v>
      </c>
      <c r="O125" s="330">
        <f t="shared" ca="1" si="29"/>
        <v>480</v>
      </c>
      <c r="P125" s="1486">
        <f t="shared" ca="1" si="30"/>
        <v>8874.5819722375545</v>
      </c>
      <c r="Q125" s="1480">
        <f t="shared" ca="1" si="31"/>
        <v>2.6299860758900229</v>
      </c>
      <c r="R125" s="384">
        <f t="shared" ca="1" si="32"/>
        <v>3374.3836340404487</v>
      </c>
      <c r="S125" s="692" t="str">
        <f t="shared" ca="1" si="20"/>
        <v xml:space="preserve"> </v>
      </c>
      <c r="U125" s="1484">
        <f ca="1">IF($A125&gt;Endyr,0,VLOOKUP($A125,Tariff_Table,Tariff!$I$33))</f>
        <v>2.3199999999999998</v>
      </c>
      <c r="V125" s="1480">
        <f t="shared" ca="1" si="21"/>
        <v>3.0057179991743976</v>
      </c>
      <c r="W125" s="1486">
        <f t="shared" ca="1" si="33"/>
        <v>6.9732657580846018</v>
      </c>
      <c r="X125" s="334">
        <f ca="1">VLOOKUP($A125,Plant_Table,'Plant Operations'!$M$270)</f>
        <v>298980.864</v>
      </c>
      <c r="Y125" s="1006">
        <f t="shared" ca="1" si="34"/>
        <v>2084.8730212537494</v>
      </c>
      <c r="Z125" s="1480">
        <f t="shared" ca="1" si="35"/>
        <v>2.6299860758900229</v>
      </c>
      <c r="AA125" s="1480">
        <f t="shared" ca="1" si="22"/>
        <v>2.6299860758900229</v>
      </c>
      <c r="AB125" s="333">
        <f t="shared" ca="1" si="36"/>
        <v>2.6514458848322056</v>
      </c>
      <c r="AC125" s="335">
        <f t="shared" ca="1" si="37"/>
        <v>792.73158149637732</v>
      </c>
      <c r="AD125" s="698" t="str">
        <f t="shared" ca="1" si="23"/>
        <v xml:space="preserve"> </v>
      </c>
    </row>
    <row r="126" spans="1:30">
      <c r="A126" s="672">
        <f>'Annex 12-Gas'!A126</f>
        <v>40422</v>
      </c>
      <c r="C126" s="1484">
        <f ca="1">IF($A126&gt;Endyr,0,VLOOKUP($A126,Tariff_Table,Tariff!$G$33))</f>
        <v>7434.78</v>
      </c>
      <c r="D126" s="1480">
        <f ca="1">VLOOKUP($A126,Curves_Table,Escalation!$AW$291)</f>
        <v>3.0057179991743976</v>
      </c>
      <c r="E126" s="1486">
        <f t="shared" ca="1" si="24"/>
        <v>22346.852065901829</v>
      </c>
      <c r="F126" s="330">
        <f ca="1">VLOOKUP($A126,Plant_Table,'Plant Operations'!$C$270)</f>
        <v>480</v>
      </c>
      <c r="G126" s="1486">
        <f t="shared" ca="1" si="25"/>
        <v>10726.488991632878</v>
      </c>
      <c r="H126" s="1480">
        <f ca="1">IF(Assm!$L$74=0,VLOOKUP($A126,Curves_Table,Escalation!$D$291),VLOOKUP($A126,Curves_Table,Escalation!$E$291))</f>
        <v>2.6351082896261135</v>
      </c>
      <c r="I126" s="384">
        <f t="shared" ca="1" si="26"/>
        <v>4070.6065226468631</v>
      </c>
      <c r="J126" s="692" t="str">
        <f t="shared" ca="1" si="19"/>
        <v xml:space="preserve"> </v>
      </c>
      <c r="L126" s="1484">
        <f ca="1">IF($A126&gt;Endyr,0,VLOOKUP($A126,Tariff_Table,Tariff!$H$33))</f>
        <v>6151.18</v>
      </c>
      <c r="M126" s="1480">
        <f t="shared" ca="1" si="27"/>
        <v>3.0057179991743976</v>
      </c>
      <c r="N126" s="1486">
        <f t="shared" ca="1" si="28"/>
        <v>18488.712442161574</v>
      </c>
      <c r="O126" s="330">
        <f t="shared" ca="1" si="29"/>
        <v>480</v>
      </c>
      <c r="P126" s="1486">
        <f t="shared" ca="1" si="30"/>
        <v>8874.5819722375545</v>
      </c>
      <c r="Q126" s="1480">
        <f t="shared" ca="1" si="31"/>
        <v>2.6351082896261135</v>
      </c>
      <c r="R126" s="384">
        <f t="shared" ca="1" si="32"/>
        <v>3367.8243915724383</v>
      </c>
      <c r="S126" s="692" t="str">
        <f t="shared" ca="1" si="20"/>
        <v xml:space="preserve"> </v>
      </c>
      <c r="U126" s="1484">
        <f ca="1">IF($A126&gt;Endyr,0,VLOOKUP($A126,Tariff_Table,Tariff!$I$33))</f>
        <v>2.3199999999999998</v>
      </c>
      <c r="V126" s="1480">
        <f t="shared" ca="1" si="21"/>
        <v>3.0057179991743976</v>
      </c>
      <c r="W126" s="1486">
        <f t="shared" ca="1" si="33"/>
        <v>6.9732657580846018</v>
      </c>
      <c r="X126" s="334">
        <f ca="1">VLOOKUP($A126,Plant_Table,'Plant Operations'!$M$270)</f>
        <v>289336.32000000001</v>
      </c>
      <c r="Y126" s="1006">
        <f t="shared" ca="1" si="34"/>
        <v>2017.6190528262091</v>
      </c>
      <c r="Z126" s="1480">
        <f t="shared" ca="1" si="35"/>
        <v>2.6351082896261135</v>
      </c>
      <c r="AA126" s="1480">
        <f t="shared" ca="1" si="22"/>
        <v>2.6351082896261135</v>
      </c>
      <c r="AB126" s="333">
        <f t="shared" ca="1" si="36"/>
        <v>2.6462919135190512</v>
      </c>
      <c r="AC126" s="335">
        <f t="shared" ca="1" si="37"/>
        <v>765.6683639033605</v>
      </c>
      <c r="AD126" s="698" t="str">
        <f t="shared" ca="1" si="23"/>
        <v xml:space="preserve"> </v>
      </c>
    </row>
    <row r="127" spans="1:30">
      <c r="A127" s="672">
        <f>'Annex 12-Gas'!A127</f>
        <v>40452</v>
      </c>
      <c r="C127" s="1484">
        <f ca="1">IF($A127&gt;Endyr,0,VLOOKUP($A127,Tariff_Table,Tariff!$G$33))</f>
        <v>7434.78</v>
      </c>
      <c r="D127" s="1480">
        <f ca="1">VLOOKUP($A127,Curves_Table,Escalation!$AW$291)</f>
        <v>3.0057179991743976</v>
      </c>
      <c r="E127" s="1486">
        <f t="shared" ca="1" si="24"/>
        <v>22346.852065901829</v>
      </c>
      <c r="F127" s="330">
        <f ca="1">VLOOKUP($A127,Plant_Table,'Plant Operations'!$C$270)</f>
        <v>480</v>
      </c>
      <c r="G127" s="1486">
        <f t="shared" ca="1" si="25"/>
        <v>10726.488991632878</v>
      </c>
      <c r="H127" s="1480">
        <f ca="1">IF(Assm!$L$74=0,VLOOKUP($A127,Curves_Table,Escalation!$D$291),VLOOKUP($A127,Curves_Table,Escalation!$E$291))</f>
        <v>2.6402404794886176</v>
      </c>
      <c r="I127" s="384">
        <f t="shared" ca="1" si="26"/>
        <v>4062.69393828492</v>
      </c>
      <c r="J127" s="692" t="str">
        <f t="shared" ca="1" si="19"/>
        <v xml:space="preserve"> </v>
      </c>
      <c r="L127" s="1484">
        <f ca="1">IF($A127&gt;Endyr,0,VLOOKUP($A127,Tariff_Table,Tariff!$H$33))</f>
        <v>6151.18</v>
      </c>
      <c r="M127" s="1480">
        <f t="shared" ca="1" si="27"/>
        <v>3.0057179991743976</v>
      </c>
      <c r="N127" s="1486">
        <f t="shared" ca="1" si="28"/>
        <v>18488.712442161574</v>
      </c>
      <c r="O127" s="330">
        <f t="shared" ca="1" si="29"/>
        <v>480</v>
      </c>
      <c r="P127" s="1486">
        <f t="shared" ca="1" si="30"/>
        <v>8874.5819722375545</v>
      </c>
      <c r="Q127" s="1480">
        <f t="shared" ca="1" si="31"/>
        <v>2.6402404794886176</v>
      </c>
      <c r="R127" s="384">
        <f t="shared" ca="1" si="32"/>
        <v>3361.2778991845671</v>
      </c>
      <c r="S127" s="692" t="str">
        <f t="shared" ca="1" si="20"/>
        <v xml:space="preserve"> </v>
      </c>
      <c r="U127" s="1484">
        <f ca="1">IF($A127&gt;Endyr,0,VLOOKUP($A127,Tariff_Table,Tariff!$I$33))</f>
        <v>2.3199999999999998</v>
      </c>
      <c r="V127" s="1480">
        <f t="shared" ca="1" si="21"/>
        <v>3.0057179991743976</v>
      </c>
      <c r="W127" s="1486">
        <f t="shared" ca="1" si="33"/>
        <v>6.9732657580846018</v>
      </c>
      <c r="X127" s="334">
        <f ca="1">VLOOKUP($A127,Plant_Table,'Plant Operations'!$M$270)</f>
        <v>298980.864</v>
      </c>
      <c r="Y127" s="1006">
        <f t="shared" ca="1" si="34"/>
        <v>2084.8730212537494</v>
      </c>
      <c r="Z127" s="1480">
        <f t="shared" ca="1" si="35"/>
        <v>2.6402404794886176</v>
      </c>
      <c r="AA127" s="1480">
        <f t="shared" ca="1" si="22"/>
        <v>2.6402404794886176</v>
      </c>
      <c r="AB127" s="333">
        <f t="shared" ca="1" si="36"/>
        <v>2.6411479606718395</v>
      </c>
      <c r="AC127" s="335">
        <f t="shared" ca="1" si="37"/>
        <v>789.65269923350456</v>
      </c>
      <c r="AD127" s="698" t="str">
        <f t="shared" ca="1" si="23"/>
        <v xml:space="preserve"> </v>
      </c>
    </row>
    <row r="128" spans="1:30">
      <c r="A128" s="672">
        <f>'Annex 12-Gas'!A128</f>
        <v>40483</v>
      </c>
      <c r="C128" s="1484">
        <f ca="1">IF($A128&gt;Endyr,0,VLOOKUP($A128,Tariff_Table,Tariff!$G$33))</f>
        <v>7434.78</v>
      </c>
      <c r="D128" s="1480">
        <f ca="1">VLOOKUP($A128,Curves_Table,Escalation!$AW$291)</f>
        <v>3.0057179991743976</v>
      </c>
      <c r="E128" s="1486">
        <f t="shared" ca="1" si="24"/>
        <v>22346.852065901829</v>
      </c>
      <c r="F128" s="330">
        <f ca="1">VLOOKUP($A128,Plant_Table,'Plant Operations'!$C$270)</f>
        <v>480</v>
      </c>
      <c r="G128" s="1486">
        <f t="shared" ca="1" si="25"/>
        <v>10726.488991632878</v>
      </c>
      <c r="H128" s="1480">
        <f ca="1">IF(Assm!$L$74=0,VLOOKUP($A128,Curves_Table,Escalation!$D$291),VLOOKUP($A128,Curves_Table,Escalation!$E$291))</f>
        <v>2.6453826649072392</v>
      </c>
      <c r="I128" s="384">
        <f t="shared" ca="1" si="26"/>
        <v>4054.7967346754363</v>
      </c>
      <c r="J128" s="692" t="str">
        <f t="shared" ca="1" si="19"/>
        <v xml:space="preserve"> </v>
      </c>
      <c r="L128" s="1484">
        <f ca="1">IF($A128&gt;Endyr,0,VLOOKUP($A128,Tariff_Table,Tariff!$H$33))</f>
        <v>6151.18</v>
      </c>
      <c r="M128" s="1480">
        <f t="shared" ca="1" si="27"/>
        <v>3.0057179991743976</v>
      </c>
      <c r="N128" s="1486">
        <f t="shared" ca="1" si="28"/>
        <v>18488.712442161574</v>
      </c>
      <c r="O128" s="330">
        <f t="shared" ca="1" si="29"/>
        <v>480</v>
      </c>
      <c r="P128" s="1486">
        <f t="shared" ca="1" si="30"/>
        <v>8874.5819722375545</v>
      </c>
      <c r="Q128" s="1480">
        <f t="shared" ca="1" si="31"/>
        <v>2.6453826649072392</v>
      </c>
      <c r="R128" s="384">
        <f t="shared" ca="1" si="32"/>
        <v>3354.7441320927924</v>
      </c>
      <c r="S128" s="692" t="str">
        <f t="shared" ca="1" si="20"/>
        <v xml:space="preserve"> </v>
      </c>
      <c r="U128" s="1484">
        <f ca="1">IF($A128&gt;Endyr,0,VLOOKUP($A128,Tariff_Table,Tariff!$I$33))</f>
        <v>2.3199999999999998</v>
      </c>
      <c r="V128" s="1480">
        <f t="shared" ca="1" si="21"/>
        <v>3.0057179991743976</v>
      </c>
      <c r="W128" s="1486">
        <f t="shared" ca="1" si="33"/>
        <v>6.9732657580846018</v>
      </c>
      <c r="X128" s="334">
        <f ca="1">VLOOKUP($A128,Plant_Table,'Plant Operations'!$M$270)</f>
        <v>289336.32000000001</v>
      </c>
      <c r="Y128" s="1006">
        <f t="shared" ca="1" si="34"/>
        <v>2017.6190528262091</v>
      </c>
      <c r="Z128" s="1480">
        <f t="shared" ca="1" si="35"/>
        <v>2.6453826649072392</v>
      </c>
      <c r="AA128" s="1480">
        <f t="shared" ca="1" si="22"/>
        <v>2.6453826649072392</v>
      </c>
      <c r="AB128" s="333">
        <f t="shared" ca="1" si="36"/>
        <v>2.6360140068163336</v>
      </c>
      <c r="AC128" s="335">
        <f t="shared" ca="1" si="37"/>
        <v>762.69459220069291</v>
      </c>
      <c r="AD128" s="698" t="str">
        <f t="shared" ca="1" si="23"/>
        <v xml:space="preserve"> </v>
      </c>
    </row>
    <row r="129" spans="1:30">
      <c r="A129" s="672">
        <f>'Annex 12-Gas'!A129</f>
        <v>40513</v>
      </c>
      <c r="C129" s="1484">
        <f ca="1">IF($A129&gt;Endyr,0,VLOOKUP($A129,Tariff_Table,Tariff!$G$33))</f>
        <v>7434.78</v>
      </c>
      <c r="D129" s="1480">
        <f ca="1">VLOOKUP($A129,Curves_Table,Escalation!$AW$291)</f>
        <v>3.0057179991743976</v>
      </c>
      <c r="E129" s="1486">
        <f t="shared" ca="1" si="24"/>
        <v>22346.852065901829</v>
      </c>
      <c r="F129" s="330">
        <f ca="1">VLOOKUP($A129,Plant_Table,'Plant Operations'!$C$270)</f>
        <v>480</v>
      </c>
      <c r="G129" s="1486">
        <f t="shared" ca="1" si="25"/>
        <v>10726.488991632878</v>
      </c>
      <c r="H129" s="1480">
        <f ca="1">IF(Assm!$L$74=0,VLOOKUP($A129,Curves_Table,Escalation!$D$291),VLOOKUP($A129,Curves_Table,Escalation!$E$291))</f>
        <v>2.6505348653495227</v>
      </c>
      <c r="I129" s="384">
        <f t="shared" ca="1" si="26"/>
        <v>4046.9148819207812</v>
      </c>
      <c r="J129" s="692">
        <f t="shared" ca="1" si="19"/>
        <v>47972.414392054903</v>
      </c>
      <c r="L129" s="1484">
        <f ca="1">IF($A129&gt;Endyr,0,VLOOKUP($A129,Tariff_Table,Tariff!$H$33))</f>
        <v>6151.18</v>
      </c>
      <c r="M129" s="1480">
        <f t="shared" ca="1" si="27"/>
        <v>3.0057179991743976</v>
      </c>
      <c r="N129" s="1486">
        <f t="shared" ca="1" si="28"/>
        <v>18488.712442161574</v>
      </c>
      <c r="O129" s="330">
        <f t="shared" ca="1" si="29"/>
        <v>480</v>
      </c>
      <c r="P129" s="1486">
        <f t="shared" ca="1" si="30"/>
        <v>8874.5819722375545</v>
      </c>
      <c r="Q129" s="1480">
        <f t="shared" ca="1" si="31"/>
        <v>2.6505348653495227</v>
      </c>
      <c r="R129" s="384">
        <f t="shared" ca="1" si="32"/>
        <v>3348.2230655612502</v>
      </c>
      <c r="S129" s="692">
        <f t="shared" ca="1" si="20"/>
        <v>39673.925835775241</v>
      </c>
      <c r="U129" s="1484">
        <f ca="1">IF($A129&gt;Endyr,0,VLOOKUP($A129,Tariff_Table,Tariff!$I$33))</f>
        <v>2.3199999999999998</v>
      </c>
      <c r="V129" s="1480">
        <f t="shared" ca="1" si="21"/>
        <v>3.0057179991743976</v>
      </c>
      <c r="W129" s="1486">
        <f t="shared" ca="1" si="33"/>
        <v>6.9732657580846018</v>
      </c>
      <c r="X129" s="334">
        <f ca="1">VLOOKUP($A129,Plant_Table,'Plant Operations'!$M$270)</f>
        <v>298980.864</v>
      </c>
      <c r="Y129" s="1006">
        <f t="shared" ca="1" si="34"/>
        <v>2084.8730212537494</v>
      </c>
      <c r="Z129" s="1480">
        <f t="shared" ca="1" si="35"/>
        <v>2.6505348653495227</v>
      </c>
      <c r="AA129" s="1480">
        <f t="shared" ca="1" si="22"/>
        <v>2.6505348653495227</v>
      </c>
      <c r="AB129" s="333">
        <f t="shared" ca="1" si="36"/>
        <v>2.6308900325161524</v>
      </c>
      <c r="AC129" s="335">
        <f t="shared" ca="1" si="37"/>
        <v>786.58577501066748</v>
      </c>
      <c r="AD129" s="698">
        <f t="shared" ca="1" si="23"/>
        <v>9140.0010850726758</v>
      </c>
    </row>
    <row r="130" spans="1:30">
      <c r="A130" s="672">
        <f>'Annex 12-Gas'!A130</f>
        <v>40544</v>
      </c>
      <c r="C130" s="1484">
        <f ca="1">IF($A130&gt;Endyr,0,VLOOKUP($A130,Tariff_Table,Tariff!$G$33))</f>
        <v>7434.78</v>
      </c>
      <c r="D130" s="1480">
        <f ca="1">VLOOKUP($A130,Curves_Table,Escalation!$AW$291)</f>
        <v>3.0057179991743976</v>
      </c>
      <c r="E130" s="1486">
        <f t="shared" ca="1" si="24"/>
        <v>22346.852065901829</v>
      </c>
      <c r="F130" s="330">
        <f ca="1">VLOOKUP($A130,Plant_Table,'Plant Operations'!$C$270)</f>
        <v>480</v>
      </c>
      <c r="G130" s="1486">
        <f t="shared" ca="1" si="25"/>
        <v>10726.488991632878</v>
      </c>
      <c r="H130" s="1480">
        <f ca="1">IF(Assm!$L$74=0,VLOOKUP($A130,Curves_Table,Escalation!$D$291),VLOOKUP($A130,Curves_Table,Escalation!$E$291))</f>
        <v>2.6551333521534075</v>
      </c>
      <c r="I130" s="384">
        <f t="shared" ca="1" si="26"/>
        <v>4039.9059365260559</v>
      </c>
      <c r="J130" s="692" t="str">
        <f t="shared" ca="1" si="19"/>
        <v xml:space="preserve"> </v>
      </c>
      <c r="L130" s="1484">
        <f ca="1">IF($A130&gt;Endyr,0,VLOOKUP($A130,Tariff_Table,Tariff!$H$33))</f>
        <v>6151.18</v>
      </c>
      <c r="M130" s="1480">
        <f t="shared" ca="1" si="27"/>
        <v>3.0057179991743976</v>
      </c>
      <c r="N130" s="1486">
        <f t="shared" ca="1" si="28"/>
        <v>18488.712442161574</v>
      </c>
      <c r="O130" s="330">
        <f t="shared" ca="1" si="29"/>
        <v>480</v>
      </c>
      <c r="P130" s="1486">
        <f t="shared" ca="1" si="30"/>
        <v>8874.5819722375545</v>
      </c>
      <c r="Q130" s="1480">
        <f t="shared" ca="1" si="31"/>
        <v>2.6551333521534075</v>
      </c>
      <c r="R130" s="384">
        <f t="shared" ca="1" si="32"/>
        <v>3342.4242006677191</v>
      </c>
      <c r="S130" s="692" t="str">
        <f t="shared" ca="1" si="20"/>
        <v xml:space="preserve"> </v>
      </c>
      <c r="U130" s="1484">
        <f ca="1">IF($A130&gt;Endyr,0,VLOOKUP($A130,Tariff_Table,Tariff!$I$33))</f>
        <v>2.3199999999999998</v>
      </c>
      <c r="V130" s="1480">
        <f t="shared" ca="1" si="21"/>
        <v>3.0057179991743976</v>
      </c>
      <c r="W130" s="1486">
        <f t="shared" ca="1" si="33"/>
        <v>6.9732657580846018</v>
      </c>
      <c r="X130" s="334">
        <f ca="1">VLOOKUP($A130,Plant_Table,'Plant Operations'!$M$270)</f>
        <v>298980.864</v>
      </c>
      <c r="Y130" s="1006">
        <f t="shared" ca="1" si="34"/>
        <v>2084.8730212537494</v>
      </c>
      <c r="Z130" s="1480">
        <f t="shared" ca="1" si="35"/>
        <v>2.6551333521534075</v>
      </c>
      <c r="AA130" s="1480">
        <f t="shared" ca="1" si="22"/>
        <v>2.6551333521534075</v>
      </c>
      <c r="AB130" s="333">
        <f t="shared" ca="1" si="36"/>
        <v>2.6263335332777298</v>
      </c>
      <c r="AC130" s="335">
        <f t="shared" ca="1" si="37"/>
        <v>785.2234689315485</v>
      </c>
      <c r="AD130" s="698" t="str">
        <f t="shared" ca="1" si="23"/>
        <v xml:space="preserve"> </v>
      </c>
    </row>
    <row r="131" spans="1:30">
      <c r="A131" s="672">
        <f>'Annex 12-Gas'!A131</f>
        <v>40575</v>
      </c>
      <c r="C131" s="1484">
        <f ca="1">IF($A131&gt;Endyr,0,VLOOKUP($A131,Tariff_Table,Tariff!$G$33))</f>
        <v>7434.78</v>
      </c>
      <c r="D131" s="1480">
        <f ca="1">VLOOKUP($A131,Curves_Table,Escalation!$AW$291)</f>
        <v>3.0057179991743976</v>
      </c>
      <c r="E131" s="1486">
        <f t="shared" ca="1" si="24"/>
        <v>22346.852065901829</v>
      </c>
      <c r="F131" s="330">
        <f ca="1">VLOOKUP($A131,Plant_Table,'Plant Operations'!$C$270)</f>
        <v>480</v>
      </c>
      <c r="G131" s="1486">
        <f t="shared" ca="1" si="25"/>
        <v>10726.488991632878</v>
      </c>
      <c r="H131" s="1480">
        <f ca="1">IF(Assm!$L$74=0,VLOOKUP($A131,Curves_Table,Escalation!$D$291),VLOOKUP($A131,Curves_Table,Escalation!$E$291))</f>
        <v>2.6597398170002005</v>
      </c>
      <c r="I131" s="384">
        <f t="shared" ca="1" si="26"/>
        <v>4032.9091300858126</v>
      </c>
      <c r="J131" s="692" t="str">
        <f t="shared" ca="1" si="19"/>
        <v xml:space="preserve"> </v>
      </c>
      <c r="L131" s="1484">
        <f ca="1">IF($A131&gt;Endyr,0,VLOOKUP($A131,Tariff_Table,Tariff!$H$33))</f>
        <v>6151.18</v>
      </c>
      <c r="M131" s="1480">
        <f t="shared" ca="1" si="27"/>
        <v>3.0057179991743976</v>
      </c>
      <c r="N131" s="1486">
        <f t="shared" ca="1" si="28"/>
        <v>18488.712442161574</v>
      </c>
      <c r="O131" s="330">
        <f t="shared" ca="1" si="29"/>
        <v>480</v>
      </c>
      <c r="P131" s="1486">
        <f t="shared" ca="1" si="30"/>
        <v>8874.5819722375545</v>
      </c>
      <c r="Q131" s="1480">
        <f t="shared" ca="1" si="31"/>
        <v>2.6597398170002005</v>
      </c>
      <c r="R131" s="384">
        <f t="shared" ca="1" si="32"/>
        <v>3336.6353789622895</v>
      </c>
      <c r="S131" s="692" t="str">
        <f t="shared" ca="1" si="20"/>
        <v xml:space="preserve"> </v>
      </c>
      <c r="U131" s="1484">
        <f ca="1">IF($A131&gt;Endyr,0,VLOOKUP($A131,Tariff_Table,Tariff!$I$33))</f>
        <v>2.3199999999999998</v>
      </c>
      <c r="V131" s="1480">
        <f t="shared" ca="1" si="21"/>
        <v>3.0057179991743976</v>
      </c>
      <c r="W131" s="1486">
        <f t="shared" ca="1" si="33"/>
        <v>6.9732657580846018</v>
      </c>
      <c r="X131" s="334">
        <f ca="1">VLOOKUP($A131,Plant_Table,'Plant Operations'!$M$270)</f>
        <v>270047.23200000002</v>
      </c>
      <c r="Y131" s="1006">
        <f t="shared" ca="1" si="34"/>
        <v>1883.1111159711284</v>
      </c>
      <c r="Z131" s="1480">
        <f t="shared" ca="1" si="35"/>
        <v>2.6597398170002005</v>
      </c>
      <c r="AA131" s="1480">
        <f t="shared" ca="1" si="22"/>
        <v>2.6597398170002005</v>
      </c>
      <c r="AB131" s="333">
        <f t="shared" ca="1" si="36"/>
        <v>2.621784925545624</v>
      </c>
      <c r="AC131" s="335">
        <f t="shared" ca="1" si="37"/>
        <v>708.00576204292179</v>
      </c>
      <c r="AD131" s="698" t="str">
        <f t="shared" ca="1" si="23"/>
        <v xml:space="preserve"> </v>
      </c>
    </row>
    <row r="132" spans="1:30">
      <c r="A132" s="672">
        <f>'Annex 12-Gas'!A132</f>
        <v>40603</v>
      </c>
      <c r="C132" s="1484">
        <f ca="1">IF($A132&gt;Endyr,0,VLOOKUP($A132,Tariff_Table,Tariff!$G$33))</f>
        <v>7434.78</v>
      </c>
      <c r="D132" s="1480">
        <f ca="1">VLOOKUP($A132,Curves_Table,Escalation!$AW$291)</f>
        <v>3.0057179991743976</v>
      </c>
      <c r="E132" s="1486">
        <f t="shared" ca="1" si="24"/>
        <v>22346.852065901829</v>
      </c>
      <c r="F132" s="330">
        <f ca="1">VLOOKUP($A132,Plant_Table,'Plant Operations'!$C$270)</f>
        <v>480</v>
      </c>
      <c r="G132" s="1486">
        <f t="shared" ca="1" si="25"/>
        <v>10726.488991632878</v>
      </c>
      <c r="H132" s="1480">
        <f ca="1">IF(Assm!$L$74=0,VLOOKUP($A132,Curves_Table,Escalation!$D$291),VLOOKUP($A132,Curves_Table,Escalation!$E$291))</f>
        <v>2.6643542737312305</v>
      </c>
      <c r="I132" s="384">
        <f t="shared" ca="1" si="26"/>
        <v>4025.9244415763169</v>
      </c>
      <c r="J132" s="692" t="str">
        <f t="shared" ca="1" si="19"/>
        <v xml:space="preserve"> </v>
      </c>
      <c r="L132" s="1484">
        <f ca="1">IF($A132&gt;Endyr,0,VLOOKUP($A132,Tariff_Table,Tariff!$H$33))</f>
        <v>6151.18</v>
      </c>
      <c r="M132" s="1480">
        <f t="shared" ca="1" si="27"/>
        <v>3.0057179991743976</v>
      </c>
      <c r="N132" s="1486">
        <f t="shared" ca="1" si="28"/>
        <v>18488.712442161574</v>
      </c>
      <c r="O132" s="330">
        <f t="shared" ca="1" si="29"/>
        <v>480</v>
      </c>
      <c r="P132" s="1486">
        <f t="shared" ca="1" si="30"/>
        <v>8874.5819722375545</v>
      </c>
      <c r="Q132" s="1480">
        <f t="shared" ca="1" si="31"/>
        <v>2.6643542737312305</v>
      </c>
      <c r="R132" s="384">
        <f t="shared" ca="1" si="32"/>
        <v>3330.8565830509324</v>
      </c>
      <c r="S132" s="692" t="str">
        <f t="shared" ca="1" si="20"/>
        <v xml:space="preserve"> </v>
      </c>
      <c r="U132" s="1484">
        <f ca="1">IF($A132&gt;Endyr,0,VLOOKUP($A132,Tariff_Table,Tariff!$I$33))</f>
        <v>2.3199999999999998</v>
      </c>
      <c r="V132" s="1480">
        <f t="shared" ca="1" si="21"/>
        <v>3.0057179991743976</v>
      </c>
      <c r="W132" s="1486">
        <f t="shared" ca="1" si="33"/>
        <v>6.9732657580846018</v>
      </c>
      <c r="X132" s="334">
        <f ca="1">VLOOKUP($A132,Plant_Table,'Plant Operations'!$M$270)</f>
        <v>298980.864</v>
      </c>
      <c r="Y132" s="1006">
        <f t="shared" ca="1" si="34"/>
        <v>2084.8730212537494</v>
      </c>
      <c r="Z132" s="1480">
        <f t="shared" ca="1" si="35"/>
        <v>2.6643542737312305</v>
      </c>
      <c r="AA132" s="1480">
        <f t="shared" ca="1" si="22"/>
        <v>2.6643542737312305</v>
      </c>
      <c r="AB132" s="333">
        <f t="shared" ca="1" si="36"/>
        <v>2.6172441956523524</v>
      </c>
      <c r="AC132" s="335">
        <f t="shared" ca="1" si="37"/>
        <v>782.50593091512542</v>
      </c>
      <c r="AD132" s="698" t="str">
        <f t="shared" ca="1" si="23"/>
        <v xml:space="preserve"> </v>
      </c>
    </row>
    <row r="133" spans="1:30">
      <c r="A133" s="672">
        <f>'Annex 12-Gas'!A133</f>
        <v>40634</v>
      </c>
      <c r="C133" s="1484">
        <f ca="1">IF($A133&gt;Endyr,0,VLOOKUP($A133,Tariff_Table,Tariff!$G$33))</f>
        <v>7434.78</v>
      </c>
      <c r="D133" s="1480">
        <f ca="1">VLOOKUP($A133,Curves_Table,Escalation!$AW$291)</f>
        <v>3.0057179991743976</v>
      </c>
      <c r="E133" s="1486">
        <f t="shared" ca="1" si="24"/>
        <v>22346.852065901829</v>
      </c>
      <c r="F133" s="330">
        <f ca="1">VLOOKUP($A133,Plant_Table,'Plant Operations'!$C$270)</f>
        <v>480</v>
      </c>
      <c r="G133" s="1486">
        <f t="shared" ca="1" si="25"/>
        <v>10726.488991632878</v>
      </c>
      <c r="H133" s="1480">
        <f ca="1">IF(Assm!$L$74=0,VLOOKUP($A133,Curves_Table,Escalation!$D$291),VLOOKUP($A133,Curves_Table,Escalation!$E$291))</f>
        <v>2.6689767362118406</v>
      </c>
      <c r="I133" s="384">
        <f t="shared" ca="1" si="26"/>
        <v>4018.9518500102431</v>
      </c>
      <c r="J133" s="692" t="str">
        <f t="shared" ca="1" si="19"/>
        <v xml:space="preserve"> </v>
      </c>
      <c r="L133" s="1484">
        <f ca="1">IF($A133&gt;Endyr,0,VLOOKUP($A133,Tariff_Table,Tariff!$H$33))</f>
        <v>6151.18</v>
      </c>
      <c r="M133" s="1480">
        <f t="shared" ca="1" si="27"/>
        <v>3.0057179991743976</v>
      </c>
      <c r="N133" s="1486">
        <f t="shared" ca="1" si="28"/>
        <v>18488.712442161574</v>
      </c>
      <c r="O133" s="330">
        <f t="shared" ca="1" si="29"/>
        <v>480</v>
      </c>
      <c r="P133" s="1486">
        <f t="shared" ca="1" si="30"/>
        <v>8874.5819722375545</v>
      </c>
      <c r="Q133" s="1480">
        <f t="shared" ca="1" si="31"/>
        <v>2.6689767362118406</v>
      </c>
      <c r="R133" s="384">
        <f t="shared" ca="1" si="32"/>
        <v>3325.0877955697424</v>
      </c>
      <c r="S133" s="692" t="str">
        <f t="shared" ca="1" si="20"/>
        <v xml:space="preserve"> </v>
      </c>
      <c r="U133" s="1484">
        <f ca="1">IF($A133&gt;Endyr,0,VLOOKUP($A133,Tariff_Table,Tariff!$I$33))</f>
        <v>2.3199999999999998</v>
      </c>
      <c r="V133" s="1480">
        <f t="shared" ca="1" si="21"/>
        <v>3.0057179991743976</v>
      </c>
      <c r="W133" s="1486">
        <f t="shared" ca="1" si="33"/>
        <v>6.9732657580846018</v>
      </c>
      <c r="X133" s="334">
        <f ca="1">VLOOKUP($A133,Plant_Table,'Plant Operations'!$M$270)</f>
        <v>289336.32000000001</v>
      </c>
      <c r="Y133" s="1006">
        <f t="shared" ca="1" si="34"/>
        <v>2017.6190528262091</v>
      </c>
      <c r="Z133" s="1480">
        <f t="shared" ca="1" si="35"/>
        <v>2.6689767362118406</v>
      </c>
      <c r="AA133" s="1480">
        <f t="shared" ca="1" si="22"/>
        <v>2.6689767362118406</v>
      </c>
      <c r="AB133" s="333">
        <f t="shared" ca="1" si="36"/>
        <v>2.612711329954104</v>
      </c>
      <c r="AC133" s="335">
        <f t="shared" ca="1" si="37"/>
        <v>755.95228143122631</v>
      </c>
      <c r="AD133" s="698" t="str">
        <f t="shared" ca="1" si="23"/>
        <v xml:space="preserve"> </v>
      </c>
    </row>
    <row r="134" spans="1:30">
      <c r="A134" s="672">
        <f>'Annex 12-Gas'!A134</f>
        <v>40664</v>
      </c>
      <c r="C134" s="1484">
        <f ca="1">IF($A134&gt;Endyr,0,VLOOKUP($A134,Tariff_Table,Tariff!$G$33))</f>
        <v>7420.61</v>
      </c>
      <c r="D134" s="1480">
        <f ca="1">VLOOKUP($A134,Curves_Table,Escalation!$AW$291)</f>
        <v>3.0057179991743976</v>
      </c>
      <c r="E134" s="1486">
        <f t="shared" ca="1" si="24"/>
        <v>22304.261041853526</v>
      </c>
      <c r="F134" s="330">
        <f ca="1">VLOOKUP($A134,Plant_Table,'Plant Operations'!$C$270)</f>
        <v>480</v>
      </c>
      <c r="G134" s="1486">
        <f t="shared" ca="1" si="25"/>
        <v>10706.045300089692</v>
      </c>
      <c r="H134" s="1480">
        <f ca="1">IF(Assm!$L$74=0,VLOOKUP($A134,Curves_Table,Escalation!$D$291),VLOOKUP($A134,Curves_Table,Escalation!$E$291))</f>
        <v>2.6736072183314286</v>
      </c>
      <c r="I134" s="384">
        <f t="shared" ca="1" si="26"/>
        <v>4004.3448516612052</v>
      </c>
      <c r="J134" s="692" t="str">
        <f t="shared" ca="1" si="19"/>
        <v xml:space="preserve"> </v>
      </c>
      <c r="L134" s="1484">
        <f ca="1">IF($A134&gt;Endyr,0,VLOOKUP($A134,Tariff_Table,Tariff!$H$33))</f>
        <v>6104.93</v>
      </c>
      <c r="M134" s="1480">
        <f t="shared" ca="1" si="27"/>
        <v>3.0057179991743976</v>
      </c>
      <c r="N134" s="1486">
        <f t="shared" ca="1" si="28"/>
        <v>18349.697984699756</v>
      </c>
      <c r="O134" s="330">
        <f t="shared" ca="1" si="29"/>
        <v>480</v>
      </c>
      <c r="P134" s="1486">
        <f t="shared" ca="1" si="30"/>
        <v>8807.8550326558834</v>
      </c>
      <c r="Q134" s="1480">
        <f t="shared" ca="1" si="31"/>
        <v>2.6736072183314286</v>
      </c>
      <c r="R134" s="384">
        <f t="shared" ca="1" si="32"/>
        <v>3294.3713542757328</v>
      </c>
      <c r="S134" s="692" t="str">
        <f t="shared" ca="1" si="20"/>
        <v xml:space="preserve"> </v>
      </c>
      <c r="U134" s="1484">
        <f ca="1">IF($A134&gt;Endyr,0,VLOOKUP($A134,Tariff_Table,Tariff!$I$33))</f>
        <v>2.2999999999999998</v>
      </c>
      <c r="V134" s="1480">
        <f t="shared" ca="1" si="21"/>
        <v>3.0057179991743976</v>
      </c>
      <c r="W134" s="1486">
        <f t="shared" ca="1" si="33"/>
        <v>6.9131513981011139</v>
      </c>
      <c r="X134" s="334">
        <f ca="1">VLOOKUP($A134,Plant_Table,'Plant Operations'!$M$270)</f>
        <v>298980.864</v>
      </c>
      <c r="Y134" s="1006">
        <f t="shared" ca="1" si="34"/>
        <v>2066.8999779670789</v>
      </c>
      <c r="Z134" s="1480">
        <f t="shared" ca="1" si="35"/>
        <v>2.6736072183314286</v>
      </c>
      <c r="AA134" s="1480">
        <f t="shared" ca="1" si="22"/>
        <v>2.6736072183314286</v>
      </c>
      <c r="AB134" s="333">
        <f t="shared" ca="1" si="36"/>
        <v>2.5857019500476746</v>
      </c>
      <c r="AC134" s="335">
        <f t="shared" ca="1" si="37"/>
        <v>773.07540307173861</v>
      </c>
      <c r="AD134" s="698" t="str">
        <f t="shared" ca="1" si="23"/>
        <v xml:space="preserve"> </v>
      </c>
    </row>
    <row r="135" spans="1:30">
      <c r="A135" s="672">
        <f>'Annex 12-Gas'!A135</f>
        <v>40695</v>
      </c>
      <c r="C135" s="1484">
        <f ca="1">IF($A135&gt;Endyr,0,VLOOKUP($A135,Tariff_Table,Tariff!$G$33))</f>
        <v>7420.61</v>
      </c>
      <c r="D135" s="1480">
        <f ca="1">VLOOKUP($A135,Curves_Table,Escalation!$AW$291)</f>
        <v>3.0057179991743976</v>
      </c>
      <c r="E135" s="1486">
        <f t="shared" ca="1" si="24"/>
        <v>22304.261041853526</v>
      </c>
      <c r="F135" s="330">
        <f ca="1">VLOOKUP($A135,Plant_Table,'Plant Operations'!$C$270)</f>
        <v>480</v>
      </c>
      <c r="G135" s="1486">
        <f t="shared" ca="1" si="25"/>
        <v>10706.045300089692</v>
      </c>
      <c r="H135" s="1480">
        <f ca="1">IF(Assm!$L$74=0,VLOOKUP($A135,Curves_Table,Escalation!$D$291),VLOOKUP($A135,Curves_Table,Escalation!$E$291))</f>
        <v>2.6782457340034895</v>
      </c>
      <c r="I135" s="384">
        <f t="shared" ca="1" si="26"/>
        <v>3997.4096342855382</v>
      </c>
      <c r="J135" s="692" t="str">
        <f t="shared" ca="1" si="19"/>
        <v xml:space="preserve"> </v>
      </c>
      <c r="L135" s="1484">
        <f ca="1">IF($A135&gt;Endyr,0,VLOOKUP($A135,Tariff_Table,Tariff!$H$33))</f>
        <v>6104.93</v>
      </c>
      <c r="M135" s="1480">
        <f t="shared" ca="1" si="27"/>
        <v>3.0057179991743976</v>
      </c>
      <c r="N135" s="1486">
        <f t="shared" ca="1" si="28"/>
        <v>18349.697984699756</v>
      </c>
      <c r="O135" s="330">
        <f t="shared" ca="1" si="29"/>
        <v>480</v>
      </c>
      <c r="P135" s="1486">
        <f t="shared" ca="1" si="30"/>
        <v>8807.8550326558834</v>
      </c>
      <c r="Q135" s="1480">
        <f t="shared" ca="1" si="31"/>
        <v>2.6782457340034895</v>
      </c>
      <c r="R135" s="384">
        <f t="shared" ca="1" si="32"/>
        <v>3288.6657564053112</v>
      </c>
      <c r="S135" s="692" t="str">
        <f t="shared" ca="1" si="20"/>
        <v xml:space="preserve"> </v>
      </c>
      <c r="U135" s="1484">
        <f ca="1">IF($A135&gt;Endyr,0,VLOOKUP($A135,Tariff_Table,Tariff!$I$33))</f>
        <v>2.2999999999999998</v>
      </c>
      <c r="V135" s="1480">
        <f t="shared" ca="1" si="21"/>
        <v>3.0057179991743976</v>
      </c>
      <c r="W135" s="1486">
        <f t="shared" ca="1" si="33"/>
        <v>6.9131513981011139</v>
      </c>
      <c r="X135" s="334">
        <f ca="1">VLOOKUP($A135,Plant_Table,'Plant Operations'!$M$270)</f>
        <v>289336.32000000001</v>
      </c>
      <c r="Y135" s="1006">
        <f t="shared" ca="1" si="34"/>
        <v>2000.2257851294314</v>
      </c>
      <c r="Z135" s="1480">
        <f t="shared" ca="1" si="35"/>
        <v>2.6782457340034895</v>
      </c>
      <c r="AA135" s="1480">
        <f t="shared" ca="1" si="22"/>
        <v>2.6782457340034895</v>
      </c>
      <c r="AB135" s="333">
        <f t="shared" ca="1" si="36"/>
        <v>2.5812237130934252</v>
      </c>
      <c r="AC135" s="335">
        <f t="shared" ca="1" si="37"/>
        <v>746.84177024318763</v>
      </c>
      <c r="AD135" s="698" t="str">
        <f t="shared" ca="1" si="23"/>
        <v xml:space="preserve"> </v>
      </c>
    </row>
    <row r="136" spans="1:30">
      <c r="A136" s="672">
        <f>'Annex 12-Gas'!A136</f>
        <v>40725</v>
      </c>
      <c r="C136" s="1484">
        <f ca="1">IF($A136&gt;Endyr,0,VLOOKUP($A136,Tariff_Table,Tariff!$G$33))</f>
        <v>7420.61</v>
      </c>
      <c r="D136" s="1480">
        <f ca="1">VLOOKUP($A136,Curves_Table,Escalation!$AW$291)</f>
        <v>3.0057179991743976</v>
      </c>
      <c r="E136" s="1486">
        <f t="shared" ca="1" si="24"/>
        <v>22304.261041853526</v>
      </c>
      <c r="F136" s="330">
        <f ca="1">VLOOKUP($A136,Plant_Table,'Plant Operations'!$C$270)</f>
        <v>480</v>
      </c>
      <c r="G136" s="1486">
        <f t="shared" ca="1" si="25"/>
        <v>10706.045300089692</v>
      </c>
      <c r="H136" s="1480">
        <f ca="1">IF(Assm!$L$74=0,VLOOKUP($A136,Curves_Table,Escalation!$D$291),VLOOKUP($A136,Curves_Table,Escalation!$E$291))</f>
        <v>2.6828922971656577</v>
      </c>
      <c r="I136" s="384">
        <f t="shared" ca="1" si="26"/>
        <v>3990.4864281730938</v>
      </c>
      <c r="J136" s="692" t="str">
        <f t="shared" ca="1" si="19"/>
        <v xml:space="preserve"> </v>
      </c>
      <c r="L136" s="1484">
        <f ca="1">IF($A136&gt;Endyr,0,VLOOKUP($A136,Tariff_Table,Tariff!$H$33))</f>
        <v>6104.93</v>
      </c>
      <c r="M136" s="1480">
        <f t="shared" ca="1" si="27"/>
        <v>3.0057179991743976</v>
      </c>
      <c r="N136" s="1486">
        <f t="shared" ca="1" si="28"/>
        <v>18349.697984699756</v>
      </c>
      <c r="O136" s="330">
        <f t="shared" ca="1" si="29"/>
        <v>480</v>
      </c>
      <c r="P136" s="1486">
        <f t="shared" ca="1" si="30"/>
        <v>8807.8550326558834</v>
      </c>
      <c r="Q136" s="1480">
        <f t="shared" ca="1" si="31"/>
        <v>2.6828922971656577</v>
      </c>
      <c r="R136" s="384">
        <f t="shared" ca="1" si="32"/>
        <v>3282.9700401916784</v>
      </c>
      <c r="S136" s="692" t="str">
        <f t="shared" ca="1" si="20"/>
        <v xml:space="preserve"> </v>
      </c>
      <c r="U136" s="1484">
        <f ca="1">IF($A136&gt;Endyr,0,VLOOKUP($A136,Tariff_Table,Tariff!$I$33))</f>
        <v>2.2999999999999998</v>
      </c>
      <c r="V136" s="1480">
        <f t="shared" ca="1" si="21"/>
        <v>3.0057179991743976</v>
      </c>
      <c r="W136" s="1486">
        <f t="shared" ca="1" si="33"/>
        <v>6.9131513981011139</v>
      </c>
      <c r="X136" s="334">
        <f ca="1">VLOOKUP($A136,Plant_Table,'Plant Operations'!$M$270)</f>
        <v>298980.864</v>
      </c>
      <c r="Y136" s="1006">
        <f t="shared" ca="1" si="34"/>
        <v>2066.8999779670789</v>
      </c>
      <c r="Z136" s="1480">
        <f t="shared" ca="1" si="35"/>
        <v>2.6828922971656577</v>
      </c>
      <c r="AA136" s="1480">
        <f t="shared" ca="1" si="22"/>
        <v>2.6828922971656577</v>
      </c>
      <c r="AB136" s="333">
        <f t="shared" ca="1" si="36"/>
        <v>2.5767532321012343</v>
      </c>
      <c r="AC136" s="335">
        <f t="shared" ca="1" si="37"/>
        <v>770.39990764841957</v>
      </c>
      <c r="AD136" s="698" t="str">
        <f t="shared" ca="1" si="23"/>
        <v xml:space="preserve"> </v>
      </c>
    </row>
    <row r="137" spans="1:30">
      <c r="A137" s="672">
        <f>'Annex 12-Gas'!A137</f>
        <v>40756</v>
      </c>
      <c r="C137" s="1484">
        <f ca="1">IF($A137&gt;Endyr,0,VLOOKUP($A137,Tariff_Table,Tariff!$G$33))</f>
        <v>7420.61</v>
      </c>
      <c r="D137" s="1480">
        <f ca="1">VLOOKUP($A137,Curves_Table,Escalation!$AW$291)</f>
        <v>3.0057179991743976</v>
      </c>
      <c r="E137" s="1486">
        <f t="shared" ca="1" si="24"/>
        <v>22304.261041853526</v>
      </c>
      <c r="F137" s="330">
        <f ca="1">VLOOKUP($A137,Plant_Table,'Plant Operations'!$C$270)</f>
        <v>480</v>
      </c>
      <c r="G137" s="1486">
        <f t="shared" ca="1" si="25"/>
        <v>10706.045300089692</v>
      </c>
      <c r="H137" s="1480">
        <f ca="1">IF(Assm!$L$74=0,VLOOKUP($A137,Curves_Table,Escalation!$D$291),VLOOKUP($A137,Curves_Table,Escalation!$E$291))</f>
        <v>2.6875469217797479</v>
      </c>
      <c r="I137" s="384">
        <f t="shared" ca="1" si="26"/>
        <v>3983.575212521288</v>
      </c>
      <c r="J137" s="692" t="str">
        <f t="shared" ca="1" si="19"/>
        <v xml:space="preserve"> </v>
      </c>
      <c r="L137" s="1484">
        <f ca="1">IF($A137&gt;Endyr,0,VLOOKUP($A137,Tariff_Table,Tariff!$H$33))</f>
        <v>6104.93</v>
      </c>
      <c r="M137" s="1480">
        <f t="shared" ca="1" si="27"/>
        <v>3.0057179991743976</v>
      </c>
      <c r="N137" s="1486">
        <f t="shared" ca="1" si="28"/>
        <v>18349.697984699756</v>
      </c>
      <c r="O137" s="330">
        <f t="shared" ca="1" si="29"/>
        <v>480</v>
      </c>
      <c r="P137" s="1486">
        <f t="shared" ca="1" si="30"/>
        <v>8807.8550326558834</v>
      </c>
      <c r="Q137" s="1480">
        <f t="shared" ca="1" si="31"/>
        <v>2.6875469217797479</v>
      </c>
      <c r="R137" s="384">
        <f t="shared" ca="1" si="32"/>
        <v>3277.2841885205648</v>
      </c>
      <c r="S137" s="692" t="str">
        <f t="shared" ca="1" si="20"/>
        <v xml:space="preserve"> </v>
      </c>
      <c r="U137" s="1484">
        <f ca="1">IF($A137&gt;Endyr,0,VLOOKUP($A137,Tariff_Table,Tariff!$I$33))</f>
        <v>2.2999999999999998</v>
      </c>
      <c r="V137" s="1480">
        <f t="shared" ca="1" si="21"/>
        <v>3.0057179991743976</v>
      </c>
      <c r="W137" s="1486">
        <f t="shared" ca="1" si="33"/>
        <v>6.9131513981011139</v>
      </c>
      <c r="X137" s="334">
        <f ca="1">VLOOKUP($A137,Plant_Table,'Plant Operations'!$M$270)</f>
        <v>298980.864</v>
      </c>
      <c r="Y137" s="1006">
        <f t="shared" ca="1" si="34"/>
        <v>2066.8999779670789</v>
      </c>
      <c r="Z137" s="1480">
        <f t="shared" ca="1" si="35"/>
        <v>2.6875469217797479</v>
      </c>
      <c r="AA137" s="1480">
        <f t="shared" ca="1" si="22"/>
        <v>2.6875469217797479</v>
      </c>
      <c r="AB137" s="333">
        <f t="shared" ca="1" si="36"/>
        <v>2.5722904936383717</v>
      </c>
      <c r="AC137" s="335">
        <f t="shared" ca="1" si="37"/>
        <v>769.06563424698686</v>
      </c>
      <c r="AD137" s="698" t="str">
        <f t="shared" ca="1" si="23"/>
        <v xml:space="preserve"> </v>
      </c>
    </row>
    <row r="138" spans="1:30">
      <c r="A138" s="672">
        <f>'Annex 12-Gas'!A138</f>
        <v>40787</v>
      </c>
      <c r="C138" s="1484">
        <f ca="1">IF($A138&gt;Endyr,0,VLOOKUP($A138,Tariff_Table,Tariff!$G$33))</f>
        <v>7420.61</v>
      </c>
      <c r="D138" s="1480">
        <f ca="1">VLOOKUP($A138,Curves_Table,Escalation!$AW$291)</f>
        <v>3.0057179991743976</v>
      </c>
      <c r="E138" s="1486">
        <f t="shared" ca="1" si="24"/>
        <v>22304.261041853526</v>
      </c>
      <c r="F138" s="330">
        <f ca="1">VLOOKUP($A138,Plant_Table,'Plant Operations'!$C$270)</f>
        <v>480</v>
      </c>
      <c r="G138" s="1486">
        <f t="shared" ca="1" si="25"/>
        <v>10706.045300089692</v>
      </c>
      <c r="H138" s="1480">
        <f ca="1">IF(Assm!$L$74=0,VLOOKUP($A138,Curves_Table,Escalation!$D$291),VLOOKUP($A138,Curves_Table,Escalation!$E$291))</f>
        <v>2.6922096218317977</v>
      </c>
      <c r="I138" s="384">
        <f t="shared" ca="1" si="26"/>
        <v>3976.6759665635645</v>
      </c>
      <c r="J138" s="692" t="str">
        <f t="shared" ca="1" si="19"/>
        <v xml:space="preserve"> </v>
      </c>
      <c r="L138" s="1484">
        <f ca="1">IF($A138&gt;Endyr,0,VLOOKUP($A138,Tariff_Table,Tariff!$H$33))</f>
        <v>6104.93</v>
      </c>
      <c r="M138" s="1480">
        <f t="shared" ca="1" si="27"/>
        <v>3.0057179991743976</v>
      </c>
      <c r="N138" s="1486">
        <f t="shared" ca="1" si="28"/>
        <v>18349.697984699756</v>
      </c>
      <c r="O138" s="330">
        <f t="shared" ca="1" si="29"/>
        <v>480</v>
      </c>
      <c r="P138" s="1486">
        <f t="shared" ca="1" si="30"/>
        <v>8807.8550326558834</v>
      </c>
      <c r="Q138" s="1480">
        <f t="shared" ca="1" si="31"/>
        <v>2.6922096218317977</v>
      </c>
      <c r="R138" s="384">
        <f t="shared" ca="1" si="32"/>
        <v>3271.6081843073421</v>
      </c>
      <c r="S138" s="692" t="str">
        <f t="shared" ca="1" si="20"/>
        <v xml:space="preserve"> </v>
      </c>
      <c r="U138" s="1484">
        <f ca="1">IF($A138&gt;Endyr,0,VLOOKUP($A138,Tariff_Table,Tariff!$I$33))</f>
        <v>2.2999999999999998</v>
      </c>
      <c r="V138" s="1480">
        <f t="shared" ca="1" si="21"/>
        <v>3.0057179991743976</v>
      </c>
      <c r="W138" s="1486">
        <f t="shared" ca="1" si="33"/>
        <v>6.9131513981011139</v>
      </c>
      <c r="X138" s="334">
        <f ca="1">VLOOKUP($A138,Plant_Table,'Plant Operations'!$M$270)</f>
        <v>289336.32000000001</v>
      </c>
      <c r="Y138" s="1006">
        <f t="shared" ca="1" si="34"/>
        <v>2000.2257851294314</v>
      </c>
      <c r="Z138" s="1480">
        <f t="shared" ca="1" si="35"/>
        <v>2.6922096218317977</v>
      </c>
      <c r="AA138" s="1480">
        <f t="shared" ca="1" si="22"/>
        <v>2.6922096218317977</v>
      </c>
      <c r="AB138" s="333">
        <f t="shared" ca="1" si="36"/>
        <v>2.5678354842953719</v>
      </c>
      <c r="AC138" s="335">
        <f t="shared" ca="1" si="37"/>
        <v>742.96806939144074</v>
      </c>
      <c r="AD138" s="698" t="str">
        <f t="shared" ca="1" si="23"/>
        <v xml:space="preserve"> </v>
      </c>
    </row>
    <row r="139" spans="1:30">
      <c r="A139" s="672">
        <f>'Annex 12-Gas'!A139</f>
        <v>40817</v>
      </c>
      <c r="C139" s="1484">
        <f ca="1">IF($A139&gt;Endyr,0,VLOOKUP($A139,Tariff_Table,Tariff!$G$33))</f>
        <v>7420.61</v>
      </c>
      <c r="D139" s="1480">
        <f ca="1">VLOOKUP($A139,Curves_Table,Escalation!$AW$291)</f>
        <v>3.0057179991743976</v>
      </c>
      <c r="E139" s="1486">
        <f t="shared" ca="1" si="24"/>
        <v>22304.261041853526</v>
      </c>
      <c r="F139" s="330">
        <f ca="1">VLOOKUP($A139,Plant_Table,'Plant Operations'!$C$270)</f>
        <v>480</v>
      </c>
      <c r="G139" s="1486">
        <f t="shared" ca="1" si="25"/>
        <v>10706.045300089692</v>
      </c>
      <c r="H139" s="1480">
        <f ca="1">IF(Assm!$L$74=0,VLOOKUP($A139,Curves_Table,Escalation!$D$291),VLOOKUP($A139,Curves_Table,Escalation!$E$291))</f>
        <v>2.6968804113321094</v>
      </c>
      <c r="I139" s="384">
        <f t="shared" ca="1" si="26"/>
        <v>3969.7886695693337</v>
      </c>
      <c r="J139" s="692" t="str">
        <f t="shared" ca="1" si="19"/>
        <v xml:space="preserve"> </v>
      </c>
      <c r="L139" s="1484">
        <f ca="1">IF($A139&gt;Endyr,0,VLOOKUP($A139,Tariff_Table,Tariff!$H$33))</f>
        <v>6104.93</v>
      </c>
      <c r="M139" s="1480">
        <f t="shared" ca="1" si="27"/>
        <v>3.0057179991743976</v>
      </c>
      <c r="N139" s="1486">
        <f t="shared" ca="1" si="28"/>
        <v>18349.697984699756</v>
      </c>
      <c r="O139" s="330">
        <f t="shared" ca="1" si="29"/>
        <v>480</v>
      </c>
      <c r="P139" s="1486">
        <f t="shared" ca="1" si="30"/>
        <v>8807.8550326558834</v>
      </c>
      <c r="Q139" s="1480">
        <f t="shared" ca="1" si="31"/>
        <v>2.6968804113321094</v>
      </c>
      <c r="R139" s="384">
        <f t="shared" ca="1" si="32"/>
        <v>3265.9420104969695</v>
      </c>
      <c r="S139" s="692" t="str">
        <f t="shared" ca="1" si="20"/>
        <v xml:space="preserve"> </v>
      </c>
      <c r="U139" s="1484">
        <f ca="1">IF($A139&gt;Endyr,0,VLOOKUP($A139,Tariff_Table,Tariff!$I$33))</f>
        <v>2.2999999999999998</v>
      </c>
      <c r="V139" s="1480">
        <f t="shared" ca="1" si="21"/>
        <v>3.0057179991743976</v>
      </c>
      <c r="W139" s="1486">
        <f t="shared" ca="1" si="33"/>
        <v>6.9131513981011139</v>
      </c>
      <c r="X139" s="334">
        <f ca="1">VLOOKUP($A139,Plant_Table,'Plant Operations'!$M$270)</f>
        <v>298980.864</v>
      </c>
      <c r="Y139" s="1006">
        <f t="shared" ca="1" si="34"/>
        <v>2066.8999779670789</v>
      </c>
      <c r="Z139" s="1480">
        <f t="shared" ca="1" si="35"/>
        <v>2.6968804113321094</v>
      </c>
      <c r="AA139" s="1480">
        <f t="shared" ca="1" si="22"/>
        <v>2.6968804113321094</v>
      </c>
      <c r="AB139" s="333">
        <f t="shared" ca="1" si="36"/>
        <v>2.5633881906859934</v>
      </c>
      <c r="AC139" s="335">
        <f t="shared" ca="1" si="37"/>
        <v>766.40401601869507</v>
      </c>
      <c r="AD139" s="698" t="str">
        <f t="shared" ca="1" si="23"/>
        <v xml:space="preserve"> </v>
      </c>
    </row>
    <row r="140" spans="1:30">
      <c r="A140" s="672">
        <f>'Annex 12-Gas'!A140</f>
        <v>40848</v>
      </c>
      <c r="C140" s="1484">
        <f ca="1">IF($A140&gt;Endyr,0,VLOOKUP($A140,Tariff_Table,Tariff!$G$33))</f>
        <v>7420.61</v>
      </c>
      <c r="D140" s="1480">
        <f ca="1">VLOOKUP($A140,Curves_Table,Escalation!$AW$291)</f>
        <v>3.0057179991743976</v>
      </c>
      <c r="E140" s="1486">
        <f t="shared" ca="1" si="24"/>
        <v>22304.261041853526</v>
      </c>
      <c r="F140" s="330">
        <f ca="1">VLOOKUP($A140,Plant_Table,'Plant Operations'!$C$270)</f>
        <v>480</v>
      </c>
      <c r="G140" s="1486">
        <f t="shared" ca="1" si="25"/>
        <v>10706.045300089692</v>
      </c>
      <c r="H140" s="1480">
        <f ca="1">IF(Assm!$L$74=0,VLOOKUP($A140,Curves_Table,Escalation!$D$291),VLOOKUP($A140,Curves_Table,Escalation!$E$291))</f>
        <v>2.7015593043152926</v>
      </c>
      <c r="I140" s="384">
        <f t="shared" ca="1" si="26"/>
        <v>3962.9133008439098</v>
      </c>
      <c r="J140" s="692" t="str">
        <f t="shared" ref="J140:J203" ca="1" si="38">IF(MONTH($A140)=12,SUM(I129:I140)," ")</f>
        <v xml:space="preserve"> </v>
      </c>
      <c r="L140" s="1484">
        <f ca="1">IF($A140&gt;Endyr,0,VLOOKUP($A140,Tariff_Table,Tariff!$H$33))</f>
        <v>6104.93</v>
      </c>
      <c r="M140" s="1480">
        <f t="shared" ca="1" si="27"/>
        <v>3.0057179991743976</v>
      </c>
      <c r="N140" s="1486">
        <f t="shared" ca="1" si="28"/>
        <v>18349.697984699756</v>
      </c>
      <c r="O140" s="330">
        <f t="shared" ca="1" si="29"/>
        <v>480</v>
      </c>
      <c r="P140" s="1486">
        <f t="shared" ca="1" si="30"/>
        <v>8807.8550326558834</v>
      </c>
      <c r="Q140" s="1480">
        <f t="shared" ca="1" si="31"/>
        <v>2.7015593043152926</v>
      </c>
      <c r="R140" s="384">
        <f t="shared" ca="1" si="32"/>
        <v>3260.2856500639455</v>
      </c>
      <c r="S140" s="692" t="str">
        <f t="shared" ref="S140:S203" ca="1" si="39">IF(MONTH($A140)=12,SUM(R129:R140)," ")</f>
        <v xml:space="preserve"> </v>
      </c>
      <c r="U140" s="1484">
        <f ca="1">IF($A140&gt;Endyr,0,VLOOKUP($A140,Tariff_Table,Tariff!$I$33))</f>
        <v>2.2999999999999998</v>
      </c>
      <c r="V140" s="1480">
        <f t="shared" ref="V140:V203" ca="1" si="40">D140</f>
        <v>3.0057179991743976</v>
      </c>
      <c r="W140" s="1486">
        <f t="shared" ca="1" si="33"/>
        <v>6.9131513981011139</v>
      </c>
      <c r="X140" s="334">
        <f ca="1">VLOOKUP($A140,Plant_Table,'Plant Operations'!$M$270)</f>
        <v>289336.32000000001</v>
      </c>
      <c r="Y140" s="1006">
        <f t="shared" ca="1" si="34"/>
        <v>2000.2257851294314</v>
      </c>
      <c r="Z140" s="1480">
        <f t="shared" ca="1" si="35"/>
        <v>2.7015593043152926</v>
      </c>
      <c r="AA140" s="1480">
        <f t="shared" ref="AA140:AA203" ca="1" si="41">H140</f>
        <v>2.7015593043152926</v>
      </c>
      <c r="AB140" s="333">
        <f t="shared" ca="1" si="36"/>
        <v>2.5589485994471795</v>
      </c>
      <c r="AC140" s="335">
        <f t="shared" ca="1" si="37"/>
        <v>740.39677083320089</v>
      </c>
      <c r="AD140" s="698" t="str">
        <f t="shared" ref="AD140:AD203" ca="1" si="42">IF(MONTH($A140)=12,SUM(AC129:AC140)," ")</f>
        <v xml:space="preserve"> </v>
      </c>
    </row>
    <row r="141" spans="1:30">
      <c r="A141" s="672">
        <f>'Annex 12-Gas'!A141</f>
        <v>40878</v>
      </c>
      <c r="C141" s="1484">
        <f ca="1">IF($A141&gt;Endyr,0,VLOOKUP($A141,Tariff_Table,Tariff!$G$33))</f>
        <v>7420.61</v>
      </c>
      <c r="D141" s="1480">
        <f ca="1">VLOOKUP($A141,Curves_Table,Escalation!$AW$291)</f>
        <v>3.0057179991743976</v>
      </c>
      <c r="E141" s="1486">
        <f t="shared" ref="E141:E204" ca="1" si="43">C141*D141</f>
        <v>22304.261041853526</v>
      </c>
      <c r="F141" s="330">
        <f ca="1">VLOOKUP($A141,Plant_Table,'Plant Operations'!$C$270)</f>
        <v>480</v>
      </c>
      <c r="G141" s="1486">
        <f t="shared" ref="G141:G204" ca="1" si="44">E141*F141/1000</f>
        <v>10706.045300089692</v>
      </c>
      <c r="H141" s="1480">
        <f ca="1">IF(Assm!$L$74=0,VLOOKUP($A141,Curves_Table,Escalation!$D$291),VLOOKUP($A141,Curves_Table,Escalation!$E$291))</f>
        <v>2.7062463148403069</v>
      </c>
      <c r="I141" s="384">
        <f t="shared" ref="I141:I204" ca="1" si="45">G141/H141</f>
        <v>3956.0498397284455</v>
      </c>
      <c r="J141" s="692">
        <f t="shared" ca="1" si="38"/>
        <v>47958.935261544808</v>
      </c>
      <c r="L141" s="1484">
        <f ca="1">IF($A141&gt;Endyr,0,VLOOKUP($A141,Tariff_Table,Tariff!$H$33))</f>
        <v>6104.93</v>
      </c>
      <c r="M141" s="1480">
        <f t="shared" ref="M141:M204" ca="1" si="46">D141</f>
        <v>3.0057179991743976</v>
      </c>
      <c r="N141" s="1486">
        <f t="shared" ref="N141:N204" ca="1" si="47">L141*M141</f>
        <v>18349.697984699756</v>
      </c>
      <c r="O141" s="330">
        <f t="shared" ref="O141:O204" ca="1" si="48">$F141</f>
        <v>480</v>
      </c>
      <c r="P141" s="1486">
        <f t="shared" ref="P141:P204" ca="1" si="49">N141*O141/1000</f>
        <v>8807.8550326558834</v>
      </c>
      <c r="Q141" s="1480">
        <f t="shared" ref="Q141:Q204" ca="1" si="50">$H141</f>
        <v>2.7062463148403069</v>
      </c>
      <c r="R141" s="384">
        <f t="shared" ref="R141:R204" ca="1" si="51">P141/Q141</f>
        <v>3254.6390860122528</v>
      </c>
      <c r="S141" s="692">
        <f t="shared" ca="1" si="39"/>
        <v>39530.770228524481</v>
      </c>
      <c r="U141" s="1484">
        <f ca="1">IF($A141&gt;Endyr,0,VLOOKUP($A141,Tariff_Table,Tariff!$I$33))</f>
        <v>2.2999999999999998</v>
      </c>
      <c r="V141" s="1480">
        <f t="shared" ca="1" si="40"/>
        <v>3.0057179991743976</v>
      </c>
      <c r="W141" s="1486">
        <f t="shared" ref="W141:W204" ca="1" si="52">U141*V141</f>
        <v>6.9131513981011139</v>
      </c>
      <c r="X141" s="334">
        <f ca="1">VLOOKUP($A141,Plant_Table,'Plant Operations'!$M$270)</f>
        <v>298980.864</v>
      </c>
      <c r="Y141" s="1006">
        <f t="shared" ref="Y141:Y204" ca="1" si="53">W141*X141/1000</f>
        <v>2066.8999779670789</v>
      </c>
      <c r="Z141" s="1480">
        <f t="shared" ref="Z141:Z204" ca="1" si="54">$H141</f>
        <v>2.7062463148403069</v>
      </c>
      <c r="AA141" s="1480">
        <f t="shared" ca="1" si="41"/>
        <v>2.7062463148403069</v>
      </c>
      <c r="AB141" s="333">
        <f t="shared" ref="AB141:AB204" ca="1" si="55">W141/AA141</f>
        <v>2.5545166972390141</v>
      </c>
      <c r="AC141" s="335">
        <f t="shared" ref="AC141:AC204" ca="1" si="56">Y141/Z141</f>
        <v>763.75160924294687</v>
      </c>
      <c r="AD141" s="698">
        <f t="shared" ca="1" si="42"/>
        <v>9104.5906240174372</v>
      </c>
    </row>
    <row r="142" spans="1:30">
      <c r="A142" s="672">
        <f>'Annex 12-Gas'!A142</f>
        <v>40909</v>
      </c>
      <c r="C142" s="1484">
        <f ca="1">IF($A142&gt;Endyr,0,VLOOKUP($A142,Tariff_Table,Tariff!$G$33))</f>
        <v>7420.61</v>
      </c>
      <c r="D142" s="1480">
        <f ca="1">VLOOKUP($A142,Curves_Table,Escalation!$AW$291)</f>
        <v>3.0057179991743976</v>
      </c>
      <c r="E142" s="1486">
        <f t="shared" ca="1" si="43"/>
        <v>22304.261041853526</v>
      </c>
      <c r="F142" s="330">
        <f ca="1">VLOOKUP($A142,Plant_Table,'Plant Operations'!$C$270)</f>
        <v>480</v>
      </c>
      <c r="G142" s="1486">
        <f t="shared" ca="1" si="44"/>
        <v>10706.045300089692</v>
      </c>
      <c r="H142" s="1480">
        <f ca="1">IF(Assm!$L$74=0,VLOOKUP($A142,Curves_Table,Escalation!$D$291),VLOOKUP($A142,Curves_Table,Escalation!$E$291))</f>
        <v>2.7107133756643873</v>
      </c>
      <c r="I142" s="384">
        <f t="shared" ca="1" si="45"/>
        <v>3949.5305539139395</v>
      </c>
      <c r="J142" s="692" t="str">
        <f t="shared" ca="1" si="38"/>
        <v xml:space="preserve"> </v>
      </c>
      <c r="L142" s="1484">
        <f ca="1">IF($A142&gt;Endyr,0,VLOOKUP($A142,Tariff_Table,Tariff!$H$33))</f>
        <v>6104.93</v>
      </c>
      <c r="M142" s="1480">
        <f t="shared" ca="1" si="46"/>
        <v>3.0057179991743976</v>
      </c>
      <c r="N142" s="1486">
        <f t="shared" ca="1" si="47"/>
        <v>18349.697984699756</v>
      </c>
      <c r="O142" s="330">
        <f t="shared" ca="1" si="48"/>
        <v>480</v>
      </c>
      <c r="P142" s="1486">
        <f t="shared" ca="1" si="49"/>
        <v>8807.8550326558834</v>
      </c>
      <c r="Q142" s="1480">
        <f t="shared" ca="1" si="50"/>
        <v>2.7107133756643873</v>
      </c>
      <c r="R142" s="384">
        <f t="shared" ca="1" si="51"/>
        <v>3249.2756747094686</v>
      </c>
      <c r="S142" s="692" t="str">
        <f t="shared" ca="1" si="39"/>
        <v xml:space="preserve"> </v>
      </c>
      <c r="U142" s="1484">
        <f ca="1">IF($A142&gt;Endyr,0,VLOOKUP($A142,Tariff_Table,Tariff!$I$33))</f>
        <v>2.2999999999999998</v>
      </c>
      <c r="V142" s="1480">
        <f t="shared" ca="1" si="40"/>
        <v>3.0057179991743976</v>
      </c>
      <c r="W142" s="1486">
        <f t="shared" ca="1" si="52"/>
        <v>6.9131513981011139</v>
      </c>
      <c r="X142" s="334">
        <f ca="1">VLOOKUP($A142,Plant_Table,'Plant Operations'!$M$270)</f>
        <v>298980.864</v>
      </c>
      <c r="Y142" s="1006">
        <f t="shared" ca="1" si="53"/>
        <v>2066.8999779670789</v>
      </c>
      <c r="Z142" s="1480">
        <f t="shared" ca="1" si="54"/>
        <v>2.7107133756643873</v>
      </c>
      <c r="AA142" s="1480">
        <f t="shared" ca="1" si="41"/>
        <v>2.7107133756643873</v>
      </c>
      <c r="AB142" s="333">
        <f t="shared" ca="1" si="55"/>
        <v>2.5503070373151209</v>
      </c>
      <c r="AC142" s="335">
        <f t="shared" ca="1" si="56"/>
        <v>762.49300148175507</v>
      </c>
      <c r="AD142" s="698" t="str">
        <f t="shared" ca="1" si="42"/>
        <v xml:space="preserve"> </v>
      </c>
    </row>
    <row r="143" spans="1:30">
      <c r="A143" s="672">
        <f>'Annex 12-Gas'!A143</f>
        <v>40940</v>
      </c>
      <c r="C143" s="1484">
        <f ca="1">IF($A143&gt;Endyr,0,VLOOKUP($A143,Tariff_Table,Tariff!$G$33))</f>
        <v>7420.61</v>
      </c>
      <c r="D143" s="1480">
        <f ca="1">VLOOKUP($A143,Curves_Table,Escalation!$AW$291)</f>
        <v>3.0057179991743976</v>
      </c>
      <c r="E143" s="1486">
        <f t="shared" ca="1" si="43"/>
        <v>22304.261041853526</v>
      </c>
      <c r="F143" s="330">
        <f ca="1">VLOOKUP($A143,Plant_Table,'Plant Operations'!$C$270)</f>
        <v>480</v>
      </c>
      <c r="G143" s="1486">
        <f t="shared" ca="1" si="44"/>
        <v>10706.045300089692</v>
      </c>
      <c r="H143" s="1480">
        <f ca="1">IF(Assm!$L$74=0,VLOOKUP($A143,Curves_Table,Escalation!$D$291),VLOOKUP($A143,Curves_Table,Escalation!$E$291))</f>
        <v>2.7151878100347324</v>
      </c>
      <c r="I143" s="384">
        <f t="shared" ca="1" si="45"/>
        <v>3943.0220114139147</v>
      </c>
      <c r="J143" s="692" t="str">
        <f t="shared" ca="1" si="38"/>
        <v xml:space="preserve"> </v>
      </c>
      <c r="L143" s="1484">
        <f ca="1">IF($A143&gt;Endyr,0,VLOOKUP($A143,Tariff_Table,Tariff!$H$33))</f>
        <v>6104.93</v>
      </c>
      <c r="M143" s="1480">
        <f t="shared" ca="1" si="46"/>
        <v>3.0057179991743976</v>
      </c>
      <c r="N143" s="1486">
        <f t="shared" ca="1" si="47"/>
        <v>18349.697984699756</v>
      </c>
      <c r="O143" s="330">
        <f t="shared" ca="1" si="48"/>
        <v>480</v>
      </c>
      <c r="P143" s="1486">
        <f t="shared" ca="1" si="49"/>
        <v>8807.8550326558834</v>
      </c>
      <c r="Q143" s="1480">
        <f t="shared" ca="1" si="50"/>
        <v>2.7151878100347324</v>
      </c>
      <c r="R143" s="384">
        <f t="shared" ca="1" si="51"/>
        <v>3243.9211019230429</v>
      </c>
      <c r="S143" s="692" t="str">
        <f t="shared" ca="1" si="39"/>
        <v xml:space="preserve"> </v>
      </c>
      <c r="U143" s="1484">
        <f ca="1">IF($A143&gt;Endyr,0,VLOOKUP($A143,Tariff_Table,Tariff!$I$33))</f>
        <v>2.2999999999999998</v>
      </c>
      <c r="V143" s="1480">
        <f t="shared" ca="1" si="40"/>
        <v>3.0057179991743976</v>
      </c>
      <c r="W143" s="1486">
        <f t="shared" ca="1" si="52"/>
        <v>6.9131513981011139</v>
      </c>
      <c r="X143" s="334">
        <f ca="1">VLOOKUP($A143,Plant_Table,'Plant Operations'!$M$270)</f>
        <v>279691.77600000001</v>
      </c>
      <c r="Y143" s="1006">
        <f t="shared" ca="1" si="53"/>
        <v>1933.5515922917837</v>
      </c>
      <c r="Z143" s="1480">
        <f t="shared" ca="1" si="54"/>
        <v>2.7151878100347324</v>
      </c>
      <c r="AA143" s="1480">
        <f t="shared" ca="1" si="41"/>
        <v>2.7151878100347324</v>
      </c>
      <c r="AB143" s="333">
        <f t="shared" ca="1" si="55"/>
        <v>2.5461043146082338</v>
      </c>
      <c r="AC143" s="335">
        <f t="shared" ca="1" si="56"/>
        <v>712.12443763403974</v>
      </c>
      <c r="AD143" s="698" t="str">
        <f t="shared" ca="1" si="42"/>
        <v xml:space="preserve"> </v>
      </c>
    </row>
    <row r="144" spans="1:30">
      <c r="A144" s="672">
        <f>'Annex 12-Gas'!A144</f>
        <v>40969</v>
      </c>
      <c r="C144" s="1484">
        <f ca="1">IF($A144&gt;Endyr,0,VLOOKUP($A144,Tariff_Table,Tariff!$G$33))</f>
        <v>7420.61</v>
      </c>
      <c r="D144" s="1480">
        <f ca="1">VLOOKUP($A144,Curves_Table,Escalation!$AW$291)</f>
        <v>3.0057179991743976</v>
      </c>
      <c r="E144" s="1486">
        <f t="shared" ca="1" si="43"/>
        <v>22304.261041853526</v>
      </c>
      <c r="F144" s="330">
        <f ca="1">VLOOKUP($A144,Plant_Table,'Plant Operations'!$C$270)</f>
        <v>480</v>
      </c>
      <c r="G144" s="1486">
        <f t="shared" ca="1" si="44"/>
        <v>10706.045300089692</v>
      </c>
      <c r="H144" s="1480">
        <f ca="1">IF(Assm!$L$74=0,VLOOKUP($A144,Curves_Table,Escalation!$D$291),VLOOKUP($A144,Curves_Table,Escalation!$E$291))</f>
        <v>2.7196696301224734</v>
      </c>
      <c r="I144" s="384">
        <f t="shared" ca="1" si="45"/>
        <v>3936.524194524161</v>
      </c>
      <c r="J144" s="692" t="str">
        <f t="shared" ca="1" si="38"/>
        <v xml:space="preserve"> </v>
      </c>
      <c r="L144" s="1484">
        <f ca="1">IF($A144&gt;Endyr,0,VLOOKUP($A144,Tariff_Table,Tariff!$H$33))</f>
        <v>6104.93</v>
      </c>
      <c r="M144" s="1480">
        <f t="shared" ca="1" si="46"/>
        <v>3.0057179991743976</v>
      </c>
      <c r="N144" s="1486">
        <f t="shared" ca="1" si="47"/>
        <v>18349.697984699756</v>
      </c>
      <c r="O144" s="330">
        <f t="shared" ca="1" si="48"/>
        <v>480</v>
      </c>
      <c r="P144" s="1486">
        <f t="shared" ca="1" si="49"/>
        <v>8807.8550326558834</v>
      </c>
      <c r="Q144" s="1480">
        <f t="shared" ca="1" si="50"/>
        <v>2.7196696301224734</v>
      </c>
      <c r="R144" s="384">
        <f t="shared" ca="1" si="51"/>
        <v>3238.5753530877364</v>
      </c>
      <c r="S144" s="692" t="str">
        <f t="shared" ca="1" si="39"/>
        <v xml:space="preserve"> </v>
      </c>
      <c r="U144" s="1484">
        <f ca="1">IF($A144&gt;Endyr,0,VLOOKUP($A144,Tariff_Table,Tariff!$I$33))</f>
        <v>2.2999999999999998</v>
      </c>
      <c r="V144" s="1480">
        <f t="shared" ca="1" si="40"/>
        <v>3.0057179991743976</v>
      </c>
      <c r="W144" s="1486">
        <f t="shared" ca="1" si="52"/>
        <v>6.9131513981011139</v>
      </c>
      <c r="X144" s="334">
        <f ca="1">VLOOKUP($A144,Plant_Table,'Plant Operations'!$M$270)</f>
        <v>298980.864</v>
      </c>
      <c r="Y144" s="1006">
        <f t="shared" ca="1" si="53"/>
        <v>2066.8999779670789</v>
      </c>
      <c r="Z144" s="1480">
        <f t="shared" ca="1" si="54"/>
        <v>2.7196696301224734</v>
      </c>
      <c r="AA144" s="1480">
        <f t="shared" ca="1" si="41"/>
        <v>2.7196696301224734</v>
      </c>
      <c r="AB144" s="333">
        <f t="shared" ca="1" si="55"/>
        <v>2.5419085176863181</v>
      </c>
      <c r="AC144" s="335">
        <f t="shared" ca="1" si="56"/>
        <v>759.98200482681466</v>
      </c>
      <c r="AD144" s="698" t="str">
        <f t="shared" ca="1" si="42"/>
        <v xml:space="preserve"> </v>
      </c>
    </row>
    <row r="145" spans="1:30">
      <c r="A145" s="672">
        <f>'Annex 12-Gas'!A145</f>
        <v>41000</v>
      </c>
      <c r="C145" s="1484">
        <f ca="1">IF($A145&gt;Endyr,0,VLOOKUP($A145,Tariff_Table,Tariff!$G$33))</f>
        <v>7420.61</v>
      </c>
      <c r="D145" s="1480">
        <f ca="1">VLOOKUP($A145,Curves_Table,Escalation!$AW$291)</f>
        <v>3.0057179991743976</v>
      </c>
      <c r="E145" s="1486">
        <f t="shared" ca="1" si="43"/>
        <v>22304.261041853526</v>
      </c>
      <c r="F145" s="330">
        <f ca="1">VLOOKUP($A145,Plant_Table,'Plant Operations'!$C$270)</f>
        <v>480</v>
      </c>
      <c r="G145" s="1486">
        <f t="shared" ca="1" si="44"/>
        <v>10706.045300089692</v>
      </c>
      <c r="H145" s="1480">
        <f ca="1">IF(Assm!$L$74=0,VLOOKUP($A145,Curves_Table,Escalation!$D$291),VLOOKUP($A145,Curves_Table,Escalation!$E$291))</f>
        <v>2.7241588481188321</v>
      </c>
      <c r="I145" s="384">
        <f t="shared" ca="1" si="45"/>
        <v>3930.0370855696438</v>
      </c>
      <c r="J145" s="692" t="str">
        <f t="shared" ca="1" si="38"/>
        <v xml:space="preserve"> </v>
      </c>
      <c r="L145" s="1484">
        <f ca="1">IF($A145&gt;Endyr,0,VLOOKUP($A145,Tariff_Table,Tariff!$H$33))</f>
        <v>6104.93</v>
      </c>
      <c r="M145" s="1480">
        <f t="shared" ca="1" si="46"/>
        <v>3.0057179991743976</v>
      </c>
      <c r="N145" s="1486">
        <f t="shared" ca="1" si="47"/>
        <v>18349.697984699756</v>
      </c>
      <c r="O145" s="330">
        <f t="shared" ca="1" si="48"/>
        <v>480</v>
      </c>
      <c r="P145" s="1486">
        <f t="shared" ca="1" si="49"/>
        <v>8807.8550326558834</v>
      </c>
      <c r="Q145" s="1480">
        <f t="shared" ca="1" si="50"/>
        <v>2.7241588481188321</v>
      </c>
      <c r="R145" s="384">
        <f t="shared" ca="1" si="51"/>
        <v>3233.2384136623118</v>
      </c>
      <c r="S145" s="692" t="str">
        <f t="shared" ca="1" si="39"/>
        <v xml:space="preserve"> </v>
      </c>
      <c r="U145" s="1484">
        <f ca="1">IF($A145&gt;Endyr,0,VLOOKUP($A145,Tariff_Table,Tariff!$I$33))</f>
        <v>2.2999999999999998</v>
      </c>
      <c r="V145" s="1480">
        <f t="shared" ca="1" si="40"/>
        <v>3.0057179991743976</v>
      </c>
      <c r="W145" s="1486">
        <f t="shared" ca="1" si="52"/>
        <v>6.9131513981011139</v>
      </c>
      <c r="X145" s="334">
        <f ca="1">VLOOKUP($A145,Plant_Table,'Plant Operations'!$M$270)</f>
        <v>289336.32000000001</v>
      </c>
      <c r="Y145" s="1006">
        <f t="shared" ca="1" si="53"/>
        <v>2000.2257851294314</v>
      </c>
      <c r="Z145" s="1480">
        <f t="shared" ca="1" si="54"/>
        <v>2.7241588481188321</v>
      </c>
      <c r="AA145" s="1480">
        <f t="shared" ca="1" si="41"/>
        <v>2.7241588481188321</v>
      </c>
      <c r="AB145" s="333">
        <f t="shared" ca="1" si="55"/>
        <v>2.5377196351361779</v>
      </c>
      <c r="AC145" s="335">
        <f t="shared" ca="1" si="56"/>
        <v>734.25446042204453</v>
      </c>
      <c r="AD145" s="698" t="str">
        <f t="shared" ca="1" si="42"/>
        <v xml:space="preserve"> </v>
      </c>
    </row>
    <row r="146" spans="1:30">
      <c r="A146" s="672">
        <f>'Annex 12-Gas'!A146</f>
        <v>41030</v>
      </c>
      <c r="C146" s="1484">
        <f ca="1">IF($A146&gt;Endyr,0,VLOOKUP($A146,Tariff_Table,Tariff!$G$33))</f>
        <v>7429.43</v>
      </c>
      <c r="D146" s="1480">
        <f ca="1">VLOOKUP($A146,Curves_Table,Escalation!$AW$291)</f>
        <v>3.0057179991743976</v>
      </c>
      <c r="E146" s="1486">
        <f t="shared" ca="1" si="43"/>
        <v>22330.771474606245</v>
      </c>
      <c r="F146" s="330">
        <f ca="1">VLOOKUP($A146,Plant_Table,'Plant Operations'!$C$270)</f>
        <v>480</v>
      </c>
      <c r="G146" s="1486">
        <f t="shared" ca="1" si="44"/>
        <v>10718.770307810997</v>
      </c>
      <c r="H146" s="1480">
        <f ca="1">IF(Assm!$L$74=0,VLOOKUP($A146,Curves_Table,Escalation!$D$291),VLOOKUP($A146,Curves_Table,Escalation!$E$291))</f>
        <v>2.7286554762351538</v>
      </c>
      <c r="I146" s="384">
        <f t="shared" ca="1" si="45"/>
        <v>3928.2241386516689</v>
      </c>
      <c r="J146" s="692" t="str">
        <f t="shared" ca="1" si="38"/>
        <v xml:space="preserve"> </v>
      </c>
      <c r="L146" s="1484">
        <f ca="1">IF($A146&gt;Endyr,0,VLOOKUP($A146,Tariff_Table,Tariff!$H$33))</f>
        <v>6133.73</v>
      </c>
      <c r="M146" s="1480">
        <f t="shared" ca="1" si="46"/>
        <v>3.0057179991743976</v>
      </c>
      <c r="N146" s="1486">
        <f t="shared" ca="1" si="47"/>
        <v>18436.262663075977</v>
      </c>
      <c r="O146" s="330">
        <f t="shared" ca="1" si="48"/>
        <v>480</v>
      </c>
      <c r="P146" s="1486">
        <f t="shared" ca="1" si="49"/>
        <v>8849.4060782764682</v>
      </c>
      <c r="Q146" s="1480">
        <f t="shared" ca="1" si="50"/>
        <v>2.7286554762351538</v>
      </c>
      <c r="R146" s="384">
        <f t="shared" ca="1" si="51"/>
        <v>3243.1379319775406</v>
      </c>
      <c r="S146" s="692" t="str">
        <f t="shared" ca="1" si="39"/>
        <v xml:space="preserve"> </v>
      </c>
      <c r="U146" s="1484">
        <f ca="1">IF($A146&gt;Endyr,0,VLOOKUP($A146,Tariff_Table,Tariff!$I$33))</f>
        <v>2.31</v>
      </c>
      <c r="V146" s="1480">
        <f t="shared" ca="1" si="40"/>
        <v>3.0057179991743976</v>
      </c>
      <c r="W146" s="1486">
        <f t="shared" ca="1" si="52"/>
        <v>6.9432085780928583</v>
      </c>
      <c r="X146" s="334">
        <f ca="1">VLOOKUP($A146,Plant_Table,'Plant Operations'!$M$270)</f>
        <v>298980.864</v>
      </c>
      <c r="Y146" s="1006">
        <f t="shared" ca="1" si="53"/>
        <v>2075.8864996104144</v>
      </c>
      <c r="Z146" s="1480">
        <f t="shared" ca="1" si="54"/>
        <v>2.7286554762351538</v>
      </c>
      <c r="AA146" s="1480">
        <f t="shared" ca="1" si="41"/>
        <v>2.7286554762351538</v>
      </c>
      <c r="AB146" s="333">
        <f t="shared" ca="1" si="55"/>
        <v>2.544553036674571</v>
      </c>
      <c r="AC146" s="335">
        <f t="shared" ca="1" si="56"/>
        <v>760.77266539878701</v>
      </c>
      <c r="AD146" s="698" t="str">
        <f t="shared" ca="1" si="42"/>
        <v xml:space="preserve"> </v>
      </c>
    </row>
    <row r="147" spans="1:30">
      <c r="A147" s="672">
        <f>'Annex 12-Gas'!A147</f>
        <v>41061</v>
      </c>
      <c r="C147" s="1484">
        <f ca="1">IF($A147&gt;Endyr,0,VLOOKUP($A147,Tariff_Table,Tariff!$G$33))</f>
        <v>7429.43</v>
      </c>
      <c r="D147" s="1480">
        <f ca="1">VLOOKUP($A147,Curves_Table,Escalation!$AW$291)</f>
        <v>3.0057179991743976</v>
      </c>
      <c r="E147" s="1486">
        <f t="shared" ca="1" si="43"/>
        <v>22330.771474606245</v>
      </c>
      <c r="F147" s="330">
        <f ca="1">VLOOKUP($A147,Plant_Table,'Plant Operations'!$C$270)</f>
        <v>480</v>
      </c>
      <c r="G147" s="1486">
        <f t="shared" ca="1" si="44"/>
        <v>10718.770307810997</v>
      </c>
      <c r="H147" s="1480">
        <f ca="1">IF(Assm!$L$74=0,VLOOKUP($A147,Curves_Table,Escalation!$D$291),VLOOKUP($A147,Curves_Table,Escalation!$E$291))</f>
        <v>2.7331595267029405</v>
      </c>
      <c r="I147" s="384">
        <f t="shared" ca="1" si="45"/>
        <v>3921.7507075927042</v>
      </c>
      <c r="J147" s="692" t="str">
        <f t="shared" ca="1" si="38"/>
        <v xml:space="preserve"> </v>
      </c>
      <c r="L147" s="1484">
        <f ca="1">IF($A147&gt;Endyr,0,VLOOKUP($A147,Tariff_Table,Tariff!$H$33))</f>
        <v>6133.73</v>
      </c>
      <c r="M147" s="1480">
        <f t="shared" ca="1" si="46"/>
        <v>3.0057179991743976</v>
      </c>
      <c r="N147" s="1486">
        <f t="shared" ca="1" si="47"/>
        <v>18436.262663075977</v>
      </c>
      <c r="O147" s="330">
        <f t="shared" ca="1" si="48"/>
        <v>480</v>
      </c>
      <c r="P147" s="1486">
        <f t="shared" ca="1" si="49"/>
        <v>8849.4060782764682</v>
      </c>
      <c r="Q147" s="1480">
        <f t="shared" ca="1" si="50"/>
        <v>2.7331595267029405</v>
      </c>
      <c r="R147" s="384">
        <f t="shared" ca="1" si="51"/>
        <v>3237.7934737500177</v>
      </c>
      <c r="S147" s="692" t="str">
        <f t="shared" ca="1" si="39"/>
        <v xml:space="preserve"> </v>
      </c>
      <c r="U147" s="1484">
        <f ca="1">IF($A147&gt;Endyr,0,VLOOKUP($A147,Tariff_Table,Tariff!$I$33))</f>
        <v>2.31</v>
      </c>
      <c r="V147" s="1480">
        <f t="shared" ca="1" si="40"/>
        <v>3.0057179991743976</v>
      </c>
      <c r="W147" s="1486">
        <f t="shared" ca="1" si="52"/>
        <v>6.9432085780928583</v>
      </c>
      <c r="X147" s="334">
        <f ca="1">VLOOKUP($A147,Plant_Table,'Plant Operations'!$M$270)</f>
        <v>289336.32000000001</v>
      </c>
      <c r="Y147" s="1006">
        <f t="shared" ca="1" si="53"/>
        <v>2008.9224189778204</v>
      </c>
      <c r="Z147" s="1480">
        <f t="shared" ca="1" si="54"/>
        <v>2.7331595267029405</v>
      </c>
      <c r="AA147" s="1480">
        <f t="shared" ca="1" si="41"/>
        <v>2.7331595267029405</v>
      </c>
      <c r="AB147" s="333">
        <f t="shared" ca="1" si="55"/>
        <v>2.5403597961471998</v>
      </c>
      <c r="AC147" s="335">
        <f t="shared" ca="1" si="56"/>
        <v>735.01835489318091</v>
      </c>
      <c r="AD147" s="698" t="str">
        <f t="shared" ca="1" si="42"/>
        <v xml:space="preserve"> </v>
      </c>
    </row>
    <row r="148" spans="1:30">
      <c r="A148" s="672">
        <f>'Annex 12-Gas'!A148</f>
        <v>41091</v>
      </c>
      <c r="C148" s="1484">
        <f ca="1">IF($A148&gt;Endyr,0,VLOOKUP($A148,Tariff_Table,Tariff!$G$33))</f>
        <v>7429.43</v>
      </c>
      <c r="D148" s="1480">
        <f ca="1">VLOOKUP($A148,Curves_Table,Escalation!$AW$291)</f>
        <v>3.0057179991743976</v>
      </c>
      <c r="E148" s="1486">
        <f t="shared" ca="1" si="43"/>
        <v>22330.771474606245</v>
      </c>
      <c r="F148" s="330">
        <f ca="1">VLOOKUP($A148,Plant_Table,'Plant Operations'!$C$270)</f>
        <v>480</v>
      </c>
      <c r="G148" s="1486">
        <f t="shared" ca="1" si="44"/>
        <v>10718.770307810997</v>
      </c>
      <c r="H148" s="1480">
        <f ca="1">IF(Assm!$L$74=0,VLOOKUP($A148,Curves_Table,Escalation!$D$291),VLOOKUP($A148,Curves_Table,Escalation!$E$291))</f>
        <v>2.7376710117738834</v>
      </c>
      <c r="I148" s="384">
        <f t="shared" ca="1" si="45"/>
        <v>3915.2879442828789</v>
      </c>
      <c r="J148" s="692" t="str">
        <f t="shared" ca="1" si="38"/>
        <v xml:space="preserve"> </v>
      </c>
      <c r="L148" s="1484">
        <f ca="1">IF($A148&gt;Endyr,0,VLOOKUP($A148,Tariff_Table,Tariff!$H$33))</f>
        <v>6133.73</v>
      </c>
      <c r="M148" s="1480">
        <f t="shared" ca="1" si="46"/>
        <v>3.0057179991743976</v>
      </c>
      <c r="N148" s="1486">
        <f t="shared" ca="1" si="47"/>
        <v>18436.262663075977</v>
      </c>
      <c r="O148" s="330">
        <f t="shared" ca="1" si="48"/>
        <v>480</v>
      </c>
      <c r="P148" s="1486">
        <f t="shared" ca="1" si="49"/>
        <v>8849.4060782764682</v>
      </c>
      <c r="Q148" s="1480">
        <f t="shared" ca="1" si="50"/>
        <v>2.7376710117738834</v>
      </c>
      <c r="R148" s="384">
        <f t="shared" ca="1" si="51"/>
        <v>3232.4578228055479</v>
      </c>
      <c r="S148" s="692" t="str">
        <f t="shared" ca="1" si="39"/>
        <v xml:space="preserve"> </v>
      </c>
      <c r="U148" s="1484">
        <f ca="1">IF($A148&gt;Endyr,0,VLOOKUP($A148,Tariff_Table,Tariff!$I$33))</f>
        <v>2.31</v>
      </c>
      <c r="V148" s="1480">
        <f t="shared" ca="1" si="40"/>
        <v>3.0057179991743976</v>
      </c>
      <c r="W148" s="1486">
        <f t="shared" ca="1" si="52"/>
        <v>6.9432085780928583</v>
      </c>
      <c r="X148" s="334">
        <f ca="1">VLOOKUP($A148,Plant_Table,'Plant Operations'!$M$270)</f>
        <v>298980.864</v>
      </c>
      <c r="Y148" s="1006">
        <f t="shared" ca="1" si="53"/>
        <v>2075.8864996104144</v>
      </c>
      <c r="Z148" s="1480">
        <f t="shared" ca="1" si="54"/>
        <v>2.7376710117738834</v>
      </c>
      <c r="AA148" s="1480">
        <f t="shared" ca="1" si="41"/>
        <v>2.7376710117738834</v>
      </c>
      <c r="AB148" s="333">
        <f t="shared" ca="1" si="55"/>
        <v>2.5361734657788491</v>
      </c>
      <c r="AC148" s="335">
        <f t="shared" ca="1" si="56"/>
        <v>758.26733405243476</v>
      </c>
      <c r="AD148" s="698" t="str">
        <f t="shared" ca="1" si="42"/>
        <v xml:space="preserve"> </v>
      </c>
    </row>
    <row r="149" spans="1:30">
      <c r="A149" s="672">
        <f>'Annex 12-Gas'!A149</f>
        <v>41122</v>
      </c>
      <c r="C149" s="1484">
        <f ca="1">IF($A149&gt;Endyr,0,VLOOKUP($A149,Tariff_Table,Tariff!$G$33))</f>
        <v>7429.43</v>
      </c>
      <c r="D149" s="1480">
        <f ca="1">VLOOKUP($A149,Curves_Table,Escalation!$AW$291)</f>
        <v>3.0057179991743976</v>
      </c>
      <c r="E149" s="1486">
        <f t="shared" ca="1" si="43"/>
        <v>22330.771474606245</v>
      </c>
      <c r="F149" s="330">
        <f ca="1">VLOOKUP($A149,Plant_Table,'Plant Operations'!$C$270)</f>
        <v>480</v>
      </c>
      <c r="G149" s="1486">
        <f t="shared" ca="1" si="44"/>
        <v>10718.770307810997</v>
      </c>
      <c r="H149" s="1480">
        <f ca="1">IF(Assm!$L$74=0,VLOOKUP($A149,Curves_Table,Escalation!$D$291),VLOOKUP($A149,Curves_Table,Escalation!$E$291))</f>
        <v>2.7421899437198975</v>
      </c>
      <c r="I149" s="384">
        <f t="shared" ca="1" si="45"/>
        <v>3908.8358311425095</v>
      </c>
      <c r="J149" s="692" t="str">
        <f t="shared" ca="1" si="38"/>
        <v xml:space="preserve"> </v>
      </c>
      <c r="L149" s="1484">
        <f ca="1">IF($A149&gt;Endyr,0,VLOOKUP($A149,Tariff_Table,Tariff!$H$33))</f>
        <v>6133.73</v>
      </c>
      <c r="M149" s="1480">
        <f t="shared" ca="1" si="46"/>
        <v>3.0057179991743976</v>
      </c>
      <c r="N149" s="1486">
        <f t="shared" ca="1" si="47"/>
        <v>18436.262663075977</v>
      </c>
      <c r="O149" s="330">
        <f t="shared" ca="1" si="48"/>
        <v>480</v>
      </c>
      <c r="P149" s="1486">
        <f t="shared" ca="1" si="49"/>
        <v>8849.4060782764682</v>
      </c>
      <c r="Q149" s="1480">
        <f t="shared" ca="1" si="50"/>
        <v>2.7421899437198975</v>
      </c>
      <c r="R149" s="384">
        <f t="shared" ca="1" si="51"/>
        <v>3227.1309646303607</v>
      </c>
      <c r="S149" s="692" t="str">
        <f t="shared" ca="1" si="39"/>
        <v xml:space="preserve"> </v>
      </c>
      <c r="U149" s="1484">
        <f ca="1">IF($A149&gt;Endyr,0,VLOOKUP($A149,Tariff_Table,Tariff!$I$33))</f>
        <v>2.31</v>
      </c>
      <c r="V149" s="1480">
        <f t="shared" ca="1" si="40"/>
        <v>3.0057179991743976</v>
      </c>
      <c r="W149" s="1486">
        <f t="shared" ca="1" si="52"/>
        <v>6.9432085780928583</v>
      </c>
      <c r="X149" s="334">
        <f ca="1">VLOOKUP($A149,Plant_Table,'Plant Operations'!$M$270)</f>
        <v>298980.864</v>
      </c>
      <c r="Y149" s="1006">
        <f t="shared" ca="1" si="53"/>
        <v>2075.8864996104144</v>
      </c>
      <c r="Z149" s="1480">
        <f t="shared" ca="1" si="54"/>
        <v>2.7421899437198975</v>
      </c>
      <c r="AA149" s="1480">
        <f t="shared" ca="1" si="41"/>
        <v>2.7421899437198975</v>
      </c>
      <c r="AB149" s="333">
        <f t="shared" ca="1" si="55"/>
        <v>2.5319940341820741</v>
      </c>
      <c r="AC149" s="335">
        <f t="shared" ca="1" si="56"/>
        <v>757.0177639826021</v>
      </c>
      <c r="AD149" s="698" t="str">
        <f t="shared" ca="1" si="42"/>
        <v xml:space="preserve"> </v>
      </c>
    </row>
    <row r="150" spans="1:30">
      <c r="A150" s="672">
        <f>'Annex 12-Gas'!A150</f>
        <v>41153</v>
      </c>
      <c r="C150" s="1484">
        <f ca="1">IF($A150&gt;Endyr,0,VLOOKUP($A150,Tariff_Table,Tariff!$G$33))</f>
        <v>7429.43</v>
      </c>
      <c r="D150" s="1480">
        <f ca="1">VLOOKUP($A150,Curves_Table,Escalation!$AW$291)</f>
        <v>3.0057179991743976</v>
      </c>
      <c r="E150" s="1486">
        <f t="shared" ca="1" si="43"/>
        <v>22330.771474606245</v>
      </c>
      <c r="F150" s="330">
        <f ca="1">VLOOKUP($A150,Plant_Table,'Plant Operations'!$C$270)</f>
        <v>480</v>
      </c>
      <c r="G150" s="1486">
        <f t="shared" ca="1" si="44"/>
        <v>10718.770307810997</v>
      </c>
      <c r="H150" s="1480">
        <f ca="1">IF(Assm!$L$74=0,VLOOKUP($A150,Curves_Table,Escalation!$D$291),VLOOKUP($A150,Curves_Table,Escalation!$E$291))</f>
        <v>2.7467163348331547</v>
      </c>
      <c r="I150" s="384">
        <f t="shared" ca="1" si="45"/>
        <v>3902.3943506208816</v>
      </c>
      <c r="J150" s="692" t="str">
        <f t="shared" ca="1" si="38"/>
        <v xml:space="preserve"> </v>
      </c>
      <c r="L150" s="1484">
        <f ca="1">IF($A150&gt;Endyr,0,VLOOKUP($A150,Tariff_Table,Tariff!$H$33))</f>
        <v>6133.73</v>
      </c>
      <c r="M150" s="1480">
        <f t="shared" ca="1" si="46"/>
        <v>3.0057179991743976</v>
      </c>
      <c r="N150" s="1486">
        <f t="shared" ca="1" si="47"/>
        <v>18436.262663075977</v>
      </c>
      <c r="O150" s="330">
        <f t="shared" ca="1" si="48"/>
        <v>480</v>
      </c>
      <c r="P150" s="1486">
        <f t="shared" ca="1" si="49"/>
        <v>8849.4060782764682</v>
      </c>
      <c r="Q150" s="1480">
        <f t="shared" ca="1" si="50"/>
        <v>2.7467163348331547</v>
      </c>
      <c r="R150" s="384">
        <f t="shared" ca="1" si="51"/>
        <v>3221.8128847346052</v>
      </c>
      <c r="S150" s="692" t="str">
        <f t="shared" ca="1" si="39"/>
        <v xml:space="preserve"> </v>
      </c>
      <c r="U150" s="1484">
        <f ca="1">IF($A150&gt;Endyr,0,VLOOKUP($A150,Tariff_Table,Tariff!$I$33))</f>
        <v>2.31</v>
      </c>
      <c r="V150" s="1480">
        <f t="shared" ca="1" si="40"/>
        <v>3.0057179991743976</v>
      </c>
      <c r="W150" s="1486">
        <f t="shared" ca="1" si="52"/>
        <v>6.9432085780928583</v>
      </c>
      <c r="X150" s="334">
        <f ca="1">VLOOKUP($A150,Plant_Table,'Plant Operations'!$M$270)</f>
        <v>289336.32000000001</v>
      </c>
      <c r="Y150" s="1006">
        <f t="shared" ca="1" si="53"/>
        <v>2008.9224189778204</v>
      </c>
      <c r="Z150" s="1480">
        <f t="shared" ca="1" si="54"/>
        <v>2.7467163348331547</v>
      </c>
      <c r="AA150" s="1480">
        <f t="shared" ca="1" si="41"/>
        <v>2.7467163348331547</v>
      </c>
      <c r="AB150" s="333">
        <f t="shared" ca="1" si="55"/>
        <v>2.5278214899881948</v>
      </c>
      <c r="AC150" s="335">
        <f t="shared" ca="1" si="56"/>
        <v>731.39056753010118</v>
      </c>
      <c r="AD150" s="698" t="str">
        <f t="shared" ca="1" si="42"/>
        <v xml:space="preserve"> </v>
      </c>
    </row>
    <row r="151" spans="1:30">
      <c r="A151" s="672">
        <f>'Annex 12-Gas'!A151</f>
        <v>41183</v>
      </c>
      <c r="C151" s="1484">
        <f ca="1">IF($A151&gt;Endyr,0,VLOOKUP($A151,Tariff_Table,Tariff!$G$33))</f>
        <v>7429.43</v>
      </c>
      <c r="D151" s="1480">
        <f ca="1">VLOOKUP($A151,Curves_Table,Escalation!$AW$291)</f>
        <v>3.0057179991743976</v>
      </c>
      <c r="E151" s="1486">
        <f t="shared" ca="1" si="43"/>
        <v>22330.771474606245</v>
      </c>
      <c r="F151" s="330">
        <f ca="1">VLOOKUP($A151,Plant_Table,'Plant Operations'!$C$270)</f>
        <v>480</v>
      </c>
      <c r="G151" s="1486">
        <f t="shared" ca="1" si="44"/>
        <v>10718.770307810997</v>
      </c>
      <c r="H151" s="1480">
        <f ca="1">IF(Assm!$L$74=0,VLOOKUP($A151,Curves_Table,Escalation!$D$291),VLOOKUP($A151,Curves_Table,Escalation!$E$291))</f>
        <v>2.7512501974261161</v>
      </c>
      <c r="I151" s="384">
        <f t="shared" ca="1" si="45"/>
        <v>3895.9634851962046</v>
      </c>
      <c r="J151" s="692" t="str">
        <f t="shared" ca="1" si="38"/>
        <v xml:space="preserve"> </v>
      </c>
      <c r="L151" s="1484">
        <f ca="1">IF($A151&gt;Endyr,0,VLOOKUP($A151,Tariff_Table,Tariff!$H$33))</f>
        <v>6133.73</v>
      </c>
      <c r="M151" s="1480">
        <f t="shared" ca="1" si="46"/>
        <v>3.0057179991743976</v>
      </c>
      <c r="N151" s="1486">
        <f t="shared" ca="1" si="47"/>
        <v>18436.262663075977</v>
      </c>
      <c r="O151" s="330">
        <f t="shared" ca="1" si="48"/>
        <v>480</v>
      </c>
      <c r="P151" s="1486">
        <f t="shared" ca="1" si="49"/>
        <v>8849.4060782764682</v>
      </c>
      <c r="Q151" s="1480">
        <f t="shared" ca="1" si="50"/>
        <v>2.7512501974261161</v>
      </c>
      <c r="R151" s="384">
        <f t="shared" ca="1" si="51"/>
        <v>3216.5035686523074</v>
      </c>
      <c r="S151" s="692" t="str">
        <f t="shared" ca="1" si="39"/>
        <v xml:space="preserve"> </v>
      </c>
      <c r="U151" s="1484">
        <f ca="1">IF($A151&gt;Endyr,0,VLOOKUP($A151,Tariff_Table,Tariff!$I$33))</f>
        <v>2.31</v>
      </c>
      <c r="V151" s="1480">
        <f t="shared" ca="1" si="40"/>
        <v>3.0057179991743976</v>
      </c>
      <c r="W151" s="1486">
        <f t="shared" ca="1" si="52"/>
        <v>6.9432085780928583</v>
      </c>
      <c r="X151" s="334">
        <f ca="1">VLOOKUP($A151,Plant_Table,'Plant Operations'!$M$270)</f>
        <v>298980.864</v>
      </c>
      <c r="Y151" s="1006">
        <f t="shared" ca="1" si="53"/>
        <v>2075.8864996104144</v>
      </c>
      <c r="Z151" s="1480">
        <f t="shared" ca="1" si="54"/>
        <v>2.7512501974261161</v>
      </c>
      <c r="AA151" s="1480">
        <f t="shared" ca="1" si="41"/>
        <v>2.7512501974261161</v>
      </c>
      <c r="AB151" s="333">
        <f t="shared" ca="1" si="55"/>
        <v>2.523655821847266</v>
      </c>
      <c r="AC151" s="335">
        <f t="shared" ca="1" si="56"/>
        <v>754.52479805452572</v>
      </c>
      <c r="AD151" s="698" t="str">
        <f t="shared" ca="1" si="42"/>
        <v xml:space="preserve"> </v>
      </c>
    </row>
    <row r="152" spans="1:30">
      <c r="A152" s="672">
        <f>'Annex 12-Gas'!A152</f>
        <v>41214</v>
      </c>
      <c r="C152" s="1484">
        <f ca="1">IF($A152&gt;Endyr,0,VLOOKUP($A152,Tariff_Table,Tariff!$G$33))</f>
        <v>7429.43</v>
      </c>
      <c r="D152" s="1480">
        <f ca="1">VLOOKUP($A152,Curves_Table,Escalation!$AW$291)</f>
        <v>3.0057179991743976</v>
      </c>
      <c r="E152" s="1486">
        <f t="shared" ca="1" si="43"/>
        <v>22330.771474606245</v>
      </c>
      <c r="F152" s="330">
        <f ca="1">VLOOKUP($A152,Plant_Table,'Plant Operations'!$C$270)</f>
        <v>480</v>
      </c>
      <c r="G152" s="1486">
        <f t="shared" ca="1" si="44"/>
        <v>10718.770307810997</v>
      </c>
      <c r="H152" s="1480">
        <f ca="1">IF(Assm!$L$74=0,VLOOKUP($A152,Curves_Table,Escalation!$D$291),VLOOKUP($A152,Curves_Table,Escalation!$E$291))</f>
        <v>2.7557915438315672</v>
      </c>
      <c r="I152" s="384">
        <f t="shared" ca="1" si="45"/>
        <v>3889.5432173755607</v>
      </c>
      <c r="J152" s="692" t="str">
        <f t="shared" ca="1" si="38"/>
        <v xml:space="preserve"> </v>
      </c>
      <c r="L152" s="1484">
        <f ca="1">IF($A152&gt;Endyr,0,VLOOKUP($A152,Tariff_Table,Tariff!$H$33))</f>
        <v>6133.73</v>
      </c>
      <c r="M152" s="1480">
        <f t="shared" ca="1" si="46"/>
        <v>3.0057179991743976</v>
      </c>
      <c r="N152" s="1486">
        <f t="shared" ca="1" si="47"/>
        <v>18436.262663075977</v>
      </c>
      <c r="O152" s="330">
        <f t="shared" ca="1" si="48"/>
        <v>480</v>
      </c>
      <c r="P152" s="1486">
        <f t="shared" ca="1" si="49"/>
        <v>8849.4060782764682</v>
      </c>
      <c r="Q152" s="1480">
        <f t="shared" ca="1" si="50"/>
        <v>2.7557915438315672</v>
      </c>
      <c r="R152" s="384">
        <f t="shared" ca="1" si="51"/>
        <v>3211.2030019413328</v>
      </c>
      <c r="S152" s="692" t="str">
        <f t="shared" ca="1" si="39"/>
        <v xml:space="preserve"> </v>
      </c>
      <c r="U152" s="1484">
        <f ca="1">IF($A152&gt;Endyr,0,VLOOKUP($A152,Tariff_Table,Tariff!$I$33))</f>
        <v>2.31</v>
      </c>
      <c r="V152" s="1480">
        <f t="shared" ca="1" si="40"/>
        <v>3.0057179991743976</v>
      </c>
      <c r="W152" s="1486">
        <f t="shared" ca="1" si="52"/>
        <v>6.9432085780928583</v>
      </c>
      <c r="X152" s="334">
        <f ca="1">VLOOKUP($A152,Plant_Table,'Plant Operations'!$M$270)</f>
        <v>289336.32000000001</v>
      </c>
      <c r="Y152" s="1006">
        <f t="shared" ca="1" si="53"/>
        <v>2008.9224189778204</v>
      </c>
      <c r="Z152" s="1480">
        <f t="shared" ca="1" si="54"/>
        <v>2.7557915438315672</v>
      </c>
      <c r="AA152" s="1480">
        <f t="shared" ca="1" si="41"/>
        <v>2.7557915438315672</v>
      </c>
      <c r="AB152" s="333">
        <f t="shared" ca="1" si="55"/>
        <v>2.519497018428047</v>
      </c>
      <c r="AC152" s="335">
        <f t="shared" ca="1" si="56"/>
        <v>728.98199556294333</v>
      </c>
      <c r="AD152" s="698" t="str">
        <f t="shared" ca="1" si="42"/>
        <v xml:space="preserve"> </v>
      </c>
    </row>
    <row r="153" spans="1:30">
      <c r="A153" s="672">
        <f>'Annex 12-Gas'!A153</f>
        <v>41244</v>
      </c>
      <c r="C153" s="1484">
        <f ca="1">IF($A153&gt;Endyr,0,VLOOKUP($A153,Tariff_Table,Tariff!$G$33))</f>
        <v>7429.43</v>
      </c>
      <c r="D153" s="1480">
        <f ca="1">VLOOKUP($A153,Curves_Table,Escalation!$AW$291)</f>
        <v>3.0057179991743976</v>
      </c>
      <c r="E153" s="1486">
        <f t="shared" ca="1" si="43"/>
        <v>22330.771474606245</v>
      </c>
      <c r="F153" s="330">
        <f ca="1">VLOOKUP($A153,Plant_Table,'Plant Operations'!$C$270)</f>
        <v>480</v>
      </c>
      <c r="G153" s="1486">
        <f t="shared" ca="1" si="44"/>
        <v>10718.770307810997</v>
      </c>
      <c r="H153" s="1480">
        <f ca="1">IF(Assm!$L$74=0,VLOOKUP($A153,Curves_Table,Escalation!$D$291),VLOOKUP($A153,Curves_Table,Escalation!$E$291))</f>
        <v>2.7603403864026497</v>
      </c>
      <c r="I153" s="384">
        <f t="shared" ca="1" si="45"/>
        <v>3883.133529694861</v>
      </c>
      <c r="J153" s="692">
        <f t="shared" ca="1" si="38"/>
        <v>47004.247049978927</v>
      </c>
      <c r="L153" s="1484">
        <f ca="1">IF($A153&gt;Endyr,0,VLOOKUP($A153,Tariff_Table,Tariff!$H$33))</f>
        <v>6133.73</v>
      </c>
      <c r="M153" s="1480">
        <f t="shared" ca="1" si="46"/>
        <v>3.0057179991743976</v>
      </c>
      <c r="N153" s="1486">
        <f t="shared" ca="1" si="47"/>
        <v>18436.262663075977</v>
      </c>
      <c r="O153" s="330">
        <f t="shared" ca="1" si="48"/>
        <v>480</v>
      </c>
      <c r="P153" s="1486">
        <f t="shared" ca="1" si="49"/>
        <v>8849.4060782764682</v>
      </c>
      <c r="Q153" s="1480">
        <f t="shared" ca="1" si="50"/>
        <v>2.7603403864026497</v>
      </c>
      <c r="R153" s="384">
        <f t="shared" ca="1" si="51"/>
        <v>3205.9111701833463</v>
      </c>
      <c r="S153" s="692">
        <f t="shared" ca="1" si="39"/>
        <v>38760.96136205762</v>
      </c>
      <c r="U153" s="1484">
        <f ca="1">IF($A153&gt;Endyr,0,VLOOKUP($A153,Tariff_Table,Tariff!$I$33))</f>
        <v>2.31</v>
      </c>
      <c r="V153" s="1480">
        <f t="shared" ca="1" si="40"/>
        <v>3.0057179991743976</v>
      </c>
      <c r="W153" s="1486">
        <f t="shared" ca="1" si="52"/>
        <v>6.9432085780928583</v>
      </c>
      <c r="X153" s="334">
        <f ca="1">VLOOKUP($A153,Plant_Table,'Plant Operations'!$M$270)</f>
        <v>298980.864</v>
      </c>
      <c r="Y153" s="1006">
        <f t="shared" ca="1" si="53"/>
        <v>2075.8864996104144</v>
      </c>
      <c r="Z153" s="1480">
        <f t="shared" ca="1" si="54"/>
        <v>2.7603403864026497</v>
      </c>
      <c r="AA153" s="1480">
        <f t="shared" ca="1" si="41"/>
        <v>2.7603403864026497</v>
      </c>
      <c r="AB153" s="333">
        <f t="shared" ca="1" si="55"/>
        <v>2.5153450684179699</v>
      </c>
      <c r="AC153" s="335">
        <f t="shared" ca="1" si="56"/>
        <v>752.04004181374376</v>
      </c>
      <c r="AD153" s="698">
        <f t="shared" ca="1" si="42"/>
        <v>8946.8674256529721</v>
      </c>
    </row>
    <row r="154" spans="1:30">
      <c r="A154" s="672">
        <f>'Annex 12-Gas'!A154</f>
        <v>41275</v>
      </c>
      <c r="C154" s="1484">
        <f ca="1">IF($A154&gt;Endyr,0,VLOOKUP($A154,Tariff_Table,Tariff!$G$33))</f>
        <v>7429.43</v>
      </c>
      <c r="D154" s="1480">
        <f ca="1">VLOOKUP($A154,Curves_Table,Escalation!$AW$291)</f>
        <v>3.0057179991743976</v>
      </c>
      <c r="E154" s="1486">
        <f t="shared" ca="1" si="43"/>
        <v>22330.771474606245</v>
      </c>
      <c r="F154" s="330">
        <f ca="1">VLOOKUP($A154,Plant_Table,'Plant Operations'!$C$270)</f>
        <v>480</v>
      </c>
      <c r="G154" s="1486">
        <f t="shared" ca="1" si="44"/>
        <v>10718.770307810997</v>
      </c>
      <c r="H154" s="1480">
        <f ca="1">IF(Assm!$L$74=0,VLOOKUP($A154,Curves_Table,Escalation!$D$291),VLOOKUP($A154,Curves_Table,Escalation!$E$291))</f>
        <v>2.7649282340797861</v>
      </c>
      <c r="I154" s="384">
        <f t="shared" ca="1" si="45"/>
        <v>3876.6902430573869</v>
      </c>
      <c r="J154" s="692" t="str">
        <f t="shared" ca="1" si="38"/>
        <v xml:space="preserve"> </v>
      </c>
      <c r="L154" s="1484">
        <f ca="1">IF($A154&gt;Endyr,0,VLOOKUP($A154,Tariff_Table,Tariff!$H$33))</f>
        <v>6133.73</v>
      </c>
      <c r="M154" s="1480">
        <f t="shared" ca="1" si="46"/>
        <v>3.0057179991743976</v>
      </c>
      <c r="N154" s="1486">
        <f t="shared" ca="1" si="47"/>
        <v>18436.262663075977</v>
      </c>
      <c r="O154" s="330">
        <f t="shared" ca="1" si="48"/>
        <v>480</v>
      </c>
      <c r="P154" s="1486">
        <f t="shared" ca="1" si="49"/>
        <v>8849.4060782764682</v>
      </c>
      <c r="Q154" s="1480">
        <f t="shared" ca="1" si="50"/>
        <v>2.7649282340797861</v>
      </c>
      <c r="R154" s="384">
        <f t="shared" ca="1" si="51"/>
        <v>3200.5915991601487</v>
      </c>
      <c r="S154" s="692" t="str">
        <f t="shared" ca="1" si="39"/>
        <v xml:space="preserve"> </v>
      </c>
      <c r="U154" s="1484">
        <f ca="1">IF($A154&gt;Endyr,0,VLOOKUP($A154,Tariff_Table,Tariff!$I$33))</f>
        <v>2.31</v>
      </c>
      <c r="V154" s="1480">
        <f t="shared" ca="1" si="40"/>
        <v>3.0057179991743976</v>
      </c>
      <c r="W154" s="1486">
        <f t="shared" ca="1" si="52"/>
        <v>6.9432085780928583</v>
      </c>
      <c r="X154" s="334">
        <f ca="1">VLOOKUP($A154,Plant_Table,'Plant Operations'!$M$270)</f>
        <v>298980.864</v>
      </c>
      <c r="Y154" s="1006">
        <f t="shared" ca="1" si="53"/>
        <v>2075.8864996104144</v>
      </c>
      <c r="Z154" s="1480">
        <f t="shared" ca="1" si="54"/>
        <v>2.7649282340797861</v>
      </c>
      <c r="AA154" s="1480">
        <f t="shared" ca="1" si="41"/>
        <v>2.7649282340797861</v>
      </c>
      <c r="AB154" s="333">
        <f t="shared" ca="1" si="55"/>
        <v>2.51117135429147</v>
      </c>
      <c r="AC154" s="335">
        <f t="shared" ca="1" si="56"/>
        <v>750.79218115811375</v>
      </c>
      <c r="AD154" s="698" t="str">
        <f t="shared" ca="1" si="42"/>
        <v xml:space="preserve"> </v>
      </c>
    </row>
    <row r="155" spans="1:30">
      <c r="A155" s="672">
        <f>'Annex 12-Gas'!A155</f>
        <v>41306</v>
      </c>
      <c r="C155" s="1484">
        <f ca="1">IF($A155&gt;Endyr,0,VLOOKUP($A155,Tariff_Table,Tariff!$G$33))</f>
        <v>7429.43</v>
      </c>
      <c r="D155" s="1480">
        <f ca="1">VLOOKUP($A155,Curves_Table,Escalation!$AW$291)</f>
        <v>3.0057179991743976</v>
      </c>
      <c r="E155" s="1486">
        <f t="shared" ca="1" si="43"/>
        <v>22330.771474606245</v>
      </c>
      <c r="F155" s="330">
        <f ca="1">VLOOKUP($A155,Plant_Table,'Plant Operations'!$C$270)</f>
        <v>480</v>
      </c>
      <c r="G155" s="1486">
        <f t="shared" ca="1" si="44"/>
        <v>10718.770307810997</v>
      </c>
      <c r="H155" s="1480">
        <f ca="1">IF(Assm!$L$74=0,VLOOKUP($A155,Curves_Table,Escalation!$D$291),VLOOKUP($A155,Curves_Table,Escalation!$E$291))</f>
        <v>2.7695237070289402</v>
      </c>
      <c r="I155" s="384">
        <f t="shared" ca="1" si="45"/>
        <v>3870.2576477706934</v>
      </c>
      <c r="J155" s="692" t="str">
        <f t="shared" ca="1" si="38"/>
        <v xml:space="preserve"> </v>
      </c>
      <c r="L155" s="1484">
        <f ca="1">IF($A155&gt;Endyr,0,VLOOKUP($A155,Tariff_Table,Tariff!$H$33))</f>
        <v>6133.73</v>
      </c>
      <c r="M155" s="1480">
        <f t="shared" ca="1" si="46"/>
        <v>3.0057179991743976</v>
      </c>
      <c r="N155" s="1486">
        <f t="shared" ca="1" si="47"/>
        <v>18436.262663075977</v>
      </c>
      <c r="O155" s="330">
        <f t="shared" ca="1" si="48"/>
        <v>480</v>
      </c>
      <c r="P155" s="1486">
        <f t="shared" ca="1" si="49"/>
        <v>8849.4060782764682</v>
      </c>
      <c r="Q155" s="1480">
        <f t="shared" ca="1" si="50"/>
        <v>2.7695237070289402</v>
      </c>
      <c r="R155" s="384">
        <f t="shared" ca="1" si="51"/>
        <v>3195.2808549054953</v>
      </c>
      <c r="S155" s="692" t="str">
        <f t="shared" ca="1" si="39"/>
        <v xml:space="preserve"> </v>
      </c>
      <c r="U155" s="1484">
        <f ca="1">IF($A155&gt;Endyr,0,VLOOKUP($A155,Tariff_Table,Tariff!$I$33))</f>
        <v>2.31</v>
      </c>
      <c r="V155" s="1480">
        <f t="shared" ca="1" si="40"/>
        <v>3.0057179991743976</v>
      </c>
      <c r="W155" s="1486">
        <f t="shared" ca="1" si="52"/>
        <v>6.9432085780928583</v>
      </c>
      <c r="X155" s="334">
        <f ca="1">VLOOKUP($A155,Plant_Table,'Plant Operations'!$M$270)</f>
        <v>270047.23200000002</v>
      </c>
      <c r="Y155" s="1006">
        <f t="shared" ca="1" si="53"/>
        <v>1874.9942577126324</v>
      </c>
      <c r="Z155" s="1480">
        <f t="shared" ca="1" si="54"/>
        <v>2.7695237070289402</v>
      </c>
      <c r="AA155" s="1480">
        <f t="shared" ca="1" si="41"/>
        <v>2.7695237070289402</v>
      </c>
      <c r="AB155" s="333">
        <f t="shared" ca="1" si="55"/>
        <v>2.5070045656122288</v>
      </c>
      <c r="AC155" s="335">
        <f t="shared" ca="1" si="56"/>
        <v>677.00964355494489</v>
      </c>
      <c r="AD155" s="698" t="str">
        <f t="shared" ca="1" si="42"/>
        <v xml:space="preserve"> </v>
      </c>
    </row>
    <row r="156" spans="1:30">
      <c r="A156" s="672">
        <f>'Annex 12-Gas'!A156</f>
        <v>41334</v>
      </c>
      <c r="C156" s="1484">
        <f ca="1">IF($A156&gt;Endyr,0,VLOOKUP($A156,Tariff_Table,Tariff!$G$33))</f>
        <v>7429.43</v>
      </c>
      <c r="D156" s="1480">
        <f ca="1">VLOOKUP($A156,Curves_Table,Escalation!$AW$291)</f>
        <v>3.0057179991743976</v>
      </c>
      <c r="E156" s="1486">
        <f t="shared" ca="1" si="43"/>
        <v>22330.771474606245</v>
      </c>
      <c r="F156" s="330">
        <f ca="1">VLOOKUP($A156,Plant_Table,'Plant Operations'!$C$270)</f>
        <v>480</v>
      </c>
      <c r="G156" s="1486">
        <f t="shared" ca="1" si="44"/>
        <v>10718.770307810997</v>
      </c>
      <c r="H156" s="1480">
        <f ca="1">IF(Assm!$L$74=0,VLOOKUP($A156,Curves_Table,Escalation!$D$291),VLOOKUP($A156,Curves_Table,Escalation!$E$291))</f>
        <v>2.7741268179237619</v>
      </c>
      <c r="I156" s="384">
        <f t="shared" ca="1" si="45"/>
        <v>3863.8357260946132</v>
      </c>
      <c r="J156" s="692" t="str">
        <f t="shared" ca="1" si="38"/>
        <v xml:space="preserve"> </v>
      </c>
      <c r="L156" s="1484">
        <f ca="1">IF($A156&gt;Endyr,0,VLOOKUP($A156,Tariff_Table,Tariff!$H$33))</f>
        <v>6133.73</v>
      </c>
      <c r="M156" s="1480">
        <f t="shared" ca="1" si="46"/>
        <v>3.0057179991743976</v>
      </c>
      <c r="N156" s="1486">
        <f t="shared" ca="1" si="47"/>
        <v>18436.262663075977</v>
      </c>
      <c r="O156" s="330">
        <f t="shared" ca="1" si="48"/>
        <v>480</v>
      </c>
      <c r="P156" s="1486">
        <f t="shared" ca="1" si="49"/>
        <v>8849.4060782764682</v>
      </c>
      <c r="Q156" s="1480">
        <f t="shared" ca="1" si="50"/>
        <v>2.7741268179237619</v>
      </c>
      <c r="R156" s="384">
        <f t="shared" ca="1" si="51"/>
        <v>3189.9789227731212</v>
      </c>
      <c r="S156" s="692" t="str">
        <f t="shared" ca="1" si="39"/>
        <v xml:space="preserve"> </v>
      </c>
      <c r="U156" s="1484">
        <f ca="1">IF($A156&gt;Endyr,0,VLOOKUP($A156,Tariff_Table,Tariff!$I$33))</f>
        <v>2.31</v>
      </c>
      <c r="V156" s="1480">
        <f t="shared" ca="1" si="40"/>
        <v>3.0057179991743976</v>
      </c>
      <c r="W156" s="1486">
        <f t="shared" ca="1" si="52"/>
        <v>6.9432085780928583</v>
      </c>
      <c r="X156" s="334">
        <f ca="1">VLOOKUP($A156,Plant_Table,'Plant Operations'!$M$270)</f>
        <v>298980.864</v>
      </c>
      <c r="Y156" s="1006">
        <f t="shared" ca="1" si="53"/>
        <v>2075.8864996104144</v>
      </c>
      <c r="Z156" s="1480">
        <f t="shared" ca="1" si="54"/>
        <v>2.7741268179237619</v>
      </c>
      <c r="AA156" s="1480">
        <f t="shared" ca="1" si="41"/>
        <v>2.7741268179237619</v>
      </c>
      <c r="AB156" s="333">
        <f t="shared" ca="1" si="55"/>
        <v>2.5028446908888471</v>
      </c>
      <c r="AC156" s="335">
        <f t="shared" ca="1" si="56"/>
        <v>748.30266813976039</v>
      </c>
      <c r="AD156" s="698" t="str">
        <f t="shared" ca="1" si="42"/>
        <v xml:space="preserve"> </v>
      </c>
    </row>
    <row r="157" spans="1:30">
      <c r="A157" s="672">
        <f>'Annex 12-Gas'!A157</f>
        <v>41365</v>
      </c>
      <c r="C157" s="1484">
        <f ca="1">IF($A157&gt;Endyr,0,VLOOKUP($A157,Tariff_Table,Tariff!$G$33))</f>
        <v>7429.43</v>
      </c>
      <c r="D157" s="1480">
        <f ca="1">VLOOKUP($A157,Curves_Table,Escalation!$AW$291)</f>
        <v>3.0057179991743976</v>
      </c>
      <c r="E157" s="1486">
        <f t="shared" ca="1" si="43"/>
        <v>22330.771474606245</v>
      </c>
      <c r="F157" s="330">
        <f ca="1">VLOOKUP($A157,Plant_Table,'Plant Operations'!$C$270)</f>
        <v>480</v>
      </c>
      <c r="G157" s="1486">
        <f t="shared" ca="1" si="44"/>
        <v>10718.770307810997</v>
      </c>
      <c r="H157" s="1480">
        <f ca="1">IF(Assm!$L$74=0,VLOOKUP($A157,Curves_Table,Escalation!$D$291),VLOOKUP($A157,Curves_Table,Escalation!$E$291))</f>
        <v>2.7787375794589648</v>
      </c>
      <c r="I157" s="384">
        <f t="shared" ca="1" si="45"/>
        <v>3857.4244603184152</v>
      </c>
      <c r="J157" s="692" t="str">
        <f t="shared" ca="1" si="38"/>
        <v xml:space="preserve"> </v>
      </c>
      <c r="L157" s="1484">
        <f ca="1">IF($A157&gt;Endyr,0,VLOOKUP($A157,Tariff_Table,Tariff!$H$33))</f>
        <v>6133.73</v>
      </c>
      <c r="M157" s="1480">
        <f t="shared" ca="1" si="46"/>
        <v>3.0057179991743976</v>
      </c>
      <c r="N157" s="1486">
        <f t="shared" ca="1" si="47"/>
        <v>18436.262663075977</v>
      </c>
      <c r="O157" s="330">
        <f t="shared" ca="1" si="48"/>
        <v>480</v>
      </c>
      <c r="P157" s="1486">
        <f t="shared" ca="1" si="49"/>
        <v>8849.4060782764682</v>
      </c>
      <c r="Q157" s="1480">
        <f t="shared" ca="1" si="50"/>
        <v>2.7787375794589648</v>
      </c>
      <c r="R157" s="384">
        <f t="shared" ca="1" si="51"/>
        <v>3184.6857881410647</v>
      </c>
      <c r="S157" s="692" t="str">
        <f t="shared" ca="1" si="39"/>
        <v xml:space="preserve"> </v>
      </c>
      <c r="U157" s="1484">
        <f ca="1">IF($A157&gt;Endyr,0,VLOOKUP($A157,Tariff_Table,Tariff!$I$33))</f>
        <v>2.31</v>
      </c>
      <c r="V157" s="1480">
        <f t="shared" ca="1" si="40"/>
        <v>3.0057179991743976</v>
      </c>
      <c r="W157" s="1486">
        <f t="shared" ca="1" si="52"/>
        <v>6.9432085780928583</v>
      </c>
      <c r="X157" s="334">
        <f ca="1">VLOOKUP($A157,Plant_Table,'Plant Operations'!$M$270)</f>
        <v>289336.32000000001</v>
      </c>
      <c r="Y157" s="1006">
        <f t="shared" ca="1" si="53"/>
        <v>2008.9224189778204</v>
      </c>
      <c r="Z157" s="1480">
        <f t="shared" ca="1" si="54"/>
        <v>2.7787375794589648</v>
      </c>
      <c r="AA157" s="1480">
        <f t="shared" ca="1" si="41"/>
        <v>2.7787375794589648</v>
      </c>
      <c r="AB157" s="333">
        <f t="shared" ca="1" si="55"/>
        <v>2.498691718648991</v>
      </c>
      <c r="AC157" s="335">
        <f t="shared" ca="1" si="56"/>
        <v>722.96226668837448</v>
      </c>
      <c r="AD157" s="698" t="str">
        <f t="shared" ca="1" si="42"/>
        <v xml:space="preserve"> </v>
      </c>
    </row>
    <row r="158" spans="1:30">
      <c r="A158" s="672">
        <f>'Annex 12-Gas'!A158</f>
        <v>41395</v>
      </c>
      <c r="C158" s="1484">
        <f ca="1">IF($A158&gt;Endyr,0,VLOOKUP($A158,Tariff_Table,Tariff!$G$33))</f>
        <v>7433.43</v>
      </c>
      <c r="D158" s="1480">
        <f ca="1">VLOOKUP($A158,Curves_Table,Escalation!$AW$291)</f>
        <v>3.2201246356705386</v>
      </c>
      <c r="E158" s="1486">
        <f t="shared" ca="1" si="43"/>
        <v>23936.571070532453</v>
      </c>
      <c r="F158" s="330">
        <f ca="1">VLOOKUP($A158,Plant_Table,'Plant Operations'!$C$270)</f>
        <v>480</v>
      </c>
      <c r="G158" s="1486">
        <f t="shared" ca="1" si="44"/>
        <v>11489.554113855578</v>
      </c>
      <c r="H158" s="1480">
        <f ca="1">IF(Assm!$L$74=0,VLOOKUP($A158,Curves_Table,Escalation!$D$291),VLOOKUP($A158,Curves_Table,Escalation!$E$291))</f>
        <v>2.7833560043503622</v>
      </c>
      <c r="I158" s="384">
        <f t="shared" ca="1" si="45"/>
        <v>4127.9498906706513</v>
      </c>
      <c r="J158" s="692" t="str">
        <f t="shared" ca="1" si="38"/>
        <v xml:space="preserve"> </v>
      </c>
      <c r="L158" s="1484">
        <f ca="1">IF($A158&gt;Endyr,0,VLOOKUP($A158,Tariff_Table,Tariff!$H$33))</f>
        <v>6146.82</v>
      </c>
      <c r="M158" s="1480">
        <f t="shared" ca="1" si="46"/>
        <v>3.2201246356705386</v>
      </c>
      <c r="N158" s="1486">
        <f t="shared" ca="1" si="47"/>
        <v>19793.526513032379</v>
      </c>
      <c r="O158" s="330">
        <f t="shared" ca="1" si="48"/>
        <v>480</v>
      </c>
      <c r="P158" s="1486">
        <f t="shared" ca="1" si="49"/>
        <v>9500.8927262555408</v>
      </c>
      <c r="Q158" s="1480">
        <f t="shared" ca="1" si="50"/>
        <v>2.7833560043503622</v>
      </c>
      <c r="R158" s="384">
        <f t="shared" ca="1" si="51"/>
        <v>3413.4665890406131</v>
      </c>
      <c r="S158" s="692" t="str">
        <f t="shared" ca="1" si="39"/>
        <v xml:space="preserve"> </v>
      </c>
      <c r="U158" s="1484">
        <f ca="1">IF($A158&gt;Endyr,0,VLOOKUP($A158,Tariff_Table,Tariff!$I$33))</f>
        <v>2.3199999999999998</v>
      </c>
      <c r="V158" s="1480">
        <f t="shared" ca="1" si="40"/>
        <v>3.2201246356705386</v>
      </c>
      <c r="W158" s="1486">
        <f t="shared" ca="1" si="52"/>
        <v>7.4706891547556493</v>
      </c>
      <c r="X158" s="334">
        <f ca="1">VLOOKUP($A158,Plant_Table,'Plant Operations'!$M$270)</f>
        <v>298980.864</v>
      </c>
      <c r="Y158" s="1006">
        <f t="shared" ca="1" si="53"/>
        <v>2233.5930981642737</v>
      </c>
      <c r="Z158" s="1480">
        <f t="shared" ca="1" si="54"/>
        <v>2.7833560043503622</v>
      </c>
      <c r="AA158" s="1480">
        <f t="shared" ca="1" si="41"/>
        <v>2.7833560043503622</v>
      </c>
      <c r="AB158" s="333">
        <f t="shared" ca="1" si="55"/>
        <v>2.684058073447674</v>
      </c>
      <c r="AC158" s="335">
        <f t="shared" ca="1" si="56"/>
        <v>802.48200182556104</v>
      </c>
      <c r="AD158" s="698" t="str">
        <f t="shared" ca="1" si="42"/>
        <v xml:space="preserve"> </v>
      </c>
    </row>
    <row r="159" spans="1:30">
      <c r="A159" s="672">
        <f>'Annex 12-Gas'!A159</f>
        <v>41426</v>
      </c>
      <c r="C159" s="1484">
        <f ca="1">IF($A159&gt;Endyr,0,VLOOKUP($A159,Tariff_Table,Tariff!$G$33))</f>
        <v>7433.43</v>
      </c>
      <c r="D159" s="1480">
        <f ca="1">VLOOKUP($A159,Curves_Table,Escalation!$AW$291)</f>
        <v>3.2201246356705386</v>
      </c>
      <c r="E159" s="1486">
        <f t="shared" ca="1" si="43"/>
        <v>23936.571070532453</v>
      </c>
      <c r="F159" s="330">
        <f ca="1">VLOOKUP($A159,Plant_Table,'Plant Operations'!$C$270)</f>
        <v>480</v>
      </c>
      <c r="G159" s="1486">
        <f t="shared" ca="1" si="44"/>
        <v>11489.554113855578</v>
      </c>
      <c r="H159" s="1480">
        <f ca="1">IF(Assm!$L$74=0,VLOOKUP($A159,Curves_Table,Escalation!$D$291),VLOOKUP($A159,Curves_Table,Escalation!$E$291))</f>
        <v>2.7879821053349021</v>
      </c>
      <c r="I159" s="384">
        <f t="shared" ca="1" si="45"/>
        <v>4121.10038004545</v>
      </c>
      <c r="J159" s="692" t="str">
        <f t="shared" ca="1" si="38"/>
        <v xml:space="preserve"> </v>
      </c>
      <c r="L159" s="1484">
        <f ca="1">IF($A159&gt;Endyr,0,VLOOKUP($A159,Tariff_Table,Tariff!$H$33))</f>
        <v>6146.82</v>
      </c>
      <c r="M159" s="1480">
        <f t="shared" ca="1" si="46"/>
        <v>3.2201246356705386</v>
      </c>
      <c r="N159" s="1486">
        <f t="shared" ca="1" si="47"/>
        <v>19793.526513032379</v>
      </c>
      <c r="O159" s="330">
        <f t="shared" ca="1" si="48"/>
        <v>480</v>
      </c>
      <c r="P159" s="1486">
        <f t="shared" ca="1" si="49"/>
        <v>9500.8927262555408</v>
      </c>
      <c r="Q159" s="1480">
        <f t="shared" ca="1" si="50"/>
        <v>2.7879821053349021</v>
      </c>
      <c r="R159" s="384">
        <f t="shared" ca="1" si="51"/>
        <v>3407.8026211413794</v>
      </c>
      <c r="S159" s="692" t="str">
        <f t="shared" ca="1" si="39"/>
        <v xml:space="preserve"> </v>
      </c>
      <c r="U159" s="1484">
        <f ca="1">IF($A159&gt;Endyr,0,VLOOKUP($A159,Tariff_Table,Tariff!$I$33))</f>
        <v>2.3199999999999998</v>
      </c>
      <c r="V159" s="1480">
        <f t="shared" ca="1" si="40"/>
        <v>3.2201246356705386</v>
      </c>
      <c r="W159" s="1486">
        <f t="shared" ca="1" si="52"/>
        <v>7.4706891547556493</v>
      </c>
      <c r="X159" s="334">
        <f ca="1">VLOOKUP($A159,Plant_Table,'Plant Operations'!$M$270)</f>
        <v>289336.32000000001</v>
      </c>
      <c r="Y159" s="1006">
        <f t="shared" ca="1" si="53"/>
        <v>2161.5417079009103</v>
      </c>
      <c r="Z159" s="1480">
        <f t="shared" ca="1" si="54"/>
        <v>2.7879821053349021</v>
      </c>
      <c r="AA159" s="1480">
        <f t="shared" ca="1" si="41"/>
        <v>2.7879821053349021</v>
      </c>
      <c r="AB159" s="333">
        <f t="shared" ca="1" si="55"/>
        <v>2.6796044136941273</v>
      </c>
      <c r="AC159" s="335">
        <f t="shared" ca="1" si="56"/>
        <v>775.30688011401651</v>
      </c>
      <c r="AD159" s="698" t="str">
        <f t="shared" ca="1" si="42"/>
        <v xml:space="preserve"> </v>
      </c>
    </row>
    <row r="160" spans="1:30">
      <c r="A160" s="672">
        <f>'Annex 12-Gas'!A160</f>
        <v>41456</v>
      </c>
      <c r="C160" s="1484">
        <f ca="1">IF($A160&gt;Endyr,0,VLOOKUP($A160,Tariff_Table,Tariff!$G$33))</f>
        <v>7433.43</v>
      </c>
      <c r="D160" s="1480">
        <f ca="1">VLOOKUP($A160,Curves_Table,Escalation!$AW$291)</f>
        <v>3.2201246356705386</v>
      </c>
      <c r="E160" s="1486">
        <f t="shared" ca="1" si="43"/>
        <v>23936.571070532453</v>
      </c>
      <c r="F160" s="330">
        <f ca="1">VLOOKUP($A160,Plant_Table,'Plant Operations'!$C$270)</f>
        <v>480</v>
      </c>
      <c r="G160" s="1486">
        <f t="shared" ca="1" si="44"/>
        <v>11489.554113855578</v>
      </c>
      <c r="H160" s="1480">
        <f ca="1">IF(Assm!$L$74=0,VLOOKUP($A160,Curves_Table,Escalation!$D$291),VLOOKUP($A160,Curves_Table,Escalation!$E$291))</f>
        <v>2.7926158951707012</v>
      </c>
      <c r="I160" s="384">
        <f t="shared" ca="1" si="45"/>
        <v>4114.2622348188233</v>
      </c>
      <c r="J160" s="692" t="str">
        <f t="shared" ca="1" si="38"/>
        <v xml:space="preserve"> </v>
      </c>
      <c r="L160" s="1484">
        <f ca="1">IF($A160&gt;Endyr,0,VLOOKUP($A160,Tariff_Table,Tariff!$H$33))</f>
        <v>6146.82</v>
      </c>
      <c r="M160" s="1480">
        <f t="shared" ca="1" si="46"/>
        <v>3.2201246356705386</v>
      </c>
      <c r="N160" s="1486">
        <f t="shared" ca="1" si="47"/>
        <v>19793.526513032379</v>
      </c>
      <c r="O160" s="330">
        <f t="shared" ca="1" si="48"/>
        <v>480</v>
      </c>
      <c r="P160" s="1486">
        <f t="shared" ca="1" si="49"/>
        <v>9500.8927262555408</v>
      </c>
      <c r="Q160" s="1480">
        <f t="shared" ca="1" si="50"/>
        <v>2.7926158951707012</v>
      </c>
      <c r="R160" s="384">
        <f t="shared" ca="1" si="51"/>
        <v>3402.1480514687073</v>
      </c>
      <c r="S160" s="692" t="str">
        <f t="shared" ca="1" si="39"/>
        <v xml:space="preserve"> </v>
      </c>
      <c r="U160" s="1484">
        <f ca="1">IF($A160&gt;Endyr,0,VLOOKUP($A160,Tariff_Table,Tariff!$I$33))</f>
        <v>2.3199999999999998</v>
      </c>
      <c r="V160" s="1480">
        <f t="shared" ca="1" si="40"/>
        <v>3.2201246356705386</v>
      </c>
      <c r="W160" s="1486">
        <f t="shared" ca="1" si="52"/>
        <v>7.4706891547556493</v>
      </c>
      <c r="X160" s="334">
        <f ca="1">VLOOKUP($A160,Plant_Table,'Plant Operations'!$M$270)</f>
        <v>298980.864</v>
      </c>
      <c r="Y160" s="1006">
        <f t="shared" ca="1" si="53"/>
        <v>2233.5930981642737</v>
      </c>
      <c r="Z160" s="1480">
        <f t="shared" ca="1" si="54"/>
        <v>2.7926158951707012</v>
      </c>
      <c r="AA160" s="1480">
        <f t="shared" ca="1" si="41"/>
        <v>2.7926158951707012</v>
      </c>
      <c r="AB160" s="333">
        <f t="shared" ca="1" si="55"/>
        <v>2.6751581439018475</v>
      </c>
      <c r="AC160" s="335">
        <f t="shared" ca="1" si="56"/>
        <v>799.8210932004107</v>
      </c>
      <c r="AD160" s="698" t="str">
        <f t="shared" ca="1" si="42"/>
        <v xml:space="preserve"> </v>
      </c>
    </row>
    <row r="161" spans="1:30">
      <c r="A161" s="672">
        <f>'Annex 12-Gas'!A161</f>
        <v>41487</v>
      </c>
      <c r="C161" s="1484">
        <f ca="1">IF($A161&gt;Endyr,0,VLOOKUP($A161,Tariff_Table,Tariff!$G$33))</f>
        <v>7433.43</v>
      </c>
      <c r="D161" s="1480">
        <f ca="1">VLOOKUP($A161,Curves_Table,Escalation!$AW$291)</f>
        <v>3.2201246356705386</v>
      </c>
      <c r="E161" s="1486">
        <f t="shared" ca="1" si="43"/>
        <v>23936.571070532453</v>
      </c>
      <c r="F161" s="330">
        <f ca="1">VLOOKUP($A161,Plant_Table,'Plant Operations'!$C$270)</f>
        <v>480</v>
      </c>
      <c r="G161" s="1486">
        <f t="shared" ca="1" si="44"/>
        <v>11489.554113855578</v>
      </c>
      <c r="H161" s="1480">
        <f ca="1">IF(Assm!$L$74=0,VLOOKUP($A161,Curves_Table,Escalation!$D$291),VLOOKUP($A161,Curves_Table,Escalation!$E$291))</f>
        <v>2.7972573866370816</v>
      </c>
      <c r="I161" s="384">
        <f t="shared" ca="1" si="45"/>
        <v>4107.4354361321566</v>
      </c>
      <c r="J161" s="692" t="str">
        <f t="shared" ca="1" si="38"/>
        <v xml:space="preserve"> </v>
      </c>
      <c r="L161" s="1484">
        <f ca="1">IF($A161&gt;Endyr,0,VLOOKUP($A161,Tariff_Table,Tariff!$H$33))</f>
        <v>6146.82</v>
      </c>
      <c r="M161" s="1480">
        <f t="shared" ca="1" si="46"/>
        <v>3.2201246356705386</v>
      </c>
      <c r="N161" s="1486">
        <f t="shared" ca="1" si="47"/>
        <v>19793.526513032379</v>
      </c>
      <c r="O161" s="330">
        <f t="shared" ca="1" si="48"/>
        <v>480</v>
      </c>
      <c r="P161" s="1486">
        <f t="shared" ca="1" si="49"/>
        <v>9500.8927262555408</v>
      </c>
      <c r="Q161" s="1480">
        <f t="shared" ca="1" si="50"/>
        <v>2.7972573866370816</v>
      </c>
      <c r="R161" s="384">
        <f t="shared" ca="1" si="51"/>
        <v>3396.5028644281115</v>
      </c>
      <c r="S161" s="692" t="str">
        <f t="shared" ca="1" si="39"/>
        <v xml:space="preserve"> </v>
      </c>
      <c r="U161" s="1484">
        <f ca="1">IF($A161&gt;Endyr,0,VLOOKUP($A161,Tariff_Table,Tariff!$I$33))</f>
        <v>2.3199999999999998</v>
      </c>
      <c r="V161" s="1480">
        <f t="shared" ca="1" si="40"/>
        <v>3.2201246356705386</v>
      </c>
      <c r="W161" s="1486">
        <f t="shared" ca="1" si="52"/>
        <v>7.4706891547556493</v>
      </c>
      <c r="X161" s="334">
        <f ca="1">VLOOKUP($A161,Plant_Table,'Plant Operations'!$M$270)</f>
        <v>298980.864</v>
      </c>
      <c r="Y161" s="1006">
        <f t="shared" ca="1" si="53"/>
        <v>2233.5930981642737</v>
      </c>
      <c r="Z161" s="1480">
        <f t="shared" ca="1" si="54"/>
        <v>2.7972573866370816</v>
      </c>
      <c r="AA161" s="1480">
        <f t="shared" ca="1" si="41"/>
        <v>2.7972573866370816</v>
      </c>
      <c r="AB161" s="333">
        <f t="shared" ca="1" si="55"/>
        <v>2.6707192518086655</v>
      </c>
      <c r="AC161" s="335">
        <f t="shared" ca="1" si="56"/>
        <v>798.49394940718832</v>
      </c>
      <c r="AD161" s="698" t="str">
        <f t="shared" ca="1" si="42"/>
        <v xml:space="preserve"> </v>
      </c>
    </row>
    <row r="162" spans="1:30">
      <c r="A162" s="672">
        <f>'Annex 12-Gas'!A162</f>
        <v>41518</v>
      </c>
      <c r="C162" s="1484">
        <f ca="1">IF($A162&gt;Endyr,0,VLOOKUP($A162,Tariff_Table,Tariff!$G$33))</f>
        <v>7433.43</v>
      </c>
      <c r="D162" s="1480">
        <f ca="1">VLOOKUP($A162,Curves_Table,Escalation!$AW$291)</f>
        <v>3.2201246356705386</v>
      </c>
      <c r="E162" s="1486">
        <f t="shared" ca="1" si="43"/>
        <v>23936.571070532453</v>
      </c>
      <c r="F162" s="330">
        <f ca="1">VLOOKUP($A162,Plant_Table,'Plant Operations'!$C$270)</f>
        <v>480</v>
      </c>
      <c r="G162" s="1486">
        <f t="shared" ca="1" si="44"/>
        <v>11489.554113855578</v>
      </c>
      <c r="H162" s="1480">
        <f ca="1">IF(Assm!$L$74=0,VLOOKUP($A162,Curves_Table,Escalation!$D$291),VLOOKUP($A162,Curves_Table,Escalation!$E$291))</f>
        <v>2.8019065925346047</v>
      </c>
      <c r="I162" s="384">
        <f t="shared" ca="1" si="45"/>
        <v>4100.6199651581273</v>
      </c>
      <c r="J162" s="692" t="str">
        <f t="shared" ca="1" si="38"/>
        <v xml:space="preserve"> </v>
      </c>
      <c r="L162" s="1484">
        <f ca="1">IF($A162&gt;Endyr,0,VLOOKUP($A162,Tariff_Table,Tariff!$H$33))</f>
        <v>6146.82</v>
      </c>
      <c r="M162" s="1480">
        <f t="shared" ca="1" si="46"/>
        <v>3.2201246356705386</v>
      </c>
      <c r="N162" s="1486">
        <f t="shared" ca="1" si="47"/>
        <v>19793.526513032379</v>
      </c>
      <c r="O162" s="330">
        <f t="shared" ca="1" si="48"/>
        <v>480</v>
      </c>
      <c r="P162" s="1486">
        <f t="shared" ca="1" si="49"/>
        <v>9500.8927262555408</v>
      </c>
      <c r="Q162" s="1480">
        <f t="shared" ca="1" si="50"/>
        <v>2.8019065925346047</v>
      </c>
      <c r="R162" s="384">
        <f t="shared" ca="1" si="51"/>
        <v>3390.8670444509835</v>
      </c>
      <c r="S162" s="692" t="str">
        <f t="shared" ca="1" si="39"/>
        <v xml:space="preserve"> </v>
      </c>
      <c r="U162" s="1484">
        <f ca="1">IF($A162&gt;Endyr,0,VLOOKUP($A162,Tariff_Table,Tariff!$I$33))</f>
        <v>2.3199999999999998</v>
      </c>
      <c r="V162" s="1480">
        <f t="shared" ca="1" si="40"/>
        <v>3.2201246356705386</v>
      </c>
      <c r="W162" s="1486">
        <f t="shared" ca="1" si="52"/>
        <v>7.4706891547556493</v>
      </c>
      <c r="X162" s="334">
        <f ca="1">VLOOKUP($A162,Plant_Table,'Plant Operations'!$M$270)</f>
        <v>289336.32000000001</v>
      </c>
      <c r="Y162" s="1006">
        <f t="shared" ca="1" si="53"/>
        <v>2161.5417079009103</v>
      </c>
      <c r="Z162" s="1480">
        <f t="shared" ca="1" si="54"/>
        <v>2.8019065925346047</v>
      </c>
      <c r="AA162" s="1480">
        <f t="shared" ca="1" si="41"/>
        <v>2.8019065925346047</v>
      </c>
      <c r="AB162" s="333">
        <f t="shared" ca="1" si="55"/>
        <v>2.6662877251727597</v>
      </c>
      <c r="AC162" s="335">
        <f t="shared" ca="1" si="56"/>
        <v>771.45387846265771</v>
      </c>
      <c r="AD162" s="698" t="str">
        <f t="shared" ca="1" si="42"/>
        <v xml:space="preserve"> </v>
      </c>
    </row>
    <row r="163" spans="1:30">
      <c r="A163" s="672">
        <f>'Annex 12-Gas'!A163</f>
        <v>41548</v>
      </c>
      <c r="C163" s="1484">
        <f ca="1">IF($A163&gt;Endyr,0,VLOOKUP($A163,Tariff_Table,Tariff!$G$33))</f>
        <v>7433.43</v>
      </c>
      <c r="D163" s="1480">
        <f ca="1">VLOOKUP($A163,Curves_Table,Escalation!$AW$291)</f>
        <v>3.2201246356705386</v>
      </c>
      <c r="E163" s="1486">
        <f t="shared" ca="1" si="43"/>
        <v>23936.571070532453</v>
      </c>
      <c r="F163" s="330">
        <f ca="1">VLOOKUP($A163,Plant_Table,'Plant Operations'!$C$270)</f>
        <v>480</v>
      </c>
      <c r="G163" s="1486">
        <f t="shared" ca="1" si="44"/>
        <v>11489.554113855578</v>
      </c>
      <c r="H163" s="1480">
        <f ca="1">IF(Assm!$L$74=0,VLOOKUP($A163,Curves_Table,Escalation!$D$291),VLOOKUP($A163,Curves_Table,Escalation!$E$291))</f>
        <v>2.8065635256851085</v>
      </c>
      <c r="I163" s="384">
        <f t="shared" ca="1" si="45"/>
        <v>4093.8158031006515</v>
      </c>
      <c r="J163" s="692" t="str">
        <f t="shared" ca="1" si="38"/>
        <v xml:space="preserve"> </v>
      </c>
      <c r="L163" s="1484">
        <f ca="1">IF($A163&gt;Endyr,0,VLOOKUP($A163,Tariff_Table,Tariff!$H$33))</f>
        <v>6146.82</v>
      </c>
      <c r="M163" s="1480">
        <f t="shared" ca="1" si="46"/>
        <v>3.2201246356705386</v>
      </c>
      <c r="N163" s="1486">
        <f t="shared" ca="1" si="47"/>
        <v>19793.526513032379</v>
      </c>
      <c r="O163" s="330">
        <f t="shared" ca="1" si="48"/>
        <v>480</v>
      </c>
      <c r="P163" s="1486">
        <f t="shared" ca="1" si="49"/>
        <v>9500.8927262555408</v>
      </c>
      <c r="Q163" s="1480">
        <f t="shared" ca="1" si="50"/>
        <v>2.8065635256851085</v>
      </c>
      <c r="R163" s="384">
        <f t="shared" ca="1" si="51"/>
        <v>3385.2405759945459</v>
      </c>
      <c r="S163" s="692" t="str">
        <f t="shared" ca="1" si="39"/>
        <v xml:space="preserve"> </v>
      </c>
      <c r="U163" s="1484">
        <f ca="1">IF($A163&gt;Endyr,0,VLOOKUP($A163,Tariff_Table,Tariff!$I$33))</f>
        <v>2.3199999999999998</v>
      </c>
      <c r="V163" s="1480">
        <f t="shared" ca="1" si="40"/>
        <v>3.2201246356705386</v>
      </c>
      <c r="W163" s="1486">
        <f t="shared" ca="1" si="52"/>
        <v>7.4706891547556493</v>
      </c>
      <c r="X163" s="334">
        <f ca="1">VLOOKUP($A163,Plant_Table,'Plant Operations'!$M$270)</f>
        <v>298980.864</v>
      </c>
      <c r="Y163" s="1006">
        <f t="shared" ca="1" si="53"/>
        <v>2233.5930981642737</v>
      </c>
      <c r="Z163" s="1480">
        <f t="shared" ca="1" si="54"/>
        <v>2.8065635256851085</v>
      </c>
      <c r="AA163" s="1480">
        <f t="shared" ca="1" si="41"/>
        <v>2.8065635256851085</v>
      </c>
      <c r="AB163" s="333">
        <f t="shared" ca="1" si="55"/>
        <v>2.6618635517726199</v>
      </c>
      <c r="AC163" s="335">
        <f t="shared" ca="1" si="56"/>
        <v>795.84626455908665</v>
      </c>
      <c r="AD163" s="698" t="str">
        <f t="shared" ca="1" si="42"/>
        <v xml:space="preserve"> </v>
      </c>
    </row>
    <row r="164" spans="1:30">
      <c r="A164" s="672">
        <f>'Annex 12-Gas'!A164</f>
        <v>41579</v>
      </c>
      <c r="C164" s="1484">
        <f ca="1">IF($A164&gt;Endyr,0,VLOOKUP($A164,Tariff_Table,Tariff!$G$33))</f>
        <v>7433.43</v>
      </c>
      <c r="D164" s="1480">
        <f ca="1">VLOOKUP($A164,Curves_Table,Escalation!$AW$291)</f>
        <v>3.2201246356705386</v>
      </c>
      <c r="E164" s="1486">
        <f t="shared" ca="1" si="43"/>
        <v>23936.571070532453</v>
      </c>
      <c r="F164" s="330">
        <f ca="1">VLOOKUP($A164,Plant_Table,'Plant Operations'!$C$270)</f>
        <v>480</v>
      </c>
      <c r="G164" s="1486">
        <f t="shared" ca="1" si="44"/>
        <v>11489.554113855578</v>
      </c>
      <c r="H164" s="1480">
        <f ca="1">IF(Assm!$L$74=0,VLOOKUP($A164,Curves_Table,Escalation!$D$291),VLOOKUP($A164,Curves_Table,Escalation!$E$291))</f>
        <v>2.8112281989317403</v>
      </c>
      <c r="I164" s="384">
        <f t="shared" ca="1" si="45"/>
        <v>4087.0229311948351</v>
      </c>
      <c r="J164" s="692" t="str">
        <f t="shared" ca="1" si="38"/>
        <v xml:space="preserve"> </v>
      </c>
      <c r="L164" s="1484">
        <f ca="1">IF($A164&gt;Endyr,0,VLOOKUP($A164,Tariff_Table,Tariff!$H$33))</f>
        <v>6146.82</v>
      </c>
      <c r="M164" s="1480">
        <f t="shared" ca="1" si="46"/>
        <v>3.2201246356705386</v>
      </c>
      <c r="N164" s="1486">
        <f t="shared" ca="1" si="47"/>
        <v>19793.526513032379</v>
      </c>
      <c r="O164" s="330">
        <f t="shared" ca="1" si="48"/>
        <v>480</v>
      </c>
      <c r="P164" s="1486">
        <f t="shared" ca="1" si="49"/>
        <v>9500.8927262555408</v>
      </c>
      <c r="Q164" s="1480">
        <f t="shared" ca="1" si="50"/>
        <v>2.8112281989317403</v>
      </c>
      <c r="R164" s="384">
        <f t="shared" ca="1" si="51"/>
        <v>3379.6234435418146</v>
      </c>
      <c r="S164" s="692" t="str">
        <f t="shared" ca="1" si="39"/>
        <v xml:space="preserve"> </v>
      </c>
      <c r="U164" s="1484">
        <f ca="1">IF($A164&gt;Endyr,0,VLOOKUP($A164,Tariff_Table,Tariff!$I$33))</f>
        <v>2.3199999999999998</v>
      </c>
      <c r="V164" s="1480">
        <f t="shared" ca="1" si="40"/>
        <v>3.2201246356705386</v>
      </c>
      <c r="W164" s="1486">
        <f t="shared" ca="1" si="52"/>
        <v>7.4706891547556493</v>
      </c>
      <c r="X164" s="334">
        <f ca="1">VLOOKUP($A164,Plant_Table,'Plant Operations'!$M$270)</f>
        <v>289336.32000000001</v>
      </c>
      <c r="Y164" s="1006">
        <f t="shared" ca="1" si="53"/>
        <v>2161.5417079009103</v>
      </c>
      <c r="Z164" s="1480">
        <f t="shared" ca="1" si="54"/>
        <v>2.8112281989317403</v>
      </c>
      <c r="AA164" s="1480">
        <f t="shared" ca="1" si="41"/>
        <v>2.8112281989317403</v>
      </c>
      <c r="AB164" s="333">
        <f t="shared" ca="1" si="55"/>
        <v>2.6574467194070168</v>
      </c>
      <c r="AC164" s="335">
        <f t="shared" ca="1" si="56"/>
        <v>768.89585438929885</v>
      </c>
      <c r="AD164" s="698" t="str">
        <f t="shared" ca="1" si="42"/>
        <v xml:space="preserve"> </v>
      </c>
    </row>
    <row r="165" spans="1:30">
      <c r="A165" s="672">
        <f>'Annex 12-Gas'!A165</f>
        <v>41609</v>
      </c>
      <c r="C165" s="1484">
        <f ca="1">IF($A165&gt;Endyr,0,VLOOKUP($A165,Tariff_Table,Tariff!$G$33))</f>
        <v>7433.43</v>
      </c>
      <c r="D165" s="1480">
        <f ca="1">VLOOKUP($A165,Curves_Table,Escalation!$AW$291)</f>
        <v>3.2201246356705386</v>
      </c>
      <c r="E165" s="1486">
        <f t="shared" ca="1" si="43"/>
        <v>23936.571070532453</v>
      </c>
      <c r="F165" s="330">
        <f ca="1">VLOOKUP($A165,Plant_Table,'Plant Operations'!$C$270)</f>
        <v>480</v>
      </c>
      <c r="G165" s="1486">
        <f t="shared" ca="1" si="44"/>
        <v>11489.554113855578</v>
      </c>
      <c r="H165" s="1480">
        <f ca="1">IF(Assm!$L$74=0,VLOOKUP($A165,Curves_Table,Escalation!$D$291),VLOOKUP($A165,Curves_Table,Escalation!$E$291))</f>
        <v>2.8159006251389909</v>
      </c>
      <c r="I165" s="384">
        <f t="shared" ca="1" si="45"/>
        <v>4080.2413307069251</v>
      </c>
      <c r="J165" s="692">
        <f t="shared" ca="1" si="38"/>
        <v>48300.656049068726</v>
      </c>
      <c r="L165" s="1484">
        <f ca="1">IF($A165&gt;Endyr,0,VLOOKUP($A165,Tariff_Table,Tariff!$H$33))</f>
        <v>6146.82</v>
      </c>
      <c r="M165" s="1480">
        <f t="shared" ca="1" si="46"/>
        <v>3.2201246356705386</v>
      </c>
      <c r="N165" s="1486">
        <f t="shared" ca="1" si="47"/>
        <v>19793.526513032379</v>
      </c>
      <c r="O165" s="330">
        <f t="shared" ca="1" si="48"/>
        <v>480</v>
      </c>
      <c r="P165" s="1486">
        <f t="shared" ca="1" si="49"/>
        <v>9500.8927262555408</v>
      </c>
      <c r="Q165" s="1480">
        <f t="shared" ca="1" si="50"/>
        <v>2.8159006251389909</v>
      </c>
      <c r="R165" s="384">
        <f t="shared" ca="1" si="51"/>
        <v>3374.0156316015532</v>
      </c>
      <c r="S165" s="692">
        <f t="shared" ca="1" si="39"/>
        <v>39920.203986647539</v>
      </c>
      <c r="U165" s="1484">
        <f ca="1">IF($A165&gt;Endyr,0,VLOOKUP($A165,Tariff_Table,Tariff!$I$33))</f>
        <v>2.3199999999999998</v>
      </c>
      <c r="V165" s="1480">
        <f t="shared" ca="1" si="40"/>
        <v>3.2201246356705386</v>
      </c>
      <c r="W165" s="1486">
        <f t="shared" ca="1" si="52"/>
        <v>7.4706891547556493</v>
      </c>
      <c r="X165" s="334">
        <f ca="1">VLOOKUP($A165,Plant_Table,'Plant Operations'!$M$270)</f>
        <v>298980.864</v>
      </c>
      <c r="Y165" s="1006">
        <f t="shared" ca="1" si="53"/>
        <v>2233.5930981642737</v>
      </c>
      <c r="Z165" s="1480">
        <f t="shared" ca="1" si="54"/>
        <v>2.8159006251389909</v>
      </c>
      <c r="AA165" s="1480">
        <f t="shared" ca="1" si="41"/>
        <v>2.8159006251389909</v>
      </c>
      <c r="AB165" s="333">
        <f t="shared" ca="1" si="55"/>
        <v>2.6530372158949684</v>
      </c>
      <c r="AC165" s="335">
        <f t="shared" ca="1" si="56"/>
        <v>793.20735903243212</v>
      </c>
      <c r="AD165" s="698">
        <f t="shared" ca="1" si="42"/>
        <v>9204.5740405318447</v>
      </c>
    </row>
    <row r="166" spans="1:30">
      <c r="A166" s="672">
        <f>'Annex 12-Gas'!A166</f>
        <v>41640</v>
      </c>
      <c r="C166" s="1484">
        <f ca="1">IF($A166&gt;Endyr,0,VLOOKUP($A166,Tariff_Table,Tariff!$G$33))</f>
        <v>7433.43</v>
      </c>
      <c r="D166" s="1480">
        <f ca="1">VLOOKUP($A166,Curves_Table,Escalation!$AW$291)</f>
        <v>3.2201246356705386</v>
      </c>
      <c r="E166" s="1486">
        <f t="shared" ca="1" si="43"/>
        <v>23936.571070532453</v>
      </c>
      <c r="F166" s="330">
        <f ca="1">VLOOKUP($A166,Plant_Table,'Plant Operations'!$C$270)</f>
        <v>480</v>
      </c>
      <c r="G166" s="1486">
        <f t="shared" ca="1" si="44"/>
        <v>11489.554113855578</v>
      </c>
      <c r="H166" s="1480">
        <f ca="1">IF(Assm!$L$74=0,VLOOKUP($A166,Curves_Table,Escalation!$D$291),VLOOKUP($A166,Curves_Table,Escalation!$E$291))</f>
        <v>2.8205502274907825</v>
      </c>
      <c r="I166" s="384">
        <f t="shared" ca="1" si="45"/>
        <v>4073.5151609325935</v>
      </c>
      <c r="J166" s="692" t="str">
        <f t="shared" ca="1" si="38"/>
        <v xml:space="preserve"> </v>
      </c>
      <c r="L166" s="1484">
        <f ca="1">IF($A166&gt;Endyr,0,VLOOKUP($A166,Tariff_Table,Tariff!$H$33))</f>
        <v>6146.82</v>
      </c>
      <c r="M166" s="1480">
        <f t="shared" ca="1" si="46"/>
        <v>3.2201246356705386</v>
      </c>
      <c r="N166" s="1486">
        <f t="shared" ca="1" si="47"/>
        <v>19793.526513032379</v>
      </c>
      <c r="O166" s="330">
        <f t="shared" ca="1" si="48"/>
        <v>480</v>
      </c>
      <c r="P166" s="1486">
        <f t="shared" ca="1" si="49"/>
        <v>9500.8927262555408</v>
      </c>
      <c r="Q166" s="1480">
        <f t="shared" ca="1" si="50"/>
        <v>2.8205502274907825</v>
      </c>
      <c r="R166" s="384">
        <f t="shared" ca="1" si="51"/>
        <v>3368.4536561888222</v>
      </c>
      <c r="S166" s="692" t="str">
        <f t="shared" ca="1" si="39"/>
        <v xml:space="preserve"> </v>
      </c>
      <c r="U166" s="1484">
        <f ca="1">IF($A166&gt;Endyr,0,VLOOKUP($A166,Tariff_Table,Tariff!$I$33))</f>
        <v>2.3199999999999998</v>
      </c>
      <c r="V166" s="1480">
        <f t="shared" ca="1" si="40"/>
        <v>3.2201246356705386</v>
      </c>
      <c r="W166" s="1486">
        <f t="shared" ca="1" si="52"/>
        <v>7.4706891547556493</v>
      </c>
      <c r="X166" s="334">
        <f ca="1">VLOOKUP($A166,Plant_Table,'Plant Operations'!$M$270)</f>
        <v>298980.864</v>
      </c>
      <c r="Y166" s="1006">
        <f t="shared" ca="1" si="53"/>
        <v>2233.5930981642737</v>
      </c>
      <c r="Z166" s="1480">
        <f t="shared" ca="1" si="54"/>
        <v>2.8205502274907825</v>
      </c>
      <c r="AA166" s="1480">
        <f t="shared" ca="1" si="41"/>
        <v>2.8205502274907825</v>
      </c>
      <c r="AB166" s="333">
        <f t="shared" ca="1" si="55"/>
        <v>2.6486637543064506</v>
      </c>
      <c r="AC166" s="335">
        <f t="shared" ca="1" si="56"/>
        <v>791.89977770802625</v>
      </c>
      <c r="AD166" s="698" t="str">
        <f t="shared" ca="1" si="42"/>
        <v xml:space="preserve"> </v>
      </c>
    </row>
    <row r="167" spans="1:30">
      <c r="A167" s="672">
        <f>'Annex 12-Gas'!A167</f>
        <v>41671</v>
      </c>
      <c r="C167" s="1484">
        <f ca="1">IF($A167&gt;Endyr,0,VLOOKUP($A167,Tariff_Table,Tariff!$G$33))</f>
        <v>7433.43</v>
      </c>
      <c r="D167" s="1480">
        <f ca="1">VLOOKUP($A167,Curves_Table,Escalation!$AW$291)</f>
        <v>3.2201246356705386</v>
      </c>
      <c r="E167" s="1486">
        <f t="shared" ca="1" si="43"/>
        <v>23936.571070532453</v>
      </c>
      <c r="F167" s="330">
        <f ca="1">VLOOKUP($A167,Plant_Table,'Plant Operations'!$C$270)</f>
        <v>480</v>
      </c>
      <c r="G167" s="1486">
        <f t="shared" ca="1" si="44"/>
        <v>11489.554113855578</v>
      </c>
      <c r="H167" s="1480">
        <f ca="1">IF(Assm!$L$74=0,VLOOKUP($A167,Curves_Table,Escalation!$D$291),VLOOKUP($A167,Curves_Table,Escalation!$E$291))</f>
        <v>2.8252075072449077</v>
      </c>
      <c r="I167" s="384">
        <f t="shared" ca="1" si="45"/>
        <v>4066.8000790710016</v>
      </c>
      <c r="J167" s="692" t="str">
        <f t="shared" ca="1" si="38"/>
        <v xml:space="preserve"> </v>
      </c>
      <c r="L167" s="1484">
        <f ca="1">IF($A167&gt;Endyr,0,VLOOKUP($A167,Tariff_Table,Tariff!$H$33))</f>
        <v>6146.82</v>
      </c>
      <c r="M167" s="1480">
        <f t="shared" ca="1" si="46"/>
        <v>3.2201246356705386</v>
      </c>
      <c r="N167" s="1486">
        <f t="shared" ca="1" si="47"/>
        <v>19793.526513032379</v>
      </c>
      <c r="O167" s="330">
        <f t="shared" ca="1" si="48"/>
        <v>480</v>
      </c>
      <c r="P167" s="1486">
        <f t="shared" ca="1" si="49"/>
        <v>9500.8927262555408</v>
      </c>
      <c r="Q167" s="1480">
        <f t="shared" ca="1" si="50"/>
        <v>2.8252075072449077</v>
      </c>
      <c r="R167" s="384">
        <f t="shared" ca="1" si="51"/>
        <v>3362.9008495452581</v>
      </c>
      <c r="S167" s="692" t="str">
        <f t="shared" ca="1" si="39"/>
        <v xml:space="preserve"> </v>
      </c>
      <c r="U167" s="1484">
        <f ca="1">IF($A167&gt;Endyr,0,VLOOKUP($A167,Tariff_Table,Tariff!$I$33))</f>
        <v>2.3199999999999998</v>
      </c>
      <c r="V167" s="1480">
        <f t="shared" ca="1" si="40"/>
        <v>3.2201246356705386</v>
      </c>
      <c r="W167" s="1486">
        <f t="shared" ca="1" si="52"/>
        <v>7.4706891547556493</v>
      </c>
      <c r="X167" s="334">
        <f ca="1">VLOOKUP($A167,Plant_Table,'Plant Operations'!$M$270)</f>
        <v>270047.23200000002</v>
      </c>
      <c r="Y167" s="1006">
        <f t="shared" ca="1" si="53"/>
        <v>2017.4389273741829</v>
      </c>
      <c r="Z167" s="1480">
        <f t="shared" ca="1" si="54"/>
        <v>2.8252075072449077</v>
      </c>
      <c r="AA167" s="1480">
        <f t="shared" ca="1" si="41"/>
        <v>2.8252075072449077</v>
      </c>
      <c r="AB167" s="333">
        <f t="shared" ca="1" si="55"/>
        <v>2.6442975022535364</v>
      </c>
      <c r="AC167" s="335">
        <f t="shared" ca="1" si="56"/>
        <v>714.0852210680813</v>
      </c>
      <c r="AD167" s="698" t="str">
        <f t="shared" ca="1" si="42"/>
        <v xml:space="preserve"> </v>
      </c>
    </row>
    <row r="168" spans="1:30">
      <c r="A168" s="672">
        <f>'Annex 12-Gas'!A168</f>
        <v>41699</v>
      </c>
      <c r="C168" s="1484">
        <f ca="1">IF($A168&gt;Endyr,0,VLOOKUP($A168,Tariff_Table,Tariff!$G$33))</f>
        <v>7433.43</v>
      </c>
      <c r="D168" s="1480">
        <f ca="1">VLOOKUP($A168,Curves_Table,Escalation!$AW$291)</f>
        <v>3.2201246356705386</v>
      </c>
      <c r="E168" s="1486">
        <f t="shared" ca="1" si="43"/>
        <v>23936.571070532453</v>
      </c>
      <c r="F168" s="330">
        <f ca="1">VLOOKUP($A168,Plant_Table,'Plant Operations'!$C$270)</f>
        <v>480</v>
      </c>
      <c r="G168" s="1486">
        <f t="shared" ca="1" si="44"/>
        <v>11489.554113855578</v>
      </c>
      <c r="H168" s="1480">
        <f ca="1">IF(Assm!$L$74=0,VLOOKUP($A168,Curves_Table,Escalation!$D$291),VLOOKUP($A168,Curves_Table,Escalation!$E$291))</f>
        <v>2.8298724770782577</v>
      </c>
      <c r="I168" s="384">
        <f t="shared" ca="1" si="45"/>
        <v>4060.0960668440198</v>
      </c>
      <c r="J168" s="692" t="str">
        <f t="shared" ca="1" si="38"/>
        <v xml:space="preserve"> </v>
      </c>
      <c r="L168" s="1484">
        <f ca="1">IF($A168&gt;Endyr,0,VLOOKUP($A168,Tariff_Table,Tariff!$H$33))</f>
        <v>6146.82</v>
      </c>
      <c r="M168" s="1480">
        <f t="shared" ca="1" si="46"/>
        <v>3.2201246356705386</v>
      </c>
      <c r="N168" s="1486">
        <f t="shared" ca="1" si="47"/>
        <v>19793.526513032379</v>
      </c>
      <c r="O168" s="330">
        <f t="shared" ca="1" si="48"/>
        <v>480</v>
      </c>
      <c r="P168" s="1486">
        <f t="shared" ca="1" si="49"/>
        <v>9500.8927262555408</v>
      </c>
      <c r="Q168" s="1480">
        <f t="shared" ca="1" si="50"/>
        <v>2.8298724770782577</v>
      </c>
      <c r="R168" s="384">
        <f t="shared" ca="1" si="51"/>
        <v>3357.3571965563879</v>
      </c>
      <c r="S168" s="692" t="str">
        <f t="shared" ca="1" si="39"/>
        <v xml:space="preserve"> </v>
      </c>
      <c r="U168" s="1484">
        <f ca="1">IF($A168&gt;Endyr,0,VLOOKUP($A168,Tariff_Table,Tariff!$I$33))</f>
        <v>2.3199999999999998</v>
      </c>
      <c r="V168" s="1480">
        <f t="shared" ca="1" si="40"/>
        <v>3.2201246356705386</v>
      </c>
      <c r="W168" s="1486">
        <f t="shared" ca="1" si="52"/>
        <v>7.4706891547556493</v>
      </c>
      <c r="X168" s="334">
        <f ca="1">VLOOKUP($A168,Plant_Table,'Plant Operations'!$M$270)</f>
        <v>298980.864</v>
      </c>
      <c r="Y168" s="1006">
        <f t="shared" ca="1" si="53"/>
        <v>2233.5930981642737</v>
      </c>
      <c r="Z168" s="1480">
        <f t="shared" ca="1" si="54"/>
        <v>2.8298724770782577</v>
      </c>
      <c r="AA168" s="1480">
        <f t="shared" ca="1" si="41"/>
        <v>2.8298724770782577</v>
      </c>
      <c r="AB168" s="333">
        <f t="shared" ca="1" si="55"/>
        <v>2.639938447851498</v>
      </c>
      <c r="AC168" s="335">
        <f t="shared" ca="1" si="56"/>
        <v>789.29107804545981</v>
      </c>
      <c r="AD168" s="698" t="str">
        <f t="shared" ca="1" si="42"/>
        <v xml:space="preserve"> </v>
      </c>
    </row>
    <row r="169" spans="1:30">
      <c r="A169" s="672">
        <f>'Annex 12-Gas'!A169</f>
        <v>41730</v>
      </c>
      <c r="C169" s="1484">
        <f ca="1">IF($A169&gt;Endyr,0,VLOOKUP($A169,Tariff_Table,Tariff!$G$33))</f>
        <v>7433.43</v>
      </c>
      <c r="D169" s="1480">
        <f ca="1">VLOOKUP($A169,Curves_Table,Escalation!$AW$291)</f>
        <v>3.2201246356705386</v>
      </c>
      <c r="E169" s="1486">
        <f t="shared" ca="1" si="43"/>
        <v>23936.571070532453</v>
      </c>
      <c r="F169" s="330">
        <f ca="1">VLOOKUP($A169,Plant_Table,'Plant Operations'!$C$270)</f>
        <v>480</v>
      </c>
      <c r="G169" s="1486">
        <f t="shared" ca="1" si="44"/>
        <v>11489.554113855578</v>
      </c>
      <c r="H169" s="1480">
        <f ca="1">IF(Assm!$L$74=0,VLOOKUP($A169,Curves_Table,Escalation!$D$291),VLOOKUP($A169,Curves_Table,Escalation!$E$291))</f>
        <v>2.8345451496886573</v>
      </c>
      <c r="I169" s="384">
        <f t="shared" ca="1" si="45"/>
        <v>4053.4031060036477</v>
      </c>
      <c r="J169" s="692" t="str">
        <f t="shared" ca="1" si="38"/>
        <v xml:space="preserve"> </v>
      </c>
      <c r="L169" s="1484">
        <f ca="1">IF($A169&gt;Endyr,0,VLOOKUP($A169,Tariff_Table,Tariff!$H$33))</f>
        <v>6146.82</v>
      </c>
      <c r="M169" s="1480">
        <f t="shared" ca="1" si="46"/>
        <v>3.2201246356705386</v>
      </c>
      <c r="N169" s="1486">
        <f t="shared" ca="1" si="47"/>
        <v>19793.526513032379</v>
      </c>
      <c r="O169" s="330">
        <f t="shared" ca="1" si="48"/>
        <v>480</v>
      </c>
      <c r="P169" s="1486">
        <f t="shared" ca="1" si="49"/>
        <v>9500.8927262555408</v>
      </c>
      <c r="Q169" s="1480">
        <f t="shared" ca="1" si="50"/>
        <v>2.8345451496886573</v>
      </c>
      <c r="R169" s="384">
        <f t="shared" ca="1" si="51"/>
        <v>3351.8226821326539</v>
      </c>
      <c r="S169" s="692" t="str">
        <f t="shared" ca="1" si="39"/>
        <v xml:space="preserve"> </v>
      </c>
      <c r="U169" s="1484">
        <f ca="1">IF($A169&gt;Endyr,0,VLOOKUP($A169,Tariff_Table,Tariff!$I$33))</f>
        <v>2.3199999999999998</v>
      </c>
      <c r="V169" s="1480">
        <f t="shared" ca="1" si="40"/>
        <v>3.2201246356705386</v>
      </c>
      <c r="W169" s="1486">
        <f t="shared" ca="1" si="52"/>
        <v>7.4706891547556493</v>
      </c>
      <c r="X169" s="334">
        <f ca="1">VLOOKUP($A169,Plant_Table,'Plant Operations'!$M$270)</f>
        <v>289336.32000000001</v>
      </c>
      <c r="Y169" s="1006">
        <f t="shared" ca="1" si="53"/>
        <v>2161.5417079009103</v>
      </c>
      <c r="Z169" s="1480">
        <f t="shared" ca="1" si="54"/>
        <v>2.8345451496886573</v>
      </c>
      <c r="AA169" s="1480">
        <f t="shared" ca="1" si="41"/>
        <v>2.8345451496886573</v>
      </c>
      <c r="AB169" s="333">
        <f t="shared" ca="1" si="55"/>
        <v>2.6355865792351976</v>
      </c>
      <c r="AC169" s="335">
        <f t="shared" ca="1" si="56"/>
        <v>762.57092187730052</v>
      </c>
      <c r="AD169" s="698" t="str">
        <f t="shared" ca="1" si="42"/>
        <v xml:space="preserve"> </v>
      </c>
    </row>
    <row r="170" spans="1:30">
      <c r="A170" s="672">
        <f>'Annex 12-Gas'!A170</f>
        <v>41760</v>
      </c>
      <c r="C170" s="1484">
        <f ca="1">IF($A170&gt;Endyr,0,VLOOKUP($A170,Tariff_Table,Tariff!$G$33))</f>
        <v>7424.62</v>
      </c>
      <c r="D170" s="1480">
        <f ca="1">VLOOKUP($A170,Curves_Table,Escalation!$AW$291)</f>
        <v>3.445533360167476</v>
      </c>
      <c r="E170" s="1486">
        <f t="shared" ca="1" si="43"/>
        <v>25581.775896566647</v>
      </c>
      <c r="F170" s="330">
        <f ca="1">VLOOKUP($A170,Plant_Table,'Plant Operations'!$C$270)</f>
        <v>480</v>
      </c>
      <c r="G170" s="1486">
        <f t="shared" ca="1" si="44"/>
        <v>12279.252430351991</v>
      </c>
      <c r="H170" s="1480">
        <f ca="1">IF(Assm!$L$74=0,VLOOKUP($A170,Curves_Table,Escalation!$D$291),VLOOKUP($A170,Curves_Table,Escalation!$E$291))</f>
        <v>2.8392255377948965</v>
      </c>
      <c r="I170" s="384">
        <f t="shared" ca="1" si="45"/>
        <v>4324.8598136690316</v>
      </c>
      <c r="J170" s="692" t="str">
        <f t="shared" ca="1" si="38"/>
        <v xml:space="preserve"> </v>
      </c>
      <c r="L170" s="1484">
        <f ca="1">IF($A170&gt;Endyr,0,VLOOKUP($A170,Tariff_Table,Tariff!$H$33))</f>
        <v>6118.02</v>
      </c>
      <c r="M170" s="1480">
        <f t="shared" ca="1" si="46"/>
        <v>3.445533360167476</v>
      </c>
      <c r="N170" s="1486">
        <f t="shared" ca="1" si="47"/>
        <v>21079.842008171821</v>
      </c>
      <c r="O170" s="330">
        <f t="shared" ca="1" si="48"/>
        <v>480</v>
      </c>
      <c r="P170" s="1486">
        <f t="shared" ca="1" si="49"/>
        <v>10118.324163922474</v>
      </c>
      <c r="Q170" s="1480">
        <f t="shared" ca="1" si="50"/>
        <v>2.8392255377948965</v>
      </c>
      <c r="R170" s="384">
        <f t="shared" ca="1" si="51"/>
        <v>3563.7620291979124</v>
      </c>
      <c r="S170" s="692" t="str">
        <f t="shared" ca="1" si="39"/>
        <v xml:space="preserve"> </v>
      </c>
      <c r="U170" s="1484">
        <f ca="1">IF($A170&gt;Endyr,0,VLOOKUP($A170,Tariff_Table,Tariff!$I$33))</f>
        <v>2.31</v>
      </c>
      <c r="V170" s="1480">
        <f t="shared" ca="1" si="40"/>
        <v>3.445533360167476</v>
      </c>
      <c r="W170" s="1486">
        <f t="shared" ca="1" si="52"/>
        <v>7.9591820619868701</v>
      </c>
      <c r="X170" s="334">
        <f ca="1">VLOOKUP($A170,Plant_Table,'Plant Operations'!$M$270)</f>
        <v>298980.864</v>
      </c>
      <c r="Y170" s="1006">
        <f t="shared" ca="1" si="53"/>
        <v>2379.6431296261358</v>
      </c>
      <c r="Z170" s="1480">
        <f t="shared" ca="1" si="54"/>
        <v>2.8392255377948965</v>
      </c>
      <c r="AA170" s="1480">
        <f t="shared" ca="1" si="41"/>
        <v>2.8392255377948965</v>
      </c>
      <c r="AB170" s="333">
        <f t="shared" ca="1" si="55"/>
        <v>2.8032933474416484</v>
      </c>
      <c r="AC170" s="335">
        <f t="shared" ca="1" si="56"/>
        <v>838.1310670635562</v>
      </c>
      <c r="AD170" s="698" t="str">
        <f t="shared" ca="1" si="42"/>
        <v xml:space="preserve"> </v>
      </c>
    </row>
    <row r="171" spans="1:30">
      <c r="A171" s="672">
        <f>'Annex 12-Gas'!A171</f>
        <v>41791</v>
      </c>
      <c r="C171" s="1484">
        <f ca="1">IF($A171&gt;Endyr,0,VLOOKUP($A171,Tariff_Table,Tariff!$G$33))</f>
        <v>7424.62</v>
      </c>
      <c r="D171" s="1480">
        <f ca="1">VLOOKUP($A171,Curves_Table,Escalation!$AW$291)</f>
        <v>3.445533360167476</v>
      </c>
      <c r="E171" s="1486">
        <f t="shared" ca="1" si="43"/>
        <v>25581.775896566647</v>
      </c>
      <c r="F171" s="330">
        <f ca="1">VLOOKUP($A171,Plant_Table,'Plant Operations'!$C$270)</f>
        <v>480</v>
      </c>
      <c r="G171" s="1486">
        <f t="shared" ca="1" si="44"/>
        <v>12279.252430351991</v>
      </c>
      <c r="H171" s="1480">
        <f ca="1">IF(Assm!$L$74=0,VLOOKUP($A171,Curves_Table,Escalation!$D$291),VLOOKUP($A171,Curves_Table,Escalation!$E$291))</f>
        <v>2.8439136541367671</v>
      </c>
      <c r="I171" s="384">
        <f t="shared" ca="1" si="45"/>
        <v>4317.7303968039068</v>
      </c>
      <c r="J171" s="692" t="str">
        <f t="shared" ca="1" si="38"/>
        <v xml:space="preserve"> </v>
      </c>
      <c r="L171" s="1484">
        <f ca="1">IF($A171&gt;Endyr,0,VLOOKUP($A171,Tariff_Table,Tariff!$H$33))</f>
        <v>6118.02</v>
      </c>
      <c r="M171" s="1480">
        <f t="shared" ca="1" si="46"/>
        <v>3.445533360167476</v>
      </c>
      <c r="N171" s="1486">
        <f t="shared" ca="1" si="47"/>
        <v>21079.842008171821</v>
      </c>
      <c r="O171" s="330">
        <f t="shared" ca="1" si="48"/>
        <v>480</v>
      </c>
      <c r="P171" s="1486">
        <f t="shared" ca="1" si="49"/>
        <v>10118.324163922474</v>
      </c>
      <c r="Q171" s="1480">
        <f t="shared" ca="1" si="50"/>
        <v>2.8439136541367671</v>
      </c>
      <c r="R171" s="384">
        <f t="shared" ca="1" si="51"/>
        <v>3557.8872618739051</v>
      </c>
      <c r="S171" s="692" t="str">
        <f t="shared" ca="1" si="39"/>
        <v xml:space="preserve"> </v>
      </c>
      <c r="U171" s="1484">
        <f ca="1">IF($A171&gt;Endyr,0,VLOOKUP($A171,Tariff_Table,Tariff!$I$33))</f>
        <v>2.31</v>
      </c>
      <c r="V171" s="1480">
        <f t="shared" ca="1" si="40"/>
        <v>3.445533360167476</v>
      </c>
      <c r="W171" s="1486">
        <f t="shared" ca="1" si="52"/>
        <v>7.9591820619868701</v>
      </c>
      <c r="X171" s="334">
        <f ca="1">VLOOKUP($A171,Plant_Table,'Plant Operations'!$M$270)</f>
        <v>289336.32000000001</v>
      </c>
      <c r="Y171" s="1006">
        <f t="shared" ca="1" si="53"/>
        <v>2302.8804480252929</v>
      </c>
      <c r="Z171" s="1480">
        <f t="shared" ca="1" si="54"/>
        <v>2.8439136541367671</v>
      </c>
      <c r="AA171" s="1480">
        <f t="shared" ca="1" si="41"/>
        <v>2.8439136541367671</v>
      </c>
      <c r="AB171" s="333">
        <f t="shared" ca="1" si="55"/>
        <v>2.7986721925995943</v>
      </c>
      <c r="AC171" s="335">
        <f t="shared" ca="1" si="56"/>
        <v>809.75751309309783</v>
      </c>
      <c r="AD171" s="698" t="str">
        <f t="shared" ca="1" si="42"/>
        <v xml:space="preserve"> </v>
      </c>
    </row>
    <row r="172" spans="1:30">
      <c r="A172" s="672">
        <f>'Annex 12-Gas'!A172</f>
        <v>41821</v>
      </c>
      <c r="C172" s="1484">
        <f ca="1">IF($A172&gt;Endyr,0,VLOOKUP($A172,Tariff_Table,Tariff!$G$33))</f>
        <v>7424.62</v>
      </c>
      <c r="D172" s="1480">
        <f ca="1">VLOOKUP($A172,Curves_Table,Escalation!$AW$291)</f>
        <v>3.445533360167476</v>
      </c>
      <c r="E172" s="1486">
        <f t="shared" ca="1" si="43"/>
        <v>25581.775896566647</v>
      </c>
      <c r="F172" s="330">
        <f ca="1">VLOOKUP($A172,Plant_Table,'Plant Operations'!$C$270)</f>
        <v>480</v>
      </c>
      <c r="G172" s="1486">
        <f t="shared" ca="1" si="44"/>
        <v>12279.252430351991</v>
      </c>
      <c r="H172" s="1480">
        <f ca="1">IF(Assm!$L$74=0,VLOOKUP($A172,Curves_Table,Escalation!$D$291),VLOOKUP($A172,Curves_Table,Escalation!$E$291))</f>
        <v>2.8486095114750971</v>
      </c>
      <c r="I172" s="384">
        <f t="shared" ca="1" si="45"/>
        <v>4310.6127325936714</v>
      </c>
      <c r="J172" s="692" t="str">
        <f t="shared" ca="1" si="38"/>
        <v xml:space="preserve"> </v>
      </c>
      <c r="L172" s="1484">
        <f ca="1">IF($A172&gt;Endyr,0,VLOOKUP($A172,Tariff_Table,Tariff!$H$33))</f>
        <v>6118.02</v>
      </c>
      <c r="M172" s="1480">
        <f t="shared" ca="1" si="46"/>
        <v>3.445533360167476</v>
      </c>
      <c r="N172" s="1486">
        <f t="shared" ca="1" si="47"/>
        <v>21079.842008171821</v>
      </c>
      <c r="O172" s="330">
        <f t="shared" ca="1" si="48"/>
        <v>480</v>
      </c>
      <c r="P172" s="1486">
        <f t="shared" ca="1" si="49"/>
        <v>10118.324163922474</v>
      </c>
      <c r="Q172" s="1480">
        <f t="shared" ca="1" si="50"/>
        <v>2.8486095114750971</v>
      </c>
      <c r="R172" s="384">
        <f t="shared" ca="1" si="51"/>
        <v>3552.0221789482466</v>
      </c>
      <c r="S172" s="692" t="str">
        <f t="shared" ca="1" si="39"/>
        <v xml:space="preserve"> </v>
      </c>
      <c r="U172" s="1484">
        <f ca="1">IF($A172&gt;Endyr,0,VLOOKUP($A172,Tariff_Table,Tariff!$I$33))</f>
        <v>2.31</v>
      </c>
      <c r="V172" s="1480">
        <f t="shared" ca="1" si="40"/>
        <v>3.445533360167476</v>
      </c>
      <c r="W172" s="1486">
        <f t="shared" ca="1" si="52"/>
        <v>7.9591820619868701</v>
      </c>
      <c r="X172" s="334">
        <f ca="1">VLOOKUP($A172,Plant_Table,'Plant Operations'!$M$270)</f>
        <v>298980.864</v>
      </c>
      <c r="Y172" s="1006">
        <f t="shared" ca="1" si="53"/>
        <v>2379.6431296261358</v>
      </c>
      <c r="Z172" s="1480">
        <f t="shared" ca="1" si="54"/>
        <v>2.8486095114750971</v>
      </c>
      <c r="AA172" s="1480">
        <f t="shared" ca="1" si="41"/>
        <v>2.8486095114750971</v>
      </c>
      <c r="AB172" s="333">
        <f t="shared" ca="1" si="55"/>
        <v>2.7940586556089122</v>
      </c>
      <c r="AC172" s="335">
        <f t="shared" ca="1" si="56"/>
        <v>835.37007092063095</v>
      </c>
      <c r="AD172" s="698" t="str">
        <f t="shared" ca="1" si="42"/>
        <v xml:space="preserve"> </v>
      </c>
    </row>
    <row r="173" spans="1:30">
      <c r="A173" s="672">
        <f>'Annex 12-Gas'!A173</f>
        <v>41852</v>
      </c>
      <c r="C173" s="1484">
        <f ca="1">IF($A173&gt;Endyr,0,VLOOKUP($A173,Tariff_Table,Tariff!$G$33))</f>
        <v>7424.62</v>
      </c>
      <c r="D173" s="1480">
        <f ca="1">VLOOKUP($A173,Curves_Table,Escalation!$AW$291)</f>
        <v>3.445533360167476</v>
      </c>
      <c r="E173" s="1486">
        <f t="shared" ca="1" si="43"/>
        <v>25581.775896566647</v>
      </c>
      <c r="F173" s="330">
        <f ca="1">VLOOKUP($A173,Plant_Table,'Plant Operations'!$C$270)</f>
        <v>480</v>
      </c>
      <c r="G173" s="1486">
        <f t="shared" ca="1" si="44"/>
        <v>12279.252430351991</v>
      </c>
      <c r="H173" s="1480">
        <f ca="1">IF(Assm!$L$74=0,VLOOKUP($A173,Curves_Table,Escalation!$D$291),VLOOKUP($A173,Curves_Table,Escalation!$E$291))</f>
        <v>2.8533131225917847</v>
      </c>
      <c r="I173" s="384">
        <f t="shared" ca="1" si="45"/>
        <v>4303.5068016643854</v>
      </c>
      <c r="J173" s="692" t="str">
        <f t="shared" ca="1" si="38"/>
        <v xml:space="preserve"> </v>
      </c>
      <c r="L173" s="1484">
        <f ca="1">IF($A173&gt;Endyr,0,VLOOKUP($A173,Tariff_Table,Tariff!$H$33))</f>
        <v>6118.02</v>
      </c>
      <c r="M173" s="1480">
        <f t="shared" ca="1" si="46"/>
        <v>3.445533360167476</v>
      </c>
      <c r="N173" s="1486">
        <f t="shared" ca="1" si="47"/>
        <v>21079.842008171821</v>
      </c>
      <c r="O173" s="330">
        <f t="shared" ca="1" si="48"/>
        <v>480</v>
      </c>
      <c r="P173" s="1486">
        <f t="shared" ca="1" si="49"/>
        <v>10118.324163922474</v>
      </c>
      <c r="Q173" s="1480">
        <f t="shared" ca="1" si="50"/>
        <v>2.8533131225917847</v>
      </c>
      <c r="R173" s="384">
        <f t="shared" ca="1" si="51"/>
        <v>3546.1667644564623</v>
      </c>
      <c r="S173" s="692" t="str">
        <f t="shared" ca="1" si="39"/>
        <v xml:space="preserve"> </v>
      </c>
      <c r="U173" s="1484">
        <f ca="1">IF($A173&gt;Endyr,0,VLOOKUP($A173,Tariff_Table,Tariff!$I$33))</f>
        <v>2.31</v>
      </c>
      <c r="V173" s="1480">
        <f t="shared" ca="1" si="40"/>
        <v>3.445533360167476</v>
      </c>
      <c r="W173" s="1486">
        <f t="shared" ca="1" si="52"/>
        <v>7.9591820619868701</v>
      </c>
      <c r="X173" s="334">
        <f ca="1">VLOOKUP($A173,Plant_Table,'Plant Operations'!$M$270)</f>
        <v>298980.864</v>
      </c>
      <c r="Y173" s="1006">
        <f t="shared" ca="1" si="53"/>
        <v>2379.6431296261358</v>
      </c>
      <c r="Z173" s="1480">
        <f t="shared" ca="1" si="54"/>
        <v>2.8533131225917847</v>
      </c>
      <c r="AA173" s="1480">
        <f t="shared" ca="1" si="41"/>
        <v>2.8533131225917847</v>
      </c>
      <c r="AB173" s="333">
        <f t="shared" ca="1" si="55"/>
        <v>2.7894527239117761</v>
      </c>
      <c r="AC173" s="335">
        <f t="shared" ca="1" si="56"/>
        <v>833.99298548229626</v>
      </c>
      <c r="AD173" s="698" t="str">
        <f t="shared" ca="1" si="42"/>
        <v xml:space="preserve"> </v>
      </c>
    </row>
    <row r="174" spans="1:30">
      <c r="A174" s="672">
        <f>'Annex 12-Gas'!A174</f>
        <v>41883</v>
      </c>
      <c r="C174" s="1484">
        <f ca="1">IF($A174&gt;Endyr,0,VLOOKUP($A174,Tariff_Table,Tariff!$G$33))</f>
        <v>7424.62</v>
      </c>
      <c r="D174" s="1480">
        <f ca="1">VLOOKUP($A174,Curves_Table,Escalation!$AW$291)</f>
        <v>3.445533360167476</v>
      </c>
      <c r="E174" s="1486">
        <f t="shared" ca="1" si="43"/>
        <v>25581.775896566647</v>
      </c>
      <c r="F174" s="330">
        <f ca="1">VLOOKUP($A174,Plant_Table,'Plant Operations'!$C$270)</f>
        <v>480</v>
      </c>
      <c r="G174" s="1486">
        <f t="shared" ca="1" si="44"/>
        <v>12279.252430351991</v>
      </c>
      <c r="H174" s="1480">
        <f ca="1">IF(Assm!$L$74=0,VLOOKUP($A174,Curves_Table,Escalation!$D$291),VLOOKUP($A174,Curves_Table,Escalation!$E$291))</f>
        <v>2.8580245002898335</v>
      </c>
      <c r="I174" s="384">
        <f t="shared" ca="1" si="45"/>
        <v>4296.4125846740453</v>
      </c>
      <c r="J174" s="692" t="str">
        <f t="shared" ca="1" si="38"/>
        <v xml:space="preserve"> </v>
      </c>
      <c r="L174" s="1484">
        <f ca="1">IF($A174&gt;Endyr,0,VLOOKUP($A174,Tariff_Table,Tariff!$H$33))</f>
        <v>6118.02</v>
      </c>
      <c r="M174" s="1480">
        <f t="shared" ca="1" si="46"/>
        <v>3.445533360167476</v>
      </c>
      <c r="N174" s="1486">
        <f t="shared" ca="1" si="47"/>
        <v>21079.842008171821</v>
      </c>
      <c r="O174" s="330">
        <f t="shared" ca="1" si="48"/>
        <v>480</v>
      </c>
      <c r="P174" s="1486">
        <f t="shared" ca="1" si="49"/>
        <v>10118.324163922474</v>
      </c>
      <c r="Q174" s="1480">
        <f t="shared" ca="1" si="50"/>
        <v>2.8580245002898335</v>
      </c>
      <c r="R174" s="384">
        <f t="shared" ca="1" si="51"/>
        <v>3540.3210024603954</v>
      </c>
      <c r="S174" s="692" t="str">
        <f t="shared" ca="1" si="39"/>
        <v xml:space="preserve"> </v>
      </c>
      <c r="U174" s="1484">
        <f ca="1">IF($A174&gt;Endyr,0,VLOOKUP($A174,Tariff_Table,Tariff!$I$33))</f>
        <v>2.31</v>
      </c>
      <c r="V174" s="1480">
        <f t="shared" ca="1" si="40"/>
        <v>3.445533360167476</v>
      </c>
      <c r="W174" s="1486">
        <f t="shared" ca="1" si="52"/>
        <v>7.9591820619868701</v>
      </c>
      <c r="X174" s="334">
        <f ca="1">VLOOKUP($A174,Plant_Table,'Plant Operations'!$M$270)</f>
        <v>289336.32000000001</v>
      </c>
      <c r="Y174" s="1006">
        <f t="shared" ca="1" si="53"/>
        <v>2302.8804480252929</v>
      </c>
      <c r="Z174" s="1480">
        <f t="shared" ca="1" si="54"/>
        <v>2.8580245002898335</v>
      </c>
      <c r="AA174" s="1480">
        <f t="shared" ca="1" si="41"/>
        <v>2.8580245002898335</v>
      </c>
      <c r="AB174" s="333">
        <f t="shared" ca="1" si="55"/>
        <v>2.7848543849710619</v>
      </c>
      <c r="AC174" s="335">
        <f t="shared" ca="1" si="56"/>
        <v>805.75951948339036</v>
      </c>
      <c r="AD174" s="698" t="str">
        <f t="shared" ca="1" si="42"/>
        <v xml:space="preserve"> </v>
      </c>
    </row>
    <row r="175" spans="1:30">
      <c r="A175" s="672">
        <f>'Annex 12-Gas'!A175</f>
        <v>41913</v>
      </c>
      <c r="C175" s="1484">
        <f ca="1">IF($A175&gt;Endyr,0,VLOOKUP($A175,Tariff_Table,Tariff!$G$33))</f>
        <v>7424.62</v>
      </c>
      <c r="D175" s="1480">
        <f ca="1">VLOOKUP($A175,Curves_Table,Escalation!$AW$291)</f>
        <v>3.445533360167476</v>
      </c>
      <c r="E175" s="1486">
        <f t="shared" ca="1" si="43"/>
        <v>25581.775896566647</v>
      </c>
      <c r="F175" s="330">
        <f ca="1">VLOOKUP($A175,Plant_Table,'Plant Operations'!$C$270)</f>
        <v>480</v>
      </c>
      <c r="G175" s="1486">
        <f t="shared" ca="1" si="44"/>
        <v>12279.252430351991</v>
      </c>
      <c r="H175" s="1480">
        <f ca="1">IF(Assm!$L$74=0,VLOOKUP($A175,Curves_Table,Escalation!$D$291),VLOOKUP($A175,Curves_Table,Escalation!$E$291))</f>
        <v>2.8627436573933873</v>
      </c>
      <c r="I175" s="384">
        <f t="shared" ca="1" si="45"/>
        <v>4289.3300623125342</v>
      </c>
      <c r="J175" s="692" t="str">
        <f t="shared" ca="1" si="38"/>
        <v xml:space="preserve"> </v>
      </c>
      <c r="L175" s="1484">
        <f ca="1">IF($A175&gt;Endyr,0,VLOOKUP($A175,Tariff_Table,Tariff!$H$33))</f>
        <v>6118.02</v>
      </c>
      <c r="M175" s="1480">
        <f t="shared" ca="1" si="46"/>
        <v>3.445533360167476</v>
      </c>
      <c r="N175" s="1486">
        <f t="shared" ca="1" si="47"/>
        <v>21079.842008171821</v>
      </c>
      <c r="O175" s="330">
        <f t="shared" ca="1" si="48"/>
        <v>480</v>
      </c>
      <c r="P175" s="1486">
        <f t="shared" ca="1" si="49"/>
        <v>10118.324163922474</v>
      </c>
      <c r="Q175" s="1480">
        <f t="shared" ca="1" si="50"/>
        <v>2.8627436573933873</v>
      </c>
      <c r="R175" s="384">
        <f t="shared" ca="1" si="51"/>
        <v>3534.4848770481626</v>
      </c>
      <c r="S175" s="692" t="str">
        <f t="shared" ca="1" si="39"/>
        <v xml:space="preserve"> </v>
      </c>
      <c r="U175" s="1484">
        <f ca="1">IF($A175&gt;Endyr,0,VLOOKUP($A175,Tariff_Table,Tariff!$I$33))</f>
        <v>2.31</v>
      </c>
      <c r="V175" s="1480">
        <f t="shared" ca="1" si="40"/>
        <v>3.445533360167476</v>
      </c>
      <c r="W175" s="1486">
        <f t="shared" ca="1" si="52"/>
        <v>7.9591820619868701</v>
      </c>
      <c r="X175" s="334">
        <f ca="1">VLOOKUP($A175,Plant_Table,'Plant Operations'!$M$270)</f>
        <v>298980.864</v>
      </c>
      <c r="Y175" s="1006">
        <f t="shared" ca="1" si="53"/>
        <v>2379.6431296261358</v>
      </c>
      <c r="Z175" s="1480">
        <f t="shared" ca="1" si="54"/>
        <v>2.8627436573933873</v>
      </c>
      <c r="AA175" s="1480">
        <f t="shared" ca="1" si="41"/>
        <v>2.8627436573933873</v>
      </c>
      <c r="AB175" s="333">
        <f t="shared" ca="1" si="55"/>
        <v>2.7802636262703104</v>
      </c>
      <c r="AC175" s="335">
        <f t="shared" ca="1" si="56"/>
        <v>831.24562113007039</v>
      </c>
      <c r="AD175" s="698" t="str">
        <f t="shared" ca="1" si="42"/>
        <v xml:space="preserve"> </v>
      </c>
    </row>
    <row r="176" spans="1:30">
      <c r="A176" s="672">
        <f>'Annex 12-Gas'!A176</f>
        <v>41944</v>
      </c>
      <c r="C176" s="1484">
        <f ca="1">IF($A176&gt;Endyr,0,VLOOKUP($A176,Tariff_Table,Tariff!$G$33))</f>
        <v>7424.62</v>
      </c>
      <c r="D176" s="1480">
        <f ca="1">VLOOKUP($A176,Curves_Table,Escalation!$AW$291)</f>
        <v>3.445533360167476</v>
      </c>
      <c r="E176" s="1486">
        <f t="shared" ca="1" si="43"/>
        <v>25581.775896566647</v>
      </c>
      <c r="F176" s="330">
        <f ca="1">VLOOKUP($A176,Plant_Table,'Plant Operations'!$C$270)</f>
        <v>480</v>
      </c>
      <c r="G176" s="1486">
        <f t="shared" ca="1" si="44"/>
        <v>12279.252430351991</v>
      </c>
      <c r="H176" s="1480">
        <f ca="1">IF(Assm!$L$74=0,VLOOKUP($A176,Curves_Table,Escalation!$D$291),VLOOKUP($A176,Curves_Table,Escalation!$E$291))</f>
        <v>2.8674706067477653</v>
      </c>
      <c r="I176" s="384">
        <f t="shared" ca="1" si="45"/>
        <v>4282.2592153015657</v>
      </c>
      <c r="J176" s="692" t="str">
        <f t="shared" ca="1" si="38"/>
        <v xml:space="preserve"> </v>
      </c>
      <c r="L176" s="1484">
        <f ca="1">IF($A176&gt;Endyr,0,VLOOKUP($A176,Tariff_Table,Tariff!$H$33))</f>
        <v>6118.02</v>
      </c>
      <c r="M176" s="1480">
        <f t="shared" ca="1" si="46"/>
        <v>3.445533360167476</v>
      </c>
      <c r="N176" s="1486">
        <f t="shared" ca="1" si="47"/>
        <v>21079.842008171821</v>
      </c>
      <c r="O176" s="330">
        <f t="shared" ca="1" si="48"/>
        <v>480</v>
      </c>
      <c r="P176" s="1486">
        <f t="shared" ca="1" si="49"/>
        <v>10118.324163922474</v>
      </c>
      <c r="Q176" s="1480">
        <f t="shared" ca="1" si="50"/>
        <v>2.8674706067477653</v>
      </c>
      <c r="R176" s="384">
        <f t="shared" ca="1" si="51"/>
        <v>3528.6583723341105</v>
      </c>
      <c r="S176" s="692" t="str">
        <f t="shared" ca="1" si="39"/>
        <v xml:space="preserve"> </v>
      </c>
      <c r="U176" s="1484">
        <f ca="1">IF($A176&gt;Endyr,0,VLOOKUP($A176,Tariff_Table,Tariff!$I$33))</f>
        <v>2.31</v>
      </c>
      <c r="V176" s="1480">
        <f t="shared" ca="1" si="40"/>
        <v>3.445533360167476</v>
      </c>
      <c r="W176" s="1486">
        <f t="shared" ca="1" si="52"/>
        <v>7.9591820619868701</v>
      </c>
      <c r="X176" s="334">
        <f ca="1">VLOOKUP($A176,Plant_Table,'Plant Operations'!$M$270)</f>
        <v>289336.32000000001</v>
      </c>
      <c r="Y176" s="1006">
        <f t="shared" ca="1" si="53"/>
        <v>2302.8804480252929</v>
      </c>
      <c r="Z176" s="1480">
        <f t="shared" ca="1" si="54"/>
        <v>2.8674706067477653</v>
      </c>
      <c r="AA176" s="1480">
        <f t="shared" ca="1" si="41"/>
        <v>2.8674706067477653</v>
      </c>
      <c r="AB176" s="333">
        <f t="shared" ca="1" si="55"/>
        <v>2.7756804353136975</v>
      </c>
      <c r="AC176" s="335">
        <f t="shared" ca="1" si="56"/>
        <v>803.10516264966338</v>
      </c>
      <c r="AD176" s="698" t="str">
        <f t="shared" ca="1" si="42"/>
        <v xml:space="preserve"> </v>
      </c>
    </row>
    <row r="177" spans="1:30">
      <c r="A177" s="672">
        <f>'Annex 12-Gas'!A177</f>
        <v>41974</v>
      </c>
      <c r="C177" s="1484">
        <f ca="1">IF($A177&gt;Endyr,0,VLOOKUP($A177,Tariff_Table,Tariff!$G$33))</f>
        <v>7424.62</v>
      </c>
      <c r="D177" s="1480">
        <f ca="1">VLOOKUP($A177,Curves_Table,Escalation!$AW$291)</f>
        <v>3.445533360167476</v>
      </c>
      <c r="E177" s="1486">
        <f t="shared" ca="1" si="43"/>
        <v>25581.775896566647</v>
      </c>
      <c r="F177" s="330">
        <f ca="1">VLOOKUP($A177,Plant_Table,'Plant Operations'!$C$270)</f>
        <v>480</v>
      </c>
      <c r="G177" s="1486">
        <f t="shared" ca="1" si="44"/>
        <v>12279.252430351991</v>
      </c>
      <c r="H177" s="1480">
        <f ca="1">IF(Assm!$L$74=0,VLOOKUP($A177,Curves_Table,Escalation!$D$291),VLOOKUP($A177,Curves_Table,Escalation!$E$291))</f>
        <v>2.8722053612194949</v>
      </c>
      <c r="I177" s="384">
        <f t="shared" ca="1" si="45"/>
        <v>4275.2000243946368</v>
      </c>
      <c r="J177" s="692">
        <f t="shared" ca="1" si="38"/>
        <v>50653.726044265037</v>
      </c>
      <c r="L177" s="1484">
        <f ca="1">IF($A177&gt;Endyr,0,VLOOKUP($A177,Tariff_Table,Tariff!$H$33))</f>
        <v>6118.02</v>
      </c>
      <c r="M177" s="1480">
        <f t="shared" ca="1" si="46"/>
        <v>3.445533360167476</v>
      </c>
      <c r="N177" s="1486">
        <f t="shared" ca="1" si="47"/>
        <v>21079.842008171821</v>
      </c>
      <c r="O177" s="330">
        <f t="shared" ca="1" si="48"/>
        <v>480</v>
      </c>
      <c r="P177" s="1486">
        <f t="shared" ca="1" si="49"/>
        <v>10118.324163922474</v>
      </c>
      <c r="Q177" s="1480">
        <f t="shared" ca="1" si="50"/>
        <v>2.8722053612194949</v>
      </c>
      <c r="R177" s="384">
        <f t="shared" ca="1" si="51"/>
        <v>3522.8414724587756</v>
      </c>
      <c r="S177" s="692">
        <f t="shared" ca="1" si="39"/>
        <v>41786.678343201093</v>
      </c>
      <c r="U177" s="1484">
        <f ca="1">IF($A177&gt;Endyr,0,VLOOKUP($A177,Tariff_Table,Tariff!$I$33))</f>
        <v>2.31</v>
      </c>
      <c r="V177" s="1480">
        <f t="shared" ca="1" si="40"/>
        <v>3.445533360167476</v>
      </c>
      <c r="W177" s="1486">
        <f t="shared" ca="1" si="52"/>
        <v>7.9591820619868701</v>
      </c>
      <c r="X177" s="334">
        <f ca="1">VLOOKUP($A177,Plant_Table,'Plant Operations'!$M$270)</f>
        <v>298980.864</v>
      </c>
      <c r="Y177" s="1006">
        <f t="shared" ca="1" si="53"/>
        <v>2379.6431296261358</v>
      </c>
      <c r="Z177" s="1480">
        <f t="shared" ca="1" si="54"/>
        <v>2.8722053612194949</v>
      </c>
      <c r="AA177" s="1480">
        <f t="shared" ca="1" si="41"/>
        <v>2.8722053612194949</v>
      </c>
      <c r="AB177" s="333">
        <f t="shared" ca="1" si="55"/>
        <v>2.7711047996259994</v>
      </c>
      <c r="AC177" s="335">
        <f t="shared" ca="1" si="56"/>
        <v>828.50730722672813</v>
      </c>
      <c r="AD177" s="698">
        <f t="shared" ca="1" si="42"/>
        <v>9643.7162457483009</v>
      </c>
    </row>
    <row r="178" spans="1:30">
      <c r="A178" s="672">
        <f>'Annex 12-Gas'!A178</f>
        <v>42005</v>
      </c>
      <c r="C178" s="1484">
        <f ca="1">IF($A178&gt;Endyr,0,VLOOKUP($A178,Tariff_Table,Tariff!$G$33))</f>
        <v>7424.62</v>
      </c>
      <c r="D178" s="1480">
        <f ca="1">VLOOKUP($A178,Curves_Table,Escalation!$AW$291)</f>
        <v>3.445533360167476</v>
      </c>
      <c r="E178" s="1486">
        <f t="shared" ca="1" si="43"/>
        <v>25581.775896566647</v>
      </c>
      <c r="F178" s="330">
        <f ca="1">VLOOKUP($A178,Plant_Table,'Plant Operations'!$C$270)</f>
        <v>480</v>
      </c>
      <c r="G178" s="1486">
        <f t="shared" ca="1" si="44"/>
        <v>12279.252430351991</v>
      </c>
      <c r="H178" s="1480">
        <f ca="1">IF(Assm!$L$74=0,VLOOKUP($A178,Curves_Table,Escalation!$D$291),VLOOKUP($A178,Curves_Table,Escalation!$E$291))</f>
        <v>2.8769423701861823</v>
      </c>
      <c r="I178" s="384">
        <f t="shared" ca="1" si="45"/>
        <v>4268.1607242474365</v>
      </c>
      <c r="J178" s="692" t="str">
        <f t="shared" ca="1" si="38"/>
        <v xml:space="preserve"> </v>
      </c>
      <c r="L178" s="1484">
        <f ca="1">IF($A178&gt;Endyr,0,VLOOKUP($A178,Tariff_Table,Tariff!$H$33))</f>
        <v>6118.02</v>
      </c>
      <c r="M178" s="1480">
        <f t="shared" ca="1" si="46"/>
        <v>3.445533360167476</v>
      </c>
      <c r="N178" s="1486">
        <f t="shared" ca="1" si="47"/>
        <v>21079.842008171821</v>
      </c>
      <c r="O178" s="330">
        <f t="shared" ca="1" si="48"/>
        <v>480</v>
      </c>
      <c r="P178" s="1486">
        <f t="shared" ca="1" si="49"/>
        <v>10118.324163922474</v>
      </c>
      <c r="Q178" s="1480">
        <f t="shared" ca="1" si="50"/>
        <v>2.8769423701861823</v>
      </c>
      <c r="R178" s="384">
        <f t="shared" ca="1" si="51"/>
        <v>3517.0409629260885</v>
      </c>
      <c r="S178" s="692" t="str">
        <f t="shared" ca="1" si="39"/>
        <v xml:space="preserve"> </v>
      </c>
      <c r="U178" s="1484">
        <f ca="1">IF($A178&gt;Endyr,0,VLOOKUP($A178,Tariff_Table,Tariff!$I$33))</f>
        <v>2.31</v>
      </c>
      <c r="V178" s="1480">
        <f t="shared" ca="1" si="40"/>
        <v>3.445533360167476</v>
      </c>
      <c r="W178" s="1486">
        <f t="shared" ca="1" si="52"/>
        <v>7.9591820619868701</v>
      </c>
      <c r="X178" s="334">
        <f ca="1">VLOOKUP($A178,Plant_Table,'Plant Operations'!$M$270)</f>
        <v>298980.864</v>
      </c>
      <c r="Y178" s="1006">
        <f t="shared" ca="1" si="53"/>
        <v>2379.6431296261358</v>
      </c>
      <c r="Z178" s="1480">
        <f t="shared" ca="1" si="54"/>
        <v>2.8769423701861823</v>
      </c>
      <c r="AA178" s="1480">
        <f t="shared" ca="1" si="41"/>
        <v>2.8769423701861823</v>
      </c>
      <c r="AB178" s="333">
        <f t="shared" ca="1" si="55"/>
        <v>2.7665420567572192</v>
      </c>
      <c r="AC178" s="335">
        <f t="shared" ca="1" si="56"/>
        <v>827.1431344216104</v>
      </c>
      <c r="AD178" s="698" t="str">
        <f t="shared" ca="1" si="42"/>
        <v xml:space="preserve"> </v>
      </c>
    </row>
    <row r="179" spans="1:30">
      <c r="A179" s="672">
        <f>'Annex 12-Gas'!A179</f>
        <v>42036</v>
      </c>
      <c r="C179" s="1484">
        <f ca="1">IF($A179&gt;Endyr,0,VLOOKUP($A179,Tariff_Table,Tariff!$G$33))</f>
        <v>7424.62</v>
      </c>
      <c r="D179" s="1480">
        <f ca="1">VLOOKUP($A179,Curves_Table,Escalation!$AW$291)</f>
        <v>3.445533360167476</v>
      </c>
      <c r="E179" s="1486">
        <f t="shared" ca="1" si="43"/>
        <v>25581.775896566647</v>
      </c>
      <c r="F179" s="330">
        <f ca="1">VLOOKUP($A179,Plant_Table,'Plant Operations'!$C$270)</f>
        <v>480</v>
      </c>
      <c r="G179" s="1486">
        <f t="shared" ca="1" si="44"/>
        <v>12279.252430351991</v>
      </c>
      <c r="H179" s="1480">
        <f ca="1">IF(Assm!$L$74=0,VLOOKUP($A179,Curves_Table,Escalation!$D$291),VLOOKUP($A179,Curves_Table,Escalation!$E$291))</f>
        <v>2.8816871917049434</v>
      </c>
      <c r="I179" s="384">
        <f t="shared" ca="1" si="45"/>
        <v>4261.1330146097507</v>
      </c>
      <c r="J179" s="692" t="str">
        <f t="shared" ca="1" si="38"/>
        <v xml:space="preserve"> </v>
      </c>
      <c r="L179" s="1484">
        <f ca="1">IF($A179&gt;Endyr,0,VLOOKUP($A179,Tariff_Table,Tariff!$H$33))</f>
        <v>6118.02</v>
      </c>
      <c r="M179" s="1480">
        <f t="shared" ca="1" si="46"/>
        <v>3.445533360167476</v>
      </c>
      <c r="N179" s="1486">
        <f t="shared" ca="1" si="47"/>
        <v>21079.842008171821</v>
      </c>
      <c r="O179" s="330">
        <f t="shared" ca="1" si="48"/>
        <v>480</v>
      </c>
      <c r="P179" s="1486">
        <f t="shared" ca="1" si="49"/>
        <v>10118.324163922474</v>
      </c>
      <c r="Q179" s="1480">
        <f t="shared" ca="1" si="50"/>
        <v>2.8816871917049434</v>
      </c>
      <c r="R179" s="384">
        <f t="shared" ca="1" si="51"/>
        <v>3511.2500041810549</v>
      </c>
      <c r="S179" s="692" t="str">
        <f t="shared" ca="1" si="39"/>
        <v xml:space="preserve"> </v>
      </c>
      <c r="U179" s="1484">
        <f ca="1">IF($A179&gt;Endyr,0,VLOOKUP($A179,Tariff_Table,Tariff!$I$33))</f>
        <v>2.31</v>
      </c>
      <c r="V179" s="1480">
        <f t="shared" ca="1" si="40"/>
        <v>3.445533360167476</v>
      </c>
      <c r="W179" s="1486">
        <f t="shared" ca="1" si="52"/>
        <v>7.9591820619868701</v>
      </c>
      <c r="X179" s="334">
        <f ca="1">VLOOKUP($A179,Plant_Table,'Plant Operations'!$M$270)</f>
        <v>270047.23200000002</v>
      </c>
      <c r="Y179" s="1006">
        <f t="shared" ca="1" si="53"/>
        <v>2149.3550848236068</v>
      </c>
      <c r="Z179" s="1480">
        <f t="shared" ca="1" si="54"/>
        <v>2.8816871917049434</v>
      </c>
      <c r="AA179" s="1480">
        <f t="shared" ca="1" si="41"/>
        <v>2.8816871917049434</v>
      </c>
      <c r="AB179" s="333">
        <f t="shared" ca="1" si="55"/>
        <v>2.7619868266402081</v>
      </c>
      <c r="AC179" s="335">
        <f t="shared" ca="1" si="56"/>
        <v>745.86689735465211</v>
      </c>
      <c r="AD179" s="698" t="str">
        <f t="shared" ca="1" si="42"/>
        <v xml:space="preserve"> </v>
      </c>
    </row>
    <row r="180" spans="1:30">
      <c r="A180" s="672">
        <f>'Annex 12-Gas'!A180</f>
        <v>42064</v>
      </c>
      <c r="C180" s="1484">
        <f ca="1">IF($A180&gt;Endyr,0,VLOOKUP($A180,Tariff_Table,Tariff!$G$33))</f>
        <v>7424.62</v>
      </c>
      <c r="D180" s="1480">
        <f ca="1">VLOOKUP($A180,Curves_Table,Escalation!$AW$291)</f>
        <v>3.445533360167476</v>
      </c>
      <c r="E180" s="1486">
        <f t="shared" ca="1" si="43"/>
        <v>25581.775896566647</v>
      </c>
      <c r="F180" s="330">
        <f ca="1">VLOOKUP($A180,Plant_Table,'Plant Operations'!$C$270)</f>
        <v>480</v>
      </c>
      <c r="G180" s="1486">
        <f t="shared" ca="1" si="44"/>
        <v>12279.252430351991</v>
      </c>
      <c r="H180" s="1480">
        <f ca="1">IF(Assm!$L$74=0,VLOOKUP($A180,Curves_Table,Escalation!$D$291),VLOOKUP($A180,Curves_Table,Escalation!$E$291))</f>
        <v>2.8864398386606953</v>
      </c>
      <c r="I180" s="384">
        <f t="shared" ca="1" si="45"/>
        <v>4254.1168763973092</v>
      </c>
      <c r="J180" s="692" t="str">
        <f t="shared" ca="1" si="38"/>
        <v xml:space="preserve"> </v>
      </c>
      <c r="L180" s="1484">
        <f ca="1">IF($A180&gt;Endyr,0,VLOOKUP($A180,Tariff_Table,Tariff!$H$33))</f>
        <v>6118.02</v>
      </c>
      <c r="M180" s="1480">
        <f t="shared" ca="1" si="46"/>
        <v>3.445533360167476</v>
      </c>
      <c r="N180" s="1486">
        <f t="shared" ca="1" si="47"/>
        <v>21079.842008171821</v>
      </c>
      <c r="O180" s="330">
        <f t="shared" ca="1" si="48"/>
        <v>480</v>
      </c>
      <c r="P180" s="1486">
        <f t="shared" ca="1" si="49"/>
        <v>10118.324163922474</v>
      </c>
      <c r="Q180" s="1480">
        <f t="shared" ca="1" si="50"/>
        <v>2.8864398386606953</v>
      </c>
      <c r="R180" s="384">
        <f t="shared" ca="1" si="51"/>
        <v>3505.4685804978926</v>
      </c>
      <c r="S180" s="692" t="str">
        <f t="shared" ca="1" si="39"/>
        <v xml:space="preserve"> </v>
      </c>
      <c r="U180" s="1484">
        <f ca="1">IF($A180&gt;Endyr,0,VLOOKUP($A180,Tariff_Table,Tariff!$I$33))</f>
        <v>2.31</v>
      </c>
      <c r="V180" s="1480">
        <f t="shared" ca="1" si="40"/>
        <v>3.445533360167476</v>
      </c>
      <c r="W180" s="1486">
        <f t="shared" ca="1" si="52"/>
        <v>7.9591820619868701</v>
      </c>
      <c r="X180" s="334">
        <f ca="1">VLOOKUP($A180,Plant_Table,'Plant Operations'!$M$270)</f>
        <v>298980.864</v>
      </c>
      <c r="Y180" s="1006">
        <f t="shared" ca="1" si="53"/>
        <v>2379.6431296261358</v>
      </c>
      <c r="Z180" s="1480">
        <f t="shared" ca="1" si="54"/>
        <v>2.8864398386606953</v>
      </c>
      <c r="AA180" s="1480">
        <f t="shared" ca="1" si="41"/>
        <v>2.8864398386606953</v>
      </c>
      <c r="AB180" s="333">
        <f t="shared" ca="1" si="55"/>
        <v>2.757439096904899</v>
      </c>
      <c r="AC180" s="335">
        <f t="shared" ca="1" si="56"/>
        <v>824.42152362000638</v>
      </c>
      <c r="AD180" s="698" t="str">
        <f t="shared" ca="1" si="42"/>
        <v xml:space="preserve"> </v>
      </c>
    </row>
    <row r="181" spans="1:30">
      <c r="A181" s="672">
        <f>'Annex 12-Gas'!A181</f>
        <v>42095</v>
      </c>
      <c r="C181" s="1484">
        <f ca="1">IF($A181&gt;Endyr,0,VLOOKUP($A181,Tariff_Table,Tariff!$G$33))</f>
        <v>7424.62</v>
      </c>
      <c r="D181" s="1480">
        <f ca="1">VLOOKUP($A181,Curves_Table,Escalation!$AW$291)</f>
        <v>3.445533360167476</v>
      </c>
      <c r="E181" s="1486">
        <f t="shared" ca="1" si="43"/>
        <v>25581.775896566647</v>
      </c>
      <c r="F181" s="330">
        <f ca="1">VLOOKUP($A181,Plant_Table,'Plant Operations'!$C$270)</f>
        <v>480</v>
      </c>
      <c r="G181" s="1486">
        <f t="shared" ca="1" si="44"/>
        <v>12279.252430351991</v>
      </c>
      <c r="H181" s="1480">
        <f ca="1">IF(Assm!$L$74=0,VLOOKUP($A181,Curves_Table,Escalation!$D$291),VLOOKUP($A181,Curves_Table,Escalation!$E$291))</f>
        <v>2.8912003239596067</v>
      </c>
      <c r="I181" s="384">
        <f t="shared" ca="1" si="45"/>
        <v>4247.1122905572647</v>
      </c>
      <c r="J181" s="692" t="str">
        <f t="shared" ca="1" si="38"/>
        <v xml:space="preserve"> </v>
      </c>
      <c r="L181" s="1484">
        <f ca="1">IF($A181&gt;Endyr,0,VLOOKUP($A181,Tariff_Table,Tariff!$H$33))</f>
        <v>6118.02</v>
      </c>
      <c r="M181" s="1480">
        <f t="shared" ca="1" si="46"/>
        <v>3.445533360167476</v>
      </c>
      <c r="N181" s="1486">
        <f t="shared" ca="1" si="47"/>
        <v>21079.842008171821</v>
      </c>
      <c r="O181" s="330">
        <f t="shared" ca="1" si="48"/>
        <v>480</v>
      </c>
      <c r="P181" s="1486">
        <f t="shared" ca="1" si="49"/>
        <v>10118.324163922474</v>
      </c>
      <c r="Q181" s="1480">
        <f t="shared" ca="1" si="50"/>
        <v>2.8912003239596067</v>
      </c>
      <c r="R181" s="384">
        <f t="shared" ca="1" si="51"/>
        <v>3499.6966761767139</v>
      </c>
      <c r="S181" s="692" t="str">
        <f t="shared" ca="1" si="39"/>
        <v xml:space="preserve"> </v>
      </c>
      <c r="U181" s="1484">
        <f ca="1">IF($A181&gt;Endyr,0,VLOOKUP($A181,Tariff_Table,Tariff!$I$33))</f>
        <v>2.31</v>
      </c>
      <c r="V181" s="1480">
        <f t="shared" ca="1" si="40"/>
        <v>3.445533360167476</v>
      </c>
      <c r="W181" s="1486">
        <f t="shared" ca="1" si="52"/>
        <v>7.9591820619868701</v>
      </c>
      <c r="X181" s="334">
        <f ca="1">VLOOKUP($A181,Plant_Table,'Plant Operations'!$M$270)</f>
        <v>289336.32000000001</v>
      </c>
      <c r="Y181" s="1006">
        <f t="shared" ca="1" si="53"/>
        <v>2302.8804480252929</v>
      </c>
      <c r="Z181" s="1480">
        <f t="shared" ca="1" si="54"/>
        <v>2.8912003239596067</v>
      </c>
      <c r="AA181" s="1480">
        <f t="shared" ca="1" si="41"/>
        <v>2.8912003239596067</v>
      </c>
      <c r="AB181" s="333">
        <f t="shared" ca="1" si="55"/>
        <v>2.7528988552015909</v>
      </c>
      <c r="AC181" s="335">
        <f t="shared" ca="1" si="56"/>
        <v>796.51362409624119</v>
      </c>
      <c r="AD181" s="698" t="str">
        <f t="shared" ca="1" si="42"/>
        <v xml:space="preserve"> </v>
      </c>
    </row>
    <row r="182" spans="1:30">
      <c r="A182" s="672">
        <f>'Annex 12-Gas'!A182</f>
        <v>42125</v>
      </c>
      <c r="C182" s="1484">
        <f ca="1">IF($A182&gt;Endyr,0,VLOOKUP($A182,Tariff_Table,Tariff!$G$33))</f>
        <v>7431.57</v>
      </c>
      <c r="D182" s="1480">
        <f ca="1">VLOOKUP($A182,Curves_Table,Escalation!$AW$291)</f>
        <v>3.685571826281631</v>
      </c>
      <c r="E182" s="1486">
        <f t="shared" ca="1" si="43"/>
        <v>27389.585017039779</v>
      </c>
      <c r="F182" s="330">
        <f ca="1">VLOOKUP($A182,Plant_Table,'Plant Operations'!$C$270)</f>
        <v>480</v>
      </c>
      <c r="G182" s="1486">
        <f t="shared" ca="1" si="44"/>
        <v>13147.000808179093</v>
      </c>
      <c r="H182" s="1480">
        <f ca="1">IF(Assm!$L$74=0,VLOOKUP($A182,Curves_Table,Escalation!$D$291),VLOOKUP($A182,Curves_Table,Escalation!$E$291))</f>
        <v>2.8959686605291308</v>
      </c>
      <c r="I182" s="384">
        <f t="shared" ca="1" si="45"/>
        <v>4539.7593514623759</v>
      </c>
      <c r="J182" s="692" t="str">
        <f t="shared" ca="1" si="38"/>
        <v xml:space="preserve"> </v>
      </c>
      <c r="L182" s="1484">
        <f ca="1">IF($A182&gt;Endyr,0,VLOOKUP($A182,Tariff_Table,Tariff!$H$33))</f>
        <v>6140.72</v>
      </c>
      <c r="M182" s="1480">
        <f t="shared" ca="1" si="46"/>
        <v>3.685571826281631</v>
      </c>
      <c r="N182" s="1486">
        <f t="shared" ca="1" si="47"/>
        <v>22632.064625084138</v>
      </c>
      <c r="O182" s="330">
        <f t="shared" ca="1" si="48"/>
        <v>480</v>
      </c>
      <c r="P182" s="1486">
        <f t="shared" ca="1" si="49"/>
        <v>10863.391020040386</v>
      </c>
      <c r="Q182" s="1480">
        <f t="shared" ca="1" si="50"/>
        <v>2.8959686605291308</v>
      </c>
      <c r="R182" s="384">
        <f t="shared" ca="1" si="51"/>
        <v>3751.2115265969433</v>
      </c>
      <c r="S182" s="692" t="str">
        <f t="shared" ca="1" si="39"/>
        <v xml:space="preserve"> </v>
      </c>
      <c r="U182" s="1484">
        <f ca="1">IF($A182&gt;Endyr,0,VLOOKUP($A182,Tariff_Table,Tariff!$I$33))</f>
        <v>2.31</v>
      </c>
      <c r="V182" s="1480">
        <f t="shared" ca="1" si="40"/>
        <v>3.685571826281631</v>
      </c>
      <c r="W182" s="1486">
        <f t="shared" ca="1" si="52"/>
        <v>8.5136709187105684</v>
      </c>
      <c r="X182" s="334">
        <f ca="1">VLOOKUP($A182,Plant_Table,'Plant Operations'!$M$270)</f>
        <v>298980.864</v>
      </c>
      <c r="Y182" s="1006">
        <f t="shared" ca="1" si="53"/>
        <v>2545.4246870877596</v>
      </c>
      <c r="Z182" s="1480">
        <f t="shared" ca="1" si="54"/>
        <v>2.8959686605291308</v>
      </c>
      <c r="AA182" s="1480">
        <f t="shared" ca="1" si="41"/>
        <v>2.8959686605291308</v>
      </c>
      <c r="AB182" s="333">
        <f t="shared" ca="1" si="55"/>
        <v>2.9398353078707045</v>
      </c>
      <c r="AC182" s="335">
        <f t="shared" ca="1" si="56"/>
        <v>878.95450036488921</v>
      </c>
      <c r="AD182" s="698" t="str">
        <f t="shared" ca="1" si="42"/>
        <v xml:space="preserve"> </v>
      </c>
    </row>
    <row r="183" spans="1:30">
      <c r="A183" s="672">
        <f>'Annex 12-Gas'!A183</f>
        <v>42156</v>
      </c>
      <c r="C183" s="1484">
        <f ca="1">IF($A183&gt;Endyr,0,VLOOKUP($A183,Tariff_Table,Tariff!$G$33))</f>
        <v>7431.57</v>
      </c>
      <c r="D183" s="1480">
        <f ca="1">VLOOKUP($A183,Curves_Table,Escalation!$AW$291)</f>
        <v>3.685571826281631</v>
      </c>
      <c r="E183" s="1486">
        <f t="shared" ca="1" si="43"/>
        <v>27389.585017039779</v>
      </c>
      <c r="F183" s="330">
        <f ca="1">VLOOKUP($A183,Plant_Table,'Plant Operations'!$C$270)</f>
        <v>480</v>
      </c>
      <c r="G183" s="1486">
        <f t="shared" ca="1" si="44"/>
        <v>13147.000808179093</v>
      </c>
      <c r="H183" s="1480">
        <f ca="1">IF(Assm!$L$74=0,VLOOKUP($A183,Curves_Table,Escalation!$D$291),VLOOKUP($A183,Curves_Table,Escalation!$E$291))</f>
        <v>2.9007448613180422</v>
      </c>
      <c r="I183" s="384">
        <f t="shared" ca="1" si="45"/>
        <v>4532.2844430396926</v>
      </c>
      <c r="J183" s="692" t="str">
        <f t="shared" ca="1" si="38"/>
        <v xml:space="preserve"> </v>
      </c>
      <c r="L183" s="1484">
        <f ca="1">IF($A183&gt;Endyr,0,VLOOKUP($A183,Tariff_Table,Tariff!$H$33))</f>
        <v>6140.72</v>
      </c>
      <c r="M183" s="1480">
        <f t="shared" ca="1" si="46"/>
        <v>3.685571826281631</v>
      </c>
      <c r="N183" s="1486">
        <f t="shared" ca="1" si="47"/>
        <v>22632.064625084138</v>
      </c>
      <c r="O183" s="330">
        <f t="shared" ca="1" si="48"/>
        <v>480</v>
      </c>
      <c r="P183" s="1486">
        <f t="shared" ca="1" si="49"/>
        <v>10863.391020040386</v>
      </c>
      <c r="Q183" s="1480">
        <f t="shared" ca="1" si="50"/>
        <v>2.9007448613180422</v>
      </c>
      <c r="R183" s="384">
        <f t="shared" ca="1" si="51"/>
        <v>3745.0349959783334</v>
      </c>
      <c r="S183" s="692" t="str">
        <f t="shared" ca="1" si="39"/>
        <v xml:space="preserve"> </v>
      </c>
      <c r="U183" s="1484">
        <f ca="1">IF($A183&gt;Endyr,0,VLOOKUP($A183,Tariff_Table,Tariff!$I$33))</f>
        <v>2.31</v>
      </c>
      <c r="V183" s="1480">
        <f t="shared" ca="1" si="40"/>
        <v>3.685571826281631</v>
      </c>
      <c r="W183" s="1486">
        <f t="shared" ca="1" si="52"/>
        <v>8.5136709187105684</v>
      </c>
      <c r="X183" s="334">
        <f ca="1">VLOOKUP($A183,Plant_Table,'Plant Operations'!$M$270)</f>
        <v>289336.32000000001</v>
      </c>
      <c r="Y183" s="1006">
        <f t="shared" ca="1" si="53"/>
        <v>2463.3142133107349</v>
      </c>
      <c r="Z183" s="1480">
        <f t="shared" ca="1" si="54"/>
        <v>2.9007448613180422</v>
      </c>
      <c r="AA183" s="1480">
        <f t="shared" ca="1" si="41"/>
        <v>2.9007448613180422</v>
      </c>
      <c r="AB183" s="333">
        <f t="shared" ca="1" si="55"/>
        <v>2.9349947429854693</v>
      </c>
      <c r="AC183" s="335">
        <f t="shared" ca="1" si="56"/>
        <v>849.2005781547615</v>
      </c>
      <c r="AD183" s="698" t="str">
        <f t="shared" ca="1" si="42"/>
        <v xml:space="preserve"> </v>
      </c>
    </row>
    <row r="184" spans="1:30">
      <c r="A184" s="672">
        <f>'Annex 12-Gas'!A184</f>
        <v>42186</v>
      </c>
      <c r="C184" s="1484">
        <f ca="1">IF($A184&gt;Endyr,0,VLOOKUP($A184,Tariff_Table,Tariff!$G$33))</f>
        <v>7431.57</v>
      </c>
      <c r="D184" s="1480">
        <f ca="1">VLOOKUP($A184,Curves_Table,Escalation!$AW$291)</f>
        <v>3.685571826281631</v>
      </c>
      <c r="E184" s="1486">
        <f t="shared" ca="1" si="43"/>
        <v>27389.585017039779</v>
      </c>
      <c r="F184" s="330">
        <f ca="1">VLOOKUP($A184,Plant_Table,'Plant Operations'!$C$270)</f>
        <v>480</v>
      </c>
      <c r="G184" s="1486">
        <f t="shared" ca="1" si="44"/>
        <v>13147.000808179093</v>
      </c>
      <c r="H184" s="1480">
        <f ca="1">IF(Assm!$L$74=0,VLOOKUP($A184,Curves_Table,Escalation!$D$291),VLOOKUP($A184,Curves_Table,Escalation!$E$291))</f>
        <v>2.9055289392964712</v>
      </c>
      <c r="I184" s="384">
        <f t="shared" ca="1" si="45"/>
        <v>4524.8218423742273</v>
      </c>
      <c r="J184" s="692" t="str">
        <f t="shared" ca="1" si="38"/>
        <v xml:space="preserve"> </v>
      </c>
      <c r="L184" s="1484">
        <f ca="1">IF($A184&gt;Endyr,0,VLOOKUP($A184,Tariff_Table,Tariff!$H$33))</f>
        <v>6140.72</v>
      </c>
      <c r="M184" s="1480">
        <f t="shared" ca="1" si="46"/>
        <v>3.685571826281631</v>
      </c>
      <c r="N184" s="1486">
        <f t="shared" ca="1" si="47"/>
        <v>22632.064625084138</v>
      </c>
      <c r="O184" s="330">
        <f t="shared" ca="1" si="48"/>
        <v>480</v>
      </c>
      <c r="P184" s="1486">
        <f t="shared" ca="1" si="49"/>
        <v>10863.391020040386</v>
      </c>
      <c r="Q184" s="1480">
        <f t="shared" ca="1" si="50"/>
        <v>2.9055289392964712</v>
      </c>
      <c r="R184" s="384">
        <f t="shared" ca="1" si="51"/>
        <v>3738.8686352822174</v>
      </c>
      <c r="S184" s="692" t="str">
        <f t="shared" ca="1" si="39"/>
        <v xml:space="preserve"> </v>
      </c>
      <c r="U184" s="1484">
        <f ca="1">IF($A184&gt;Endyr,0,VLOOKUP($A184,Tariff_Table,Tariff!$I$33))</f>
        <v>2.31</v>
      </c>
      <c r="V184" s="1480">
        <f t="shared" ca="1" si="40"/>
        <v>3.685571826281631</v>
      </c>
      <c r="W184" s="1486">
        <f t="shared" ca="1" si="52"/>
        <v>8.5136709187105684</v>
      </c>
      <c r="X184" s="334">
        <f ca="1">VLOOKUP($A184,Plant_Table,'Plant Operations'!$M$270)</f>
        <v>298980.864</v>
      </c>
      <c r="Y184" s="1006">
        <f t="shared" ca="1" si="53"/>
        <v>2545.4246870877596</v>
      </c>
      <c r="Z184" s="1480">
        <f t="shared" ca="1" si="54"/>
        <v>2.9055289392964712</v>
      </c>
      <c r="AA184" s="1480">
        <f t="shared" ca="1" si="41"/>
        <v>2.9055289392964712</v>
      </c>
      <c r="AB184" s="333">
        <f t="shared" ca="1" si="55"/>
        <v>2.9301621482978661</v>
      </c>
      <c r="AC184" s="335">
        <f t="shared" ca="1" si="56"/>
        <v>876.06241075819219</v>
      </c>
      <c r="AD184" s="698" t="str">
        <f t="shared" ca="1" si="42"/>
        <v xml:space="preserve"> </v>
      </c>
    </row>
    <row r="185" spans="1:30">
      <c r="A185" s="672">
        <f>'Annex 12-Gas'!A185</f>
        <v>42217</v>
      </c>
      <c r="C185" s="1484">
        <f ca="1">IF($A185&gt;Endyr,0,VLOOKUP($A185,Tariff_Table,Tariff!$G$33))</f>
        <v>7431.57</v>
      </c>
      <c r="D185" s="1480">
        <f ca="1">VLOOKUP($A185,Curves_Table,Escalation!$AW$291)</f>
        <v>3.685571826281631</v>
      </c>
      <c r="E185" s="1486">
        <f t="shared" ca="1" si="43"/>
        <v>27389.585017039779</v>
      </c>
      <c r="F185" s="330">
        <f ca="1">VLOOKUP($A185,Plant_Table,'Plant Operations'!$C$270)</f>
        <v>480</v>
      </c>
      <c r="G185" s="1486">
        <f t="shared" ca="1" si="44"/>
        <v>13147.000808179093</v>
      </c>
      <c r="H185" s="1480">
        <f ca="1">IF(Assm!$L$74=0,VLOOKUP($A185,Curves_Table,Escalation!$D$291),VLOOKUP($A185,Curves_Table,Escalation!$E$291))</f>
        <v>2.9103209074559393</v>
      </c>
      <c r="I185" s="384">
        <f t="shared" ca="1" si="45"/>
        <v>4517.37152920073</v>
      </c>
      <c r="J185" s="692" t="str">
        <f t="shared" ca="1" si="38"/>
        <v xml:space="preserve"> </v>
      </c>
      <c r="L185" s="1484">
        <f ca="1">IF($A185&gt;Endyr,0,VLOOKUP($A185,Tariff_Table,Tariff!$H$33))</f>
        <v>6140.72</v>
      </c>
      <c r="M185" s="1480">
        <f t="shared" ca="1" si="46"/>
        <v>3.685571826281631</v>
      </c>
      <c r="N185" s="1486">
        <f t="shared" ca="1" si="47"/>
        <v>22632.064625084138</v>
      </c>
      <c r="O185" s="330">
        <f t="shared" ca="1" si="48"/>
        <v>480</v>
      </c>
      <c r="P185" s="1486">
        <f t="shared" ca="1" si="49"/>
        <v>10863.391020040386</v>
      </c>
      <c r="Q185" s="1480">
        <f t="shared" ca="1" si="50"/>
        <v>2.9103209074559393</v>
      </c>
      <c r="R185" s="384">
        <f t="shared" ca="1" si="51"/>
        <v>3732.7124277633811</v>
      </c>
      <c r="S185" s="692" t="str">
        <f t="shared" ca="1" si="39"/>
        <v xml:space="preserve"> </v>
      </c>
      <c r="U185" s="1484">
        <f ca="1">IF($A185&gt;Endyr,0,VLOOKUP($A185,Tariff_Table,Tariff!$I$33))</f>
        <v>2.31</v>
      </c>
      <c r="V185" s="1480">
        <f t="shared" ca="1" si="40"/>
        <v>3.685571826281631</v>
      </c>
      <c r="W185" s="1486">
        <f t="shared" ca="1" si="52"/>
        <v>8.5136709187105684</v>
      </c>
      <c r="X185" s="334">
        <f ca="1">VLOOKUP($A185,Plant_Table,'Plant Operations'!$M$270)</f>
        <v>298980.864</v>
      </c>
      <c r="Y185" s="1006">
        <f t="shared" ca="1" si="53"/>
        <v>2545.4246870877596</v>
      </c>
      <c r="Z185" s="1480">
        <f t="shared" ca="1" si="54"/>
        <v>2.9103209074559393</v>
      </c>
      <c r="AA185" s="1480">
        <f t="shared" ca="1" si="41"/>
        <v>2.9103209074559393</v>
      </c>
      <c r="AB185" s="333">
        <f t="shared" ca="1" si="55"/>
        <v>2.9253375106846224</v>
      </c>
      <c r="AC185" s="335">
        <f t="shared" ca="1" si="56"/>
        <v>874.61993643609765</v>
      </c>
      <c r="AD185" s="698" t="str">
        <f t="shared" ca="1" si="42"/>
        <v xml:space="preserve"> </v>
      </c>
    </row>
    <row r="186" spans="1:30">
      <c r="A186" s="672">
        <f>'Annex 12-Gas'!A186</f>
        <v>42248</v>
      </c>
      <c r="C186" s="1484">
        <f ca="1">IF($A186&gt;Endyr,0,VLOOKUP($A186,Tariff_Table,Tariff!$G$33))</f>
        <v>7431.57</v>
      </c>
      <c r="D186" s="1480">
        <f ca="1">VLOOKUP($A186,Curves_Table,Escalation!$AW$291)</f>
        <v>3.685571826281631</v>
      </c>
      <c r="E186" s="1486">
        <f t="shared" ca="1" si="43"/>
        <v>27389.585017039779</v>
      </c>
      <c r="F186" s="330">
        <f ca="1">VLOOKUP($A186,Plant_Table,'Plant Operations'!$C$270)</f>
        <v>480</v>
      </c>
      <c r="G186" s="1486">
        <f t="shared" ca="1" si="44"/>
        <v>13147.000808179093</v>
      </c>
      <c r="H186" s="1480">
        <f ca="1">IF(Assm!$L$74=0,VLOOKUP($A186,Curves_Table,Escalation!$D$291),VLOOKUP($A186,Curves_Table,Escalation!$E$291))</f>
        <v>2.9151207788093942</v>
      </c>
      <c r="I186" s="384">
        <f t="shared" ca="1" si="45"/>
        <v>4509.9334832873192</v>
      </c>
      <c r="J186" s="692" t="str">
        <f t="shared" ca="1" si="38"/>
        <v xml:space="preserve"> </v>
      </c>
      <c r="L186" s="1484">
        <f ca="1">IF($A186&gt;Endyr,0,VLOOKUP($A186,Tariff_Table,Tariff!$H$33))</f>
        <v>6140.72</v>
      </c>
      <c r="M186" s="1480">
        <f t="shared" ca="1" si="46"/>
        <v>3.685571826281631</v>
      </c>
      <c r="N186" s="1486">
        <f t="shared" ca="1" si="47"/>
        <v>22632.064625084138</v>
      </c>
      <c r="O186" s="330">
        <f t="shared" ca="1" si="48"/>
        <v>480</v>
      </c>
      <c r="P186" s="1486">
        <f t="shared" ca="1" si="49"/>
        <v>10863.391020040386</v>
      </c>
      <c r="Q186" s="1480">
        <f t="shared" ca="1" si="50"/>
        <v>2.9151207788093942</v>
      </c>
      <c r="R186" s="384">
        <f t="shared" ca="1" si="51"/>
        <v>3726.5663567041834</v>
      </c>
      <c r="S186" s="692" t="str">
        <f t="shared" ca="1" si="39"/>
        <v xml:space="preserve"> </v>
      </c>
      <c r="U186" s="1484">
        <f ca="1">IF($A186&gt;Endyr,0,VLOOKUP($A186,Tariff_Table,Tariff!$I$33))</f>
        <v>2.31</v>
      </c>
      <c r="V186" s="1480">
        <f t="shared" ca="1" si="40"/>
        <v>3.685571826281631</v>
      </c>
      <c r="W186" s="1486">
        <f t="shared" ca="1" si="52"/>
        <v>8.5136709187105684</v>
      </c>
      <c r="X186" s="334">
        <f ca="1">VLOOKUP($A186,Plant_Table,'Plant Operations'!$M$270)</f>
        <v>289336.32000000001</v>
      </c>
      <c r="Y186" s="1006">
        <f t="shared" ca="1" si="53"/>
        <v>2463.3142133107349</v>
      </c>
      <c r="Z186" s="1480">
        <f t="shared" ca="1" si="54"/>
        <v>2.9151207788093942</v>
      </c>
      <c r="AA186" s="1480">
        <f t="shared" ca="1" si="41"/>
        <v>2.9151207788093942</v>
      </c>
      <c r="AB186" s="333">
        <f t="shared" ca="1" si="55"/>
        <v>2.9205208170440735</v>
      </c>
      <c r="AC186" s="335">
        <f t="shared" ca="1" si="56"/>
        <v>845.01274568692554</v>
      </c>
      <c r="AD186" s="698" t="str">
        <f t="shared" ca="1" si="42"/>
        <v xml:space="preserve"> </v>
      </c>
    </row>
    <row r="187" spans="1:30">
      <c r="A187" s="672">
        <f>'Annex 12-Gas'!A187</f>
        <v>42278</v>
      </c>
      <c r="C187" s="1484">
        <f ca="1">IF($A187&gt;Endyr,0,VLOOKUP($A187,Tariff_Table,Tariff!$G$33))</f>
        <v>7431.57</v>
      </c>
      <c r="D187" s="1480">
        <f ca="1">VLOOKUP($A187,Curves_Table,Escalation!$AW$291)</f>
        <v>3.685571826281631</v>
      </c>
      <c r="E187" s="1486">
        <f t="shared" ca="1" si="43"/>
        <v>27389.585017039779</v>
      </c>
      <c r="F187" s="330">
        <f ca="1">VLOOKUP($A187,Plant_Table,'Plant Operations'!$C$270)</f>
        <v>480</v>
      </c>
      <c r="G187" s="1486">
        <f t="shared" ca="1" si="44"/>
        <v>13147.000808179093</v>
      </c>
      <c r="H187" s="1480">
        <f ca="1">IF(Assm!$L$74=0,VLOOKUP($A187,Curves_Table,Escalation!$D$291),VLOOKUP($A187,Curves_Table,Escalation!$E$291))</f>
        <v>2.9199285663912451</v>
      </c>
      <c r="I187" s="384">
        <f t="shared" ca="1" si="45"/>
        <v>4502.5076844354244</v>
      </c>
      <c r="J187" s="692" t="str">
        <f t="shared" ca="1" si="38"/>
        <v xml:space="preserve"> </v>
      </c>
      <c r="L187" s="1484">
        <f ca="1">IF($A187&gt;Endyr,0,VLOOKUP($A187,Tariff_Table,Tariff!$H$33))</f>
        <v>6140.72</v>
      </c>
      <c r="M187" s="1480">
        <f t="shared" ca="1" si="46"/>
        <v>3.685571826281631</v>
      </c>
      <c r="N187" s="1486">
        <f t="shared" ca="1" si="47"/>
        <v>22632.064625084138</v>
      </c>
      <c r="O187" s="330">
        <f t="shared" ca="1" si="48"/>
        <v>480</v>
      </c>
      <c r="P187" s="1486">
        <f t="shared" ca="1" si="49"/>
        <v>10863.391020040386</v>
      </c>
      <c r="Q187" s="1480">
        <f t="shared" ca="1" si="50"/>
        <v>2.9199285663912451</v>
      </c>
      <c r="R187" s="384">
        <f t="shared" ca="1" si="51"/>
        <v>3720.4304054145091</v>
      </c>
      <c r="S187" s="692" t="str">
        <f t="shared" ca="1" si="39"/>
        <v xml:space="preserve"> </v>
      </c>
      <c r="U187" s="1484">
        <f ca="1">IF($A187&gt;Endyr,0,VLOOKUP($A187,Tariff_Table,Tariff!$I$33))</f>
        <v>2.31</v>
      </c>
      <c r="V187" s="1480">
        <f t="shared" ca="1" si="40"/>
        <v>3.685571826281631</v>
      </c>
      <c r="W187" s="1486">
        <f t="shared" ca="1" si="52"/>
        <v>8.5136709187105684</v>
      </c>
      <c r="X187" s="334">
        <f ca="1">VLOOKUP($A187,Plant_Table,'Plant Operations'!$M$270)</f>
        <v>298980.864</v>
      </c>
      <c r="Y187" s="1006">
        <f t="shared" ca="1" si="53"/>
        <v>2545.4246870877596</v>
      </c>
      <c r="Z187" s="1480">
        <f t="shared" ca="1" si="54"/>
        <v>2.9199285663912451</v>
      </c>
      <c r="AA187" s="1480">
        <f t="shared" ca="1" si="41"/>
        <v>2.9199285663912451</v>
      </c>
      <c r="AB187" s="333">
        <f t="shared" ca="1" si="55"/>
        <v>2.915712054296129</v>
      </c>
      <c r="AC187" s="335">
        <f t="shared" ca="1" si="56"/>
        <v>871.74210916867162</v>
      </c>
      <c r="AD187" s="698" t="str">
        <f t="shared" ca="1" si="42"/>
        <v xml:space="preserve"> </v>
      </c>
    </row>
    <row r="188" spans="1:30">
      <c r="A188" s="672">
        <f>'Annex 12-Gas'!A188</f>
        <v>42309</v>
      </c>
      <c r="C188" s="1484">
        <f ca="1">IF($A188&gt;Endyr,0,VLOOKUP($A188,Tariff_Table,Tariff!$G$33))</f>
        <v>7431.57</v>
      </c>
      <c r="D188" s="1480">
        <f ca="1">VLOOKUP($A188,Curves_Table,Escalation!$AW$291)</f>
        <v>3.685571826281631</v>
      </c>
      <c r="E188" s="1486">
        <f t="shared" ca="1" si="43"/>
        <v>27389.585017039779</v>
      </c>
      <c r="F188" s="330">
        <f ca="1">VLOOKUP($A188,Plant_Table,'Plant Operations'!$C$270)</f>
        <v>480</v>
      </c>
      <c r="G188" s="1486">
        <f t="shared" ca="1" si="44"/>
        <v>13147.000808179093</v>
      </c>
      <c r="H188" s="1480">
        <f ca="1">IF(Assm!$L$74=0,VLOOKUP($A188,Curves_Table,Escalation!$D$291),VLOOKUP($A188,Curves_Table,Escalation!$E$291))</f>
        <v>2.9247442832573989</v>
      </c>
      <c r="I188" s="384">
        <f t="shared" ca="1" si="45"/>
        <v>4495.0941124797337</v>
      </c>
      <c r="J188" s="692" t="str">
        <f t="shared" ca="1" si="38"/>
        <v xml:space="preserve"> </v>
      </c>
      <c r="L188" s="1484">
        <f ca="1">IF($A188&gt;Endyr,0,VLOOKUP($A188,Tariff_Table,Tariff!$H$33))</f>
        <v>6140.72</v>
      </c>
      <c r="M188" s="1480">
        <f t="shared" ca="1" si="46"/>
        <v>3.685571826281631</v>
      </c>
      <c r="N188" s="1486">
        <f t="shared" ca="1" si="47"/>
        <v>22632.064625084138</v>
      </c>
      <c r="O188" s="330">
        <f t="shared" ca="1" si="48"/>
        <v>480</v>
      </c>
      <c r="P188" s="1486">
        <f t="shared" ca="1" si="49"/>
        <v>10863.391020040386</v>
      </c>
      <c r="Q188" s="1480">
        <f t="shared" ca="1" si="50"/>
        <v>2.9247442832573989</v>
      </c>
      <c r="R188" s="384">
        <f t="shared" ca="1" si="51"/>
        <v>3714.3045572317233</v>
      </c>
      <c r="S188" s="692" t="str">
        <f t="shared" ca="1" si="39"/>
        <v xml:space="preserve"> </v>
      </c>
      <c r="U188" s="1484">
        <f ca="1">IF($A188&gt;Endyr,0,VLOOKUP($A188,Tariff_Table,Tariff!$I$33))</f>
        <v>2.31</v>
      </c>
      <c r="V188" s="1480">
        <f t="shared" ca="1" si="40"/>
        <v>3.685571826281631</v>
      </c>
      <c r="W188" s="1486">
        <f t="shared" ca="1" si="52"/>
        <v>8.5136709187105684</v>
      </c>
      <c r="X188" s="334">
        <f ca="1">VLOOKUP($A188,Plant_Table,'Plant Operations'!$M$270)</f>
        <v>289336.32000000001</v>
      </c>
      <c r="Y188" s="1006">
        <f t="shared" ca="1" si="53"/>
        <v>2463.3142133107349</v>
      </c>
      <c r="Z188" s="1480">
        <f t="shared" ca="1" si="54"/>
        <v>2.9247442832573989</v>
      </c>
      <c r="AA188" s="1480">
        <f t="shared" ca="1" si="41"/>
        <v>2.9247442832573989</v>
      </c>
      <c r="AB188" s="333">
        <f t="shared" ca="1" si="55"/>
        <v>2.9109112093822334</v>
      </c>
      <c r="AC188" s="335">
        <f t="shared" ca="1" si="56"/>
        <v>842.2323371694049</v>
      </c>
      <c r="AD188" s="698" t="str">
        <f t="shared" ca="1" si="42"/>
        <v xml:space="preserve"> </v>
      </c>
    </row>
    <row r="189" spans="1:30">
      <c r="A189" s="672">
        <f>'Annex 12-Gas'!A189</f>
        <v>42339</v>
      </c>
      <c r="C189" s="1484">
        <f ca="1">IF($A189&gt;Endyr,0,VLOOKUP($A189,Tariff_Table,Tariff!$G$33))</f>
        <v>7431.57</v>
      </c>
      <c r="D189" s="1480">
        <f ca="1">VLOOKUP($A189,Curves_Table,Escalation!$AW$291)</f>
        <v>3.685571826281631</v>
      </c>
      <c r="E189" s="1486">
        <f t="shared" ca="1" si="43"/>
        <v>27389.585017039779</v>
      </c>
      <c r="F189" s="330">
        <f ca="1">VLOOKUP($A189,Plant_Table,'Plant Operations'!$C$270)</f>
        <v>480</v>
      </c>
      <c r="G189" s="1486">
        <f t="shared" ca="1" si="44"/>
        <v>13147.000808179093</v>
      </c>
      <c r="H189" s="1480">
        <f ca="1">IF(Assm!$L$74=0,VLOOKUP($A189,Curves_Table,Escalation!$D$291),VLOOKUP($A189,Curves_Table,Escalation!$E$291))</f>
        <v>2.9295679424852956</v>
      </c>
      <c r="I189" s="384">
        <f t="shared" ca="1" si="45"/>
        <v>4487.692747288138</v>
      </c>
      <c r="J189" s="692">
        <f t="shared" ca="1" si="38"/>
        <v>53139.988099379407</v>
      </c>
      <c r="L189" s="1484">
        <f ca="1">IF($A189&gt;Endyr,0,VLOOKUP($A189,Tariff_Table,Tariff!$H$33))</f>
        <v>6140.72</v>
      </c>
      <c r="M189" s="1480">
        <f t="shared" ca="1" si="46"/>
        <v>3.685571826281631</v>
      </c>
      <c r="N189" s="1486">
        <f t="shared" ca="1" si="47"/>
        <v>22632.064625084138</v>
      </c>
      <c r="O189" s="330">
        <f t="shared" ca="1" si="48"/>
        <v>480</v>
      </c>
      <c r="P189" s="1486">
        <f t="shared" ca="1" si="49"/>
        <v>10863.391020040386</v>
      </c>
      <c r="Q189" s="1480">
        <f t="shared" ca="1" si="50"/>
        <v>2.9295679424852956</v>
      </c>
      <c r="R189" s="384">
        <f t="shared" ca="1" si="51"/>
        <v>3708.1887955206257</v>
      </c>
      <c r="S189" s="692">
        <f t="shared" ca="1" si="39"/>
        <v>43870.773924273664</v>
      </c>
      <c r="U189" s="1484">
        <f ca="1">IF($A189&gt;Endyr,0,VLOOKUP($A189,Tariff_Table,Tariff!$I$33))</f>
        <v>2.31</v>
      </c>
      <c r="V189" s="1480">
        <f t="shared" ca="1" si="40"/>
        <v>3.685571826281631</v>
      </c>
      <c r="W189" s="1486">
        <f t="shared" ca="1" si="52"/>
        <v>8.5136709187105684</v>
      </c>
      <c r="X189" s="334">
        <f ca="1">VLOOKUP($A189,Plant_Table,'Plant Operations'!$M$270)</f>
        <v>298980.864</v>
      </c>
      <c r="Y189" s="1006">
        <f t="shared" ca="1" si="53"/>
        <v>2545.4246870877596</v>
      </c>
      <c r="Z189" s="1480">
        <f t="shared" ca="1" si="54"/>
        <v>2.9295679424852956</v>
      </c>
      <c r="AA189" s="1480">
        <f t="shared" ca="1" si="41"/>
        <v>2.9295679424852956</v>
      </c>
      <c r="AB189" s="333">
        <f t="shared" ca="1" si="55"/>
        <v>2.9061182692653325</v>
      </c>
      <c r="AC189" s="335">
        <f t="shared" ca="1" si="56"/>
        <v>868.87375103113379</v>
      </c>
      <c r="AD189" s="698">
        <f t="shared" ca="1" si="42"/>
        <v>10100.643548262586</v>
      </c>
    </row>
    <row r="190" spans="1:30">
      <c r="A190" s="672">
        <f>'Annex 12-Gas'!A190</f>
        <v>42370</v>
      </c>
      <c r="C190" s="1484">
        <f ca="1">IF($A190&gt;Endyr,0,VLOOKUP($A190,Tariff_Table,Tariff!$G$33))</f>
        <v>7431.57</v>
      </c>
      <c r="D190" s="1480">
        <f ca="1">VLOOKUP($A190,Curves_Table,Escalation!$AW$291)</f>
        <v>3.685571826281631</v>
      </c>
      <c r="E190" s="1486">
        <f t="shared" ca="1" si="43"/>
        <v>27389.585017039779</v>
      </c>
      <c r="F190" s="330">
        <f ca="1">VLOOKUP($A190,Plant_Table,'Plant Operations'!$C$270)</f>
        <v>480</v>
      </c>
      <c r="G190" s="1486">
        <f t="shared" ca="1" si="44"/>
        <v>13147.000808179093</v>
      </c>
      <c r="H190" s="1480">
        <f ca="1">IF(Assm!$L$74=0,VLOOKUP($A190,Curves_Table,Escalation!$D$291),VLOOKUP($A190,Curves_Table,Escalation!$E$291))</f>
        <v>2.9344084151188023</v>
      </c>
      <c r="I190" s="384">
        <f t="shared" ca="1" si="45"/>
        <v>4480.2900443041508</v>
      </c>
      <c r="J190" s="692" t="str">
        <f t="shared" ca="1" si="38"/>
        <v xml:space="preserve"> </v>
      </c>
      <c r="L190" s="1484">
        <f ca="1">IF($A190&gt;Endyr,0,VLOOKUP($A190,Tariff_Table,Tariff!$H$33))</f>
        <v>6140.72</v>
      </c>
      <c r="M190" s="1480">
        <f t="shared" ca="1" si="46"/>
        <v>3.685571826281631</v>
      </c>
      <c r="N190" s="1486">
        <f t="shared" ca="1" si="47"/>
        <v>22632.064625084138</v>
      </c>
      <c r="O190" s="330">
        <f t="shared" ca="1" si="48"/>
        <v>480</v>
      </c>
      <c r="P190" s="1486">
        <f t="shared" ca="1" si="49"/>
        <v>10863.391020040386</v>
      </c>
      <c r="Q190" s="1480">
        <f t="shared" ca="1" si="50"/>
        <v>2.9344084151188023</v>
      </c>
      <c r="R190" s="384">
        <f t="shared" ca="1" si="51"/>
        <v>3702.0719283892086</v>
      </c>
      <c r="S190" s="692" t="str">
        <f t="shared" ca="1" si="39"/>
        <v xml:space="preserve"> </v>
      </c>
      <c r="U190" s="1484">
        <f ca="1">IF($A190&gt;Endyr,0,VLOOKUP($A190,Tariff_Table,Tariff!$I$33))</f>
        <v>2.31</v>
      </c>
      <c r="V190" s="1480">
        <f t="shared" ca="1" si="40"/>
        <v>3.685571826281631</v>
      </c>
      <c r="W190" s="1486">
        <f t="shared" ca="1" si="52"/>
        <v>8.5136709187105684</v>
      </c>
      <c r="X190" s="334">
        <f ca="1">VLOOKUP($A190,Plant_Table,'Plant Operations'!$M$270)</f>
        <v>298980.864</v>
      </c>
      <c r="Y190" s="1006">
        <f t="shared" ca="1" si="53"/>
        <v>2545.4246870877596</v>
      </c>
      <c r="Z190" s="1480">
        <f t="shared" ca="1" si="54"/>
        <v>2.9344084151188023</v>
      </c>
      <c r="AA190" s="1480">
        <f t="shared" ca="1" si="41"/>
        <v>2.9344084151188023</v>
      </c>
      <c r="AB190" s="333">
        <f t="shared" ca="1" si="55"/>
        <v>2.901324462827334</v>
      </c>
      <c r="AC190" s="335">
        <f t="shared" ca="1" si="56"/>
        <v>867.44049464045224</v>
      </c>
      <c r="AD190" s="698" t="str">
        <f t="shared" ca="1" si="42"/>
        <v xml:space="preserve"> </v>
      </c>
    </row>
    <row r="191" spans="1:30">
      <c r="A191" s="672">
        <f>'Annex 12-Gas'!A191</f>
        <v>42401</v>
      </c>
      <c r="C191" s="1484">
        <f ca="1">IF($A191&gt;Endyr,0,VLOOKUP($A191,Tariff_Table,Tariff!$G$33))</f>
        <v>7431.57</v>
      </c>
      <c r="D191" s="1480">
        <f ca="1">VLOOKUP($A191,Curves_Table,Escalation!$AW$291)</f>
        <v>3.685571826281631</v>
      </c>
      <c r="E191" s="1486">
        <f t="shared" ca="1" si="43"/>
        <v>27389.585017039779</v>
      </c>
      <c r="F191" s="330">
        <f ca="1">VLOOKUP($A191,Plant_Table,'Plant Operations'!$C$270)</f>
        <v>480</v>
      </c>
      <c r="G191" s="1486">
        <f t="shared" ca="1" si="44"/>
        <v>13147.000808179093</v>
      </c>
      <c r="H191" s="1480">
        <f ca="1">IF(Assm!$L$74=0,VLOOKUP($A191,Curves_Table,Escalation!$D$291),VLOOKUP($A191,Curves_Table,Escalation!$E$291))</f>
        <v>2.939256885578533</v>
      </c>
      <c r="I191" s="384">
        <f t="shared" ca="1" si="45"/>
        <v>4472.8995524973898</v>
      </c>
      <c r="J191" s="692" t="str">
        <f t="shared" ca="1" si="38"/>
        <v xml:space="preserve"> </v>
      </c>
      <c r="L191" s="1484">
        <f ca="1">IF($A191&gt;Endyr,0,VLOOKUP($A191,Tariff_Table,Tariff!$H$33))</f>
        <v>6140.72</v>
      </c>
      <c r="M191" s="1480">
        <f t="shared" ca="1" si="46"/>
        <v>3.685571826281631</v>
      </c>
      <c r="N191" s="1486">
        <f t="shared" ca="1" si="47"/>
        <v>22632.064625084138</v>
      </c>
      <c r="O191" s="330">
        <f t="shared" ca="1" si="48"/>
        <v>480</v>
      </c>
      <c r="P191" s="1486">
        <f t="shared" ca="1" si="49"/>
        <v>10863.391020040386</v>
      </c>
      <c r="Q191" s="1480">
        <f t="shared" ca="1" si="50"/>
        <v>2.939256885578533</v>
      </c>
      <c r="R191" s="384">
        <f t="shared" ca="1" si="51"/>
        <v>3695.9651513760587</v>
      </c>
      <c r="S191" s="692" t="str">
        <f t="shared" ca="1" si="39"/>
        <v xml:space="preserve"> </v>
      </c>
      <c r="U191" s="1484">
        <f ca="1">IF($A191&gt;Endyr,0,VLOOKUP($A191,Tariff_Table,Tariff!$I$33))</f>
        <v>2.31</v>
      </c>
      <c r="V191" s="1480">
        <f t="shared" ca="1" si="40"/>
        <v>3.685571826281631</v>
      </c>
      <c r="W191" s="1486">
        <f t="shared" ca="1" si="52"/>
        <v>8.5136709187105684</v>
      </c>
      <c r="X191" s="334">
        <f ca="1">VLOOKUP($A191,Plant_Table,'Plant Operations'!$M$270)</f>
        <v>279691.77600000001</v>
      </c>
      <c r="Y191" s="1006">
        <f t="shared" ca="1" si="53"/>
        <v>2381.2037395337106</v>
      </c>
      <c r="Z191" s="1480">
        <f t="shared" ca="1" si="54"/>
        <v>2.939256885578533</v>
      </c>
      <c r="AA191" s="1480">
        <f t="shared" ca="1" si="41"/>
        <v>2.939256885578533</v>
      </c>
      <c r="AB191" s="333">
        <f t="shared" ca="1" si="55"/>
        <v>2.8965385640441648</v>
      </c>
      <c r="AC191" s="335">
        <f t="shared" ca="1" si="56"/>
        <v>810.13801523000222</v>
      </c>
      <c r="AD191" s="698" t="str">
        <f t="shared" ca="1" si="42"/>
        <v xml:space="preserve"> </v>
      </c>
    </row>
    <row r="192" spans="1:30">
      <c r="A192" s="672">
        <f>'Annex 12-Gas'!A192</f>
        <v>42430</v>
      </c>
      <c r="C192" s="1484">
        <f ca="1">IF($A192&gt;Endyr,0,VLOOKUP($A192,Tariff_Table,Tariff!$G$33))</f>
        <v>7431.57</v>
      </c>
      <c r="D192" s="1480">
        <f ca="1">VLOOKUP($A192,Curves_Table,Escalation!$AW$291)</f>
        <v>3.685571826281631</v>
      </c>
      <c r="E192" s="1486">
        <f t="shared" ca="1" si="43"/>
        <v>27389.585017039779</v>
      </c>
      <c r="F192" s="330">
        <f ca="1">VLOOKUP($A192,Plant_Table,'Plant Operations'!$C$270)</f>
        <v>480</v>
      </c>
      <c r="G192" s="1486">
        <f t="shared" ca="1" si="44"/>
        <v>13147.000808179093</v>
      </c>
      <c r="H192" s="1480">
        <f ca="1">IF(Assm!$L$74=0,VLOOKUP($A192,Curves_Table,Escalation!$D$291),VLOOKUP($A192,Curves_Table,Escalation!$E$291))</f>
        <v>2.9441133670791526</v>
      </c>
      <c r="I192" s="384">
        <f t="shared" ca="1" si="45"/>
        <v>4465.5212517248274</v>
      </c>
      <c r="J192" s="692" t="str">
        <f t="shared" ca="1" si="38"/>
        <v xml:space="preserve"> </v>
      </c>
      <c r="L192" s="1484">
        <f ca="1">IF($A192&gt;Endyr,0,VLOOKUP($A192,Tariff_Table,Tariff!$H$33))</f>
        <v>6140.72</v>
      </c>
      <c r="M192" s="1480">
        <f t="shared" ca="1" si="46"/>
        <v>3.685571826281631</v>
      </c>
      <c r="N192" s="1486">
        <f t="shared" ca="1" si="47"/>
        <v>22632.064625084138</v>
      </c>
      <c r="O192" s="330">
        <f t="shared" ca="1" si="48"/>
        <v>480</v>
      </c>
      <c r="P192" s="1486">
        <f t="shared" ca="1" si="49"/>
        <v>10863.391020040386</v>
      </c>
      <c r="Q192" s="1480">
        <f t="shared" ca="1" si="50"/>
        <v>2.9441133670791526</v>
      </c>
      <c r="R192" s="384">
        <f t="shared" ca="1" si="51"/>
        <v>3689.8684478369555</v>
      </c>
      <c r="S192" s="692" t="str">
        <f t="shared" ca="1" si="39"/>
        <v xml:space="preserve"> </v>
      </c>
      <c r="U192" s="1484">
        <f ca="1">IF($A192&gt;Endyr,0,VLOOKUP($A192,Tariff_Table,Tariff!$I$33))</f>
        <v>2.31</v>
      </c>
      <c r="V192" s="1480">
        <f t="shared" ca="1" si="40"/>
        <v>3.685571826281631</v>
      </c>
      <c r="W192" s="1486">
        <f t="shared" ca="1" si="52"/>
        <v>8.5136709187105684</v>
      </c>
      <c r="X192" s="334">
        <f ca="1">VLOOKUP($A192,Plant_Table,'Plant Operations'!$M$270)</f>
        <v>298980.864</v>
      </c>
      <c r="Y192" s="1006">
        <f t="shared" ca="1" si="53"/>
        <v>2545.4246870877596</v>
      </c>
      <c r="Z192" s="1480">
        <f t="shared" ca="1" si="54"/>
        <v>2.9441133670791526</v>
      </c>
      <c r="AA192" s="1480">
        <f t="shared" ca="1" si="41"/>
        <v>2.9441133670791526</v>
      </c>
      <c r="AB192" s="333">
        <f t="shared" ca="1" si="55"/>
        <v>2.8917605598717007</v>
      </c>
      <c r="AC192" s="335">
        <f t="shared" ca="1" si="56"/>
        <v>864.58107067156482</v>
      </c>
      <c r="AD192" s="698" t="str">
        <f t="shared" ca="1" si="42"/>
        <v xml:space="preserve"> </v>
      </c>
    </row>
    <row r="193" spans="1:30">
      <c r="A193" s="672">
        <f>'Annex 12-Gas'!A193</f>
        <v>42461</v>
      </c>
      <c r="C193" s="1484">
        <f ca="1">IF($A193&gt;Endyr,0,VLOOKUP($A193,Tariff_Table,Tariff!$G$33))</f>
        <v>7431.57</v>
      </c>
      <c r="D193" s="1480">
        <f ca="1">VLOOKUP($A193,Curves_Table,Escalation!$AW$291)</f>
        <v>3.685571826281631</v>
      </c>
      <c r="E193" s="1486">
        <f t="shared" ca="1" si="43"/>
        <v>27389.585017039779</v>
      </c>
      <c r="F193" s="330">
        <f ca="1">VLOOKUP($A193,Plant_Table,'Plant Operations'!$C$270)</f>
        <v>480</v>
      </c>
      <c r="G193" s="1486">
        <f t="shared" ca="1" si="44"/>
        <v>13147.000808179093</v>
      </c>
      <c r="H193" s="1480">
        <f ca="1">IF(Assm!$L$74=0,VLOOKUP($A193,Curves_Table,Escalation!$D$291),VLOOKUP($A193,Curves_Table,Escalation!$E$291))</f>
        <v>2.948977872857161</v>
      </c>
      <c r="I193" s="384">
        <f t="shared" ca="1" si="45"/>
        <v>4458.1551218766608</v>
      </c>
      <c r="J193" s="692" t="str">
        <f t="shared" ca="1" si="38"/>
        <v xml:space="preserve"> </v>
      </c>
      <c r="L193" s="1484">
        <f ca="1">IF($A193&gt;Endyr,0,VLOOKUP($A193,Tariff_Table,Tariff!$H$33))</f>
        <v>6140.72</v>
      </c>
      <c r="M193" s="1480">
        <f t="shared" ca="1" si="46"/>
        <v>3.685571826281631</v>
      </c>
      <c r="N193" s="1486">
        <f t="shared" ca="1" si="47"/>
        <v>22632.064625084138</v>
      </c>
      <c r="O193" s="330">
        <f t="shared" ca="1" si="48"/>
        <v>480</v>
      </c>
      <c r="P193" s="1486">
        <f t="shared" ca="1" si="49"/>
        <v>10863.391020040386</v>
      </c>
      <c r="Q193" s="1480">
        <f t="shared" ca="1" si="50"/>
        <v>2.948977872857161</v>
      </c>
      <c r="R193" s="384">
        <f t="shared" ca="1" si="51"/>
        <v>3683.7818011551335</v>
      </c>
      <c r="S193" s="692" t="str">
        <f t="shared" ca="1" si="39"/>
        <v xml:space="preserve"> </v>
      </c>
      <c r="U193" s="1484">
        <f ca="1">IF($A193&gt;Endyr,0,VLOOKUP($A193,Tariff_Table,Tariff!$I$33))</f>
        <v>2.31</v>
      </c>
      <c r="V193" s="1480">
        <f t="shared" ca="1" si="40"/>
        <v>3.685571826281631</v>
      </c>
      <c r="W193" s="1486">
        <f t="shared" ca="1" si="52"/>
        <v>8.5136709187105684</v>
      </c>
      <c r="X193" s="334">
        <f ca="1">VLOOKUP($A193,Plant_Table,'Plant Operations'!$M$270)</f>
        <v>289336.32000000001</v>
      </c>
      <c r="Y193" s="1006">
        <f t="shared" ca="1" si="53"/>
        <v>2463.3142133107349</v>
      </c>
      <c r="Z193" s="1480">
        <f t="shared" ca="1" si="54"/>
        <v>2.948977872857161</v>
      </c>
      <c r="AA193" s="1480">
        <f t="shared" ca="1" si="41"/>
        <v>2.948977872857161</v>
      </c>
      <c r="AB193" s="333">
        <f t="shared" ca="1" si="55"/>
        <v>2.8869904372873343</v>
      </c>
      <c r="AC193" s="335">
        <f t="shared" ca="1" si="56"/>
        <v>835.31118899990804</v>
      </c>
      <c r="AD193" s="698" t="str">
        <f t="shared" ca="1" si="42"/>
        <v xml:space="preserve"> </v>
      </c>
    </row>
    <row r="194" spans="1:30">
      <c r="A194" s="672">
        <f>'Annex 12-Gas'!A194</f>
        <v>42491</v>
      </c>
      <c r="C194" s="1484">
        <f ca="1">IF($A194&gt;Endyr,0,VLOOKUP($A194,Tariff_Table,Tariff!$G$33))</f>
        <v>7434.78</v>
      </c>
      <c r="D194" s="1480">
        <f ca="1">VLOOKUP($A194,Curves_Table,Escalation!$AW$291)</f>
        <v>3.9398762822950593</v>
      </c>
      <c r="E194" s="1486">
        <f t="shared" ca="1" si="43"/>
        <v>29292.113386081659</v>
      </c>
      <c r="F194" s="330">
        <f ca="1">VLOOKUP($A194,Plant_Table,'Plant Operations'!$C$270)</f>
        <v>480</v>
      </c>
      <c r="G194" s="1486">
        <f t="shared" ca="1" si="44"/>
        <v>14060.214425319196</v>
      </c>
      <c r="H194" s="1480">
        <f ca="1">IF(Assm!$L$74=0,VLOOKUP($A194,Curves_Table,Escalation!$D$291),VLOOKUP($A194,Curves_Table,Escalation!$E$291))</f>
        <v>2.9538504161709276</v>
      </c>
      <c r="I194" s="384">
        <f t="shared" ca="1" si="45"/>
        <v>4759.9615567349665</v>
      </c>
      <c r="J194" s="692" t="str">
        <f t="shared" ca="1" si="38"/>
        <v xml:space="preserve"> </v>
      </c>
      <c r="L194" s="1484">
        <f ca="1">IF($A194&gt;Endyr,0,VLOOKUP($A194,Tariff_Table,Tariff!$H$33))</f>
        <v>6151.18</v>
      </c>
      <c r="M194" s="1480">
        <f t="shared" ca="1" si="46"/>
        <v>3.9398762822950593</v>
      </c>
      <c r="N194" s="1486">
        <f t="shared" ca="1" si="47"/>
        <v>24234.888190127724</v>
      </c>
      <c r="O194" s="330">
        <f t="shared" ca="1" si="48"/>
        <v>480</v>
      </c>
      <c r="P194" s="1486">
        <f t="shared" ca="1" si="49"/>
        <v>11632.746331261307</v>
      </c>
      <c r="Q194" s="1480">
        <f t="shared" ca="1" si="50"/>
        <v>2.9538504161709276</v>
      </c>
      <c r="R194" s="384">
        <f t="shared" ca="1" si="51"/>
        <v>3938.1636482259046</v>
      </c>
      <c r="S194" s="692" t="str">
        <f t="shared" ca="1" si="39"/>
        <v xml:space="preserve"> </v>
      </c>
      <c r="U194" s="1484">
        <f ca="1">IF($A194&gt;Endyr,0,VLOOKUP($A194,Tariff_Table,Tariff!$I$33))</f>
        <v>2.3199999999999998</v>
      </c>
      <c r="V194" s="1480">
        <f t="shared" ca="1" si="40"/>
        <v>3.9398762822950593</v>
      </c>
      <c r="W194" s="1486">
        <f t="shared" ca="1" si="52"/>
        <v>9.1405129749245368</v>
      </c>
      <c r="X194" s="334">
        <f ca="1">VLOOKUP($A194,Plant_Table,'Plant Operations'!$M$270)</f>
        <v>298980.864</v>
      </c>
      <c r="Y194" s="1006">
        <f t="shared" ca="1" si="53"/>
        <v>2732.8384666461484</v>
      </c>
      <c r="Z194" s="1480">
        <f t="shared" ca="1" si="54"/>
        <v>2.9538504161709276</v>
      </c>
      <c r="AA194" s="1480">
        <f t="shared" ca="1" si="41"/>
        <v>2.9538504161709276</v>
      </c>
      <c r="AB194" s="333">
        <f t="shared" ca="1" si="55"/>
        <v>3.0944400315210854</v>
      </c>
      <c r="AC194" s="335">
        <f t="shared" ca="1" si="56"/>
        <v>925.17835422036137</v>
      </c>
      <c r="AD194" s="698" t="str">
        <f t="shared" ca="1" si="42"/>
        <v xml:space="preserve"> </v>
      </c>
    </row>
    <row r="195" spans="1:30">
      <c r="A195" s="672">
        <f>'Annex 12-Gas'!A195</f>
        <v>42522</v>
      </c>
      <c r="C195" s="1484">
        <f ca="1">IF($A195&gt;Endyr,0,VLOOKUP($A195,Tariff_Table,Tariff!$G$33))</f>
        <v>7434.78</v>
      </c>
      <c r="D195" s="1480">
        <f ca="1">VLOOKUP($A195,Curves_Table,Escalation!$AW$291)</f>
        <v>3.9398762822950593</v>
      </c>
      <c r="E195" s="1486">
        <f t="shared" ca="1" si="43"/>
        <v>29292.113386081659</v>
      </c>
      <c r="F195" s="330">
        <f ca="1">VLOOKUP($A195,Plant_Table,'Plant Operations'!$C$270)</f>
        <v>480</v>
      </c>
      <c r="G195" s="1486">
        <f t="shared" ca="1" si="44"/>
        <v>14060.214425319196</v>
      </c>
      <c r="H195" s="1480">
        <f ca="1">IF(Assm!$L$74=0,VLOOKUP($A195,Curves_Table,Escalation!$D$291),VLOOKUP($A195,Curves_Table,Escalation!$E$291))</f>
        <v>2.9587310103007285</v>
      </c>
      <c r="I195" s="384">
        <f t="shared" ca="1" si="45"/>
        <v>4752.1097309518855</v>
      </c>
      <c r="J195" s="692" t="str">
        <f t="shared" ca="1" si="38"/>
        <v xml:space="preserve"> </v>
      </c>
      <c r="L195" s="1484">
        <f ca="1">IF($A195&gt;Endyr,0,VLOOKUP($A195,Tariff_Table,Tariff!$H$33))</f>
        <v>6151.18</v>
      </c>
      <c r="M195" s="1480">
        <f t="shared" ca="1" si="46"/>
        <v>3.9398762822950593</v>
      </c>
      <c r="N195" s="1486">
        <f t="shared" ca="1" si="47"/>
        <v>24234.888190127724</v>
      </c>
      <c r="O195" s="330">
        <f t="shared" ca="1" si="48"/>
        <v>480</v>
      </c>
      <c r="P195" s="1486">
        <f t="shared" ca="1" si="49"/>
        <v>11632.746331261307</v>
      </c>
      <c r="Q195" s="1480">
        <f t="shared" ca="1" si="50"/>
        <v>2.9587310103007285</v>
      </c>
      <c r="R195" s="384">
        <f t="shared" ca="1" si="51"/>
        <v>3931.6674245689346</v>
      </c>
      <c r="S195" s="692" t="str">
        <f t="shared" ca="1" si="39"/>
        <v xml:space="preserve"> </v>
      </c>
      <c r="U195" s="1484">
        <f ca="1">IF($A195&gt;Endyr,0,VLOOKUP($A195,Tariff_Table,Tariff!$I$33))</f>
        <v>2.3199999999999998</v>
      </c>
      <c r="V195" s="1480">
        <f t="shared" ca="1" si="40"/>
        <v>3.9398762822950593</v>
      </c>
      <c r="W195" s="1486">
        <f t="shared" ca="1" si="52"/>
        <v>9.1405129749245368</v>
      </c>
      <c r="X195" s="334">
        <f ca="1">VLOOKUP($A195,Plant_Table,'Plant Operations'!$M$270)</f>
        <v>289336.32000000001</v>
      </c>
      <c r="Y195" s="1006">
        <f t="shared" ca="1" si="53"/>
        <v>2644.6823870769181</v>
      </c>
      <c r="Z195" s="1480">
        <f t="shared" ca="1" si="54"/>
        <v>2.9587310103007285</v>
      </c>
      <c r="AA195" s="1480">
        <f t="shared" ca="1" si="41"/>
        <v>2.9587310103007285</v>
      </c>
      <c r="AB195" s="333">
        <f t="shared" ca="1" si="55"/>
        <v>3.0893355776858828</v>
      </c>
      <c r="AC195" s="335">
        <f t="shared" ca="1" si="56"/>
        <v>893.85698729270757</v>
      </c>
      <c r="AD195" s="698" t="str">
        <f t="shared" ca="1" si="42"/>
        <v xml:space="preserve"> </v>
      </c>
    </row>
    <row r="196" spans="1:30">
      <c r="A196" s="672">
        <f>'Annex 12-Gas'!A196</f>
        <v>42552</v>
      </c>
      <c r="C196" s="1484">
        <f ca="1">IF($A196&gt;Endyr,0,VLOOKUP($A196,Tariff_Table,Tariff!$G$33))</f>
        <v>7434.78</v>
      </c>
      <c r="D196" s="1480">
        <f ca="1">VLOOKUP($A196,Curves_Table,Escalation!$AW$291)</f>
        <v>3.9398762822950593</v>
      </c>
      <c r="E196" s="1486">
        <f t="shared" ca="1" si="43"/>
        <v>29292.113386081659</v>
      </c>
      <c r="F196" s="330">
        <f ca="1">VLOOKUP($A196,Plant_Table,'Plant Operations'!$C$270)</f>
        <v>480</v>
      </c>
      <c r="G196" s="1486">
        <f t="shared" ca="1" si="44"/>
        <v>14060.214425319196</v>
      </c>
      <c r="H196" s="1480">
        <f ca="1">IF(Assm!$L$74=0,VLOOKUP($A196,Curves_Table,Escalation!$D$291),VLOOKUP($A196,Curves_Table,Escalation!$E$291))</f>
        <v>2.9636196685487834</v>
      </c>
      <c r="I196" s="384">
        <f t="shared" ca="1" si="45"/>
        <v>4744.2708571994872</v>
      </c>
      <c r="J196" s="692" t="str">
        <f t="shared" ca="1" si="38"/>
        <v xml:space="preserve"> </v>
      </c>
      <c r="L196" s="1484">
        <f ca="1">IF($A196&gt;Endyr,0,VLOOKUP($A196,Tariff_Table,Tariff!$H$33))</f>
        <v>6151.18</v>
      </c>
      <c r="M196" s="1480">
        <f t="shared" ca="1" si="46"/>
        <v>3.9398762822950593</v>
      </c>
      <c r="N196" s="1486">
        <f t="shared" ca="1" si="47"/>
        <v>24234.888190127724</v>
      </c>
      <c r="O196" s="330">
        <f t="shared" ca="1" si="48"/>
        <v>480</v>
      </c>
      <c r="P196" s="1486">
        <f t="shared" ca="1" si="49"/>
        <v>11632.746331261307</v>
      </c>
      <c r="Q196" s="1480">
        <f t="shared" ca="1" si="50"/>
        <v>2.9636196685487834</v>
      </c>
      <c r="R196" s="384">
        <f t="shared" ca="1" si="51"/>
        <v>3925.1819168002744</v>
      </c>
      <c r="S196" s="692" t="str">
        <f t="shared" ca="1" si="39"/>
        <v xml:space="preserve"> </v>
      </c>
      <c r="U196" s="1484">
        <f ca="1">IF($A196&gt;Endyr,0,VLOOKUP($A196,Tariff_Table,Tariff!$I$33))</f>
        <v>2.3199999999999998</v>
      </c>
      <c r="V196" s="1480">
        <f t="shared" ca="1" si="40"/>
        <v>3.9398762822950593</v>
      </c>
      <c r="W196" s="1486">
        <f t="shared" ca="1" si="52"/>
        <v>9.1405129749245368</v>
      </c>
      <c r="X196" s="334">
        <f ca="1">VLOOKUP($A196,Plant_Table,'Plant Operations'!$M$270)</f>
        <v>298980.864</v>
      </c>
      <c r="Y196" s="1006">
        <f t="shared" ca="1" si="53"/>
        <v>2732.8384666461484</v>
      </c>
      <c r="Z196" s="1480">
        <f t="shared" ca="1" si="54"/>
        <v>2.9636196685487834</v>
      </c>
      <c r="AA196" s="1480">
        <f t="shared" ca="1" si="41"/>
        <v>2.9636196685487834</v>
      </c>
      <c r="AB196" s="333">
        <f t="shared" ca="1" si="55"/>
        <v>3.0842395439359587</v>
      </c>
      <c r="AC196" s="335">
        <f t="shared" ca="1" si="56"/>
        <v>922.12860362893889</v>
      </c>
      <c r="AD196" s="698" t="str">
        <f t="shared" ca="1" si="42"/>
        <v xml:space="preserve"> </v>
      </c>
    </row>
    <row r="197" spans="1:30">
      <c r="A197" s="672">
        <f>'Annex 12-Gas'!A197</f>
        <v>42583</v>
      </c>
      <c r="C197" s="1484">
        <f ca="1">IF($A197&gt;Endyr,0,VLOOKUP($A197,Tariff_Table,Tariff!$G$33))</f>
        <v>7434.78</v>
      </c>
      <c r="D197" s="1480">
        <f ca="1">VLOOKUP($A197,Curves_Table,Escalation!$AW$291)</f>
        <v>3.9398762822950593</v>
      </c>
      <c r="E197" s="1486">
        <f t="shared" ca="1" si="43"/>
        <v>29292.113386081659</v>
      </c>
      <c r="F197" s="330">
        <f ca="1">VLOOKUP($A197,Plant_Table,'Plant Operations'!$C$270)</f>
        <v>480</v>
      </c>
      <c r="G197" s="1486">
        <f t="shared" ca="1" si="44"/>
        <v>14060.214425319196</v>
      </c>
      <c r="H197" s="1480">
        <f ca="1">IF(Assm!$L$74=0,VLOOKUP($A197,Curves_Table,Escalation!$D$291),VLOOKUP($A197,Curves_Table,Escalation!$E$291))</f>
        <v>2.9685164042392902</v>
      </c>
      <c r="I197" s="384">
        <f t="shared" ca="1" si="45"/>
        <v>4736.4449141126634</v>
      </c>
      <c r="J197" s="692" t="str">
        <f t="shared" ca="1" si="38"/>
        <v xml:space="preserve"> </v>
      </c>
      <c r="L197" s="1484">
        <f ca="1">IF($A197&gt;Endyr,0,VLOOKUP($A197,Tariff_Table,Tariff!$H$33))</f>
        <v>6151.18</v>
      </c>
      <c r="M197" s="1480">
        <f t="shared" ca="1" si="46"/>
        <v>3.9398762822950593</v>
      </c>
      <c r="N197" s="1486">
        <f t="shared" ca="1" si="47"/>
        <v>24234.888190127724</v>
      </c>
      <c r="O197" s="330">
        <f t="shared" ca="1" si="48"/>
        <v>480</v>
      </c>
      <c r="P197" s="1486">
        <f t="shared" ca="1" si="49"/>
        <v>11632.746331261307</v>
      </c>
      <c r="Q197" s="1480">
        <f t="shared" ca="1" si="50"/>
        <v>2.9685164042392902</v>
      </c>
      <c r="R197" s="384">
        <f t="shared" ca="1" si="51"/>
        <v>3918.7071072434601</v>
      </c>
      <c r="S197" s="692" t="str">
        <f t="shared" ca="1" si="39"/>
        <v xml:space="preserve"> </v>
      </c>
      <c r="U197" s="1484">
        <f ca="1">IF($A197&gt;Endyr,0,VLOOKUP($A197,Tariff_Table,Tariff!$I$33))</f>
        <v>2.3199999999999998</v>
      </c>
      <c r="V197" s="1480">
        <f t="shared" ca="1" si="40"/>
        <v>3.9398762822950593</v>
      </c>
      <c r="W197" s="1486">
        <f t="shared" ca="1" si="52"/>
        <v>9.1405129749245368</v>
      </c>
      <c r="X197" s="334">
        <f ca="1">VLOOKUP($A197,Plant_Table,'Plant Operations'!$M$270)</f>
        <v>298980.864</v>
      </c>
      <c r="Y197" s="1006">
        <f t="shared" ca="1" si="53"/>
        <v>2732.8384666461484</v>
      </c>
      <c r="Z197" s="1480">
        <f t="shared" ca="1" si="54"/>
        <v>2.9685164042392902</v>
      </c>
      <c r="AA197" s="1480">
        <f t="shared" ca="1" si="41"/>
        <v>2.9685164042392902</v>
      </c>
      <c r="AB197" s="333">
        <f t="shared" ca="1" si="55"/>
        <v>3.0791519163819068</v>
      </c>
      <c r="AC197" s="335">
        <f t="shared" ca="1" si="56"/>
        <v>920.60750034711816</v>
      </c>
      <c r="AD197" s="698" t="str">
        <f t="shared" ca="1" si="42"/>
        <v xml:space="preserve"> </v>
      </c>
    </row>
    <row r="198" spans="1:30">
      <c r="A198" s="672">
        <f>'Annex 12-Gas'!A198</f>
        <v>42614</v>
      </c>
      <c r="C198" s="1484">
        <f ca="1">IF($A198&gt;Endyr,0,VLOOKUP($A198,Tariff_Table,Tariff!$G$33))</f>
        <v>7434.78</v>
      </c>
      <c r="D198" s="1480">
        <f ca="1">VLOOKUP($A198,Curves_Table,Escalation!$AW$291)</f>
        <v>3.9398762822950593</v>
      </c>
      <c r="E198" s="1486">
        <f t="shared" ca="1" si="43"/>
        <v>29292.113386081659</v>
      </c>
      <c r="F198" s="330">
        <f ca="1">VLOOKUP($A198,Plant_Table,'Plant Operations'!$C$270)</f>
        <v>480</v>
      </c>
      <c r="G198" s="1486">
        <f t="shared" ca="1" si="44"/>
        <v>14060.214425319196</v>
      </c>
      <c r="H198" s="1480">
        <f ca="1">IF(Assm!$L$74=0,VLOOKUP($A198,Curves_Table,Escalation!$D$291),VLOOKUP($A198,Curves_Table,Escalation!$E$291))</f>
        <v>2.9734212307184622</v>
      </c>
      <c r="I198" s="384">
        <f t="shared" ca="1" si="45"/>
        <v>4728.6318803615504</v>
      </c>
      <c r="J198" s="692" t="str">
        <f t="shared" ca="1" si="38"/>
        <v xml:space="preserve"> </v>
      </c>
      <c r="L198" s="1484">
        <f ca="1">IF($A198&gt;Endyr,0,VLOOKUP($A198,Tariff_Table,Tariff!$H$33))</f>
        <v>6151.18</v>
      </c>
      <c r="M198" s="1480">
        <f t="shared" ca="1" si="46"/>
        <v>3.9398762822950593</v>
      </c>
      <c r="N198" s="1486">
        <f t="shared" ca="1" si="47"/>
        <v>24234.888190127724</v>
      </c>
      <c r="O198" s="330">
        <f t="shared" ca="1" si="48"/>
        <v>480</v>
      </c>
      <c r="P198" s="1486">
        <f t="shared" ca="1" si="49"/>
        <v>11632.746331261307</v>
      </c>
      <c r="Q198" s="1480">
        <f t="shared" ca="1" si="50"/>
        <v>2.9734212307184622</v>
      </c>
      <c r="R198" s="384">
        <f t="shared" ca="1" si="51"/>
        <v>3912.2429782511872</v>
      </c>
      <c r="S198" s="692" t="str">
        <f t="shared" ca="1" si="39"/>
        <v xml:space="preserve"> </v>
      </c>
      <c r="U198" s="1484">
        <f ca="1">IF($A198&gt;Endyr,0,VLOOKUP($A198,Tariff_Table,Tariff!$I$33))</f>
        <v>2.3199999999999998</v>
      </c>
      <c r="V198" s="1480">
        <f t="shared" ca="1" si="40"/>
        <v>3.9398762822950593</v>
      </c>
      <c r="W198" s="1486">
        <f t="shared" ca="1" si="52"/>
        <v>9.1405129749245368</v>
      </c>
      <c r="X198" s="334">
        <f ca="1">VLOOKUP($A198,Plant_Table,'Plant Operations'!$M$270)</f>
        <v>289336.32000000001</v>
      </c>
      <c r="Y198" s="1006">
        <f t="shared" ca="1" si="53"/>
        <v>2644.6823870769181</v>
      </c>
      <c r="Z198" s="1480">
        <f t="shared" ca="1" si="54"/>
        <v>2.9734212307184622</v>
      </c>
      <c r="AA198" s="1480">
        <f t="shared" ca="1" si="41"/>
        <v>2.9734212307184622</v>
      </c>
      <c r="AB198" s="333">
        <f t="shared" ca="1" si="55"/>
        <v>3.0740726811572312</v>
      </c>
      <c r="AC198" s="335">
        <f t="shared" ca="1" si="56"/>
        <v>889.44087697856673</v>
      </c>
      <c r="AD198" s="698" t="str">
        <f t="shared" ca="1" si="42"/>
        <v xml:space="preserve"> </v>
      </c>
    </row>
    <row r="199" spans="1:30">
      <c r="A199" s="672">
        <f>'Annex 12-Gas'!A199</f>
        <v>42644</v>
      </c>
      <c r="C199" s="1484">
        <f ca="1">IF($A199&gt;Endyr,0,VLOOKUP($A199,Tariff_Table,Tariff!$G$33))</f>
        <v>7434.78</v>
      </c>
      <c r="D199" s="1480">
        <f ca="1">VLOOKUP($A199,Curves_Table,Escalation!$AW$291)</f>
        <v>3.9398762822950593</v>
      </c>
      <c r="E199" s="1486">
        <f t="shared" ca="1" si="43"/>
        <v>29292.113386081659</v>
      </c>
      <c r="F199" s="330">
        <f ca="1">VLOOKUP($A199,Plant_Table,'Plant Operations'!$C$270)</f>
        <v>480</v>
      </c>
      <c r="G199" s="1486">
        <f t="shared" ca="1" si="44"/>
        <v>14060.214425319196</v>
      </c>
      <c r="H199" s="1480">
        <f ca="1">IF(Assm!$L$74=0,VLOOKUP($A199,Curves_Table,Escalation!$D$291),VLOOKUP($A199,Curves_Table,Escalation!$E$291))</f>
        <v>2.9783341613545646</v>
      </c>
      <c r="I199" s="384">
        <f t="shared" ca="1" si="45"/>
        <v>4720.8317346514687</v>
      </c>
      <c r="J199" s="692" t="str">
        <f t="shared" ca="1" si="38"/>
        <v xml:space="preserve"> </v>
      </c>
      <c r="L199" s="1484">
        <f ca="1">IF($A199&gt;Endyr,0,VLOOKUP($A199,Tariff_Table,Tariff!$H$33))</f>
        <v>6151.18</v>
      </c>
      <c r="M199" s="1480">
        <f t="shared" ca="1" si="46"/>
        <v>3.9398762822950593</v>
      </c>
      <c r="N199" s="1486">
        <f t="shared" ca="1" si="47"/>
        <v>24234.888190127724</v>
      </c>
      <c r="O199" s="330">
        <f t="shared" ca="1" si="48"/>
        <v>480</v>
      </c>
      <c r="P199" s="1486">
        <f t="shared" ca="1" si="49"/>
        <v>11632.746331261307</v>
      </c>
      <c r="Q199" s="1480">
        <f t="shared" ca="1" si="50"/>
        <v>2.9783341613545646</v>
      </c>
      <c r="R199" s="384">
        <f t="shared" ca="1" si="51"/>
        <v>3905.7895122052601</v>
      </c>
      <c r="S199" s="692" t="str">
        <f t="shared" ca="1" si="39"/>
        <v xml:space="preserve"> </v>
      </c>
      <c r="U199" s="1484">
        <f ca="1">IF($A199&gt;Endyr,0,VLOOKUP($A199,Tariff_Table,Tariff!$I$33))</f>
        <v>2.3199999999999998</v>
      </c>
      <c r="V199" s="1480">
        <f t="shared" ca="1" si="40"/>
        <v>3.9398762822950593</v>
      </c>
      <c r="W199" s="1486">
        <f t="shared" ca="1" si="52"/>
        <v>9.1405129749245368</v>
      </c>
      <c r="X199" s="334">
        <f ca="1">VLOOKUP($A199,Plant_Table,'Plant Operations'!$M$270)</f>
        <v>298980.864</v>
      </c>
      <c r="Y199" s="1006">
        <f t="shared" ca="1" si="53"/>
        <v>2732.8384666461484</v>
      </c>
      <c r="Z199" s="1480">
        <f t="shared" ca="1" si="54"/>
        <v>2.9783341613545646</v>
      </c>
      <c r="AA199" s="1480">
        <f t="shared" ca="1" si="41"/>
        <v>2.9783341613545646</v>
      </c>
      <c r="AB199" s="333">
        <f t="shared" ca="1" si="55"/>
        <v>3.0690018244183102</v>
      </c>
      <c r="AC199" s="335">
        <f t="shared" ca="1" si="56"/>
        <v>917.57281708216271</v>
      </c>
      <c r="AD199" s="698" t="str">
        <f t="shared" ca="1" si="42"/>
        <v xml:space="preserve"> </v>
      </c>
    </row>
    <row r="200" spans="1:30">
      <c r="A200" s="672">
        <f>'Annex 12-Gas'!A200</f>
        <v>42675</v>
      </c>
      <c r="C200" s="1484">
        <f ca="1">IF($A200&gt;Endyr,0,VLOOKUP($A200,Tariff_Table,Tariff!$G$33))</f>
        <v>7434.78</v>
      </c>
      <c r="D200" s="1480">
        <f ca="1">VLOOKUP($A200,Curves_Table,Escalation!$AW$291)</f>
        <v>3.9398762822950593</v>
      </c>
      <c r="E200" s="1486">
        <f t="shared" ca="1" si="43"/>
        <v>29292.113386081659</v>
      </c>
      <c r="F200" s="330">
        <f ca="1">VLOOKUP($A200,Plant_Table,'Plant Operations'!$C$270)</f>
        <v>480</v>
      </c>
      <c r="G200" s="1486">
        <f t="shared" ca="1" si="44"/>
        <v>14060.214425319196</v>
      </c>
      <c r="H200" s="1480">
        <f ca="1">IF(Assm!$L$74=0,VLOOKUP($A200,Curves_Table,Escalation!$D$291),VLOOKUP($A200,Curves_Table,Escalation!$E$291))</f>
        <v>2.9832552095379512</v>
      </c>
      <c r="I200" s="384">
        <f t="shared" ca="1" si="45"/>
        <v>4713.0444557228657</v>
      </c>
      <c r="J200" s="692" t="str">
        <f t="shared" ca="1" si="38"/>
        <v xml:space="preserve"> </v>
      </c>
      <c r="L200" s="1484">
        <f ca="1">IF($A200&gt;Endyr,0,VLOOKUP($A200,Tariff_Table,Tariff!$H$33))</f>
        <v>6151.18</v>
      </c>
      <c r="M200" s="1480">
        <f t="shared" ca="1" si="46"/>
        <v>3.9398762822950593</v>
      </c>
      <c r="N200" s="1486">
        <f t="shared" ca="1" si="47"/>
        <v>24234.888190127724</v>
      </c>
      <c r="O200" s="330">
        <f t="shared" ca="1" si="48"/>
        <v>480</v>
      </c>
      <c r="P200" s="1486">
        <f t="shared" ca="1" si="49"/>
        <v>11632.746331261307</v>
      </c>
      <c r="Q200" s="1480">
        <f t="shared" ca="1" si="50"/>
        <v>2.9832552095379512</v>
      </c>
      <c r="R200" s="384">
        <f t="shared" ca="1" si="51"/>
        <v>3899.346691516545</v>
      </c>
      <c r="S200" s="692" t="str">
        <f t="shared" ca="1" si="39"/>
        <v xml:space="preserve"> </v>
      </c>
      <c r="U200" s="1484">
        <f ca="1">IF($A200&gt;Endyr,0,VLOOKUP($A200,Tariff_Table,Tariff!$I$33))</f>
        <v>2.3199999999999998</v>
      </c>
      <c r="V200" s="1480">
        <f t="shared" ca="1" si="40"/>
        <v>3.9398762822950593</v>
      </c>
      <c r="W200" s="1486">
        <f t="shared" ca="1" si="52"/>
        <v>9.1405129749245368</v>
      </c>
      <c r="X200" s="334">
        <f ca="1">VLOOKUP($A200,Plant_Table,'Plant Operations'!$M$270)</f>
        <v>289336.32000000001</v>
      </c>
      <c r="Y200" s="1006">
        <f t="shared" ca="1" si="53"/>
        <v>2644.6823870769181</v>
      </c>
      <c r="Z200" s="1480">
        <f t="shared" ca="1" si="54"/>
        <v>2.9832552095379512</v>
      </c>
      <c r="AA200" s="1480">
        <f t="shared" ca="1" si="41"/>
        <v>2.9832552095379512</v>
      </c>
      <c r="AB200" s="333">
        <f t="shared" ca="1" si="55"/>
        <v>3.0639393323443578</v>
      </c>
      <c r="AC200" s="335">
        <f t="shared" ca="1" si="56"/>
        <v>886.50893112377355</v>
      </c>
      <c r="AD200" s="698" t="str">
        <f t="shared" ca="1" si="42"/>
        <v xml:space="preserve"> </v>
      </c>
    </row>
    <row r="201" spans="1:30">
      <c r="A201" s="672">
        <f>'Annex 12-Gas'!A201</f>
        <v>42705</v>
      </c>
      <c r="C201" s="1484">
        <f ca="1">IF($A201&gt;Endyr,0,VLOOKUP($A201,Tariff_Table,Tariff!$G$33))</f>
        <v>7434.78</v>
      </c>
      <c r="D201" s="1480">
        <f ca="1">VLOOKUP($A201,Curves_Table,Escalation!$AW$291)</f>
        <v>3.9398762822950593</v>
      </c>
      <c r="E201" s="1486">
        <f t="shared" ca="1" si="43"/>
        <v>29292.113386081659</v>
      </c>
      <c r="F201" s="330">
        <f ca="1">VLOOKUP($A201,Plant_Table,'Plant Operations'!$C$270)</f>
        <v>480</v>
      </c>
      <c r="G201" s="1486">
        <f t="shared" ca="1" si="44"/>
        <v>14060.214425319196</v>
      </c>
      <c r="H201" s="1480">
        <f ca="1">IF(Assm!$L$74=0,VLOOKUP($A201,Curves_Table,Escalation!$D$291),VLOOKUP($A201,Curves_Table,Escalation!$E$291))</f>
        <v>2.9881843886810961</v>
      </c>
      <c r="I201" s="384">
        <f t="shared" ca="1" si="45"/>
        <v>4705.2700223512629</v>
      </c>
      <c r="J201" s="692">
        <f t="shared" ca="1" si="38"/>
        <v>55737.431122489186</v>
      </c>
      <c r="L201" s="1484">
        <f ca="1">IF($A201&gt;Endyr,0,VLOOKUP($A201,Tariff_Table,Tariff!$H$33))</f>
        <v>6151.18</v>
      </c>
      <c r="M201" s="1480">
        <f t="shared" ca="1" si="46"/>
        <v>3.9398762822950593</v>
      </c>
      <c r="N201" s="1486">
        <f t="shared" ca="1" si="47"/>
        <v>24234.888190127724</v>
      </c>
      <c r="O201" s="330">
        <f t="shared" ca="1" si="48"/>
        <v>480</v>
      </c>
      <c r="P201" s="1486">
        <f t="shared" ca="1" si="49"/>
        <v>11632.746331261307</v>
      </c>
      <c r="Q201" s="1480">
        <f t="shared" ca="1" si="50"/>
        <v>2.9881843886810961</v>
      </c>
      <c r="R201" s="384">
        <f t="shared" ca="1" si="51"/>
        <v>3892.9144986249285</v>
      </c>
      <c r="S201" s="692">
        <f t="shared" ca="1" si="39"/>
        <v>46095.701106193854</v>
      </c>
      <c r="U201" s="1484">
        <f ca="1">IF($A201&gt;Endyr,0,VLOOKUP($A201,Tariff_Table,Tariff!$I$33))</f>
        <v>2.3199999999999998</v>
      </c>
      <c r="V201" s="1480">
        <f t="shared" ca="1" si="40"/>
        <v>3.9398762822950593</v>
      </c>
      <c r="W201" s="1486">
        <f t="shared" ca="1" si="52"/>
        <v>9.1405129749245368</v>
      </c>
      <c r="X201" s="334">
        <f ca="1">VLOOKUP($A201,Plant_Table,'Plant Operations'!$M$270)</f>
        <v>298980.864</v>
      </c>
      <c r="Y201" s="1006">
        <f t="shared" ca="1" si="53"/>
        <v>2732.8384666461484</v>
      </c>
      <c r="Z201" s="1480">
        <f t="shared" ca="1" si="54"/>
        <v>2.9881843886810961</v>
      </c>
      <c r="AA201" s="1480">
        <f t="shared" ca="1" si="41"/>
        <v>2.9881843886810961</v>
      </c>
      <c r="AB201" s="333">
        <f t="shared" ca="1" si="55"/>
        <v>3.0588851911373891</v>
      </c>
      <c r="AC201" s="335">
        <f t="shared" ca="1" si="56"/>
        <v>914.54813732306172</v>
      </c>
      <c r="AD201" s="698">
        <f t="shared" ca="1" si="42"/>
        <v>10647.312977538617</v>
      </c>
    </row>
    <row r="202" spans="1:30">
      <c r="A202" s="672">
        <f>'Annex 12-Gas'!A202</f>
        <v>42736</v>
      </c>
      <c r="C202" s="1484">
        <f ca="1">IF($A202&gt;Endyr,0,VLOOKUP($A202,Tariff_Table,Tariff!$G$33))</f>
        <v>7434.78</v>
      </c>
      <c r="D202" s="1480">
        <f ca="1">VLOOKUP($A202,Curves_Table,Escalation!$AW$291)</f>
        <v>3.9398762822950593</v>
      </c>
      <c r="E202" s="1486">
        <f t="shared" ca="1" si="43"/>
        <v>29292.113386081659</v>
      </c>
      <c r="F202" s="330">
        <f ca="1">VLOOKUP($A202,Plant_Table,'Plant Operations'!$C$270)</f>
        <v>480</v>
      </c>
      <c r="G202" s="1486">
        <f t="shared" ca="1" si="44"/>
        <v>14060.214425319196</v>
      </c>
      <c r="H202" s="1480">
        <f ca="1">IF(Assm!$L$74=0,VLOOKUP($A202,Curves_Table,Escalation!$D$291),VLOOKUP($A202,Curves_Table,Escalation!$E$291))</f>
        <v>2.9931091016997291</v>
      </c>
      <c r="I202" s="384">
        <f t="shared" ca="1" si="45"/>
        <v>4697.5282048137406</v>
      </c>
      <c r="J202" s="692" t="str">
        <f t="shared" ca="1" si="38"/>
        <v xml:space="preserve"> </v>
      </c>
      <c r="L202" s="1484">
        <f ca="1">IF($A202&gt;Endyr,0,VLOOKUP($A202,Tariff_Table,Tariff!$H$33))</f>
        <v>6151.18</v>
      </c>
      <c r="M202" s="1480">
        <f t="shared" ca="1" si="46"/>
        <v>3.9398762822950593</v>
      </c>
      <c r="N202" s="1486">
        <f t="shared" ca="1" si="47"/>
        <v>24234.888190127724</v>
      </c>
      <c r="O202" s="330">
        <f t="shared" ca="1" si="48"/>
        <v>480</v>
      </c>
      <c r="P202" s="1486">
        <f t="shared" ca="1" si="49"/>
        <v>11632.746331261307</v>
      </c>
      <c r="Q202" s="1480">
        <f t="shared" ca="1" si="50"/>
        <v>2.9931091016997291</v>
      </c>
      <c r="R202" s="384">
        <f t="shared" ca="1" si="51"/>
        <v>3886.5092905084198</v>
      </c>
      <c r="S202" s="692" t="str">
        <f t="shared" ca="1" si="39"/>
        <v xml:space="preserve"> </v>
      </c>
      <c r="U202" s="1484">
        <f ca="1">IF($A202&gt;Endyr,0,VLOOKUP($A202,Tariff_Table,Tariff!$I$33))</f>
        <v>2.3199999999999998</v>
      </c>
      <c r="V202" s="1480">
        <f t="shared" ca="1" si="40"/>
        <v>3.9398762822950593</v>
      </c>
      <c r="W202" s="1486">
        <f t="shared" ca="1" si="52"/>
        <v>9.1405129749245368</v>
      </c>
      <c r="X202" s="334">
        <f ca="1">VLOOKUP($A202,Plant_Table,'Plant Operations'!$M$270)</f>
        <v>298980.864</v>
      </c>
      <c r="Y202" s="1006">
        <f t="shared" ca="1" si="53"/>
        <v>2732.8384666461484</v>
      </c>
      <c r="Z202" s="1480">
        <f t="shared" ca="1" si="54"/>
        <v>2.9931091016997291</v>
      </c>
      <c r="AA202" s="1480">
        <f t="shared" ca="1" si="41"/>
        <v>2.9931091016997291</v>
      </c>
      <c r="AB202" s="333">
        <f t="shared" ca="1" si="55"/>
        <v>3.0538522534089436</v>
      </c>
      <c r="AC202" s="335">
        <f t="shared" ca="1" si="56"/>
        <v>913.04338525255298</v>
      </c>
      <c r="AD202" s="698" t="str">
        <f t="shared" ca="1" si="42"/>
        <v xml:space="preserve"> </v>
      </c>
    </row>
    <row r="203" spans="1:30">
      <c r="A203" s="672">
        <f>'Annex 12-Gas'!A203</f>
        <v>42767</v>
      </c>
      <c r="C203" s="1484">
        <f ca="1">IF($A203&gt;Endyr,0,VLOOKUP($A203,Tariff_Table,Tariff!$G$33))</f>
        <v>7434.78</v>
      </c>
      <c r="D203" s="1480">
        <f ca="1">VLOOKUP($A203,Curves_Table,Escalation!$AW$291)</f>
        <v>3.9398762822950593</v>
      </c>
      <c r="E203" s="1486">
        <f t="shared" ca="1" si="43"/>
        <v>29292.113386081659</v>
      </c>
      <c r="F203" s="330">
        <f ca="1">VLOOKUP($A203,Plant_Table,'Plant Operations'!$C$270)</f>
        <v>480</v>
      </c>
      <c r="G203" s="1486">
        <f t="shared" ca="1" si="44"/>
        <v>14060.214425319196</v>
      </c>
      <c r="H203" s="1480">
        <f ca="1">IF(Assm!$L$74=0,VLOOKUP($A203,Curves_Table,Escalation!$D$291),VLOOKUP($A203,Curves_Table,Escalation!$E$291))</f>
        <v>2.9980419309505488</v>
      </c>
      <c r="I203" s="384">
        <f t="shared" ca="1" si="45"/>
        <v>4689.7991252781821</v>
      </c>
      <c r="J203" s="692" t="str">
        <f t="shared" ca="1" si="38"/>
        <v xml:space="preserve"> </v>
      </c>
      <c r="L203" s="1484">
        <f ca="1">IF($A203&gt;Endyr,0,VLOOKUP($A203,Tariff_Table,Tariff!$H$33))</f>
        <v>6151.18</v>
      </c>
      <c r="M203" s="1480">
        <f t="shared" ca="1" si="46"/>
        <v>3.9398762822950593</v>
      </c>
      <c r="N203" s="1486">
        <f t="shared" ca="1" si="47"/>
        <v>24234.888190127724</v>
      </c>
      <c r="O203" s="330">
        <f t="shared" ca="1" si="48"/>
        <v>480</v>
      </c>
      <c r="P203" s="1486">
        <f t="shared" ca="1" si="49"/>
        <v>11632.746331261307</v>
      </c>
      <c r="Q203" s="1480">
        <f t="shared" ca="1" si="50"/>
        <v>2.9980419309505488</v>
      </c>
      <c r="R203" s="384">
        <f t="shared" ca="1" si="51"/>
        <v>3880.1146212031358</v>
      </c>
      <c r="S203" s="692" t="str">
        <f t="shared" ca="1" si="39"/>
        <v xml:space="preserve"> </v>
      </c>
      <c r="U203" s="1484">
        <f ca="1">IF($A203&gt;Endyr,0,VLOOKUP($A203,Tariff_Table,Tariff!$I$33))</f>
        <v>2.3199999999999998</v>
      </c>
      <c r="V203" s="1480">
        <f t="shared" ca="1" si="40"/>
        <v>3.9398762822950593</v>
      </c>
      <c r="W203" s="1486">
        <f t="shared" ca="1" si="52"/>
        <v>9.1405129749245368</v>
      </c>
      <c r="X203" s="334">
        <f ca="1">VLOOKUP($A203,Plant_Table,'Plant Operations'!$M$270)</f>
        <v>270047.23200000002</v>
      </c>
      <c r="Y203" s="1006">
        <f t="shared" ca="1" si="53"/>
        <v>2468.370227938457</v>
      </c>
      <c r="Z203" s="1480">
        <f t="shared" ca="1" si="54"/>
        <v>2.9980419309505488</v>
      </c>
      <c r="AA203" s="1480">
        <f t="shared" ca="1" si="41"/>
        <v>2.9980419309505488</v>
      </c>
      <c r="AB203" s="333">
        <f t="shared" ca="1" si="55"/>
        <v>3.0488275966262011</v>
      </c>
      <c r="AC203" s="335">
        <f t="shared" ca="1" si="56"/>
        <v>823.32745331411832</v>
      </c>
      <c r="AD203" s="698" t="str">
        <f t="shared" ca="1" si="42"/>
        <v xml:space="preserve"> </v>
      </c>
    </row>
    <row r="204" spans="1:30">
      <c r="A204" s="672">
        <f>'Annex 12-Gas'!A204</f>
        <v>42795</v>
      </c>
      <c r="C204" s="1484">
        <f ca="1">IF($A204&gt;Endyr,0,VLOOKUP($A204,Tariff_Table,Tariff!$G$33))</f>
        <v>7434.78</v>
      </c>
      <c r="D204" s="1480">
        <f ca="1">VLOOKUP($A204,Curves_Table,Escalation!$AW$291)</f>
        <v>3.9398762822950593</v>
      </c>
      <c r="E204" s="1486">
        <f t="shared" ca="1" si="43"/>
        <v>29292.113386081659</v>
      </c>
      <c r="F204" s="330">
        <f ca="1">VLOOKUP($A204,Plant_Table,'Plant Operations'!$C$270)</f>
        <v>480</v>
      </c>
      <c r="G204" s="1486">
        <f t="shared" ca="1" si="44"/>
        <v>14060.214425319196</v>
      </c>
      <c r="H204" s="1480">
        <f ca="1">IF(Assm!$L$74=0,VLOOKUP($A204,Curves_Table,Escalation!$D$291),VLOOKUP($A204,Curves_Table,Escalation!$E$291))</f>
        <v>3.0029828898096089</v>
      </c>
      <c r="I204" s="384">
        <f t="shared" ca="1" si="45"/>
        <v>4682.0827627861117</v>
      </c>
      <c r="J204" s="692" t="str">
        <f t="shared" ref="J204:J266" ca="1" si="57">IF(MONTH($A204)=12,SUM(I193:I204)," ")</f>
        <v xml:space="preserve"> </v>
      </c>
      <c r="L204" s="1484">
        <f ca="1">IF($A204&gt;Endyr,0,VLOOKUP($A204,Tariff_Table,Tariff!$H$33))</f>
        <v>6151.18</v>
      </c>
      <c r="M204" s="1480">
        <f t="shared" ca="1" si="46"/>
        <v>3.9398762822950593</v>
      </c>
      <c r="N204" s="1486">
        <f t="shared" ca="1" si="47"/>
        <v>24234.888190127724</v>
      </c>
      <c r="O204" s="330">
        <f t="shared" ca="1" si="48"/>
        <v>480</v>
      </c>
      <c r="P204" s="1486">
        <f t="shared" ca="1" si="49"/>
        <v>11632.746331261307</v>
      </c>
      <c r="Q204" s="1480">
        <f t="shared" ca="1" si="50"/>
        <v>3.0029828898096089</v>
      </c>
      <c r="R204" s="384">
        <f t="shared" ca="1" si="51"/>
        <v>3873.7304733690412</v>
      </c>
      <c r="S204" s="692" t="str">
        <f t="shared" ref="S204:S266" ca="1" si="58">IF(MONTH($A204)=12,SUM(R193:R204)," ")</f>
        <v xml:space="preserve"> </v>
      </c>
      <c r="U204" s="1484">
        <f ca="1">IF($A204&gt;Endyr,0,VLOOKUP($A204,Tariff_Table,Tariff!$I$33))</f>
        <v>2.3199999999999998</v>
      </c>
      <c r="V204" s="1480">
        <f t="shared" ref="V204:V266" ca="1" si="59">D204</f>
        <v>3.9398762822950593</v>
      </c>
      <c r="W204" s="1486">
        <f t="shared" ca="1" si="52"/>
        <v>9.1405129749245368</v>
      </c>
      <c r="X204" s="334">
        <f ca="1">VLOOKUP($A204,Plant_Table,'Plant Operations'!$M$270)</f>
        <v>298980.864</v>
      </c>
      <c r="Y204" s="1006">
        <f t="shared" ca="1" si="53"/>
        <v>2732.8384666461484</v>
      </c>
      <c r="Z204" s="1480">
        <f t="shared" ca="1" si="54"/>
        <v>3.0029828898096089</v>
      </c>
      <c r="AA204" s="1480">
        <f t="shared" ref="AA204:AA266" ca="1" si="60">H204</f>
        <v>3.0029828898096089</v>
      </c>
      <c r="AB204" s="333">
        <f t="shared" ca="1" si="55"/>
        <v>3.0438112071641044</v>
      </c>
      <c r="AC204" s="335">
        <f t="shared" ca="1" si="56"/>
        <v>910.04130457080703</v>
      </c>
      <c r="AD204" s="698" t="str">
        <f t="shared" ref="AD204:AD266" ca="1" si="61">IF(MONTH($A204)=12,SUM(AC193:AC204)," ")</f>
        <v xml:space="preserve"> </v>
      </c>
    </row>
    <row r="205" spans="1:30">
      <c r="A205" s="672">
        <f>'Annex 12-Gas'!A205</f>
        <v>42826</v>
      </c>
      <c r="C205" s="1484">
        <f ca="1">IF($A205&gt;Endyr,0,VLOOKUP($A205,Tariff_Table,Tariff!$G$33))</f>
        <v>7434.78</v>
      </c>
      <c r="D205" s="1480">
        <f ca="1">VLOOKUP($A205,Curves_Table,Escalation!$AW$291)</f>
        <v>3.9398762822950593</v>
      </c>
      <c r="E205" s="1486">
        <f t="shared" ref="E205:E266" ca="1" si="62">C205*D205</f>
        <v>29292.113386081659</v>
      </c>
      <c r="F205" s="330">
        <f ca="1">VLOOKUP($A205,Plant_Table,'Plant Operations'!$C$270)</f>
        <v>480</v>
      </c>
      <c r="G205" s="1486">
        <f t="shared" ref="G205:G266" ca="1" si="63">E205*F205/1000</f>
        <v>14060.214425319196</v>
      </c>
      <c r="H205" s="1480">
        <f ca="1">IF(Assm!$L$74=0,VLOOKUP($A205,Curves_Table,Escalation!$D$291),VLOOKUP($A205,Curves_Table,Escalation!$E$291))</f>
        <v>3.0079319916750076</v>
      </c>
      <c r="I205" s="384">
        <f t="shared" ref="I205:I266" ca="1" si="64">G205/H205</f>
        <v>4674.3790964135378</v>
      </c>
      <c r="J205" s="692" t="str">
        <f t="shared" ca="1" si="57"/>
        <v xml:space="preserve"> </v>
      </c>
      <c r="L205" s="1484">
        <f ca="1">IF($A205&gt;Endyr,0,VLOOKUP($A205,Tariff_Table,Tariff!$H$33))</f>
        <v>6151.18</v>
      </c>
      <c r="M205" s="1480">
        <f t="shared" ref="M205:M266" ca="1" si="65">D205</f>
        <v>3.9398762822950593</v>
      </c>
      <c r="N205" s="1486">
        <f t="shared" ref="N205:N266" ca="1" si="66">L205*M205</f>
        <v>24234.888190127724</v>
      </c>
      <c r="O205" s="330">
        <f t="shared" ref="O205:O266" ca="1" si="67">$F205</f>
        <v>480</v>
      </c>
      <c r="P205" s="1486">
        <f t="shared" ref="P205:P266" ca="1" si="68">N205*O205/1000</f>
        <v>11632.746331261307</v>
      </c>
      <c r="Q205" s="1480">
        <f t="shared" ref="Q205:Q266" ca="1" si="69">$H205</f>
        <v>3.0079319916750076</v>
      </c>
      <c r="R205" s="384">
        <f t="shared" ref="R205:R266" ca="1" si="70">P205/Q205</f>
        <v>3867.3568296946287</v>
      </c>
      <c r="S205" s="692" t="str">
        <f t="shared" ca="1" si="58"/>
        <v xml:space="preserve"> </v>
      </c>
      <c r="U205" s="1484">
        <f ca="1">IF($A205&gt;Endyr,0,VLOOKUP($A205,Tariff_Table,Tariff!$I$33))</f>
        <v>2.3199999999999998</v>
      </c>
      <c r="V205" s="1480">
        <f t="shared" ca="1" si="59"/>
        <v>3.9398762822950593</v>
      </c>
      <c r="W205" s="1486">
        <f t="shared" ref="W205:W266" ca="1" si="71">U205*V205</f>
        <v>9.1405129749245368</v>
      </c>
      <c r="X205" s="334">
        <f ca="1">VLOOKUP($A205,Plant_Table,'Plant Operations'!$M$270)</f>
        <v>289336.32000000001</v>
      </c>
      <c r="Y205" s="1006">
        <f t="shared" ref="Y205:Y266" ca="1" si="72">W205*X205/1000</f>
        <v>2644.6823870769181</v>
      </c>
      <c r="Z205" s="1480">
        <f t="shared" ref="Z205:Z266" ca="1" si="73">$H205</f>
        <v>3.0079319916750076</v>
      </c>
      <c r="AA205" s="1480">
        <f t="shared" ca="1" si="60"/>
        <v>3.0079319916750076</v>
      </c>
      <c r="AB205" s="333">
        <f t="shared" ref="AB205:AB266" ca="1" si="74">W205/AA205</f>
        <v>3.0388030714200154</v>
      </c>
      <c r="AC205" s="335">
        <f t="shared" ref="AC205:AC266" ca="1" si="75">Y205/Z205</f>
        <v>879.23609788936449</v>
      </c>
      <c r="AD205" s="698" t="str">
        <f t="shared" ca="1" si="61"/>
        <v xml:space="preserve"> </v>
      </c>
    </row>
    <row r="206" spans="1:30">
      <c r="A206" s="672">
        <f>'Annex 12-Gas'!A206</f>
        <v>42856</v>
      </c>
      <c r="C206" s="1484">
        <f ca="1">IF($A206&gt;Endyr,0,VLOOKUP($A206,Tariff_Table,Tariff!$G$33))</f>
        <v>7420.61</v>
      </c>
      <c r="D206" s="1480">
        <f ca="1">VLOOKUP($A206,Curves_Table,Escalation!$AW$291)</f>
        <v>4.2104140439583855</v>
      </c>
      <c r="E206" s="1486">
        <f t="shared" ca="1" si="62"/>
        <v>31243.840558738033</v>
      </c>
      <c r="F206" s="330">
        <f ca="1">VLOOKUP($A206,Plant_Table,'Plant Operations'!$C$270)</f>
        <v>480</v>
      </c>
      <c r="G206" s="1486">
        <f t="shared" ca="1" si="63"/>
        <v>14997.043468194255</v>
      </c>
      <c r="H206" s="1480">
        <f ca="1">IF(Assm!$L$74=0,VLOOKUP($A206,Curves_Table,Escalation!$D$291),VLOOKUP($A206,Curves_Table,Escalation!$E$291))</f>
        <v>3.012889249966924</v>
      </c>
      <c r="I206" s="384">
        <f t="shared" ca="1" si="64"/>
        <v>4977.6285233049621</v>
      </c>
      <c r="J206" s="692" t="str">
        <f t="shared" ca="1" si="57"/>
        <v xml:space="preserve"> </v>
      </c>
      <c r="L206" s="1484">
        <f ca="1">IF($A206&gt;Endyr,0,VLOOKUP($A206,Tariff_Table,Tariff!$H$33))</f>
        <v>6104.93</v>
      </c>
      <c r="M206" s="1480">
        <f t="shared" ca="1" si="65"/>
        <v>4.2104140439583855</v>
      </c>
      <c r="N206" s="1486">
        <f t="shared" ca="1" si="66"/>
        <v>25704.283009382867</v>
      </c>
      <c r="O206" s="330">
        <f t="shared" ca="1" si="67"/>
        <v>480</v>
      </c>
      <c r="P206" s="1486">
        <f t="shared" ca="1" si="68"/>
        <v>12338.055844503775</v>
      </c>
      <c r="Q206" s="1480">
        <f t="shared" ca="1" si="69"/>
        <v>3.012889249966924</v>
      </c>
      <c r="R206" s="384">
        <f t="shared" ca="1" si="70"/>
        <v>4095.0910640473176</v>
      </c>
      <c r="S206" s="692" t="str">
        <f t="shared" ca="1" si="58"/>
        <v xml:space="preserve"> </v>
      </c>
      <c r="U206" s="1484">
        <f ca="1">IF($A206&gt;Endyr,0,VLOOKUP($A206,Tariff_Table,Tariff!$I$33))</f>
        <v>2.2999999999999998</v>
      </c>
      <c r="V206" s="1480">
        <f t="shared" ca="1" si="59"/>
        <v>4.2104140439583855</v>
      </c>
      <c r="W206" s="1486">
        <f t="shared" ca="1" si="71"/>
        <v>9.6839523011042861</v>
      </c>
      <c r="X206" s="334">
        <f ca="1">VLOOKUP($A206,Plant_Table,'Plant Operations'!$M$270)</f>
        <v>298980.864</v>
      </c>
      <c r="Y206" s="1006">
        <f t="shared" ca="1" si="72"/>
        <v>2895.3164259189475</v>
      </c>
      <c r="Z206" s="1480">
        <f t="shared" ca="1" si="73"/>
        <v>3.012889249966924</v>
      </c>
      <c r="AA206" s="1480">
        <f t="shared" ca="1" si="60"/>
        <v>3.012889249966924</v>
      </c>
      <c r="AB206" s="333">
        <f t="shared" ca="1" si="74"/>
        <v>3.2141746667955347</v>
      </c>
      <c r="AC206" s="335">
        <f t="shared" ca="1" si="75"/>
        <v>960.97671892544099</v>
      </c>
      <c r="AD206" s="698" t="str">
        <f t="shared" ca="1" si="61"/>
        <v xml:space="preserve"> </v>
      </c>
    </row>
    <row r="207" spans="1:30">
      <c r="A207" s="672">
        <f>'Annex 12-Gas'!A207</f>
        <v>42887</v>
      </c>
      <c r="C207" s="1484">
        <f ca="1">IF($A207&gt;Endyr,0,VLOOKUP($A207,Tariff_Table,Tariff!$G$33))</f>
        <v>7420.61</v>
      </c>
      <c r="D207" s="1480">
        <f ca="1">VLOOKUP($A207,Curves_Table,Escalation!$AW$291)</f>
        <v>4.2104140439583855</v>
      </c>
      <c r="E207" s="1486">
        <f t="shared" ca="1" si="62"/>
        <v>31243.840558738033</v>
      </c>
      <c r="F207" s="330">
        <f ca="1">VLOOKUP($A207,Plant_Table,'Plant Operations'!$C$270)</f>
        <v>480</v>
      </c>
      <c r="G207" s="1486">
        <f t="shared" ca="1" si="63"/>
        <v>14997.043468194255</v>
      </c>
      <c r="H207" s="1480">
        <f ca="1">IF(Assm!$L$74=0,VLOOKUP($A207,Curves_Table,Escalation!$D$291),VLOOKUP($A207,Curves_Table,Escalation!$E$291))</f>
        <v>3.0178546781276538</v>
      </c>
      <c r="I207" s="384">
        <f t="shared" ca="1" si="64"/>
        <v>4969.4385806207092</v>
      </c>
      <c r="J207" s="692" t="str">
        <f t="shared" ca="1" si="57"/>
        <v xml:space="preserve"> </v>
      </c>
      <c r="L207" s="1484">
        <f ca="1">IF($A207&gt;Endyr,0,VLOOKUP($A207,Tariff_Table,Tariff!$H$33))</f>
        <v>6104.93</v>
      </c>
      <c r="M207" s="1480">
        <f t="shared" ca="1" si="65"/>
        <v>4.2104140439583855</v>
      </c>
      <c r="N207" s="1486">
        <f t="shared" ca="1" si="66"/>
        <v>25704.283009382867</v>
      </c>
      <c r="O207" s="330">
        <f t="shared" ca="1" si="67"/>
        <v>480</v>
      </c>
      <c r="P207" s="1486">
        <f t="shared" ca="1" si="68"/>
        <v>12338.055844503775</v>
      </c>
      <c r="Q207" s="1480">
        <f t="shared" ca="1" si="69"/>
        <v>3.0178546781276538</v>
      </c>
      <c r="R207" s="384">
        <f t="shared" ca="1" si="70"/>
        <v>4088.3532046541709</v>
      </c>
      <c r="S207" s="692" t="str">
        <f t="shared" ca="1" si="58"/>
        <v xml:space="preserve"> </v>
      </c>
      <c r="U207" s="1484">
        <f ca="1">IF($A207&gt;Endyr,0,VLOOKUP($A207,Tariff_Table,Tariff!$I$33))</f>
        <v>2.2999999999999998</v>
      </c>
      <c r="V207" s="1480">
        <f t="shared" ca="1" si="59"/>
        <v>4.2104140439583855</v>
      </c>
      <c r="W207" s="1486">
        <f t="shared" ca="1" si="71"/>
        <v>9.6839523011042861</v>
      </c>
      <c r="X207" s="334">
        <f ca="1">VLOOKUP($A207,Plant_Table,'Plant Operations'!$M$270)</f>
        <v>289336.32000000001</v>
      </c>
      <c r="Y207" s="1006">
        <f t="shared" ca="1" si="72"/>
        <v>2801.9191218570463</v>
      </c>
      <c r="Z207" s="1480">
        <f t="shared" ca="1" si="73"/>
        <v>3.0178546781276538</v>
      </c>
      <c r="AA207" s="1480">
        <f t="shared" ca="1" si="60"/>
        <v>3.0178546781276538</v>
      </c>
      <c r="AB207" s="333">
        <f t="shared" ca="1" si="74"/>
        <v>3.2088862234786042</v>
      </c>
      <c r="AC207" s="335">
        <f t="shared" ca="1" si="75"/>
        <v>928.44733119999705</v>
      </c>
      <c r="AD207" s="698" t="str">
        <f t="shared" ca="1" si="61"/>
        <v xml:space="preserve"> </v>
      </c>
    </row>
    <row r="208" spans="1:30">
      <c r="A208" s="672">
        <f>'Annex 12-Gas'!A208</f>
        <v>42917</v>
      </c>
      <c r="C208" s="1484">
        <f ca="1">IF($A208&gt;Endyr,0,VLOOKUP($A208,Tariff_Table,Tariff!$G$33))</f>
        <v>7420.61</v>
      </c>
      <c r="D208" s="1480">
        <f ca="1">VLOOKUP($A208,Curves_Table,Escalation!$AW$291)</f>
        <v>4.2104140439583855</v>
      </c>
      <c r="E208" s="1486">
        <f t="shared" ca="1" si="62"/>
        <v>31243.840558738033</v>
      </c>
      <c r="F208" s="330">
        <f ca="1">VLOOKUP($A208,Plant_Table,'Plant Operations'!$C$270)</f>
        <v>480</v>
      </c>
      <c r="G208" s="1486">
        <f t="shared" ca="1" si="63"/>
        <v>14997.043468194255</v>
      </c>
      <c r="H208" s="1480">
        <f ca="1">IF(Assm!$L$74=0,VLOOKUP($A208,Curves_Table,Escalation!$D$291),VLOOKUP($A208,Curves_Table,Escalation!$E$291))</f>
        <v>3.0228282896216476</v>
      </c>
      <c r="I208" s="384">
        <f t="shared" ca="1" si="64"/>
        <v>4961.262113261273</v>
      </c>
      <c r="J208" s="692" t="str">
        <f t="shared" ca="1" si="57"/>
        <v xml:space="preserve"> </v>
      </c>
      <c r="L208" s="1484">
        <f ca="1">IF($A208&gt;Endyr,0,VLOOKUP($A208,Tariff_Table,Tariff!$H$33))</f>
        <v>6104.93</v>
      </c>
      <c r="M208" s="1480">
        <f t="shared" ca="1" si="65"/>
        <v>4.2104140439583855</v>
      </c>
      <c r="N208" s="1486">
        <f t="shared" ca="1" si="66"/>
        <v>25704.283009382867</v>
      </c>
      <c r="O208" s="330">
        <f t="shared" ca="1" si="67"/>
        <v>480</v>
      </c>
      <c r="P208" s="1486">
        <f t="shared" ca="1" si="68"/>
        <v>12338.055844503775</v>
      </c>
      <c r="Q208" s="1480">
        <f t="shared" ca="1" si="69"/>
        <v>3.0228282896216476</v>
      </c>
      <c r="R208" s="384">
        <f t="shared" ca="1" si="70"/>
        <v>4081.6264314001337</v>
      </c>
      <c r="S208" s="692" t="str">
        <f t="shared" ca="1" si="58"/>
        <v xml:space="preserve"> </v>
      </c>
      <c r="U208" s="1484">
        <f ca="1">IF($A208&gt;Endyr,0,VLOOKUP($A208,Tariff_Table,Tariff!$I$33))</f>
        <v>2.2999999999999998</v>
      </c>
      <c r="V208" s="1480">
        <f t="shared" ca="1" si="59"/>
        <v>4.2104140439583855</v>
      </c>
      <c r="W208" s="1486">
        <f t="shared" ca="1" si="71"/>
        <v>9.6839523011042861</v>
      </c>
      <c r="X208" s="334">
        <f ca="1">VLOOKUP($A208,Plant_Table,'Plant Operations'!$M$270)</f>
        <v>298980.864</v>
      </c>
      <c r="Y208" s="1006">
        <f t="shared" ca="1" si="72"/>
        <v>2895.3164259189475</v>
      </c>
      <c r="Z208" s="1480">
        <f t="shared" ca="1" si="73"/>
        <v>3.0228282896216476</v>
      </c>
      <c r="AA208" s="1480">
        <f t="shared" ca="1" si="60"/>
        <v>3.0228282896216476</v>
      </c>
      <c r="AB208" s="333">
        <f t="shared" ca="1" si="74"/>
        <v>3.2036064815035781</v>
      </c>
      <c r="AC208" s="335">
        <f t="shared" ca="1" si="75"/>
        <v>957.81703375593986</v>
      </c>
      <c r="AD208" s="698" t="str">
        <f t="shared" ca="1" si="61"/>
        <v xml:space="preserve"> </v>
      </c>
    </row>
    <row r="209" spans="1:30">
      <c r="A209" s="672">
        <f>'Annex 12-Gas'!A209</f>
        <v>42948</v>
      </c>
      <c r="C209" s="1484">
        <f ca="1">IF($A209&gt;Endyr,0,VLOOKUP($A209,Tariff_Table,Tariff!$G$33))</f>
        <v>7420.61</v>
      </c>
      <c r="D209" s="1480">
        <f ca="1">VLOOKUP($A209,Curves_Table,Escalation!$AW$291)</f>
        <v>4.2104140439583855</v>
      </c>
      <c r="E209" s="1486">
        <f t="shared" ca="1" si="62"/>
        <v>31243.840558738033</v>
      </c>
      <c r="F209" s="330">
        <f ca="1">VLOOKUP($A209,Plant_Table,'Plant Operations'!$C$270)</f>
        <v>480</v>
      </c>
      <c r="G209" s="1486">
        <f t="shared" ca="1" si="63"/>
        <v>14997.043468194255</v>
      </c>
      <c r="H209" s="1480">
        <f ca="1">IF(Assm!$L$74=0,VLOOKUP($A209,Curves_Table,Escalation!$D$291),VLOOKUP($A209,Curves_Table,Escalation!$E$291))</f>
        <v>3.0278100979355456</v>
      </c>
      <c r="I209" s="384">
        <f t="shared" ca="1" si="64"/>
        <v>4953.0990990550245</v>
      </c>
      <c r="J209" s="692" t="str">
        <f t="shared" ca="1" si="57"/>
        <v xml:space="preserve"> </v>
      </c>
      <c r="L209" s="1484">
        <f ca="1">IF($A209&gt;Endyr,0,VLOOKUP($A209,Tariff_Table,Tariff!$H$33))</f>
        <v>6104.93</v>
      </c>
      <c r="M209" s="1480">
        <f t="shared" ca="1" si="65"/>
        <v>4.2104140439583855</v>
      </c>
      <c r="N209" s="1486">
        <f t="shared" ca="1" si="66"/>
        <v>25704.283009382867</v>
      </c>
      <c r="O209" s="330">
        <f t="shared" ca="1" si="67"/>
        <v>480</v>
      </c>
      <c r="P209" s="1486">
        <f t="shared" ca="1" si="68"/>
        <v>12338.055844503775</v>
      </c>
      <c r="Q209" s="1480">
        <f t="shared" ca="1" si="69"/>
        <v>3.0278100979355456</v>
      </c>
      <c r="R209" s="384">
        <f t="shared" ca="1" si="70"/>
        <v>4074.9107260446231</v>
      </c>
      <c r="S209" s="692" t="str">
        <f t="shared" ca="1" si="58"/>
        <v xml:space="preserve"> </v>
      </c>
      <c r="U209" s="1484">
        <f ca="1">IF($A209&gt;Endyr,0,VLOOKUP($A209,Tariff_Table,Tariff!$I$33))</f>
        <v>2.2999999999999998</v>
      </c>
      <c r="V209" s="1480">
        <f t="shared" ca="1" si="59"/>
        <v>4.2104140439583855</v>
      </c>
      <c r="W209" s="1486">
        <f t="shared" ca="1" si="71"/>
        <v>9.6839523011042861</v>
      </c>
      <c r="X209" s="334">
        <f ca="1">VLOOKUP($A209,Plant_Table,'Plant Operations'!$M$270)</f>
        <v>298980.864</v>
      </c>
      <c r="Y209" s="1006">
        <f t="shared" ca="1" si="72"/>
        <v>2895.3164259189475</v>
      </c>
      <c r="Z209" s="1480">
        <f t="shared" ca="1" si="73"/>
        <v>3.0278100979355456</v>
      </c>
      <c r="AA209" s="1480">
        <f t="shared" ca="1" si="60"/>
        <v>3.0278100979355456</v>
      </c>
      <c r="AB209" s="333">
        <f t="shared" ca="1" si="74"/>
        <v>3.198335426553701</v>
      </c>
      <c r="AC209" s="335">
        <f t="shared" ca="1" si="75"/>
        <v>956.24108919283401</v>
      </c>
      <c r="AD209" s="698" t="str">
        <f t="shared" ca="1" si="61"/>
        <v xml:space="preserve"> </v>
      </c>
    </row>
    <row r="210" spans="1:30">
      <c r="A210" s="672">
        <f>'Annex 12-Gas'!A210</f>
        <v>42979</v>
      </c>
      <c r="C210" s="1484">
        <f ca="1">IF($A210&gt;Endyr,0,VLOOKUP($A210,Tariff_Table,Tariff!$G$33))</f>
        <v>7420.61</v>
      </c>
      <c r="D210" s="1480">
        <f ca="1">VLOOKUP($A210,Curves_Table,Escalation!$AW$291)</f>
        <v>4.2104140439583855</v>
      </c>
      <c r="E210" s="1486">
        <f t="shared" ca="1" si="62"/>
        <v>31243.840558738033</v>
      </c>
      <c r="F210" s="330">
        <f ca="1">VLOOKUP($A210,Plant_Table,'Plant Operations'!$C$270)</f>
        <v>480</v>
      </c>
      <c r="G210" s="1486">
        <f t="shared" ca="1" si="63"/>
        <v>14997.043468194255</v>
      </c>
      <c r="H210" s="1480">
        <f ca="1">IF(Assm!$L$74=0,VLOOKUP($A210,Curves_Table,Escalation!$D$291),VLOOKUP($A210,Curves_Table,Escalation!$E$291))</f>
        <v>3.0328001165782146</v>
      </c>
      <c r="I210" s="384">
        <f t="shared" ca="1" si="64"/>
        <v>4944.9495158668124</v>
      </c>
      <c r="J210" s="692" t="str">
        <f t="shared" ca="1" si="57"/>
        <v xml:space="preserve"> </v>
      </c>
      <c r="L210" s="1484">
        <f ca="1">IF($A210&gt;Endyr,0,VLOOKUP($A210,Tariff_Table,Tariff!$H$33))</f>
        <v>6104.93</v>
      </c>
      <c r="M210" s="1480">
        <f t="shared" ca="1" si="65"/>
        <v>4.2104140439583855</v>
      </c>
      <c r="N210" s="1486">
        <f t="shared" ca="1" si="66"/>
        <v>25704.283009382867</v>
      </c>
      <c r="O210" s="330">
        <f t="shared" ca="1" si="67"/>
        <v>480</v>
      </c>
      <c r="P210" s="1486">
        <f t="shared" ca="1" si="68"/>
        <v>12338.055844503775</v>
      </c>
      <c r="Q210" s="1480">
        <f t="shared" ca="1" si="69"/>
        <v>3.0328001165782146</v>
      </c>
      <c r="R210" s="384">
        <f t="shared" ca="1" si="70"/>
        <v>4068.206070377069</v>
      </c>
      <c r="S210" s="692" t="str">
        <f t="shared" ca="1" si="58"/>
        <v xml:space="preserve"> </v>
      </c>
      <c r="U210" s="1484">
        <f ca="1">IF($A210&gt;Endyr,0,VLOOKUP($A210,Tariff_Table,Tariff!$I$33))</f>
        <v>2.2999999999999998</v>
      </c>
      <c r="V210" s="1480">
        <f t="shared" ca="1" si="59"/>
        <v>4.2104140439583855</v>
      </c>
      <c r="W210" s="1486">
        <f t="shared" ca="1" si="71"/>
        <v>9.6839523011042861</v>
      </c>
      <c r="X210" s="334">
        <f ca="1">VLOOKUP($A210,Plant_Table,'Plant Operations'!$M$270)</f>
        <v>289336.32000000001</v>
      </c>
      <c r="Y210" s="1006">
        <f t="shared" ca="1" si="72"/>
        <v>2801.9191218570463</v>
      </c>
      <c r="Z210" s="1480">
        <f t="shared" ca="1" si="73"/>
        <v>3.0328001165782146</v>
      </c>
      <c r="AA210" s="1480">
        <f t="shared" ca="1" si="60"/>
        <v>3.0328001165782146</v>
      </c>
      <c r="AB210" s="333">
        <f t="shared" ca="1" si="74"/>
        <v>3.1930730443357729</v>
      </c>
      <c r="AC210" s="335">
        <f t="shared" ca="1" si="75"/>
        <v>923.87200413930941</v>
      </c>
      <c r="AD210" s="698" t="str">
        <f t="shared" ca="1" si="61"/>
        <v xml:space="preserve"> </v>
      </c>
    </row>
    <row r="211" spans="1:30">
      <c r="A211" s="672">
        <f>'Annex 12-Gas'!A211</f>
        <v>43009</v>
      </c>
      <c r="C211" s="1484">
        <f ca="1">IF($A211&gt;Endyr,0,VLOOKUP($A211,Tariff_Table,Tariff!$G$33))</f>
        <v>7420.61</v>
      </c>
      <c r="D211" s="1480">
        <f ca="1">VLOOKUP($A211,Curves_Table,Escalation!$AW$291)</f>
        <v>4.2104140439583855</v>
      </c>
      <c r="E211" s="1486">
        <f t="shared" ca="1" si="62"/>
        <v>31243.840558738033</v>
      </c>
      <c r="F211" s="330">
        <f ca="1">VLOOKUP($A211,Plant_Table,'Plant Operations'!$C$270)</f>
        <v>480</v>
      </c>
      <c r="G211" s="1486">
        <f t="shared" ca="1" si="63"/>
        <v>14997.043468194255</v>
      </c>
      <c r="H211" s="1480">
        <f ca="1">IF(Assm!$L$74=0,VLOOKUP($A211,Curves_Table,Escalation!$D$291),VLOOKUP($A211,Curves_Table,Escalation!$E$291))</f>
        <v>3.0377983590807851</v>
      </c>
      <c r="I211" s="384">
        <f t="shared" ca="1" si="64"/>
        <v>4936.8133415979091</v>
      </c>
      <c r="J211" s="692" t="str">
        <f t="shared" ca="1" si="57"/>
        <v xml:space="preserve"> </v>
      </c>
      <c r="L211" s="1484">
        <f ca="1">IF($A211&gt;Endyr,0,VLOOKUP($A211,Tariff_Table,Tariff!$H$33))</f>
        <v>6104.93</v>
      </c>
      <c r="M211" s="1480">
        <f t="shared" ca="1" si="65"/>
        <v>4.2104140439583855</v>
      </c>
      <c r="N211" s="1486">
        <f t="shared" ca="1" si="66"/>
        <v>25704.283009382867</v>
      </c>
      <c r="O211" s="330">
        <f t="shared" ca="1" si="67"/>
        <v>480</v>
      </c>
      <c r="P211" s="1486">
        <f t="shared" ca="1" si="68"/>
        <v>12338.055844503775</v>
      </c>
      <c r="Q211" s="1480">
        <f t="shared" ca="1" si="69"/>
        <v>3.0377983590807851</v>
      </c>
      <c r="R211" s="384">
        <f t="shared" ca="1" si="70"/>
        <v>4061.5124462168642</v>
      </c>
      <c r="S211" s="692" t="str">
        <f t="shared" ca="1" si="58"/>
        <v xml:space="preserve"> </v>
      </c>
      <c r="U211" s="1484">
        <f ca="1">IF($A211&gt;Endyr,0,VLOOKUP($A211,Tariff_Table,Tariff!$I$33))</f>
        <v>2.2999999999999998</v>
      </c>
      <c r="V211" s="1480">
        <f t="shared" ca="1" si="59"/>
        <v>4.2104140439583855</v>
      </c>
      <c r="W211" s="1486">
        <f t="shared" ca="1" si="71"/>
        <v>9.6839523011042861</v>
      </c>
      <c r="X211" s="334">
        <f ca="1">VLOOKUP($A211,Plant_Table,'Plant Operations'!$M$270)</f>
        <v>298980.864</v>
      </c>
      <c r="Y211" s="1006">
        <f t="shared" ca="1" si="72"/>
        <v>2895.3164259189475</v>
      </c>
      <c r="Z211" s="1480">
        <f t="shared" ca="1" si="73"/>
        <v>3.0377983590807851</v>
      </c>
      <c r="AA211" s="1480">
        <f t="shared" ca="1" si="60"/>
        <v>3.0377983590807851</v>
      </c>
      <c r="AB211" s="333">
        <f t="shared" ca="1" si="74"/>
        <v>3.1878193205801115</v>
      </c>
      <c r="AC211" s="335">
        <f t="shared" ca="1" si="75"/>
        <v>953.09697474293466</v>
      </c>
      <c r="AD211" s="698" t="str">
        <f t="shared" ca="1" si="61"/>
        <v xml:space="preserve"> </v>
      </c>
    </row>
    <row r="212" spans="1:30">
      <c r="A212" s="672">
        <f>'Annex 12-Gas'!A212</f>
        <v>43040</v>
      </c>
      <c r="C212" s="1484">
        <f ca="1">IF($A212&gt;Endyr,0,VLOOKUP($A212,Tariff_Table,Tariff!$G$33))</f>
        <v>7420.61</v>
      </c>
      <c r="D212" s="1480">
        <f ca="1">VLOOKUP($A212,Curves_Table,Escalation!$AW$291)</f>
        <v>4.2104140439583855</v>
      </c>
      <c r="E212" s="1486">
        <f t="shared" ca="1" si="62"/>
        <v>31243.840558738033</v>
      </c>
      <c r="F212" s="330">
        <f ca="1">VLOOKUP($A212,Plant_Table,'Plant Operations'!$C$270)</f>
        <v>480</v>
      </c>
      <c r="G212" s="1486">
        <f t="shared" ca="1" si="63"/>
        <v>14997.043468194255</v>
      </c>
      <c r="H212" s="1480">
        <f ca="1">IF(Assm!$L$74=0,VLOOKUP($A212,Curves_Table,Escalation!$D$291),VLOOKUP($A212,Curves_Table,Escalation!$E$291))</f>
        <v>3.042804838996688</v>
      </c>
      <c r="I212" s="384">
        <f t="shared" ca="1" si="64"/>
        <v>4928.6905541859433</v>
      </c>
      <c r="J212" s="692" t="str">
        <f t="shared" ca="1" si="57"/>
        <v xml:space="preserve"> </v>
      </c>
      <c r="L212" s="1484">
        <f ca="1">IF($A212&gt;Endyr,0,VLOOKUP($A212,Tariff_Table,Tariff!$H$33))</f>
        <v>6104.93</v>
      </c>
      <c r="M212" s="1480">
        <f t="shared" ca="1" si="65"/>
        <v>4.2104140439583855</v>
      </c>
      <c r="N212" s="1486">
        <f t="shared" ca="1" si="66"/>
        <v>25704.283009382867</v>
      </c>
      <c r="O212" s="330">
        <f t="shared" ca="1" si="67"/>
        <v>480</v>
      </c>
      <c r="P212" s="1486">
        <f t="shared" ca="1" si="68"/>
        <v>12338.055844503775</v>
      </c>
      <c r="Q212" s="1480">
        <f t="shared" ca="1" si="69"/>
        <v>3.042804838996688</v>
      </c>
      <c r="R212" s="384">
        <f t="shared" ca="1" si="70"/>
        <v>4054.829835413314</v>
      </c>
      <c r="S212" s="692" t="str">
        <f t="shared" ca="1" si="58"/>
        <v xml:space="preserve"> </v>
      </c>
      <c r="U212" s="1484">
        <f ca="1">IF($A212&gt;Endyr,0,VLOOKUP($A212,Tariff_Table,Tariff!$I$33))</f>
        <v>2.2999999999999998</v>
      </c>
      <c r="V212" s="1480">
        <f t="shared" ca="1" si="59"/>
        <v>4.2104140439583855</v>
      </c>
      <c r="W212" s="1486">
        <f t="shared" ca="1" si="71"/>
        <v>9.6839523011042861</v>
      </c>
      <c r="X212" s="334">
        <f ca="1">VLOOKUP($A212,Plant_Table,'Plant Operations'!$M$270)</f>
        <v>289336.32000000001</v>
      </c>
      <c r="Y212" s="1006">
        <f t="shared" ca="1" si="72"/>
        <v>2801.9191218570463</v>
      </c>
      <c r="Z212" s="1480">
        <f t="shared" ca="1" si="73"/>
        <v>3.042804838996688</v>
      </c>
      <c r="AA212" s="1480">
        <f t="shared" ca="1" si="60"/>
        <v>3.042804838996688</v>
      </c>
      <c r="AB212" s="333">
        <f t="shared" ca="1" si="74"/>
        <v>3.1825742410405136</v>
      </c>
      <c r="AC212" s="335">
        <f t="shared" ca="1" si="75"/>
        <v>920.83431902945517</v>
      </c>
      <c r="AD212" s="698" t="str">
        <f t="shared" ca="1" si="61"/>
        <v xml:space="preserve"> </v>
      </c>
    </row>
    <row r="213" spans="1:30">
      <c r="A213" s="672">
        <f>'Annex 12-Gas'!A213</f>
        <v>43070</v>
      </c>
      <c r="C213" s="1484">
        <f ca="1">IF($A213&gt;Endyr,0,VLOOKUP($A213,Tariff_Table,Tariff!$G$33))</f>
        <v>7420.61</v>
      </c>
      <c r="D213" s="1480">
        <f ca="1">VLOOKUP($A213,Curves_Table,Escalation!$AW$291)</f>
        <v>4.2104140439583855</v>
      </c>
      <c r="E213" s="1486">
        <f t="shared" ca="1" si="62"/>
        <v>31243.840558738033</v>
      </c>
      <c r="F213" s="330">
        <f ca="1">VLOOKUP($A213,Plant_Table,'Plant Operations'!$C$270)</f>
        <v>480</v>
      </c>
      <c r="G213" s="1486">
        <f t="shared" ca="1" si="63"/>
        <v>14997.043468194255</v>
      </c>
      <c r="H213" s="1480">
        <f ca="1">IF(Assm!$L$74=0,VLOOKUP($A213,Curves_Table,Escalation!$D$291),VLOOKUP($A213,Curves_Table,Escalation!$E$291))</f>
        <v>3.0478195699016921</v>
      </c>
      <c r="I213" s="384">
        <f t="shared" ca="1" si="64"/>
        <v>4920.581131604843</v>
      </c>
      <c r="J213" s="692">
        <f t="shared" ca="1" si="57"/>
        <v>58336.252048789058</v>
      </c>
      <c r="L213" s="1484">
        <f ca="1">IF($A213&gt;Endyr,0,VLOOKUP($A213,Tariff_Table,Tariff!$H$33))</f>
        <v>6104.93</v>
      </c>
      <c r="M213" s="1480">
        <f t="shared" ca="1" si="65"/>
        <v>4.2104140439583855</v>
      </c>
      <c r="N213" s="1486">
        <f t="shared" ca="1" si="66"/>
        <v>25704.283009382867</v>
      </c>
      <c r="O213" s="330">
        <f t="shared" ca="1" si="67"/>
        <v>480</v>
      </c>
      <c r="P213" s="1486">
        <f t="shared" ca="1" si="68"/>
        <v>12338.055844503775</v>
      </c>
      <c r="Q213" s="1480">
        <f t="shared" ca="1" si="69"/>
        <v>3.0478195699016921</v>
      </c>
      <c r="R213" s="384">
        <f t="shared" ca="1" si="70"/>
        <v>4048.1582198455867</v>
      </c>
      <c r="S213" s="692">
        <f t="shared" ca="1" si="58"/>
        <v>48080.399212774297</v>
      </c>
      <c r="U213" s="1484">
        <f ca="1">IF($A213&gt;Endyr,0,VLOOKUP($A213,Tariff_Table,Tariff!$I$33))</f>
        <v>2.2999999999999998</v>
      </c>
      <c r="V213" s="1480">
        <f t="shared" ca="1" si="59"/>
        <v>4.2104140439583855</v>
      </c>
      <c r="W213" s="1486">
        <f t="shared" ca="1" si="71"/>
        <v>9.6839523011042861</v>
      </c>
      <c r="X213" s="334">
        <f ca="1">VLOOKUP($A213,Plant_Table,'Plant Operations'!$M$270)</f>
        <v>298980.864</v>
      </c>
      <c r="Y213" s="1006">
        <f t="shared" ca="1" si="72"/>
        <v>2895.3164259189475</v>
      </c>
      <c r="Z213" s="1480">
        <f t="shared" ca="1" si="73"/>
        <v>3.0478195699016921</v>
      </c>
      <c r="AA213" s="1480">
        <f t="shared" ca="1" si="60"/>
        <v>3.0478195699016921</v>
      </c>
      <c r="AB213" s="333">
        <f t="shared" ca="1" si="74"/>
        <v>3.1773377914942134</v>
      </c>
      <c r="AC213" s="335">
        <f t="shared" ca="1" si="75"/>
        <v>949.96319812079173</v>
      </c>
      <c r="AD213" s="698">
        <f t="shared" ca="1" si="61"/>
        <v>11076.896910133544</v>
      </c>
    </row>
    <row r="214" spans="1:30">
      <c r="A214" s="672">
        <f>'Annex 12-Gas'!A214</f>
        <v>43101</v>
      </c>
      <c r="C214" s="1484">
        <f ca="1">IF($A214&gt;Endyr,0,VLOOKUP($A214,Tariff_Table,Tariff!$G$33))</f>
        <v>7420.61</v>
      </c>
      <c r="D214" s="1480">
        <f ca="1">VLOOKUP($A214,Curves_Table,Escalation!$AW$291)</f>
        <v>4.2104140439583855</v>
      </c>
      <c r="E214" s="1486">
        <f t="shared" ca="1" si="62"/>
        <v>31243.840558738033</v>
      </c>
      <c r="F214" s="330">
        <f ca="1">VLOOKUP($A214,Plant_Table,'Plant Operations'!$C$270)</f>
        <v>480</v>
      </c>
      <c r="G214" s="1486">
        <f t="shared" ca="1" si="63"/>
        <v>14997.043468194255</v>
      </c>
      <c r="H214" s="1480">
        <f ca="1">IF(Assm!$L$74=0,VLOOKUP($A214,Curves_Table,Escalation!$D$291),VLOOKUP($A214,Curves_Table,Escalation!$E$291))</f>
        <v>3.0528509811596467</v>
      </c>
      <c r="I214" s="384">
        <f t="shared" ca="1" si="64"/>
        <v>4912.4715096632472</v>
      </c>
      <c r="J214" s="692" t="str">
        <f t="shared" ca="1" si="57"/>
        <v xml:space="preserve"> </v>
      </c>
      <c r="L214" s="1484">
        <f ca="1">IF($A214&gt;Endyr,0,VLOOKUP($A214,Tariff_Table,Tariff!$H$33))</f>
        <v>6104.93</v>
      </c>
      <c r="M214" s="1480">
        <f t="shared" ca="1" si="65"/>
        <v>4.2104140439583855</v>
      </c>
      <c r="N214" s="1486">
        <f t="shared" ca="1" si="66"/>
        <v>25704.283009382867</v>
      </c>
      <c r="O214" s="330">
        <f t="shared" ca="1" si="67"/>
        <v>480</v>
      </c>
      <c r="P214" s="1486">
        <f t="shared" ca="1" si="68"/>
        <v>12338.055844503775</v>
      </c>
      <c r="Q214" s="1480">
        <f t="shared" ca="1" si="69"/>
        <v>3.0528509811596467</v>
      </c>
      <c r="R214" s="384">
        <f t="shared" ca="1" si="70"/>
        <v>4041.486440264136</v>
      </c>
      <c r="S214" s="692" t="str">
        <f t="shared" ca="1" si="58"/>
        <v xml:space="preserve"> </v>
      </c>
      <c r="U214" s="1484">
        <f ca="1">IF($A214&gt;Endyr,0,VLOOKUP($A214,Tariff_Table,Tariff!$I$33))</f>
        <v>2.2999999999999998</v>
      </c>
      <c r="V214" s="1480">
        <f t="shared" ca="1" si="59"/>
        <v>4.2104140439583855</v>
      </c>
      <c r="W214" s="1486">
        <f t="shared" ca="1" si="71"/>
        <v>9.6839523011042861</v>
      </c>
      <c r="X214" s="334">
        <f ca="1">VLOOKUP($A214,Plant_Table,'Plant Operations'!$M$270)</f>
        <v>298980.864</v>
      </c>
      <c r="Y214" s="1006">
        <f t="shared" ca="1" si="72"/>
        <v>2895.3164259189475</v>
      </c>
      <c r="Z214" s="1480">
        <f t="shared" ca="1" si="73"/>
        <v>3.0528509811596467</v>
      </c>
      <c r="AA214" s="1480">
        <f t="shared" ca="1" si="60"/>
        <v>3.0528509811596467</v>
      </c>
      <c r="AB214" s="333">
        <f t="shared" ca="1" si="74"/>
        <v>3.1721012132160378</v>
      </c>
      <c r="AC214" s="335">
        <f t="shared" ca="1" si="75"/>
        <v>948.39756142277906</v>
      </c>
      <c r="AD214" s="698" t="str">
        <f t="shared" ca="1" si="61"/>
        <v xml:space="preserve"> </v>
      </c>
    </row>
    <row r="215" spans="1:30">
      <c r="A215" s="672">
        <f>'Annex 12-Gas'!A215</f>
        <v>43132</v>
      </c>
      <c r="C215" s="1484">
        <f ca="1">IF($A215&gt;Endyr,0,VLOOKUP($A215,Tariff_Table,Tariff!$G$33))</f>
        <v>7420.61</v>
      </c>
      <c r="D215" s="1480">
        <f ca="1">VLOOKUP($A215,Curves_Table,Escalation!$AW$291)</f>
        <v>4.2104140439583855</v>
      </c>
      <c r="E215" s="1486">
        <f t="shared" ca="1" si="62"/>
        <v>31243.840558738033</v>
      </c>
      <c r="F215" s="330">
        <f ca="1">VLOOKUP($A215,Plant_Table,'Plant Operations'!$C$270)</f>
        <v>480</v>
      </c>
      <c r="G215" s="1486">
        <f t="shared" ca="1" si="63"/>
        <v>14997.043468194255</v>
      </c>
      <c r="H215" s="1480">
        <f ca="1">IF(Assm!$L$74=0,VLOOKUP($A215,Curves_Table,Escalation!$D$291),VLOOKUP($A215,Curves_Table,Escalation!$E$291))</f>
        <v>3.057890698388039</v>
      </c>
      <c r="I215" s="384">
        <f t="shared" ca="1" si="64"/>
        <v>4904.3752532096441</v>
      </c>
      <c r="J215" s="692" t="str">
        <f t="shared" ca="1" si="57"/>
        <v xml:space="preserve"> </v>
      </c>
      <c r="L215" s="1484">
        <f ca="1">IF($A215&gt;Endyr,0,VLOOKUP($A215,Tariff_Table,Tariff!$H$33))</f>
        <v>6104.93</v>
      </c>
      <c r="M215" s="1480">
        <f t="shared" ca="1" si="65"/>
        <v>4.2104140439583855</v>
      </c>
      <c r="N215" s="1486">
        <f t="shared" ca="1" si="66"/>
        <v>25704.283009382867</v>
      </c>
      <c r="O215" s="330">
        <f t="shared" ca="1" si="67"/>
        <v>480</v>
      </c>
      <c r="P215" s="1486">
        <f t="shared" ca="1" si="68"/>
        <v>12338.055844503775</v>
      </c>
      <c r="Q215" s="1480">
        <f t="shared" ca="1" si="69"/>
        <v>3.057890698388039</v>
      </c>
      <c r="R215" s="384">
        <f t="shared" ca="1" si="70"/>
        <v>4034.8256564591261</v>
      </c>
      <c r="S215" s="692" t="str">
        <f t="shared" ca="1" si="58"/>
        <v xml:space="preserve"> </v>
      </c>
      <c r="U215" s="1484">
        <f ca="1">IF($A215&gt;Endyr,0,VLOOKUP($A215,Tariff_Table,Tariff!$I$33))</f>
        <v>2.2999999999999998</v>
      </c>
      <c r="V215" s="1480">
        <f t="shared" ca="1" si="59"/>
        <v>4.2104140439583855</v>
      </c>
      <c r="W215" s="1486">
        <f t="shared" ca="1" si="71"/>
        <v>9.6839523011042861</v>
      </c>
      <c r="X215" s="334">
        <f ca="1">VLOOKUP($A215,Plant_Table,'Plant Operations'!$M$270)</f>
        <v>270047.23200000002</v>
      </c>
      <c r="Y215" s="1006">
        <f t="shared" ca="1" si="72"/>
        <v>2615.124513733243</v>
      </c>
      <c r="Z215" s="1480">
        <f t="shared" ca="1" si="73"/>
        <v>3.057890698388039</v>
      </c>
      <c r="AA215" s="1480">
        <f t="shared" ca="1" si="60"/>
        <v>3.057890698388039</v>
      </c>
      <c r="AB215" s="333">
        <f t="shared" ca="1" si="74"/>
        <v>3.1668732653554827</v>
      </c>
      <c r="AC215" s="335">
        <f t="shared" ca="1" si="75"/>
        <v>855.20535940404955</v>
      </c>
      <c r="AD215" s="698" t="str">
        <f t="shared" ca="1" si="61"/>
        <v xml:space="preserve"> </v>
      </c>
    </row>
    <row r="216" spans="1:30">
      <c r="A216" s="672">
        <f>'Annex 12-Gas'!A216</f>
        <v>43160</v>
      </c>
      <c r="C216" s="1484">
        <f ca="1">IF($A216&gt;Endyr,0,VLOOKUP($A216,Tariff_Table,Tariff!$G$33))</f>
        <v>7420.61</v>
      </c>
      <c r="D216" s="1480">
        <f ca="1">VLOOKUP($A216,Curves_Table,Escalation!$AW$291)</f>
        <v>4.2104140439583855</v>
      </c>
      <c r="E216" s="1486">
        <f t="shared" ca="1" si="62"/>
        <v>31243.840558738033</v>
      </c>
      <c r="F216" s="330">
        <f ca="1">VLOOKUP($A216,Plant_Table,'Plant Operations'!$C$270)</f>
        <v>480</v>
      </c>
      <c r="G216" s="1486">
        <f t="shared" ca="1" si="63"/>
        <v>14997.043468194255</v>
      </c>
      <c r="H216" s="1480">
        <f ca="1">IF(Assm!$L$74=0,VLOOKUP($A216,Curves_Table,Escalation!$D$291),VLOOKUP($A216,Curves_Table,Escalation!$E$291))</f>
        <v>3.0629387352985575</v>
      </c>
      <c r="I216" s="384">
        <f t="shared" ca="1" si="64"/>
        <v>4896.2923402163415</v>
      </c>
      <c r="J216" s="692" t="str">
        <f t="shared" ca="1" si="57"/>
        <v xml:space="preserve"> </v>
      </c>
      <c r="L216" s="1484">
        <f ca="1">IF($A216&gt;Endyr,0,VLOOKUP($A216,Tariff_Table,Tariff!$H$33))</f>
        <v>6104.93</v>
      </c>
      <c r="M216" s="1480">
        <f t="shared" ca="1" si="65"/>
        <v>4.2104140439583855</v>
      </c>
      <c r="N216" s="1486">
        <f t="shared" ca="1" si="66"/>
        <v>25704.283009382867</v>
      </c>
      <c r="O216" s="330">
        <f t="shared" ca="1" si="67"/>
        <v>480</v>
      </c>
      <c r="P216" s="1486">
        <f t="shared" ca="1" si="68"/>
        <v>12338.055844503775</v>
      </c>
      <c r="Q216" s="1480">
        <f t="shared" ca="1" si="69"/>
        <v>3.0629387352985575</v>
      </c>
      <c r="R216" s="384">
        <f t="shared" ca="1" si="70"/>
        <v>4028.1758503083911</v>
      </c>
      <c r="S216" s="692" t="str">
        <f t="shared" ca="1" si="58"/>
        <v xml:space="preserve"> </v>
      </c>
      <c r="U216" s="1484">
        <f ca="1">IF($A216&gt;Endyr,0,VLOOKUP($A216,Tariff_Table,Tariff!$I$33))</f>
        <v>2.2999999999999998</v>
      </c>
      <c r="V216" s="1480">
        <f t="shared" ca="1" si="59"/>
        <v>4.2104140439583855</v>
      </c>
      <c r="W216" s="1486">
        <f t="shared" ca="1" si="71"/>
        <v>9.6839523011042861</v>
      </c>
      <c r="X216" s="334">
        <f ca="1">VLOOKUP($A216,Plant_Table,'Plant Operations'!$M$270)</f>
        <v>298980.864</v>
      </c>
      <c r="Y216" s="1006">
        <f t="shared" ca="1" si="72"/>
        <v>2895.3164259189475</v>
      </c>
      <c r="Z216" s="1480">
        <f t="shared" ca="1" si="73"/>
        <v>3.0629387352985575</v>
      </c>
      <c r="AA216" s="1480">
        <f t="shared" ca="1" si="60"/>
        <v>3.0629387352985575</v>
      </c>
      <c r="AB216" s="333">
        <f t="shared" ca="1" si="74"/>
        <v>3.1616539336887359</v>
      </c>
      <c r="AC216" s="335">
        <f t="shared" ca="1" si="75"/>
        <v>945.27402476325688</v>
      </c>
      <c r="AD216" s="698" t="str">
        <f t="shared" ca="1" si="61"/>
        <v xml:space="preserve"> </v>
      </c>
    </row>
    <row r="217" spans="1:30">
      <c r="A217" s="672">
        <f>'Annex 12-Gas'!A217</f>
        <v>43191</v>
      </c>
      <c r="C217" s="1484">
        <f ca="1">IF($A217&gt;Endyr,0,VLOOKUP($A217,Tariff_Table,Tariff!$G$33))</f>
        <v>7420.61</v>
      </c>
      <c r="D217" s="1480">
        <f ca="1">VLOOKUP($A217,Curves_Table,Escalation!$AW$291)</f>
        <v>4.2104140439583855</v>
      </c>
      <c r="E217" s="1486">
        <f t="shared" ca="1" si="62"/>
        <v>31243.840558738033</v>
      </c>
      <c r="F217" s="330">
        <f ca="1">VLOOKUP($A217,Plant_Table,'Plant Operations'!$C$270)</f>
        <v>480</v>
      </c>
      <c r="G217" s="1486">
        <f t="shared" ca="1" si="63"/>
        <v>14997.043468194255</v>
      </c>
      <c r="H217" s="1480">
        <f ca="1">IF(Assm!$L$74=0,VLOOKUP($A217,Curves_Table,Escalation!$D$291),VLOOKUP($A217,Curves_Table,Escalation!$E$291))</f>
        <v>3.0679951056255268</v>
      </c>
      <c r="I217" s="384">
        <f t="shared" ca="1" si="64"/>
        <v>4888.2227486919473</v>
      </c>
      <c r="J217" s="692" t="str">
        <f t="shared" ca="1" si="57"/>
        <v xml:space="preserve"> </v>
      </c>
      <c r="L217" s="1484">
        <f ca="1">IF($A217&gt;Endyr,0,VLOOKUP($A217,Tariff_Table,Tariff!$H$33))</f>
        <v>6104.93</v>
      </c>
      <c r="M217" s="1480">
        <f t="shared" ca="1" si="65"/>
        <v>4.2104140439583855</v>
      </c>
      <c r="N217" s="1486">
        <f t="shared" ca="1" si="66"/>
        <v>25704.283009382867</v>
      </c>
      <c r="O217" s="330">
        <f t="shared" ca="1" si="67"/>
        <v>480</v>
      </c>
      <c r="P217" s="1486">
        <f t="shared" ca="1" si="68"/>
        <v>12338.055844503775</v>
      </c>
      <c r="Q217" s="1480">
        <f t="shared" ca="1" si="69"/>
        <v>3.0679951056255268</v>
      </c>
      <c r="R217" s="384">
        <f t="shared" ca="1" si="70"/>
        <v>4021.5370037196312</v>
      </c>
      <c r="S217" s="692" t="str">
        <f t="shared" ca="1" si="58"/>
        <v xml:space="preserve"> </v>
      </c>
      <c r="U217" s="1484">
        <f ca="1">IF($A217&gt;Endyr,0,VLOOKUP($A217,Tariff_Table,Tariff!$I$33))</f>
        <v>2.2999999999999998</v>
      </c>
      <c r="V217" s="1480">
        <f t="shared" ca="1" si="59"/>
        <v>4.2104140439583855</v>
      </c>
      <c r="W217" s="1486">
        <f t="shared" ca="1" si="71"/>
        <v>9.6839523011042861</v>
      </c>
      <c r="X217" s="334">
        <f ca="1">VLOOKUP($A217,Plant_Table,'Plant Operations'!$M$270)</f>
        <v>289336.32000000001</v>
      </c>
      <c r="Y217" s="1006">
        <f t="shared" ca="1" si="72"/>
        <v>2801.9191218570463</v>
      </c>
      <c r="Z217" s="1480">
        <f t="shared" ca="1" si="73"/>
        <v>3.0679951056255268</v>
      </c>
      <c r="AA217" s="1480">
        <f t="shared" ca="1" si="60"/>
        <v>3.0679951056255268</v>
      </c>
      <c r="AB217" s="333">
        <f t="shared" ca="1" si="74"/>
        <v>3.1564432040154271</v>
      </c>
      <c r="AC217" s="335">
        <f t="shared" ca="1" si="75"/>
        <v>913.2736609388329</v>
      </c>
      <c r="AD217" s="698" t="str">
        <f t="shared" ca="1" si="61"/>
        <v xml:space="preserve"> </v>
      </c>
    </row>
    <row r="218" spans="1:30">
      <c r="A218" s="672">
        <f>'Annex 12-Gas'!A218</f>
        <v>43221</v>
      </c>
      <c r="C218" s="1484">
        <f ca="1">IF($A218&gt;Endyr,0,VLOOKUP($A218,Tariff_Table,Tariff!$G$33))</f>
        <v>7429.43</v>
      </c>
      <c r="D218" s="1480">
        <f ca="1">VLOOKUP($A218,Curves_Table,Escalation!$AW$291)</f>
        <v>4.4967221989475599</v>
      </c>
      <c r="E218" s="1486">
        <f t="shared" ca="1" si="62"/>
        <v>33408.082806526974</v>
      </c>
      <c r="F218" s="330">
        <f ca="1">VLOOKUP($A218,Plant_Table,'Plant Operations'!$C$270)</f>
        <v>480</v>
      </c>
      <c r="G218" s="1486">
        <f t="shared" ca="1" si="63"/>
        <v>16035.879747132947</v>
      </c>
      <c r="H218" s="1480">
        <f ca="1">IF(Assm!$L$74=0,VLOOKUP($A218,Curves_Table,Escalation!$D$291),VLOOKUP($A218,Curves_Table,Escalation!$E$291))</f>
        <v>3.0730598231259436</v>
      </c>
      <c r="I218" s="384">
        <f t="shared" ca="1" si="64"/>
        <v>5218.2126838068216</v>
      </c>
      <c r="J218" s="692" t="str">
        <f t="shared" ca="1" si="57"/>
        <v xml:space="preserve"> </v>
      </c>
      <c r="L218" s="1484">
        <f ca="1">IF($A218&gt;Endyr,0,VLOOKUP($A218,Tariff_Table,Tariff!$H$33))</f>
        <v>6133.73</v>
      </c>
      <c r="M218" s="1480">
        <f t="shared" ca="1" si="65"/>
        <v>4.4967221989475599</v>
      </c>
      <c r="N218" s="1486">
        <f t="shared" ca="1" si="66"/>
        <v>27581.679853350615</v>
      </c>
      <c r="O218" s="330">
        <f t="shared" ca="1" si="67"/>
        <v>480</v>
      </c>
      <c r="P218" s="1486">
        <f t="shared" ca="1" si="68"/>
        <v>13239.206329608294</v>
      </c>
      <c r="Q218" s="1480">
        <f t="shared" ca="1" si="69"/>
        <v>3.0730598231259436</v>
      </c>
      <c r="R218" s="384">
        <f t="shared" ca="1" si="70"/>
        <v>4308.1511885900281</v>
      </c>
      <c r="S218" s="692" t="str">
        <f t="shared" ca="1" si="58"/>
        <v xml:space="preserve"> </v>
      </c>
      <c r="U218" s="1484">
        <f ca="1">IF($A218&gt;Endyr,0,VLOOKUP($A218,Tariff_Table,Tariff!$I$33))</f>
        <v>2.31</v>
      </c>
      <c r="V218" s="1480">
        <f t="shared" ca="1" si="59"/>
        <v>4.4967221989475599</v>
      </c>
      <c r="W218" s="1486">
        <f t="shared" ca="1" si="71"/>
        <v>10.387428279568864</v>
      </c>
      <c r="X218" s="334">
        <f ca="1">VLOOKUP($A218,Plant_Table,'Plant Operations'!$M$270)</f>
        <v>298980.864</v>
      </c>
      <c r="Y218" s="1006">
        <f t="shared" ca="1" si="72"/>
        <v>3105.6422817635325</v>
      </c>
      <c r="Z218" s="1480">
        <f t="shared" ca="1" si="73"/>
        <v>3.0730598231259436</v>
      </c>
      <c r="AA218" s="1480">
        <f t="shared" ca="1" si="60"/>
        <v>3.0730598231259436</v>
      </c>
      <c r="AB218" s="333">
        <f t="shared" ca="1" si="74"/>
        <v>3.3801581737522701</v>
      </c>
      <c r="AC218" s="335">
        <f t="shared" ca="1" si="75"/>
        <v>1010.6026112451159</v>
      </c>
      <c r="AD218" s="698" t="str">
        <f t="shared" ca="1" si="61"/>
        <v xml:space="preserve"> </v>
      </c>
    </row>
    <row r="219" spans="1:30">
      <c r="A219" s="672">
        <f>'Annex 12-Gas'!A219</f>
        <v>43252</v>
      </c>
      <c r="C219" s="1484">
        <f ca="1">IF($A219&gt;Endyr,0,VLOOKUP($A219,Tariff_Table,Tariff!$G$33))</f>
        <v>7429.43</v>
      </c>
      <c r="D219" s="1480">
        <f ca="1">VLOOKUP($A219,Curves_Table,Escalation!$AW$291)</f>
        <v>4.4967221989475599</v>
      </c>
      <c r="E219" s="1486">
        <f t="shared" ca="1" si="62"/>
        <v>33408.082806526974</v>
      </c>
      <c r="F219" s="330">
        <f ca="1">VLOOKUP($A219,Plant_Table,'Plant Operations'!$C$270)</f>
        <v>480</v>
      </c>
      <c r="G219" s="1486">
        <f t="shared" ca="1" si="63"/>
        <v>16035.879747132947</v>
      </c>
      <c r="H219" s="1480">
        <f ca="1">IF(Assm!$L$74=0,VLOOKUP($A219,Curves_Table,Escalation!$D$291),VLOOKUP($A219,Curves_Table,Escalation!$E$291))</f>
        <v>3.078132901579516</v>
      </c>
      <c r="I219" s="384">
        <f t="shared" ca="1" si="64"/>
        <v>5209.6125345673936</v>
      </c>
      <c r="J219" s="692" t="str">
        <f t="shared" ca="1" si="57"/>
        <v xml:space="preserve"> </v>
      </c>
      <c r="L219" s="1484">
        <f ca="1">IF($A219&gt;Endyr,0,VLOOKUP($A219,Tariff_Table,Tariff!$H$33))</f>
        <v>6133.73</v>
      </c>
      <c r="M219" s="1480">
        <f t="shared" ca="1" si="65"/>
        <v>4.4967221989475599</v>
      </c>
      <c r="N219" s="1486">
        <f t="shared" ca="1" si="66"/>
        <v>27581.679853350615</v>
      </c>
      <c r="O219" s="330">
        <f t="shared" ca="1" si="67"/>
        <v>480</v>
      </c>
      <c r="P219" s="1486">
        <f t="shared" ca="1" si="68"/>
        <v>13239.206329608294</v>
      </c>
      <c r="Q219" s="1480">
        <f t="shared" ca="1" si="69"/>
        <v>3.078132901579516</v>
      </c>
      <c r="R219" s="384">
        <f t="shared" ca="1" si="70"/>
        <v>4301.0509139532978</v>
      </c>
      <c r="S219" s="692" t="str">
        <f t="shared" ca="1" si="58"/>
        <v xml:space="preserve"> </v>
      </c>
      <c r="U219" s="1484">
        <f ca="1">IF($A219&gt;Endyr,0,VLOOKUP($A219,Tariff_Table,Tariff!$I$33))</f>
        <v>2.31</v>
      </c>
      <c r="V219" s="1480">
        <f t="shared" ca="1" si="59"/>
        <v>4.4967221989475599</v>
      </c>
      <c r="W219" s="1486">
        <f t="shared" ca="1" si="71"/>
        <v>10.387428279568864</v>
      </c>
      <c r="X219" s="334">
        <f ca="1">VLOOKUP($A219,Plant_Table,'Plant Operations'!$M$270)</f>
        <v>289336.32000000001</v>
      </c>
      <c r="Y219" s="1006">
        <f t="shared" ca="1" si="72"/>
        <v>3005.4602726743865</v>
      </c>
      <c r="Z219" s="1480">
        <f t="shared" ca="1" si="73"/>
        <v>3.078132901579516</v>
      </c>
      <c r="AA219" s="1480">
        <f t="shared" ca="1" si="60"/>
        <v>3.078132901579516</v>
      </c>
      <c r="AB219" s="333">
        <f t="shared" ca="1" si="74"/>
        <v>3.3745873267001074</v>
      </c>
      <c r="AC219" s="335">
        <f t="shared" ca="1" si="75"/>
        <v>976.39067862604691</v>
      </c>
      <c r="AD219" s="698" t="str">
        <f t="shared" ca="1" si="61"/>
        <v xml:space="preserve"> </v>
      </c>
    </row>
    <row r="220" spans="1:30">
      <c r="A220" s="672">
        <f>'Annex 12-Gas'!A220</f>
        <v>43282</v>
      </c>
      <c r="C220" s="1484">
        <f ca="1">IF($A220&gt;Endyr,0,VLOOKUP($A220,Tariff_Table,Tariff!$G$33))</f>
        <v>7429.43</v>
      </c>
      <c r="D220" s="1480">
        <f ca="1">VLOOKUP($A220,Curves_Table,Escalation!$AW$291)</f>
        <v>4.4967221989475599</v>
      </c>
      <c r="E220" s="1486">
        <f t="shared" ca="1" si="62"/>
        <v>33408.082806526974</v>
      </c>
      <c r="F220" s="330">
        <f ca="1">VLOOKUP($A220,Plant_Table,'Plant Operations'!$C$270)</f>
        <v>480</v>
      </c>
      <c r="G220" s="1486">
        <f t="shared" ca="1" si="63"/>
        <v>16035.879747132947</v>
      </c>
      <c r="H220" s="1480">
        <f ca="1">IF(Assm!$L$74=0,VLOOKUP($A220,Curves_Table,Escalation!$D$291),VLOOKUP($A220,Curves_Table,Escalation!$E$291))</f>
        <v>3.0832143547886992</v>
      </c>
      <c r="I220" s="384">
        <f t="shared" ca="1" si="64"/>
        <v>5201.0265592552123</v>
      </c>
      <c r="J220" s="692" t="str">
        <f t="shared" ca="1" si="57"/>
        <v xml:space="preserve"> </v>
      </c>
      <c r="L220" s="1484">
        <f ca="1">IF($A220&gt;Endyr,0,VLOOKUP($A220,Tariff_Table,Tariff!$H$33))</f>
        <v>6133.73</v>
      </c>
      <c r="M220" s="1480">
        <f t="shared" ca="1" si="65"/>
        <v>4.4967221989475599</v>
      </c>
      <c r="N220" s="1486">
        <f t="shared" ca="1" si="66"/>
        <v>27581.679853350615</v>
      </c>
      <c r="O220" s="330">
        <f t="shared" ca="1" si="67"/>
        <v>480</v>
      </c>
      <c r="P220" s="1486">
        <f t="shared" ca="1" si="68"/>
        <v>13239.206329608294</v>
      </c>
      <c r="Q220" s="1480">
        <f t="shared" ca="1" si="69"/>
        <v>3.0832143547886992</v>
      </c>
      <c r="R220" s="384">
        <f t="shared" ca="1" si="70"/>
        <v>4293.9623412967703</v>
      </c>
      <c r="S220" s="692" t="str">
        <f t="shared" ca="1" si="58"/>
        <v xml:space="preserve"> </v>
      </c>
      <c r="U220" s="1484">
        <f ca="1">IF($A220&gt;Endyr,0,VLOOKUP($A220,Tariff_Table,Tariff!$I$33))</f>
        <v>2.31</v>
      </c>
      <c r="V220" s="1480">
        <f t="shared" ca="1" si="59"/>
        <v>4.4967221989475599</v>
      </c>
      <c r="W220" s="1486">
        <f t="shared" ca="1" si="71"/>
        <v>10.387428279568864</v>
      </c>
      <c r="X220" s="334">
        <f ca="1">VLOOKUP($A220,Plant_Table,'Plant Operations'!$M$270)</f>
        <v>298980.864</v>
      </c>
      <c r="Y220" s="1006">
        <f t="shared" ca="1" si="72"/>
        <v>3105.6422817635325</v>
      </c>
      <c r="Z220" s="1480">
        <f t="shared" ca="1" si="73"/>
        <v>3.0832143547886992</v>
      </c>
      <c r="AA220" s="1480">
        <f t="shared" ca="1" si="60"/>
        <v>3.0832143547886992</v>
      </c>
      <c r="AB220" s="333">
        <f t="shared" ca="1" si="74"/>
        <v>3.3690256609747595</v>
      </c>
      <c r="AC220" s="335">
        <f t="shared" ca="1" si="75"/>
        <v>1007.2742029564047</v>
      </c>
      <c r="AD220" s="698" t="str">
        <f t="shared" ca="1" si="61"/>
        <v xml:space="preserve"> </v>
      </c>
    </row>
    <row r="221" spans="1:30">
      <c r="A221" s="672">
        <f>'Annex 12-Gas'!A221</f>
        <v>43313</v>
      </c>
      <c r="C221" s="1484">
        <f ca="1">IF($A221&gt;Endyr,0,VLOOKUP($A221,Tariff_Table,Tariff!$G$33))</f>
        <v>7429.43</v>
      </c>
      <c r="D221" s="1480">
        <f ca="1">VLOOKUP($A221,Curves_Table,Escalation!$AW$291)</f>
        <v>4.4967221989475599</v>
      </c>
      <c r="E221" s="1486">
        <f t="shared" ca="1" si="62"/>
        <v>33408.082806526974</v>
      </c>
      <c r="F221" s="330">
        <f ca="1">VLOOKUP($A221,Plant_Table,'Plant Operations'!$C$270)</f>
        <v>480</v>
      </c>
      <c r="G221" s="1486">
        <f t="shared" ca="1" si="63"/>
        <v>16035.879747132947</v>
      </c>
      <c r="H221" s="1480">
        <f ca="1">IF(Assm!$L$74=0,VLOOKUP($A221,Curves_Table,Escalation!$D$291),VLOOKUP($A221,Curves_Table,Escalation!$E$291))</f>
        <v>3.0883041965787341</v>
      </c>
      <c r="I221" s="384">
        <f t="shared" ca="1" si="64"/>
        <v>5192.4547345101937</v>
      </c>
      <c r="J221" s="692" t="str">
        <f t="shared" ca="1" si="57"/>
        <v xml:space="preserve"> </v>
      </c>
      <c r="L221" s="1484">
        <f ca="1">IF($A221&gt;Endyr,0,VLOOKUP($A221,Tariff_Table,Tariff!$H$33))</f>
        <v>6133.73</v>
      </c>
      <c r="M221" s="1480">
        <f t="shared" ca="1" si="65"/>
        <v>4.4967221989475599</v>
      </c>
      <c r="N221" s="1486">
        <f t="shared" ca="1" si="66"/>
        <v>27581.679853350615</v>
      </c>
      <c r="O221" s="330">
        <f t="shared" ca="1" si="67"/>
        <v>480</v>
      </c>
      <c r="P221" s="1486">
        <f t="shared" ca="1" si="68"/>
        <v>13239.206329608294</v>
      </c>
      <c r="Q221" s="1480">
        <f t="shared" ca="1" si="69"/>
        <v>3.0883041965787341</v>
      </c>
      <c r="R221" s="384">
        <f t="shared" ca="1" si="70"/>
        <v>4286.8854513343822</v>
      </c>
      <c r="S221" s="692" t="str">
        <f t="shared" ca="1" si="58"/>
        <v xml:space="preserve"> </v>
      </c>
      <c r="U221" s="1484">
        <f ca="1">IF($A221&gt;Endyr,0,VLOOKUP($A221,Tariff_Table,Tariff!$I$33))</f>
        <v>2.31</v>
      </c>
      <c r="V221" s="1480">
        <f t="shared" ca="1" si="59"/>
        <v>4.4967221989475599</v>
      </c>
      <c r="W221" s="1486">
        <f t="shared" ca="1" si="71"/>
        <v>10.387428279568864</v>
      </c>
      <c r="X221" s="334">
        <f ca="1">VLOOKUP($A221,Plant_Table,'Plant Operations'!$M$270)</f>
        <v>298980.864</v>
      </c>
      <c r="Y221" s="1006">
        <f t="shared" ca="1" si="72"/>
        <v>3105.6422817635325</v>
      </c>
      <c r="Z221" s="1480">
        <f t="shared" ca="1" si="73"/>
        <v>3.0883041965787341</v>
      </c>
      <c r="AA221" s="1480">
        <f t="shared" ca="1" si="60"/>
        <v>3.0883041965787341</v>
      </c>
      <c r="AB221" s="333">
        <f t="shared" ca="1" si="74"/>
        <v>3.3634731614444586</v>
      </c>
      <c r="AC221" s="335">
        <f t="shared" ca="1" si="75"/>
        <v>1005.6141118494758</v>
      </c>
      <c r="AD221" s="698" t="str">
        <f t="shared" ca="1" si="61"/>
        <v xml:space="preserve"> </v>
      </c>
    </row>
    <row r="222" spans="1:30">
      <c r="A222" s="672">
        <f>'Annex 12-Gas'!A222</f>
        <v>43344</v>
      </c>
      <c r="C222" s="1484">
        <f ca="1">IF($A222&gt;Endyr,0,VLOOKUP($A222,Tariff_Table,Tariff!$G$33))</f>
        <v>7429.43</v>
      </c>
      <c r="D222" s="1480">
        <f ca="1">VLOOKUP($A222,Curves_Table,Escalation!$AW$291)</f>
        <v>4.4967221989475599</v>
      </c>
      <c r="E222" s="1486">
        <f t="shared" ca="1" si="62"/>
        <v>33408.082806526974</v>
      </c>
      <c r="F222" s="330">
        <f ca="1">VLOOKUP($A222,Plant_Table,'Plant Operations'!$C$270)</f>
        <v>480</v>
      </c>
      <c r="G222" s="1486">
        <f t="shared" ca="1" si="63"/>
        <v>16035.879747132947</v>
      </c>
      <c r="H222" s="1480">
        <f ca="1">IF(Assm!$L$74=0,VLOOKUP($A222,Curves_Table,Escalation!$D$291),VLOOKUP($A222,Curves_Table,Escalation!$E$291))</f>
        <v>3.0934024407976843</v>
      </c>
      <c r="I222" s="384">
        <f t="shared" ca="1" si="64"/>
        <v>5183.8970370107527</v>
      </c>
      <c r="J222" s="692" t="str">
        <f t="shared" ca="1" si="57"/>
        <v xml:space="preserve"> </v>
      </c>
      <c r="L222" s="1484">
        <f ca="1">IF($A222&gt;Endyr,0,VLOOKUP($A222,Tariff_Table,Tariff!$H$33))</f>
        <v>6133.73</v>
      </c>
      <c r="M222" s="1480">
        <f t="shared" ca="1" si="65"/>
        <v>4.4967221989475599</v>
      </c>
      <c r="N222" s="1486">
        <f t="shared" ca="1" si="66"/>
        <v>27581.679853350615</v>
      </c>
      <c r="O222" s="330">
        <f t="shared" ca="1" si="67"/>
        <v>480</v>
      </c>
      <c r="P222" s="1486">
        <f t="shared" ca="1" si="68"/>
        <v>13239.206329608294</v>
      </c>
      <c r="Q222" s="1480">
        <f t="shared" ca="1" si="69"/>
        <v>3.0934024407976843</v>
      </c>
      <c r="R222" s="384">
        <f t="shared" ca="1" si="70"/>
        <v>4279.8202248118578</v>
      </c>
      <c r="S222" s="692" t="str">
        <f t="shared" ca="1" si="58"/>
        <v xml:space="preserve"> </v>
      </c>
      <c r="U222" s="1484">
        <f ca="1">IF($A222&gt;Endyr,0,VLOOKUP($A222,Tariff_Table,Tariff!$I$33))</f>
        <v>2.31</v>
      </c>
      <c r="V222" s="1480">
        <f t="shared" ca="1" si="59"/>
        <v>4.4967221989475599</v>
      </c>
      <c r="W222" s="1486">
        <f t="shared" ca="1" si="71"/>
        <v>10.387428279568864</v>
      </c>
      <c r="X222" s="334">
        <f ca="1">VLOOKUP($A222,Plant_Table,'Plant Operations'!$M$270)</f>
        <v>289336.32000000001</v>
      </c>
      <c r="Y222" s="1006">
        <f t="shared" ca="1" si="72"/>
        <v>3005.4602726743865</v>
      </c>
      <c r="Z222" s="1480">
        <f t="shared" ca="1" si="73"/>
        <v>3.0934024407976843</v>
      </c>
      <c r="AA222" s="1480">
        <f t="shared" ca="1" si="60"/>
        <v>3.0934024407976843</v>
      </c>
      <c r="AB222" s="333">
        <f t="shared" ca="1" si="74"/>
        <v>3.3579298130023769</v>
      </c>
      <c r="AC222" s="335">
        <f t="shared" ca="1" si="75"/>
        <v>971.57105491239588</v>
      </c>
      <c r="AD222" s="698" t="str">
        <f t="shared" ca="1" si="61"/>
        <v xml:space="preserve"> </v>
      </c>
    </row>
    <row r="223" spans="1:30">
      <c r="A223" s="672">
        <f>'Annex 12-Gas'!A223</f>
        <v>43374</v>
      </c>
      <c r="C223" s="1484">
        <f ca="1">IF($A223&gt;Endyr,0,VLOOKUP($A223,Tariff_Table,Tariff!$G$33))</f>
        <v>7429.43</v>
      </c>
      <c r="D223" s="1480">
        <f ca="1">VLOOKUP($A223,Curves_Table,Escalation!$AW$291)</f>
        <v>4.4967221989475599</v>
      </c>
      <c r="E223" s="1486">
        <f t="shared" ca="1" si="62"/>
        <v>33408.082806526974</v>
      </c>
      <c r="F223" s="330">
        <f ca="1">VLOOKUP($A223,Plant_Table,'Plant Operations'!$C$270)</f>
        <v>480</v>
      </c>
      <c r="G223" s="1486">
        <f t="shared" ca="1" si="63"/>
        <v>16035.879747132947</v>
      </c>
      <c r="H223" s="1480">
        <f ca="1">IF(Assm!$L$74=0,VLOOKUP($A223,Curves_Table,Escalation!$D$291),VLOOKUP($A223,Curves_Table,Escalation!$E$291))</f>
        <v>3.0985091013164747</v>
      </c>
      <c r="I223" s="384">
        <f t="shared" ca="1" si="64"/>
        <v>5175.3534434737421</v>
      </c>
      <c r="J223" s="692" t="str">
        <f t="shared" ca="1" si="57"/>
        <v xml:space="preserve"> </v>
      </c>
      <c r="L223" s="1484">
        <f ca="1">IF($A223&gt;Endyr,0,VLOOKUP($A223,Tariff_Table,Tariff!$H$33))</f>
        <v>6133.73</v>
      </c>
      <c r="M223" s="1480">
        <f t="shared" ca="1" si="65"/>
        <v>4.4967221989475599</v>
      </c>
      <c r="N223" s="1486">
        <f t="shared" ca="1" si="66"/>
        <v>27581.679853350615</v>
      </c>
      <c r="O223" s="330">
        <f t="shared" ca="1" si="67"/>
        <v>480</v>
      </c>
      <c r="P223" s="1486">
        <f t="shared" ca="1" si="68"/>
        <v>13239.206329608294</v>
      </c>
      <c r="Q223" s="1480">
        <f t="shared" ca="1" si="69"/>
        <v>3.0985091013164747</v>
      </c>
      <c r="R223" s="384">
        <f t="shared" ca="1" si="70"/>
        <v>4272.7666425066509</v>
      </c>
      <c r="S223" s="692" t="str">
        <f t="shared" ca="1" si="58"/>
        <v xml:space="preserve"> </v>
      </c>
      <c r="U223" s="1484">
        <f ca="1">IF($A223&gt;Endyr,0,VLOOKUP($A223,Tariff_Table,Tariff!$I$33))</f>
        <v>2.31</v>
      </c>
      <c r="V223" s="1480">
        <f t="shared" ca="1" si="59"/>
        <v>4.4967221989475599</v>
      </c>
      <c r="W223" s="1486">
        <f t="shared" ca="1" si="71"/>
        <v>10.387428279568864</v>
      </c>
      <c r="X223" s="334">
        <f ca="1">VLOOKUP($A223,Plant_Table,'Plant Operations'!$M$270)</f>
        <v>298980.864</v>
      </c>
      <c r="Y223" s="1006">
        <f t="shared" ca="1" si="72"/>
        <v>3105.6422817635325</v>
      </c>
      <c r="Z223" s="1480">
        <f t="shared" ca="1" si="73"/>
        <v>3.0985091013164747</v>
      </c>
      <c r="AA223" s="1480">
        <f t="shared" ca="1" si="60"/>
        <v>3.0985091013164747</v>
      </c>
      <c r="AB223" s="333">
        <f t="shared" ca="1" si="74"/>
        <v>3.3523956005665823</v>
      </c>
      <c r="AC223" s="335">
        <f t="shared" ca="1" si="75"/>
        <v>1002.3021331271956</v>
      </c>
      <c r="AD223" s="698" t="str">
        <f t="shared" ca="1" si="61"/>
        <v xml:space="preserve"> </v>
      </c>
    </row>
    <row r="224" spans="1:30">
      <c r="A224" s="672">
        <f>'Annex 12-Gas'!A224</f>
        <v>43405</v>
      </c>
      <c r="C224" s="1484">
        <f ca="1">IF($A224&gt;Endyr,0,VLOOKUP($A224,Tariff_Table,Tariff!$G$33))</f>
        <v>7429.43</v>
      </c>
      <c r="D224" s="1480">
        <f ca="1">VLOOKUP($A224,Curves_Table,Escalation!$AW$291)</f>
        <v>4.4967221989475599</v>
      </c>
      <c r="E224" s="1486">
        <f t="shared" ca="1" si="62"/>
        <v>33408.082806526974</v>
      </c>
      <c r="F224" s="330">
        <f ca="1">VLOOKUP($A224,Plant_Table,'Plant Operations'!$C$270)</f>
        <v>480</v>
      </c>
      <c r="G224" s="1486">
        <f t="shared" ca="1" si="63"/>
        <v>16035.879747132947</v>
      </c>
      <c r="H224" s="1480">
        <f ca="1">IF(Assm!$L$74=0,VLOOKUP($A224,Curves_Table,Escalation!$D$291),VLOOKUP($A224,Curves_Table,Escalation!$E$291))</f>
        <v>3.1036241920289283</v>
      </c>
      <c r="I224" s="384">
        <f t="shared" ca="1" si="64"/>
        <v>5166.8239306543855</v>
      </c>
      <c r="J224" s="692" t="str">
        <f t="shared" ca="1" si="57"/>
        <v xml:space="preserve"> </v>
      </c>
      <c r="L224" s="1484">
        <f ca="1">IF($A224&gt;Endyr,0,VLOOKUP($A224,Tariff_Table,Tariff!$H$33))</f>
        <v>6133.73</v>
      </c>
      <c r="M224" s="1480">
        <f t="shared" ca="1" si="65"/>
        <v>4.4967221989475599</v>
      </c>
      <c r="N224" s="1486">
        <f t="shared" ca="1" si="66"/>
        <v>27581.679853350615</v>
      </c>
      <c r="O224" s="330">
        <f t="shared" ca="1" si="67"/>
        <v>480</v>
      </c>
      <c r="P224" s="1486">
        <f t="shared" ca="1" si="68"/>
        <v>13239.206329608294</v>
      </c>
      <c r="Q224" s="1480">
        <f t="shared" ca="1" si="69"/>
        <v>3.1036241920289283</v>
      </c>
      <c r="R224" s="384">
        <f t="shared" ca="1" si="70"/>
        <v>4265.7246852278995</v>
      </c>
      <c r="S224" s="692" t="str">
        <f t="shared" ca="1" si="58"/>
        <v xml:space="preserve"> </v>
      </c>
      <c r="U224" s="1484">
        <f ca="1">IF($A224&gt;Endyr,0,VLOOKUP($A224,Tariff_Table,Tariff!$I$33))</f>
        <v>2.31</v>
      </c>
      <c r="V224" s="1480">
        <f t="shared" ca="1" si="59"/>
        <v>4.4967221989475599</v>
      </c>
      <c r="W224" s="1486">
        <f t="shared" ca="1" si="71"/>
        <v>10.387428279568864</v>
      </c>
      <c r="X224" s="334">
        <f ca="1">VLOOKUP($A224,Plant_Table,'Plant Operations'!$M$270)</f>
        <v>289336.32000000001</v>
      </c>
      <c r="Y224" s="1006">
        <f t="shared" ca="1" si="72"/>
        <v>3005.4602726743865</v>
      </c>
      <c r="Z224" s="1480">
        <f t="shared" ca="1" si="73"/>
        <v>3.1036241920289283</v>
      </c>
      <c r="AA224" s="1480">
        <f t="shared" ca="1" si="60"/>
        <v>3.1036241920289283</v>
      </c>
      <c r="AB224" s="333">
        <f t="shared" ca="1" si="74"/>
        <v>3.3468705090800004</v>
      </c>
      <c r="AC224" s="335">
        <f t="shared" ca="1" si="75"/>
        <v>968.37119661373401</v>
      </c>
      <c r="AD224" s="698" t="str">
        <f t="shared" ca="1" si="61"/>
        <v xml:space="preserve"> </v>
      </c>
    </row>
    <row r="225" spans="1:30">
      <c r="A225" s="672">
        <f>'Annex 12-Gas'!A225</f>
        <v>43435</v>
      </c>
      <c r="C225" s="1484">
        <f ca="1">IF($A225&gt;Endyr,0,VLOOKUP($A225,Tariff_Table,Tariff!$G$33))</f>
        <v>7429.43</v>
      </c>
      <c r="D225" s="1480">
        <f ca="1">VLOOKUP($A225,Curves_Table,Escalation!$AW$291)</f>
        <v>4.4967221989475599</v>
      </c>
      <c r="E225" s="1486">
        <f t="shared" ca="1" si="62"/>
        <v>33408.082806526974</v>
      </c>
      <c r="F225" s="330">
        <f ca="1">VLOOKUP($A225,Plant_Table,'Plant Operations'!$C$270)</f>
        <v>480</v>
      </c>
      <c r="G225" s="1486">
        <f t="shared" ca="1" si="63"/>
        <v>16035.879747132947</v>
      </c>
      <c r="H225" s="1480">
        <f ca="1">IF(Assm!$L$74=0,VLOOKUP($A225,Curves_Table,Escalation!$D$291),VLOOKUP($A225,Curves_Table,Escalation!$E$291))</f>
        <v>3.1087477268518051</v>
      </c>
      <c r="I225" s="384">
        <f t="shared" ca="1" si="64"/>
        <v>5158.3084753462153</v>
      </c>
      <c r="J225" s="692">
        <f t="shared" ca="1" si="57"/>
        <v>61107.051250405893</v>
      </c>
      <c r="L225" s="1484">
        <f ca="1">IF($A225&gt;Endyr,0,VLOOKUP($A225,Tariff_Table,Tariff!$H$33))</f>
        <v>6133.73</v>
      </c>
      <c r="M225" s="1480">
        <f t="shared" ca="1" si="65"/>
        <v>4.4967221989475599</v>
      </c>
      <c r="N225" s="1486">
        <f t="shared" ca="1" si="66"/>
        <v>27581.679853350615</v>
      </c>
      <c r="O225" s="330">
        <f t="shared" ca="1" si="67"/>
        <v>480</v>
      </c>
      <c r="P225" s="1486">
        <f t="shared" ca="1" si="68"/>
        <v>13239.206329608294</v>
      </c>
      <c r="Q225" s="1480">
        <f t="shared" ca="1" si="69"/>
        <v>3.1087477268518051</v>
      </c>
      <c r="R225" s="384">
        <f t="shared" ca="1" si="70"/>
        <v>4258.6943338163674</v>
      </c>
      <c r="S225" s="692">
        <f t="shared" ca="1" si="58"/>
        <v>50393.080732288538</v>
      </c>
      <c r="U225" s="1484">
        <f ca="1">IF($A225&gt;Endyr,0,VLOOKUP($A225,Tariff_Table,Tariff!$I$33))</f>
        <v>2.31</v>
      </c>
      <c r="V225" s="1480">
        <f t="shared" ca="1" si="59"/>
        <v>4.4967221989475599</v>
      </c>
      <c r="W225" s="1486">
        <f t="shared" ca="1" si="71"/>
        <v>10.387428279568864</v>
      </c>
      <c r="X225" s="334">
        <f ca="1">VLOOKUP($A225,Plant_Table,'Plant Operations'!$M$270)</f>
        <v>298980.864</v>
      </c>
      <c r="Y225" s="1006">
        <f t="shared" ca="1" si="72"/>
        <v>3105.6422817635325</v>
      </c>
      <c r="Z225" s="1480">
        <f t="shared" ca="1" si="73"/>
        <v>3.1087477268518051</v>
      </c>
      <c r="AA225" s="1480">
        <f t="shared" ca="1" si="60"/>
        <v>3.1087477268518051</v>
      </c>
      <c r="AB225" s="333">
        <f t="shared" ca="1" si="74"/>
        <v>3.3413545235103714</v>
      </c>
      <c r="AC225" s="335">
        <f t="shared" ca="1" si="75"/>
        <v>999.00106236943918</v>
      </c>
      <c r="AD225" s="698">
        <f t="shared" ca="1" si="61"/>
        <v>11603.277658228728</v>
      </c>
    </row>
    <row r="226" spans="1:30">
      <c r="A226" s="672">
        <f>'Annex 12-Gas'!A226</f>
        <v>43466</v>
      </c>
      <c r="C226" s="1484">
        <f ca="1">IF($A226&gt;Endyr,0,VLOOKUP($A226,Tariff_Table,Tariff!$G$33))</f>
        <v>7429.43</v>
      </c>
      <c r="D226" s="1480">
        <f ca="1">VLOOKUP($A226,Curves_Table,Escalation!$AW$291)</f>
        <v>4.4967221989475599</v>
      </c>
      <c r="E226" s="1486">
        <f t="shared" ca="1" si="62"/>
        <v>33408.082806526974</v>
      </c>
      <c r="F226" s="330">
        <f ca="1">VLOOKUP($A226,Plant_Table,'Plant Operations'!$C$270)</f>
        <v>480</v>
      </c>
      <c r="G226" s="1486">
        <f t="shared" ca="1" si="63"/>
        <v>16035.879747132947</v>
      </c>
      <c r="H226" s="1480">
        <f ca="1">IF(Assm!$L$74=0,VLOOKUP($A226,Curves_Table,Escalation!$D$291),VLOOKUP($A226,Curves_Table,Escalation!$E$291))</f>
        <v>3.1138921883315391</v>
      </c>
      <c r="I226" s="384">
        <f t="shared" ca="1" si="64"/>
        <v>5149.7864335904205</v>
      </c>
      <c r="J226" s="692" t="str">
        <f t="shared" ca="1" si="57"/>
        <v xml:space="preserve"> </v>
      </c>
      <c r="L226" s="1484">
        <f ca="1">IF($A226&gt;Endyr,0,VLOOKUP($A226,Tariff_Table,Tariff!$H$33))</f>
        <v>6133.73</v>
      </c>
      <c r="M226" s="1480">
        <f t="shared" ca="1" si="65"/>
        <v>4.4967221989475599</v>
      </c>
      <c r="N226" s="1486">
        <f t="shared" ca="1" si="66"/>
        <v>27581.679853350615</v>
      </c>
      <c r="O226" s="330">
        <f t="shared" ca="1" si="67"/>
        <v>480</v>
      </c>
      <c r="P226" s="1486">
        <f t="shared" ca="1" si="68"/>
        <v>13239.206329608294</v>
      </c>
      <c r="Q226" s="1480">
        <f t="shared" ca="1" si="69"/>
        <v>3.1138921883315391</v>
      </c>
      <c r="R226" s="384">
        <f t="shared" ca="1" si="70"/>
        <v>4251.6585446402432</v>
      </c>
      <c r="S226" s="692" t="str">
        <f t="shared" ca="1" si="58"/>
        <v xml:space="preserve"> </v>
      </c>
      <c r="U226" s="1484">
        <f ca="1">IF($A226&gt;Endyr,0,VLOOKUP($A226,Tariff_Table,Tariff!$I$33))</f>
        <v>2.31</v>
      </c>
      <c r="V226" s="1480">
        <f t="shared" ca="1" si="59"/>
        <v>4.4967221989475599</v>
      </c>
      <c r="W226" s="1486">
        <f t="shared" ca="1" si="71"/>
        <v>10.387428279568864</v>
      </c>
      <c r="X226" s="334">
        <f ca="1">VLOOKUP($A226,Plant_Table,'Plant Operations'!$M$270)</f>
        <v>298980.864</v>
      </c>
      <c r="Y226" s="1006">
        <f t="shared" ca="1" si="72"/>
        <v>3105.6422817635325</v>
      </c>
      <c r="Z226" s="1480">
        <f t="shared" ca="1" si="73"/>
        <v>3.1138921883315391</v>
      </c>
      <c r="AA226" s="1480">
        <f t="shared" ca="1" si="60"/>
        <v>3.1138921883315391</v>
      </c>
      <c r="AB226" s="333">
        <f t="shared" ca="1" si="74"/>
        <v>3.3358342714924158</v>
      </c>
      <c r="AC226" s="335">
        <f t="shared" ca="1" si="75"/>
        <v>997.35061265161301</v>
      </c>
      <c r="AD226" s="698" t="str">
        <f t="shared" ca="1" si="61"/>
        <v xml:space="preserve"> </v>
      </c>
    </row>
    <row r="227" spans="1:30">
      <c r="A227" s="672">
        <f>'Annex 12-Gas'!A227</f>
        <v>43497</v>
      </c>
      <c r="C227" s="1484">
        <f ca="1">IF($A227&gt;Endyr,0,VLOOKUP($A227,Tariff_Table,Tariff!$G$33))</f>
        <v>7429.43</v>
      </c>
      <c r="D227" s="1480">
        <f ca="1">VLOOKUP($A227,Curves_Table,Escalation!$AW$291)</f>
        <v>4.4967221989475599</v>
      </c>
      <c r="E227" s="1486">
        <f t="shared" ca="1" si="62"/>
        <v>33408.082806526974</v>
      </c>
      <c r="F227" s="330">
        <f ca="1">VLOOKUP($A227,Plant_Table,'Plant Operations'!$C$270)</f>
        <v>480</v>
      </c>
      <c r="G227" s="1486">
        <f t="shared" ca="1" si="63"/>
        <v>16035.879747132947</v>
      </c>
      <c r="H227" s="1480">
        <f ca="1">IF(Assm!$L$74=0,VLOOKUP($A227,Curves_Table,Escalation!$D$291),VLOOKUP($A227,Curves_Table,Escalation!$E$291))</f>
        <v>3.1190451630411142</v>
      </c>
      <c r="I227" s="384">
        <f t="shared" ca="1" si="64"/>
        <v>5141.2784711003451</v>
      </c>
      <c r="J227" s="692" t="str">
        <f t="shared" ca="1" si="57"/>
        <v xml:space="preserve"> </v>
      </c>
      <c r="L227" s="1484">
        <f ca="1">IF($A227&gt;Endyr,0,VLOOKUP($A227,Tariff_Table,Tariff!$H$33))</f>
        <v>6133.73</v>
      </c>
      <c r="M227" s="1480">
        <f t="shared" ca="1" si="65"/>
        <v>4.4967221989475599</v>
      </c>
      <c r="N227" s="1486">
        <f t="shared" ca="1" si="66"/>
        <v>27581.679853350615</v>
      </c>
      <c r="O227" s="330">
        <f t="shared" ca="1" si="67"/>
        <v>480</v>
      </c>
      <c r="P227" s="1486">
        <f t="shared" ca="1" si="68"/>
        <v>13239.206329608294</v>
      </c>
      <c r="Q227" s="1480">
        <f t="shared" ca="1" si="69"/>
        <v>3.1190451630411142</v>
      </c>
      <c r="R227" s="384">
        <f t="shared" ca="1" si="70"/>
        <v>4244.6343792918587</v>
      </c>
      <c r="S227" s="692" t="str">
        <f t="shared" ca="1" si="58"/>
        <v xml:space="preserve"> </v>
      </c>
      <c r="U227" s="1484">
        <f ca="1">IF($A227&gt;Endyr,0,VLOOKUP($A227,Tariff_Table,Tariff!$I$33))</f>
        <v>2.31</v>
      </c>
      <c r="V227" s="1480">
        <f t="shared" ca="1" si="59"/>
        <v>4.4967221989475599</v>
      </c>
      <c r="W227" s="1486">
        <f t="shared" ca="1" si="71"/>
        <v>10.387428279568864</v>
      </c>
      <c r="X227" s="334">
        <f ca="1">VLOOKUP($A227,Plant_Table,'Plant Operations'!$M$270)</f>
        <v>270047.23200000002</v>
      </c>
      <c r="Y227" s="1006">
        <f t="shared" ca="1" si="72"/>
        <v>2805.0962544960939</v>
      </c>
      <c r="Z227" s="1480">
        <f t="shared" ca="1" si="73"/>
        <v>3.1190451630411142</v>
      </c>
      <c r="AA227" s="1480">
        <f t="shared" ca="1" si="60"/>
        <v>3.1190451630411142</v>
      </c>
      <c r="AB227" s="333">
        <f t="shared" ca="1" si="74"/>
        <v>3.3303231394831649</v>
      </c>
      <c r="AC227" s="335">
        <f t="shared" ca="1" si="75"/>
        <v>899.34454548297867</v>
      </c>
      <c r="AD227" s="698" t="str">
        <f t="shared" ca="1" si="61"/>
        <v xml:space="preserve"> </v>
      </c>
    </row>
    <row r="228" spans="1:30">
      <c r="A228" s="672">
        <f>'Annex 12-Gas'!A228</f>
        <v>43525</v>
      </c>
      <c r="C228" s="1484">
        <f ca="1">IF($A228&gt;Endyr,0,VLOOKUP($A228,Tariff_Table,Tariff!$G$33))</f>
        <v>7429.43</v>
      </c>
      <c r="D228" s="1480">
        <f ca="1">VLOOKUP($A228,Curves_Table,Escalation!$AW$291)</f>
        <v>4.4967221989475599</v>
      </c>
      <c r="E228" s="1486">
        <f t="shared" ca="1" si="62"/>
        <v>33408.082806526974</v>
      </c>
      <c r="F228" s="330">
        <f ca="1">VLOOKUP($A228,Plant_Table,'Plant Operations'!$C$270)</f>
        <v>480</v>
      </c>
      <c r="G228" s="1486">
        <f t="shared" ca="1" si="63"/>
        <v>16035.879747132947</v>
      </c>
      <c r="H228" s="1480">
        <f ca="1">IF(Assm!$L$74=0,VLOOKUP($A228,Curves_Table,Escalation!$D$291),VLOOKUP($A228,Curves_Table,Escalation!$E$291))</f>
        <v>3.1242066650685127</v>
      </c>
      <c r="I228" s="384">
        <f t="shared" ca="1" si="64"/>
        <v>5132.7845646156338</v>
      </c>
      <c r="J228" s="692" t="str">
        <f t="shared" ca="1" si="57"/>
        <v xml:space="preserve"> </v>
      </c>
      <c r="L228" s="1484">
        <f ca="1">IF($A228&gt;Endyr,0,VLOOKUP($A228,Tariff_Table,Tariff!$H$33))</f>
        <v>6133.73</v>
      </c>
      <c r="M228" s="1480">
        <f t="shared" ca="1" si="65"/>
        <v>4.4967221989475599</v>
      </c>
      <c r="N228" s="1486">
        <f t="shared" ca="1" si="66"/>
        <v>27581.679853350615</v>
      </c>
      <c r="O228" s="330">
        <f t="shared" ca="1" si="67"/>
        <v>480</v>
      </c>
      <c r="P228" s="1486">
        <f t="shared" ca="1" si="68"/>
        <v>13239.206329608294</v>
      </c>
      <c r="Q228" s="1480">
        <f t="shared" ca="1" si="69"/>
        <v>3.1242066650685127</v>
      </c>
      <c r="R228" s="384">
        <f t="shared" ca="1" si="70"/>
        <v>4237.621818567487</v>
      </c>
      <c r="S228" s="692" t="str">
        <f t="shared" ca="1" si="58"/>
        <v xml:space="preserve"> </v>
      </c>
      <c r="U228" s="1484">
        <f ca="1">IF($A228&gt;Endyr,0,VLOOKUP($A228,Tariff_Table,Tariff!$I$33))</f>
        <v>2.31</v>
      </c>
      <c r="V228" s="1480">
        <f t="shared" ca="1" si="59"/>
        <v>4.4967221989475599</v>
      </c>
      <c r="W228" s="1486">
        <f t="shared" ca="1" si="71"/>
        <v>10.387428279568864</v>
      </c>
      <c r="X228" s="334">
        <f ca="1">VLOOKUP($A228,Plant_Table,'Plant Operations'!$M$270)</f>
        <v>298980.864</v>
      </c>
      <c r="Y228" s="1006">
        <f t="shared" ca="1" si="72"/>
        <v>3105.6422817635325</v>
      </c>
      <c r="Z228" s="1480">
        <f t="shared" ca="1" si="73"/>
        <v>3.1242066650685127</v>
      </c>
      <c r="AA228" s="1480">
        <f t="shared" ca="1" si="60"/>
        <v>3.1242066650685127</v>
      </c>
      <c r="AB228" s="333">
        <f t="shared" ca="1" si="74"/>
        <v>3.3248211124154525</v>
      </c>
      <c r="AC228" s="335">
        <f t="shared" ca="1" si="75"/>
        <v>994.05788883541322</v>
      </c>
      <c r="AD228" s="698" t="str">
        <f t="shared" ca="1" si="61"/>
        <v xml:space="preserve"> </v>
      </c>
    </row>
    <row r="229" spans="1:30">
      <c r="A229" s="672">
        <f>'Annex 12-Gas'!A229</f>
        <v>43556</v>
      </c>
      <c r="C229" s="1484">
        <f ca="1">IF($A229&gt;Endyr,0,VLOOKUP($A229,Tariff_Table,Tariff!$G$33))</f>
        <v>7429.43</v>
      </c>
      <c r="D229" s="1480">
        <f ca="1">VLOOKUP($A229,Curves_Table,Escalation!$AW$291)</f>
        <v>4.4967221989475599</v>
      </c>
      <c r="E229" s="1486">
        <f t="shared" ca="1" si="62"/>
        <v>33408.082806526974</v>
      </c>
      <c r="F229" s="330">
        <f ca="1">VLOOKUP($A229,Plant_Table,'Plant Operations'!$C$270)</f>
        <v>480</v>
      </c>
      <c r="G229" s="1486">
        <f t="shared" ca="1" si="63"/>
        <v>16035.879747132947</v>
      </c>
      <c r="H229" s="1480">
        <f ca="1">IF(Assm!$L$74=0,VLOOKUP($A229,Curves_Table,Escalation!$D$291),VLOOKUP($A229,Curves_Table,Escalation!$E$291))</f>
        <v>3.1293767085250299</v>
      </c>
      <c r="I229" s="384">
        <f t="shared" ca="1" si="64"/>
        <v>5124.3046909143586</v>
      </c>
      <c r="J229" s="692" t="str">
        <f t="shared" ca="1" si="57"/>
        <v xml:space="preserve"> </v>
      </c>
      <c r="L229" s="1484">
        <f ca="1">IF($A229&gt;Endyr,0,VLOOKUP($A229,Tariff_Table,Tariff!$H$33))</f>
        <v>6133.73</v>
      </c>
      <c r="M229" s="1480">
        <f t="shared" ca="1" si="65"/>
        <v>4.4967221989475599</v>
      </c>
      <c r="N229" s="1486">
        <f t="shared" ca="1" si="66"/>
        <v>27581.679853350615</v>
      </c>
      <c r="O229" s="330">
        <f t="shared" ca="1" si="67"/>
        <v>480</v>
      </c>
      <c r="P229" s="1486">
        <f t="shared" ca="1" si="68"/>
        <v>13239.206329608294</v>
      </c>
      <c r="Q229" s="1480">
        <f t="shared" ca="1" si="69"/>
        <v>3.1293767085250299</v>
      </c>
      <c r="R229" s="384">
        <f t="shared" ca="1" si="70"/>
        <v>4230.620843295128</v>
      </c>
      <c r="S229" s="692" t="str">
        <f t="shared" ca="1" si="58"/>
        <v xml:space="preserve"> </v>
      </c>
      <c r="U229" s="1484">
        <f ca="1">IF($A229&gt;Endyr,0,VLOOKUP($A229,Tariff_Table,Tariff!$I$33))</f>
        <v>2.31</v>
      </c>
      <c r="V229" s="1480">
        <f t="shared" ca="1" si="59"/>
        <v>4.4967221989475599</v>
      </c>
      <c r="W229" s="1486">
        <f t="shared" ca="1" si="71"/>
        <v>10.387428279568864</v>
      </c>
      <c r="X229" s="334">
        <f ca="1">VLOOKUP($A229,Plant_Table,'Plant Operations'!$M$270)</f>
        <v>289336.32000000001</v>
      </c>
      <c r="Y229" s="1006">
        <f t="shared" ca="1" si="72"/>
        <v>3005.4602726743865</v>
      </c>
      <c r="Z229" s="1480">
        <f t="shared" ca="1" si="73"/>
        <v>3.1293767085250299</v>
      </c>
      <c r="AA229" s="1480">
        <f t="shared" ca="1" si="60"/>
        <v>3.1293767085250299</v>
      </c>
      <c r="AB229" s="333">
        <f t="shared" ca="1" si="74"/>
        <v>3.3193281752470041</v>
      </c>
      <c r="AC229" s="335">
        <f t="shared" ca="1" si="75"/>
        <v>960.4021990982834</v>
      </c>
      <c r="AD229" s="698" t="str">
        <f t="shared" ca="1" si="61"/>
        <v xml:space="preserve"> </v>
      </c>
    </row>
    <row r="230" spans="1:30">
      <c r="A230" s="672">
        <f>'Annex 12-Gas'!A230</f>
        <v>43586</v>
      </c>
      <c r="C230" s="1484">
        <f ca="1">IF($A230&gt;Endyr,0,VLOOKUP($A230,Tariff_Table,Tariff!$G$33))</f>
        <v>0</v>
      </c>
      <c r="D230" s="1480">
        <f ca="1">VLOOKUP($A230,Curves_Table,Escalation!$AW$291)</f>
        <v>4.4967221989475599</v>
      </c>
      <c r="E230" s="1486">
        <f t="shared" ca="1" si="62"/>
        <v>0</v>
      </c>
      <c r="F230" s="330">
        <f ca="1">VLOOKUP($A230,Plant_Table,'Plant Operations'!$C$270)</f>
        <v>0</v>
      </c>
      <c r="G230" s="1486">
        <f t="shared" ca="1" si="63"/>
        <v>0</v>
      </c>
      <c r="H230" s="1480">
        <f ca="1">IF(Assm!$L$74=0,VLOOKUP($A230,Curves_Table,Escalation!$D$291),VLOOKUP($A230,Curves_Table,Escalation!$E$291))</f>
        <v>3.1345553075453139</v>
      </c>
      <c r="I230" s="384">
        <f t="shared" ca="1" si="64"/>
        <v>0</v>
      </c>
      <c r="J230" s="692" t="str">
        <f t="shared" ca="1" si="57"/>
        <v xml:space="preserve"> </v>
      </c>
      <c r="L230" s="1484">
        <f ca="1">IF($A230&gt;Endyr,0,VLOOKUP($A230,Tariff_Table,Tariff!$H$33))</f>
        <v>0</v>
      </c>
      <c r="M230" s="1480">
        <f t="shared" ca="1" si="65"/>
        <v>4.4967221989475599</v>
      </c>
      <c r="N230" s="1486">
        <f t="shared" ca="1" si="66"/>
        <v>0</v>
      </c>
      <c r="O230" s="330">
        <f t="shared" ca="1" si="67"/>
        <v>0</v>
      </c>
      <c r="P230" s="1486">
        <f t="shared" ca="1" si="68"/>
        <v>0</v>
      </c>
      <c r="Q230" s="1480">
        <f t="shared" ca="1" si="69"/>
        <v>3.1345553075453139</v>
      </c>
      <c r="R230" s="384">
        <f t="shared" ca="1" si="70"/>
        <v>0</v>
      </c>
      <c r="S230" s="692" t="str">
        <f t="shared" ca="1" si="58"/>
        <v xml:space="preserve"> </v>
      </c>
      <c r="U230" s="1484">
        <f ca="1">IF($A230&gt;Endyr,0,VLOOKUP($A230,Tariff_Table,Tariff!$I$33))</f>
        <v>0</v>
      </c>
      <c r="V230" s="1480">
        <f t="shared" ca="1" si="59"/>
        <v>4.4967221989475599</v>
      </c>
      <c r="W230" s="1486">
        <f t="shared" ca="1" si="71"/>
        <v>0</v>
      </c>
      <c r="X230" s="334">
        <f ca="1">VLOOKUP($A230,Plant_Table,'Plant Operations'!$M$270)</f>
        <v>0</v>
      </c>
      <c r="Y230" s="1006">
        <f t="shared" ca="1" si="72"/>
        <v>0</v>
      </c>
      <c r="Z230" s="1480">
        <f t="shared" ca="1" si="73"/>
        <v>3.1345553075453139</v>
      </c>
      <c r="AA230" s="1480">
        <f t="shared" ca="1" si="60"/>
        <v>3.1345553075453139</v>
      </c>
      <c r="AB230" s="333">
        <f t="shared" ca="1" si="74"/>
        <v>0</v>
      </c>
      <c r="AC230" s="335">
        <f t="shared" ca="1" si="75"/>
        <v>0</v>
      </c>
      <c r="AD230" s="698" t="str">
        <f t="shared" ca="1" si="61"/>
        <v xml:space="preserve"> </v>
      </c>
    </row>
    <row r="231" spans="1:30">
      <c r="A231" s="672">
        <f>'Annex 12-Gas'!A231</f>
        <v>43617</v>
      </c>
      <c r="C231" s="1484">
        <f ca="1">IF($A231&gt;Endyr,0,VLOOKUP($A231,Tariff_Table,Tariff!$G$33))</f>
        <v>0</v>
      </c>
      <c r="D231" s="1480">
        <f ca="1">VLOOKUP($A231,Curves_Table,Escalation!$AW$291)</f>
        <v>4.4967221989475599</v>
      </c>
      <c r="E231" s="1486">
        <f t="shared" ca="1" si="62"/>
        <v>0</v>
      </c>
      <c r="F231" s="330">
        <f ca="1">VLOOKUP($A231,Plant_Table,'Plant Operations'!$C$270)</f>
        <v>0</v>
      </c>
      <c r="G231" s="1486">
        <f t="shared" ca="1" si="63"/>
        <v>0</v>
      </c>
      <c r="H231" s="1480">
        <f ca="1">IF(Assm!$L$74=0,VLOOKUP($A231,Curves_Table,Escalation!$D$291),VLOOKUP($A231,Curves_Table,Escalation!$E$291))</f>
        <v>3.1345553075453139</v>
      </c>
      <c r="I231" s="384">
        <f t="shared" ca="1" si="64"/>
        <v>0</v>
      </c>
      <c r="J231" s="692" t="str">
        <f t="shared" ca="1" si="57"/>
        <v xml:space="preserve"> </v>
      </c>
      <c r="L231" s="1484">
        <f ca="1">IF($A231&gt;Endyr,0,VLOOKUP($A231,Tariff_Table,Tariff!$H$33))</f>
        <v>0</v>
      </c>
      <c r="M231" s="1480">
        <f t="shared" ca="1" si="65"/>
        <v>4.4967221989475599</v>
      </c>
      <c r="N231" s="1486">
        <f t="shared" ca="1" si="66"/>
        <v>0</v>
      </c>
      <c r="O231" s="330">
        <f t="shared" ca="1" si="67"/>
        <v>0</v>
      </c>
      <c r="P231" s="1486">
        <f t="shared" ca="1" si="68"/>
        <v>0</v>
      </c>
      <c r="Q231" s="1480">
        <f t="shared" ca="1" si="69"/>
        <v>3.1345553075453139</v>
      </c>
      <c r="R231" s="384">
        <f t="shared" ca="1" si="70"/>
        <v>0</v>
      </c>
      <c r="S231" s="692" t="str">
        <f t="shared" ca="1" si="58"/>
        <v xml:space="preserve"> </v>
      </c>
      <c r="U231" s="1484">
        <f ca="1">IF($A231&gt;Endyr,0,VLOOKUP($A231,Tariff_Table,Tariff!$I$33))</f>
        <v>0</v>
      </c>
      <c r="V231" s="1480">
        <f t="shared" ca="1" si="59"/>
        <v>4.4967221989475599</v>
      </c>
      <c r="W231" s="1486">
        <f t="shared" ca="1" si="71"/>
        <v>0</v>
      </c>
      <c r="X231" s="334">
        <f ca="1">VLOOKUP($A231,Plant_Table,'Plant Operations'!$M$270)</f>
        <v>0</v>
      </c>
      <c r="Y231" s="1006">
        <f t="shared" ca="1" si="72"/>
        <v>0</v>
      </c>
      <c r="Z231" s="1480">
        <f t="shared" ca="1" si="73"/>
        <v>3.1345553075453139</v>
      </c>
      <c r="AA231" s="1480">
        <f t="shared" ca="1" si="60"/>
        <v>3.1345553075453139</v>
      </c>
      <c r="AB231" s="333">
        <f t="shared" ca="1" si="74"/>
        <v>0</v>
      </c>
      <c r="AC231" s="335">
        <f t="shared" ca="1" si="75"/>
        <v>0</v>
      </c>
      <c r="AD231" s="698" t="str">
        <f t="shared" ca="1" si="61"/>
        <v xml:space="preserve"> </v>
      </c>
    </row>
    <row r="232" spans="1:30">
      <c r="A232" s="672">
        <f>'Annex 12-Gas'!A232</f>
        <v>43647</v>
      </c>
      <c r="C232" s="1484">
        <f ca="1">IF($A232&gt;Endyr,0,VLOOKUP($A232,Tariff_Table,Tariff!$G$33))</f>
        <v>0</v>
      </c>
      <c r="D232" s="1480">
        <f ca="1">VLOOKUP($A232,Curves_Table,Escalation!$AW$291)</f>
        <v>4.4967221989475599</v>
      </c>
      <c r="E232" s="1486">
        <f t="shared" ca="1" si="62"/>
        <v>0</v>
      </c>
      <c r="F232" s="330">
        <f ca="1">VLOOKUP($A232,Plant_Table,'Plant Operations'!$C$270)</f>
        <v>0</v>
      </c>
      <c r="G232" s="1486">
        <f t="shared" ca="1" si="63"/>
        <v>0</v>
      </c>
      <c r="H232" s="1480">
        <f ca="1">IF(Assm!$L$74=0,VLOOKUP($A232,Curves_Table,Escalation!$D$291),VLOOKUP($A232,Curves_Table,Escalation!$E$291))</f>
        <v>3.1345553075453139</v>
      </c>
      <c r="I232" s="384">
        <f t="shared" ca="1" si="64"/>
        <v>0</v>
      </c>
      <c r="J232" s="692" t="str">
        <f t="shared" ca="1" si="57"/>
        <v xml:space="preserve"> </v>
      </c>
      <c r="L232" s="1484">
        <f ca="1">IF($A232&gt;Endyr,0,VLOOKUP($A232,Tariff_Table,Tariff!$H$33))</f>
        <v>0</v>
      </c>
      <c r="M232" s="1480">
        <f t="shared" ca="1" si="65"/>
        <v>4.4967221989475599</v>
      </c>
      <c r="N232" s="1486">
        <f t="shared" ca="1" si="66"/>
        <v>0</v>
      </c>
      <c r="O232" s="330">
        <f t="shared" ca="1" si="67"/>
        <v>0</v>
      </c>
      <c r="P232" s="1486">
        <f t="shared" ca="1" si="68"/>
        <v>0</v>
      </c>
      <c r="Q232" s="1480">
        <f t="shared" ca="1" si="69"/>
        <v>3.1345553075453139</v>
      </c>
      <c r="R232" s="384">
        <f t="shared" ca="1" si="70"/>
        <v>0</v>
      </c>
      <c r="S232" s="692" t="str">
        <f t="shared" ca="1" si="58"/>
        <v xml:space="preserve"> </v>
      </c>
      <c r="U232" s="1484">
        <f ca="1">IF($A232&gt;Endyr,0,VLOOKUP($A232,Tariff_Table,Tariff!$I$33))</f>
        <v>0</v>
      </c>
      <c r="V232" s="1480">
        <f t="shared" ca="1" si="59"/>
        <v>4.4967221989475599</v>
      </c>
      <c r="W232" s="1486">
        <f t="shared" ca="1" si="71"/>
        <v>0</v>
      </c>
      <c r="X232" s="334">
        <f ca="1">VLOOKUP($A232,Plant_Table,'Plant Operations'!$M$270)</f>
        <v>0</v>
      </c>
      <c r="Y232" s="1006">
        <f t="shared" ca="1" si="72"/>
        <v>0</v>
      </c>
      <c r="Z232" s="1480">
        <f t="shared" ca="1" si="73"/>
        <v>3.1345553075453139</v>
      </c>
      <c r="AA232" s="1480">
        <f t="shared" ca="1" si="60"/>
        <v>3.1345553075453139</v>
      </c>
      <c r="AB232" s="333">
        <f t="shared" ca="1" si="74"/>
        <v>0</v>
      </c>
      <c r="AC232" s="335">
        <f t="shared" ca="1" si="75"/>
        <v>0</v>
      </c>
      <c r="AD232" s="698" t="str">
        <f t="shared" ca="1" si="61"/>
        <v xml:space="preserve"> </v>
      </c>
    </row>
    <row r="233" spans="1:30">
      <c r="A233" s="672">
        <f>'Annex 12-Gas'!A233</f>
        <v>43678</v>
      </c>
      <c r="C233" s="1484">
        <f ca="1">IF($A233&gt;Endyr,0,VLOOKUP($A233,Tariff_Table,Tariff!$G$33))</f>
        <v>0</v>
      </c>
      <c r="D233" s="1480">
        <f ca="1">VLOOKUP($A233,Curves_Table,Escalation!$AW$291)</f>
        <v>4.4967221989475599</v>
      </c>
      <c r="E233" s="1486">
        <f t="shared" ca="1" si="62"/>
        <v>0</v>
      </c>
      <c r="F233" s="330">
        <f ca="1">VLOOKUP($A233,Plant_Table,'Plant Operations'!$C$270)</f>
        <v>0</v>
      </c>
      <c r="G233" s="1486">
        <f t="shared" ca="1" si="63"/>
        <v>0</v>
      </c>
      <c r="H233" s="1480">
        <f ca="1">IF(Assm!$L$74=0,VLOOKUP($A233,Curves_Table,Escalation!$D$291),VLOOKUP($A233,Curves_Table,Escalation!$E$291))</f>
        <v>3.1345553075453139</v>
      </c>
      <c r="I233" s="384">
        <f t="shared" ca="1" si="64"/>
        <v>0</v>
      </c>
      <c r="J233" s="692" t="str">
        <f t="shared" ca="1" si="57"/>
        <v xml:space="preserve"> </v>
      </c>
      <c r="L233" s="1484">
        <f ca="1">IF($A233&gt;Endyr,0,VLOOKUP($A233,Tariff_Table,Tariff!$H$33))</f>
        <v>0</v>
      </c>
      <c r="M233" s="1480">
        <f t="shared" ca="1" si="65"/>
        <v>4.4967221989475599</v>
      </c>
      <c r="N233" s="1486">
        <f t="shared" ca="1" si="66"/>
        <v>0</v>
      </c>
      <c r="O233" s="330">
        <f t="shared" ca="1" si="67"/>
        <v>0</v>
      </c>
      <c r="P233" s="1486">
        <f t="shared" ca="1" si="68"/>
        <v>0</v>
      </c>
      <c r="Q233" s="1480">
        <f t="shared" ca="1" si="69"/>
        <v>3.1345553075453139</v>
      </c>
      <c r="R233" s="384">
        <f t="shared" ca="1" si="70"/>
        <v>0</v>
      </c>
      <c r="S233" s="692" t="str">
        <f t="shared" ca="1" si="58"/>
        <v xml:space="preserve"> </v>
      </c>
      <c r="U233" s="1484">
        <f ca="1">IF($A233&gt;Endyr,0,VLOOKUP($A233,Tariff_Table,Tariff!$I$33))</f>
        <v>0</v>
      </c>
      <c r="V233" s="1480">
        <f t="shared" ca="1" si="59"/>
        <v>4.4967221989475599</v>
      </c>
      <c r="W233" s="1486">
        <f t="shared" ca="1" si="71"/>
        <v>0</v>
      </c>
      <c r="X233" s="334">
        <f ca="1">VLOOKUP($A233,Plant_Table,'Plant Operations'!$M$270)</f>
        <v>0</v>
      </c>
      <c r="Y233" s="1006">
        <f t="shared" ca="1" si="72"/>
        <v>0</v>
      </c>
      <c r="Z233" s="1480">
        <f t="shared" ca="1" si="73"/>
        <v>3.1345553075453139</v>
      </c>
      <c r="AA233" s="1480">
        <f t="shared" ca="1" si="60"/>
        <v>3.1345553075453139</v>
      </c>
      <c r="AB233" s="333">
        <f t="shared" ca="1" si="74"/>
        <v>0</v>
      </c>
      <c r="AC233" s="335">
        <f t="shared" ca="1" si="75"/>
        <v>0</v>
      </c>
      <c r="AD233" s="698" t="str">
        <f t="shared" ca="1" si="61"/>
        <v xml:space="preserve"> </v>
      </c>
    </row>
    <row r="234" spans="1:30">
      <c r="A234" s="672">
        <f>'Annex 12-Gas'!A234</f>
        <v>43709</v>
      </c>
      <c r="C234" s="1484">
        <f ca="1">IF($A234&gt;Endyr,0,VLOOKUP($A234,Tariff_Table,Tariff!$G$33))</f>
        <v>0</v>
      </c>
      <c r="D234" s="1480">
        <f ca="1">VLOOKUP($A234,Curves_Table,Escalation!$AW$291)</f>
        <v>4.4967221989475599</v>
      </c>
      <c r="E234" s="1486">
        <f t="shared" ca="1" si="62"/>
        <v>0</v>
      </c>
      <c r="F234" s="330">
        <f ca="1">VLOOKUP($A234,Plant_Table,'Plant Operations'!$C$270)</f>
        <v>0</v>
      </c>
      <c r="G234" s="1486">
        <f t="shared" ca="1" si="63"/>
        <v>0</v>
      </c>
      <c r="H234" s="1480">
        <f ca="1">IF(Assm!$L$74=0,VLOOKUP($A234,Curves_Table,Escalation!$D$291),VLOOKUP($A234,Curves_Table,Escalation!$E$291))</f>
        <v>3.1345553075453139</v>
      </c>
      <c r="I234" s="384">
        <f t="shared" ca="1" si="64"/>
        <v>0</v>
      </c>
      <c r="J234" s="692" t="str">
        <f t="shared" ca="1" si="57"/>
        <v xml:space="preserve"> </v>
      </c>
      <c r="L234" s="1484">
        <f ca="1">IF($A234&gt;Endyr,0,VLOOKUP($A234,Tariff_Table,Tariff!$H$33))</f>
        <v>0</v>
      </c>
      <c r="M234" s="1480">
        <f t="shared" ca="1" si="65"/>
        <v>4.4967221989475599</v>
      </c>
      <c r="N234" s="1486">
        <f t="shared" ca="1" si="66"/>
        <v>0</v>
      </c>
      <c r="O234" s="330">
        <f t="shared" ca="1" si="67"/>
        <v>0</v>
      </c>
      <c r="P234" s="1486">
        <f t="shared" ca="1" si="68"/>
        <v>0</v>
      </c>
      <c r="Q234" s="1480">
        <f t="shared" ca="1" si="69"/>
        <v>3.1345553075453139</v>
      </c>
      <c r="R234" s="384">
        <f t="shared" ca="1" si="70"/>
        <v>0</v>
      </c>
      <c r="S234" s="692" t="str">
        <f t="shared" ca="1" si="58"/>
        <v xml:space="preserve"> </v>
      </c>
      <c r="U234" s="1484">
        <f ca="1">IF($A234&gt;Endyr,0,VLOOKUP($A234,Tariff_Table,Tariff!$I$33))</f>
        <v>0</v>
      </c>
      <c r="V234" s="1480">
        <f t="shared" ca="1" si="59"/>
        <v>4.4967221989475599</v>
      </c>
      <c r="W234" s="1486">
        <f t="shared" ca="1" si="71"/>
        <v>0</v>
      </c>
      <c r="X234" s="334">
        <f ca="1">VLOOKUP($A234,Plant_Table,'Plant Operations'!$M$270)</f>
        <v>0</v>
      </c>
      <c r="Y234" s="1006">
        <f t="shared" ca="1" si="72"/>
        <v>0</v>
      </c>
      <c r="Z234" s="1480">
        <f t="shared" ca="1" si="73"/>
        <v>3.1345553075453139</v>
      </c>
      <c r="AA234" s="1480">
        <f t="shared" ca="1" si="60"/>
        <v>3.1345553075453139</v>
      </c>
      <c r="AB234" s="333">
        <f t="shared" ca="1" si="74"/>
        <v>0</v>
      </c>
      <c r="AC234" s="335">
        <f t="shared" ca="1" si="75"/>
        <v>0</v>
      </c>
      <c r="AD234" s="698" t="str">
        <f t="shared" ca="1" si="61"/>
        <v xml:space="preserve"> </v>
      </c>
    </row>
    <row r="235" spans="1:30">
      <c r="A235" s="672">
        <f>'Annex 12-Gas'!A235</f>
        <v>43739</v>
      </c>
      <c r="C235" s="1484">
        <f ca="1">IF($A235&gt;Endyr,0,VLOOKUP($A235,Tariff_Table,Tariff!$G$33))</f>
        <v>0</v>
      </c>
      <c r="D235" s="1480">
        <f ca="1">VLOOKUP($A235,Curves_Table,Escalation!$AW$291)</f>
        <v>4.4967221989475599</v>
      </c>
      <c r="E235" s="1486">
        <f t="shared" ca="1" si="62"/>
        <v>0</v>
      </c>
      <c r="F235" s="330">
        <f ca="1">VLOOKUP($A235,Plant_Table,'Plant Operations'!$C$270)</f>
        <v>0</v>
      </c>
      <c r="G235" s="1486">
        <f t="shared" ca="1" si="63"/>
        <v>0</v>
      </c>
      <c r="H235" s="1480">
        <f ca="1">IF(Assm!$L$74=0,VLOOKUP($A235,Curves_Table,Escalation!$D$291),VLOOKUP($A235,Curves_Table,Escalation!$E$291))</f>
        <v>3.1345553075453139</v>
      </c>
      <c r="I235" s="384">
        <f t="shared" ca="1" si="64"/>
        <v>0</v>
      </c>
      <c r="J235" s="692" t="str">
        <f t="shared" ca="1" si="57"/>
        <v xml:space="preserve"> </v>
      </c>
      <c r="L235" s="1484">
        <f ca="1">IF($A235&gt;Endyr,0,VLOOKUP($A235,Tariff_Table,Tariff!$H$33))</f>
        <v>0</v>
      </c>
      <c r="M235" s="1480">
        <f t="shared" ca="1" si="65"/>
        <v>4.4967221989475599</v>
      </c>
      <c r="N235" s="1486">
        <f t="shared" ca="1" si="66"/>
        <v>0</v>
      </c>
      <c r="O235" s="330">
        <f t="shared" ca="1" si="67"/>
        <v>0</v>
      </c>
      <c r="P235" s="1486">
        <f t="shared" ca="1" si="68"/>
        <v>0</v>
      </c>
      <c r="Q235" s="1480">
        <f t="shared" ca="1" si="69"/>
        <v>3.1345553075453139</v>
      </c>
      <c r="R235" s="384">
        <f t="shared" ca="1" si="70"/>
        <v>0</v>
      </c>
      <c r="S235" s="692" t="str">
        <f t="shared" ca="1" si="58"/>
        <v xml:space="preserve"> </v>
      </c>
      <c r="U235" s="1484">
        <f ca="1">IF($A235&gt;Endyr,0,VLOOKUP($A235,Tariff_Table,Tariff!$I$33))</f>
        <v>0</v>
      </c>
      <c r="V235" s="1480">
        <f t="shared" ca="1" si="59"/>
        <v>4.4967221989475599</v>
      </c>
      <c r="W235" s="1486">
        <f t="shared" ca="1" si="71"/>
        <v>0</v>
      </c>
      <c r="X235" s="334">
        <f ca="1">VLOOKUP($A235,Plant_Table,'Plant Operations'!$M$270)</f>
        <v>0</v>
      </c>
      <c r="Y235" s="1006">
        <f t="shared" ca="1" si="72"/>
        <v>0</v>
      </c>
      <c r="Z235" s="1480">
        <f t="shared" ca="1" si="73"/>
        <v>3.1345553075453139</v>
      </c>
      <c r="AA235" s="1480">
        <f t="shared" ca="1" si="60"/>
        <v>3.1345553075453139</v>
      </c>
      <c r="AB235" s="333">
        <f t="shared" ca="1" si="74"/>
        <v>0</v>
      </c>
      <c r="AC235" s="335">
        <f t="shared" ca="1" si="75"/>
        <v>0</v>
      </c>
      <c r="AD235" s="698" t="str">
        <f t="shared" ca="1" si="61"/>
        <v xml:space="preserve"> </v>
      </c>
    </row>
    <row r="236" spans="1:30">
      <c r="A236" s="672">
        <f>'Annex 12-Gas'!A236</f>
        <v>43770</v>
      </c>
      <c r="C236" s="1484">
        <f ca="1">IF($A236&gt;Endyr,0,VLOOKUP($A236,Tariff_Table,Tariff!$G$33))</f>
        <v>0</v>
      </c>
      <c r="D236" s="1480">
        <f ca="1">VLOOKUP($A236,Curves_Table,Escalation!$AW$291)</f>
        <v>4.4967221989475599</v>
      </c>
      <c r="E236" s="1486">
        <f t="shared" ca="1" si="62"/>
        <v>0</v>
      </c>
      <c r="F236" s="330">
        <f ca="1">VLOOKUP($A236,Plant_Table,'Plant Operations'!$C$270)</f>
        <v>0</v>
      </c>
      <c r="G236" s="1486">
        <f t="shared" ca="1" si="63"/>
        <v>0</v>
      </c>
      <c r="H236" s="1480">
        <f ca="1">IF(Assm!$L$74=0,VLOOKUP($A236,Curves_Table,Escalation!$D$291),VLOOKUP($A236,Curves_Table,Escalation!$E$291))</f>
        <v>3.1345553075453139</v>
      </c>
      <c r="I236" s="384">
        <f t="shared" ca="1" si="64"/>
        <v>0</v>
      </c>
      <c r="J236" s="692" t="str">
        <f t="shared" ca="1" si="57"/>
        <v xml:space="preserve"> </v>
      </c>
      <c r="L236" s="1484">
        <f ca="1">IF($A236&gt;Endyr,0,VLOOKUP($A236,Tariff_Table,Tariff!$H$33))</f>
        <v>0</v>
      </c>
      <c r="M236" s="1480">
        <f t="shared" ca="1" si="65"/>
        <v>4.4967221989475599</v>
      </c>
      <c r="N236" s="1486">
        <f t="shared" ca="1" si="66"/>
        <v>0</v>
      </c>
      <c r="O236" s="330">
        <f t="shared" ca="1" si="67"/>
        <v>0</v>
      </c>
      <c r="P236" s="1486">
        <f t="shared" ca="1" si="68"/>
        <v>0</v>
      </c>
      <c r="Q236" s="1480">
        <f t="shared" ca="1" si="69"/>
        <v>3.1345553075453139</v>
      </c>
      <c r="R236" s="384">
        <f t="shared" ca="1" si="70"/>
        <v>0</v>
      </c>
      <c r="S236" s="692" t="str">
        <f t="shared" ca="1" si="58"/>
        <v xml:space="preserve"> </v>
      </c>
      <c r="U236" s="1484">
        <f ca="1">IF($A236&gt;Endyr,0,VLOOKUP($A236,Tariff_Table,Tariff!$I$33))</f>
        <v>0</v>
      </c>
      <c r="V236" s="1480">
        <f t="shared" ca="1" si="59"/>
        <v>4.4967221989475599</v>
      </c>
      <c r="W236" s="1486">
        <f t="shared" ca="1" si="71"/>
        <v>0</v>
      </c>
      <c r="X236" s="334">
        <f ca="1">VLOOKUP($A236,Plant_Table,'Plant Operations'!$M$270)</f>
        <v>0</v>
      </c>
      <c r="Y236" s="1006">
        <f t="shared" ca="1" si="72"/>
        <v>0</v>
      </c>
      <c r="Z236" s="1480">
        <f t="shared" ca="1" si="73"/>
        <v>3.1345553075453139</v>
      </c>
      <c r="AA236" s="1480">
        <f t="shared" ca="1" si="60"/>
        <v>3.1345553075453139</v>
      </c>
      <c r="AB236" s="333">
        <f t="shared" ca="1" si="74"/>
        <v>0</v>
      </c>
      <c r="AC236" s="335">
        <f t="shared" ca="1" si="75"/>
        <v>0</v>
      </c>
      <c r="AD236" s="698" t="str">
        <f t="shared" ca="1" si="61"/>
        <v xml:space="preserve"> </v>
      </c>
    </row>
    <row r="237" spans="1:30">
      <c r="A237" s="672">
        <f>'Annex 12-Gas'!A237</f>
        <v>43800</v>
      </c>
      <c r="C237" s="1484">
        <f ca="1">IF($A237&gt;Endyr,0,VLOOKUP($A237,Tariff_Table,Tariff!$G$33))</f>
        <v>0</v>
      </c>
      <c r="D237" s="1480">
        <f ca="1">VLOOKUP($A237,Curves_Table,Escalation!$AW$291)</f>
        <v>4.4967221989475599</v>
      </c>
      <c r="E237" s="1486">
        <f t="shared" ca="1" si="62"/>
        <v>0</v>
      </c>
      <c r="F237" s="330">
        <f ca="1">VLOOKUP($A237,Plant_Table,'Plant Operations'!$C$270)</f>
        <v>0</v>
      </c>
      <c r="G237" s="1486">
        <f t="shared" ca="1" si="63"/>
        <v>0</v>
      </c>
      <c r="H237" s="1480">
        <f ca="1">IF(Assm!$L$74=0,VLOOKUP($A237,Curves_Table,Escalation!$D$291),VLOOKUP($A237,Curves_Table,Escalation!$E$291))</f>
        <v>3.1345553075453139</v>
      </c>
      <c r="I237" s="384">
        <f t="shared" ca="1" si="64"/>
        <v>0</v>
      </c>
      <c r="J237" s="692">
        <f t="shared" ca="1" si="57"/>
        <v>20548.154160220758</v>
      </c>
      <c r="L237" s="1484">
        <f ca="1">IF($A237&gt;Endyr,0,VLOOKUP($A237,Tariff_Table,Tariff!$H$33))</f>
        <v>0</v>
      </c>
      <c r="M237" s="1480">
        <f t="shared" ca="1" si="65"/>
        <v>4.4967221989475599</v>
      </c>
      <c r="N237" s="1486">
        <f t="shared" ca="1" si="66"/>
        <v>0</v>
      </c>
      <c r="O237" s="330">
        <f t="shared" ca="1" si="67"/>
        <v>0</v>
      </c>
      <c r="P237" s="1486">
        <f t="shared" ca="1" si="68"/>
        <v>0</v>
      </c>
      <c r="Q237" s="1480">
        <f t="shared" ca="1" si="69"/>
        <v>3.1345553075453139</v>
      </c>
      <c r="R237" s="384">
        <f t="shared" ca="1" si="70"/>
        <v>0</v>
      </c>
      <c r="S237" s="692">
        <f t="shared" ca="1" si="58"/>
        <v>16964.535585794718</v>
      </c>
      <c r="U237" s="1484">
        <f ca="1">IF($A237&gt;Endyr,0,VLOOKUP($A237,Tariff_Table,Tariff!$I$33))</f>
        <v>0</v>
      </c>
      <c r="V237" s="1480">
        <f t="shared" ca="1" si="59"/>
        <v>4.4967221989475599</v>
      </c>
      <c r="W237" s="1486">
        <f t="shared" ca="1" si="71"/>
        <v>0</v>
      </c>
      <c r="X237" s="334">
        <f ca="1">VLOOKUP($A237,Plant_Table,'Plant Operations'!$M$270)</f>
        <v>0</v>
      </c>
      <c r="Y237" s="1006">
        <f t="shared" ca="1" si="72"/>
        <v>0</v>
      </c>
      <c r="Z237" s="1480">
        <f t="shared" ca="1" si="73"/>
        <v>3.1345553075453139</v>
      </c>
      <c r="AA237" s="1480">
        <f t="shared" ca="1" si="60"/>
        <v>3.1345553075453139</v>
      </c>
      <c r="AB237" s="333">
        <f t="shared" ca="1" si="74"/>
        <v>0</v>
      </c>
      <c r="AC237" s="335">
        <f t="shared" ca="1" si="75"/>
        <v>0</v>
      </c>
      <c r="AD237" s="698">
        <f t="shared" ca="1" si="61"/>
        <v>3851.1552460682883</v>
      </c>
    </row>
    <row r="238" spans="1:30">
      <c r="A238" s="672">
        <f>'Annex 12-Gas'!A238</f>
        <v>43831</v>
      </c>
      <c r="C238" s="1484">
        <f ca="1">IF($A238&gt;Endyr,0,VLOOKUP($A238,Tariff_Table,Tariff!$G$33))</f>
        <v>0</v>
      </c>
      <c r="D238" s="1480">
        <f ca="1">VLOOKUP($A238,Curves_Table,Escalation!$AW$291)</f>
        <v>4.4967221989475599</v>
      </c>
      <c r="E238" s="1486">
        <f t="shared" ca="1" si="62"/>
        <v>0</v>
      </c>
      <c r="F238" s="330">
        <f ca="1">VLOOKUP($A238,Plant_Table,'Plant Operations'!$C$270)</f>
        <v>0</v>
      </c>
      <c r="G238" s="1486">
        <f t="shared" ca="1" si="63"/>
        <v>0</v>
      </c>
      <c r="H238" s="1480">
        <f ca="1">IF(Assm!$L$74=0,VLOOKUP($A238,Curves_Table,Escalation!$D$291),VLOOKUP($A238,Curves_Table,Escalation!$E$291))</f>
        <v>3.1345553075453139</v>
      </c>
      <c r="I238" s="384">
        <f t="shared" ca="1" si="64"/>
        <v>0</v>
      </c>
      <c r="J238" s="692" t="str">
        <f t="shared" ca="1" si="57"/>
        <v xml:space="preserve"> </v>
      </c>
      <c r="L238" s="1484">
        <f ca="1">IF($A238&gt;Endyr,0,VLOOKUP($A238,Tariff_Table,Tariff!$H$33))</f>
        <v>0</v>
      </c>
      <c r="M238" s="1480">
        <f t="shared" ca="1" si="65"/>
        <v>4.4967221989475599</v>
      </c>
      <c r="N238" s="1486">
        <f t="shared" ca="1" si="66"/>
        <v>0</v>
      </c>
      <c r="O238" s="330">
        <f t="shared" ca="1" si="67"/>
        <v>0</v>
      </c>
      <c r="P238" s="1486">
        <f t="shared" ca="1" si="68"/>
        <v>0</v>
      </c>
      <c r="Q238" s="1480">
        <f t="shared" ca="1" si="69"/>
        <v>3.1345553075453139</v>
      </c>
      <c r="R238" s="384">
        <f t="shared" ca="1" si="70"/>
        <v>0</v>
      </c>
      <c r="S238" s="692" t="str">
        <f t="shared" ca="1" si="58"/>
        <v xml:space="preserve"> </v>
      </c>
      <c r="U238" s="1484">
        <f ca="1">IF($A238&gt;Endyr,0,VLOOKUP($A238,Tariff_Table,Tariff!$I$33))</f>
        <v>0</v>
      </c>
      <c r="V238" s="1480">
        <f t="shared" ca="1" si="59"/>
        <v>4.4967221989475599</v>
      </c>
      <c r="W238" s="1486">
        <f t="shared" ca="1" si="71"/>
        <v>0</v>
      </c>
      <c r="X238" s="334">
        <f ca="1">VLOOKUP($A238,Plant_Table,'Plant Operations'!$M$270)</f>
        <v>0</v>
      </c>
      <c r="Y238" s="1006">
        <f t="shared" ca="1" si="72"/>
        <v>0</v>
      </c>
      <c r="Z238" s="1480">
        <f t="shared" ca="1" si="73"/>
        <v>3.1345553075453139</v>
      </c>
      <c r="AA238" s="1480">
        <f t="shared" ca="1" si="60"/>
        <v>3.1345553075453139</v>
      </c>
      <c r="AB238" s="333">
        <f t="shared" ca="1" si="74"/>
        <v>0</v>
      </c>
      <c r="AC238" s="335">
        <f t="shared" ca="1" si="75"/>
        <v>0</v>
      </c>
      <c r="AD238" s="698" t="str">
        <f t="shared" ca="1" si="61"/>
        <v xml:space="preserve"> </v>
      </c>
    </row>
    <row r="239" spans="1:30">
      <c r="A239" s="672">
        <f>'Annex 12-Gas'!A239</f>
        <v>43862</v>
      </c>
      <c r="C239" s="1484">
        <f ca="1">IF($A239&gt;Endyr,0,VLOOKUP($A239,Tariff_Table,Tariff!$G$33))</f>
        <v>0</v>
      </c>
      <c r="D239" s="1480">
        <f ca="1">VLOOKUP($A239,Curves_Table,Escalation!$AW$291)</f>
        <v>4.4967221989475599</v>
      </c>
      <c r="E239" s="1486">
        <f t="shared" ca="1" si="62"/>
        <v>0</v>
      </c>
      <c r="F239" s="330">
        <f ca="1">VLOOKUP($A239,Plant_Table,'Plant Operations'!$C$270)</f>
        <v>0</v>
      </c>
      <c r="G239" s="1486">
        <f t="shared" ca="1" si="63"/>
        <v>0</v>
      </c>
      <c r="H239" s="1480">
        <f ca="1">IF(Assm!$L$74=0,VLOOKUP($A239,Curves_Table,Escalation!$D$291),VLOOKUP($A239,Curves_Table,Escalation!$E$291))</f>
        <v>3.1345553075453139</v>
      </c>
      <c r="I239" s="384">
        <f t="shared" ca="1" si="64"/>
        <v>0</v>
      </c>
      <c r="J239" s="692" t="str">
        <f t="shared" ca="1" si="57"/>
        <v xml:space="preserve"> </v>
      </c>
      <c r="L239" s="1484">
        <f ca="1">IF($A239&gt;Endyr,0,VLOOKUP($A239,Tariff_Table,Tariff!$H$33))</f>
        <v>0</v>
      </c>
      <c r="M239" s="1480">
        <f t="shared" ca="1" si="65"/>
        <v>4.4967221989475599</v>
      </c>
      <c r="N239" s="1486">
        <f t="shared" ca="1" si="66"/>
        <v>0</v>
      </c>
      <c r="O239" s="330">
        <f t="shared" ca="1" si="67"/>
        <v>0</v>
      </c>
      <c r="P239" s="1486">
        <f t="shared" ca="1" si="68"/>
        <v>0</v>
      </c>
      <c r="Q239" s="1480">
        <f t="shared" ca="1" si="69"/>
        <v>3.1345553075453139</v>
      </c>
      <c r="R239" s="384">
        <f t="shared" ca="1" si="70"/>
        <v>0</v>
      </c>
      <c r="S239" s="692" t="str">
        <f t="shared" ca="1" si="58"/>
        <v xml:space="preserve"> </v>
      </c>
      <c r="U239" s="1484">
        <f ca="1">IF($A239&gt;Endyr,0,VLOOKUP($A239,Tariff_Table,Tariff!$I$33))</f>
        <v>0</v>
      </c>
      <c r="V239" s="1480">
        <f t="shared" ca="1" si="59"/>
        <v>4.4967221989475599</v>
      </c>
      <c r="W239" s="1486">
        <f t="shared" ca="1" si="71"/>
        <v>0</v>
      </c>
      <c r="X239" s="334">
        <f ca="1">VLOOKUP($A239,Plant_Table,'Plant Operations'!$M$270)</f>
        <v>0</v>
      </c>
      <c r="Y239" s="1006">
        <f t="shared" ca="1" si="72"/>
        <v>0</v>
      </c>
      <c r="Z239" s="1480">
        <f t="shared" ca="1" si="73"/>
        <v>3.1345553075453139</v>
      </c>
      <c r="AA239" s="1480">
        <f t="shared" ca="1" si="60"/>
        <v>3.1345553075453139</v>
      </c>
      <c r="AB239" s="333">
        <f t="shared" ca="1" si="74"/>
        <v>0</v>
      </c>
      <c r="AC239" s="335">
        <f t="shared" ca="1" si="75"/>
        <v>0</v>
      </c>
      <c r="AD239" s="698" t="str">
        <f t="shared" ca="1" si="61"/>
        <v xml:space="preserve"> </v>
      </c>
    </row>
    <row r="240" spans="1:30">
      <c r="A240" s="672">
        <f>'Annex 12-Gas'!A240</f>
        <v>43891</v>
      </c>
      <c r="C240" s="1484">
        <f ca="1">IF($A240&gt;Endyr,0,VLOOKUP($A240,Tariff_Table,Tariff!$G$33))</f>
        <v>0</v>
      </c>
      <c r="D240" s="1480">
        <f ca="1">VLOOKUP($A240,Curves_Table,Escalation!$AW$291)</f>
        <v>4.4967221989475599</v>
      </c>
      <c r="E240" s="1486">
        <f t="shared" ca="1" si="62"/>
        <v>0</v>
      </c>
      <c r="F240" s="330">
        <f ca="1">VLOOKUP($A240,Plant_Table,'Plant Operations'!$C$270)</f>
        <v>0</v>
      </c>
      <c r="G240" s="1486">
        <f t="shared" ca="1" si="63"/>
        <v>0</v>
      </c>
      <c r="H240" s="1480">
        <f ca="1">IF(Assm!$L$74=0,VLOOKUP($A240,Curves_Table,Escalation!$D$291),VLOOKUP($A240,Curves_Table,Escalation!$E$291))</f>
        <v>3.1345553075453139</v>
      </c>
      <c r="I240" s="384">
        <f t="shared" ca="1" si="64"/>
        <v>0</v>
      </c>
      <c r="J240" s="692" t="str">
        <f t="shared" ca="1" si="57"/>
        <v xml:space="preserve"> </v>
      </c>
      <c r="L240" s="1484">
        <f ca="1">IF($A240&gt;Endyr,0,VLOOKUP($A240,Tariff_Table,Tariff!$H$33))</f>
        <v>0</v>
      </c>
      <c r="M240" s="1480">
        <f t="shared" ca="1" si="65"/>
        <v>4.4967221989475599</v>
      </c>
      <c r="N240" s="1486">
        <f t="shared" ca="1" si="66"/>
        <v>0</v>
      </c>
      <c r="O240" s="330">
        <f t="shared" ca="1" si="67"/>
        <v>0</v>
      </c>
      <c r="P240" s="1486">
        <f t="shared" ca="1" si="68"/>
        <v>0</v>
      </c>
      <c r="Q240" s="1480">
        <f t="shared" ca="1" si="69"/>
        <v>3.1345553075453139</v>
      </c>
      <c r="R240" s="384">
        <f t="shared" ca="1" si="70"/>
        <v>0</v>
      </c>
      <c r="S240" s="692" t="str">
        <f t="shared" ca="1" si="58"/>
        <v xml:space="preserve"> </v>
      </c>
      <c r="U240" s="1484">
        <f ca="1">IF($A240&gt;Endyr,0,VLOOKUP($A240,Tariff_Table,Tariff!$I$33))</f>
        <v>0</v>
      </c>
      <c r="V240" s="1480">
        <f t="shared" ca="1" si="59"/>
        <v>4.4967221989475599</v>
      </c>
      <c r="W240" s="1486">
        <f t="shared" ca="1" si="71"/>
        <v>0</v>
      </c>
      <c r="X240" s="334">
        <f ca="1">VLOOKUP($A240,Plant_Table,'Plant Operations'!$M$270)</f>
        <v>0</v>
      </c>
      <c r="Y240" s="1006">
        <f t="shared" ca="1" si="72"/>
        <v>0</v>
      </c>
      <c r="Z240" s="1480">
        <f t="shared" ca="1" si="73"/>
        <v>3.1345553075453139</v>
      </c>
      <c r="AA240" s="1480">
        <f t="shared" ca="1" si="60"/>
        <v>3.1345553075453139</v>
      </c>
      <c r="AB240" s="333">
        <f t="shared" ca="1" si="74"/>
        <v>0</v>
      </c>
      <c r="AC240" s="335">
        <f t="shared" ca="1" si="75"/>
        <v>0</v>
      </c>
      <c r="AD240" s="698" t="str">
        <f t="shared" ca="1" si="61"/>
        <v xml:space="preserve"> </v>
      </c>
    </row>
    <row r="241" spans="1:30">
      <c r="A241" s="672">
        <f>'Annex 12-Gas'!A241</f>
        <v>43922</v>
      </c>
      <c r="C241" s="1484">
        <f ca="1">IF($A241&gt;Endyr,0,VLOOKUP($A241,Tariff_Table,Tariff!$G$33))</f>
        <v>0</v>
      </c>
      <c r="D241" s="1480">
        <f ca="1">VLOOKUP($A241,Curves_Table,Escalation!$AW$291)</f>
        <v>4.4967221989475599</v>
      </c>
      <c r="E241" s="1486">
        <f t="shared" ca="1" si="62"/>
        <v>0</v>
      </c>
      <c r="F241" s="330">
        <f ca="1">VLOOKUP($A241,Plant_Table,'Plant Operations'!$C$270)</f>
        <v>0</v>
      </c>
      <c r="G241" s="1486">
        <f t="shared" ca="1" si="63"/>
        <v>0</v>
      </c>
      <c r="H241" s="1480">
        <f ca="1">IF(Assm!$L$74=0,VLOOKUP($A241,Curves_Table,Escalation!$D$291),VLOOKUP($A241,Curves_Table,Escalation!$E$291))</f>
        <v>3.1345553075453139</v>
      </c>
      <c r="I241" s="384">
        <f t="shared" ca="1" si="64"/>
        <v>0</v>
      </c>
      <c r="J241" s="692" t="str">
        <f t="shared" ca="1" si="57"/>
        <v xml:space="preserve"> </v>
      </c>
      <c r="L241" s="1484">
        <f ca="1">IF($A241&gt;Endyr,0,VLOOKUP($A241,Tariff_Table,Tariff!$H$33))</f>
        <v>0</v>
      </c>
      <c r="M241" s="1480">
        <f t="shared" ca="1" si="65"/>
        <v>4.4967221989475599</v>
      </c>
      <c r="N241" s="1486">
        <f t="shared" ca="1" si="66"/>
        <v>0</v>
      </c>
      <c r="O241" s="330">
        <f t="shared" ca="1" si="67"/>
        <v>0</v>
      </c>
      <c r="P241" s="1486">
        <f t="shared" ca="1" si="68"/>
        <v>0</v>
      </c>
      <c r="Q241" s="1480">
        <f t="shared" ca="1" si="69"/>
        <v>3.1345553075453139</v>
      </c>
      <c r="R241" s="384">
        <f t="shared" ca="1" si="70"/>
        <v>0</v>
      </c>
      <c r="S241" s="692" t="str">
        <f t="shared" ca="1" si="58"/>
        <v xml:space="preserve"> </v>
      </c>
      <c r="U241" s="1484">
        <f ca="1">IF($A241&gt;Endyr,0,VLOOKUP($A241,Tariff_Table,Tariff!$I$33))</f>
        <v>0</v>
      </c>
      <c r="V241" s="1480">
        <f t="shared" ca="1" si="59"/>
        <v>4.4967221989475599</v>
      </c>
      <c r="W241" s="1486">
        <f t="shared" ca="1" si="71"/>
        <v>0</v>
      </c>
      <c r="X241" s="334">
        <f ca="1">VLOOKUP($A241,Plant_Table,'Plant Operations'!$M$270)</f>
        <v>0</v>
      </c>
      <c r="Y241" s="1006">
        <f t="shared" ca="1" si="72"/>
        <v>0</v>
      </c>
      <c r="Z241" s="1480">
        <f t="shared" ca="1" si="73"/>
        <v>3.1345553075453139</v>
      </c>
      <c r="AA241" s="1480">
        <f t="shared" ca="1" si="60"/>
        <v>3.1345553075453139</v>
      </c>
      <c r="AB241" s="333">
        <f t="shared" ca="1" si="74"/>
        <v>0</v>
      </c>
      <c r="AC241" s="335">
        <f t="shared" ca="1" si="75"/>
        <v>0</v>
      </c>
      <c r="AD241" s="698" t="str">
        <f t="shared" ca="1" si="61"/>
        <v xml:space="preserve"> </v>
      </c>
    </row>
    <row r="242" spans="1:30">
      <c r="A242" s="672">
        <f>'Annex 12-Gas'!A242</f>
        <v>43952</v>
      </c>
      <c r="C242" s="1484">
        <f ca="1">IF($A242&gt;Endyr,0,VLOOKUP($A242,Tariff_Table,Tariff!$G$33))</f>
        <v>0</v>
      </c>
      <c r="D242" s="1480">
        <f ca="1">VLOOKUP($A242,Curves_Table,Escalation!$AW$291)</f>
        <v>4.4967221989475599</v>
      </c>
      <c r="E242" s="1486">
        <f t="shared" ca="1" si="62"/>
        <v>0</v>
      </c>
      <c r="F242" s="330">
        <f ca="1">VLOOKUP($A242,Plant_Table,'Plant Operations'!$C$270)</f>
        <v>0</v>
      </c>
      <c r="G242" s="1486">
        <f t="shared" ca="1" si="63"/>
        <v>0</v>
      </c>
      <c r="H242" s="1480">
        <f ca="1">IF(Assm!$L$74=0,VLOOKUP($A242,Curves_Table,Escalation!$D$291),VLOOKUP($A242,Curves_Table,Escalation!$E$291))</f>
        <v>3.1345553075453139</v>
      </c>
      <c r="I242" s="384">
        <f t="shared" ca="1" si="64"/>
        <v>0</v>
      </c>
      <c r="J242" s="692" t="str">
        <f t="shared" ca="1" si="57"/>
        <v xml:space="preserve"> </v>
      </c>
      <c r="L242" s="1484">
        <f ca="1">IF($A242&gt;Endyr,0,VLOOKUP($A242,Tariff_Table,Tariff!$H$33))</f>
        <v>0</v>
      </c>
      <c r="M242" s="1480">
        <f t="shared" ca="1" si="65"/>
        <v>4.4967221989475599</v>
      </c>
      <c r="N242" s="1486">
        <f t="shared" ca="1" si="66"/>
        <v>0</v>
      </c>
      <c r="O242" s="330">
        <f t="shared" ca="1" si="67"/>
        <v>0</v>
      </c>
      <c r="P242" s="1486">
        <f t="shared" ca="1" si="68"/>
        <v>0</v>
      </c>
      <c r="Q242" s="1480">
        <f t="shared" ca="1" si="69"/>
        <v>3.1345553075453139</v>
      </c>
      <c r="R242" s="384">
        <f t="shared" ca="1" si="70"/>
        <v>0</v>
      </c>
      <c r="S242" s="692" t="str">
        <f t="shared" ca="1" si="58"/>
        <v xml:space="preserve"> </v>
      </c>
      <c r="U242" s="1484">
        <f ca="1">IF($A242&gt;Endyr,0,VLOOKUP($A242,Tariff_Table,Tariff!$I$33))</f>
        <v>0</v>
      </c>
      <c r="V242" s="1480">
        <f t="shared" ca="1" si="59"/>
        <v>4.4967221989475599</v>
      </c>
      <c r="W242" s="1486">
        <f t="shared" ca="1" si="71"/>
        <v>0</v>
      </c>
      <c r="X242" s="334">
        <f ca="1">VLOOKUP($A242,Plant_Table,'Plant Operations'!$M$270)</f>
        <v>0</v>
      </c>
      <c r="Y242" s="1006">
        <f t="shared" ca="1" si="72"/>
        <v>0</v>
      </c>
      <c r="Z242" s="1480">
        <f t="shared" ca="1" si="73"/>
        <v>3.1345553075453139</v>
      </c>
      <c r="AA242" s="1480">
        <f t="shared" ca="1" si="60"/>
        <v>3.1345553075453139</v>
      </c>
      <c r="AB242" s="333">
        <f t="shared" ca="1" si="74"/>
        <v>0</v>
      </c>
      <c r="AC242" s="335">
        <f t="shared" ca="1" si="75"/>
        <v>0</v>
      </c>
      <c r="AD242" s="698" t="str">
        <f t="shared" ca="1" si="61"/>
        <v xml:space="preserve"> </v>
      </c>
    </row>
    <row r="243" spans="1:30">
      <c r="A243" s="672">
        <f>'Annex 12-Gas'!A243</f>
        <v>43983</v>
      </c>
      <c r="C243" s="1484">
        <f ca="1">IF($A243&gt;Endyr,0,VLOOKUP($A243,Tariff_Table,Tariff!$G$33))</f>
        <v>0</v>
      </c>
      <c r="D243" s="1480">
        <f ca="1">VLOOKUP($A243,Curves_Table,Escalation!$AW$291)</f>
        <v>4.4967221989475599</v>
      </c>
      <c r="E243" s="1486">
        <f t="shared" ca="1" si="62"/>
        <v>0</v>
      </c>
      <c r="F243" s="330">
        <f ca="1">VLOOKUP($A243,Plant_Table,'Plant Operations'!$C$270)</f>
        <v>0</v>
      </c>
      <c r="G243" s="1486">
        <f t="shared" ca="1" si="63"/>
        <v>0</v>
      </c>
      <c r="H243" s="1480">
        <f ca="1">IF(Assm!$L$74=0,VLOOKUP($A243,Curves_Table,Escalation!$D$291),VLOOKUP($A243,Curves_Table,Escalation!$E$291))</f>
        <v>3.1345553075453139</v>
      </c>
      <c r="I243" s="384">
        <f t="shared" ca="1" si="64"/>
        <v>0</v>
      </c>
      <c r="J243" s="692" t="str">
        <f t="shared" ca="1" si="57"/>
        <v xml:space="preserve"> </v>
      </c>
      <c r="L243" s="1484">
        <f ca="1">IF($A243&gt;Endyr,0,VLOOKUP($A243,Tariff_Table,Tariff!$H$33))</f>
        <v>0</v>
      </c>
      <c r="M243" s="1480">
        <f t="shared" ca="1" si="65"/>
        <v>4.4967221989475599</v>
      </c>
      <c r="N243" s="1486">
        <f t="shared" ca="1" si="66"/>
        <v>0</v>
      </c>
      <c r="O243" s="330">
        <f t="shared" ca="1" si="67"/>
        <v>0</v>
      </c>
      <c r="P243" s="1486">
        <f t="shared" ca="1" si="68"/>
        <v>0</v>
      </c>
      <c r="Q243" s="1480">
        <f t="shared" ca="1" si="69"/>
        <v>3.1345553075453139</v>
      </c>
      <c r="R243" s="384">
        <f t="shared" ca="1" si="70"/>
        <v>0</v>
      </c>
      <c r="S243" s="692" t="str">
        <f t="shared" ca="1" si="58"/>
        <v xml:space="preserve"> </v>
      </c>
      <c r="U243" s="1484">
        <f ca="1">IF($A243&gt;Endyr,0,VLOOKUP($A243,Tariff_Table,Tariff!$I$33))</f>
        <v>0</v>
      </c>
      <c r="V243" s="1480">
        <f t="shared" ca="1" si="59"/>
        <v>4.4967221989475599</v>
      </c>
      <c r="W243" s="1486">
        <f t="shared" ca="1" si="71"/>
        <v>0</v>
      </c>
      <c r="X243" s="334">
        <f ca="1">VLOOKUP($A243,Plant_Table,'Plant Operations'!$M$270)</f>
        <v>0</v>
      </c>
      <c r="Y243" s="1006">
        <f t="shared" ca="1" si="72"/>
        <v>0</v>
      </c>
      <c r="Z243" s="1480">
        <f t="shared" ca="1" si="73"/>
        <v>3.1345553075453139</v>
      </c>
      <c r="AA243" s="1480">
        <f t="shared" ca="1" si="60"/>
        <v>3.1345553075453139</v>
      </c>
      <c r="AB243" s="333">
        <f t="shared" ca="1" si="74"/>
        <v>0</v>
      </c>
      <c r="AC243" s="335">
        <f t="shared" ca="1" si="75"/>
        <v>0</v>
      </c>
      <c r="AD243" s="698" t="str">
        <f t="shared" ca="1" si="61"/>
        <v xml:space="preserve"> </v>
      </c>
    </row>
    <row r="244" spans="1:30">
      <c r="A244" s="672">
        <f>'Annex 12-Gas'!A244</f>
        <v>44013</v>
      </c>
      <c r="C244" s="1484">
        <f ca="1">IF($A244&gt;Endyr,0,VLOOKUP($A244,Tariff_Table,Tariff!$G$33))</f>
        <v>0</v>
      </c>
      <c r="D244" s="1480">
        <f ca="1">VLOOKUP($A244,Curves_Table,Escalation!$AW$291)</f>
        <v>4.4967221989475599</v>
      </c>
      <c r="E244" s="1486">
        <f t="shared" ca="1" si="62"/>
        <v>0</v>
      </c>
      <c r="F244" s="330">
        <f ca="1">VLOOKUP($A244,Plant_Table,'Plant Operations'!$C$270)</f>
        <v>0</v>
      </c>
      <c r="G244" s="1486">
        <f t="shared" ca="1" si="63"/>
        <v>0</v>
      </c>
      <c r="H244" s="1480">
        <f ca="1">IF(Assm!$L$74=0,VLOOKUP($A244,Curves_Table,Escalation!$D$291),VLOOKUP($A244,Curves_Table,Escalation!$E$291))</f>
        <v>3.1345553075453139</v>
      </c>
      <c r="I244" s="384">
        <f t="shared" ca="1" si="64"/>
        <v>0</v>
      </c>
      <c r="J244" s="692" t="str">
        <f t="shared" ca="1" si="57"/>
        <v xml:space="preserve"> </v>
      </c>
      <c r="L244" s="1484">
        <f ca="1">IF($A244&gt;Endyr,0,VLOOKUP($A244,Tariff_Table,Tariff!$H$33))</f>
        <v>0</v>
      </c>
      <c r="M244" s="1480">
        <f t="shared" ca="1" si="65"/>
        <v>4.4967221989475599</v>
      </c>
      <c r="N244" s="1486">
        <f t="shared" ca="1" si="66"/>
        <v>0</v>
      </c>
      <c r="O244" s="330">
        <f t="shared" ca="1" si="67"/>
        <v>0</v>
      </c>
      <c r="P244" s="1486">
        <f t="shared" ca="1" si="68"/>
        <v>0</v>
      </c>
      <c r="Q244" s="1480">
        <f t="shared" ca="1" si="69"/>
        <v>3.1345553075453139</v>
      </c>
      <c r="R244" s="384">
        <f t="shared" ca="1" si="70"/>
        <v>0</v>
      </c>
      <c r="S244" s="692" t="str">
        <f t="shared" ca="1" si="58"/>
        <v xml:space="preserve"> </v>
      </c>
      <c r="U244" s="1484">
        <f ca="1">IF($A244&gt;Endyr,0,VLOOKUP($A244,Tariff_Table,Tariff!$I$33))</f>
        <v>0</v>
      </c>
      <c r="V244" s="1480">
        <f t="shared" ca="1" si="59"/>
        <v>4.4967221989475599</v>
      </c>
      <c r="W244" s="1486">
        <f t="shared" ca="1" si="71"/>
        <v>0</v>
      </c>
      <c r="X244" s="334">
        <f ca="1">VLOOKUP($A244,Plant_Table,'Plant Operations'!$M$270)</f>
        <v>0</v>
      </c>
      <c r="Y244" s="1006">
        <f t="shared" ca="1" si="72"/>
        <v>0</v>
      </c>
      <c r="Z244" s="1480">
        <f t="shared" ca="1" si="73"/>
        <v>3.1345553075453139</v>
      </c>
      <c r="AA244" s="1480">
        <f t="shared" ca="1" si="60"/>
        <v>3.1345553075453139</v>
      </c>
      <c r="AB244" s="333">
        <f t="shared" ca="1" si="74"/>
        <v>0</v>
      </c>
      <c r="AC244" s="335">
        <f t="shared" ca="1" si="75"/>
        <v>0</v>
      </c>
      <c r="AD244" s="698" t="str">
        <f t="shared" ca="1" si="61"/>
        <v xml:space="preserve"> </v>
      </c>
    </row>
    <row r="245" spans="1:30">
      <c r="A245" s="672">
        <f>'Annex 12-Gas'!A245</f>
        <v>44044</v>
      </c>
      <c r="C245" s="1484">
        <f ca="1">IF($A245&gt;Endyr,0,VLOOKUP($A245,Tariff_Table,Tariff!$G$33))</f>
        <v>0</v>
      </c>
      <c r="D245" s="1480">
        <f ca="1">VLOOKUP($A245,Curves_Table,Escalation!$AW$291)</f>
        <v>4.4967221989475599</v>
      </c>
      <c r="E245" s="1486">
        <f t="shared" ca="1" si="62"/>
        <v>0</v>
      </c>
      <c r="F245" s="330">
        <f ca="1">VLOOKUP($A245,Plant_Table,'Plant Operations'!$C$270)</f>
        <v>0</v>
      </c>
      <c r="G245" s="1486">
        <f t="shared" ca="1" si="63"/>
        <v>0</v>
      </c>
      <c r="H245" s="1480">
        <f ca="1">IF(Assm!$L$74=0,VLOOKUP($A245,Curves_Table,Escalation!$D$291),VLOOKUP($A245,Curves_Table,Escalation!$E$291))</f>
        <v>3.1345553075453139</v>
      </c>
      <c r="I245" s="384">
        <f t="shared" ca="1" si="64"/>
        <v>0</v>
      </c>
      <c r="J245" s="692" t="str">
        <f t="shared" ca="1" si="57"/>
        <v xml:space="preserve"> </v>
      </c>
      <c r="L245" s="1484">
        <f ca="1">IF($A245&gt;Endyr,0,VLOOKUP($A245,Tariff_Table,Tariff!$H$33))</f>
        <v>0</v>
      </c>
      <c r="M245" s="1480">
        <f t="shared" ca="1" si="65"/>
        <v>4.4967221989475599</v>
      </c>
      <c r="N245" s="1486">
        <f t="shared" ca="1" si="66"/>
        <v>0</v>
      </c>
      <c r="O245" s="330">
        <f t="shared" ca="1" si="67"/>
        <v>0</v>
      </c>
      <c r="P245" s="1486">
        <f t="shared" ca="1" si="68"/>
        <v>0</v>
      </c>
      <c r="Q245" s="1480">
        <f t="shared" ca="1" si="69"/>
        <v>3.1345553075453139</v>
      </c>
      <c r="R245" s="384">
        <f t="shared" ca="1" si="70"/>
        <v>0</v>
      </c>
      <c r="S245" s="692" t="str">
        <f t="shared" ca="1" si="58"/>
        <v xml:space="preserve"> </v>
      </c>
      <c r="U245" s="1484">
        <f ca="1">IF($A245&gt;Endyr,0,VLOOKUP($A245,Tariff_Table,Tariff!$I$33))</f>
        <v>0</v>
      </c>
      <c r="V245" s="1480">
        <f t="shared" ca="1" si="59"/>
        <v>4.4967221989475599</v>
      </c>
      <c r="W245" s="1486">
        <f t="shared" ca="1" si="71"/>
        <v>0</v>
      </c>
      <c r="X245" s="334">
        <f ca="1">VLOOKUP($A245,Plant_Table,'Plant Operations'!$M$270)</f>
        <v>0</v>
      </c>
      <c r="Y245" s="1006">
        <f t="shared" ca="1" si="72"/>
        <v>0</v>
      </c>
      <c r="Z245" s="1480">
        <f t="shared" ca="1" si="73"/>
        <v>3.1345553075453139</v>
      </c>
      <c r="AA245" s="1480">
        <f t="shared" ca="1" si="60"/>
        <v>3.1345553075453139</v>
      </c>
      <c r="AB245" s="333">
        <f t="shared" ca="1" si="74"/>
        <v>0</v>
      </c>
      <c r="AC245" s="335">
        <f t="shared" ca="1" si="75"/>
        <v>0</v>
      </c>
      <c r="AD245" s="698" t="str">
        <f t="shared" ca="1" si="61"/>
        <v xml:space="preserve"> </v>
      </c>
    </row>
    <row r="246" spans="1:30">
      <c r="A246" s="672">
        <f>'Annex 12-Gas'!A246</f>
        <v>44075</v>
      </c>
      <c r="C246" s="1484">
        <f ca="1">IF($A246&gt;Endyr,0,VLOOKUP($A246,Tariff_Table,Tariff!$G$33))</f>
        <v>0</v>
      </c>
      <c r="D246" s="1480">
        <f ca="1">VLOOKUP($A246,Curves_Table,Escalation!$AW$291)</f>
        <v>4.4967221989475599</v>
      </c>
      <c r="E246" s="1486">
        <f t="shared" ca="1" si="62"/>
        <v>0</v>
      </c>
      <c r="F246" s="330">
        <f ca="1">VLOOKUP($A246,Plant_Table,'Plant Operations'!$C$270)</f>
        <v>0</v>
      </c>
      <c r="G246" s="1486">
        <f t="shared" ca="1" si="63"/>
        <v>0</v>
      </c>
      <c r="H246" s="1480">
        <f ca="1">IF(Assm!$L$74=0,VLOOKUP($A246,Curves_Table,Escalation!$D$291),VLOOKUP($A246,Curves_Table,Escalation!$E$291))</f>
        <v>3.1345553075453139</v>
      </c>
      <c r="I246" s="384">
        <f t="shared" ca="1" si="64"/>
        <v>0</v>
      </c>
      <c r="J246" s="692" t="str">
        <f t="shared" ca="1" si="57"/>
        <v xml:space="preserve"> </v>
      </c>
      <c r="L246" s="1484">
        <f ca="1">IF($A246&gt;Endyr,0,VLOOKUP($A246,Tariff_Table,Tariff!$H$33))</f>
        <v>0</v>
      </c>
      <c r="M246" s="1480">
        <f t="shared" ca="1" si="65"/>
        <v>4.4967221989475599</v>
      </c>
      <c r="N246" s="1486">
        <f t="shared" ca="1" si="66"/>
        <v>0</v>
      </c>
      <c r="O246" s="330">
        <f t="shared" ca="1" si="67"/>
        <v>0</v>
      </c>
      <c r="P246" s="1486">
        <f t="shared" ca="1" si="68"/>
        <v>0</v>
      </c>
      <c r="Q246" s="1480">
        <f t="shared" ca="1" si="69"/>
        <v>3.1345553075453139</v>
      </c>
      <c r="R246" s="384">
        <f t="shared" ca="1" si="70"/>
        <v>0</v>
      </c>
      <c r="S246" s="692" t="str">
        <f t="shared" ca="1" si="58"/>
        <v xml:space="preserve"> </v>
      </c>
      <c r="U246" s="1484">
        <f ca="1">IF($A246&gt;Endyr,0,VLOOKUP($A246,Tariff_Table,Tariff!$I$33))</f>
        <v>0</v>
      </c>
      <c r="V246" s="1480">
        <f t="shared" ca="1" si="59"/>
        <v>4.4967221989475599</v>
      </c>
      <c r="W246" s="1486">
        <f t="shared" ca="1" si="71"/>
        <v>0</v>
      </c>
      <c r="X246" s="334">
        <f ca="1">VLOOKUP($A246,Plant_Table,'Plant Operations'!$M$270)</f>
        <v>0</v>
      </c>
      <c r="Y246" s="1006">
        <f t="shared" ca="1" si="72"/>
        <v>0</v>
      </c>
      <c r="Z246" s="1480">
        <f t="shared" ca="1" si="73"/>
        <v>3.1345553075453139</v>
      </c>
      <c r="AA246" s="1480">
        <f t="shared" ca="1" si="60"/>
        <v>3.1345553075453139</v>
      </c>
      <c r="AB246" s="333">
        <f t="shared" ca="1" si="74"/>
        <v>0</v>
      </c>
      <c r="AC246" s="335">
        <f t="shared" ca="1" si="75"/>
        <v>0</v>
      </c>
      <c r="AD246" s="698" t="str">
        <f t="shared" ca="1" si="61"/>
        <v xml:space="preserve"> </v>
      </c>
    </row>
    <row r="247" spans="1:30">
      <c r="A247" s="672">
        <f>'Annex 12-Gas'!A247</f>
        <v>44105</v>
      </c>
      <c r="C247" s="1484">
        <f ca="1">IF($A247&gt;Endyr,0,VLOOKUP($A247,Tariff_Table,Tariff!$G$33))</f>
        <v>0</v>
      </c>
      <c r="D247" s="1480">
        <f ca="1">VLOOKUP($A247,Curves_Table,Escalation!$AW$291)</f>
        <v>4.4967221989475599</v>
      </c>
      <c r="E247" s="1486">
        <f t="shared" ca="1" si="62"/>
        <v>0</v>
      </c>
      <c r="F247" s="330">
        <f ca="1">VLOOKUP($A247,Plant_Table,'Plant Operations'!$C$270)</f>
        <v>0</v>
      </c>
      <c r="G247" s="1486">
        <f t="shared" ca="1" si="63"/>
        <v>0</v>
      </c>
      <c r="H247" s="1480">
        <f ca="1">IF(Assm!$L$74=0,VLOOKUP($A247,Curves_Table,Escalation!$D$291),VLOOKUP($A247,Curves_Table,Escalation!$E$291))</f>
        <v>3.1345553075453139</v>
      </c>
      <c r="I247" s="384">
        <f t="shared" ca="1" si="64"/>
        <v>0</v>
      </c>
      <c r="J247" s="692" t="str">
        <f t="shared" ca="1" si="57"/>
        <v xml:space="preserve"> </v>
      </c>
      <c r="L247" s="1484">
        <f ca="1">IF($A247&gt;Endyr,0,VLOOKUP($A247,Tariff_Table,Tariff!$H$33))</f>
        <v>0</v>
      </c>
      <c r="M247" s="1480">
        <f t="shared" ca="1" si="65"/>
        <v>4.4967221989475599</v>
      </c>
      <c r="N247" s="1486">
        <f t="shared" ca="1" si="66"/>
        <v>0</v>
      </c>
      <c r="O247" s="330">
        <f t="shared" ca="1" si="67"/>
        <v>0</v>
      </c>
      <c r="P247" s="1486">
        <f t="shared" ca="1" si="68"/>
        <v>0</v>
      </c>
      <c r="Q247" s="1480">
        <f t="shared" ca="1" si="69"/>
        <v>3.1345553075453139</v>
      </c>
      <c r="R247" s="384">
        <f t="shared" ca="1" si="70"/>
        <v>0</v>
      </c>
      <c r="S247" s="692" t="str">
        <f t="shared" ca="1" si="58"/>
        <v xml:space="preserve"> </v>
      </c>
      <c r="U247" s="1484">
        <f ca="1">IF($A247&gt;Endyr,0,VLOOKUP($A247,Tariff_Table,Tariff!$I$33))</f>
        <v>0</v>
      </c>
      <c r="V247" s="1480">
        <f t="shared" ca="1" si="59"/>
        <v>4.4967221989475599</v>
      </c>
      <c r="W247" s="1486">
        <f t="shared" ca="1" si="71"/>
        <v>0</v>
      </c>
      <c r="X247" s="334">
        <f ca="1">VLOOKUP($A247,Plant_Table,'Plant Operations'!$M$270)</f>
        <v>0</v>
      </c>
      <c r="Y247" s="1006">
        <f t="shared" ca="1" si="72"/>
        <v>0</v>
      </c>
      <c r="Z247" s="1480">
        <f t="shared" ca="1" si="73"/>
        <v>3.1345553075453139</v>
      </c>
      <c r="AA247" s="1480">
        <f t="shared" ca="1" si="60"/>
        <v>3.1345553075453139</v>
      </c>
      <c r="AB247" s="333">
        <f t="shared" ca="1" si="74"/>
        <v>0</v>
      </c>
      <c r="AC247" s="335">
        <f t="shared" ca="1" si="75"/>
        <v>0</v>
      </c>
      <c r="AD247" s="698" t="str">
        <f t="shared" ca="1" si="61"/>
        <v xml:space="preserve"> </v>
      </c>
    </row>
    <row r="248" spans="1:30">
      <c r="A248" s="672">
        <f>'Annex 12-Gas'!A248</f>
        <v>44136</v>
      </c>
      <c r="C248" s="1484">
        <f ca="1">IF($A248&gt;Endyr,0,VLOOKUP($A248,Tariff_Table,Tariff!$G$33))</f>
        <v>0</v>
      </c>
      <c r="D248" s="1480">
        <f ca="1">VLOOKUP($A248,Curves_Table,Escalation!$AW$291)</f>
        <v>4.4967221989475599</v>
      </c>
      <c r="E248" s="1486">
        <f t="shared" ca="1" si="62"/>
        <v>0</v>
      </c>
      <c r="F248" s="330">
        <f ca="1">VLOOKUP($A248,Plant_Table,'Plant Operations'!$C$270)</f>
        <v>0</v>
      </c>
      <c r="G248" s="1486">
        <f t="shared" ca="1" si="63"/>
        <v>0</v>
      </c>
      <c r="H248" s="1480">
        <f ca="1">IF(Assm!$L$74=0,VLOOKUP($A248,Curves_Table,Escalation!$D$291),VLOOKUP($A248,Curves_Table,Escalation!$E$291))</f>
        <v>3.1345553075453139</v>
      </c>
      <c r="I248" s="384">
        <f t="shared" ca="1" si="64"/>
        <v>0</v>
      </c>
      <c r="J248" s="692" t="str">
        <f t="shared" ca="1" si="57"/>
        <v xml:space="preserve"> </v>
      </c>
      <c r="L248" s="1484">
        <f ca="1">IF($A248&gt;Endyr,0,VLOOKUP($A248,Tariff_Table,Tariff!$H$33))</f>
        <v>0</v>
      </c>
      <c r="M248" s="1480">
        <f t="shared" ca="1" si="65"/>
        <v>4.4967221989475599</v>
      </c>
      <c r="N248" s="1486">
        <f t="shared" ca="1" si="66"/>
        <v>0</v>
      </c>
      <c r="O248" s="330">
        <f t="shared" ca="1" si="67"/>
        <v>0</v>
      </c>
      <c r="P248" s="1486">
        <f t="shared" ca="1" si="68"/>
        <v>0</v>
      </c>
      <c r="Q248" s="1480">
        <f t="shared" ca="1" si="69"/>
        <v>3.1345553075453139</v>
      </c>
      <c r="R248" s="384">
        <f t="shared" ca="1" si="70"/>
        <v>0</v>
      </c>
      <c r="S248" s="692" t="str">
        <f t="shared" ca="1" si="58"/>
        <v xml:space="preserve"> </v>
      </c>
      <c r="U248" s="1484">
        <f ca="1">IF($A248&gt;Endyr,0,VLOOKUP($A248,Tariff_Table,Tariff!$I$33))</f>
        <v>0</v>
      </c>
      <c r="V248" s="1480">
        <f t="shared" ca="1" si="59"/>
        <v>4.4967221989475599</v>
      </c>
      <c r="W248" s="1486">
        <f t="shared" ca="1" si="71"/>
        <v>0</v>
      </c>
      <c r="X248" s="334">
        <f ca="1">VLOOKUP($A248,Plant_Table,'Plant Operations'!$M$270)</f>
        <v>0</v>
      </c>
      <c r="Y248" s="1006">
        <f t="shared" ca="1" si="72"/>
        <v>0</v>
      </c>
      <c r="Z248" s="1480">
        <f t="shared" ca="1" si="73"/>
        <v>3.1345553075453139</v>
      </c>
      <c r="AA248" s="1480">
        <f t="shared" ca="1" si="60"/>
        <v>3.1345553075453139</v>
      </c>
      <c r="AB248" s="333">
        <f t="shared" ca="1" si="74"/>
        <v>0</v>
      </c>
      <c r="AC248" s="335">
        <f t="shared" ca="1" si="75"/>
        <v>0</v>
      </c>
      <c r="AD248" s="698" t="str">
        <f t="shared" ca="1" si="61"/>
        <v xml:space="preserve"> </v>
      </c>
    </row>
    <row r="249" spans="1:30">
      <c r="A249" s="672">
        <f>'Annex 12-Gas'!A249</f>
        <v>44166</v>
      </c>
      <c r="C249" s="1484">
        <f ca="1">IF($A249&gt;Endyr,0,VLOOKUP($A249,Tariff_Table,Tariff!$G$33))</f>
        <v>0</v>
      </c>
      <c r="D249" s="1480">
        <f ca="1">VLOOKUP($A249,Curves_Table,Escalation!$AW$291)</f>
        <v>4.4967221989475599</v>
      </c>
      <c r="E249" s="1486">
        <f t="shared" ca="1" si="62"/>
        <v>0</v>
      </c>
      <c r="F249" s="330">
        <f ca="1">VLOOKUP($A249,Plant_Table,'Plant Operations'!$C$270)</f>
        <v>0</v>
      </c>
      <c r="G249" s="1486">
        <f t="shared" ca="1" si="63"/>
        <v>0</v>
      </c>
      <c r="H249" s="1480">
        <f ca="1">IF(Assm!$L$74=0,VLOOKUP($A249,Curves_Table,Escalation!$D$291),VLOOKUP($A249,Curves_Table,Escalation!$E$291))</f>
        <v>3.1345553075453139</v>
      </c>
      <c r="I249" s="384">
        <f t="shared" ca="1" si="64"/>
        <v>0</v>
      </c>
      <c r="J249" s="692">
        <f t="shared" ca="1" si="57"/>
        <v>0</v>
      </c>
      <c r="L249" s="1484">
        <f ca="1">IF($A249&gt;Endyr,0,VLOOKUP($A249,Tariff_Table,Tariff!$H$33))</f>
        <v>0</v>
      </c>
      <c r="M249" s="1480">
        <f t="shared" ca="1" si="65"/>
        <v>4.4967221989475599</v>
      </c>
      <c r="N249" s="1486">
        <f t="shared" ca="1" si="66"/>
        <v>0</v>
      </c>
      <c r="O249" s="330">
        <f t="shared" ca="1" si="67"/>
        <v>0</v>
      </c>
      <c r="P249" s="1486">
        <f t="shared" ca="1" si="68"/>
        <v>0</v>
      </c>
      <c r="Q249" s="1480">
        <f t="shared" ca="1" si="69"/>
        <v>3.1345553075453139</v>
      </c>
      <c r="R249" s="384">
        <f t="shared" ca="1" si="70"/>
        <v>0</v>
      </c>
      <c r="S249" s="692">
        <f t="shared" ca="1" si="58"/>
        <v>0</v>
      </c>
      <c r="U249" s="1484">
        <f ca="1">IF($A249&gt;Endyr,0,VLOOKUP($A249,Tariff_Table,Tariff!$I$33))</f>
        <v>0</v>
      </c>
      <c r="V249" s="1480">
        <f t="shared" ca="1" si="59"/>
        <v>4.4967221989475599</v>
      </c>
      <c r="W249" s="1486">
        <f t="shared" ca="1" si="71"/>
        <v>0</v>
      </c>
      <c r="X249" s="334">
        <f ca="1">VLOOKUP($A249,Plant_Table,'Plant Operations'!$M$270)</f>
        <v>0</v>
      </c>
      <c r="Y249" s="1006">
        <f t="shared" ca="1" si="72"/>
        <v>0</v>
      </c>
      <c r="Z249" s="1480">
        <f t="shared" ca="1" si="73"/>
        <v>3.1345553075453139</v>
      </c>
      <c r="AA249" s="1480">
        <f t="shared" ca="1" si="60"/>
        <v>3.1345553075453139</v>
      </c>
      <c r="AB249" s="333">
        <f t="shared" ca="1" si="74"/>
        <v>0</v>
      </c>
      <c r="AC249" s="335">
        <f t="shared" ca="1" si="75"/>
        <v>0</v>
      </c>
      <c r="AD249" s="698">
        <f t="shared" ca="1" si="61"/>
        <v>0</v>
      </c>
    </row>
    <row r="250" spans="1:30">
      <c r="A250" s="672">
        <f>'Annex 12-Gas'!A250</f>
        <v>44197</v>
      </c>
      <c r="C250" s="1484">
        <f ca="1">IF($A250&gt;Endyr,0,VLOOKUP($A250,Tariff_Table,Tariff!$G$33))</f>
        <v>0</v>
      </c>
      <c r="D250" s="1480">
        <f ca="1">VLOOKUP($A250,Curves_Table,Escalation!$AW$291)</f>
        <v>4.4967221989475599</v>
      </c>
      <c r="E250" s="1486">
        <f t="shared" ca="1" si="62"/>
        <v>0</v>
      </c>
      <c r="F250" s="330">
        <f ca="1">VLOOKUP($A250,Plant_Table,'Plant Operations'!$C$270)</f>
        <v>0</v>
      </c>
      <c r="G250" s="1486">
        <f t="shared" ca="1" si="63"/>
        <v>0</v>
      </c>
      <c r="H250" s="1480">
        <f ca="1">IF(Assm!$L$74=0,VLOOKUP($A250,Curves_Table,Escalation!$D$291),VLOOKUP($A250,Curves_Table,Escalation!$E$291))</f>
        <v>3.1345553075453139</v>
      </c>
      <c r="I250" s="384">
        <f t="shared" ca="1" si="64"/>
        <v>0</v>
      </c>
      <c r="J250" s="692" t="str">
        <f t="shared" ca="1" si="57"/>
        <v xml:space="preserve"> </v>
      </c>
      <c r="L250" s="1484">
        <f ca="1">IF($A250&gt;Endyr,0,VLOOKUP($A250,Tariff_Table,Tariff!$H$33))</f>
        <v>0</v>
      </c>
      <c r="M250" s="1480">
        <f t="shared" ca="1" si="65"/>
        <v>4.4967221989475599</v>
      </c>
      <c r="N250" s="1486">
        <f t="shared" ca="1" si="66"/>
        <v>0</v>
      </c>
      <c r="O250" s="330">
        <f t="shared" ca="1" si="67"/>
        <v>0</v>
      </c>
      <c r="P250" s="1486">
        <f t="shared" ca="1" si="68"/>
        <v>0</v>
      </c>
      <c r="Q250" s="1480">
        <f t="shared" ca="1" si="69"/>
        <v>3.1345553075453139</v>
      </c>
      <c r="R250" s="384">
        <f t="shared" ca="1" si="70"/>
        <v>0</v>
      </c>
      <c r="S250" s="692" t="str">
        <f t="shared" ca="1" si="58"/>
        <v xml:space="preserve"> </v>
      </c>
      <c r="U250" s="1484">
        <f ca="1">IF($A250&gt;Endyr,0,VLOOKUP($A250,Tariff_Table,Tariff!$I$33))</f>
        <v>0</v>
      </c>
      <c r="V250" s="1480">
        <f t="shared" ca="1" si="59"/>
        <v>4.4967221989475599</v>
      </c>
      <c r="W250" s="1486">
        <f t="shared" ca="1" si="71"/>
        <v>0</v>
      </c>
      <c r="X250" s="334">
        <f ca="1">VLOOKUP($A250,Plant_Table,'Plant Operations'!$M$270)</f>
        <v>0</v>
      </c>
      <c r="Y250" s="1006">
        <f t="shared" ca="1" si="72"/>
        <v>0</v>
      </c>
      <c r="Z250" s="1480">
        <f t="shared" ca="1" si="73"/>
        <v>3.1345553075453139</v>
      </c>
      <c r="AA250" s="1480">
        <f t="shared" ca="1" si="60"/>
        <v>3.1345553075453139</v>
      </c>
      <c r="AB250" s="333">
        <f t="shared" ca="1" si="74"/>
        <v>0</v>
      </c>
      <c r="AC250" s="335">
        <f t="shared" ca="1" si="75"/>
        <v>0</v>
      </c>
      <c r="AD250" s="698" t="str">
        <f t="shared" ca="1" si="61"/>
        <v xml:space="preserve"> </v>
      </c>
    </row>
    <row r="251" spans="1:30">
      <c r="A251" s="672">
        <f>'Annex 12-Gas'!A251</f>
        <v>44228</v>
      </c>
      <c r="C251" s="1484">
        <f ca="1">IF($A251&gt;Endyr,0,VLOOKUP($A251,Tariff_Table,Tariff!$G$33))</f>
        <v>0</v>
      </c>
      <c r="D251" s="1480">
        <f ca="1">VLOOKUP($A251,Curves_Table,Escalation!$AW$291)</f>
        <v>4.4967221989475599</v>
      </c>
      <c r="E251" s="1486">
        <f t="shared" ca="1" si="62"/>
        <v>0</v>
      </c>
      <c r="F251" s="330">
        <f ca="1">VLOOKUP($A251,Plant_Table,'Plant Operations'!$C$270)</f>
        <v>0</v>
      </c>
      <c r="G251" s="1486">
        <f t="shared" ca="1" si="63"/>
        <v>0</v>
      </c>
      <c r="H251" s="1480">
        <f ca="1">IF(Assm!$L$74=0,VLOOKUP($A251,Curves_Table,Escalation!$D$291),VLOOKUP($A251,Curves_Table,Escalation!$E$291))</f>
        <v>3.1345553075453139</v>
      </c>
      <c r="I251" s="384">
        <f t="shared" ca="1" si="64"/>
        <v>0</v>
      </c>
      <c r="J251" s="692" t="str">
        <f t="shared" ca="1" si="57"/>
        <v xml:space="preserve"> </v>
      </c>
      <c r="L251" s="1484">
        <f ca="1">IF($A251&gt;Endyr,0,VLOOKUP($A251,Tariff_Table,Tariff!$H$33))</f>
        <v>0</v>
      </c>
      <c r="M251" s="1480">
        <f t="shared" ca="1" si="65"/>
        <v>4.4967221989475599</v>
      </c>
      <c r="N251" s="1486">
        <f t="shared" ca="1" si="66"/>
        <v>0</v>
      </c>
      <c r="O251" s="330">
        <f t="shared" ca="1" si="67"/>
        <v>0</v>
      </c>
      <c r="P251" s="1486">
        <f t="shared" ca="1" si="68"/>
        <v>0</v>
      </c>
      <c r="Q251" s="1480">
        <f t="shared" ca="1" si="69"/>
        <v>3.1345553075453139</v>
      </c>
      <c r="R251" s="384">
        <f t="shared" ca="1" si="70"/>
        <v>0</v>
      </c>
      <c r="S251" s="692" t="str">
        <f t="shared" ca="1" si="58"/>
        <v xml:space="preserve"> </v>
      </c>
      <c r="U251" s="1484">
        <f ca="1">IF($A251&gt;Endyr,0,VLOOKUP($A251,Tariff_Table,Tariff!$I$33))</f>
        <v>0</v>
      </c>
      <c r="V251" s="1480">
        <f t="shared" ca="1" si="59"/>
        <v>4.4967221989475599</v>
      </c>
      <c r="W251" s="1486">
        <f t="shared" ca="1" si="71"/>
        <v>0</v>
      </c>
      <c r="X251" s="334">
        <f ca="1">VLOOKUP($A251,Plant_Table,'Plant Operations'!$M$270)</f>
        <v>0</v>
      </c>
      <c r="Y251" s="1006">
        <f t="shared" ca="1" si="72"/>
        <v>0</v>
      </c>
      <c r="Z251" s="1480">
        <f t="shared" ca="1" si="73"/>
        <v>3.1345553075453139</v>
      </c>
      <c r="AA251" s="1480">
        <f t="shared" ca="1" si="60"/>
        <v>3.1345553075453139</v>
      </c>
      <c r="AB251" s="333">
        <f t="shared" ca="1" si="74"/>
        <v>0</v>
      </c>
      <c r="AC251" s="335">
        <f t="shared" ca="1" si="75"/>
        <v>0</v>
      </c>
      <c r="AD251" s="698" t="str">
        <f t="shared" ca="1" si="61"/>
        <v xml:space="preserve"> </v>
      </c>
    </row>
    <row r="252" spans="1:30">
      <c r="A252" s="672">
        <f>'Annex 12-Gas'!A252</f>
        <v>44256</v>
      </c>
      <c r="C252" s="1484">
        <f ca="1">IF($A252&gt;Endyr,0,VLOOKUP($A252,Tariff_Table,Tariff!$G$33))</f>
        <v>0</v>
      </c>
      <c r="D252" s="1480">
        <f ca="1">VLOOKUP($A252,Curves_Table,Escalation!$AW$291)</f>
        <v>4.4967221989475599</v>
      </c>
      <c r="E252" s="1486">
        <f t="shared" ca="1" si="62"/>
        <v>0</v>
      </c>
      <c r="F252" s="330">
        <f ca="1">VLOOKUP($A252,Plant_Table,'Plant Operations'!$C$270)</f>
        <v>0</v>
      </c>
      <c r="G252" s="1486">
        <f t="shared" ca="1" si="63"/>
        <v>0</v>
      </c>
      <c r="H252" s="1480">
        <f ca="1">IF(Assm!$L$74=0,VLOOKUP($A252,Curves_Table,Escalation!$D$291),VLOOKUP($A252,Curves_Table,Escalation!$E$291))</f>
        <v>3.1345553075453139</v>
      </c>
      <c r="I252" s="384">
        <f t="shared" ca="1" si="64"/>
        <v>0</v>
      </c>
      <c r="J252" s="692" t="str">
        <f t="shared" ca="1" si="57"/>
        <v xml:space="preserve"> </v>
      </c>
      <c r="L252" s="1484">
        <f ca="1">IF($A252&gt;Endyr,0,VLOOKUP($A252,Tariff_Table,Tariff!$H$33))</f>
        <v>0</v>
      </c>
      <c r="M252" s="1480">
        <f t="shared" ca="1" si="65"/>
        <v>4.4967221989475599</v>
      </c>
      <c r="N252" s="1486">
        <f t="shared" ca="1" si="66"/>
        <v>0</v>
      </c>
      <c r="O252" s="330">
        <f t="shared" ca="1" si="67"/>
        <v>0</v>
      </c>
      <c r="P252" s="1486">
        <f t="shared" ca="1" si="68"/>
        <v>0</v>
      </c>
      <c r="Q252" s="1480">
        <f t="shared" ca="1" si="69"/>
        <v>3.1345553075453139</v>
      </c>
      <c r="R252" s="384">
        <f t="shared" ca="1" si="70"/>
        <v>0</v>
      </c>
      <c r="S252" s="692" t="str">
        <f t="shared" ca="1" si="58"/>
        <v xml:space="preserve"> </v>
      </c>
      <c r="U252" s="1484">
        <f ca="1">IF($A252&gt;Endyr,0,VLOOKUP($A252,Tariff_Table,Tariff!$I$33))</f>
        <v>0</v>
      </c>
      <c r="V252" s="1480">
        <f t="shared" ca="1" si="59"/>
        <v>4.4967221989475599</v>
      </c>
      <c r="W252" s="1486">
        <f t="shared" ca="1" si="71"/>
        <v>0</v>
      </c>
      <c r="X252" s="334">
        <f ca="1">VLOOKUP($A252,Plant_Table,'Plant Operations'!$M$270)</f>
        <v>0</v>
      </c>
      <c r="Y252" s="1006">
        <f t="shared" ca="1" si="72"/>
        <v>0</v>
      </c>
      <c r="Z252" s="1480">
        <f t="shared" ca="1" si="73"/>
        <v>3.1345553075453139</v>
      </c>
      <c r="AA252" s="1480">
        <f t="shared" ca="1" si="60"/>
        <v>3.1345553075453139</v>
      </c>
      <c r="AB252" s="333">
        <f t="shared" ca="1" si="74"/>
        <v>0</v>
      </c>
      <c r="AC252" s="335">
        <f t="shared" ca="1" si="75"/>
        <v>0</v>
      </c>
      <c r="AD252" s="698" t="str">
        <f t="shared" ca="1" si="61"/>
        <v xml:space="preserve"> </v>
      </c>
    </row>
    <row r="253" spans="1:30">
      <c r="A253" s="672">
        <f>'Annex 12-Gas'!A253</f>
        <v>44287</v>
      </c>
      <c r="C253" s="1484">
        <f ca="1">IF($A253&gt;Endyr,0,VLOOKUP($A253,Tariff_Table,Tariff!$G$33))</f>
        <v>0</v>
      </c>
      <c r="D253" s="1480">
        <f ca="1">VLOOKUP($A253,Curves_Table,Escalation!$AW$291)</f>
        <v>4.4967221989475599</v>
      </c>
      <c r="E253" s="1486">
        <f t="shared" ca="1" si="62"/>
        <v>0</v>
      </c>
      <c r="F253" s="330">
        <f ca="1">VLOOKUP($A253,Plant_Table,'Plant Operations'!$C$270)</f>
        <v>0</v>
      </c>
      <c r="G253" s="1486">
        <f t="shared" ca="1" si="63"/>
        <v>0</v>
      </c>
      <c r="H253" s="1480">
        <f ca="1">IF(Assm!$L$74=0,VLOOKUP($A253,Curves_Table,Escalation!$D$291),VLOOKUP($A253,Curves_Table,Escalation!$E$291))</f>
        <v>3.1345553075453139</v>
      </c>
      <c r="I253" s="384">
        <f t="shared" ca="1" si="64"/>
        <v>0</v>
      </c>
      <c r="J253" s="692" t="str">
        <f t="shared" ca="1" si="57"/>
        <v xml:space="preserve"> </v>
      </c>
      <c r="L253" s="1484">
        <f ca="1">IF($A253&gt;Endyr,0,VLOOKUP($A253,Tariff_Table,Tariff!$H$33))</f>
        <v>0</v>
      </c>
      <c r="M253" s="1480">
        <f t="shared" ca="1" si="65"/>
        <v>4.4967221989475599</v>
      </c>
      <c r="N253" s="1486">
        <f t="shared" ca="1" si="66"/>
        <v>0</v>
      </c>
      <c r="O253" s="330">
        <f t="shared" ca="1" si="67"/>
        <v>0</v>
      </c>
      <c r="P253" s="1486">
        <f t="shared" ca="1" si="68"/>
        <v>0</v>
      </c>
      <c r="Q253" s="1480">
        <f t="shared" ca="1" si="69"/>
        <v>3.1345553075453139</v>
      </c>
      <c r="R253" s="384">
        <f t="shared" ca="1" si="70"/>
        <v>0</v>
      </c>
      <c r="S253" s="692" t="str">
        <f t="shared" ca="1" si="58"/>
        <v xml:space="preserve"> </v>
      </c>
      <c r="U253" s="1484">
        <f ca="1">IF($A253&gt;Endyr,0,VLOOKUP($A253,Tariff_Table,Tariff!$I$33))</f>
        <v>0</v>
      </c>
      <c r="V253" s="1480">
        <f t="shared" ca="1" si="59"/>
        <v>4.4967221989475599</v>
      </c>
      <c r="W253" s="1486">
        <f t="shared" ca="1" si="71"/>
        <v>0</v>
      </c>
      <c r="X253" s="334">
        <f ca="1">VLOOKUP($A253,Plant_Table,'Plant Operations'!$M$270)</f>
        <v>0</v>
      </c>
      <c r="Y253" s="1006">
        <f t="shared" ca="1" si="72"/>
        <v>0</v>
      </c>
      <c r="Z253" s="1480">
        <f t="shared" ca="1" si="73"/>
        <v>3.1345553075453139</v>
      </c>
      <c r="AA253" s="1480">
        <f t="shared" ca="1" si="60"/>
        <v>3.1345553075453139</v>
      </c>
      <c r="AB253" s="333">
        <f t="shared" ca="1" si="74"/>
        <v>0</v>
      </c>
      <c r="AC253" s="335">
        <f t="shared" ca="1" si="75"/>
        <v>0</v>
      </c>
      <c r="AD253" s="698" t="str">
        <f t="shared" ca="1" si="61"/>
        <v xml:space="preserve"> </v>
      </c>
    </row>
    <row r="254" spans="1:30">
      <c r="A254" s="672">
        <f>'Annex 12-Gas'!A254</f>
        <v>44317</v>
      </c>
      <c r="C254" s="1484">
        <f ca="1">IF($A254&gt;Endyr,0,VLOOKUP($A254,Tariff_Table,Tariff!$G$33))</f>
        <v>0</v>
      </c>
      <c r="D254" s="1480">
        <f ca="1">VLOOKUP($A254,Curves_Table,Escalation!$AW$291)</f>
        <v>4.4967221989475599</v>
      </c>
      <c r="E254" s="1486">
        <f t="shared" ca="1" si="62"/>
        <v>0</v>
      </c>
      <c r="F254" s="330">
        <f ca="1">VLOOKUP($A254,Plant_Table,'Plant Operations'!$C$270)</f>
        <v>0</v>
      </c>
      <c r="G254" s="1486">
        <f t="shared" ca="1" si="63"/>
        <v>0</v>
      </c>
      <c r="H254" s="1480">
        <f ca="1">IF(Assm!$L$74=0,VLOOKUP($A254,Curves_Table,Escalation!$D$291),VLOOKUP($A254,Curves_Table,Escalation!$E$291))</f>
        <v>3.1345553075453139</v>
      </c>
      <c r="I254" s="384">
        <f t="shared" ca="1" si="64"/>
        <v>0</v>
      </c>
      <c r="J254" s="692" t="str">
        <f t="shared" ca="1" si="57"/>
        <v xml:space="preserve"> </v>
      </c>
      <c r="L254" s="1484">
        <f ca="1">IF($A254&gt;Endyr,0,VLOOKUP($A254,Tariff_Table,Tariff!$H$33))</f>
        <v>0</v>
      </c>
      <c r="M254" s="1480">
        <f t="shared" ca="1" si="65"/>
        <v>4.4967221989475599</v>
      </c>
      <c r="N254" s="1486">
        <f t="shared" ca="1" si="66"/>
        <v>0</v>
      </c>
      <c r="O254" s="330">
        <f t="shared" ca="1" si="67"/>
        <v>0</v>
      </c>
      <c r="P254" s="1486">
        <f t="shared" ca="1" si="68"/>
        <v>0</v>
      </c>
      <c r="Q254" s="1480">
        <f t="shared" ca="1" si="69"/>
        <v>3.1345553075453139</v>
      </c>
      <c r="R254" s="384">
        <f t="shared" ca="1" si="70"/>
        <v>0</v>
      </c>
      <c r="S254" s="692" t="str">
        <f t="shared" ca="1" si="58"/>
        <v xml:space="preserve"> </v>
      </c>
      <c r="U254" s="1484">
        <f ca="1">IF($A254&gt;Endyr,0,VLOOKUP($A254,Tariff_Table,Tariff!$I$33))</f>
        <v>0</v>
      </c>
      <c r="V254" s="1480">
        <f t="shared" ca="1" si="59"/>
        <v>4.4967221989475599</v>
      </c>
      <c r="W254" s="1486">
        <f t="shared" ca="1" si="71"/>
        <v>0</v>
      </c>
      <c r="X254" s="334">
        <f ca="1">VLOOKUP($A254,Plant_Table,'Plant Operations'!$M$270)</f>
        <v>0</v>
      </c>
      <c r="Y254" s="1006">
        <f t="shared" ca="1" si="72"/>
        <v>0</v>
      </c>
      <c r="Z254" s="1480">
        <f t="shared" ca="1" si="73"/>
        <v>3.1345553075453139</v>
      </c>
      <c r="AA254" s="1480">
        <f t="shared" ca="1" si="60"/>
        <v>3.1345553075453139</v>
      </c>
      <c r="AB254" s="333">
        <f t="shared" ca="1" si="74"/>
        <v>0</v>
      </c>
      <c r="AC254" s="335">
        <f t="shared" ca="1" si="75"/>
        <v>0</v>
      </c>
      <c r="AD254" s="698" t="str">
        <f t="shared" ca="1" si="61"/>
        <v xml:space="preserve"> </v>
      </c>
    </row>
    <row r="255" spans="1:30">
      <c r="A255" s="672">
        <f>'Annex 12-Gas'!A255</f>
        <v>44348</v>
      </c>
      <c r="C255" s="1484">
        <f ca="1">IF($A255&gt;Endyr,0,VLOOKUP($A255,Tariff_Table,Tariff!$G$33))</f>
        <v>0</v>
      </c>
      <c r="D255" s="1480">
        <f ca="1">VLOOKUP($A255,Curves_Table,Escalation!$AW$291)</f>
        <v>4.4967221989475599</v>
      </c>
      <c r="E255" s="1486">
        <f t="shared" ca="1" si="62"/>
        <v>0</v>
      </c>
      <c r="F255" s="330">
        <f ca="1">VLOOKUP($A255,Plant_Table,'Plant Operations'!$C$270)</f>
        <v>0</v>
      </c>
      <c r="G255" s="1486">
        <f t="shared" ca="1" si="63"/>
        <v>0</v>
      </c>
      <c r="H255" s="1480">
        <f ca="1">IF(Assm!$L$74=0,VLOOKUP($A255,Curves_Table,Escalation!$D$291),VLOOKUP($A255,Curves_Table,Escalation!$E$291))</f>
        <v>3.1345553075453139</v>
      </c>
      <c r="I255" s="384">
        <f t="shared" ca="1" si="64"/>
        <v>0</v>
      </c>
      <c r="J255" s="692" t="str">
        <f t="shared" ca="1" si="57"/>
        <v xml:space="preserve"> </v>
      </c>
      <c r="L255" s="1484">
        <f ca="1">IF($A255&gt;Endyr,0,VLOOKUP($A255,Tariff_Table,Tariff!$H$33))</f>
        <v>0</v>
      </c>
      <c r="M255" s="1480">
        <f t="shared" ca="1" si="65"/>
        <v>4.4967221989475599</v>
      </c>
      <c r="N255" s="1486">
        <f t="shared" ca="1" si="66"/>
        <v>0</v>
      </c>
      <c r="O255" s="330">
        <f t="shared" ca="1" si="67"/>
        <v>0</v>
      </c>
      <c r="P255" s="1486">
        <f t="shared" ca="1" si="68"/>
        <v>0</v>
      </c>
      <c r="Q255" s="1480">
        <f t="shared" ca="1" si="69"/>
        <v>3.1345553075453139</v>
      </c>
      <c r="R255" s="384">
        <f t="shared" ca="1" si="70"/>
        <v>0</v>
      </c>
      <c r="S255" s="692" t="str">
        <f t="shared" ca="1" si="58"/>
        <v xml:space="preserve"> </v>
      </c>
      <c r="U255" s="1484">
        <f ca="1">IF($A255&gt;Endyr,0,VLOOKUP($A255,Tariff_Table,Tariff!$I$33))</f>
        <v>0</v>
      </c>
      <c r="V255" s="1480">
        <f t="shared" ca="1" si="59"/>
        <v>4.4967221989475599</v>
      </c>
      <c r="W255" s="1486">
        <f t="shared" ca="1" si="71"/>
        <v>0</v>
      </c>
      <c r="X255" s="334">
        <f ca="1">VLOOKUP($A255,Plant_Table,'Plant Operations'!$M$270)</f>
        <v>0</v>
      </c>
      <c r="Y255" s="1006">
        <f t="shared" ca="1" si="72"/>
        <v>0</v>
      </c>
      <c r="Z255" s="1480">
        <f t="shared" ca="1" si="73"/>
        <v>3.1345553075453139</v>
      </c>
      <c r="AA255" s="1480">
        <f t="shared" ca="1" si="60"/>
        <v>3.1345553075453139</v>
      </c>
      <c r="AB255" s="333">
        <f t="shared" ca="1" si="74"/>
        <v>0</v>
      </c>
      <c r="AC255" s="335">
        <f t="shared" ca="1" si="75"/>
        <v>0</v>
      </c>
      <c r="AD255" s="698" t="str">
        <f t="shared" ca="1" si="61"/>
        <v xml:space="preserve"> </v>
      </c>
    </row>
    <row r="256" spans="1:30">
      <c r="A256" s="672">
        <f>'Annex 12-Gas'!A256</f>
        <v>44378</v>
      </c>
      <c r="C256" s="1484">
        <f ca="1">IF($A256&gt;Endyr,0,VLOOKUP($A256,Tariff_Table,Tariff!$G$33))</f>
        <v>0</v>
      </c>
      <c r="D256" s="1480">
        <f ca="1">VLOOKUP($A256,Curves_Table,Escalation!$AW$291)</f>
        <v>4.4967221989475599</v>
      </c>
      <c r="E256" s="1486">
        <f t="shared" ca="1" si="62"/>
        <v>0</v>
      </c>
      <c r="F256" s="330">
        <f ca="1">VLOOKUP($A256,Plant_Table,'Plant Operations'!$C$270)</f>
        <v>0</v>
      </c>
      <c r="G256" s="1486">
        <f t="shared" ca="1" si="63"/>
        <v>0</v>
      </c>
      <c r="H256" s="1480">
        <f ca="1">IF(Assm!$L$74=0,VLOOKUP($A256,Curves_Table,Escalation!$D$291),VLOOKUP($A256,Curves_Table,Escalation!$E$291))</f>
        <v>3.1345553075453139</v>
      </c>
      <c r="I256" s="384">
        <f t="shared" ca="1" si="64"/>
        <v>0</v>
      </c>
      <c r="J256" s="692" t="str">
        <f t="shared" ca="1" si="57"/>
        <v xml:space="preserve"> </v>
      </c>
      <c r="L256" s="1484">
        <f ca="1">IF($A256&gt;Endyr,0,VLOOKUP($A256,Tariff_Table,Tariff!$H$33))</f>
        <v>0</v>
      </c>
      <c r="M256" s="1480">
        <f t="shared" ca="1" si="65"/>
        <v>4.4967221989475599</v>
      </c>
      <c r="N256" s="1486">
        <f t="shared" ca="1" si="66"/>
        <v>0</v>
      </c>
      <c r="O256" s="330">
        <f t="shared" ca="1" si="67"/>
        <v>0</v>
      </c>
      <c r="P256" s="1486">
        <f t="shared" ca="1" si="68"/>
        <v>0</v>
      </c>
      <c r="Q256" s="1480">
        <f t="shared" ca="1" si="69"/>
        <v>3.1345553075453139</v>
      </c>
      <c r="R256" s="384">
        <f t="shared" ca="1" si="70"/>
        <v>0</v>
      </c>
      <c r="S256" s="692" t="str">
        <f t="shared" ca="1" si="58"/>
        <v xml:space="preserve"> </v>
      </c>
      <c r="U256" s="1484">
        <f ca="1">IF($A256&gt;Endyr,0,VLOOKUP($A256,Tariff_Table,Tariff!$I$33))</f>
        <v>0</v>
      </c>
      <c r="V256" s="1480">
        <f t="shared" ca="1" si="59"/>
        <v>4.4967221989475599</v>
      </c>
      <c r="W256" s="1486">
        <f t="shared" ca="1" si="71"/>
        <v>0</v>
      </c>
      <c r="X256" s="334">
        <f ca="1">VLOOKUP($A256,Plant_Table,'Plant Operations'!$M$270)</f>
        <v>0</v>
      </c>
      <c r="Y256" s="1006">
        <f t="shared" ca="1" si="72"/>
        <v>0</v>
      </c>
      <c r="Z256" s="1480">
        <f t="shared" ca="1" si="73"/>
        <v>3.1345553075453139</v>
      </c>
      <c r="AA256" s="1480">
        <f t="shared" ca="1" si="60"/>
        <v>3.1345553075453139</v>
      </c>
      <c r="AB256" s="333">
        <f t="shared" ca="1" si="74"/>
        <v>0</v>
      </c>
      <c r="AC256" s="335">
        <f t="shared" ca="1" si="75"/>
        <v>0</v>
      </c>
      <c r="AD256" s="698" t="str">
        <f t="shared" ca="1" si="61"/>
        <v xml:space="preserve"> </v>
      </c>
    </row>
    <row r="257" spans="1:30">
      <c r="A257" s="672">
        <f>'Annex 12-Gas'!A257</f>
        <v>44409</v>
      </c>
      <c r="C257" s="1484">
        <f ca="1">IF($A257&gt;Endyr,0,VLOOKUP($A257,Tariff_Table,Tariff!$G$33))</f>
        <v>0</v>
      </c>
      <c r="D257" s="1480">
        <f ca="1">VLOOKUP($A257,Curves_Table,Escalation!$AW$291)</f>
        <v>4.4967221989475599</v>
      </c>
      <c r="E257" s="1486">
        <f t="shared" ca="1" si="62"/>
        <v>0</v>
      </c>
      <c r="F257" s="330">
        <f ca="1">VLOOKUP($A257,Plant_Table,'Plant Operations'!$C$270)</f>
        <v>0</v>
      </c>
      <c r="G257" s="1486">
        <f t="shared" ca="1" si="63"/>
        <v>0</v>
      </c>
      <c r="H257" s="1480">
        <f ca="1">IF(Assm!$L$74=0,VLOOKUP($A257,Curves_Table,Escalation!$D$291),VLOOKUP($A257,Curves_Table,Escalation!$E$291))</f>
        <v>3.1345553075453139</v>
      </c>
      <c r="I257" s="384">
        <f t="shared" ca="1" si="64"/>
        <v>0</v>
      </c>
      <c r="J257" s="692" t="str">
        <f t="shared" ca="1" si="57"/>
        <v xml:space="preserve"> </v>
      </c>
      <c r="L257" s="1484">
        <f ca="1">IF($A257&gt;Endyr,0,VLOOKUP($A257,Tariff_Table,Tariff!$H$33))</f>
        <v>0</v>
      </c>
      <c r="M257" s="1480">
        <f t="shared" ca="1" si="65"/>
        <v>4.4967221989475599</v>
      </c>
      <c r="N257" s="1486">
        <f t="shared" ca="1" si="66"/>
        <v>0</v>
      </c>
      <c r="O257" s="330">
        <f t="shared" ca="1" si="67"/>
        <v>0</v>
      </c>
      <c r="P257" s="1486">
        <f t="shared" ca="1" si="68"/>
        <v>0</v>
      </c>
      <c r="Q257" s="1480">
        <f t="shared" ca="1" si="69"/>
        <v>3.1345553075453139</v>
      </c>
      <c r="R257" s="384">
        <f t="shared" ca="1" si="70"/>
        <v>0</v>
      </c>
      <c r="S257" s="692" t="str">
        <f t="shared" ca="1" si="58"/>
        <v xml:space="preserve"> </v>
      </c>
      <c r="U257" s="1484">
        <f ca="1">IF($A257&gt;Endyr,0,VLOOKUP($A257,Tariff_Table,Tariff!$I$33))</f>
        <v>0</v>
      </c>
      <c r="V257" s="1480">
        <f t="shared" ca="1" si="59"/>
        <v>4.4967221989475599</v>
      </c>
      <c r="W257" s="1486">
        <f t="shared" ca="1" si="71"/>
        <v>0</v>
      </c>
      <c r="X257" s="334">
        <f ca="1">VLOOKUP($A257,Plant_Table,'Plant Operations'!$M$270)</f>
        <v>0</v>
      </c>
      <c r="Y257" s="1006">
        <f t="shared" ca="1" si="72"/>
        <v>0</v>
      </c>
      <c r="Z257" s="1480">
        <f t="shared" ca="1" si="73"/>
        <v>3.1345553075453139</v>
      </c>
      <c r="AA257" s="1480">
        <f t="shared" ca="1" si="60"/>
        <v>3.1345553075453139</v>
      </c>
      <c r="AB257" s="333">
        <f t="shared" ca="1" si="74"/>
        <v>0</v>
      </c>
      <c r="AC257" s="335">
        <f t="shared" ca="1" si="75"/>
        <v>0</v>
      </c>
      <c r="AD257" s="698" t="str">
        <f t="shared" ca="1" si="61"/>
        <v xml:space="preserve"> </v>
      </c>
    </row>
    <row r="258" spans="1:30">
      <c r="A258" s="672">
        <f>'Annex 12-Gas'!A258</f>
        <v>44440</v>
      </c>
      <c r="C258" s="1484">
        <f ca="1">IF($A258&gt;Endyr,0,VLOOKUP($A258,Tariff_Table,Tariff!$G$33))</f>
        <v>0</v>
      </c>
      <c r="D258" s="1480">
        <f ca="1">VLOOKUP($A258,Curves_Table,Escalation!$AW$291)</f>
        <v>4.4967221989475599</v>
      </c>
      <c r="E258" s="1486">
        <f t="shared" ca="1" si="62"/>
        <v>0</v>
      </c>
      <c r="F258" s="330">
        <f ca="1">VLOOKUP($A258,Plant_Table,'Plant Operations'!$C$270)</f>
        <v>0</v>
      </c>
      <c r="G258" s="1486">
        <f t="shared" ca="1" si="63"/>
        <v>0</v>
      </c>
      <c r="H258" s="1480">
        <f ca="1">IF(Assm!$L$74=0,VLOOKUP($A258,Curves_Table,Escalation!$D$291),VLOOKUP($A258,Curves_Table,Escalation!$E$291))</f>
        <v>3.1345553075453139</v>
      </c>
      <c r="I258" s="384">
        <f t="shared" ca="1" si="64"/>
        <v>0</v>
      </c>
      <c r="J258" s="692" t="str">
        <f t="shared" ca="1" si="57"/>
        <v xml:space="preserve"> </v>
      </c>
      <c r="L258" s="1484">
        <f ca="1">IF($A258&gt;Endyr,0,VLOOKUP($A258,Tariff_Table,Tariff!$H$33))</f>
        <v>0</v>
      </c>
      <c r="M258" s="1480">
        <f t="shared" ca="1" si="65"/>
        <v>4.4967221989475599</v>
      </c>
      <c r="N258" s="1486">
        <f t="shared" ca="1" si="66"/>
        <v>0</v>
      </c>
      <c r="O258" s="330">
        <f t="shared" ca="1" si="67"/>
        <v>0</v>
      </c>
      <c r="P258" s="1486">
        <f t="shared" ca="1" si="68"/>
        <v>0</v>
      </c>
      <c r="Q258" s="1480">
        <f t="shared" ca="1" si="69"/>
        <v>3.1345553075453139</v>
      </c>
      <c r="R258" s="384">
        <f t="shared" ca="1" si="70"/>
        <v>0</v>
      </c>
      <c r="S258" s="692" t="str">
        <f t="shared" ca="1" si="58"/>
        <v xml:space="preserve"> </v>
      </c>
      <c r="U258" s="1484">
        <f ca="1">IF($A258&gt;Endyr,0,VLOOKUP($A258,Tariff_Table,Tariff!$I$33))</f>
        <v>0</v>
      </c>
      <c r="V258" s="1480">
        <f t="shared" ca="1" si="59"/>
        <v>4.4967221989475599</v>
      </c>
      <c r="W258" s="1486">
        <f t="shared" ca="1" si="71"/>
        <v>0</v>
      </c>
      <c r="X258" s="334">
        <f ca="1">VLOOKUP($A258,Plant_Table,'Plant Operations'!$M$270)</f>
        <v>0</v>
      </c>
      <c r="Y258" s="1006">
        <f t="shared" ca="1" si="72"/>
        <v>0</v>
      </c>
      <c r="Z258" s="1480">
        <f t="shared" ca="1" si="73"/>
        <v>3.1345553075453139</v>
      </c>
      <c r="AA258" s="1480">
        <f t="shared" ca="1" si="60"/>
        <v>3.1345553075453139</v>
      </c>
      <c r="AB258" s="333">
        <f t="shared" ca="1" si="74"/>
        <v>0</v>
      </c>
      <c r="AC258" s="335">
        <f t="shared" ca="1" si="75"/>
        <v>0</v>
      </c>
      <c r="AD258" s="698" t="str">
        <f t="shared" ca="1" si="61"/>
        <v xml:space="preserve"> </v>
      </c>
    </row>
    <row r="259" spans="1:30">
      <c r="A259" s="672">
        <f>'Annex 12-Gas'!A259</f>
        <v>44470</v>
      </c>
      <c r="C259" s="1484">
        <f ca="1">IF($A259&gt;Endyr,0,VLOOKUP($A259,Tariff_Table,Tariff!$G$33))</f>
        <v>0</v>
      </c>
      <c r="D259" s="1480">
        <f ca="1">VLOOKUP($A259,Curves_Table,Escalation!$AW$291)</f>
        <v>4.4967221989475599</v>
      </c>
      <c r="E259" s="1486">
        <f t="shared" ca="1" si="62"/>
        <v>0</v>
      </c>
      <c r="F259" s="330">
        <f ca="1">VLOOKUP($A259,Plant_Table,'Plant Operations'!$C$270)</f>
        <v>0</v>
      </c>
      <c r="G259" s="1486">
        <f t="shared" ca="1" si="63"/>
        <v>0</v>
      </c>
      <c r="H259" s="1480">
        <f ca="1">IF(Assm!$L$74=0,VLOOKUP($A259,Curves_Table,Escalation!$D$291),VLOOKUP($A259,Curves_Table,Escalation!$E$291))</f>
        <v>3.1345553075453139</v>
      </c>
      <c r="I259" s="384">
        <f t="shared" ca="1" si="64"/>
        <v>0</v>
      </c>
      <c r="J259" s="692" t="str">
        <f t="shared" ca="1" si="57"/>
        <v xml:space="preserve"> </v>
      </c>
      <c r="L259" s="1484">
        <f ca="1">IF($A259&gt;Endyr,0,VLOOKUP($A259,Tariff_Table,Tariff!$H$33))</f>
        <v>0</v>
      </c>
      <c r="M259" s="1480">
        <f t="shared" ca="1" si="65"/>
        <v>4.4967221989475599</v>
      </c>
      <c r="N259" s="1486">
        <f t="shared" ca="1" si="66"/>
        <v>0</v>
      </c>
      <c r="O259" s="330">
        <f t="shared" ca="1" si="67"/>
        <v>0</v>
      </c>
      <c r="P259" s="1486">
        <f t="shared" ca="1" si="68"/>
        <v>0</v>
      </c>
      <c r="Q259" s="1480">
        <f t="shared" ca="1" si="69"/>
        <v>3.1345553075453139</v>
      </c>
      <c r="R259" s="384">
        <f t="shared" ca="1" si="70"/>
        <v>0</v>
      </c>
      <c r="S259" s="692" t="str">
        <f t="shared" ca="1" si="58"/>
        <v xml:space="preserve"> </v>
      </c>
      <c r="U259" s="1484">
        <f ca="1">IF($A259&gt;Endyr,0,VLOOKUP($A259,Tariff_Table,Tariff!$I$33))</f>
        <v>0</v>
      </c>
      <c r="V259" s="1480">
        <f t="shared" ca="1" si="59"/>
        <v>4.4967221989475599</v>
      </c>
      <c r="W259" s="1486">
        <f t="shared" ca="1" si="71"/>
        <v>0</v>
      </c>
      <c r="X259" s="334">
        <f ca="1">VLOOKUP($A259,Plant_Table,'Plant Operations'!$M$270)</f>
        <v>0</v>
      </c>
      <c r="Y259" s="1006">
        <f t="shared" ca="1" si="72"/>
        <v>0</v>
      </c>
      <c r="Z259" s="1480">
        <f t="shared" ca="1" si="73"/>
        <v>3.1345553075453139</v>
      </c>
      <c r="AA259" s="1480">
        <f t="shared" ca="1" si="60"/>
        <v>3.1345553075453139</v>
      </c>
      <c r="AB259" s="333">
        <f t="shared" ca="1" si="74"/>
        <v>0</v>
      </c>
      <c r="AC259" s="335">
        <f t="shared" ca="1" si="75"/>
        <v>0</v>
      </c>
      <c r="AD259" s="698" t="str">
        <f t="shared" ca="1" si="61"/>
        <v xml:space="preserve"> </v>
      </c>
    </row>
    <row r="260" spans="1:30">
      <c r="A260" s="672">
        <f>'Annex 12-Gas'!A260</f>
        <v>44501</v>
      </c>
      <c r="C260" s="1484">
        <f ca="1">IF($A260&gt;Endyr,0,VLOOKUP($A260,Tariff_Table,Tariff!$G$33))</f>
        <v>0</v>
      </c>
      <c r="D260" s="1480">
        <f ca="1">VLOOKUP($A260,Curves_Table,Escalation!$AW$291)</f>
        <v>4.4967221989475599</v>
      </c>
      <c r="E260" s="1486">
        <f t="shared" ca="1" si="62"/>
        <v>0</v>
      </c>
      <c r="F260" s="330">
        <f ca="1">VLOOKUP($A260,Plant_Table,'Plant Operations'!$C$270)</f>
        <v>0</v>
      </c>
      <c r="G260" s="1486">
        <f t="shared" ca="1" si="63"/>
        <v>0</v>
      </c>
      <c r="H260" s="1480">
        <f ca="1">IF(Assm!$L$74=0,VLOOKUP($A260,Curves_Table,Escalation!$D$291),VLOOKUP($A260,Curves_Table,Escalation!$E$291))</f>
        <v>3.1345553075453139</v>
      </c>
      <c r="I260" s="384">
        <f t="shared" ca="1" si="64"/>
        <v>0</v>
      </c>
      <c r="J260" s="692" t="str">
        <f t="shared" ca="1" si="57"/>
        <v xml:space="preserve"> </v>
      </c>
      <c r="L260" s="1484">
        <f ca="1">IF($A260&gt;Endyr,0,VLOOKUP($A260,Tariff_Table,Tariff!$H$33))</f>
        <v>0</v>
      </c>
      <c r="M260" s="1480">
        <f t="shared" ca="1" si="65"/>
        <v>4.4967221989475599</v>
      </c>
      <c r="N260" s="1486">
        <f t="shared" ca="1" si="66"/>
        <v>0</v>
      </c>
      <c r="O260" s="330">
        <f t="shared" ca="1" si="67"/>
        <v>0</v>
      </c>
      <c r="P260" s="1486">
        <f t="shared" ca="1" si="68"/>
        <v>0</v>
      </c>
      <c r="Q260" s="1480">
        <f t="shared" ca="1" si="69"/>
        <v>3.1345553075453139</v>
      </c>
      <c r="R260" s="384">
        <f t="shared" ca="1" si="70"/>
        <v>0</v>
      </c>
      <c r="S260" s="692" t="str">
        <f t="shared" ca="1" si="58"/>
        <v xml:space="preserve"> </v>
      </c>
      <c r="U260" s="1484">
        <f ca="1">IF($A260&gt;Endyr,0,VLOOKUP($A260,Tariff_Table,Tariff!$I$33))</f>
        <v>0</v>
      </c>
      <c r="V260" s="1480">
        <f t="shared" ca="1" si="59"/>
        <v>4.4967221989475599</v>
      </c>
      <c r="W260" s="1486">
        <f t="shared" ca="1" si="71"/>
        <v>0</v>
      </c>
      <c r="X260" s="334">
        <f ca="1">VLOOKUP($A260,Plant_Table,'Plant Operations'!$M$270)</f>
        <v>0</v>
      </c>
      <c r="Y260" s="1006">
        <f t="shared" ca="1" si="72"/>
        <v>0</v>
      </c>
      <c r="Z260" s="1480">
        <f t="shared" ca="1" si="73"/>
        <v>3.1345553075453139</v>
      </c>
      <c r="AA260" s="1480">
        <f t="shared" ca="1" si="60"/>
        <v>3.1345553075453139</v>
      </c>
      <c r="AB260" s="333">
        <f t="shared" ca="1" si="74"/>
        <v>0</v>
      </c>
      <c r="AC260" s="335">
        <f t="shared" ca="1" si="75"/>
        <v>0</v>
      </c>
      <c r="AD260" s="698" t="str">
        <f t="shared" ca="1" si="61"/>
        <v xml:space="preserve"> </v>
      </c>
    </row>
    <row r="261" spans="1:30">
      <c r="A261" s="672">
        <f>'Annex 12-Gas'!A261</f>
        <v>44531</v>
      </c>
      <c r="C261" s="1484">
        <f ca="1">IF($A261&gt;Endyr,0,VLOOKUP($A261,Tariff_Table,Tariff!$G$33))</f>
        <v>0</v>
      </c>
      <c r="D261" s="1480">
        <f ca="1">VLOOKUP($A261,Curves_Table,Escalation!$AW$291)</f>
        <v>4.4967221989475599</v>
      </c>
      <c r="E261" s="1486">
        <f t="shared" ca="1" si="62"/>
        <v>0</v>
      </c>
      <c r="F261" s="330">
        <f ca="1">VLOOKUP($A261,Plant_Table,'Plant Operations'!$C$270)</f>
        <v>0</v>
      </c>
      <c r="G261" s="1486">
        <f t="shared" ca="1" si="63"/>
        <v>0</v>
      </c>
      <c r="H261" s="1480">
        <f ca="1">IF(Assm!$L$74=0,VLOOKUP($A261,Curves_Table,Escalation!$D$291),VLOOKUP($A261,Curves_Table,Escalation!$E$291))</f>
        <v>3.1345553075453139</v>
      </c>
      <c r="I261" s="384">
        <f t="shared" ca="1" si="64"/>
        <v>0</v>
      </c>
      <c r="J261" s="692">
        <f t="shared" ca="1" si="57"/>
        <v>0</v>
      </c>
      <c r="L261" s="1484">
        <f ca="1">IF($A261&gt;Endyr,0,VLOOKUP($A261,Tariff_Table,Tariff!$H$33))</f>
        <v>0</v>
      </c>
      <c r="M261" s="1480">
        <f t="shared" ca="1" si="65"/>
        <v>4.4967221989475599</v>
      </c>
      <c r="N261" s="1486">
        <f t="shared" ca="1" si="66"/>
        <v>0</v>
      </c>
      <c r="O261" s="330">
        <f t="shared" ca="1" si="67"/>
        <v>0</v>
      </c>
      <c r="P261" s="1486">
        <f t="shared" ca="1" si="68"/>
        <v>0</v>
      </c>
      <c r="Q261" s="1480">
        <f t="shared" ca="1" si="69"/>
        <v>3.1345553075453139</v>
      </c>
      <c r="R261" s="384">
        <f t="shared" ca="1" si="70"/>
        <v>0</v>
      </c>
      <c r="S261" s="692">
        <f t="shared" ca="1" si="58"/>
        <v>0</v>
      </c>
      <c r="U261" s="1484">
        <f ca="1">IF($A261&gt;Endyr,0,VLOOKUP($A261,Tariff_Table,Tariff!$I$33))</f>
        <v>0</v>
      </c>
      <c r="V261" s="1480">
        <f t="shared" ca="1" si="59"/>
        <v>4.4967221989475599</v>
      </c>
      <c r="W261" s="1486">
        <f t="shared" ca="1" si="71"/>
        <v>0</v>
      </c>
      <c r="X261" s="334">
        <f ca="1">VLOOKUP($A261,Plant_Table,'Plant Operations'!$M$270)</f>
        <v>0</v>
      </c>
      <c r="Y261" s="1006">
        <f t="shared" ca="1" si="72"/>
        <v>0</v>
      </c>
      <c r="Z261" s="1480">
        <f t="shared" ca="1" si="73"/>
        <v>3.1345553075453139</v>
      </c>
      <c r="AA261" s="1480">
        <f t="shared" ca="1" si="60"/>
        <v>3.1345553075453139</v>
      </c>
      <c r="AB261" s="333">
        <f t="shared" ca="1" si="74"/>
        <v>0</v>
      </c>
      <c r="AC261" s="335">
        <f t="shared" ca="1" si="75"/>
        <v>0</v>
      </c>
      <c r="AD261" s="698">
        <f t="shared" ca="1" si="61"/>
        <v>0</v>
      </c>
    </row>
    <row r="262" spans="1:30">
      <c r="A262" s="672">
        <f>'Annex 12-Gas'!A262</f>
        <v>44562</v>
      </c>
      <c r="C262" s="1484">
        <f ca="1">IF($A262&gt;Endyr,0,VLOOKUP($A262,Tariff_Table,Tariff!$G$33))</f>
        <v>0</v>
      </c>
      <c r="D262" s="1480">
        <f ca="1">VLOOKUP($A262,Curves_Table,Escalation!$AW$291)</f>
        <v>4.4967221989475599</v>
      </c>
      <c r="E262" s="1486">
        <f t="shared" ca="1" si="62"/>
        <v>0</v>
      </c>
      <c r="F262" s="330">
        <f ca="1">VLOOKUP($A262,Plant_Table,'Plant Operations'!$C$270)</f>
        <v>0</v>
      </c>
      <c r="G262" s="1486">
        <f t="shared" ca="1" si="63"/>
        <v>0</v>
      </c>
      <c r="H262" s="1480">
        <f ca="1">IF(Assm!$L$74=0,VLOOKUP($A262,Curves_Table,Escalation!$D$291),VLOOKUP($A262,Curves_Table,Escalation!$E$291))</f>
        <v>3.1345553075453139</v>
      </c>
      <c r="I262" s="384">
        <f t="shared" ca="1" si="64"/>
        <v>0</v>
      </c>
      <c r="J262" s="692" t="str">
        <f t="shared" ca="1" si="57"/>
        <v xml:space="preserve"> </v>
      </c>
      <c r="L262" s="1484">
        <f ca="1">IF($A262&gt;Endyr,0,VLOOKUP($A262,Tariff_Table,Tariff!$H$33))</f>
        <v>0</v>
      </c>
      <c r="M262" s="1480">
        <f t="shared" ca="1" si="65"/>
        <v>4.4967221989475599</v>
      </c>
      <c r="N262" s="1486">
        <f t="shared" ca="1" si="66"/>
        <v>0</v>
      </c>
      <c r="O262" s="330">
        <f t="shared" ca="1" si="67"/>
        <v>0</v>
      </c>
      <c r="P262" s="1486">
        <f t="shared" ca="1" si="68"/>
        <v>0</v>
      </c>
      <c r="Q262" s="1480">
        <f t="shared" ca="1" si="69"/>
        <v>3.1345553075453139</v>
      </c>
      <c r="R262" s="384">
        <f t="shared" ca="1" si="70"/>
        <v>0</v>
      </c>
      <c r="S262" s="692" t="str">
        <f t="shared" ca="1" si="58"/>
        <v xml:space="preserve"> </v>
      </c>
      <c r="U262" s="1484">
        <f ca="1">IF($A262&gt;Endyr,0,VLOOKUP($A262,Tariff_Table,Tariff!$I$33))</f>
        <v>0</v>
      </c>
      <c r="V262" s="1480">
        <f t="shared" ca="1" si="59"/>
        <v>4.4967221989475599</v>
      </c>
      <c r="W262" s="1486">
        <f t="shared" ca="1" si="71"/>
        <v>0</v>
      </c>
      <c r="X262" s="334">
        <f ca="1">VLOOKUP($A262,Plant_Table,'Plant Operations'!$M$270)</f>
        <v>0</v>
      </c>
      <c r="Y262" s="1006">
        <f t="shared" ca="1" si="72"/>
        <v>0</v>
      </c>
      <c r="Z262" s="1480">
        <f t="shared" ca="1" si="73"/>
        <v>3.1345553075453139</v>
      </c>
      <c r="AA262" s="1480">
        <f t="shared" ca="1" si="60"/>
        <v>3.1345553075453139</v>
      </c>
      <c r="AB262" s="333">
        <f t="shared" ca="1" si="74"/>
        <v>0</v>
      </c>
      <c r="AC262" s="335">
        <f t="shared" ca="1" si="75"/>
        <v>0</v>
      </c>
      <c r="AD262" s="698" t="str">
        <f t="shared" ca="1" si="61"/>
        <v xml:space="preserve"> </v>
      </c>
    </row>
    <row r="263" spans="1:30">
      <c r="A263" s="672">
        <f>'Annex 12-Gas'!A263</f>
        <v>44593</v>
      </c>
      <c r="C263" s="1484">
        <f ca="1">IF($A263&gt;Endyr,0,VLOOKUP($A263,Tariff_Table,Tariff!$G$33))</f>
        <v>0</v>
      </c>
      <c r="D263" s="1480">
        <f ca="1">VLOOKUP($A263,Curves_Table,Escalation!$AW$291)</f>
        <v>4.4967221989475599</v>
      </c>
      <c r="E263" s="1486">
        <f t="shared" ca="1" si="62"/>
        <v>0</v>
      </c>
      <c r="F263" s="330">
        <f ca="1">VLOOKUP($A263,Plant_Table,'Plant Operations'!$C$270)</f>
        <v>0</v>
      </c>
      <c r="G263" s="1486">
        <f t="shared" ca="1" si="63"/>
        <v>0</v>
      </c>
      <c r="H263" s="1480">
        <f ca="1">IF(Assm!$L$74=0,VLOOKUP($A263,Curves_Table,Escalation!$D$291),VLOOKUP($A263,Curves_Table,Escalation!$E$291))</f>
        <v>3.1345553075453139</v>
      </c>
      <c r="I263" s="384">
        <f t="shared" ca="1" si="64"/>
        <v>0</v>
      </c>
      <c r="J263" s="692" t="str">
        <f t="shared" ca="1" si="57"/>
        <v xml:space="preserve"> </v>
      </c>
      <c r="L263" s="1484">
        <f ca="1">IF($A263&gt;Endyr,0,VLOOKUP($A263,Tariff_Table,Tariff!$H$33))</f>
        <v>0</v>
      </c>
      <c r="M263" s="1480">
        <f t="shared" ca="1" si="65"/>
        <v>4.4967221989475599</v>
      </c>
      <c r="N263" s="1486">
        <f t="shared" ca="1" si="66"/>
        <v>0</v>
      </c>
      <c r="O263" s="330">
        <f t="shared" ca="1" si="67"/>
        <v>0</v>
      </c>
      <c r="P263" s="1486">
        <f t="shared" ca="1" si="68"/>
        <v>0</v>
      </c>
      <c r="Q263" s="1480">
        <f t="shared" ca="1" si="69"/>
        <v>3.1345553075453139</v>
      </c>
      <c r="R263" s="384">
        <f t="shared" ca="1" si="70"/>
        <v>0</v>
      </c>
      <c r="S263" s="692" t="str">
        <f t="shared" ca="1" si="58"/>
        <v xml:space="preserve"> </v>
      </c>
      <c r="U263" s="1484">
        <f ca="1">IF($A263&gt;Endyr,0,VLOOKUP($A263,Tariff_Table,Tariff!$I$33))</f>
        <v>0</v>
      </c>
      <c r="V263" s="1480">
        <f t="shared" ca="1" si="59"/>
        <v>4.4967221989475599</v>
      </c>
      <c r="W263" s="1486">
        <f t="shared" ca="1" si="71"/>
        <v>0</v>
      </c>
      <c r="X263" s="334">
        <f ca="1">VLOOKUP($A263,Plant_Table,'Plant Operations'!$M$270)</f>
        <v>0</v>
      </c>
      <c r="Y263" s="1006">
        <f t="shared" ca="1" si="72"/>
        <v>0</v>
      </c>
      <c r="Z263" s="1480">
        <f t="shared" ca="1" si="73"/>
        <v>3.1345553075453139</v>
      </c>
      <c r="AA263" s="1480">
        <f t="shared" ca="1" si="60"/>
        <v>3.1345553075453139</v>
      </c>
      <c r="AB263" s="333">
        <f t="shared" ca="1" si="74"/>
        <v>0</v>
      </c>
      <c r="AC263" s="335">
        <f t="shared" ca="1" si="75"/>
        <v>0</v>
      </c>
      <c r="AD263" s="698" t="str">
        <f t="shared" ca="1" si="61"/>
        <v xml:space="preserve"> </v>
      </c>
    </row>
    <row r="264" spans="1:30">
      <c r="A264" s="672">
        <f>'Annex 12-Gas'!A264</f>
        <v>44621</v>
      </c>
      <c r="C264" s="1484">
        <f ca="1">IF($A264&gt;Endyr,0,VLOOKUP($A264,Tariff_Table,Tariff!$G$33))</f>
        <v>0</v>
      </c>
      <c r="D264" s="1480">
        <f ca="1">VLOOKUP($A264,Curves_Table,Escalation!$AW$291)</f>
        <v>4.4967221989475599</v>
      </c>
      <c r="E264" s="1486">
        <f t="shared" ca="1" si="62"/>
        <v>0</v>
      </c>
      <c r="F264" s="330">
        <f ca="1">VLOOKUP($A264,Plant_Table,'Plant Operations'!$C$270)</f>
        <v>0</v>
      </c>
      <c r="G264" s="1486">
        <f t="shared" ca="1" si="63"/>
        <v>0</v>
      </c>
      <c r="H264" s="1480">
        <f ca="1">IF(Assm!$L$74=0,VLOOKUP($A264,Curves_Table,Escalation!$D$291),VLOOKUP($A264,Curves_Table,Escalation!$E$291))</f>
        <v>3.1345553075453139</v>
      </c>
      <c r="I264" s="384">
        <f t="shared" ca="1" si="64"/>
        <v>0</v>
      </c>
      <c r="J264" s="692" t="str">
        <f t="shared" ca="1" si="57"/>
        <v xml:space="preserve"> </v>
      </c>
      <c r="L264" s="1484">
        <f ca="1">IF($A264&gt;Endyr,0,VLOOKUP($A264,Tariff_Table,Tariff!$H$33))</f>
        <v>0</v>
      </c>
      <c r="M264" s="1480">
        <f t="shared" ca="1" si="65"/>
        <v>4.4967221989475599</v>
      </c>
      <c r="N264" s="1486">
        <f t="shared" ca="1" si="66"/>
        <v>0</v>
      </c>
      <c r="O264" s="330">
        <f t="shared" ca="1" si="67"/>
        <v>0</v>
      </c>
      <c r="P264" s="1486">
        <f t="shared" ca="1" si="68"/>
        <v>0</v>
      </c>
      <c r="Q264" s="1480">
        <f t="shared" ca="1" si="69"/>
        <v>3.1345553075453139</v>
      </c>
      <c r="R264" s="384">
        <f t="shared" ca="1" si="70"/>
        <v>0</v>
      </c>
      <c r="S264" s="692" t="str">
        <f t="shared" ca="1" si="58"/>
        <v xml:space="preserve"> </v>
      </c>
      <c r="U264" s="1484">
        <f ca="1">IF($A264&gt;Endyr,0,VLOOKUP($A264,Tariff_Table,Tariff!$I$33))</f>
        <v>0</v>
      </c>
      <c r="V264" s="1480">
        <f t="shared" ca="1" si="59"/>
        <v>4.4967221989475599</v>
      </c>
      <c r="W264" s="1486">
        <f t="shared" ca="1" si="71"/>
        <v>0</v>
      </c>
      <c r="X264" s="334">
        <f ca="1">VLOOKUP($A264,Plant_Table,'Plant Operations'!$M$270)</f>
        <v>0</v>
      </c>
      <c r="Y264" s="1006">
        <f t="shared" ca="1" si="72"/>
        <v>0</v>
      </c>
      <c r="Z264" s="1480">
        <f t="shared" ca="1" si="73"/>
        <v>3.1345553075453139</v>
      </c>
      <c r="AA264" s="1480">
        <f t="shared" ca="1" si="60"/>
        <v>3.1345553075453139</v>
      </c>
      <c r="AB264" s="333">
        <f t="shared" ca="1" si="74"/>
        <v>0</v>
      </c>
      <c r="AC264" s="335">
        <f t="shared" ca="1" si="75"/>
        <v>0</v>
      </c>
      <c r="AD264" s="698" t="str">
        <f t="shared" ca="1" si="61"/>
        <v xml:space="preserve"> </v>
      </c>
    </row>
    <row r="265" spans="1:30">
      <c r="A265" s="672">
        <f>'Annex 12-Gas'!A265</f>
        <v>44652</v>
      </c>
      <c r="C265" s="1484">
        <f ca="1">IF($A265&gt;Endyr,0,VLOOKUP($A265,Tariff_Table,Tariff!$G$33))</f>
        <v>0</v>
      </c>
      <c r="D265" s="1480">
        <f ca="1">VLOOKUP($A265,Curves_Table,Escalation!$AW$291)</f>
        <v>4.4967221989475599</v>
      </c>
      <c r="E265" s="1486">
        <f t="shared" ca="1" si="62"/>
        <v>0</v>
      </c>
      <c r="F265" s="330">
        <f ca="1">VLOOKUP($A265,Plant_Table,'Plant Operations'!$C$270)</f>
        <v>0</v>
      </c>
      <c r="G265" s="1486">
        <f t="shared" ca="1" si="63"/>
        <v>0</v>
      </c>
      <c r="H265" s="1480">
        <f ca="1">IF(Assm!$L$74=0,VLOOKUP($A265,Curves_Table,Escalation!$D$291),VLOOKUP($A265,Curves_Table,Escalation!$E$291))</f>
        <v>3.1345553075453139</v>
      </c>
      <c r="I265" s="384">
        <f t="shared" ca="1" si="64"/>
        <v>0</v>
      </c>
      <c r="J265" s="692" t="str">
        <f t="shared" ca="1" si="57"/>
        <v xml:space="preserve"> </v>
      </c>
      <c r="L265" s="1484">
        <f ca="1">IF($A265&gt;Endyr,0,VLOOKUP($A265,Tariff_Table,Tariff!$H$33))</f>
        <v>0</v>
      </c>
      <c r="M265" s="1480">
        <f t="shared" ca="1" si="65"/>
        <v>4.4967221989475599</v>
      </c>
      <c r="N265" s="1486">
        <f t="shared" ca="1" si="66"/>
        <v>0</v>
      </c>
      <c r="O265" s="330">
        <f t="shared" ca="1" si="67"/>
        <v>0</v>
      </c>
      <c r="P265" s="1486">
        <f t="shared" ca="1" si="68"/>
        <v>0</v>
      </c>
      <c r="Q265" s="1480">
        <f t="shared" ca="1" si="69"/>
        <v>3.1345553075453139</v>
      </c>
      <c r="R265" s="384">
        <f t="shared" ca="1" si="70"/>
        <v>0</v>
      </c>
      <c r="S265" s="692" t="str">
        <f t="shared" ca="1" si="58"/>
        <v xml:space="preserve"> </v>
      </c>
      <c r="U265" s="1484">
        <f ca="1">IF($A265&gt;Endyr,0,VLOOKUP($A265,Tariff_Table,Tariff!$I$33))</f>
        <v>0</v>
      </c>
      <c r="V265" s="1480">
        <f t="shared" ca="1" si="59"/>
        <v>4.4967221989475599</v>
      </c>
      <c r="W265" s="1486">
        <f t="shared" ca="1" si="71"/>
        <v>0</v>
      </c>
      <c r="X265" s="334">
        <f ca="1">VLOOKUP($A265,Plant_Table,'Plant Operations'!$M$270)</f>
        <v>0</v>
      </c>
      <c r="Y265" s="1006">
        <f t="shared" ca="1" si="72"/>
        <v>0</v>
      </c>
      <c r="Z265" s="1480">
        <f t="shared" ca="1" si="73"/>
        <v>3.1345553075453139</v>
      </c>
      <c r="AA265" s="1480">
        <f t="shared" ca="1" si="60"/>
        <v>3.1345553075453139</v>
      </c>
      <c r="AB265" s="333">
        <f t="shared" ca="1" si="74"/>
        <v>0</v>
      </c>
      <c r="AC265" s="335">
        <f t="shared" ca="1" si="75"/>
        <v>0</v>
      </c>
      <c r="AD265" s="698" t="str">
        <f t="shared" ca="1" si="61"/>
        <v xml:space="preserve"> </v>
      </c>
    </row>
    <row r="266" spans="1:30">
      <c r="A266" s="672">
        <f>'Annex 12-Gas'!A266</f>
        <v>44682</v>
      </c>
      <c r="C266" s="1484">
        <f ca="1">IF($A266&gt;Endyr,0,VLOOKUP($A266,Tariff_Table,Tariff!$G$33))</f>
        <v>0</v>
      </c>
      <c r="D266" s="1480">
        <f ca="1">VLOOKUP($A266,Curves_Table,Escalation!$AW$291)</f>
        <v>4.4967221989475599</v>
      </c>
      <c r="E266" s="1486">
        <f t="shared" ca="1" si="62"/>
        <v>0</v>
      </c>
      <c r="F266" s="330">
        <f ca="1">VLOOKUP($A266,Plant_Table,'Plant Operations'!$C$270)</f>
        <v>0</v>
      </c>
      <c r="G266" s="1486">
        <f t="shared" ca="1" si="63"/>
        <v>0</v>
      </c>
      <c r="H266" s="1480">
        <f ca="1">IF(Assm!$L$74=0,VLOOKUP($A266,Curves_Table,Escalation!$D$291),VLOOKUP($A266,Curves_Table,Escalation!$E$291))</f>
        <v>3.1345553075453139</v>
      </c>
      <c r="I266" s="384">
        <f t="shared" ca="1" si="64"/>
        <v>0</v>
      </c>
      <c r="J266" s="692" t="str">
        <f t="shared" ca="1" si="57"/>
        <v xml:space="preserve"> </v>
      </c>
      <c r="L266" s="1484">
        <f ca="1">IF($A266&gt;Endyr,0,VLOOKUP($A266,Tariff_Table,Tariff!$H$33))</f>
        <v>0</v>
      </c>
      <c r="M266" s="1480">
        <f t="shared" ca="1" si="65"/>
        <v>4.4967221989475599</v>
      </c>
      <c r="N266" s="1486">
        <f t="shared" ca="1" si="66"/>
        <v>0</v>
      </c>
      <c r="O266" s="330">
        <f t="shared" ca="1" si="67"/>
        <v>0</v>
      </c>
      <c r="P266" s="1486">
        <f t="shared" ca="1" si="68"/>
        <v>0</v>
      </c>
      <c r="Q266" s="1480">
        <f t="shared" ca="1" si="69"/>
        <v>3.1345553075453139</v>
      </c>
      <c r="R266" s="384">
        <f t="shared" ca="1" si="70"/>
        <v>0</v>
      </c>
      <c r="S266" s="692" t="str">
        <f t="shared" ca="1" si="58"/>
        <v xml:space="preserve"> </v>
      </c>
      <c r="U266" s="1484">
        <f ca="1">IF($A266&gt;Endyr,0,VLOOKUP($A266,Tariff_Table,Tariff!$I$33))</f>
        <v>0</v>
      </c>
      <c r="V266" s="1480">
        <f t="shared" ca="1" si="59"/>
        <v>4.4967221989475599</v>
      </c>
      <c r="W266" s="1486">
        <f t="shared" ca="1" si="71"/>
        <v>0</v>
      </c>
      <c r="X266" s="334">
        <f ca="1">VLOOKUP($A266,Plant_Table,'Plant Operations'!$M$270)</f>
        <v>0</v>
      </c>
      <c r="Y266" s="1006">
        <f t="shared" ca="1" si="72"/>
        <v>0</v>
      </c>
      <c r="Z266" s="1480">
        <f t="shared" ca="1" si="73"/>
        <v>3.1345553075453139</v>
      </c>
      <c r="AA266" s="1480">
        <f t="shared" ca="1" si="60"/>
        <v>3.1345553075453139</v>
      </c>
      <c r="AB266" s="333">
        <f t="shared" ca="1" si="74"/>
        <v>0</v>
      </c>
      <c r="AC266" s="335">
        <f t="shared" ca="1" si="75"/>
        <v>0</v>
      </c>
      <c r="AD266" s="698" t="str">
        <f t="shared" ca="1" si="61"/>
        <v xml:space="preserve"> </v>
      </c>
    </row>
    <row r="267" spans="1:30" ht="13.5" thickBot="1">
      <c r="A267" s="672"/>
      <c r="C267" s="398"/>
      <c r="D267" s="1"/>
      <c r="E267" s="1"/>
      <c r="G267" s="1"/>
      <c r="H267" s="1"/>
      <c r="I267" s="1"/>
      <c r="J267" s="401"/>
      <c r="L267" s="398"/>
      <c r="M267" s="1"/>
      <c r="N267" s="1"/>
      <c r="P267" s="1"/>
      <c r="Q267" s="1"/>
      <c r="R267" s="1"/>
      <c r="S267" s="401"/>
      <c r="U267" s="398"/>
      <c r="W267" s="1"/>
      <c r="X267" s="1"/>
      <c r="Y267" s="1"/>
      <c r="Z267" s="1"/>
      <c r="AA267" s="1"/>
      <c r="AB267" s="1"/>
      <c r="AC267" s="1"/>
      <c r="AD267" s="401"/>
    </row>
    <row r="268" spans="1:30" ht="13.5" thickBot="1">
      <c r="A268" s="673"/>
      <c r="C268" s="684"/>
      <c r="D268" s="685"/>
      <c r="E268" s="685"/>
      <c r="F268" s="685"/>
      <c r="G268" s="685"/>
      <c r="H268" s="685"/>
      <c r="I268" s="686" t="s">
        <v>1287</v>
      </c>
      <c r="J268" s="693">
        <f ca="1">SUM(J12:J266)</f>
        <v>871998.07005688129</v>
      </c>
      <c r="L268" s="684"/>
      <c r="M268" s="685"/>
      <c r="N268" s="685"/>
      <c r="O268" s="685"/>
      <c r="P268" s="685"/>
      <c r="Q268" s="685"/>
      <c r="R268" s="686" t="s">
        <v>1325</v>
      </c>
      <c r="S268" s="693">
        <f ca="1">SUM(S12:S266)</f>
        <v>718643.2134217635</v>
      </c>
      <c r="U268" s="684"/>
      <c r="V268" s="685"/>
      <c r="W268" s="685"/>
      <c r="X268" s="685"/>
      <c r="Y268" s="685"/>
      <c r="Z268" s="685"/>
      <c r="AA268" s="685"/>
      <c r="AB268" s="685"/>
      <c r="AC268" s="686" t="s">
        <v>1326</v>
      </c>
      <c r="AD268" s="693">
        <f ca="1">SUM(AD12:AD266)</f>
        <v>165672.98794501548</v>
      </c>
    </row>
    <row r="270" spans="1:30">
      <c r="A270" s="357">
        <v>1</v>
      </c>
      <c r="B270" s="357">
        <f>A270+1</f>
        <v>2</v>
      </c>
      <c r="C270" s="357">
        <f t="shared" ref="C270:AD270" si="76">B270+1</f>
        <v>3</v>
      </c>
      <c r="D270" s="357">
        <f t="shared" si="76"/>
        <v>4</v>
      </c>
      <c r="E270" s="357">
        <f t="shared" si="76"/>
        <v>5</v>
      </c>
      <c r="F270" s="357">
        <f t="shared" si="76"/>
        <v>6</v>
      </c>
      <c r="G270" s="357">
        <f t="shared" si="76"/>
        <v>7</v>
      </c>
      <c r="H270" s="357">
        <f t="shared" si="76"/>
        <v>8</v>
      </c>
      <c r="I270" s="357">
        <f t="shared" si="76"/>
        <v>9</v>
      </c>
      <c r="J270" s="357">
        <f t="shared" si="76"/>
        <v>10</v>
      </c>
      <c r="K270" s="357">
        <f t="shared" si="76"/>
        <v>11</v>
      </c>
      <c r="L270" s="357">
        <f t="shared" si="76"/>
        <v>12</v>
      </c>
      <c r="M270" s="357">
        <f t="shared" si="76"/>
        <v>13</v>
      </c>
      <c r="N270" s="357">
        <f t="shared" si="76"/>
        <v>14</v>
      </c>
      <c r="O270" s="357">
        <f t="shared" si="76"/>
        <v>15</v>
      </c>
      <c r="P270" s="357">
        <f t="shared" si="76"/>
        <v>16</v>
      </c>
      <c r="Q270" s="357">
        <f t="shared" si="76"/>
        <v>17</v>
      </c>
      <c r="R270" s="357">
        <f t="shared" si="76"/>
        <v>18</v>
      </c>
      <c r="S270" s="357">
        <f t="shared" si="76"/>
        <v>19</v>
      </c>
      <c r="T270" s="357">
        <f t="shared" si="76"/>
        <v>20</v>
      </c>
      <c r="U270" s="357">
        <f t="shared" si="76"/>
        <v>21</v>
      </c>
      <c r="V270" s="357">
        <f t="shared" si="76"/>
        <v>22</v>
      </c>
      <c r="W270" s="357">
        <f t="shared" si="76"/>
        <v>23</v>
      </c>
      <c r="X270" s="357">
        <f t="shared" si="76"/>
        <v>24</v>
      </c>
      <c r="Y270" s="357">
        <f t="shared" si="76"/>
        <v>25</v>
      </c>
      <c r="Z270" s="357">
        <f t="shared" si="76"/>
        <v>26</v>
      </c>
      <c r="AA270" s="357">
        <f t="shared" si="76"/>
        <v>27</v>
      </c>
      <c r="AB270" s="357">
        <f t="shared" si="76"/>
        <v>28</v>
      </c>
      <c r="AC270" s="357">
        <f t="shared" si="76"/>
        <v>29</v>
      </c>
      <c r="AD270" s="357">
        <f t="shared" si="76"/>
        <v>30</v>
      </c>
    </row>
  </sheetData>
  <printOptions horizontalCentered="1"/>
  <pageMargins left="0.25" right="0.25" top="0.5" bottom="0.5" header="0.25" footer="0.25"/>
  <pageSetup scale="43" fitToHeight="4" orientation="landscape" horizontalDpi="4294967294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1">
    <pageSetUpPr autoPageBreaks="0" fitToPage="1"/>
  </sheetPr>
  <dimension ref="A1:R310"/>
  <sheetViews>
    <sheetView showGridLines="0" topLeftCell="B1" zoomScale="90" workbookViewId="0">
      <selection activeCell="H21" sqref="H21"/>
    </sheetView>
  </sheetViews>
  <sheetFormatPr defaultRowHeight="12.75"/>
  <cols>
    <col min="2" max="2" width="2.7109375" customWidth="1"/>
    <col min="3" max="6" width="10.7109375" customWidth="1"/>
    <col min="7" max="7" width="10.7109375" style="1" customWidth="1"/>
    <col min="8" max="8" width="11.7109375" customWidth="1"/>
    <col min="9" max="10" width="10.7109375" customWidth="1"/>
    <col min="11" max="11" width="2.7109375" customWidth="1"/>
    <col min="12" max="12" width="10.7109375" customWidth="1"/>
    <col min="13" max="15" width="11.7109375" customWidth="1"/>
    <col min="16" max="16" width="10.7109375" style="1" customWidth="1"/>
    <col min="17" max="18" width="10.7109375" customWidth="1"/>
  </cols>
  <sheetData>
    <row r="1" spans="1:18" s="1" customFormat="1" ht="15.75">
      <c r="A1" s="1137" t="str">
        <f>CONCATENATE(TOC!B2," ",TOC!B6)</f>
        <v>EMPRESSA PRODUTORA DE ENERGÍA LTDA (EPE) *** DRAFT COPY ***</v>
      </c>
      <c r="E1" s="117"/>
      <c r="K1" s="117"/>
    </row>
    <row r="2" spans="1:18" s="1" customFormat="1" ht="15.75">
      <c r="A2" s="1137" t="str">
        <f>TOC!B3</f>
        <v>480 MW POWER PLANT (CUIABA, BRAZIL)</v>
      </c>
      <c r="E2" s="117"/>
      <c r="K2" s="117"/>
    </row>
    <row r="3" spans="1:18" s="1" customFormat="1" ht="15">
      <c r="A3" s="118" t="str">
        <f>TOC!B4</f>
        <v>ENRON INTERNATIONAL</v>
      </c>
      <c r="E3" s="118"/>
      <c r="K3" s="118"/>
    </row>
    <row r="4" spans="1:18" s="1" customFormat="1" ht="15">
      <c r="A4" s="932" t="s">
        <v>102</v>
      </c>
      <c r="B4" s="933"/>
      <c r="C4" s="933"/>
      <c r="D4" s="933"/>
      <c r="E4" s="932"/>
      <c r="F4" s="933"/>
      <c r="K4" s="214"/>
    </row>
    <row r="5" spans="1:18" s="288" customFormat="1">
      <c r="D5" s="1"/>
      <c r="E5" s="1"/>
      <c r="F5" s="1"/>
      <c r="G5" s="1"/>
      <c r="H5" s="1"/>
      <c r="I5" s="1"/>
      <c r="J5" s="1"/>
      <c r="P5" s="1"/>
      <c r="Q5" s="1"/>
      <c r="R5" s="1"/>
    </row>
    <row r="6" spans="1:18">
      <c r="C6" s="666" t="s">
        <v>1330</v>
      </c>
      <c r="D6" s="694"/>
      <c r="E6" s="694"/>
      <c r="F6" s="694"/>
      <c r="G6" s="694"/>
      <c r="H6" s="667"/>
      <c r="I6" s="667"/>
      <c r="J6" s="695"/>
      <c r="L6" s="666" t="s">
        <v>1331</v>
      </c>
      <c r="M6" s="694"/>
      <c r="N6" s="694"/>
      <c r="O6" s="694"/>
      <c r="P6" s="694"/>
      <c r="Q6" s="694"/>
      <c r="R6" s="695"/>
    </row>
    <row r="7" spans="1:18" ht="13.5" thickBot="1">
      <c r="C7" s="1"/>
      <c r="G7"/>
      <c r="P7"/>
    </row>
    <row r="8" spans="1:18">
      <c r="A8" s="670"/>
      <c r="C8" s="674" t="s">
        <v>435</v>
      </c>
      <c r="D8" s="675"/>
      <c r="E8" s="675" t="s">
        <v>1435</v>
      </c>
      <c r="F8" s="675"/>
      <c r="G8" s="675" t="s">
        <v>426</v>
      </c>
      <c r="H8" s="675" t="s">
        <v>1489</v>
      </c>
      <c r="I8" s="675" t="s">
        <v>1489</v>
      </c>
      <c r="J8" s="677" t="s">
        <v>1484</v>
      </c>
      <c r="L8" s="674" t="s">
        <v>918</v>
      </c>
      <c r="M8" s="675" t="s">
        <v>1489</v>
      </c>
      <c r="N8" s="675" t="s">
        <v>918</v>
      </c>
      <c r="O8" s="675" t="s">
        <v>919</v>
      </c>
      <c r="P8" s="675"/>
      <c r="Q8" s="675"/>
      <c r="R8" s="677" t="s">
        <v>1484</v>
      </c>
    </row>
    <row r="9" spans="1:18">
      <c r="A9" s="426"/>
      <c r="C9" s="139" t="s">
        <v>1333</v>
      </c>
      <c r="D9" s="62" t="str">
        <f ca="1">Escalation!AK14</f>
        <v>CPI Less</v>
      </c>
      <c r="E9" s="113" t="s">
        <v>1333</v>
      </c>
      <c r="F9" s="55" t="s">
        <v>1457</v>
      </c>
      <c r="G9" s="55" t="s">
        <v>1437</v>
      </c>
      <c r="H9" s="113" t="s">
        <v>1501</v>
      </c>
      <c r="I9" s="113" t="s">
        <v>404</v>
      </c>
      <c r="J9" s="399" t="s">
        <v>404</v>
      </c>
      <c r="L9" s="139" t="s">
        <v>328</v>
      </c>
      <c r="M9" s="113" t="s">
        <v>1501</v>
      </c>
      <c r="N9" s="55" t="s">
        <v>328</v>
      </c>
      <c r="O9" s="55" t="s">
        <v>328</v>
      </c>
      <c r="P9" s="62" t="str">
        <f ca="1">Escalation!AO14</f>
        <v>US</v>
      </c>
      <c r="Q9" s="113" t="s">
        <v>1435</v>
      </c>
      <c r="R9" s="399" t="s">
        <v>404</v>
      </c>
    </row>
    <row r="10" spans="1:18">
      <c r="A10" s="671" t="s">
        <v>1436</v>
      </c>
      <c r="C10" s="679" t="s">
        <v>1332</v>
      </c>
      <c r="D10" s="93">
        <f ca="1">Escalation!AL14</f>
        <v>2.5000000000000001E-3</v>
      </c>
      <c r="E10" s="93" t="s">
        <v>1332</v>
      </c>
      <c r="F10" s="93" t="s">
        <v>1332</v>
      </c>
      <c r="G10" s="93" t="s">
        <v>1332</v>
      </c>
      <c r="H10" s="93" t="s">
        <v>1329</v>
      </c>
      <c r="I10" s="93" t="s">
        <v>1490</v>
      </c>
      <c r="J10" s="680" t="s">
        <v>1490</v>
      </c>
      <c r="L10" s="679" t="s">
        <v>1332</v>
      </c>
      <c r="M10" s="93" t="s">
        <v>1329</v>
      </c>
      <c r="N10" s="93" t="s">
        <v>1336</v>
      </c>
      <c r="O10" s="93" t="s">
        <v>1336</v>
      </c>
      <c r="P10" s="93" t="str">
        <f ca="1">Escalation!AP14</f>
        <v>CPI</v>
      </c>
      <c r="Q10" s="93" t="s">
        <v>1336</v>
      </c>
      <c r="R10" s="680" t="s">
        <v>1490</v>
      </c>
    </row>
    <row r="11" spans="1:18">
      <c r="A11" s="426"/>
      <c r="C11" s="398"/>
      <c r="D11" s="1"/>
      <c r="E11" s="1"/>
      <c r="F11" s="1"/>
      <c r="H11" s="1"/>
      <c r="I11" s="1"/>
      <c r="J11" s="401"/>
      <c r="L11" s="398"/>
      <c r="M11" s="1"/>
      <c r="N11" s="1"/>
      <c r="O11" s="1"/>
      <c r="Q11" s="1"/>
      <c r="R11" s="401"/>
    </row>
    <row r="12" spans="1:18">
      <c r="A12" s="672">
        <f>'Annex 12-Gas'!A12</f>
        <v>36951</v>
      </c>
      <c r="C12" s="697">
        <f ca="1">IF($A12&gt;Endyr,0,VLOOKUP($A12,Tariff_Table,Tariff!$L$33))</f>
        <v>1.21</v>
      </c>
      <c r="D12" s="113">
        <f ca="1">VLOOKUP($A12,Curves_Table,Escalation!$AL$291)</f>
        <v>1.0627762099261286</v>
      </c>
      <c r="E12" s="333">
        <f ca="1">C12*D12</f>
        <v>1.2859592140106155</v>
      </c>
      <c r="F12" s="331">
        <f ca="1">IF($A12&gt;Endyr,0,VLOOKUP($A12,Tariff_Table,Tariff!$M$33))</f>
        <v>0.25</v>
      </c>
      <c r="G12" s="333">
        <f ca="1">SUM(E12,F12)</f>
        <v>1.5359592140106155</v>
      </c>
      <c r="H12" s="334">
        <f ca="1">VLOOKUP($A12,Plant_Table,'Plant Operations'!$T$270)</f>
        <v>127260</v>
      </c>
      <c r="I12" s="335">
        <f ca="1">G12*H12/1000</f>
        <v>195.46616957499091</v>
      </c>
      <c r="J12" s="698" t="str">
        <f t="shared" ref="J12:J76" ca="1" si="0">IF(MONTH($A12)=12,SUM(I1:I12)," ")</f>
        <v xml:space="preserve"> </v>
      </c>
      <c r="L12" s="699">
        <f ca="1">IF($A12&lt;Startops2,0,VLOOKUP($A12,Tariff_Table,Tariff!$N$33))</f>
        <v>1.25</v>
      </c>
      <c r="M12" s="334">
        <f ca="1">H12</f>
        <v>127260</v>
      </c>
      <c r="N12" s="1113">
        <f ca="1">L12*M12/1000</f>
        <v>159.07499999999999</v>
      </c>
      <c r="O12" s="1113">
        <f ca="1">IF($A12&gt;Endyr,0,VLOOKUP($A12,Tariff_Table,Tariff!$O$33))</f>
        <v>0</v>
      </c>
      <c r="P12" s="113">
        <f ca="1">VLOOKUP($A12,Curves_Table,Escalation!$AP$291)</f>
        <v>1.0620799950339679</v>
      </c>
      <c r="Q12" s="328">
        <f ca="1">SUM(N12,O12)*P12</f>
        <v>168.95037521002843</v>
      </c>
      <c r="R12" s="692" t="str">
        <f t="shared" ref="R12:R75" ca="1" si="1">IF(MONTH($A12)=12,SUM(Q1:Q12)," ")</f>
        <v xml:space="preserve"> </v>
      </c>
    </row>
    <row r="13" spans="1:18">
      <c r="A13" s="672">
        <f>'Annex 12-Gas'!A13</f>
        <v>36982</v>
      </c>
      <c r="C13" s="697">
        <f ca="1">IF($A13&gt;Endyr,0,VLOOKUP($A13,Tariff_Table,Tariff!$L$33))</f>
        <v>1.21</v>
      </c>
      <c r="D13" s="113">
        <f ca="1">VLOOKUP($A13,Curves_Table,Escalation!$AL$291)</f>
        <v>1.0627762099261286</v>
      </c>
      <c r="E13" s="333">
        <f t="shared" ref="E13:E76" ca="1" si="2">C13*D13</f>
        <v>1.2859592140106155</v>
      </c>
      <c r="F13" s="331">
        <f ca="1">IF($A13&gt;Endyr,0,VLOOKUP($A13,Tariff_Table,Tariff!$M$33))</f>
        <v>0.25</v>
      </c>
      <c r="G13" s="333">
        <f t="shared" ref="G13:G76" ca="1" si="3">SUM(E13,F13)</f>
        <v>1.5359592140106155</v>
      </c>
      <c r="H13" s="334">
        <f ca="1">VLOOKUP($A13,Plant_Table,'Plant Operations'!$T$270)</f>
        <v>709020</v>
      </c>
      <c r="I13" s="335">
        <f t="shared" ref="I13:I76" ca="1" si="4">G13*H13/1000</f>
        <v>1089.0258019178068</v>
      </c>
      <c r="J13" s="698" t="str">
        <f t="shared" ca="1" si="0"/>
        <v xml:space="preserve"> </v>
      </c>
      <c r="L13" s="699">
        <f ca="1">IF($A13&lt;Startops2,0,VLOOKUP($A13,Tariff_Table,Tariff!$N$33))</f>
        <v>1.25</v>
      </c>
      <c r="M13" s="334">
        <f t="shared" ref="M13:M76" ca="1" si="5">H13</f>
        <v>709020</v>
      </c>
      <c r="N13" s="1113">
        <f t="shared" ref="N13:N76" ca="1" si="6">L13*M13/1000</f>
        <v>886.27499999999998</v>
      </c>
      <c r="O13" s="1113">
        <f ca="1">IF($A13&gt;Endyr,0,VLOOKUP($A13,Tariff_Table,Tariff!$O$33))</f>
        <v>0</v>
      </c>
      <c r="P13" s="113">
        <f ca="1">VLOOKUP($A13,Curves_Table,Escalation!$AP$291)</f>
        <v>1.0620799950339679</v>
      </c>
      <c r="Q13" s="328">
        <f t="shared" ref="Q13:Q76" ca="1" si="7">SUM(N13,O13)*P13</f>
        <v>941.29494759872989</v>
      </c>
      <c r="R13" s="692" t="str">
        <f t="shared" ca="1" si="1"/>
        <v xml:space="preserve"> </v>
      </c>
    </row>
    <row r="14" spans="1:18">
      <c r="A14" s="672">
        <f>'Annex 12-Gas'!A14</f>
        <v>37012</v>
      </c>
      <c r="C14" s="697">
        <f ca="1">IF($A14&gt;Endyr,0,VLOOKUP($A14,Tariff_Table,Tariff!$L$33))</f>
        <v>1.21</v>
      </c>
      <c r="D14" s="113">
        <f ca="1">VLOOKUP($A14,Curves_Table,Escalation!$AL$291)</f>
        <v>1.0952429010137783</v>
      </c>
      <c r="E14" s="333">
        <f t="shared" ca="1" si="2"/>
        <v>1.3252439102266718</v>
      </c>
      <c r="F14" s="331">
        <f ca="1">IF($A14&gt;Endyr,0,VLOOKUP($A14,Tariff_Table,Tariff!$M$33))</f>
        <v>0.25</v>
      </c>
      <c r="G14" s="333">
        <f t="shared" ca="1" si="3"/>
        <v>1.5752439102266718</v>
      </c>
      <c r="H14" s="334">
        <f ca="1">VLOOKUP($A14,Plant_Table,'Plant Operations'!$T$270)</f>
        <v>1483488</v>
      </c>
      <c r="I14" s="335">
        <f t="shared" ca="1" si="4"/>
        <v>2336.855437894345</v>
      </c>
      <c r="J14" s="698" t="str">
        <f t="shared" ca="1" si="0"/>
        <v xml:space="preserve"> </v>
      </c>
      <c r="L14" s="699">
        <f ca="1">IF($A14&lt;Startops2,0,VLOOKUP($A14,Tariff_Table,Tariff!$N$33))</f>
        <v>1.25</v>
      </c>
      <c r="M14" s="334">
        <f t="shared" ca="1" si="5"/>
        <v>1483488</v>
      </c>
      <c r="N14" s="1113">
        <f t="shared" ca="1" si="6"/>
        <v>1854.36</v>
      </c>
      <c r="O14" s="1113">
        <f ca="1">IF($A14&gt;Endyr,0,VLOOKUP($A14,Tariff_Table,Tariff!$O$33))</f>
        <v>0</v>
      </c>
      <c r="P14" s="113">
        <f ca="1">VLOOKUP($A14,Curves_Table,Escalation!$AP$291)</f>
        <v>1.097180617479341</v>
      </c>
      <c r="Q14" s="328">
        <f t="shared" ca="1" si="7"/>
        <v>2034.5678498289908</v>
      </c>
      <c r="R14" s="692" t="str">
        <f t="shared" ca="1" si="1"/>
        <v xml:space="preserve"> </v>
      </c>
    </row>
    <row r="15" spans="1:18">
      <c r="A15" s="672">
        <f>'Annex 12-Gas'!A15</f>
        <v>37043</v>
      </c>
      <c r="C15" s="697">
        <f ca="1">IF($A15&gt;Endyr,0,VLOOKUP($A15,Tariff_Table,Tariff!$L$33))</f>
        <v>1.21</v>
      </c>
      <c r="D15" s="113">
        <f ca="1">VLOOKUP($A15,Curves_Table,Escalation!$AL$291)</f>
        <v>1.0952429010137783</v>
      </c>
      <c r="E15" s="333">
        <f t="shared" ca="1" si="2"/>
        <v>1.3252439102266718</v>
      </c>
      <c r="F15" s="331">
        <f ca="1">IF($A15&gt;Endyr,0,VLOOKUP($A15,Tariff_Table,Tariff!$M$33))</f>
        <v>0.25</v>
      </c>
      <c r="G15" s="333">
        <f t="shared" ca="1" si="3"/>
        <v>1.5752439102266718</v>
      </c>
      <c r="H15" s="334">
        <f ca="1">VLOOKUP($A15,Plant_Table,'Plant Operations'!$T$270)</f>
        <v>2344492.7999999998</v>
      </c>
      <c r="I15" s="335">
        <f t="shared" ca="1" si="4"/>
        <v>3693.1480057702784</v>
      </c>
      <c r="J15" s="698" t="str">
        <f t="shared" ca="1" si="0"/>
        <v xml:space="preserve"> </v>
      </c>
      <c r="L15" s="699">
        <f ca="1">IF($A15&lt;Startops2,0,VLOOKUP($A15,Tariff_Table,Tariff!$N$33))</f>
        <v>1.25</v>
      </c>
      <c r="M15" s="334">
        <f t="shared" ca="1" si="5"/>
        <v>2344492.7999999998</v>
      </c>
      <c r="N15" s="1113">
        <f t="shared" ca="1" si="6"/>
        <v>2930.616</v>
      </c>
      <c r="O15" s="1113">
        <f ca="1">IF($A15&gt;Endyr,0,VLOOKUP($A15,Tariff_Table,Tariff!$O$33))</f>
        <v>0</v>
      </c>
      <c r="P15" s="113">
        <f ca="1">VLOOKUP($A15,Curves_Table,Escalation!$AP$291)</f>
        <v>1.097180617479341</v>
      </c>
      <c r="Q15" s="328">
        <f t="shared" ca="1" si="7"/>
        <v>3215.4150724748365</v>
      </c>
      <c r="R15" s="692" t="str">
        <f t="shared" ca="1" si="1"/>
        <v xml:space="preserve"> </v>
      </c>
    </row>
    <row r="16" spans="1:18">
      <c r="A16" s="672">
        <f>'Annex 12-Gas'!A16</f>
        <v>37073</v>
      </c>
      <c r="C16" s="697">
        <f ca="1">IF($A16&gt;Endyr,0,VLOOKUP($A16,Tariff_Table,Tariff!$L$33))</f>
        <v>1.21</v>
      </c>
      <c r="D16" s="113">
        <f ca="1">VLOOKUP($A16,Curves_Table,Escalation!$AL$291)</f>
        <v>1.0952429010137783</v>
      </c>
      <c r="E16" s="333">
        <f t="shared" ca="1" si="2"/>
        <v>1.3252439102266718</v>
      </c>
      <c r="F16" s="331">
        <f ca="1">IF($A16&gt;Endyr,0,VLOOKUP($A16,Tariff_Table,Tariff!$M$33))</f>
        <v>0.25</v>
      </c>
      <c r="G16" s="333">
        <f t="shared" ca="1" si="3"/>
        <v>1.5752439102266718</v>
      </c>
      <c r="H16" s="334">
        <f ca="1">VLOOKUP($A16,Plant_Table,'Plant Operations'!$T$270)</f>
        <v>2367541</v>
      </c>
      <c r="I16" s="335">
        <f t="shared" ca="1" si="4"/>
        <v>3729.4545424619646</v>
      </c>
      <c r="J16" s="698" t="str">
        <f t="shared" ca="1" si="0"/>
        <v xml:space="preserve"> </v>
      </c>
      <c r="L16" s="699">
        <f ca="1">IF($A16&lt;Startops2,0,VLOOKUP($A16,Tariff_Table,Tariff!$N$33))</f>
        <v>1.25</v>
      </c>
      <c r="M16" s="334">
        <f t="shared" ca="1" si="5"/>
        <v>2367541</v>
      </c>
      <c r="N16" s="1113">
        <f t="shared" ca="1" si="6"/>
        <v>2959.42625</v>
      </c>
      <c r="O16" s="1113">
        <f ca="1">IF($A16&gt;Endyr,0,VLOOKUP($A16,Tariff_Table,Tariff!$O$33))</f>
        <v>0</v>
      </c>
      <c r="P16" s="113">
        <f ca="1">VLOOKUP($A16,Curves_Table,Escalation!$AP$291)</f>
        <v>1.097180617479341</v>
      </c>
      <c r="Q16" s="328">
        <f t="shared" ca="1" si="7"/>
        <v>3247.0251203595708</v>
      </c>
      <c r="R16" s="692" t="str">
        <f t="shared" ca="1" si="1"/>
        <v xml:space="preserve"> </v>
      </c>
    </row>
    <row r="17" spans="1:18">
      <c r="A17" s="672">
        <f>'Annex 12-Gas'!A17</f>
        <v>37104</v>
      </c>
      <c r="C17" s="697">
        <f ca="1">IF($A17&gt;Endyr,0,VLOOKUP($A17,Tariff_Table,Tariff!$L$33))</f>
        <v>1.21</v>
      </c>
      <c r="D17" s="113">
        <f ca="1">VLOOKUP($A17,Curves_Table,Escalation!$AL$291)</f>
        <v>1.0952429010137783</v>
      </c>
      <c r="E17" s="333">
        <f t="shared" ca="1" si="2"/>
        <v>1.3252439102266718</v>
      </c>
      <c r="F17" s="331">
        <f ca="1">IF($A17&gt;Endyr,0,VLOOKUP($A17,Tariff_Table,Tariff!$M$33))</f>
        <v>0.25</v>
      </c>
      <c r="G17" s="333">
        <f t="shared" ca="1" si="3"/>
        <v>1.5752439102266718</v>
      </c>
      <c r="H17" s="334">
        <f ca="1">VLOOKUP($A17,Plant_Table,'Plant Operations'!$T$270)</f>
        <v>2092866.048</v>
      </c>
      <c r="I17" s="335">
        <f t="shared" ca="1" si="4"/>
        <v>3296.7744970321614</v>
      </c>
      <c r="J17" s="698" t="str">
        <f t="shared" ca="1" si="0"/>
        <v xml:space="preserve"> </v>
      </c>
      <c r="L17" s="699">
        <f ca="1">IF($A17&lt;Startops2,0,VLOOKUP($A17,Tariff_Table,Tariff!$N$33))</f>
        <v>0</v>
      </c>
      <c r="M17" s="334">
        <f t="shared" ca="1" si="5"/>
        <v>2092866.048</v>
      </c>
      <c r="N17" s="1113">
        <f t="shared" ca="1" si="6"/>
        <v>0</v>
      </c>
      <c r="O17" s="1113">
        <f ca="1">IF($A17&gt;Endyr,0,VLOOKUP($A17,Tariff_Table,Tariff!$O$33))</f>
        <v>3258.8013700000001</v>
      </c>
      <c r="P17" s="113">
        <f ca="1">VLOOKUP($A17,Curves_Table,Escalation!$AP$291)</f>
        <v>1.097180617479341</v>
      </c>
      <c r="Q17" s="328">
        <f t="shared" ca="1" si="7"/>
        <v>3575.4936993791225</v>
      </c>
      <c r="R17" s="692" t="str">
        <f t="shared" ca="1" si="1"/>
        <v xml:space="preserve"> </v>
      </c>
    </row>
    <row r="18" spans="1:18">
      <c r="A18" s="672">
        <f>'Annex 12-Gas'!A18</f>
        <v>37135</v>
      </c>
      <c r="C18" s="697">
        <f ca="1">IF($A18&gt;Endyr,0,VLOOKUP($A18,Tariff_Table,Tariff!$L$33))</f>
        <v>1.21</v>
      </c>
      <c r="D18" s="113">
        <f ca="1">VLOOKUP($A18,Curves_Table,Escalation!$AL$291)</f>
        <v>1.0952429010137783</v>
      </c>
      <c r="E18" s="333">
        <f t="shared" ca="1" si="2"/>
        <v>1.3252439102266718</v>
      </c>
      <c r="F18" s="331">
        <f ca="1">IF($A18&gt;Endyr,0,VLOOKUP($A18,Tariff_Table,Tariff!$M$33))</f>
        <v>0.25</v>
      </c>
      <c r="G18" s="333">
        <f t="shared" ca="1" si="3"/>
        <v>1.5752439102266718</v>
      </c>
      <c r="H18" s="334">
        <f ca="1">VLOOKUP($A18,Plant_Table,'Plant Operations'!$T$270)</f>
        <v>2025354.24</v>
      </c>
      <c r="I18" s="335">
        <f t="shared" ca="1" si="4"/>
        <v>3190.4269326117692</v>
      </c>
      <c r="J18" s="698" t="str">
        <f t="shared" ca="1" si="0"/>
        <v xml:space="preserve"> </v>
      </c>
      <c r="L18" s="699">
        <f ca="1">IF($A18&lt;Startops2,0,VLOOKUP($A18,Tariff_Table,Tariff!$N$33))</f>
        <v>0</v>
      </c>
      <c r="M18" s="334">
        <f t="shared" ca="1" si="5"/>
        <v>2025354.24</v>
      </c>
      <c r="N18" s="1113">
        <f t="shared" ca="1" si="6"/>
        <v>0</v>
      </c>
      <c r="O18" s="1113">
        <f ca="1">IF($A18&gt;Endyr,0,VLOOKUP($A18,Tariff_Table,Tariff!$O$33))</f>
        <v>3258.8013700000001</v>
      </c>
      <c r="P18" s="113">
        <f ca="1">VLOOKUP($A18,Curves_Table,Escalation!$AP$291)</f>
        <v>1.097180617479341</v>
      </c>
      <c r="Q18" s="328">
        <f t="shared" ca="1" si="7"/>
        <v>3575.4936993791225</v>
      </c>
      <c r="R18" s="692" t="str">
        <f t="shared" ca="1" si="1"/>
        <v xml:space="preserve"> </v>
      </c>
    </row>
    <row r="19" spans="1:18">
      <c r="A19" s="672">
        <f>'Annex 12-Gas'!A19</f>
        <v>37165</v>
      </c>
      <c r="C19" s="697">
        <f ca="1">IF($A19&gt;Endyr,0,VLOOKUP($A19,Tariff_Table,Tariff!$L$33))</f>
        <v>1.21</v>
      </c>
      <c r="D19" s="113">
        <f ca="1">VLOOKUP($A19,Curves_Table,Escalation!$AL$291)</f>
        <v>1.0952429010137783</v>
      </c>
      <c r="E19" s="333">
        <f t="shared" ca="1" si="2"/>
        <v>1.3252439102266718</v>
      </c>
      <c r="F19" s="331">
        <f ca="1">IF($A19&gt;Endyr,0,VLOOKUP($A19,Tariff_Table,Tariff!$M$33))</f>
        <v>0.25</v>
      </c>
      <c r="G19" s="333">
        <f t="shared" ca="1" si="3"/>
        <v>1.5752439102266718</v>
      </c>
      <c r="H19" s="334">
        <f ca="1">VLOOKUP($A19,Plant_Table,'Plant Operations'!$T$270)</f>
        <v>2092866.048</v>
      </c>
      <c r="I19" s="335">
        <f t="shared" ca="1" si="4"/>
        <v>3296.7744970321614</v>
      </c>
      <c r="J19" s="698" t="str">
        <f t="shared" ca="1" si="0"/>
        <v xml:space="preserve"> </v>
      </c>
      <c r="L19" s="699">
        <f ca="1">IF($A19&lt;Startops2,0,VLOOKUP($A19,Tariff_Table,Tariff!$N$33))</f>
        <v>0</v>
      </c>
      <c r="M19" s="334">
        <f t="shared" ca="1" si="5"/>
        <v>2092866.048</v>
      </c>
      <c r="N19" s="1113">
        <f t="shared" ca="1" si="6"/>
        <v>0</v>
      </c>
      <c r="O19" s="1113">
        <f ca="1">IF($A19&gt;Endyr,0,VLOOKUP($A19,Tariff_Table,Tariff!$O$33))</f>
        <v>3258.8013700000001</v>
      </c>
      <c r="P19" s="113">
        <f ca="1">VLOOKUP($A19,Curves_Table,Escalation!$AP$291)</f>
        <v>1.097180617479341</v>
      </c>
      <c r="Q19" s="328">
        <f t="shared" ca="1" si="7"/>
        <v>3575.4936993791225</v>
      </c>
      <c r="R19" s="692" t="str">
        <f t="shared" ca="1" si="1"/>
        <v xml:space="preserve"> </v>
      </c>
    </row>
    <row r="20" spans="1:18">
      <c r="A20" s="672">
        <f>'Annex 12-Gas'!A20</f>
        <v>37196</v>
      </c>
      <c r="C20" s="697">
        <f ca="1">IF($A20&gt;Endyr,0,VLOOKUP($A20,Tariff_Table,Tariff!$L$33))</f>
        <v>1.21</v>
      </c>
      <c r="D20" s="113">
        <f ca="1">VLOOKUP($A20,Curves_Table,Escalation!$AL$291)</f>
        <v>1.0952429010137783</v>
      </c>
      <c r="E20" s="333">
        <f t="shared" ca="1" si="2"/>
        <v>1.3252439102266718</v>
      </c>
      <c r="F20" s="331">
        <f ca="1">IF($A20&gt;Endyr,0,VLOOKUP($A20,Tariff_Table,Tariff!$M$33))</f>
        <v>0.25</v>
      </c>
      <c r="G20" s="333">
        <f t="shared" ca="1" si="3"/>
        <v>1.5752439102266718</v>
      </c>
      <c r="H20" s="334">
        <f ca="1">VLOOKUP($A20,Plant_Table,'Plant Operations'!$T$270)</f>
        <v>2025354.24</v>
      </c>
      <c r="I20" s="335">
        <f t="shared" ca="1" si="4"/>
        <v>3190.4269326117692</v>
      </c>
      <c r="J20" s="698" t="str">
        <f t="shared" ca="1" si="0"/>
        <v xml:space="preserve"> </v>
      </c>
      <c r="L20" s="699">
        <f ca="1">IF($A20&lt;Startops2,0,VLOOKUP($A20,Tariff_Table,Tariff!$N$33))</f>
        <v>0</v>
      </c>
      <c r="M20" s="334">
        <f t="shared" ca="1" si="5"/>
        <v>2025354.24</v>
      </c>
      <c r="N20" s="1113">
        <f t="shared" ca="1" si="6"/>
        <v>0</v>
      </c>
      <c r="O20" s="1113">
        <f ca="1">IF($A20&gt;Endyr,0,VLOOKUP($A20,Tariff_Table,Tariff!$O$33))</f>
        <v>3258.8013700000001</v>
      </c>
      <c r="P20" s="113">
        <f ca="1">VLOOKUP($A20,Curves_Table,Escalation!$AP$291)</f>
        <v>1.097180617479341</v>
      </c>
      <c r="Q20" s="328">
        <f t="shared" ca="1" si="7"/>
        <v>3575.4936993791225</v>
      </c>
      <c r="R20" s="692" t="str">
        <f t="shared" ca="1" si="1"/>
        <v xml:space="preserve"> </v>
      </c>
    </row>
    <row r="21" spans="1:18">
      <c r="A21" s="672">
        <f>'Annex 12-Gas'!A21</f>
        <v>37226</v>
      </c>
      <c r="C21" s="697">
        <f ca="1">IF($A21&gt;Endyr,0,VLOOKUP($A21,Tariff_Table,Tariff!$L$33))</f>
        <v>1.21</v>
      </c>
      <c r="D21" s="113">
        <f ca="1">VLOOKUP($A21,Curves_Table,Escalation!$AL$291)</f>
        <v>1.0952429010137783</v>
      </c>
      <c r="E21" s="333">
        <f t="shared" ca="1" si="2"/>
        <v>1.3252439102266718</v>
      </c>
      <c r="F21" s="331">
        <f ca="1">IF($A21&gt;Endyr,0,VLOOKUP($A21,Tariff_Table,Tariff!$M$33))</f>
        <v>0.25</v>
      </c>
      <c r="G21" s="333">
        <f t="shared" ca="1" si="3"/>
        <v>1.5752439102266718</v>
      </c>
      <c r="H21" s="334">
        <f ca="1">VLOOKUP($A21,Plant_Table,'Plant Operations'!$T$270)</f>
        <v>2092866.048</v>
      </c>
      <c r="I21" s="335">
        <f ca="1">G21*H21/1000</f>
        <v>3296.7744970321614</v>
      </c>
      <c r="J21" s="698">
        <f t="shared" ca="1" si="0"/>
        <v>27315.127313939407</v>
      </c>
      <c r="L21" s="699">
        <f ca="1">IF($A21&lt;Startops2,0,VLOOKUP($A21,Tariff_Table,Tariff!$N$33))</f>
        <v>0</v>
      </c>
      <c r="M21" s="334">
        <f ca="1">H21</f>
        <v>2092866.048</v>
      </c>
      <c r="N21" s="1113">
        <f t="shared" ca="1" si="6"/>
        <v>0</v>
      </c>
      <c r="O21" s="1113">
        <f ca="1">IF($A21&gt;Endyr,0,VLOOKUP($A21,Tariff_Table,Tariff!$O$33))</f>
        <v>3258.8013700000001</v>
      </c>
      <c r="P21" s="113">
        <f ca="1">VLOOKUP($A21,Curves_Table,Escalation!$AP$291)</f>
        <v>1.097180617479341</v>
      </c>
      <c r="Q21" s="328">
        <f t="shared" ca="1" si="7"/>
        <v>3575.4936993791225</v>
      </c>
      <c r="R21" s="692">
        <f t="shared" ca="1" si="1"/>
        <v>27484.721862367773</v>
      </c>
    </row>
    <row r="22" spans="1:18">
      <c r="A22" s="672">
        <f>'Annex 12-Gas'!A22</f>
        <v>37257</v>
      </c>
      <c r="C22" s="697">
        <f ca="1">IF($A22&gt;Endyr,0,VLOOKUP($A22,Tariff_Table,Tariff!$L$33))</f>
        <v>1.21</v>
      </c>
      <c r="D22" s="113">
        <f ca="1">VLOOKUP($A22,Curves_Table,Escalation!$AL$291)</f>
        <v>1.0952429010137783</v>
      </c>
      <c r="E22" s="333">
        <f t="shared" ca="1" si="2"/>
        <v>1.3252439102266718</v>
      </c>
      <c r="F22" s="331">
        <f ca="1">IF($A22&gt;Endyr,0,VLOOKUP($A22,Tariff_Table,Tariff!$M$33))</f>
        <v>0.25</v>
      </c>
      <c r="G22" s="333">
        <f t="shared" ca="1" si="3"/>
        <v>1.5752439102266718</v>
      </c>
      <c r="H22" s="334">
        <f ca="1">VLOOKUP($A22,Plant_Table,'Plant Operations'!$T$270)</f>
        <v>2092866.048</v>
      </c>
      <c r="I22" s="335">
        <f t="shared" ca="1" si="4"/>
        <v>3296.7744970321614</v>
      </c>
      <c r="J22" s="698" t="str">
        <f t="shared" ca="1" si="0"/>
        <v xml:space="preserve"> </v>
      </c>
      <c r="L22" s="699">
        <f ca="1">IF($A22&lt;Startops2,0,VLOOKUP($A22,Tariff_Table,Tariff!$N$33))</f>
        <v>0</v>
      </c>
      <c r="M22" s="334">
        <f t="shared" ca="1" si="5"/>
        <v>2092866.048</v>
      </c>
      <c r="N22" s="1113">
        <f t="shared" ca="1" si="6"/>
        <v>0</v>
      </c>
      <c r="O22" s="1113">
        <f ca="1">IF($A22&gt;Endyr,0,VLOOKUP($A22,Tariff_Table,Tariff!$O$33))</f>
        <v>3258.8013700000001</v>
      </c>
      <c r="P22" s="113">
        <f ca="1">VLOOKUP($A22,Curves_Table,Escalation!$AP$291)</f>
        <v>1.097180617479341</v>
      </c>
      <c r="Q22" s="328">
        <f t="shared" ca="1" si="7"/>
        <v>3575.4936993791225</v>
      </c>
      <c r="R22" s="692" t="str">
        <f t="shared" ca="1" si="1"/>
        <v xml:space="preserve"> </v>
      </c>
    </row>
    <row r="23" spans="1:18">
      <c r="A23" s="672">
        <f>'Annex 12-Gas'!A23</f>
        <v>37288</v>
      </c>
      <c r="C23" s="697">
        <f ca="1">IF($A23&gt;Endyr,0,VLOOKUP($A23,Tariff_Table,Tariff!$L$33))</f>
        <v>1.21</v>
      </c>
      <c r="D23" s="113">
        <f ca="1">VLOOKUP($A23,Curves_Table,Escalation!$AL$291)</f>
        <v>1.0952429010137783</v>
      </c>
      <c r="E23" s="333">
        <f t="shared" ca="1" si="2"/>
        <v>1.3252439102266718</v>
      </c>
      <c r="F23" s="331">
        <f ca="1">IF($A23&gt;Endyr,0,VLOOKUP($A23,Tariff_Table,Tariff!$M$33))</f>
        <v>0.25</v>
      </c>
      <c r="G23" s="333">
        <f t="shared" ca="1" si="3"/>
        <v>1.5752439102266718</v>
      </c>
      <c r="H23" s="334">
        <f ca="1">VLOOKUP($A23,Plant_Table,'Plant Operations'!$T$270)</f>
        <v>1890330.6240000003</v>
      </c>
      <c r="I23" s="335">
        <f t="shared" ca="1" si="4"/>
        <v>2977.7318037709852</v>
      </c>
      <c r="J23" s="698" t="str">
        <f t="shared" ca="1" si="0"/>
        <v xml:space="preserve"> </v>
      </c>
      <c r="L23" s="699">
        <f ca="1">IF($A23&lt;Startops2,0,VLOOKUP($A23,Tariff_Table,Tariff!$N$33))</f>
        <v>0</v>
      </c>
      <c r="M23" s="334">
        <f t="shared" ca="1" si="5"/>
        <v>1890330.6240000003</v>
      </c>
      <c r="N23" s="1113">
        <f t="shared" ca="1" si="6"/>
        <v>0</v>
      </c>
      <c r="O23" s="1113">
        <f ca="1">IF($A23&gt;Endyr,0,VLOOKUP($A23,Tariff_Table,Tariff!$O$33))</f>
        <v>3258.8013700000001</v>
      </c>
      <c r="P23" s="113">
        <f ca="1">VLOOKUP($A23,Curves_Table,Escalation!$AP$291)</f>
        <v>1.097180617479341</v>
      </c>
      <c r="Q23" s="328">
        <f t="shared" ca="1" si="7"/>
        <v>3575.4936993791225</v>
      </c>
      <c r="R23" s="692" t="str">
        <f t="shared" ca="1" si="1"/>
        <v xml:space="preserve"> </v>
      </c>
    </row>
    <row r="24" spans="1:18">
      <c r="A24" s="672">
        <f>'Annex 12-Gas'!A24</f>
        <v>37316</v>
      </c>
      <c r="C24" s="697">
        <f ca="1">IF($A24&gt;Endyr,0,VLOOKUP($A24,Tariff_Table,Tariff!$L$33))</f>
        <v>1.21</v>
      </c>
      <c r="D24" s="113">
        <f ca="1">VLOOKUP($A24,Curves_Table,Escalation!$AL$291)</f>
        <v>1.0952429010137783</v>
      </c>
      <c r="E24" s="333">
        <f t="shared" ca="1" si="2"/>
        <v>1.3252439102266718</v>
      </c>
      <c r="F24" s="331">
        <f ca="1">IF($A24&gt;Endyr,0,VLOOKUP($A24,Tariff_Table,Tariff!$M$33))</f>
        <v>0.25</v>
      </c>
      <c r="G24" s="333">
        <f t="shared" ca="1" si="3"/>
        <v>1.5752439102266718</v>
      </c>
      <c r="H24" s="334">
        <f ca="1">VLOOKUP($A24,Plant_Table,'Plant Operations'!$T$270)</f>
        <v>2092866.048</v>
      </c>
      <c r="I24" s="335">
        <f t="shared" ca="1" si="4"/>
        <v>3296.7744970321614</v>
      </c>
      <c r="J24" s="698" t="str">
        <f t="shared" ca="1" si="0"/>
        <v xml:space="preserve"> </v>
      </c>
      <c r="L24" s="699">
        <f ca="1">IF($A24&lt;Startops2,0,VLOOKUP($A24,Tariff_Table,Tariff!$N$33))</f>
        <v>0</v>
      </c>
      <c r="M24" s="334">
        <f t="shared" ca="1" si="5"/>
        <v>2092866.048</v>
      </c>
      <c r="N24" s="1113">
        <f t="shared" ca="1" si="6"/>
        <v>0</v>
      </c>
      <c r="O24" s="1113">
        <f ca="1">IF($A24&gt;Endyr,0,VLOOKUP($A24,Tariff_Table,Tariff!$O$33))</f>
        <v>3258.8013700000001</v>
      </c>
      <c r="P24" s="113">
        <f ca="1">VLOOKUP($A24,Curves_Table,Escalation!$AP$291)</f>
        <v>1.097180617479341</v>
      </c>
      <c r="Q24" s="328">
        <f t="shared" ca="1" si="7"/>
        <v>3575.4936993791225</v>
      </c>
      <c r="R24" s="692" t="str">
        <f t="shared" ca="1" si="1"/>
        <v xml:space="preserve"> </v>
      </c>
    </row>
    <row r="25" spans="1:18">
      <c r="A25" s="672">
        <f>'Annex 12-Gas'!A25</f>
        <v>37347</v>
      </c>
      <c r="C25" s="697">
        <f ca="1">IF($A25&gt;Endyr,0,VLOOKUP($A25,Tariff_Table,Tariff!$L$33))</f>
        <v>1.21</v>
      </c>
      <c r="D25" s="113">
        <f ca="1">VLOOKUP($A25,Curves_Table,Escalation!$AL$291)</f>
        <v>1.0952429010137783</v>
      </c>
      <c r="E25" s="333">
        <f t="shared" ca="1" si="2"/>
        <v>1.3252439102266718</v>
      </c>
      <c r="F25" s="331">
        <f ca="1">IF($A25&gt;Endyr,0,VLOOKUP($A25,Tariff_Table,Tariff!$M$33))</f>
        <v>0.25</v>
      </c>
      <c r="G25" s="333">
        <f t="shared" ca="1" si="3"/>
        <v>1.5752439102266718</v>
      </c>
      <c r="H25" s="334">
        <f ca="1">VLOOKUP($A25,Plant_Table,'Plant Operations'!$T$270)</f>
        <v>2025354.24</v>
      </c>
      <c r="I25" s="335">
        <f t="shared" ca="1" si="4"/>
        <v>3190.4269326117692</v>
      </c>
      <c r="J25" s="698" t="str">
        <f t="shared" ca="1" si="0"/>
        <v xml:space="preserve"> </v>
      </c>
      <c r="L25" s="699">
        <f ca="1">IF($A25&lt;Startops2,0,VLOOKUP($A25,Tariff_Table,Tariff!$N$33))</f>
        <v>0</v>
      </c>
      <c r="M25" s="334">
        <f t="shared" ca="1" si="5"/>
        <v>2025354.24</v>
      </c>
      <c r="N25" s="1113">
        <f t="shared" ca="1" si="6"/>
        <v>0</v>
      </c>
      <c r="O25" s="1113">
        <f ca="1">IF($A25&gt;Endyr,0,VLOOKUP($A25,Tariff_Table,Tariff!$O$33))</f>
        <v>3258.8013700000001</v>
      </c>
      <c r="P25" s="113">
        <f ca="1">VLOOKUP($A25,Curves_Table,Escalation!$AP$291)</f>
        <v>1.097180617479341</v>
      </c>
      <c r="Q25" s="328">
        <f t="shared" ca="1" si="7"/>
        <v>3575.4936993791225</v>
      </c>
      <c r="R25" s="692" t="str">
        <f t="shared" ca="1" si="1"/>
        <v xml:space="preserve"> </v>
      </c>
    </row>
    <row r="26" spans="1:18">
      <c r="A26" s="672">
        <f>'Annex 12-Gas'!A26</f>
        <v>37377</v>
      </c>
      <c r="C26" s="697">
        <f ca="1">IF($A26&gt;Endyr,0,VLOOKUP($A26,Tariff_Table,Tariff!$L$33))</f>
        <v>1.21</v>
      </c>
      <c r="D26" s="113">
        <f ca="1">VLOOKUP($A26,Curves_Table,Escalation!$AL$291)</f>
        <v>1.1274530123259379</v>
      </c>
      <c r="E26" s="333">
        <f t="shared" ca="1" si="2"/>
        <v>1.3642181449143849</v>
      </c>
      <c r="F26" s="331">
        <f ca="1">IF($A26&gt;Endyr,0,VLOOKUP($A26,Tariff_Table,Tariff!$M$33))</f>
        <v>0.25</v>
      </c>
      <c r="G26" s="333">
        <f t="shared" ca="1" si="3"/>
        <v>1.6142181449143849</v>
      </c>
      <c r="H26" s="334">
        <f ca="1">VLOOKUP($A26,Plant_Table,'Plant Operations'!$T$270)</f>
        <v>2092866.048</v>
      </c>
      <c r="I26" s="335">
        <f t="shared" ca="1" si="4"/>
        <v>3378.34234955686</v>
      </c>
      <c r="J26" s="698" t="str">
        <f t="shared" ca="1" si="0"/>
        <v xml:space="preserve"> </v>
      </c>
      <c r="L26" s="699">
        <f ca="1">IF($A26&lt;Startops2,0,VLOOKUP($A26,Tariff_Table,Tariff!$N$33))</f>
        <v>0</v>
      </c>
      <c r="M26" s="334">
        <f t="shared" ca="1" si="5"/>
        <v>2092866.048</v>
      </c>
      <c r="N26" s="1113">
        <f t="shared" ca="1" si="6"/>
        <v>0</v>
      </c>
      <c r="O26" s="1113">
        <f ca="1">IF($A26&gt;Endyr,0,VLOOKUP($A26,Tariff_Table,Tariff!$O$33))</f>
        <v>3255.63789</v>
      </c>
      <c r="P26" s="113">
        <f ca="1">VLOOKUP($A26,Curves_Table,Escalation!$AP$291)</f>
        <v>1.1321906668383659</v>
      </c>
      <c r="Q26" s="328">
        <f t="shared" ca="1" si="7"/>
        <v>3686.0028336633504</v>
      </c>
      <c r="R26" s="692" t="str">
        <f t="shared" ca="1" si="1"/>
        <v xml:space="preserve"> </v>
      </c>
    </row>
    <row r="27" spans="1:18">
      <c r="A27" s="672">
        <f>'Annex 12-Gas'!A27</f>
        <v>37408</v>
      </c>
      <c r="C27" s="697">
        <f ca="1">IF($A27&gt;Endyr,0,VLOOKUP($A27,Tariff_Table,Tariff!$L$33))</f>
        <v>1.21</v>
      </c>
      <c r="D27" s="113">
        <f ca="1">VLOOKUP($A27,Curves_Table,Escalation!$AL$291)</f>
        <v>1.1274530123259379</v>
      </c>
      <c r="E27" s="333">
        <f t="shared" ca="1" si="2"/>
        <v>1.3642181449143849</v>
      </c>
      <c r="F27" s="331">
        <f ca="1">IF($A27&gt;Endyr,0,VLOOKUP($A27,Tariff_Table,Tariff!$M$33))</f>
        <v>0.25</v>
      </c>
      <c r="G27" s="333">
        <f t="shared" ca="1" si="3"/>
        <v>1.6142181449143849</v>
      </c>
      <c r="H27" s="334">
        <f ca="1">VLOOKUP($A27,Plant_Table,'Plant Operations'!$T$270)</f>
        <v>2025354.24</v>
      </c>
      <c r="I27" s="335">
        <f t="shared" ca="1" si="4"/>
        <v>3269.363564087284</v>
      </c>
      <c r="J27" s="698" t="str">
        <f t="shared" ca="1" si="0"/>
        <v xml:space="preserve"> </v>
      </c>
      <c r="L27" s="699">
        <f ca="1">IF($A27&lt;Startops2,0,VLOOKUP($A27,Tariff_Table,Tariff!$N$33))</f>
        <v>0</v>
      </c>
      <c r="M27" s="334">
        <f t="shared" ca="1" si="5"/>
        <v>2025354.24</v>
      </c>
      <c r="N27" s="1113">
        <f t="shared" ca="1" si="6"/>
        <v>0</v>
      </c>
      <c r="O27" s="1113">
        <f ca="1">IF($A27&gt;Endyr,0,VLOOKUP($A27,Tariff_Table,Tariff!$O$33))</f>
        <v>3255.63789</v>
      </c>
      <c r="P27" s="113">
        <f ca="1">VLOOKUP($A27,Curves_Table,Escalation!$AP$291)</f>
        <v>1.1321906668383659</v>
      </c>
      <c r="Q27" s="328">
        <f t="shared" ca="1" si="7"/>
        <v>3686.0028336633504</v>
      </c>
      <c r="R27" s="692" t="str">
        <f t="shared" ca="1" si="1"/>
        <v xml:space="preserve"> </v>
      </c>
    </row>
    <row r="28" spans="1:18">
      <c r="A28" s="672">
        <f>'Annex 12-Gas'!A28</f>
        <v>37438</v>
      </c>
      <c r="C28" s="697">
        <f ca="1">IF($A28&gt;Endyr,0,VLOOKUP($A28,Tariff_Table,Tariff!$L$33))</f>
        <v>1.21</v>
      </c>
      <c r="D28" s="113">
        <f ca="1">VLOOKUP($A28,Curves_Table,Escalation!$AL$291)</f>
        <v>1.1274530123259379</v>
      </c>
      <c r="E28" s="333">
        <f t="shared" ca="1" si="2"/>
        <v>1.3642181449143849</v>
      </c>
      <c r="F28" s="331">
        <f ca="1">IF($A28&gt;Endyr,0,VLOOKUP($A28,Tariff_Table,Tariff!$M$33))</f>
        <v>0.25</v>
      </c>
      <c r="G28" s="333">
        <f t="shared" ca="1" si="3"/>
        <v>1.6142181449143849</v>
      </c>
      <c r="H28" s="334">
        <f ca="1">VLOOKUP($A28,Plant_Table,'Plant Operations'!$T$270)</f>
        <v>2092866.048</v>
      </c>
      <c r="I28" s="335">
        <f t="shared" ca="1" si="4"/>
        <v>3378.34234955686</v>
      </c>
      <c r="J28" s="698" t="str">
        <f t="shared" ca="1" si="0"/>
        <v xml:space="preserve"> </v>
      </c>
      <c r="L28" s="699">
        <f ca="1">IF($A28&lt;Startops2,0,VLOOKUP($A28,Tariff_Table,Tariff!$N$33))</f>
        <v>0</v>
      </c>
      <c r="M28" s="334">
        <f t="shared" ca="1" si="5"/>
        <v>2092866.048</v>
      </c>
      <c r="N28" s="1113">
        <f t="shared" ca="1" si="6"/>
        <v>0</v>
      </c>
      <c r="O28" s="1113">
        <f ca="1">IF($A28&gt;Endyr,0,VLOOKUP($A28,Tariff_Table,Tariff!$O$33))</f>
        <v>3255.63789</v>
      </c>
      <c r="P28" s="113">
        <f ca="1">VLOOKUP($A28,Curves_Table,Escalation!$AP$291)</f>
        <v>1.1321906668383659</v>
      </c>
      <c r="Q28" s="328">
        <f t="shared" ca="1" si="7"/>
        <v>3686.0028336633504</v>
      </c>
      <c r="R28" s="692" t="str">
        <f t="shared" ca="1" si="1"/>
        <v xml:space="preserve"> </v>
      </c>
    </row>
    <row r="29" spans="1:18">
      <c r="A29" s="672">
        <f>'Annex 12-Gas'!A29</f>
        <v>37469</v>
      </c>
      <c r="C29" s="697">
        <f ca="1">IF($A29&gt;Endyr,0,VLOOKUP($A29,Tariff_Table,Tariff!$L$33))</f>
        <v>1.21</v>
      </c>
      <c r="D29" s="113">
        <f ca="1">VLOOKUP($A29,Curves_Table,Escalation!$AL$291)</f>
        <v>1.1274530123259379</v>
      </c>
      <c r="E29" s="333">
        <f t="shared" ca="1" si="2"/>
        <v>1.3642181449143849</v>
      </c>
      <c r="F29" s="331">
        <f ca="1">IF($A29&gt;Endyr,0,VLOOKUP($A29,Tariff_Table,Tariff!$M$33))</f>
        <v>0.25</v>
      </c>
      <c r="G29" s="333">
        <f t="shared" ca="1" si="3"/>
        <v>1.6142181449143849</v>
      </c>
      <c r="H29" s="334">
        <f ca="1">VLOOKUP($A29,Plant_Table,'Plant Operations'!$T$270)</f>
        <v>2092866.048</v>
      </c>
      <c r="I29" s="335">
        <f t="shared" ca="1" si="4"/>
        <v>3378.34234955686</v>
      </c>
      <c r="J29" s="698" t="str">
        <f t="shared" ca="1" si="0"/>
        <v xml:space="preserve"> </v>
      </c>
      <c r="L29" s="699">
        <f ca="1">IF($A29&lt;Startops2,0,VLOOKUP($A29,Tariff_Table,Tariff!$N$33))</f>
        <v>0</v>
      </c>
      <c r="M29" s="334">
        <f t="shared" ca="1" si="5"/>
        <v>2092866.048</v>
      </c>
      <c r="N29" s="1113">
        <f t="shared" ca="1" si="6"/>
        <v>0</v>
      </c>
      <c r="O29" s="1113">
        <f ca="1">IF($A29&gt;Endyr,0,VLOOKUP($A29,Tariff_Table,Tariff!$O$33))</f>
        <v>3255.63789</v>
      </c>
      <c r="P29" s="113">
        <f ca="1">VLOOKUP($A29,Curves_Table,Escalation!$AP$291)</f>
        <v>1.1321906668383659</v>
      </c>
      <c r="Q29" s="328">
        <f t="shared" ca="1" si="7"/>
        <v>3686.0028336633504</v>
      </c>
      <c r="R29" s="692" t="str">
        <f t="shared" ca="1" si="1"/>
        <v xml:space="preserve"> </v>
      </c>
    </row>
    <row r="30" spans="1:18">
      <c r="A30" s="672">
        <f>'Annex 12-Gas'!A30</f>
        <v>37500</v>
      </c>
      <c r="C30" s="697">
        <f ca="1">IF($A30&gt;Endyr,0,VLOOKUP($A30,Tariff_Table,Tariff!$L$33))</f>
        <v>1.21</v>
      </c>
      <c r="D30" s="113">
        <f ca="1">VLOOKUP($A30,Curves_Table,Escalation!$AL$291)</f>
        <v>1.1274530123259379</v>
      </c>
      <c r="E30" s="333">
        <f t="shared" ca="1" si="2"/>
        <v>1.3642181449143849</v>
      </c>
      <c r="F30" s="331">
        <f ca="1">IF($A30&gt;Endyr,0,VLOOKUP($A30,Tariff_Table,Tariff!$M$33))</f>
        <v>0.25</v>
      </c>
      <c r="G30" s="333">
        <f t="shared" ca="1" si="3"/>
        <v>1.6142181449143849</v>
      </c>
      <c r="H30" s="334">
        <f ca="1">VLOOKUP($A30,Plant_Table,'Plant Operations'!$T$270)</f>
        <v>2025354.24</v>
      </c>
      <c r="I30" s="335">
        <f t="shared" ca="1" si="4"/>
        <v>3269.363564087284</v>
      </c>
      <c r="J30" s="698" t="str">
        <f t="shared" ca="1" si="0"/>
        <v xml:space="preserve"> </v>
      </c>
      <c r="L30" s="699">
        <f ca="1">IF($A30&lt;Startops2,0,VLOOKUP($A30,Tariff_Table,Tariff!$N$33))</f>
        <v>0</v>
      </c>
      <c r="M30" s="334">
        <f t="shared" ca="1" si="5"/>
        <v>2025354.24</v>
      </c>
      <c r="N30" s="1113">
        <f t="shared" ca="1" si="6"/>
        <v>0</v>
      </c>
      <c r="O30" s="1113">
        <f ca="1">IF($A30&gt;Endyr,0,VLOOKUP($A30,Tariff_Table,Tariff!$O$33))</f>
        <v>3255.63789</v>
      </c>
      <c r="P30" s="113">
        <f ca="1">VLOOKUP($A30,Curves_Table,Escalation!$AP$291)</f>
        <v>1.1321906668383659</v>
      </c>
      <c r="Q30" s="328">
        <f t="shared" ca="1" si="7"/>
        <v>3686.0028336633504</v>
      </c>
      <c r="R30" s="692" t="str">
        <f t="shared" ca="1" si="1"/>
        <v xml:space="preserve"> </v>
      </c>
    </row>
    <row r="31" spans="1:18">
      <c r="A31" s="672">
        <f>'Annex 12-Gas'!A31</f>
        <v>37530</v>
      </c>
      <c r="C31" s="697">
        <f ca="1">IF($A31&gt;Endyr,0,VLOOKUP($A31,Tariff_Table,Tariff!$L$33))</f>
        <v>1.21</v>
      </c>
      <c r="D31" s="113">
        <f ca="1">VLOOKUP($A31,Curves_Table,Escalation!$AL$291)</f>
        <v>1.1274530123259379</v>
      </c>
      <c r="E31" s="333">
        <f t="shared" ca="1" si="2"/>
        <v>1.3642181449143849</v>
      </c>
      <c r="F31" s="331">
        <f ca="1">IF($A31&gt;Endyr,0,VLOOKUP($A31,Tariff_Table,Tariff!$M$33))</f>
        <v>0.25</v>
      </c>
      <c r="G31" s="333">
        <f t="shared" ca="1" si="3"/>
        <v>1.6142181449143849</v>
      </c>
      <c r="H31" s="334">
        <f ca="1">VLOOKUP($A31,Plant_Table,'Plant Operations'!$T$270)</f>
        <v>2092866.048</v>
      </c>
      <c r="I31" s="335">
        <f t="shared" ca="1" si="4"/>
        <v>3378.34234955686</v>
      </c>
      <c r="J31" s="698" t="str">
        <f t="shared" ca="1" si="0"/>
        <v xml:space="preserve"> </v>
      </c>
      <c r="L31" s="699">
        <f ca="1">IF($A31&lt;Startops2,0,VLOOKUP($A31,Tariff_Table,Tariff!$N$33))</f>
        <v>0</v>
      </c>
      <c r="M31" s="334">
        <f t="shared" ca="1" si="5"/>
        <v>2092866.048</v>
      </c>
      <c r="N31" s="1113">
        <f t="shared" ca="1" si="6"/>
        <v>0</v>
      </c>
      <c r="O31" s="1113">
        <f ca="1">IF($A31&gt;Endyr,0,VLOOKUP($A31,Tariff_Table,Tariff!$O$33))</f>
        <v>3255.63789</v>
      </c>
      <c r="P31" s="113">
        <f ca="1">VLOOKUP($A31,Curves_Table,Escalation!$AP$291)</f>
        <v>1.1321906668383659</v>
      </c>
      <c r="Q31" s="328">
        <f t="shared" ca="1" si="7"/>
        <v>3686.0028336633504</v>
      </c>
      <c r="R31" s="692" t="str">
        <f t="shared" ca="1" si="1"/>
        <v xml:space="preserve"> </v>
      </c>
    </row>
    <row r="32" spans="1:18">
      <c r="A32" s="672">
        <f>'Annex 12-Gas'!A32</f>
        <v>37561</v>
      </c>
      <c r="C32" s="697">
        <f ca="1">IF($A32&gt;Endyr,0,VLOOKUP($A32,Tariff_Table,Tariff!$L$33))</f>
        <v>1.21</v>
      </c>
      <c r="D32" s="113">
        <f ca="1">VLOOKUP($A32,Curves_Table,Escalation!$AL$291)</f>
        <v>1.1274530123259379</v>
      </c>
      <c r="E32" s="333">
        <f t="shared" ca="1" si="2"/>
        <v>1.3642181449143849</v>
      </c>
      <c r="F32" s="331">
        <f ca="1">IF($A32&gt;Endyr,0,VLOOKUP($A32,Tariff_Table,Tariff!$M$33))</f>
        <v>0.25</v>
      </c>
      <c r="G32" s="333">
        <f t="shared" ca="1" si="3"/>
        <v>1.6142181449143849</v>
      </c>
      <c r="H32" s="334">
        <f ca="1">VLOOKUP($A32,Plant_Table,'Plant Operations'!$T$270)</f>
        <v>2025354.24</v>
      </c>
      <c r="I32" s="335">
        <f t="shared" ca="1" si="4"/>
        <v>3269.363564087284</v>
      </c>
      <c r="J32" s="698" t="str">
        <f t="shared" ca="1" si="0"/>
        <v xml:space="preserve"> </v>
      </c>
      <c r="L32" s="699">
        <f ca="1">IF($A32&lt;Startops2,0,VLOOKUP($A32,Tariff_Table,Tariff!$N$33))</f>
        <v>0</v>
      </c>
      <c r="M32" s="334">
        <f t="shared" ca="1" si="5"/>
        <v>2025354.24</v>
      </c>
      <c r="N32" s="1113">
        <f t="shared" ca="1" si="6"/>
        <v>0</v>
      </c>
      <c r="O32" s="1113">
        <f ca="1">IF($A32&gt;Endyr,0,VLOOKUP($A32,Tariff_Table,Tariff!$O$33))</f>
        <v>3255.63789</v>
      </c>
      <c r="P32" s="113">
        <f ca="1">VLOOKUP($A32,Curves_Table,Escalation!$AP$291)</f>
        <v>1.1321906668383659</v>
      </c>
      <c r="Q32" s="328">
        <f t="shared" ca="1" si="7"/>
        <v>3686.0028336633504</v>
      </c>
      <c r="R32" s="692" t="str">
        <f t="shared" ca="1" si="1"/>
        <v xml:space="preserve"> </v>
      </c>
    </row>
    <row r="33" spans="1:18">
      <c r="A33" s="672">
        <f>'Annex 12-Gas'!A33</f>
        <v>37591</v>
      </c>
      <c r="C33" s="697">
        <f ca="1">IF($A33&gt;Endyr,0,VLOOKUP($A33,Tariff_Table,Tariff!$L$33))</f>
        <v>1.21</v>
      </c>
      <c r="D33" s="113">
        <f ca="1">VLOOKUP($A33,Curves_Table,Escalation!$AL$291)</f>
        <v>1.1274530123259379</v>
      </c>
      <c r="E33" s="333">
        <f t="shared" ca="1" si="2"/>
        <v>1.3642181449143849</v>
      </c>
      <c r="F33" s="331">
        <f ca="1">IF($A33&gt;Endyr,0,VLOOKUP($A33,Tariff_Table,Tariff!$M$33))</f>
        <v>0.25</v>
      </c>
      <c r="G33" s="333">
        <f t="shared" ca="1" si="3"/>
        <v>1.6142181449143849</v>
      </c>
      <c r="H33" s="334">
        <f ca="1">VLOOKUP($A33,Plant_Table,'Plant Operations'!$T$270)</f>
        <v>2092866.048</v>
      </c>
      <c r="I33" s="335">
        <f t="shared" ca="1" si="4"/>
        <v>3378.34234955686</v>
      </c>
      <c r="J33" s="698">
        <f t="shared" ca="1" si="0"/>
        <v>39461.510170493224</v>
      </c>
      <c r="L33" s="699">
        <f ca="1">IF($A33&lt;Startops2,0,VLOOKUP($A33,Tariff_Table,Tariff!$N$33))</f>
        <v>0</v>
      </c>
      <c r="M33" s="334">
        <f t="shared" ca="1" si="5"/>
        <v>2092866.048</v>
      </c>
      <c r="N33" s="1113">
        <f t="shared" ca="1" si="6"/>
        <v>0</v>
      </c>
      <c r="O33" s="1113">
        <f ca="1">IF($A33&gt;Endyr,0,VLOOKUP($A33,Tariff_Table,Tariff!$O$33))</f>
        <v>3255.63789</v>
      </c>
      <c r="P33" s="113">
        <f ca="1">VLOOKUP($A33,Curves_Table,Escalation!$AP$291)</f>
        <v>1.1321906668383659</v>
      </c>
      <c r="Q33" s="328">
        <f t="shared" ca="1" si="7"/>
        <v>3686.0028336633504</v>
      </c>
      <c r="R33" s="692">
        <f t="shared" ca="1" si="1"/>
        <v>43789.99746682329</v>
      </c>
    </row>
    <row r="34" spans="1:18">
      <c r="A34" s="672">
        <f>'Annex 12-Gas'!A34</f>
        <v>37622</v>
      </c>
      <c r="C34" s="697">
        <f ca="1">IF($A34&gt;Endyr,0,VLOOKUP($A34,Tariff_Table,Tariff!$L$33))</f>
        <v>1.21</v>
      </c>
      <c r="D34" s="113">
        <f ca="1">VLOOKUP($A34,Curves_Table,Escalation!$AL$291)</f>
        <v>1.1274530123259379</v>
      </c>
      <c r="E34" s="333">
        <f t="shared" ca="1" si="2"/>
        <v>1.3642181449143849</v>
      </c>
      <c r="F34" s="331">
        <f ca="1">IF($A34&gt;Endyr,0,VLOOKUP($A34,Tariff_Table,Tariff!$M$33))</f>
        <v>0.25</v>
      </c>
      <c r="G34" s="333">
        <f t="shared" ca="1" si="3"/>
        <v>1.6142181449143849</v>
      </c>
      <c r="H34" s="334">
        <f ca="1">VLOOKUP($A34,Plant_Table,'Plant Operations'!$T$270)</f>
        <v>2092866.048</v>
      </c>
      <c r="I34" s="335">
        <f t="shared" ca="1" si="4"/>
        <v>3378.34234955686</v>
      </c>
      <c r="J34" s="698" t="str">
        <f t="shared" ca="1" si="0"/>
        <v xml:space="preserve"> </v>
      </c>
      <c r="L34" s="699">
        <f ca="1">IF($A34&lt;Startops2,0,VLOOKUP($A34,Tariff_Table,Tariff!$N$33))</f>
        <v>0</v>
      </c>
      <c r="M34" s="334">
        <f t="shared" ca="1" si="5"/>
        <v>2092866.048</v>
      </c>
      <c r="N34" s="1113">
        <f t="shared" ca="1" si="6"/>
        <v>0</v>
      </c>
      <c r="O34" s="1113">
        <f ca="1">IF($A34&gt;Endyr,0,VLOOKUP($A34,Tariff_Table,Tariff!$O$33))</f>
        <v>3255.63789</v>
      </c>
      <c r="P34" s="113">
        <f ca="1">VLOOKUP($A34,Curves_Table,Escalation!$AP$291)</f>
        <v>1.1321906668383659</v>
      </c>
      <c r="Q34" s="328">
        <f t="shared" ca="1" si="7"/>
        <v>3686.0028336633504</v>
      </c>
      <c r="R34" s="692" t="str">
        <f t="shared" ca="1" si="1"/>
        <v xml:space="preserve"> </v>
      </c>
    </row>
    <row r="35" spans="1:18">
      <c r="A35" s="672">
        <f>'Annex 12-Gas'!A35</f>
        <v>37653</v>
      </c>
      <c r="C35" s="697">
        <f ca="1">IF($A35&gt;Endyr,0,VLOOKUP($A35,Tariff_Table,Tariff!$L$33))</f>
        <v>1.21</v>
      </c>
      <c r="D35" s="113">
        <f ca="1">VLOOKUP($A35,Curves_Table,Escalation!$AL$291)</f>
        <v>1.1274530123259379</v>
      </c>
      <c r="E35" s="333">
        <f t="shared" ca="1" si="2"/>
        <v>1.3642181449143849</v>
      </c>
      <c r="F35" s="331">
        <f ca="1">IF($A35&gt;Endyr,0,VLOOKUP($A35,Tariff_Table,Tariff!$M$33))</f>
        <v>0.25</v>
      </c>
      <c r="G35" s="333">
        <f t="shared" ca="1" si="3"/>
        <v>1.6142181449143849</v>
      </c>
      <c r="H35" s="334">
        <f ca="1">VLOOKUP($A35,Plant_Table,'Plant Operations'!$T$270)</f>
        <v>1890330.6240000003</v>
      </c>
      <c r="I35" s="335">
        <f t="shared" ca="1" si="4"/>
        <v>3051.4059931481324</v>
      </c>
      <c r="J35" s="698" t="str">
        <f t="shared" ca="1" si="0"/>
        <v xml:space="preserve"> </v>
      </c>
      <c r="L35" s="699">
        <f ca="1">IF($A35&lt;Startops2,0,VLOOKUP($A35,Tariff_Table,Tariff!$N$33))</f>
        <v>0</v>
      </c>
      <c r="M35" s="334">
        <f t="shared" ca="1" si="5"/>
        <v>1890330.6240000003</v>
      </c>
      <c r="N35" s="1113">
        <f t="shared" ca="1" si="6"/>
        <v>0</v>
      </c>
      <c r="O35" s="1113">
        <f ca="1">IF($A35&gt;Endyr,0,VLOOKUP($A35,Tariff_Table,Tariff!$O$33))</f>
        <v>3255.63789</v>
      </c>
      <c r="P35" s="113">
        <f ca="1">VLOOKUP($A35,Curves_Table,Escalation!$AP$291)</f>
        <v>1.1321906668383659</v>
      </c>
      <c r="Q35" s="328">
        <f t="shared" ca="1" si="7"/>
        <v>3686.0028336633504</v>
      </c>
      <c r="R35" s="692" t="str">
        <f t="shared" ca="1" si="1"/>
        <v xml:space="preserve"> </v>
      </c>
    </row>
    <row r="36" spans="1:18">
      <c r="A36" s="672">
        <f>'Annex 12-Gas'!A36</f>
        <v>37681</v>
      </c>
      <c r="C36" s="697">
        <f ca="1">IF($A36&gt;Endyr,0,VLOOKUP($A36,Tariff_Table,Tariff!$L$33))</f>
        <v>1.21</v>
      </c>
      <c r="D36" s="113">
        <f ca="1">VLOOKUP($A36,Curves_Table,Escalation!$AL$291)</f>
        <v>1.1274530123259379</v>
      </c>
      <c r="E36" s="333">
        <f t="shared" ca="1" si="2"/>
        <v>1.3642181449143849</v>
      </c>
      <c r="F36" s="331">
        <f ca="1">IF($A36&gt;Endyr,0,VLOOKUP($A36,Tariff_Table,Tariff!$M$33))</f>
        <v>0.25</v>
      </c>
      <c r="G36" s="333">
        <f t="shared" ca="1" si="3"/>
        <v>1.6142181449143849</v>
      </c>
      <c r="H36" s="334">
        <f ca="1">VLOOKUP($A36,Plant_Table,'Plant Operations'!$T$270)</f>
        <v>2092866.048</v>
      </c>
      <c r="I36" s="335">
        <f t="shared" ca="1" si="4"/>
        <v>3378.34234955686</v>
      </c>
      <c r="J36" s="698" t="str">
        <f t="shared" ca="1" si="0"/>
        <v xml:space="preserve"> </v>
      </c>
      <c r="L36" s="699">
        <f ca="1">IF($A36&lt;Startops2,0,VLOOKUP($A36,Tariff_Table,Tariff!$N$33))</f>
        <v>0</v>
      </c>
      <c r="M36" s="334">
        <f t="shared" ca="1" si="5"/>
        <v>2092866.048</v>
      </c>
      <c r="N36" s="1113">
        <f t="shared" ca="1" si="6"/>
        <v>0</v>
      </c>
      <c r="O36" s="1113">
        <f ca="1">IF($A36&gt;Endyr,0,VLOOKUP($A36,Tariff_Table,Tariff!$O$33))</f>
        <v>3255.63789</v>
      </c>
      <c r="P36" s="113">
        <f ca="1">VLOOKUP($A36,Curves_Table,Escalation!$AP$291)</f>
        <v>1.1321906668383659</v>
      </c>
      <c r="Q36" s="328">
        <f t="shared" ca="1" si="7"/>
        <v>3686.0028336633504</v>
      </c>
      <c r="R36" s="692" t="str">
        <f t="shared" ca="1" si="1"/>
        <v xml:space="preserve"> </v>
      </c>
    </row>
    <row r="37" spans="1:18">
      <c r="A37" s="672">
        <f>'Annex 12-Gas'!A37</f>
        <v>37712</v>
      </c>
      <c r="C37" s="697">
        <f ca="1">IF($A37&gt;Endyr,0,VLOOKUP($A37,Tariff_Table,Tariff!$L$33))</f>
        <v>1.21</v>
      </c>
      <c r="D37" s="113">
        <f ca="1">VLOOKUP($A37,Curves_Table,Escalation!$AL$291)</f>
        <v>1.1274530123259379</v>
      </c>
      <c r="E37" s="333">
        <f t="shared" ca="1" si="2"/>
        <v>1.3642181449143849</v>
      </c>
      <c r="F37" s="331">
        <f ca="1">IF($A37&gt;Endyr,0,VLOOKUP($A37,Tariff_Table,Tariff!$M$33))</f>
        <v>0.25</v>
      </c>
      <c r="G37" s="333">
        <f t="shared" ca="1" si="3"/>
        <v>1.6142181449143849</v>
      </c>
      <c r="H37" s="334">
        <f ca="1">VLOOKUP($A37,Plant_Table,'Plant Operations'!$T$270)</f>
        <v>2025354.24</v>
      </c>
      <c r="I37" s="335">
        <f t="shared" ca="1" si="4"/>
        <v>3269.363564087284</v>
      </c>
      <c r="J37" s="698" t="str">
        <f t="shared" ca="1" si="0"/>
        <v xml:space="preserve"> </v>
      </c>
      <c r="L37" s="699">
        <f ca="1">IF($A37&lt;Startops2,0,VLOOKUP($A37,Tariff_Table,Tariff!$N$33))</f>
        <v>0</v>
      </c>
      <c r="M37" s="334">
        <f t="shared" ca="1" si="5"/>
        <v>2025354.24</v>
      </c>
      <c r="N37" s="1113">
        <f t="shared" ca="1" si="6"/>
        <v>0</v>
      </c>
      <c r="O37" s="1113">
        <f ca="1">IF($A37&gt;Endyr,0,VLOOKUP($A37,Tariff_Table,Tariff!$O$33))</f>
        <v>3255.63789</v>
      </c>
      <c r="P37" s="113">
        <f ca="1">VLOOKUP($A37,Curves_Table,Escalation!$AP$291)</f>
        <v>1.1321906668383659</v>
      </c>
      <c r="Q37" s="328">
        <f t="shared" ca="1" si="7"/>
        <v>3686.0028336633504</v>
      </c>
      <c r="R37" s="692" t="str">
        <f t="shared" ca="1" si="1"/>
        <v xml:space="preserve"> </v>
      </c>
    </row>
    <row r="38" spans="1:18">
      <c r="A38" s="672">
        <f>'Annex 12-Gas'!A38</f>
        <v>37742</v>
      </c>
      <c r="C38" s="697">
        <f ca="1">IF($A38&gt;Endyr,0,VLOOKUP($A38,Tariff_Table,Tariff!$L$33))</f>
        <v>1.21</v>
      </c>
      <c r="D38" s="113">
        <f ca="1">VLOOKUP($A38,Curves_Table,Escalation!$AL$291)</f>
        <v>1.1585880825058716</v>
      </c>
      <c r="E38" s="333">
        <f t="shared" ca="1" si="2"/>
        <v>1.4018915798321046</v>
      </c>
      <c r="F38" s="331">
        <f ca="1">IF($A38&gt;Endyr,0,VLOOKUP($A38,Tariff_Table,Tariff!$M$33))</f>
        <v>0.25</v>
      </c>
      <c r="G38" s="333">
        <f t="shared" ca="1" si="3"/>
        <v>1.6518915798321046</v>
      </c>
      <c r="H38" s="334">
        <f ca="1">VLOOKUP($A38,Plant_Table,'Plant Operations'!$T$270)</f>
        <v>2092866.048</v>
      </c>
      <c r="I38" s="335">
        <f t="shared" ca="1" si="4"/>
        <v>3457.1878024076932</v>
      </c>
      <c r="J38" s="698" t="str">
        <f t="shared" ca="1" si="0"/>
        <v xml:space="preserve"> </v>
      </c>
      <c r="L38" s="699">
        <f ca="1">IF($A38&lt;Startops2,0,VLOOKUP($A38,Tariff_Table,Tariff!$N$33))</f>
        <v>0</v>
      </c>
      <c r="M38" s="334">
        <f t="shared" ca="1" si="5"/>
        <v>2092866.048</v>
      </c>
      <c r="N38" s="1113">
        <f t="shared" ca="1" si="6"/>
        <v>0</v>
      </c>
      <c r="O38" s="1113">
        <f ca="1">IF($A38&gt;Endyr,0,VLOOKUP($A38,Tariff_Table,Tariff!$O$33))</f>
        <v>3259.1565099999998</v>
      </c>
      <c r="P38" s="113">
        <f ca="1">VLOOKUP($A38,Curves_Table,Escalation!$AP$291)</f>
        <v>1.166287045927733</v>
      </c>
      <c r="Q38" s="328">
        <f t="shared" ca="1" si="7"/>
        <v>3801.1120182640398</v>
      </c>
      <c r="R38" s="692" t="str">
        <f t="shared" ca="1" si="1"/>
        <v xml:space="preserve"> </v>
      </c>
    </row>
    <row r="39" spans="1:18">
      <c r="A39" s="672">
        <f>'Annex 12-Gas'!A39</f>
        <v>37773</v>
      </c>
      <c r="C39" s="697">
        <f ca="1">IF($A39&gt;Endyr,0,VLOOKUP($A39,Tariff_Table,Tariff!$L$33))</f>
        <v>1.21</v>
      </c>
      <c r="D39" s="113">
        <f ca="1">VLOOKUP($A39,Curves_Table,Escalation!$AL$291)</f>
        <v>1.1585880825058716</v>
      </c>
      <c r="E39" s="333">
        <f t="shared" ca="1" si="2"/>
        <v>1.4018915798321046</v>
      </c>
      <c r="F39" s="331">
        <f ca="1">IF($A39&gt;Endyr,0,VLOOKUP($A39,Tariff_Table,Tariff!$M$33))</f>
        <v>0.25</v>
      </c>
      <c r="G39" s="333">
        <f t="shared" ca="1" si="3"/>
        <v>1.6518915798321046</v>
      </c>
      <c r="H39" s="334">
        <f ca="1">VLOOKUP($A39,Plant_Table,'Plant Operations'!$T$270)</f>
        <v>2025354.24</v>
      </c>
      <c r="I39" s="335">
        <f t="shared" ca="1" si="4"/>
        <v>3345.6656152332512</v>
      </c>
      <c r="J39" s="698" t="str">
        <f t="shared" ca="1" si="0"/>
        <v xml:space="preserve"> </v>
      </c>
      <c r="L39" s="699">
        <f ca="1">IF($A39&lt;Startops2,0,VLOOKUP($A39,Tariff_Table,Tariff!$N$33))</f>
        <v>0</v>
      </c>
      <c r="M39" s="334">
        <f t="shared" ca="1" si="5"/>
        <v>2025354.24</v>
      </c>
      <c r="N39" s="1113">
        <f t="shared" ca="1" si="6"/>
        <v>0</v>
      </c>
      <c r="O39" s="1113">
        <f ca="1">IF($A39&gt;Endyr,0,VLOOKUP($A39,Tariff_Table,Tariff!$O$33))</f>
        <v>3259.1565099999998</v>
      </c>
      <c r="P39" s="113">
        <f ca="1">VLOOKUP($A39,Curves_Table,Escalation!$AP$291)</f>
        <v>1.166287045927733</v>
      </c>
      <c r="Q39" s="328">
        <f t="shared" ca="1" si="7"/>
        <v>3801.1120182640398</v>
      </c>
      <c r="R39" s="692" t="str">
        <f t="shared" ca="1" si="1"/>
        <v xml:space="preserve"> </v>
      </c>
    </row>
    <row r="40" spans="1:18">
      <c r="A40" s="672">
        <f>'Annex 12-Gas'!A40</f>
        <v>37803</v>
      </c>
      <c r="C40" s="697">
        <f ca="1">IF($A40&gt;Endyr,0,VLOOKUP($A40,Tariff_Table,Tariff!$L$33))</f>
        <v>1.21</v>
      </c>
      <c r="D40" s="113">
        <f ca="1">VLOOKUP($A40,Curves_Table,Escalation!$AL$291)</f>
        <v>1.1585880825058716</v>
      </c>
      <c r="E40" s="333">
        <f t="shared" ca="1" si="2"/>
        <v>1.4018915798321046</v>
      </c>
      <c r="F40" s="331">
        <f ca="1">IF($A40&gt;Endyr,0,VLOOKUP($A40,Tariff_Table,Tariff!$M$33))</f>
        <v>0.25</v>
      </c>
      <c r="G40" s="333">
        <f t="shared" ca="1" si="3"/>
        <v>1.6518915798321046</v>
      </c>
      <c r="H40" s="334">
        <f ca="1">VLOOKUP($A40,Plant_Table,'Plant Operations'!$T$270)</f>
        <v>2092866.048</v>
      </c>
      <c r="I40" s="335">
        <f t="shared" ca="1" si="4"/>
        <v>3457.1878024076932</v>
      </c>
      <c r="J40" s="698" t="str">
        <f t="shared" ca="1" si="0"/>
        <v xml:space="preserve"> </v>
      </c>
      <c r="L40" s="699">
        <f ca="1">IF($A40&lt;Startops2,0,VLOOKUP($A40,Tariff_Table,Tariff!$N$33))</f>
        <v>0</v>
      </c>
      <c r="M40" s="334">
        <f t="shared" ca="1" si="5"/>
        <v>2092866.048</v>
      </c>
      <c r="N40" s="1113">
        <f t="shared" ca="1" si="6"/>
        <v>0</v>
      </c>
      <c r="O40" s="1113">
        <f ca="1">IF($A40&gt;Endyr,0,VLOOKUP($A40,Tariff_Table,Tariff!$O$33))</f>
        <v>3259.1565099999998</v>
      </c>
      <c r="P40" s="113">
        <f ca="1">VLOOKUP($A40,Curves_Table,Escalation!$AP$291)</f>
        <v>1.166287045927733</v>
      </c>
      <c r="Q40" s="328">
        <f t="shared" ca="1" si="7"/>
        <v>3801.1120182640398</v>
      </c>
      <c r="R40" s="692" t="str">
        <f t="shared" ca="1" si="1"/>
        <v xml:space="preserve"> </v>
      </c>
    </row>
    <row r="41" spans="1:18">
      <c r="A41" s="672">
        <f>'Annex 12-Gas'!A41</f>
        <v>37834</v>
      </c>
      <c r="C41" s="697">
        <f ca="1">IF($A41&gt;Endyr,0,VLOOKUP($A41,Tariff_Table,Tariff!$L$33))</f>
        <v>1.21</v>
      </c>
      <c r="D41" s="113">
        <f ca="1">VLOOKUP($A41,Curves_Table,Escalation!$AL$291)</f>
        <v>1.1585880825058716</v>
      </c>
      <c r="E41" s="333">
        <f t="shared" ca="1" si="2"/>
        <v>1.4018915798321046</v>
      </c>
      <c r="F41" s="331">
        <f ca="1">IF($A41&gt;Endyr,0,VLOOKUP($A41,Tariff_Table,Tariff!$M$33))</f>
        <v>0.25</v>
      </c>
      <c r="G41" s="333">
        <f t="shared" ca="1" si="3"/>
        <v>1.6518915798321046</v>
      </c>
      <c r="H41" s="334">
        <f ca="1">VLOOKUP($A41,Plant_Table,'Plant Operations'!$T$270)</f>
        <v>2092866.048</v>
      </c>
      <c r="I41" s="335">
        <f t="shared" ca="1" si="4"/>
        <v>3457.1878024076932</v>
      </c>
      <c r="J41" s="698" t="str">
        <f t="shared" ca="1" si="0"/>
        <v xml:space="preserve"> </v>
      </c>
      <c r="L41" s="699">
        <f ca="1">IF($A41&lt;Startops2,0,VLOOKUP($A41,Tariff_Table,Tariff!$N$33))</f>
        <v>0</v>
      </c>
      <c r="M41" s="334">
        <f t="shared" ca="1" si="5"/>
        <v>2092866.048</v>
      </c>
      <c r="N41" s="1113">
        <f t="shared" ca="1" si="6"/>
        <v>0</v>
      </c>
      <c r="O41" s="1113">
        <f ca="1">IF($A41&gt;Endyr,0,VLOOKUP($A41,Tariff_Table,Tariff!$O$33))</f>
        <v>3259.1565099999998</v>
      </c>
      <c r="P41" s="113">
        <f ca="1">VLOOKUP($A41,Curves_Table,Escalation!$AP$291)</f>
        <v>1.166287045927733</v>
      </c>
      <c r="Q41" s="328">
        <f t="shared" ca="1" si="7"/>
        <v>3801.1120182640398</v>
      </c>
      <c r="R41" s="692" t="str">
        <f t="shared" ca="1" si="1"/>
        <v xml:space="preserve"> </v>
      </c>
    </row>
    <row r="42" spans="1:18">
      <c r="A42" s="672">
        <f>'Annex 12-Gas'!A42</f>
        <v>37865</v>
      </c>
      <c r="C42" s="697">
        <f ca="1">IF($A42&gt;Endyr,0,VLOOKUP($A42,Tariff_Table,Tariff!$L$33))</f>
        <v>1.21</v>
      </c>
      <c r="D42" s="113">
        <f ca="1">VLOOKUP($A42,Curves_Table,Escalation!$AL$291)</f>
        <v>1.1585880825058716</v>
      </c>
      <c r="E42" s="333">
        <f t="shared" ca="1" si="2"/>
        <v>1.4018915798321046</v>
      </c>
      <c r="F42" s="331">
        <f ca="1">IF($A42&gt;Endyr,0,VLOOKUP($A42,Tariff_Table,Tariff!$M$33))</f>
        <v>0.25</v>
      </c>
      <c r="G42" s="333">
        <f t="shared" ca="1" si="3"/>
        <v>1.6518915798321046</v>
      </c>
      <c r="H42" s="334">
        <f ca="1">VLOOKUP($A42,Plant_Table,'Plant Operations'!$T$270)</f>
        <v>2025354.24</v>
      </c>
      <c r="I42" s="335">
        <f t="shared" ca="1" si="4"/>
        <v>3345.6656152332512</v>
      </c>
      <c r="J42" s="698" t="str">
        <f t="shared" ca="1" si="0"/>
        <v xml:space="preserve"> </v>
      </c>
      <c r="L42" s="699">
        <f ca="1">IF($A42&lt;Startops2,0,VLOOKUP($A42,Tariff_Table,Tariff!$N$33))</f>
        <v>0</v>
      </c>
      <c r="M42" s="334">
        <f t="shared" ca="1" si="5"/>
        <v>2025354.24</v>
      </c>
      <c r="N42" s="1113">
        <f t="shared" ca="1" si="6"/>
        <v>0</v>
      </c>
      <c r="O42" s="1113">
        <f ca="1">IF($A42&gt;Endyr,0,VLOOKUP($A42,Tariff_Table,Tariff!$O$33))</f>
        <v>3259.1565099999998</v>
      </c>
      <c r="P42" s="113">
        <f ca="1">VLOOKUP($A42,Curves_Table,Escalation!$AP$291)</f>
        <v>1.166287045927733</v>
      </c>
      <c r="Q42" s="328">
        <f t="shared" ca="1" si="7"/>
        <v>3801.1120182640398</v>
      </c>
      <c r="R42" s="692" t="str">
        <f t="shared" ca="1" si="1"/>
        <v xml:space="preserve"> </v>
      </c>
    </row>
    <row r="43" spans="1:18">
      <c r="A43" s="672">
        <f>'Annex 12-Gas'!A43</f>
        <v>37895</v>
      </c>
      <c r="C43" s="697">
        <f ca="1">IF($A43&gt;Endyr,0,VLOOKUP($A43,Tariff_Table,Tariff!$L$33))</f>
        <v>1.21</v>
      </c>
      <c r="D43" s="113">
        <f ca="1">VLOOKUP($A43,Curves_Table,Escalation!$AL$291)</f>
        <v>1.1585880825058716</v>
      </c>
      <c r="E43" s="333">
        <f t="shared" ca="1" si="2"/>
        <v>1.4018915798321046</v>
      </c>
      <c r="F43" s="331">
        <f ca="1">IF($A43&gt;Endyr,0,VLOOKUP($A43,Tariff_Table,Tariff!$M$33))</f>
        <v>0.25</v>
      </c>
      <c r="G43" s="333">
        <f t="shared" ca="1" si="3"/>
        <v>1.6518915798321046</v>
      </c>
      <c r="H43" s="334">
        <f ca="1">VLOOKUP($A43,Plant_Table,'Plant Operations'!$T$270)</f>
        <v>2092866.048</v>
      </c>
      <c r="I43" s="335">
        <f t="shared" ca="1" si="4"/>
        <v>3457.1878024076932</v>
      </c>
      <c r="J43" s="698" t="str">
        <f t="shared" ca="1" si="0"/>
        <v xml:space="preserve"> </v>
      </c>
      <c r="L43" s="699">
        <f ca="1">IF($A43&lt;Startops2,0,VLOOKUP($A43,Tariff_Table,Tariff!$N$33))</f>
        <v>0</v>
      </c>
      <c r="M43" s="334">
        <f t="shared" ca="1" si="5"/>
        <v>2092866.048</v>
      </c>
      <c r="N43" s="1113">
        <f t="shared" ca="1" si="6"/>
        <v>0</v>
      </c>
      <c r="O43" s="1113">
        <f ca="1">IF($A43&gt;Endyr,0,VLOOKUP($A43,Tariff_Table,Tariff!$O$33))</f>
        <v>3259.1565099999998</v>
      </c>
      <c r="P43" s="113">
        <f ca="1">VLOOKUP($A43,Curves_Table,Escalation!$AP$291)</f>
        <v>1.166287045927733</v>
      </c>
      <c r="Q43" s="328">
        <f t="shared" ca="1" si="7"/>
        <v>3801.1120182640398</v>
      </c>
      <c r="R43" s="692" t="str">
        <f t="shared" ca="1" si="1"/>
        <v xml:space="preserve"> </v>
      </c>
    </row>
    <row r="44" spans="1:18">
      <c r="A44" s="672">
        <f>'Annex 12-Gas'!A44</f>
        <v>37926</v>
      </c>
      <c r="C44" s="697">
        <f ca="1">IF($A44&gt;Endyr,0,VLOOKUP($A44,Tariff_Table,Tariff!$L$33))</f>
        <v>1.21</v>
      </c>
      <c r="D44" s="113">
        <f ca="1">VLOOKUP($A44,Curves_Table,Escalation!$AL$291)</f>
        <v>1.1585880825058716</v>
      </c>
      <c r="E44" s="333">
        <f t="shared" ca="1" si="2"/>
        <v>1.4018915798321046</v>
      </c>
      <c r="F44" s="331">
        <f ca="1">IF($A44&gt;Endyr,0,VLOOKUP($A44,Tariff_Table,Tariff!$M$33))</f>
        <v>0.25</v>
      </c>
      <c r="G44" s="333">
        <f t="shared" ca="1" si="3"/>
        <v>1.6518915798321046</v>
      </c>
      <c r="H44" s="334">
        <f ca="1">VLOOKUP($A44,Plant_Table,'Plant Operations'!$T$270)</f>
        <v>2025354.24</v>
      </c>
      <c r="I44" s="335">
        <f t="shared" ca="1" si="4"/>
        <v>3345.6656152332512</v>
      </c>
      <c r="J44" s="698" t="str">
        <f t="shared" ca="1" si="0"/>
        <v xml:space="preserve"> </v>
      </c>
      <c r="L44" s="699">
        <f ca="1">IF($A44&lt;Startops2,0,VLOOKUP($A44,Tariff_Table,Tariff!$N$33))</f>
        <v>0</v>
      </c>
      <c r="M44" s="334">
        <f t="shared" ca="1" si="5"/>
        <v>2025354.24</v>
      </c>
      <c r="N44" s="1113">
        <f t="shared" ca="1" si="6"/>
        <v>0</v>
      </c>
      <c r="O44" s="1113">
        <f ca="1">IF($A44&gt;Endyr,0,VLOOKUP($A44,Tariff_Table,Tariff!$O$33))</f>
        <v>3259.1565099999998</v>
      </c>
      <c r="P44" s="113">
        <f ca="1">VLOOKUP($A44,Curves_Table,Escalation!$AP$291)</f>
        <v>1.166287045927733</v>
      </c>
      <c r="Q44" s="328">
        <f t="shared" ca="1" si="7"/>
        <v>3801.1120182640398</v>
      </c>
      <c r="R44" s="692" t="str">
        <f t="shared" ca="1" si="1"/>
        <v xml:space="preserve"> </v>
      </c>
    </row>
    <row r="45" spans="1:18">
      <c r="A45" s="672">
        <f>'Annex 12-Gas'!A45</f>
        <v>37956</v>
      </c>
      <c r="C45" s="697">
        <f ca="1">IF($A45&gt;Endyr,0,VLOOKUP($A45,Tariff_Table,Tariff!$L$33))</f>
        <v>1.21</v>
      </c>
      <c r="D45" s="113">
        <f ca="1">VLOOKUP($A45,Curves_Table,Escalation!$AL$291)</f>
        <v>1.1585880825058716</v>
      </c>
      <c r="E45" s="333">
        <f t="shared" ca="1" si="2"/>
        <v>1.4018915798321046</v>
      </c>
      <c r="F45" s="331">
        <f ca="1">IF($A45&gt;Endyr,0,VLOOKUP($A45,Tariff_Table,Tariff!$M$33))</f>
        <v>0.25</v>
      </c>
      <c r="G45" s="333">
        <f t="shared" ca="1" si="3"/>
        <v>1.6518915798321046</v>
      </c>
      <c r="H45" s="334">
        <f ca="1">VLOOKUP($A45,Plant_Table,'Plant Operations'!$T$270)</f>
        <v>2092866.048</v>
      </c>
      <c r="I45" s="335">
        <f t="shared" ca="1" si="4"/>
        <v>3457.1878024076932</v>
      </c>
      <c r="J45" s="698">
        <f t="shared" ca="1" si="0"/>
        <v>40400.390114087357</v>
      </c>
      <c r="L45" s="699">
        <f ca="1">IF($A45&lt;Startops2,0,VLOOKUP($A45,Tariff_Table,Tariff!$N$33))</f>
        <v>0</v>
      </c>
      <c r="M45" s="334">
        <f t="shared" ca="1" si="5"/>
        <v>2092866.048</v>
      </c>
      <c r="N45" s="1113">
        <f t="shared" ca="1" si="6"/>
        <v>0</v>
      </c>
      <c r="O45" s="1113">
        <f ca="1">IF($A45&gt;Endyr,0,VLOOKUP($A45,Tariff_Table,Tariff!$O$33))</f>
        <v>3259.1565099999998</v>
      </c>
      <c r="P45" s="113">
        <f ca="1">VLOOKUP($A45,Curves_Table,Escalation!$AP$291)</f>
        <v>1.166287045927733</v>
      </c>
      <c r="Q45" s="328">
        <f t="shared" ca="1" si="7"/>
        <v>3801.1120182640398</v>
      </c>
      <c r="R45" s="692">
        <f t="shared" ca="1" si="1"/>
        <v>45152.907480765716</v>
      </c>
    </row>
    <row r="46" spans="1:18">
      <c r="A46" s="672">
        <f>'Annex 12-Gas'!A46</f>
        <v>37987</v>
      </c>
      <c r="C46" s="697">
        <f ca="1">IF($A46&gt;Endyr,0,VLOOKUP($A46,Tariff_Table,Tariff!$L$33))</f>
        <v>1.21</v>
      </c>
      <c r="D46" s="113">
        <f ca="1">VLOOKUP($A46,Curves_Table,Escalation!$AL$291)</f>
        <v>1.1585880825058716</v>
      </c>
      <c r="E46" s="333">
        <f t="shared" ca="1" si="2"/>
        <v>1.4018915798321046</v>
      </c>
      <c r="F46" s="331">
        <f ca="1">IF($A46&gt;Endyr,0,VLOOKUP($A46,Tariff_Table,Tariff!$M$33))</f>
        <v>0.25</v>
      </c>
      <c r="G46" s="333">
        <f t="shared" ca="1" si="3"/>
        <v>1.6518915798321046</v>
      </c>
      <c r="H46" s="334">
        <f ca="1">VLOOKUP($A46,Plant_Table,'Plant Operations'!$T$270)</f>
        <v>2092866.048</v>
      </c>
      <c r="I46" s="335">
        <f t="shared" ca="1" si="4"/>
        <v>3457.1878024076932</v>
      </c>
      <c r="J46" s="698" t="str">
        <f t="shared" ca="1" si="0"/>
        <v xml:space="preserve"> </v>
      </c>
      <c r="L46" s="699">
        <f ca="1">IF($A46&lt;Startops2,0,VLOOKUP($A46,Tariff_Table,Tariff!$N$33))</f>
        <v>0</v>
      </c>
      <c r="M46" s="334">
        <f t="shared" ca="1" si="5"/>
        <v>2092866.048</v>
      </c>
      <c r="N46" s="1113">
        <f t="shared" ca="1" si="6"/>
        <v>0</v>
      </c>
      <c r="O46" s="1113">
        <f ca="1">IF($A46&gt;Endyr,0,VLOOKUP($A46,Tariff_Table,Tariff!$O$33))</f>
        <v>3259.1565099999998</v>
      </c>
      <c r="P46" s="113">
        <f ca="1">VLOOKUP($A46,Curves_Table,Escalation!$AP$291)</f>
        <v>1.166287045927733</v>
      </c>
      <c r="Q46" s="328">
        <f t="shared" ca="1" si="7"/>
        <v>3801.1120182640398</v>
      </c>
      <c r="R46" s="692" t="str">
        <f t="shared" ca="1" si="1"/>
        <v xml:space="preserve"> </v>
      </c>
    </row>
    <row r="47" spans="1:18">
      <c r="A47" s="672">
        <f>'Annex 12-Gas'!A47</f>
        <v>38018</v>
      </c>
      <c r="C47" s="697">
        <f ca="1">IF($A47&gt;Endyr,0,VLOOKUP($A47,Tariff_Table,Tariff!$L$33))</f>
        <v>1.21</v>
      </c>
      <c r="D47" s="113">
        <f ca="1">VLOOKUP($A47,Curves_Table,Escalation!$AL$291)</f>
        <v>1.1585880825058716</v>
      </c>
      <c r="E47" s="333">
        <f t="shared" ca="1" si="2"/>
        <v>1.4018915798321046</v>
      </c>
      <c r="F47" s="331">
        <f ca="1">IF($A47&gt;Endyr,0,VLOOKUP($A47,Tariff_Table,Tariff!$M$33))</f>
        <v>0.25</v>
      </c>
      <c r="G47" s="333">
        <f t="shared" ca="1" si="3"/>
        <v>1.6518915798321046</v>
      </c>
      <c r="H47" s="334">
        <f ca="1">VLOOKUP($A47,Plant_Table,'Plant Operations'!$T$270)</f>
        <v>1957842.432</v>
      </c>
      <c r="I47" s="335">
        <f t="shared" ca="1" si="4"/>
        <v>3234.1434280588096</v>
      </c>
      <c r="J47" s="698" t="str">
        <f t="shared" ca="1" si="0"/>
        <v xml:space="preserve"> </v>
      </c>
      <c r="L47" s="699">
        <f ca="1">IF($A47&lt;Startops2,0,VLOOKUP($A47,Tariff_Table,Tariff!$N$33))</f>
        <v>0</v>
      </c>
      <c r="M47" s="334">
        <f t="shared" ca="1" si="5"/>
        <v>1957842.432</v>
      </c>
      <c r="N47" s="1113">
        <f t="shared" ca="1" si="6"/>
        <v>0</v>
      </c>
      <c r="O47" s="1113">
        <f ca="1">IF($A47&gt;Endyr,0,VLOOKUP($A47,Tariff_Table,Tariff!$O$33))</f>
        <v>3259.1565099999998</v>
      </c>
      <c r="P47" s="113">
        <f ca="1">VLOOKUP($A47,Curves_Table,Escalation!$AP$291)</f>
        <v>1.166287045927733</v>
      </c>
      <c r="Q47" s="328">
        <f t="shared" ca="1" si="7"/>
        <v>3801.1120182640398</v>
      </c>
      <c r="R47" s="692" t="str">
        <f t="shared" ca="1" si="1"/>
        <v xml:space="preserve"> </v>
      </c>
    </row>
    <row r="48" spans="1:18">
      <c r="A48" s="672">
        <f>'Annex 12-Gas'!A48</f>
        <v>38047</v>
      </c>
      <c r="C48" s="697">
        <f ca="1">IF($A48&gt;Endyr,0,VLOOKUP($A48,Tariff_Table,Tariff!$L$33))</f>
        <v>1.21</v>
      </c>
      <c r="D48" s="113">
        <f ca="1">VLOOKUP($A48,Curves_Table,Escalation!$AL$291)</f>
        <v>1.1585880825058716</v>
      </c>
      <c r="E48" s="333">
        <f t="shared" ca="1" si="2"/>
        <v>1.4018915798321046</v>
      </c>
      <c r="F48" s="331">
        <f ca="1">IF($A48&gt;Endyr,0,VLOOKUP($A48,Tariff_Table,Tariff!$M$33))</f>
        <v>0.25</v>
      </c>
      <c r="G48" s="333">
        <f t="shared" ca="1" si="3"/>
        <v>1.6518915798321046</v>
      </c>
      <c r="H48" s="334">
        <f ca="1">VLOOKUP($A48,Plant_Table,'Plant Operations'!$T$270)</f>
        <v>2092866.048</v>
      </c>
      <c r="I48" s="335">
        <f t="shared" ca="1" si="4"/>
        <v>3457.1878024076932</v>
      </c>
      <c r="J48" s="698" t="str">
        <f t="shared" ca="1" si="0"/>
        <v xml:space="preserve"> </v>
      </c>
      <c r="L48" s="699">
        <f ca="1">IF($A48&lt;Startops2,0,VLOOKUP($A48,Tariff_Table,Tariff!$N$33))</f>
        <v>0</v>
      </c>
      <c r="M48" s="334">
        <f t="shared" ca="1" si="5"/>
        <v>2092866.048</v>
      </c>
      <c r="N48" s="1113">
        <f t="shared" ca="1" si="6"/>
        <v>0</v>
      </c>
      <c r="O48" s="1113">
        <f ca="1">IF($A48&gt;Endyr,0,VLOOKUP($A48,Tariff_Table,Tariff!$O$33))</f>
        <v>3259.1565099999998</v>
      </c>
      <c r="P48" s="113">
        <f ca="1">VLOOKUP($A48,Curves_Table,Escalation!$AP$291)</f>
        <v>1.166287045927733</v>
      </c>
      <c r="Q48" s="328">
        <f t="shared" ca="1" si="7"/>
        <v>3801.1120182640398</v>
      </c>
      <c r="R48" s="692" t="str">
        <f t="shared" ca="1" si="1"/>
        <v xml:space="preserve"> </v>
      </c>
    </row>
    <row r="49" spans="1:18">
      <c r="A49" s="672">
        <f>'Annex 12-Gas'!A49</f>
        <v>38078</v>
      </c>
      <c r="C49" s="697">
        <f ca="1">IF($A49&gt;Endyr,0,VLOOKUP($A49,Tariff_Table,Tariff!$L$33))</f>
        <v>1.21</v>
      </c>
      <c r="D49" s="113">
        <f ca="1">VLOOKUP($A49,Curves_Table,Escalation!$AL$291)</f>
        <v>1.1585880825058716</v>
      </c>
      <c r="E49" s="333">
        <f t="shared" ca="1" si="2"/>
        <v>1.4018915798321046</v>
      </c>
      <c r="F49" s="331">
        <f ca="1">IF($A49&gt;Endyr,0,VLOOKUP($A49,Tariff_Table,Tariff!$M$33))</f>
        <v>0.25</v>
      </c>
      <c r="G49" s="333">
        <f t="shared" ca="1" si="3"/>
        <v>1.6518915798321046</v>
      </c>
      <c r="H49" s="334">
        <f ca="1">VLOOKUP($A49,Plant_Table,'Plant Operations'!$T$270)</f>
        <v>2025354.24</v>
      </c>
      <c r="I49" s="335">
        <f t="shared" ca="1" si="4"/>
        <v>3345.6656152332512</v>
      </c>
      <c r="J49" s="698" t="str">
        <f t="shared" ca="1" si="0"/>
        <v xml:space="preserve"> </v>
      </c>
      <c r="L49" s="699">
        <f ca="1">IF($A49&lt;Startops2,0,VLOOKUP($A49,Tariff_Table,Tariff!$N$33))</f>
        <v>0</v>
      </c>
      <c r="M49" s="334">
        <f t="shared" ca="1" si="5"/>
        <v>2025354.24</v>
      </c>
      <c r="N49" s="1113">
        <f t="shared" ca="1" si="6"/>
        <v>0</v>
      </c>
      <c r="O49" s="1113">
        <f ca="1">IF($A49&gt;Endyr,0,VLOOKUP($A49,Tariff_Table,Tariff!$O$33))</f>
        <v>3259.1565099999998</v>
      </c>
      <c r="P49" s="113">
        <f ca="1">VLOOKUP($A49,Curves_Table,Escalation!$AP$291)</f>
        <v>1.166287045927733</v>
      </c>
      <c r="Q49" s="328">
        <f t="shared" ca="1" si="7"/>
        <v>3801.1120182640398</v>
      </c>
      <c r="R49" s="692" t="str">
        <f t="shared" ca="1" si="1"/>
        <v xml:space="preserve"> </v>
      </c>
    </row>
    <row r="50" spans="1:18">
      <c r="A50" s="672">
        <f>'Annex 12-Gas'!A50</f>
        <v>38108</v>
      </c>
      <c r="C50" s="697">
        <f ca="1">IF($A50&gt;Endyr,0,VLOOKUP($A50,Tariff_Table,Tariff!$L$33))</f>
        <v>1.21</v>
      </c>
      <c r="D50" s="113">
        <f ca="1">VLOOKUP($A50,Curves_Table,Escalation!$AL$291)</f>
        <v>1.1895290466584547</v>
      </c>
      <c r="E50" s="333">
        <f t="shared" ca="1" si="2"/>
        <v>1.4393301464567301</v>
      </c>
      <c r="F50" s="331">
        <f ca="1">IF($A50&gt;Endyr,0,VLOOKUP($A50,Tariff_Table,Tariff!$M$33))</f>
        <v>0.25</v>
      </c>
      <c r="G50" s="333">
        <f t="shared" ca="1" si="3"/>
        <v>1.6893301464567301</v>
      </c>
      <c r="H50" s="334">
        <f ca="1">VLOOKUP($A50,Plant_Table,'Plant Operations'!$T$270)</f>
        <v>2092866.048</v>
      </c>
      <c r="I50" s="335">
        <f t="shared" ca="1" si="4"/>
        <v>3535.5417073821577</v>
      </c>
      <c r="J50" s="698" t="str">
        <f t="shared" ca="1" si="0"/>
        <v xml:space="preserve"> </v>
      </c>
      <c r="L50" s="699">
        <f ca="1">IF($A50&lt;Startops2,0,VLOOKUP($A50,Tariff_Table,Tariff!$N$33))</f>
        <v>0</v>
      </c>
      <c r="M50" s="334">
        <f t="shared" ca="1" si="5"/>
        <v>2092866.048</v>
      </c>
      <c r="N50" s="1113">
        <f t="shared" ca="1" si="6"/>
        <v>0</v>
      </c>
      <c r="O50" s="1113">
        <f ca="1">IF($A50&gt;Endyr,0,VLOOKUP($A50,Tariff_Table,Tariff!$O$33))</f>
        <v>3260.9134800000002</v>
      </c>
      <c r="P50" s="113">
        <f ca="1">VLOOKUP($A50,Curves_Table,Escalation!$AP$291)</f>
        <v>1.2003493342906499</v>
      </c>
      <c r="Q50" s="328">
        <f t="shared" ca="1" si="7"/>
        <v>3914.2353248974068</v>
      </c>
      <c r="R50" s="692" t="str">
        <f t="shared" ca="1" si="1"/>
        <v xml:space="preserve"> </v>
      </c>
    </row>
    <row r="51" spans="1:18">
      <c r="A51" s="672">
        <f>'Annex 12-Gas'!A51</f>
        <v>38139</v>
      </c>
      <c r="C51" s="697">
        <f ca="1">IF($A51&gt;Endyr,0,VLOOKUP($A51,Tariff_Table,Tariff!$L$33))</f>
        <v>1.21</v>
      </c>
      <c r="D51" s="113">
        <f ca="1">VLOOKUP($A51,Curves_Table,Escalation!$AL$291)</f>
        <v>1.1895290466584547</v>
      </c>
      <c r="E51" s="333">
        <f t="shared" ca="1" si="2"/>
        <v>1.4393301464567301</v>
      </c>
      <c r="F51" s="331">
        <f ca="1">IF($A51&gt;Endyr,0,VLOOKUP($A51,Tariff_Table,Tariff!$M$33))</f>
        <v>0.25</v>
      </c>
      <c r="G51" s="333">
        <f t="shared" ca="1" si="3"/>
        <v>1.6893301464567301</v>
      </c>
      <c r="H51" s="334">
        <f ca="1">VLOOKUP($A51,Plant_Table,'Plant Operations'!$T$270)</f>
        <v>2025354.24</v>
      </c>
      <c r="I51" s="335">
        <f t="shared" ca="1" si="4"/>
        <v>3421.4919748859593</v>
      </c>
      <c r="J51" s="698" t="str">
        <f t="shared" ca="1" si="0"/>
        <v xml:space="preserve"> </v>
      </c>
      <c r="L51" s="699">
        <f ca="1">IF($A51&lt;Startops2,0,VLOOKUP($A51,Tariff_Table,Tariff!$N$33))</f>
        <v>0</v>
      </c>
      <c r="M51" s="334">
        <f t="shared" ca="1" si="5"/>
        <v>2025354.24</v>
      </c>
      <c r="N51" s="1113">
        <f t="shared" ca="1" si="6"/>
        <v>0</v>
      </c>
      <c r="O51" s="1113">
        <f ca="1">IF($A51&gt;Endyr,0,VLOOKUP($A51,Tariff_Table,Tariff!$O$33))</f>
        <v>3260.9134800000002</v>
      </c>
      <c r="P51" s="113">
        <f ca="1">VLOOKUP($A51,Curves_Table,Escalation!$AP$291)</f>
        <v>1.2003493342906499</v>
      </c>
      <c r="Q51" s="328">
        <f t="shared" ca="1" si="7"/>
        <v>3914.2353248974068</v>
      </c>
      <c r="R51" s="692" t="str">
        <f t="shared" ca="1" si="1"/>
        <v xml:space="preserve"> </v>
      </c>
    </row>
    <row r="52" spans="1:18">
      <c r="A52" s="672">
        <f>'Annex 12-Gas'!A52</f>
        <v>38169</v>
      </c>
      <c r="C52" s="697">
        <f ca="1">IF($A52&gt;Endyr,0,VLOOKUP($A52,Tariff_Table,Tariff!$L$33))</f>
        <v>1.21</v>
      </c>
      <c r="D52" s="113">
        <f ca="1">VLOOKUP($A52,Curves_Table,Escalation!$AL$291)</f>
        <v>1.1895290466584547</v>
      </c>
      <c r="E52" s="333">
        <f t="shared" ca="1" si="2"/>
        <v>1.4393301464567301</v>
      </c>
      <c r="F52" s="331">
        <f ca="1">IF($A52&gt;Endyr,0,VLOOKUP($A52,Tariff_Table,Tariff!$M$33))</f>
        <v>0.25</v>
      </c>
      <c r="G52" s="333">
        <f t="shared" ca="1" si="3"/>
        <v>1.6893301464567301</v>
      </c>
      <c r="H52" s="334">
        <f ca="1">VLOOKUP($A52,Plant_Table,'Plant Operations'!$T$270)</f>
        <v>2092866.048</v>
      </c>
      <c r="I52" s="335">
        <f t="shared" ca="1" si="4"/>
        <v>3535.5417073821577</v>
      </c>
      <c r="J52" s="698" t="str">
        <f t="shared" ca="1" si="0"/>
        <v xml:space="preserve"> </v>
      </c>
      <c r="L52" s="699">
        <f ca="1">IF($A52&lt;Startops2,0,VLOOKUP($A52,Tariff_Table,Tariff!$N$33))</f>
        <v>0</v>
      </c>
      <c r="M52" s="334">
        <f t="shared" ca="1" si="5"/>
        <v>2092866.048</v>
      </c>
      <c r="N52" s="1113">
        <f t="shared" ca="1" si="6"/>
        <v>0</v>
      </c>
      <c r="O52" s="1113">
        <f ca="1">IF($A52&gt;Endyr,0,VLOOKUP($A52,Tariff_Table,Tariff!$O$33))</f>
        <v>3260.9134800000002</v>
      </c>
      <c r="P52" s="113">
        <f ca="1">VLOOKUP($A52,Curves_Table,Escalation!$AP$291)</f>
        <v>1.2003493342906499</v>
      </c>
      <c r="Q52" s="328">
        <f t="shared" ca="1" si="7"/>
        <v>3914.2353248974068</v>
      </c>
      <c r="R52" s="692" t="str">
        <f t="shared" ca="1" si="1"/>
        <v xml:space="preserve"> </v>
      </c>
    </row>
    <row r="53" spans="1:18">
      <c r="A53" s="672">
        <f>'Annex 12-Gas'!A53</f>
        <v>38200</v>
      </c>
      <c r="C53" s="697">
        <f ca="1">IF($A53&gt;Endyr,0,VLOOKUP($A53,Tariff_Table,Tariff!$L$33))</f>
        <v>1.21</v>
      </c>
      <c r="D53" s="113">
        <f ca="1">VLOOKUP($A53,Curves_Table,Escalation!$AL$291)</f>
        <v>1.1895290466584547</v>
      </c>
      <c r="E53" s="333">
        <f t="shared" ca="1" si="2"/>
        <v>1.4393301464567301</v>
      </c>
      <c r="F53" s="331">
        <f ca="1">IF($A53&gt;Endyr,0,VLOOKUP($A53,Tariff_Table,Tariff!$M$33))</f>
        <v>0.25</v>
      </c>
      <c r="G53" s="333">
        <f t="shared" ca="1" si="3"/>
        <v>1.6893301464567301</v>
      </c>
      <c r="H53" s="334">
        <f ca="1">VLOOKUP($A53,Plant_Table,'Plant Operations'!$T$270)</f>
        <v>2092866.048</v>
      </c>
      <c r="I53" s="335">
        <f t="shared" ca="1" si="4"/>
        <v>3535.5417073821577</v>
      </c>
      <c r="J53" s="698" t="str">
        <f t="shared" ca="1" si="0"/>
        <v xml:space="preserve"> </v>
      </c>
      <c r="L53" s="699">
        <f ca="1">IF($A53&lt;Startops2,0,VLOOKUP($A53,Tariff_Table,Tariff!$N$33))</f>
        <v>0</v>
      </c>
      <c r="M53" s="334">
        <f t="shared" ca="1" si="5"/>
        <v>2092866.048</v>
      </c>
      <c r="N53" s="1113">
        <f t="shared" ca="1" si="6"/>
        <v>0</v>
      </c>
      <c r="O53" s="1113">
        <f ca="1">IF($A53&gt;Endyr,0,VLOOKUP($A53,Tariff_Table,Tariff!$O$33))</f>
        <v>3260.9134800000002</v>
      </c>
      <c r="P53" s="113">
        <f ca="1">VLOOKUP($A53,Curves_Table,Escalation!$AP$291)</f>
        <v>1.2003493342906499</v>
      </c>
      <c r="Q53" s="328">
        <f t="shared" ca="1" si="7"/>
        <v>3914.2353248974068</v>
      </c>
      <c r="R53" s="692" t="str">
        <f t="shared" ca="1" si="1"/>
        <v xml:space="preserve"> </v>
      </c>
    </row>
    <row r="54" spans="1:18">
      <c r="A54" s="672">
        <f>'Annex 12-Gas'!A54</f>
        <v>38231</v>
      </c>
      <c r="C54" s="697">
        <f ca="1">IF($A54&gt;Endyr,0,VLOOKUP($A54,Tariff_Table,Tariff!$L$33))</f>
        <v>1.21</v>
      </c>
      <c r="D54" s="113">
        <f ca="1">VLOOKUP($A54,Curves_Table,Escalation!$AL$291)</f>
        <v>1.1895290466584547</v>
      </c>
      <c r="E54" s="333">
        <f t="shared" ca="1" si="2"/>
        <v>1.4393301464567301</v>
      </c>
      <c r="F54" s="331">
        <f ca="1">IF($A54&gt;Endyr,0,VLOOKUP($A54,Tariff_Table,Tariff!$M$33))</f>
        <v>0.25</v>
      </c>
      <c r="G54" s="333">
        <f t="shared" ca="1" si="3"/>
        <v>1.6893301464567301</v>
      </c>
      <c r="H54" s="334">
        <f ca="1">VLOOKUP($A54,Plant_Table,'Plant Operations'!$T$270)</f>
        <v>2025354.24</v>
      </c>
      <c r="I54" s="335">
        <f t="shared" ca="1" si="4"/>
        <v>3421.4919748859593</v>
      </c>
      <c r="J54" s="698" t="str">
        <f t="shared" ca="1" si="0"/>
        <v xml:space="preserve"> </v>
      </c>
      <c r="L54" s="699">
        <f ca="1">IF($A54&lt;Startops2,0,VLOOKUP($A54,Tariff_Table,Tariff!$N$33))</f>
        <v>0</v>
      </c>
      <c r="M54" s="334">
        <f t="shared" ca="1" si="5"/>
        <v>2025354.24</v>
      </c>
      <c r="N54" s="1113">
        <f t="shared" ca="1" si="6"/>
        <v>0</v>
      </c>
      <c r="O54" s="1113">
        <f ca="1">IF($A54&gt;Endyr,0,VLOOKUP($A54,Tariff_Table,Tariff!$O$33))</f>
        <v>3260.9134800000002</v>
      </c>
      <c r="P54" s="113">
        <f ca="1">VLOOKUP($A54,Curves_Table,Escalation!$AP$291)</f>
        <v>1.2003493342906499</v>
      </c>
      <c r="Q54" s="328">
        <f t="shared" ca="1" si="7"/>
        <v>3914.2353248974068</v>
      </c>
      <c r="R54" s="692" t="str">
        <f t="shared" ca="1" si="1"/>
        <v xml:space="preserve"> </v>
      </c>
    </row>
    <row r="55" spans="1:18">
      <c r="A55" s="672">
        <f>'Annex 12-Gas'!A55</f>
        <v>38261</v>
      </c>
      <c r="C55" s="697">
        <f ca="1">IF($A55&gt;Endyr,0,VLOOKUP($A55,Tariff_Table,Tariff!$L$33))</f>
        <v>1.21</v>
      </c>
      <c r="D55" s="113">
        <f ca="1">VLOOKUP($A55,Curves_Table,Escalation!$AL$291)</f>
        <v>1.1895290466584547</v>
      </c>
      <c r="E55" s="333">
        <f t="shared" ca="1" si="2"/>
        <v>1.4393301464567301</v>
      </c>
      <c r="F55" s="331">
        <f ca="1">IF($A55&gt;Endyr,0,VLOOKUP($A55,Tariff_Table,Tariff!$M$33))</f>
        <v>0.25</v>
      </c>
      <c r="G55" s="333">
        <f t="shared" ca="1" si="3"/>
        <v>1.6893301464567301</v>
      </c>
      <c r="H55" s="334">
        <f ca="1">VLOOKUP($A55,Plant_Table,'Plant Operations'!$T$270)</f>
        <v>2092866.048</v>
      </c>
      <c r="I55" s="335">
        <f t="shared" ca="1" si="4"/>
        <v>3535.5417073821577</v>
      </c>
      <c r="J55" s="698" t="str">
        <f t="shared" ca="1" si="0"/>
        <v xml:space="preserve"> </v>
      </c>
      <c r="L55" s="699">
        <f ca="1">IF($A55&lt;Startops2,0,VLOOKUP($A55,Tariff_Table,Tariff!$N$33))</f>
        <v>0</v>
      </c>
      <c r="M55" s="334">
        <f t="shared" ca="1" si="5"/>
        <v>2092866.048</v>
      </c>
      <c r="N55" s="1113">
        <f t="shared" ca="1" si="6"/>
        <v>0</v>
      </c>
      <c r="O55" s="1113">
        <f ca="1">IF($A55&gt;Endyr,0,VLOOKUP($A55,Tariff_Table,Tariff!$O$33))</f>
        <v>3260.9134800000002</v>
      </c>
      <c r="P55" s="113">
        <f ca="1">VLOOKUP($A55,Curves_Table,Escalation!$AP$291)</f>
        <v>1.2003493342906499</v>
      </c>
      <c r="Q55" s="328">
        <f t="shared" ca="1" si="7"/>
        <v>3914.2353248974068</v>
      </c>
      <c r="R55" s="692" t="str">
        <f t="shared" ca="1" si="1"/>
        <v xml:space="preserve"> </v>
      </c>
    </row>
    <row r="56" spans="1:18">
      <c r="A56" s="672">
        <f>'Annex 12-Gas'!A56</f>
        <v>38292</v>
      </c>
      <c r="C56" s="697">
        <f ca="1">IF($A56&gt;Endyr,0,VLOOKUP($A56,Tariff_Table,Tariff!$L$33))</f>
        <v>1.21</v>
      </c>
      <c r="D56" s="113">
        <f ca="1">VLOOKUP($A56,Curves_Table,Escalation!$AL$291)</f>
        <v>1.1895290466584547</v>
      </c>
      <c r="E56" s="333">
        <f t="shared" ca="1" si="2"/>
        <v>1.4393301464567301</v>
      </c>
      <c r="F56" s="331">
        <f ca="1">IF($A56&gt;Endyr,0,VLOOKUP($A56,Tariff_Table,Tariff!$M$33))</f>
        <v>0.25</v>
      </c>
      <c r="G56" s="333">
        <f t="shared" ca="1" si="3"/>
        <v>1.6893301464567301</v>
      </c>
      <c r="H56" s="334">
        <f ca="1">VLOOKUP($A56,Plant_Table,'Plant Operations'!$T$270)</f>
        <v>2025354.24</v>
      </c>
      <c r="I56" s="335">
        <f t="shared" ca="1" si="4"/>
        <v>3421.4919748859593</v>
      </c>
      <c r="J56" s="698" t="str">
        <f t="shared" ca="1" si="0"/>
        <v xml:space="preserve"> </v>
      </c>
      <c r="L56" s="699">
        <f ca="1">IF($A56&lt;Startops2,0,VLOOKUP($A56,Tariff_Table,Tariff!$N$33))</f>
        <v>0</v>
      </c>
      <c r="M56" s="334">
        <f t="shared" ca="1" si="5"/>
        <v>2025354.24</v>
      </c>
      <c r="N56" s="1113">
        <f t="shared" ca="1" si="6"/>
        <v>0</v>
      </c>
      <c r="O56" s="1113">
        <f ca="1">IF($A56&gt;Endyr,0,VLOOKUP($A56,Tariff_Table,Tariff!$O$33))</f>
        <v>3260.9134800000002</v>
      </c>
      <c r="P56" s="113">
        <f ca="1">VLOOKUP($A56,Curves_Table,Escalation!$AP$291)</f>
        <v>1.2003493342906499</v>
      </c>
      <c r="Q56" s="328">
        <f t="shared" ca="1" si="7"/>
        <v>3914.2353248974068</v>
      </c>
      <c r="R56" s="692" t="str">
        <f t="shared" ca="1" si="1"/>
        <v xml:space="preserve"> </v>
      </c>
    </row>
    <row r="57" spans="1:18">
      <c r="A57" s="672">
        <f>'Annex 12-Gas'!A57</f>
        <v>38322</v>
      </c>
      <c r="C57" s="697">
        <f ca="1">IF($A57&gt;Endyr,0,VLOOKUP($A57,Tariff_Table,Tariff!$L$33))</f>
        <v>1.21</v>
      </c>
      <c r="D57" s="113">
        <f ca="1">VLOOKUP($A57,Curves_Table,Escalation!$AL$291)</f>
        <v>1.1895290466584547</v>
      </c>
      <c r="E57" s="333">
        <f t="shared" ca="1" si="2"/>
        <v>1.4393301464567301</v>
      </c>
      <c r="F57" s="331">
        <f ca="1">IF($A57&gt;Endyr,0,VLOOKUP($A57,Tariff_Table,Tariff!$M$33))</f>
        <v>0.25</v>
      </c>
      <c r="G57" s="333">
        <f t="shared" ca="1" si="3"/>
        <v>1.6893301464567301</v>
      </c>
      <c r="H57" s="334">
        <f ca="1">VLOOKUP($A57,Plant_Table,'Plant Operations'!$T$270)</f>
        <v>2092866.048</v>
      </c>
      <c r="I57" s="335">
        <f t="shared" ca="1" si="4"/>
        <v>3535.5417073821577</v>
      </c>
      <c r="J57" s="698">
        <f t="shared" ca="1" si="0"/>
        <v>41436.369109676125</v>
      </c>
      <c r="L57" s="699">
        <f ca="1">IF($A57&lt;Startops2,0,VLOOKUP($A57,Tariff_Table,Tariff!$N$33))</f>
        <v>0</v>
      </c>
      <c r="M57" s="334">
        <f t="shared" ca="1" si="5"/>
        <v>2092866.048</v>
      </c>
      <c r="N57" s="1113">
        <f t="shared" ca="1" si="6"/>
        <v>0</v>
      </c>
      <c r="O57" s="1113">
        <f ca="1">IF($A57&gt;Endyr,0,VLOOKUP($A57,Tariff_Table,Tariff!$O$33))</f>
        <v>3260.9134800000002</v>
      </c>
      <c r="P57" s="113">
        <f ca="1">VLOOKUP($A57,Curves_Table,Escalation!$AP$291)</f>
        <v>1.2003493342906499</v>
      </c>
      <c r="Q57" s="328">
        <f t="shared" ca="1" si="7"/>
        <v>3914.2353248974068</v>
      </c>
      <c r="R57" s="692">
        <f t="shared" ca="1" si="1"/>
        <v>46518.330672235417</v>
      </c>
    </row>
    <row r="58" spans="1:18">
      <c r="A58" s="672">
        <f>'Annex 12-Gas'!A58</f>
        <v>38353</v>
      </c>
      <c r="C58" s="697">
        <f ca="1">IF($A58&gt;Endyr,0,VLOOKUP($A58,Tariff_Table,Tariff!$L$33))</f>
        <v>1.21</v>
      </c>
      <c r="D58" s="113">
        <f ca="1">VLOOKUP($A58,Curves_Table,Escalation!$AL$291)</f>
        <v>1.1895290466584547</v>
      </c>
      <c r="E58" s="333">
        <f t="shared" ca="1" si="2"/>
        <v>1.4393301464567301</v>
      </c>
      <c r="F58" s="331">
        <f ca="1">IF($A58&gt;Endyr,0,VLOOKUP($A58,Tariff_Table,Tariff!$M$33))</f>
        <v>0.25</v>
      </c>
      <c r="G58" s="333">
        <f t="shared" ca="1" si="3"/>
        <v>1.6893301464567301</v>
      </c>
      <c r="H58" s="334">
        <f ca="1">VLOOKUP($A58,Plant_Table,'Plant Operations'!$T$270)</f>
        <v>2092866.048</v>
      </c>
      <c r="I58" s="335">
        <f t="shared" ca="1" si="4"/>
        <v>3535.5417073821577</v>
      </c>
      <c r="J58" s="698" t="str">
        <f t="shared" ca="1" si="0"/>
        <v xml:space="preserve"> </v>
      </c>
      <c r="L58" s="699">
        <f ca="1">IF($A58&lt;Startops2,0,VLOOKUP($A58,Tariff_Table,Tariff!$N$33))</f>
        <v>0</v>
      </c>
      <c r="M58" s="334">
        <f t="shared" ca="1" si="5"/>
        <v>2092866.048</v>
      </c>
      <c r="N58" s="1113">
        <f t="shared" ca="1" si="6"/>
        <v>0</v>
      </c>
      <c r="O58" s="1113">
        <f ca="1">IF($A58&gt;Endyr,0,VLOOKUP($A58,Tariff_Table,Tariff!$O$33))</f>
        <v>3260.9134800000002</v>
      </c>
      <c r="P58" s="113">
        <f ca="1">VLOOKUP($A58,Curves_Table,Escalation!$AP$291)</f>
        <v>1.2003493342906499</v>
      </c>
      <c r="Q58" s="328">
        <f t="shared" ca="1" si="7"/>
        <v>3914.2353248974068</v>
      </c>
      <c r="R58" s="692" t="str">
        <f t="shared" ca="1" si="1"/>
        <v xml:space="preserve"> </v>
      </c>
    </row>
    <row r="59" spans="1:18">
      <c r="A59" s="672">
        <f>'Annex 12-Gas'!A59</f>
        <v>38384</v>
      </c>
      <c r="C59" s="697">
        <f ca="1">IF($A59&gt;Endyr,0,VLOOKUP($A59,Tariff_Table,Tariff!$L$33))</f>
        <v>1.21</v>
      </c>
      <c r="D59" s="113">
        <f ca="1">VLOOKUP($A59,Curves_Table,Escalation!$AL$291)</f>
        <v>1.1895290466584547</v>
      </c>
      <c r="E59" s="333">
        <f t="shared" ca="1" si="2"/>
        <v>1.4393301464567301</v>
      </c>
      <c r="F59" s="331">
        <f ca="1">IF($A59&gt;Endyr,0,VLOOKUP($A59,Tariff_Table,Tariff!$M$33))</f>
        <v>0.25</v>
      </c>
      <c r="G59" s="333">
        <f t="shared" ca="1" si="3"/>
        <v>1.6893301464567301</v>
      </c>
      <c r="H59" s="334">
        <f ca="1">VLOOKUP($A59,Plant_Table,'Plant Operations'!$T$270)</f>
        <v>1890330.6240000003</v>
      </c>
      <c r="I59" s="335">
        <f t="shared" ca="1" si="4"/>
        <v>3193.3925098935624</v>
      </c>
      <c r="J59" s="698" t="str">
        <f t="shared" ca="1" si="0"/>
        <v xml:space="preserve"> </v>
      </c>
      <c r="L59" s="699">
        <f ca="1">IF($A59&lt;Startops2,0,VLOOKUP($A59,Tariff_Table,Tariff!$N$33))</f>
        <v>0</v>
      </c>
      <c r="M59" s="334">
        <f t="shared" ca="1" si="5"/>
        <v>1890330.6240000003</v>
      </c>
      <c r="N59" s="1113">
        <f t="shared" ca="1" si="6"/>
        <v>0</v>
      </c>
      <c r="O59" s="1113">
        <f ca="1">IF($A59&gt;Endyr,0,VLOOKUP($A59,Tariff_Table,Tariff!$O$33))</f>
        <v>3260.9134800000002</v>
      </c>
      <c r="P59" s="113">
        <f ca="1">VLOOKUP($A59,Curves_Table,Escalation!$AP$291)</f>
        <v>1.2003493342906499</v>
      </c>
      <c r="Q59" s="328">
        <f t="shared" ca="1" si="7"/>
        <v>3914.2353248974068</v>
      </c>
      <c r="R59" s="692" t="str">
        <f t="shared" ca="1" si="1"/>
        <v xml:space="preserve"> </v>
      </c>
    </row>
    <row r="60" spans="1:18">
      <c r="A60" s="672">
        <f>'Annex 12-Gas'!A60</f>
        <v>38412</v>
      </c>
      <c r="C60" s="697">
        <f ca="1">IF($A60&gt;Endyr,0,VLOOKUP($A60,Tariff_Table,Tariff!$L$33))</f>
        <v>1.21</v>
      </c>
      <c r="D60" s="113">
        <f ca="1">VLOOKUP($A60,Curves_Table,Escalation!$AL$291)</f>
        <v>1.1895290466584547</v>
      </c>
      <c r="E60" s="333">
        <f t="shared" ca="1" si="2"/>
        <v>1.4393301464567301</v>
      </c>
      <c r="F60" s="331">
        <f ca="1">IF($A60&gt;Endyr,0,VLOOKUP($A60,Tariff_Table,Tariff!$M$33))</f>
        <v>0.25</v>
      </c>
      <c r="G60" s="333">
        <f t="shared" ca="1" si="3"/>
        <v>1.6893301464567301</v>
      </c>
      <c r="H60" s="334">
        <f ca="1">VLOOKUP($A60,Plant_Table,'Plant Operations'!$T$270)</f>
        <v>2092866.048</v>
      </c>
      <c r="I60" s="335">
        <f t="shared" ca="1" si="4"/>
        <v>3535.5417073821577</v>
      </c>
      <c r="J60" s="698" t="str">
        <f t="shared" ca="1" si="0"/>
        <v xml:space="preserve"> </v>
      </c>
      <c r="L60" s="699">
        <f ca="1">IF($A60&lt;Startops2,0,VLOOKUP($A60,Tariff_Table,Tariff!$N$33))</f>
        <v>0</v>
      </c>
      <c r="M60" s="334">
        <f t="shared" ca="1" si="5"/>
        <v>2092866.048</v>
      </c>
      <c r="N60" s="1113">
        <f t="shared" ca="1" si="6"/>
        <v>0</v>
      </c>
      <c r="O60" s="1113">
        <f ca="1">IF($A60&gt;Endyr,0,VLOOKUP($A60,Tariff_Table,Tariff!$O$33))</f>
        <v>3260.9134800000002</v>
      </c>
      <c r="P60" s="113">
        <f ca="1">VLOOKUP($A60,Curves_Table,Escalation!$AP$291)</f>
        <v>1.2003493342906499</v>
      </c>
      <c r="Q60" s="328">
        <f t="shared" ca="1" si="7"/>
        <v>3914.2353248974068</v>
      </c>
      <c r="R60" s="692" t="str">
        <f t="shared" ca="1" si="1"/>
        <v xml:space="preserve"> </v>
      </c>
    </row>
    <row r="61" spans="1:18">
      <c r="A61" s="672">
        <f>'Annex 12-Gas'!A61</f>
        <v>38443</v>
      </c>
      <c r="C61" s="697">
        <f ca="1">IF($A61&gt;Endyr,0,VLOOKUP($A61,Tariff_Table,Tariff!$L$33))</f>
        <v>1.21</v>
      </c>
      <c r="D61" s="113">
        <f ca="1">VLOOKUP($A61,Curves_Table,Escalation!$AL$291)</f>
        <v>1.1895290466584547</v>
      </c>
      <c r="E61" s="333">
        <f t="shared" ca="1" si="2"/>
        <v>1.4393301464567301</v>
      </c>
      <c r="F61" s="331">
        <f ca="1">IF($A61&gt;Endyr,0,VLOOKUP($A61,Tariff_Table,Tariff!$M$33))</f>
        <v>0.25</v>
      </c>
      <c r="G61" s="333">
        <f t="shared" ca="1" si="3"/>
        <v>1.6893301464567301</v>
      </c>
      <c r="H61" s="334">
        <f ca="1">VLOOKUP($A61,Plant_Table,'Plant Operations'!$T$270)</f>
        <v>2025354.24</v>
      </c>
      <c r="I61" s="335">
        <f t="shared" ca="1" si="4"/>
        <v>3421.4919748859593</v>
      </c>
      <c r="J61" s="698" t="str">
        <f t="shared" ca="1" si="0"/>
        <v xml:space="preserve"> </v>
      </c>
      <c r="L61" s="699">
        <f ca="1">IF($A61&lt;Startops2,0,VLOOKUP($A61,Tariff_Table,Tariff!$N$33))</f>
        <v>0</v>
      </c>
      <c r="M61" s="334">
        <f t="shared" ca="1" si="5"/>
        <v>2025354.24</v>
      </c>
      <c r="N61" s="1113">
        <f t="shared" ca="1" si="6"/>
        <v>0</v>
      </c>
      <c r="O61" s="1113">
        <f ca="1">IF($A61&gt;Endyr,0,VLOOKUP($A61,Tariff_Table,Tariff!$O$33))</f>
        <v>3260.9134800000002</v>
      </c>
      <c r="P61" s="113">
        <f ca="1">VLOOKUP($A61,Curves_Table,Escalation!$AP$291)</f>
        <v>1.2003493342906499</v>
      </c>
      <c r="Q61" s="328">
        <f t="shared" ca="1" si="7"/>
        <v>3914.2353248974068</v>
      </c>
      <c r="R61" s="692" t="str">
        <f t="shared" ca="1" si="1"/>
        <v xml:space="preserve"> </v>
      </c>
    </row>
    <row r="62" spans="1:18">
      <c r="A62" s="672">
        <f>'Annex 12-Gas'!A62</f>
        <v>38473</v>
      </c>
      <c r="C62" s="697">
        <f ca="1">IF($A62&gt;Endyr,0,VLOOKUP($A62,Tariff_Table,Tariff!$L$33))</f>
        <v>1.21</v>
      </c>
      <c r="D62" s="113">
        <f ca="1">VLOOKUP($A62,Curves_Table,Escalation!$AL$291)</f>
        <v>1.2205198815232174</v>
      </c>
      <c r="E62" s="333">
        <f t="shared" ca="1" si="2"/>
        <v>1.4768290566430931</v>
      </c>
      <c r="F62" s="331">
        <f ca="1">IF($A62&gt;Endyr,0,VLOOKUP($A62,Tariff_Table,Tariff!$M$33))</f>
        <v>0.25</v>
      </c>
      <c r="G62" s="333">
        <f t="shared" ca="1" si="3"/>
        <v>1.7268290566430931</v>
      </c>
      <c r="H62" s="334">
        <f ca="1">VLOOKUP($A62,Plant_Table,'Plant Operations'!$T$270)</f>
        <v>2092866.048</v>
      </c>
      <c r="I62" s="335">
        <f t="shared" ca="1" si="4"/>
        <v>3614.0219033481981</v>
      </c>
      <c r="J62" s="698" t="str">
        <f t="shared" ca="1" si="0"/>
        <v xml:space="preserve"> </v>
      </c>
      <c r="L62" s="699">
        <f ca="1">IF($A62&lt;Startops2,0,VLOOKUP($A62,Tariff_Table,Tariff!$N$33))</f>
        <v>0</v>
      </c>
      <c r="M62" s="334">
        <f t="shared" ca="1" si="5"/>
        <v>2092866.048</v>
      </c>
      <c r="N62" s="1113">
        <f t="shared" ca="1" si="6"/>
        <v>0</v>
      </c>
      <c r="O62" s="1113">
        <f ca="1">IF($A62&gt;Endyr,0,VLOOKUP($A62,Tariff_Table,Tariff!$O$33))</f>
        <v>3255.8715299999999</v>
      </c>
      <c r="P62" s="113">
        <f ca="1">VLOOKUP($A62,Curves_Table,Escalation!$AP$291)</f>
        <v>1.2346229437596627</v>
      </c>
      <c r="Q62" s="328">
        <f t="shared" ca="1" si="7"/>
        <v>4019.7736928718768</v>
      </c>
      <c r="R62" s="692" t="str">
        <f t="shared" ca="1" si="1"/>
        <v xml:space="preserve"> </v>
      </c>
    </row>
    <row r="63" spans="1:18">
      <c r="A63" s="672">
        <f>'Annex 12-Gas'!A63</f>
        <v>38504</v>
      </c>
      <c r="C63" s="697">
        <f ca="1">IF($A63&gt;Endyr,0,VLOOKUP($A63,Tariff_Table,Tariff!$L$33))</f>
        <v>1.21</v>
      </c>
      <c r="D63" s="113">
        <f ca="1">VLOOKUP($A63,Curves_Table,Escalation!$AL$291)</f>
        <v>1.2205198815232174</v>
      </c>
      <c r="E63" s="333">
        <f t="shared" ca="1" si="2"/>
        <v>1.4768290566430931</v>
      </c>
      <c r="F63" s="331">
        <f ca="1">IF($A63&gt;Endyr,0,VLOOKUP($A63,Tariff_Table,Tariff!$M$33))</f>
        <v>0.25</v>
      </c>
      <c r="G63" s="333">
        <f t="shared" ca="1" si="3"/>
        <v>1.7268290566430931</v>
      </c>
      <c r="H63" s="334">
        <f ca="1">VLOOKUP($A63,Plant_Table,'Plant Operations'!$T$270)</f>
        <v>2025354.24</v>
      </c>
      <c r="I63" s="335">
        <f t="shared" ca="1" si="4"/>
        <v>3497.4405516272886</v>
      </c>
      <c r="J63" s="698" t="str">
        <f t="shared" ca="1" si="0"/>
        <v xml:space="preserve"> </v>
      </c>
      <c r="L63" s="699">
        <f ca="1">IF($A63&lt;Startops2,0,VLOOKUP($A63,Tariff_Table,Tariff!$N$33))</f>
        <v>0</v>
      </c>
      <c r="M63" s="334">
        <f t="shared" ca="1" si="5"/>
        <v>2025354.24</v>
      </c>
      <c r="N63" s="1113">
        <f t="shared" ca="1" si="6"/>
        <v>0</v>
      </c>
      <c r="O63" s="1113">
        <f ca="1">IF($A63&gt;Endyr,0,VLOOKUP($A63,Tariff_Table,Tariff!$O$33))</f>
        <v>3255.8715299999999</v>
      </c>
      <c r="P63" s="113">
        <f ca="1">VLOOKUP($A63,Curves_Table,Escalation!$AP$291)</f>
        <v>1.2346229437596627</v>
      </c>
      <c r="Q63" s="328">
        <f t="shared" ca="1" si="7"/>
        <v>4019.7736928718768</v>
      </c>
      <c r="R63" s="692" t="str">
        <f t="shared" ca="1" si="1"/>
        <v xml:space="preserve"> </v>
      </c>
    </row>
    <row r="64" spans="1:18">
      <c r="A64" s="672">
        <f>'Annex 12-Gas'!A64</f>
        <v>38534</v>
      </c>
      <c r="C64" s="697">
        <f ca="1">IF($A64&gt;Endyr,0,VLOOKUP($A64,Tariff_Table,Tariff!$L$33))</f>
        <v>1.21</v>
      </c>
      <c r="D64" s="113">
        <f ca="1">VLOOKUP($A64,Curves_Table,Escalation!$AL$291)</f>
        <v>1.2205198815232174</v>
      </c>
      <c r="E64" s="333">
        <f t="shared" ca="1" si="2"/>
        <v>1.4768290566430931</v>
      </c>
      <c r="F64" s="331">
        <f ca="1">IF($A64&gt;Endyr,0,VLOOKUP($A64,Tariff_Table,Tariff!$M$33))</f>
        <v>0.25</v>
      </c>
      <c r="G64" s="333">
        <f t="shared" ca="1" si="3"/>
        <v>1.7268290566430931</v>
      </c>
      <c r="H64" s="334">
        <f ca="1">VLOOKUP($A64,Plant_Table,'Plant Operations'!$T$270)</f>
        <v>2092866.048</v>
      </c>
      <c r="I64" s="335">
        <f t="shared" ca="1" si="4"/>
        <v>3614.0219033481981</v>
      </c>
      <c r="J64" s="698" t="str">
        <f t="shared" ca="1" si="0"/>
        <v xml:space="preserve"> </v>
      </c>
      <c r="L64" s="699">
        <f ca="1">IF($A64&lt;Startops2,0,VLOOKUP($A64,Tariff_Table,Tariff!$N$33))</f>
        <v>0</v>
      </c>
      <c r="M64" s="334">
        <f t="shared" ca="1" si="5"/>
        <v>2092866.048</v>
      </c>
      <c r="N64" s="1113">
        <f t="shared" ca="1" si="6"/>
        <v>0</v>
      </c>
      <c r="O64" s="1113">
        <f ca="1">IF($A64&gt;Endyr,0,VLOOKUP($A64,Tariff_Table,Tariff!$O$33))</f>
        <v>3255.8715299999999</v>
      </c>
      <c r="P64" s="113">
        <f ca="1">VLOOKUP($A64,Curves_Table,Escalation!$AP$291)</f>
        <v>1.2346229437596627</v>
      </c>
      <c r="Q64" s="328">
        <f t="shared" ca="1" si="7"/>
        <v>4019.7736928718768</v>
      </c>
      <c r="R64" s="692" t="str">
        <f t="shared" ca="1" si="1"/>
        <v xml:space="preserve"> </v>
      </c>
    </row>
    <row r="65" spans="1:18">
      <c r="A65" s="672">
        <f>'Annex 12-Gas'!A65</f>
        <v>38565</v>
      </c>
      <c r="C65" s="697">
        <f ca="1">IF($A65&gt;Endyr,0,VLOOKUP($A65,Tariff_Table,Tariff!$L$33))</f>
        <v>1.21</v>
      </c>
      <c r="D65" s="113">
        <f ca="1">VLOOKUP($A65,Curves_Table,Escalation!$AL$291)</f>
        <v>1.2205198815232174</v>
      </c>
      <c r="E65" s="333">
        <f t="shared" ca="1" si="2"/>
        <v>1.4768290566430931</v>
      </c>
      <c r="F65" s="331">
        <f ca="1">IF($A65&gt;Endyr,0,VLOOKUP($A65,Tariff_Table,Tariff!$M$33))</f>
        <v>0.25</v>
      </c>
      <c r="G65" s="333">
        <f t="shared" ca="1" si="3"/>
        <v>1.7268290566430931</v>
      </c>
      <c r="H65" s="334">
        <f ca="1">VLOOKUP($A65,Plant_Table,'Plant Operations'!$T$270)</f>
        <v>2092866.048</v>
      </c>
      <c r="I65" s="335">
        <f t="shared" ca="1" si="4"/>
        <v>3614.0219033481981</v>
      </c>
      <c r="J65" s="698" t="str">
        <f t="shared" ca="1" si="0"/>
        <v xml:space="preserve"> </v>
      </c>
      <c r="L65" s="699">
        <f ca="1">IF($A65&lt;Startops2,0,VLOOKUP($A65,Tariff_Table,Tariff!$N$33))</f>
        <v>0</v>
      </c>
      <c r="M65" s="334">
        <f t="shared" ca="1" si="5"/>
        <v>2092866.048</v>
      </c>
      <c r="N65" s="1113">
        <f t="shared" ca="1" si="6"/>
        <v>0</v>
      </c>
      <c r="O65" s="1113">
        <f ca="1">IF($A65&gt;Endyr,0,VLOOKUP($A65,Tariff_Table,Tariff!$O$33))</f>
        <v>3255.8715299999999</v>
      </c>
      <c r="P65" s="113">
        <f ca="1">VLOOKUP($A65,Curves_Table,Escalation!$AP$291)</f>
        <v>1.2346229437596627</v>
      </c>
      <c r="Q65" s="328">
        <f t="shared" ca="1" si="7"/>
        <v>4019.7736928718768</v>
      </c>
      <c r="R65" s="692" t="str">
        <f t="shared" ca="1" si="1"/>
        <v xml:space="preserve"> </v>
      </c>
    </row>
    <row r="66" spans="1:18">
      <c r="A66" s="672">
        <f>'Annex 12-Gas'!A66</f>
        <v>38596</v>
      </c>
      <c r="C66" s="697">
        <f ca="1">IF($A66&gt;Endyr,0,VLOOKUP($A66,Tariff_Table,Tariff!$L$33))</f>
        <v>1.21</v>
      </c>
      <c r="D66" s="113">
        <f ca="1">VLOOKUP($A66,Curves_Table,Escalation!$AL$291)</f>
        <v>1.2205198815232174</v>
      </c>
      <c r="E66" s="333">
        <f t="shared" ca="1" si="2"/>
        <v>1.4768290566430931</v>
      </c>
      <c r="F66" s="331">
        <f ca="1">IF($A66&gt;Endyr,0,VLOOKUP($A66,Tariff_Table,Tariff!$M$33))</f>
        <v>0.25</v>
      </c>
      <c r="G66" s="333">
        <f t="shared" ca="1" si="3"/>
        <v>1.7268290566430931</v>
      </c>
      <c r="H66" s="334">
        <f ca="1">VLOOKUP($A66,Plant_Table,'Plant Operations'!$T$270)</f>
        <v>2025354.24</v>
      </c>
      <c r="I66" s="335">
        <f t="shared" ca="1" si="4"/>
        <v>3497.4405516272886</v>
      </c>
      <c r="J66" s="698" t="str">
        <f t="shared" ca="1" si="0"/>
        <v xml:space="preserve"> </v>
      </c>
      <c r="L66" s="699">
        <f ca="1">IF($A66&lt;Startops2,0,VLOOKUP($A66,Tariff_Table,Tariff!$N$33))</f>
        <v>0</v>
      </c>
      <c r="M66" s="334">
        <f t="shared" ca="1" si="5"/>
        <v>2025354.24</v>
      </c>
      <c r="N66" s="1113">
        <f t="shared" ca="1" si="6"/>
        <v>0</v>
      </c>
      <c r="O66" s="1113">
        <f ca="1">IF($A66&gt;Endyr,0,VLOOKUP($A66,Tariff_Table,Tariff!$O$33))</f>
        <v>3255.8715299999999</v>
      </c>
      <c r="P66" s="113">
        <f ca="1">VLOOKUP($A66,Curves_Table,Escalation!$AP$291)</f>
        <v>1.2346229437596627</v>
      </c>
      <c r="Q66" s="328">
        <f t="shared" ca="1" si="7"/>
        <v>4019.7736928718768</v>
      </c>
      <c r="R66" s="692" t="str">
        <f t="shared" ca="1" si="1"/>
        <v xml:space="preserve"> </v>
      </c>
    </row>
    <row r="67" spans="1:18">
      <c r="A67" s="672">
        <f>'Annex 12-Gas'!A67</f>
        <v>38626</v>
      </c>
      <c r="C67" s="697">
        <f ca="1">IF($A67&gt;Endyr,0,VLOOKUP($A67,Tariff_Table,Tariff!$L$33))</f>
        <v>1.21</v>
      </c>
      <c r="D67" s="113">
        <f ca="1">VLOOKUP($A67,Curves_Table,Escalation!$AL$291)</f>
        <v>1.2205198815232174</v>
      </c>
      <c r="E67" s="333">
        <f t="shared" ca="1" si="2"/>
        <v>1.4768290566430931</v>
      </c>
      <c r="F67" s="331">
        <f ca="1">IF($A67&gt;Endyr,0,VLOOKUP($A67,Tariff_Table,Tariff!$M$33))</f>
        <v>0.25</v>
      </c>
      <c r="G67" s="333">
        <f t="shared" ca="1" si="3"/>
        <v>1.7268290566430931</v>
      </c>
      <c r="H67" s="334">
        <f ca="1">VLOOKUP($A67,Plant_Table,'Plant Operations'!$T$270)</f>
        <v>2092866.048</v>
      </c>
      <c r="I67" s="335">
        <f t="shared" ca="1" si="4"/>
        <v>3614.0219033481981</v>
      </c>
      <c r="J67" s="698" t="str">
        <f t="shared" ca="1" si="0"/>
        <v xml:space="preserve"> </v>
      </c>
      <c r="L67" s="699">
        <f ca="1">IF($A67&lt;Startops2,0,VLOOKUP($A67,Tariff_Table,Tariff!$N$33))</f>
        <v>0</v>
      </c>
      <c r="M67" s="334">
        <f t="shared" ca="1" si="5"/>
        <v>2092866.048</v>
      </c>
      <c r="N67" s="1113">
        <f t="shared" ca="1" si="6"/>
        <v>0</v>
      </c>
      <c r="O67" s="1113">
        <f ca="1">IF($A67&gt;Endyr,0,VLOOKUP($A67,Tariff_Table,Tariff!$O$33))</f>
        <v>3255.8715299999999</v>
      </c>
      <c r="P67" s="113">
        <f ca="1">VLOOKUP($A67,Curves_Table,Escalation!$AP$291)</f>
        <v>1.2346229437596627</v>
      </c>
      <c r="Q67" s="328">
        <f t="shared" ca="1" si="7"/>
        <v>4019.7736928718768</v>
      </c>
      <c r="R67" s="692" t="str">
        <f t="shared" ca="1" si="1"/>
        <v xml:space="preserve"> </v>
      </c>
    </row>
    <row r="68" spans="1:18">
      <c r="A68" s="672">
        <f>'Annex 12-Gas'!A68</f>
        <v>38657</v>
      </c>
      <c r="C68" s="697">
        <f ca="1">IF($A68&gt;Endyr,0,VLOOKUP($A68,Tariff_Table,Tariff!$L$33))</f>
        <v>1.21</v>
      </c>
      <c r="D68" s="113">
        <f ca="1">VLOOKUP($A68,Curves_Table,Escalation!$AL$291)</f>
        <v>1.2205198815232174</v>
      </c>
      <c r="E68" s="333">
        <f t="shared" ca="1" si="2"/>
        <v>1.4768290566430931</v>
      </c>
      <c r="F68" s="331">
        <f ca="1">IF($A68&gt;Endyr,0,VLOOKUP($A68,Tariff_Table,Tariff!$M$33))</f>
        <v>0.25</v>
      </c>
      <c r="G68" s="333">
        <f t="shared" ca="1" si="3"/>
        <v>1.7268290566430931</v>
      </c>
      <c r="H68" s="334">
        <f ca="1">VLOOKUP($A68,Plant_Table,'Plant Operations'!$T$270)</f>
        <v>2025354.24</v>
      </c>
      <c r="I68" s="335">
        <f t="shared" ca="1" si="4"/>
        <v>3497.4405516272886</v>
      </c>
      <c r="J68" s="698" t="str">
        <f t="shared" ca="1" si="0"/>
        <v xml:space="preserve"> </v>
      </c>
      <c r="L68" s="699">
        <f ca="1">IF($A68&lt;Startops2,0,VLOOKUP($A68,Tariff_Table,Tariff!$N$33))</f>
        <v>0</v>
      </c>
      <c r="M68" s="334">
        <f t="shared" ca="1" si="5"/>
        <v>2025354.24</v>
      </c>
      <c r="N68" s="1113">
        <f t="shared" ca="1" si="6"/>
        <v>0</v>
      </c>
      <c r="O68" s="1113">
        <f ca="1">IF($A68&gt;Endyr,0,VLOOKUP($A68,Tariff_Table,Tariff!$O$33))</f>
        <v>3255.8715299999999</v>
      </c>
      <c r="P68" s="113">
        <f ca="1">VLOOKUP($A68,Curves_Table,Escalation!$AP$291)</f>
        <v>1.2346229437596627</v>
      </c>
      <c r="Q68" s="328">
        <f t="shared" ca="1" si="7"/>
        <v>4019.7736928718768</v>
      </c>
      <c r="R68" s="692" t="str">
        <f t="shared" ca="1" si="1"/>
        <v xml:space="preserve"> </v>
      </c>
    </row>
    <row r="69" spans="1:18">
      <c r="A69" s="672">
        <f>'Annex 12-Gas'!A69</f>
        <v>38687</v>
      </c>
      <c r="C69" s="697">
        <f ca="1">IF($A69&gt;Endyr,0,VLOOKUP($A69,Tariff_Table,Tariff!$L$33))</f>
        <v>1.21</v>
      </c>
      <c r="D69" s="113">
        <f ca="1">VLOOKUP($A69,Curves_Table,Escalation!$AL$291)</f>
        <v>1.2205198815232174</v>
      </c>
      <c r="E69" s="333">
        <f t="shared" ca="1" si="2"/>
        <v>1.4768290566430931</v>
      </c>
      <c r="F69" s="331">
        <f ca="1">IF($A69&gt;Endyr,0,VLOOKUP($A69,Tariff_Table,Tariff!$M$33))</f>
        <v>0.25</v>
      </c>
      <c r="G69" s="333">
        <f t="shared" ca="1" si="3"/>
        <v>1.7268290566430931</v>
      </c>
      <c r="H69" s="334">
        <f ca="1">VLOOKUP($A69,Plant_Table,'Plant Operations'!$T$270)</f>
        <v>2092866.048</v>
      </c>
      <c r="I69" s="335">
        <f t="shared" ca="1" si="4"/>
        <v>3614.0219033481981</v>
      </c>
      <c r="J69" s="698">
        <f t="shared" ca="1" si="0"/>
        <v>42248.399071166699</v>
      </c>
      <c r="L69" s="699">
        <f ca="1">IF($A69&lt;Startops2,0,VLOOKUP($A69,Tariff_Table,Tariff!$N$33))</f>
        <v>0</v>
      </c>
      <c r="M69" s="334">
        <f t="shared" ca="1" si="5"/>
        <v>2092866.048</v>
      </c>
      <c r="N69" s="1113">
        <f t="shared" ca="1" si="6"/>
        <v>0</v>
      </c>
      <c r="O69" s="1113">
        <f ca="1">IF($A69&gt;Endyr,0,VLOOKUP($A69,Tariff_Table,Tariff!$O$33))</f>
        <v>3255.8715299999999</v>
      </c>
      <c r="P69" s="113">
        <f ca="1">VLOOKUP($A69,Curves_Table,Escalation!$AP$291)</f>
        <v>1.2346229437596627</v>
      </c>
      <c r="Q69" s="328">
        <f t="shared" ca="1" si="7"/>
        <v>4019.7736928718768</v>
      </c>
      <c r="R69" s="692">
        <f t="shared" ca="1" si="1"/>
        <v>47815.130842564657</v>
      </c>
    </row>
    <row r="70" spans="1:18">
      <c r="A70" s="672">
        <f>'Annex 12-Gas'!A70</f>
        <v>38718</v>
      </c>
      <c r="C70" s="697">
        <f ca="1">IF($A70&gt;Endyr,0,VLOOKUP($A70,Tariff_Table,Tariff!$L$33))</f>
        <v>1.21</v>
      </c>
      <c r="D70" s="113">
        <f ca="1">VLOOKUP($A70,Curves_Table,Escalation!$AL$291)</f>
        <v>1.2205198815232174</v>
      </c>
      <c r="E70" s="333">
        <f t="shared" ca="1" si="2"/>
        <v>1.4768290566430931</v>
      </c>
      <c r="F70" s="331">
        <f ca="1">IF($A70&gt;Endyr,0,VLOOKUP($A70,Tariff_Table,Tariff!$M$33))</f>
        <v>0.25</v>
      </c>
      <c r="G70" s="333">
        <f t="shared" ca="1" si="3"/>
        <v>1.7268290566430931</v>
      </c>
      <c r="H70" s="334">
        <f ca="1">VLOOKUP($A70,Plant_Table,'Plant Operations'!$T$270)</f>
        <v>2092866.048</v>
      </c>
      <c r="I70" s="335">
        <f t="shared" ca="1" si="4"/>
        <v>3614.0219033481981</v>
      </c>
      <c r="J70" s="698" t="str">
        <f t="shared" ca="1" si="0"/>
        <v xml:space="preserve"> </v>
      </c>
      <c r="L70" s="699">
        <f ca="1">IF($A70&lt;Startops2,0,VLOOKUP($A70,Tariff_Table,Tariff!$N$33))</f>
        <v>0</v>
      </c>
      <c r="M70" s="334">
        <f t="shared" ca="1" si="5"/>
        <v>2092866.048</v>
      </c>
      <c r="N70" s="1113">
        <f t="shared" ca="1" si="6"/>
        <v>0</v>
      </c>
      <c r="O70" s="1113">
        <f ca="1">IF($A70&gt;Endyr,0,VLOOKUP($A70,Tariff_Table,Tariff!$O$33))</f>
        <v>3255.8715299999999</v>
      </c>
      <c r="P70" s="113">
        <f ca="1">VLOOKUP($A70,Curves_Table,Escalation!$AP$291)</f>
        <v>1.2346229437596627</v>
      </c>
      <c r="Q70" s="328">
        <f t="shared" ca="1" si="7"/>
        <v>4019.7736928718768</v>
      </c>
      <c r="R70" s="692" t="str">
        <f t="shared" ca="1" si="1"/>
        <v xml:space="preserve"> </v>
      </c>
    </row>
    <row r="71" spans="1:18">
      <c r="A71" s="672">
        <f>'Annex 12-Gas'!A71</f>
        <v>38749</v>
      </c>
      <c r="C71" s="697">
        <f ca="1">IF($A71&gt;Endyr,0,VLOOKUP($A71,Tariff_Table,Tariff!$L$33))</f>
        <v>1.21</v>
      </c>
      <c r="D71" s="113">
        <f ca="1">VLOOKUP($A71,Curves_Table,Escalation!$AL$291)</f>
        <v>1.2205198815232174</v>
      </c>
      <c r="E71" s="333">
        <f t="shared" ca="1" si="2"/>
        <v>1.4768290566430931</v>
      </c>
      <c r="F71" s="331">
        <f ca="1">IF($A71&gt;Endyr,0,VLOOKUP($A71,Tariff_Table,Tariff!$M$33))</f>
        <v>0.25</v>
      </c>
      <c r="G71" s="333">
        <f t="shared" ca="1" si="3"/>
        <v>1.7268290566430931</v>
      </c>
      <c r="H71" s="334">
        <f ca="1">VLOOKUP($A71,Plant_Table,'Plant Operations'!$T$270)</f>
        <v>1890330.6240000003</v>
      </c>
      <c r="I71" s="335">
        <f t="shared" ca="1" si="4"/>
        <v>3264.2778481854698</v>
      </c>
      <c r="J71" s="698" t="str">
        <f t="shared" ca="1" si="0"/>
        <v xml:space="preserve"> </v>
      </c>
      <c r="L71" s="699">
        <f ca="1">IF($A71&lt;Startops2,0,VLOOKUP($A71,Tariff_Table,Tariff!$N$33))</f>
        <v>0</v>
      </c>
      <c r="M71" s="334">
        <f t="shared" ca="1" si="5"/>
        <v>1890330.6240000003</v>
      </c>
      <c r="N71" s="1113">
        <f t="shared" ca="1" si="6"/>
        <v>0</v>
      </c>
      <c r="O71" s="1113">
        <f ca="1">IF($A71&gt;Endyr,0,VLOOKUP($A71,Tariff_Table,Tariff!$O$33))</f>
        <v>3255.8715299999999</v>
      </c>
      <c r="P71" s="113">
        <f ca="1">VLOOKUP($A71,Curves_Table,Escalation!$AP$291)</f>
        <v>1.2346229437596627</v>
      </c>
      <c r="Q71" s="328">
        <f t="shared" ca="1" si="7"/>
        <v>4019.7736928718768</v>
      </c>
      <c r="R71" s="692" t="str">
        <f t="shared" ca="1" si="1"/>
        <v xml:space="preserve"> </v>
      </c>
    </row>
    <row r="72" spans="1:18">
      <c r="A72" s="672">
        <f>'Annex 12-Gas'!A72</f>
        <v>38777</v>
      </c>
      <c r="C72" s="697">
        <f ca="1">IF($A72&gt;Endyr,0,VLOOKUP($A72,Tariff_Table,Tariff!$L$33))</f>
        <v>1.21</v>
      </c>
      <c r="D72" s="113">
        <f ca="1">VLOOKUP($A72,Curves_Table,Escalation!$AL$291)</f>
        <v>1.2205198815232174</v>
      </c>
      <c r="E72" s="333">
        <f t="shared" ca="1" si="2"/>
        <v>1.4768290566430931</v>
      </c>
      <c r="F72" s="331">
        <f ca="1">IF($A72&gt;Endyr,0,VLOOKUP($A72,Tariff_Table,Tariff!$M$33))</f>
        <v>0.25</v>
      </c>
      <c r="G72" s="333">
        <f t="shared" ca="1" si="3"/>
        <v>1.7268290566430931</v>
      </c>
      <c r="H72" s="334">
        <f ca="1">VLOOKUP($A72,Plant_Table,'Plant Operations'!$T$270)</f>
        <v>2092866.048</v>
      </c>
      <c r="I72" s="335">
        <f t="shared" ca="1" si="4"/>
        <v>3614.0219033481981</v>
      </c>
      <c r="J72" s="698" t="str">
        <f t="shared" ca="1" si="0"/>
        <v xml:space="preserve"> </v>
      </c>
      <c r="L72" s="699">
        <f ca="1">IF($A72&lt;Startops2,0,VLOOKUP($A72,Tariff_Table,Tariff!$N$33))</f>
        <v>0</v>
      </c>
      <c r="M72" s="334">
        <f t="shared" ca="1" si="5"/>
        <v>2092866.048</v>
      </c>
      <c r="N72" s="1113">
        <f t="shared" ca="1" si="6"/>
        <v>0</v>
      </c>
      <c r="O72" s="1113">
        <f ca="1">IF($A72&gt;Endyr,0,VLOOKUP($A72,Tariff_Table,Tariff!$O$33))</f>
        <v>3255.8715299999999</v>
      </c>
      <c r="P72" s="113">
        <f ca="1">VLOOKUP($A72,Curves_Table,Escalation!$AP$291)</f>
        <v>1.2346229437596627</v>
      </c>
      <c r="Q72" s="328">
        <f t="shared" ca="1" si="7"/>
        <v>4019.7736928718768</v>
      </c>
      <c r="R72" s="692" t="str">
        <f t="shared" ca="1" si="1"/>
        <v xml:space="preserve"> </v>
      </c>
    </row>
    <row r="73" spans="1:18">
      <c r="A73" s="672">
        <f>'Annex 12-Gas'!A73</f>
        <v>38808</v>
      </c>
      <c r="C73" s="697">
        <f ca="1">IF($A73&gt;Endyr,0,VLOOKUP($A73,Tariff_Table,Tariff!$L$33))</f>
        <v>1.21</v>
      </c>
      <c r="D73" s="113">
        <f ca="1">VLOOKUP($A73,Curves_Table,Escalation!$AL$291)</f>
        <v>1.2205198815232174</v>
      </c>
      <c r="E73" s="333">
        <f t="shared" ca="1" si="2"/>
        <v>1.4768290566430931</v>
      </c>
      <c r="F73" s="331">
        <f ca="1">IF($A73&gt;Endyr,0,VLOOKUP($A73,Tariff_Table,Tariff!$M$33))</f>
        <v>0.25</v>
      </c>
      <c r="G73" s="333">
        <f t="shared" ca="1" si="3"/>
        <v>1.7268290566430931</v>
      </c>
      <c r="H73" s="334">
        <f ca="1">VLOOKUP($A73,Plant_Table,'Plant Operations'!$T$270)</f>
        <v>2025354.24</v>
      </c>
      <c r="I73" s="335">
        <f t="shared" ca="1" si="4"/>
        <v>3497.4405516272886</v>
      </c>
      <c r="J73" s="698" t="str">
        <f t="shared" ca="1" si="0"/>
        <v xml:space="preserve"> </v>
      </c>
      <c r="L73" s="699">
        <f ca="1">IF($A73&lt;Startops2,0,VLOOKUP($A73,Tariff_Table,Tariff!$N$33))</f>
        <v>0</v>
      </c>
      <c r="M73" s="334">
        <f t="shared" ca="1" si="5"/>
        <v>2025354.24</v>
      </c>
      <c r="N73" s="1113">
        <f t="shared" ca="1" si="6"/>
        <v>0</v>
      </c>
      <c r="O73" s="1113">
        <f ca="1">IF($A73&gt;Endyr,0,VLOOKUP($A73,Tariff_Table,Tariff!$O$33))</f>
        <v>3255.8715299999999</v>
      </c>
      <c r="P73" s="113">
        <f ca="1">VLOOKUP($A73,Curves_Table,Escalation!$AP$291)</f>
        <v>1.2346229437596627</v>
      </c>
      <c r="Q73" s="328">
        <f t="shared" ca="1" si="7"/>
        <v>4019.7736928718768</v>
      </c>
      <c r="R73" s="692" t="str">
        <f t="shared" ca="1" si="1"/>
        <v xml:space="preserve"> </v>
      </c>
    </row>
    <row r="74" spans="1:18">
      <c r="A74" s="672">
        <f>'Annex 12-Gas'!A74</f>
        <v>38838</v>
      </c>
      <c r="C74" s="697">
        <f ca="1">IF($A74&gt;Endyr,0,VLOOKUP($A74,Tariff_Table,Tariff!$L$33))</f>
        <v>1.21</v>
      </c>
      <c r="D74" s="113">
        <f ca="1">VLOOKUP($A74,Curves_Table,Escalation!$AL$291)</f>
        <v>1.2516417249387861</v>
      </c>
      <c r="E74" s="333">
        <f t="shared" ca="1" si="2"/>
        <v>1.5144864871759312</v>
      </c>
      <c r="F74" s="331">
        <f ca="1">IF($A74&gt;Endyr,0,VLOOKUP($A74,Tariff_Table,Tariff!$M$33))</f>
        <v>0.25</v>
      </c>
      <c r="G74" s="333">
        <f t="shared" ca="1" si="3"/>
        <v>1.7644864871759312</v>
      </c>
      <c r="H74" s="334">
        <f ca="1">VLOOKUP($A74,Plant_Table,'Plant Operations'!$T$270)</f>
        <v>2092866.048</v>
      </c>
      <c r="I74" s="335">
        <f t="shared" ca="1" si="4"/>
        <v>3692.8338611652935</v>
      </c>
      <c r="J74" s="698" t="str">
        <f t="shared" ca="1" si="0"/>
        <v xml:space="preserve"> </v>
      </c>
      <c r="L74" s="699">
        <f ca="1">IF($A74&lt;Startops2,0,VLOOKUP($A74,Tariff_Table,Tariff!$N$33))</f>
        <v>0</v>
      </c>
      <c r="M74" s="334">
        <f t="shared" ca="1" si="5"/>
        <v>2092866.048</v>
      </c>
      <c r="N74" s="1113">
        <f t="shared" ca="1" si="6"/>
        <v>0</v>
      </c>
      <c r="O74" s="1113">
        <f ca="1">IF($A74&gt;Endyr,0,VLOOKUP($A74,Tariff_Table,Tariff!$O$33))</f>
        <v>3259.7406099999998</v>
      </c>
      <c r="P74" s="113">
        <f ca="1">VLOOKUP($A74,Curves_Table,Escalation!$AP$291)</f>
        <v>1.2691909562879884</v>
      </c>
      <c r="Q74" s="328">
        <f t="shared" ca="1" si="7"/>
        <v>4137.2333020566903</v>
      </c>
      <c r="R74" s="692" t="str">
        <f t="shared" ca="1" si="1"/>
        <v xml:space="preserve"> </v>
      </c>
    </row>
    <row r="75" spans="1:18">
      <c r="A75" s="672">
        <f>'Annex 12-Gas'!A75</f>
        <v>38869</v>
      </c>
      <c r="C75" s="697">
        <f ca="1">IF($A75&gt;Endyr,0,VLOOKUP($A75,Tariff_Table,Tariff!$L$33))</f>
        <v>1.21</v>
      </c>
      <c r="D75" s="113">
        <f ca="1">VLOOKUP($A75,Curves_Table,Escalation!$AL$291)</f>
        <v>1.2516417249387861</v>
      </c>
      <c r="E75" s="333">
        <f t="shared" ca="1" si="2"/>
        <v>1.5144864871759312</v>
      </c>
      <c r="F75" s="331">
        <f ca="1">IF($A75&gt;Endyr,0,VLOOKUP($A75,Tariff_Table,Tariff!$M$33))</f>
        <v>0.25</v>
      </c>
      <c r="G75" s="333">
        <f t="shared" ca="1" si="3"/>
        <v>1.7644864871759312</v>
      </c>
      <c r="H75" s="334">
        <f ca="1">VLOOKUP($A75,Plant_Table,'Plant Operations'!$T$270)</f>
        <v>2025354.24</v>
      </c>
      <c r="I75" s="335">
        <f t="shared" ca="1" si="4"/>
        <v>3573.7101882244779</v>
      </c>
      <c r="J75" s="698" t="str">
        <f t="shared" ca="1" si="0"/>
        <v xml:space="preserve"> </v>
      </c>
      <c r="L75" s="699">
        <f ca="1">IF($A75&lt;Startops2,0,VLOOKUP($A75,Tariff_Table,Tariff!$N$33))</f>
        <v>0</v>
      </c>
      <c r="M75" s="334">
        <f t="shared" ca="1" si="5"/>
        <v>2025354.24</v>
      </c>
      <c r="N75" s="1113">
        <f t="shared" ca="1" si="6"/>
        <v>0</v>
      </c>
      <c r="O75" s="1113">
        <f ca="1">IF($A75&gt;Endyr,0,VLOOKUP($A75,Tariff_Table,Tariff!$O$33))</f>
        <v>3259.7406099999998</v>
      </c>
      <c r="P75" s="113">
        <f ca="1">VLOOKUP($A75,Curves_Table,Escalation!$AP$291)</f>
        <v>1.2691909562879884</v>
      </c>
      <c r="Q75" s="328">
        <f t="shared" ca="1" si="7"/>
        <v>4137.2333020566903</v>
      </c>
      <c r="R75" s="692" t="str">
        <f t="shared" ca="1" si="1"/>
        <v xml:space="preserve"> </v>
      </c>
    </row>
    <row r="76" spans="1:18">
      <c r="A76" s="672">
        <f>'Annex 12-Gas'!A76</f>
        <v>38899</v>
      </c>
      <c r="C76" s="697">
        <f ca="1">IF($A76&gt;Endyr,0,VLOOKUP($A76,Tariff_Table,Tariff!$L$33))</f>
        <v>1.21</v>
      </c>
      <c r="D76" s="113">
        <f ca="1">VLOOKUP($A76,Curves_Table,Escalation!$AL$291)</f>
        <v>1.2516417249387861</v>
      </c>
      <c r="E76" s="333">
        <f t="shared" ca="1" si="2"/>
        <v>1.5144864871759312</v>
      </c>
      <c r="F76" s="331">
        <f ca="1">IF($A76&gt;Endyr,0,VLOOKUP($A76,Tariff_Table,Tariff!$M$33))</f>
        <v>0.25</v>
      </c>
      <c r="G76" s="333">
        <f t="shared" ca="1" si="3"/>
        <v>1.7644864871759312</v>
      </c>
      <c r="H76" s="334">
        <f ca="1">VLOOKUP($A76,Plant_Table,'Plant Operations'!$T$270)</f>
        <v>2092866.048</v>
      </c>
      <c r="I76" s="335">
        <f t="shared" ca="1" si="4"/>
        <v>3692.8338611652935</v>
      </c>
      <c r="J76" s="698" t="str">
        <f t="shared" ca="1" si="0"/>
        <v xml:space="preserve"> </v>
      </c>
      <c r="L76" s="699">
        <f ca="1">IF($A76&lt;Startops2,0,VLOOKUP($A76,Tariff_Table,Tariff!$N$33))</f>
        <v>0</v>
      </c>
      <c r="M76" s="334">
        <f t="shared" ca="1" si="5"/>
        <v>2092866.048</v>
      </c>
      <c r="N76" s="1113">
        <f t="shared" ca="1" si="6"/>
        <v>0</v>
      </c>
      <c r="O76" s="1113">
        <f ca="1">IF($A76&gt;Endyr,0,VLOOKUP($A76,Tariff_Table,Tariff!$O$33))</f>
        <v>3259.7406099999998</v>
      </c>
      <c r="P76" s="113">
        <f ca="1">VLOOKUP($A76,Curves_Table,Escalation!$AP$291)</f>
        <v>1.2691909562879884</v>
      </c>
      <c r="Q76" s="328">
        <f t="shared" ca="1" si="7"/>
        <v>4137.2333020566903</v>
      </c>
      <c r="R76" s="692" t="str">
        <f t="shared" ref="R76:R139" ca="1" si="8">IF(MONTH($A76)=12,SUM(Q65:Q76)," ")</f>
        <v xml:space="preserve"> </v>
      </c>
    </row>
    <row r="77" spans="1:18">
      <c r="A77" s="672">
        <f>'Annex 12-Gas'!A77</f>
        <v>38930</v>
      </c>
      <c r="C77" s="697">
        <f ca="1">IF($A77&gt;Endyr,0,VLOOKUP($A77,Tariff_Table,Tariff!$L$33))</f>
        <v>1.21</v>
      </c>
      <c r="D77" s="113">
        <f ca="1">VLOOKUP($A77,Curves_Table,Escalation!$AL$291)</f>
        <v>1.2516417249387861</v>
      </c>
      <c r="E77" s="333">
        <f t="shared" ref="E77:E140" ca="1" si="9">C77*D77</f>
        <v>1.5144864871759312</v>
      </c>
      <c r="F77" s="331">
        <f ca="1">IF($A77&gt;Endyr,0,VLOOKUP($A77,Tariff_Table,Tariff!$M$33))</f>
        <v>0.25</v>
      </c>
      <c r="G77" s="333">
        <f t="shared" ref="G77:G140" ca="1" si="10">SUM(E77,F77)</f>
        <v>1.7644864871759312</v>
      </c>
      <c r="H77" s="334">
        <f ca="1">VLOOKUP($A77,Plant_Table,'Plant Operations'!$T$270)</f>
        <v>2092866.048</v>
      </c>
      <c r="I77" s="335">
        <f t="shared" ref="I77:I140" ca="1" si="11">G77*H77/1000</f>
        <v>3692.8338611652935</v>
      </c>
      <c r="J77" s="698" t="str">
        <f t="shared" ref="J77:J140" ca="1" si="12">IF(MONTH($A77)=12,SUM(I66:I77)," ")</f>
        <v xml:space="preserve"> </v>
      </c>
      <c r="L77" s="699">
        <f ca="1">IF($A77&lt;Startops2,0,VLOOKUP($A77,Tariff_Table,Tariff!$N$33))</f>
        <v>0</v>
      </c>
      <c r="M77" s="334">
        <f t="shared" ref="M77:M140" ca="1" si="13">H77</f>
        <v>2092866.048</v>
      </c>
      <c r="N77" s="1113">
        <f t="shared" ref="N77:N140" ca="1" si="14">L77*M77/1000</f>
        <v>0</v>
      </c>
      <c r="O77" s="1113">
        <f ca="1">IF($A77&gt;Endyr,0,VLOOKUP($A77,Tariff_Table,Tariff!$O$33))</f>
        <v>3259.7406099999998</v>
      </c>
      <c r="P77" s="113">
        <f ca="1">VLOOKUP($A77,Curves_Table,Escalation!$AP$291)</f>
        <v>1.2691909562879884</v>
      </c>
      <c r="Q77" s="328">
        <f t="shared" ref="Q77:Q140" ca="1" si="15">SUM(N77,O77)*P77</f>
        <v>4137.2333020566903</v>
      </c>
      <c r="R77" s="692" t="str">
        <f t="shared" ca="1" si="8"/>
        <v xml:space="preserve"> </v>
      </c>
    </row>
    <row r="78" spans="1:18">
      <c r="A78" s="672">
        <f>'Annex 12-Gas'!A78</f>
        <v>38961</v>
      </c>
      <c r="C78" s="697">
        <f ca="1">IF($A78&gt;Endyr,0,VLOOKUP($A78,Tariff_Table,Tariff!$L$33))</f>
        <v>1.21</v>
      </c>
      <c r="D78" s="113">
        <f ca="1">VLOOKUP($A78,Curves_Table,Escalation!$AL$291)</f>
        <v>1.2516417249387861</v>
      </c>
      <c r="E78" s="333">
        <f t="shared" ca="1" si="9"/>
        <v>1.5144864871759312</v>
      </c>
      <c r="F78" s="331">
        <f ca="1">IF($A78&gt;Endyr,0,VLOOKUP($A78,Tariff_Table,Tariff!$M$33))</f>
        <v>0.25</v>
      </c>
      <c r="G78" s="333">
        <f t="shared" ca="1" si="10"/>
        <v>1.7644864871759312</v>
      </c>
      <c r="H78" s="334">
        <f ca="1">VLOOKUP($A78,Plant_Table,'Plant Operations'!$T$270)</f>
        <v>2025354.24</v>
      </c>
      <c r="I78" s="335">
        <f t="shared" ca="1" si="11"/>
        <v>3573.7101882244779</v>
      </c>
      <c r="J78" s="698" t="str">
        <f t="shared" ca="1" si="12"/>
        <v xml:space="preserve"> </v>
      </c>
      <c r="L78" s="699">
        <f ca="1">IF($A78&lt;Startops2,0,VLOOKUP($A78,Tariff_Table,Tariff!$N$33))</f>
        <v>0</v>
      </c>
      <c r="M78" s="334">
        <f t="shared" ca="1" si="13"/>
        <v>2025354.24</v>
      </c>
      <c r="N78" s="1113">
        <f t="shared" ca="1" si="14"/>
        <v>0</v>
      </c>
      <c r="O78" s="1113">
        <f ca="1">IF($A78&gt;Endyr,0,VLOOKUP($A78,Tariff_Table,Tariff!$O$33))</f>
        <v>3259.7406099999998</v>
      </c>
      <c r="P78" s="113">
        <f ca="1">VLOOKUP($A78,Curves_Table,Escalation!$AP$291)</f>
        <v>1.2691909562879884</v>
      </c>
      <c r="Q78" s="328">
        <f t="shared" ca="1" si="15"/>
        <v>4137.2333020566903</v>
      </c>
      <c r="R78" s="692" t="str">
        <f t="shared" ca="1" si="8"/>
        <v xml:space="preserve"> </v>
      </c>
    </row>
    <row r="79" spans="1:18">
      <c r="A79" s="672">
        <f>'Annex 12-Gas'!A79</f>
        <v>38991</v>
      </c>
      <c r="C79" s="697">
        <f ca="1">IF($A79&gt;Endyr,0,VLOOKUP($A79,Tariff_Table,Tariff!$L$33))</f>
        <v>1.21</v>
      </c>
      <c r="D79" s="113">
        <f ca="1">VLOOKUP($A79,Curves_Table,Escalation!$AL$291)</f>
        <v>1.2516417249387861</v>
      </c>
      <c r="E79" s="333">
        <f t="shared" ca="1" si="9"/>
        <v>1.5144864871759312</v>
      </c>
      <c r="F79" s="331">
        <f ca="1">IF($A79&gt;Endyr,0,VLOOKUP($A79,Tariff_Table,Tariff!$M$33))</f>
        <v>0.25</v>
      </c>
      <c r="G79" s="333">
        <f t="shared" ca="1" si="10"/>
        <v>1.7644864871759312</v>
      </c>
      <c r="H79" s="334">
        <f ca="1">VLOOKUP($A79,Plant_Table,'Plant Operations'!$T$270)</f>
        <v>2092866.048</v>
      </c>
      <c r="I79" s="335">
        <f t="shared" ca="1" si="11"/>
        <v>3692.8338611652935</v>
      </c>
      <c r="J79" s="698" t="str">
        <f t="shared" ca="1" si="12"/>
        <v xml:space="preserve"> </v>
      </c>
      <c r="L79" s="699">
        <f ca="1">IF($A79&lt;Startops2,0,VLOOKUP($A79,Tariff_Table,Tariff!$N$33))</f>
        <v>0</v>
      </c>
      <c r="M79" s="334">
        <f t="shared" ca="1" si="13"/>
        <v>2092866.048</v>
      </c>
      <c r="N79" s="1113">
        <f t="shared" ca="1" si="14"/>
        <v>0</v>
      </c>
      <c r="O79" s="1113">
        <f ca="1">IF($A79&gt;Endyr,0,VLOOKUP($A79,Tariff_Table,Tariff!$O$33))</f>
        <v>3259.7406099999998</v>
      </c>
      <c r="P79" s="113">
        <f ca="1">VLOOKUP($A79,Curves_Table,Escalation!$AP$291)</f>
        <v>1.2691909562879884</v>
      </c>
      <c r="Q79" s="328">
        <f t="shared" ca="1" si="15"/>
        <v>4137.2333020566903</v>
      </c>
      <c r="R79" s="692" t="str">
        <f t="shared" ca="1" si="8"/>
        <v xml:space="preserve"> </v>
      </c>
    </row>
    <row r="80" spans="1:18">
      <c r="A80" s="672">
        <f>'Annex 12-Gas'!A80</f>
        <v>39022</v>
      </c>
      <c r="C80" s="697">
        <f ca="1">IF($A80&gt;Endyr,0,VLOOKUP($A80,Tariff_Table,Tariff!$L$33))</f>
        <v>1.21</v>
      </c>
      <c r="D80" s="113">
        <f ca="1">VLOOKUP($A80,Curves_Table,Escalation!$AL$291)</f>
        <v>1.2516417249387861</v>
      </c>
      <c r="E80" s="333">
        <f t="shared" ca="1" si="9"/>
        <v>1.5144864871759312</v>
      </c>
      <c r="F80" s="331">
        <f ca="1">IF($A80&gt;Endyr,0,VLOOKUP($A80,Tariff_Table,Tariff!$M$33))</f>
        <v>0.25</v>
      </c>
      <c r="G80" s="333">
        <f t="shared" ca="1" si="10"/>
        <v>1.7644864871759312</v>
      </c>
      <c r="H80" s="334">
        <f ca="1">VLOOKUP($A80,Plant_Table,'Plant Operations'!$T$270)</f>
        <v>2025354.24</v>
      </c>
      <c r="I80" s="335">
        <f t="shared" ca="1" si="11"/>
        <v>3573.7101882244779</v>
      </c>
      <c r="J80" s="698" t="str">
        <f t="shared" ca="1" si="12"/>
        <v xml:space="preserve"> </v>
      </c>
      <c r="L80" s="699">
        <f ca="1">IF($A80&lt;Startops2,0,VLOOKUP($A80,Tariff_Table,Tariff!$N$33))</f>
        <v>0</v>
      </c>
      <c r="M80" s="334">
        <f t="shared" ca="1" si="13"/>
        <v>2025354.24</v>
      </c>
      <c r="N80" s="1113">
        <f t="shared" ca="1" si="14"/>
        <v>0</v>
      </c>
      <c r="O80" s="1113">
        <f ca="1">IF($A80&gt;Endyr,0,VLOOKUP($A80,Tariff_Table,Tariff!$O$33))</f>
        <v>3259.7406099999998</v>
      </c>
      <c r="P80" s="113">
        <f ca="1">VLOOKUP($A80,Curves_Table,Escalation!$AP$291)</f>
        <v>1.2691909562879884</v>
      </c>
      <c r="Q80" s="328">
        <f t="shared" ca="1" si="15"/>
        <v>4137.2333020566903</v>
      </c>
      <c r="R80" s="692" t="str">
        <f t="shared" ca="1" si="8"/>
        <v xml:space="preserve"> </v>
      </c>
    </row>
    <row r="81" spans="1:18">
      <c r="A81" s="672">
        <f>'Annex 12-Gas'!A81</f>
        <v>39052</v>
      </c>
      <c r="C81" s="697">
        <f ca="1">IF($A81&gt;Endyr,0,VLOOKUP($A81,Tariff_Table,Tariff!$L$33))</f>
        <v>1.21</v>
      </c>
      <c r="D81" s="113">
        <f ca="1">VLOOKUP($A81,Curves_Table,Escalation!$AL$291)</f>
        <v>1.2516417249387861</v>
      </c>
      <c r="E81" s="333">
        <f t="shared" ca="1" si="9"/>
        <v>1.5144864871759312</v>
      </c>
      <c r="F81" s="331">
        <f ca="1">IF($A81&gt;Endyr,0,VLOOKUP($A81,Tariff_Table,Tariff!$M$33))</f>
        <v>0.25</v>
      </c>
      <c r="G81" s="333">
        <f t="shared" ca="1" si="10"/>
        <v>1.7644864871759312</v>
      </c>
      <c r="H81" s="334">
        <f ca="1">VLOOKUP($A81,Plant_Table,'Plant Operations'!$T$270)</f>
        <v>2092866.048</v>
      </c>
      <c r="I81" s="335">
        <f t="shared" ca="1" si="11"/>
        <v>3692.8338611652935</v>
      </c>
      <c r="J81" s="698">
        <f t="shared" ca="1" si="12"/>
        <v>43175.062077009061</v>
      </c>
      <c r="L81" s="699">
        <f ca="1">IF($A81&lt;Startops2,0,VLOOKUP($A81,Tariff_Table,Tariff!$N$33))</f>
        <v>0</v>
      </c>
      <c r="M81" s="334">
        <f t="shared" ca="1" si="13"/>
        <v>2092866.048</v>
      </c>
      <c r="N81" s="1113">
        <f t="shared" ca="1" si="14"/>
        <v>0</v>
      </c>
      <c r="O81" s="1113">
        <f ca="1">IF($A81&gt;Endyr,0,VLOOKUP($A81,Tariff_Table,Tariff!$O$33))</f>
        <v>3259.7406099999998</v>
      </c>
      <c r="P81" s="113">
        <f ca="1">VLOOKUP($A81,Curves_Table,Escalation!$AP$291)</f>
        <v>1.2691909562879884</v>
      </c>
      <c r="Q81" s="328">
        <f t="shared" ca="1" si="15"/>
        <v>4137.2333020566903</v>
      </c>
      <c r="R81" s="692">
        <f t="shared" ca="1" si="8"/>
        <v>49176.961187941022</v>
      </c>
    </row>
    <row r="82" spans="1:18">
      <c r="A82" s="672">
        <f>'Annex 12-Gas'!A82</f>
        <v>39083</v>
      </c>
      <c r="C82" s="697">
        <f ca="1">IF($A82&gt;Endyr,0,VLOOKUP($A82,Tariff_Table,Tariff!$L$33))</f>
        <v>1.21</v>
      </c>
      <c r="D82" s="113">
        <f ca="1">VLOOKUP($A82,Curves_Table,Escalation!$AL$291)</f>
        <v>1.2516417249387861</v>
      </c>
      <c r="E82" s="333">
        <f t="shared" ca="1" si="9"/>
        <v>1.5144864871759312</v>
      </c>
      <c r="F82" s="331">
        <f ca="1">IF($A82&gt;Endyr,0,VLOOKUP($A82,Tariff_Table,Tariff!$M$33))</f>
        <v>0.25</v>
      </c>
      <c r="G82" s="333">
        <f t="shared" ca="1" si="10"/>
        <v>1.7644864871759312</v>
      </c>
      <c r="H82" s="334">
        <f ca="1">VLOOKUP($A82,Plant_Table,'Plant Operations'!$T$270)</f>
        <v>2092866.048</v>
      </c>
      <c r="I82" s="335">
        <f t="shared" ca="1" si="11"/>
        <v>3692.8338611652935</v>
      </c>
      <c r="J82" s="698" t="str">
        <f t="shared" ca="1" si="12"/>
        <v xml:space="preserve"> </v>
      </c>
      <c r="L82" s="699">
        <f ca="1">IF($A82&lt;Startops2,0,VLOOKUP($A82,Tariff_Table,Tariff!$N$33))</f>
        <v>0</v>
      </c>
      <c r="M82" s="334">
        <f t="shared" ca="1" si="13"/>
        <v>2092866.048</v>
      </c>
      <c r="N82" s="1113">
        <f t="shared" ca="1" si="14"/>
        <v>0</v>
      </c>
      <c r="O82" s="1113">
        <f ca="1">IF($A82&gt;Endyr,0,VLOOKUP($A82,Tariff_Table,Tariff!$O$33))</f>
        <v>3259.7406099999998</v>
      </c>
      <c r="P82" s="113">
        <f ca="1">VLOOKUP($A82,Curves_Table,Escalation!$AP$291)</f>
        <v>1.2691909562879884</v>
      </c>
      <c r="Q82" s="328">
        <f t="shared" ca="1" si="15"/>
        <v>4137.2333020566903</v>
      </c>
      <c r="R82" s="692" t="str">
        <f t="shared" ca="1" si="8"/>
        <v xml:space="preserve"> </v>
      </c>
    </row>
    <row r="83" spans="1:18">
      <c r="A83" s="672">
        <f>'Annex 12-Gas'!A83</f>
        <v>39114</v>
      </c>
      <c r="C83" s="697">
        <f ca="1">IF($A83&gt;Endyr,0,VLOOKUP($A83,Tariff_Table,Tariff!$L$33))</f>
        <v>1.21</v>
      </c>
      <c r="D83" s="113">
        <f ca="1">VLOOKUP($A83,Curves_Table,Escalation!$AL$291)</f>
        <v>1.2516417249387861</v>
      </c>
      <c r="E83" s="333">
        <f t="shared" ca="1" si="9"/>
        <v>1.5144864871759312</v>
      </c>
      <c r="F83" s="331">
        <f ca="1">IF($A83&gt;Endyr,0,VLOOKUP($A83,Tariff_Table,Tariff!$M$33))</f>
        <v>0.25</v>
      </c>
      <c r="G83" s="333">
        <f t="shared" ca="1" si="10"/>
        <v>1.7644864871759312</v>
      </c>
      <c r="H83" s="334">
        <f ca="1">VLOOKUP($A83,Plant_Table,'Plant Operations'!$T$270)</f>
        <v>1890330.6240000003</v>
      </c>
      <c r="I83" s="335">
        <f t="shared" ca="1" si="11"/>
        <v>3335.4628423428467</v>
      </c>
      <c r="J83" s="698" t="str">
        <f t="shared" ca="1" si="12"/>
        <v xml:space="preserve"> </v>
      </c>
      <c r="L83" s="699">
        <f ca="1">IF($A83&lt;Startops2,0,VLOOKUP($A83,Tariff_Table,Tariff!$N$33))</f>
        <v>0</v>
      </c>
      <c r="M83" s="334">
        <f t="shared" ca="1" si="13"/>
        <v>1890330.6240000003</v>
      </c>
      <c r="N83" s="1113">
        <f t="shared" ca="1" si="14"/>
        <v>0</v>
      </c>
      <c r="O83" s="1113">
        <f ca="1">IF($A83&gt;Endyr,0,VLOOKUP($A83,Tariff_Table,Tariff!$O$33))</f>
        <v>3259.7406099999998</v>
      </c>
      <c r="P83" s="113">
        <f ca="1">VLOOKUP($A83,Curves_Table,Escalation!$AP$291)</f>
        <v>1.2691909562879884</v>
      </c>
      <c r="Q83" s="328">
        <f t="shared" ca="1" si="15"/>
        <v>4137.2333020566903</v>
      </c>
      <c r="R83" s="692" t="str">
        <f t="shared" ca="1" si="8"/>
        <v xml:space="preserve"> </v>
      </c>
    </row>
    <row r="84" spans="1:18">
      <c r="A84" s="672">
        <f>'Annex 12-Gas'!A84</f>
        <v>39142</v>
      </c>
      <c r="C84" s="697">
        <f ca="1">IF($A84&gt;Endyr,0,VLOOKUP($A84,Tariff_Table,Tariff!$L$33))</f>
        <v>1.21</v>
      </c>
      <c r="D84" s="113">
        <f ca="1">VLOOKUP($A84,Curves_Table,Escalation!$AL$291)</f>
        <v>1.2516417249387861</v>
      </c>
      <c r="E84" s="333">
        <f t="shared" ca="1" si="9"/>
        <v>1.5144864871759312</v>
      </c>
      <c r="F84" s="331">
        <f ca="1">IF($A84&gt;Endyr,0,VLOOKUP($A84,Tariff_Table,Tariff!$M$33))</f>
        <v>0.25</v>
      </c>
      <c r="G84" s="333">
        <f t="shared" ca="1" si="10"/>
        <v>1.7644864871759312</v>
      </c>
      <c r="H84" s="334">
        <f ca="1">VLOOKUP($A84,Plant_Table,'Plant Operations'!$T$270)</f>
        <v>2092866.048</v>
      </c>
      <c r="I84" s="335">
        <f t="shared" ca="1" si="11"/>
        <v>3692.8338611652935</v>
      </c>
      <c r="J84" s="698" t="str">
        <f t="shared" ca="1" si="12"/>
        <v xml:space="preserve"> </v>
      </c>
      <c r="L84" s="699">
        <f ca="1">IF($A84&lt;Startops2,0,VLOOKUP($A84,Tariff_Table,Tariff!$N$33))</f>
        <v>0</v>
      </c>
      <c r="M84" s="334">
        <f t="shared" ca="1" si="13"/>
        <v>2092866.048</v>
      </c>
      <c r="N84" s="1113">
        <f t="shared" ca="1" si="14"/>
        <v>0</v>
      </c>
      <c r="O84" s="1113">
        <f ca="1">IF($A84&gt;Endyr,0,VLOOKUP($A84,Tariff_Table,Tariff!$O$33))</f>
        <v>3259.7406099999998</v>
      </c>
      <c r="P84" s="113">
        <f ca="1">VLOOKUP($A84,Curves_Table,Escalation!$AP$291)</f>
        <v>1.2691909562879884</v>
      </c>
      <c r="Q84" s="328">
        <f t="shared" ca="1" si="15"/>
        <v>4137.2333020566903</v>
      </c>
      <c r="R84" s="692" t="str">
        <f t="shared" ca="1" si="8"/>
        <v xml:space="preserve"> </v>
      </c>
    </row>
    <row r="85" spans="1:18">
      <c r="A85" s="672">
        <f>'Annex 12-Gas'!A85</f>
        <v>39173</v>
      </c>
      <c r="C85" s="697">
        <f ca="1">IF($A85&gt;Endyr,0,VLOOKUP($A85,Tariff_Table,Tariff!$L$33))</f>
        <v>1.21</v>
      </c>
      <c r="D85" s="113">
        <f ca="1">VLOOKUP($A85,Curves_Table,Escalation!$AL$291)</f>
        <v>1.2516417249387861</v>
      </c>
      <c r="E85" s="333">
        <f t="shared" ca="1" si="9"/>
        <v>1.5144864871759312</v>
      </c>
      <c r="F85" s="331">
        <f ca="1">IF($A85&gt;Endyr,0,VLOOKUP($A85,Tariff_Table,Tariff!$M$33))</f>
        <v>0.25</v>
      </c>
      <c r="G85" s="333">
        <f t="shared" ca="1" si="10"/>
        <v>1.7644864871759312</v>
      </c>
      <c r="H85" s="334">
        <f ca="1">VLOOKUP($A85,Plant_Table,'Plant Operations'!$T$270)</f>
        <v>2025354.24</v>
      </c>
      <c r="I85" s="335">
        <f t="shared" ca="1" si="11"/>
        <v>3573.7101882244779</v>
      </c>
      <c r="J85" s="698" t="str">
        <f t="shared" ca="1" si="12"/>
        <v xml:space="preserve"> </v>
      </c>
      <c r="L85" s="699">
        <f ca="1">IF($A85&lt;Startops2,0,VLOOKUP($A85,Tariff_Table,Tariff!$N$33))</f>
        <v>0</v>
      </c>
      <c r="M85" s="334">
        <f t="shared" ca="1" si="13"/>
        <v>2025354.24</v>
      </c>
      <c r="N85" s="1113">
        <f t="shared" ca="1" si="14"/>
        <v>0</v>
      </c>
      <c r="O85" s="1113">
        <f ca="1">IF($A85&gt;Endyr,0,VLOOKUP($A85,Tariff_Table,Tariff!$O$33))</f>
        <v>3259.7406099999998</v>
      </c>
      <c r="P85" s="113">
        <f ca="1">VLOOKUP($A85,Curves_Table,Escalation!$AP$291)</f>
        <v>1.2691909562879884</v>
      </c>
      <c r="Q85" s="328">
        <f t="shared" ca="1" si="15"/>
        <v>4137.2333020566903</v>
      </c>
      <c r="R85" s="692" t="str">
        <f t="shared" ca="1" si="8"/>
        <v xml:space="preserve"> </v>
      </c>
    </row>
    <row r="86" spans="1:18">
      <c r="A86" s="672">
        <f>'Annex 12-Gas'!A86</f>
        <v>39203</v>
      </c>
      <c r="C86" s="697">
        <f ca="1">IF($A86&gt;Endyr,0,VLOOKUP($A86,Tariff_Table,Tariff!$L$33))</f>
        <v>1.21</v>
      </c>
      <c r="D86" s="113">
        <f ca="1">VLOOKUP($A86,Curves_Table,Escalation!$AL$291)</f>
        <v>1.2827383623400055</v>
      </c>
      <c r="E86" s="333">
        <f t="shared" ca="1" si="9"/>
        <v>1.5521134184314065</v>
      </c>
      <c r="F86" s="331">
        <f ca="1">IF($A86&gt;Endyr,0,VLOOKUP($A86,Tariff_Table,Tariff!$M$33))</f>
        <v>0.25</v>
      </c>
      <c r="G86" s="333">
        <f t="shared" ca="1" si="10"/>
        <v>1.8021134184314065</v>
      </c>
      <c r="H86" s="334">
        <f ca="1">VLOOKUP($A86,Plant_Table,'Plant Operations'!$T$270)</f>
        <v>2092866.048</v>
      </c>
      <c r="I86" s="335">
        <f t="shared" ca="1" si="11"/>
        <v>3771.5819880803078</v>
      </c>
      <c r="J86" s="698" t="str">
        <f t="shared" ca="1" si="12"/>
        <v xml:space="preserve"> </v>
      </c>
      <c r="L86" s="699">
        <f ca="1">IF($A86&lt;Startops2,0,VLOOKUP($A86,Tariff_Table,Tariff!$N$33))</f>
        <v>0</v>
      </c>
      <c r="M86" s="334">
        <f t="shared" ca="1" si="13"/>
        <v>2092866.048</v>
      </c>
      <c r="N86" s="1113">
        <f t="shared" ca="1" si="14"/>
        <v>0</v>
      </c>
      <c r="O86" s="1113">
        <f ca="1">IF($A86&gt;Endyr,0,VLOOKUP($A86,Tariff_Table,Tariff!$O$33))</f>
        <v>3261.4795800000002</v>
      </c>
      <c r="P86" s="113">
        <f ca="1">VLOOKUP($A86,Curves_Table,Escalation!$AP$291)</f>
        <v>1.3038965761068158</v>
      </c>
      <c r="Q86" s="328">
        <f t="shared" ca="1" si="15"/>
        <v>4252.6320574042957</v>
      </c>
      <c r="R86" s="692" t="str">
        <f t="shared" ca="1" si="8"/>
        <v xml:space="preserve"> </v>
      </c>
    </row>
    <row r="87" spans="1:18">
      <c r="A87" s="672">
        <f>'Annex 12-Gas'!A87</f>
        <v>39234</v>
      </c>
      <c r="C87" s="697">
        <f ca="1">IF($A87&gt;Endyr,0,VLOOKUP($A87,Tariff_Table,Tariff!$L$33))</f>
        <v>1.21</v>
      </c>
      <c r="D87" s="113">
        <f ca="1">VLOOKUP($A87,Curves_Table,Escalation!$AL$291)</f>
        <v>1.2827383623400055</v>
      </c>
      <c r="E87" s="333">
        <f t="shared" ca="1" si="9"/>
        <v>1.5521134184314065</v>
      </c>
      <c r="F87" s="331">
        <f ca="1">IF($A87&gt;Endyr,0,VLOOKUP($A87,Tariff_Table,Tariff!$M$33))</f>
        <v>0.25</v>
      </c>
      <c r="G87" s="333">
        <f t="shared" ca="1" si="10"/>
        <v>1.8021134184314065</v>
      </c>
      <c r="H87" s="334">
        <f ca="1">VLOOKUP($A87,Plant_Table,'Plant Operations'!$T$270)</f>
        <v>2025354.24</v>
      </c>
      <c r="I87" s="335">
        <f t="shared" ca="1" si="11"/>
        <v>3649.9180529809432</v>
      </c>
      <c r="J87" s="698" t="str">
        <f t="shared" ca="1" si="12"/>
        <v xml:space="preserve"> </v>
      </c>
      <c r="L87" s="699">
        <f ca="1">IF($A87&lt;Startops2,0,VLOOKUP($A87,Tariff_Table,Tariff!$N$33))</f>
        <v>0</v>
      </c>
      <c r="M87" s="334">
        <f t="shared" ca="1" si="13"/>
        <v>2025354.24</v>
      </c>
      <c r="N87" s="1113">
        <f t="shared" ca="1" si="14"/>
        <v>0</v>
      </c>
      <c r="O87" s="1113">
        <f ca="1">IF($A87&gt;Endyr,0,VLOOKUP($A87,Tariff_Table,Tariff!$O$33))</f>
        <v>3261.4795800000002</v>
      </c>
      <c r="P87" s="113">
        <f ca="1">VLOOKUP($A87,Curves_Table,Escalation!$AP$291)</f>
        <v>1.3038965761068158</v>
      </c>
      <c r="Q87" s="328">
        <f t="shared" ca="1" si="15"/>
        <v>4252.6320574042957</v>
      </c>
      <c r="R87" s="692" t="str">
        <f t="shared" ca="1" si="8"/>
        <v xml:space="preserve"> </v>
      </c>
    </row>
    <row r="88" spans="1:18">
      <c r="A88" s="672">
        <f>'Annex 12-Gas'!A88</f>
        <v>39264</v>
      </c>
      <c r="C88" s="697">
        <f ca="1">IF($A88&gt;Endyr,0,VLOOKUP($A88,Tariff_Table,Tariff!$L$33))</f>
        <v>1.21</v>
      </c>
      <c r="D88" s="113">
        <f ca="1">VLOOKUP($A88,Curves_Table,Escalation!$AL$291)</f>
        <v>1.2827383623400055</v>
      </c>
      <c r="E88" s="333">
        <f t="shared" ca="1" si="9"/>
        <v>1.5521134184314065</v>
      </c>
      <c r="F88" s="331">
        <f ca="1">IF($A88&gt;Endyr,0,VLOOKUP($A88,Tariff_Table,Tariff!$M$33))</f>
        <v>0.25</v>
      </c>
      <c r="G88" s="333">
        <f t="shared" ca="1" si="10"/>
        <v>1.8021134184314065</v>
      </c>
      <c r="H88" s="334">
        <f ca="1">VLOOKUP($A88,Plant_Table,'Plant Operations'!$T$270)</f>
        <v>2092866.048</v>
      </c>
      <c r="I88" s="335">
        <f t="shared" ca="1" si="11"/>
        <v>3771.5819880803078</v>
      </c>
      <c r="J88" s="698" t="str">
        <f t="shared" ca="1" si="12"/>
        <v xml:space="preserve"> </v>
      </c>
      <c r="L88" s="699">
        <f ca="1">IF($A88&lt;Startops2,0,VLOOKUP($A88,Tariff_Table,Tariff!$N$33))</f>
        <v>0</v>
      </c>
      <c r="M88" s="334">
        <f t="shared" ca="1" si="13"/>
        <v>2092866.048</v>
      </c>
      <c r="N88" s="1113">
        <f t="shared" ca="1" si="14"/>
        <v>0</v>
      </c>
      <c r="O88" s="1113">
        <f ca="1">IF($A88&gt;Endyr,0,VLOOKUP($A88,Tariff_Table,Tariff!$O$33))</f>
        <v>3261.4795800000002</v>
      </c>
      <c r="P88" s="113">
        <f ca="1">VLOOKUP($A88,Curves_Table,Escalation!$AP$291)</f>
        <v>1.3038965761068158</v>
      </c>
      <c r="Q88" s="328">
        <f t="shared" ca="1" si="15"/>
        <v>4252.6320574042957</v>
      </c>
      <c r="R88" s="692" t="str">
        <f t="shared" ca="1" si="8"/>
        <v xml:space="preserve"> </v>
      </c>
    </row>
    <row r="89" spans="1:18">
      <c r="A89" s="672">
        <f>'Annex 12-Gas'!A89</f>
        <v>39295</v>
      </c>
      <c r="C89" s="697">
        <f ca="1">IF($A89&gt;Endyr,0,VLOOKUP($A89,Tariff_Table,Tariff!$L$33))</f>
        <v>1.21</v>
      </c>
      <c r="D89" s="113">
        <f ca="1">VLOOKUP($A89,Curves_Table,Escalation!$AL$291)</f>
        <v>1.2827383623400055</v>
      </c>
      <c r="E89" s="333">
        <f t="shared" ca="1" si="9"/>
        <v>1.5521134184314065</v>
      </c>
      <c r="F89" s="331">
        <f ca="1">IF($A89&gt;Endyr,0,VLOOKUP($A89,Tariff_Table,Tariff!$M$33))</f>
        <v>0.25</v>
      </c>
      <c r="G89" s="333">
        <f t="shared" ca="1" si="10"/>
        <v>1.8021134184314065</v>
      </c>
      <c r="H89" s="334">
        <f ca="1">VLOOKUP($A89,Plant_Table,'Plant Operations'!$T$270)</f>
        <v>2092866.048</v>
      </c>
      <c r="I89" s="335">
        <f t="shared" ca="1" si="11"/>
        <v>3771.5819880803078</v>
      </c>
      <c r="J89" s="698" t="str">
        <f t="shared" ca="1" si="12"/>
        <v xml:space="preserve"> </v>
      </c>
      <c r="L89" s="699">
        <f ca="1">IF($A89&lt;Startops2,0,VLOOKUP($A89,Tariff_Table,Tariff!$N$33))</f>
        <v>0</v>
      </c>
      <c r="M89" s="334">
        <f t="shared" ca="1" si="13"/>
        <v>2092866.048</v>
      </c>
      <c r="N89" s="1113">
        <f t="shared" ca="1" si="14"/>
        <v>0</v>
      </c>
      <c r="O89" s="1113">
        <f ca="1">IF($A89&gt;Endyr,0,VLOOKUP($A89,Tariff_Table,Tariff!$O$33))</f>
        <v>3261.4795800000002</v>
      </c>
      <c r="P89" s="113">
        <f ca="1">VLOOKUP($A89,Curves_Table,Escalation!$AP$291)</f>
        <v>1.3038965761068158</v>
      </c>
      <c r="Q89" s="328">
        <f t="shared" ca="1" si="15"/>
        <v>4252.6320574042957</v>
      </c>
      <c r="R89" s="692" t="str">
        <f t="shared" ca="1" si="8"/>
        <v xml:space="preserve"> </v>
      </c>
    </row>
    <row r="90" spans="1:18">
      <c r="A90" s="672">
        <f>'Annex 12-Gas'!A90</f>
        <v>39326</v>
      </c>
      <c r="C90" s="697">
        <f ca="1">IF($A90&gt;Endyr,0,VLOOKUP($A90,Tariff_Table,Tariff!$L$33))</f>
        <v>1.21</v>
      </c>
      <c r="D90" s="113">
        <f ca="1">VLOOKUP($A90,Curves_Table,Escalation!$AL$291)</f>
        <v>1.2827383623400055</v>
      </c>
      <c r="E90" s="333">
        <f t="shared" ca="1" si="9"/>
        <v>1.5521134184314065</v>
      </c>
      <c r="F90" s="331">
        <f ca="1">IF($A90&gt;Endyr,0,VLOOKUP($A90,Tariff_Table,Tariff!$M$33))</f>
        <v>0.25</v>
      </c>
      <c r="G90" s="333">
        <f t="shared" ca="1" si="10"/>
        <v>1.8021134184314065</v>
      </c>
      <c r="H90" s="334">
        <f ca="1">VLOOKUP($A90,Plant_Table,'Plant Operations'!$T$270)</f>
        <v>2025354.24</v>
      </c>
      <c r="I90" s="335">
        <f t="shared" ca="1" si="11"/>
        <v>3649.9180529809432</v>
      </c>
      <c r="J90" s="698" t="str">
        <f t="shared" ca="1" si="12"/>
        <v xml:space="preserve"> </v>
      </c>
      <c r="L90" s="699">
        <f ca="1">IF($A90&lt;Startops2,0,VLOOKUP($A90,Tariff_Table,Tariff!$N$33))</f>
        <v>0</v>
      </c>
      <c r="M90" s="334">
        <f t="shared" ca="1" si="13"/>
        <v>2025354.24</v>
      </c>
      <c r="N90" s="1113">
        <f t="shared" ca="1" si="14"/>
        <v>0</v>
      </c>
      <c r="O90" s="1113">
        <f ca="1">IF($A90&gt;Endyr,0,VLOOKUP($A90,Tariff_Table,Tariff!$O$33))</f>
        <v>3261.4795800000002</v>
      </c>
      <c r="P90" s="113">
        <f ca="1">VLOOKUP($A90,Curves_Table,Escalation!$AP$291)</f>
        <v>1.3038965761068158</v>
      </c>
      <c r="Q90" s="328">
        <f t="shared" ca="1" si="15"/>
        <v>4252.6320574042957</v>
      </c>
      <c r="R90" s="692" t="str">
        <f t="shared" ca="1" si="8"/>
        <v xml:space="preserve"> </v>
      </c>
    </row>
    <row r="91" spans="1:18">
      <c r="A91" s="672">
        <f>'Annex 12-Gas'!A91</f>
        <v>39356</v>
      </c>
      <c r="C91" s="697">
        <f ca="1">IF($A91&gt;Endyr,0,VLOOKUP($A91,Tariff_Table,Tariff!$L$33))</f>
        <v>1.21</v>
      </c>
      <c r="D91" s="113">
        <f ca="1">VLOOKUP($A91,Curves_Table,Escalation!$AL$291)</f>
        <v>1.2827383623400055</v>
      </c>
      <c r="E91" s="333">
        <f t="shared" ca="1" si="9"/>
        <v>1.5521134184314065</v>
      </c>
      <c r="F91" s="331">
        <f ca="1">IF($A91&gt;Endyr,0,VLOOKUP($A91,Tariff_Table,Tariff!$M$33))</f>
        <v>0.25</v>
      </c>
      <c r="G91" s="333">
        <f t="shared" ca="1" si="10"/>
        <v>1.8021134184314065</v>
      </c>
      <c r="H91" s="334">
        <f ca="1">VLOOKUP($A91,Plant_Table,'Plant Operations'!$T$270)</f>
        <v>2092866.048</v>
      </c>
      <c r="I91" s="335">
        <f t="shared" ca="1" si="11"/>
        <v>3771.5819880803078</v>
      </c>
      <c r="J91" s="698" t="str">
        <f t="shared" ca="1" si="12"/>
        <v xml:space="preserve"> </v>
      </c>
      <c r="L91" s="699">
        <f ca="1">IF($A91&lt;Startops2,0,VLOOKUP($A91,Tariff_Table,Tariff!$N$33))</f>
        <v>0</v>
      </c>
      <c r="M91" s="334">
        <f t="shared" ca="1" si="13"/>
        <v>2092866.048</v>
      </c>
      <c r="N91" s="1113">
        <f t="shared" ca="1" si="14"/>
        <v>0</v>
      </c>
      <c r="O91" s="1113">
        <f ca="1">IF($A91&gt;Endyr,0,VLOOKUP($A91,Tariff_Table,Tariff!$O$33))</f>
        <v>3261.4795800000002</v>
      </c>
      <c r="P91" s="113">
        <f ca="1">VLOOKUP($A91,Curves_Table,Escalation!$AP$291)</f>
        <v>1.3038965761068158</v>
      </c>
      <c r="Q91" s="328">
        <f t="shared" ca="1" si="15"/>
        <v>4252.6320574042957</v>
      </c>
      <c r="R91" s="692" t="str">
        <f t="shared" ca="1" si="8"/>
        <v xml:space="preserve"> </v>
      </c>
    </row>
    <row r="92" spans="1:18">
      <c r="A92" s="672">
        <f>'Annex 12-Gas'!A92</f>
        <v>39387</v>
      </c>
      <c r="C92" s="697">
        <f ca="1">IF($A92&gt;Endyr,0,VLOOKUP($A92,Tariff_Table,Tariff!$L$33))</f>
        <v>1.21</v>
      </c>
      <c r="D92" s="113">
        <f ca="1">VLOOKUP($A92,Curves_Table,Escalation!$AL$291)</f>
        <v>1.2827383623400055</v>
      </c>
      <c r="E92" s="333">
        <f t="shared" ca="1" si="9"/>
        <v>1.5521134184314065</v>
      </c>
      <c r="F92" s="331">
        <f ca="1">IF($A92&gt;Endyr,0,VLOOKUP($A92,Tariff_Table,Tariff!$M$33))</f>
        <v>0.25</v>
      </c>
      <c r="G92" s="333">
        <f t="shared" ca="1" si="10"/>
        <v>1.8021134184314065</v>
      </c>
      <c r="H92" s="334">
        <f ca="1">VLOOKUP($A92,Plant_Table,'Plant Operations'!$T$270)</f>
        <v>2025354.24</v>
      </c>
      <c r="I92" s="335">
        <f t="shared" ca="1" si="11"/>
        <v>3649.9180529809432</v>
      </c>
      <c r="J92" s="698" t="str">
        <f t="shared" ca="1" si="12"/>
        <v xml:space="preserve"> </v>
      </c>
      <c r="L92" s="699">
        <f ca="1">IF($A92&lt;Startops2,0,VLOOKUP($A92,Tariff_Table,Tariff!$N$33))</f>
        <v>0</v>
      </c>
      <c r="M92" s="334">
        <f t="shared" ca="1" si="13"/>
        <v>2025354.24</v>
      </c>
      <c r="N92" s="1113">
        <f t="shared" ca="1" si="14"/>
        <v>0</v>
      </c>
      <c r="O92" s="1113">
        <f ca="1">IF($A92&gt;Endyr,0,VLOOKUP($A92,Tariff_Table,Tariff!$O$33))</f>
        <v>3261.4795800000002</v>
      </c>
      <c r="P92" s="113">
        <f ca="1">VLOOKUP($A92,Curves_Table,Escalation!$AP$291)</f>
        <v>1.3038965761068158</v>
      </c>
      <c r="Q92" s="328">
        <f t="shared" ca="1" si="15"/>
        <v>4252.6320574042957</v>
      </c>
      <c r="R92" s="692" t="str">
        <f t="shared" ca="1" si="8"/>
        <v xml:space="preserve"> </v>
      </c>
    </row>
    <row r="93" spans="1:18">
      <c r="A93" s="672">
        <f>'Annex 12-Gas'!A93</f>
        <v>39417</v>
      </c>
      <c r="C93" s="697">
        <f ca="1">IF($A93&gt;Endyr,0,VLOOKUP($A93,Tariff_Table,Tariff!$L$33))</f>
        <v>1.21</v>
      </c>
      <c r="D93" s="113">
        <f ca="1">VLOOKUP($A93,Curves_Table,Escalation!$AL$291)</f>
        <v>1.2827383623400055</v>
      </c>
      <c r="E93" s="333">
        <f t="shared" ca="1" si="9"/>
        <v>1.5521134184314065</v>
      </c>
      <c r="F93" s="331">
        <f ca="1">IF($A93&gt;Endyr,0,VLOOKUP($A93,Tariff_Table,Tariff!$M$33))</f>
        <v>0.25</v>
      </c>
      <c r="G93" s="333">
        <f t="shared" ca="1" si="10"/>
        <v>1.8021134184314065</v>
      </c>
      <c r="H93" s="334">
        <f ca="1">VLOOKUP($A93,Plant_Table,'Plant Operations'!$T$270)</f>
        <v>2092866.048</v>
      </c>
      <c r="I93" s="335">
        <f t="shared" ca="1" si="11"/>
        <v>3771.5819880803078</v>
      </c>
      <c r="J93" s="698">
        <f t="shared" ca="1" si="12"/>
        <v>44102.50485224228</v>
      </c>
      <c r="L93" s="699">
        <f ca="1">IF($A93&lt;Startops2,0,VLOOKUP($A93,Tariff_Table,Tariff!$N$33))</f>
        <v>0</v>
      </c>
      <c r="M93" s="334">
        <f t="shared" ca="1" si="13"/>
        <v>2092866.048</v>
      </c>
      <c r="N93" s="1113">
        <f t="shared" ca="1" si="14"/>
        <v>0</v>
      </c>
      <c r="O93" s="1113">
        <f ca="1">IF($A93&gt;Endyr,0,VLOOKUP($A93,Tariff_Table,Tariff!$O$33))</f>
        <v>3261.4795800000002</v>
      </c>
      <c r="P93" s="113">
        <f ca="1">VLOOKUP($A93,Curves_Table,Escalation!$AP$291)</f>
        <v>1.3038965761068158</v>
      </c>
      <c r="Q93" s="328">
        <f t="shared" ca="1" si="15"/>
        <v>4252.6320574042957</v>
      </c>
      <c r="R93" s="692">
        <f t="shared" ca="1" si="8"/>
        <v>50569.989667461137</v>
      </c>
    </row>
    <row r="94" spans="1:18">
      <c r="A94" s="672">
        <f>'Annex 12-Gas'!A94</f>
        <v>39448</v>
      </c>
      <c r="C94" s="697">
        <f ca="1">IF($A94&gt;Endyr,0,VLOOKUP($A94,Tariff_Table,Tariff!$L$33))</f>
        <v>1.21</v>
      </c>
      <c r="D94" s="113">
        <f ca="1">VLOOKUP($A94,Curves_Table,Escalation!$AL$291)</f>
        <v>1.2827383623400055</v>
      </c>
      <c r="E94" s="333">
        <f t="shared" ca="1" si="9"/>
        <v>1.5521134184314065</v>
      </c>
      <c r="F94" s="331">
        <f ca="1">IF($A94&gt;Endyr,0,VLOOKUP($A94,Tariff_Table,Tariff!$M$33))</f>
        <v>0.25</v>
      </c>
      <c r="G94" s="333">
        <f t="shared" ca="1" si="10"/>
        <v>1.8021134184314065</v>
      </c>
      <c r="H94" s="334">
        <f ca="1">VLOOKUP($A94,Plant_Table,'Plant Operations'!$T$270)</f>
        <v>2092866.048</v>
      </c>
      <c r="I94" s="335">
        <f t="shared" ca="1" si="11"/>
        <v>3771.5819880803078</v>
      </c>
      <c r="J94" s="698" t="str">
        <f t="shared" ca="1" si="12"/>
        <v xml:space="preserve"> </v>
      </c>
      <c r="L94" s="699">
        <f ca="1">IF($A94&lt;Startops2,0,VLOOKUP($A94,Tariff_Table,Tariff!$N$33))</f>
        <v>0</v>
      </c>
      <c r="M94" s="334">
        <f t="shared" ca="1" si="13"/>
        <v>2092866.048</v>
      </c>
      <c r="N94" s="1113">
        <f t="shared" ca="1" si="14"/>
        <v>0</v>
      </c>
      <c r="O94" s="1113">
        <f ca="1">IF($A94&gt;Endyr,0,VLOOKUP($A94,Tariff_Table,Tariff!$O$33))</f>
        <v>3261.4795800000002</v>
      </c>
      <c r="P94" s="113">
        <f ca="1">VLOOKUP($A94,Curves_Table,Escalation!$AP$291)</f>
        <v>1.3038965761068158</v>
      </c>
      <c r="Q94" s="328">
        <f t="shared" ca="1" si="15"/>
        <v>4252.6320574042957</v>
      </c>
      <c r="R94" s="692" t="str">
        <f t="shared" ca="1" si="8"/>
        <v xml:space="preserve"> </v>
      </c>
    </row>
    <row r="95" spans="1:18">
      <c r="A95" s="672">
        <f>'Annex 12-Gas'!A95</f>
        <v>39479</v>
      </c>
      <c r="C95" s="697">
        <f ca="1">IF($A95&gt;Endyr,0,VLOOKUP($A95,Tariff_Table,Tariff!$L$33))</f>
        <v>1.21</v>
      </c>
      <c r="D95" s="113">
        <f ca="1">VLOOKUP($A95,Curves_Table,Escalation!$AL$291)</f>
        <v>1.2827383623400055</v>
      </c>
      <c r="E95" s="333">
        <f t="shared" ca="1" si="9"/>
        <v>1.5521134184314065</v>
      </c>
      <c r="F95" s="331">
        <f ca="1">IF($A95&gt;Endyr,0,VLOOKUP($A95,Tariff_Table,Tariff!$M$33))</f>
        <v>0.25</v>
      </c>
      <c r="G95" s="333">
        <f t="shared" ca="1" si="10"/>
        <v>1.8021134184314065</v>
      </c>
      <c r="H95" s="334">
        <f ca="1">VLOOKUP($A95,Plant_Table,'Plant Operations'!$T$270)</f>
        <v>1957842.432</v>
      </c>
      <c r="I95" s="335">
        <f t="shared" ca="1" si="11"/>
        <v>3528.2541178815782</v>
      </c>
      <c r="J95" s="698" t="str">
        <f t="shared" ca="1" si="12"/>
        <v xml:space="preserve"> </v>
      </c>
      <c r="L95" s="699">
        <f ca="1">IF($A95&lt;Startops2,0,VLOOKUP($A95,Tariff_Table,Tariff!$N$33))</f>
        <v>0</v>
      </c>
      <c r="M95" s="334">
        <f t="shared" ca="1" si="13"/>
        <v>1957842.432</v>
      </c>
      <c r="N95" s="1113">
        <f t="shared" ca="1" si="14"/>
        <v>0</v>
      </c>
      <c r="O95" s="1113">
        <f ca="1">IF($A95&gt;Endyr,0,VLOOKUP($A95,Tariff_Table,Tariff!$O$33))</f>
        <v>3261.4795800000002</v>
      </c>
      <c r="P95" s="113">
        <f ca="1">VLOOKUP($A95,Curves_Table,Escalation!$AP$291)</f>
        <v>1.3038965761068158</v>
      </c>
      <c r="Q95" s="328">
        <f t="shared" ca="1" si="15"/>
        <v>4252.6320574042957</v>
      </c>
      <c r="R95" s="692" t="str">
        <f t="shared" ca="1" si="8"/>
        <v xml:space="preserve"> </v>
      </c>
    </row>
    <row r="96" spans="1:18">
      <c r="A96" s="672">
        <f>'Annex 12-Gas'!A96</f>
        <v>39508</v>
      </c>
      <c r="C96" s="697">
        <f ca="1">IF($A96&gt;Endyr,0,VLOOKUP($A96,Tariff_Table,Tariff!$L$33))</f>
        <v>1.21</v>
      </c>
      <c r="D96" s="113">
        <f ca="1">VLOOKUP($A96,Curves_Table,Escalation!$AL$291)</f>
        <v>1.2827383623400055</v>
      </c>
      <c r="E96" s="333">
        <f t="shared" ca="1" si="9"/>
        <v>1.5521134184314065</v>
      </c>
      <c r="F96" s="331">
        <f ca="1">IF($A96&gt;Endyr,0,VLOOKUP($A96,Tariff_Table,Tariff!$M$33))</f>
        <v>0.25</v>
      </c>
      <c r="G96" s="333">
        <f t="shared" ca="1" si="10"/>
        <v>1.8021134184314065</v>
      </c>
      <c r="H96" s="334">
        <f ca="1">VLOOKUP($A96,Plant_Table,'Plant Operations'!$T$270)</f>
        <v>2092866.048</v>
      </c>
      <c r="I96" s="335">
        <f t="shared" ca="1" si="11"/>
        <v>3771.5819880803078</v>
      </c>
      <c r="J96" s="698" t="str">
        <f t="shared" ca="1" si="12"/>
        <v xml:space="preserve"> </v>
      </c>
      <c r="L96" s="699">
        <f ca="1">IF($A96&lt;Startops2,0,VLOOKUP($A96,Tariff_Table,Tariff!$N$33))</f>
        <v>0</v>
      </c>
      <c r="M96" s="334">
        <f t="shared" ca="1" si="13"/>
        <v>2092866.048</v>
      </c>
      <c r="N96" s="1113">
        <f t="shared" ca="1" si="14"/>
        <v>0</v>
      </c>
      <c r="O96" s="1113">
        <f ca="1">IF($A96&gt;Endyr,0,VLOOKUP($A96,Tariff_Table,Tariff!$O$33))</f>
        <v>3261.4795800000002</v>
      </c>
      <c r="P96" s="113">
        <f ca="1">VLOOKUP($A96,Curves_Table,Escalation!$AP$291)</f>
        <v>1.3038965761068158</v>
      </c>
      <c r="Q96" s="328">
        <f t="shared" ca="1" si="15"/>
        <v>4252.6320574042957</v>
      </c>
      <c r="R96" s="692" t="str">
        <f t="shared" ca="1" si="8"/>
        <v xml:space="preserve"> </v>
      </c>
    </row>
    <row r="97" spans="1:18">
      <c r="A97" s="672">
        <f>'Annex 12-Gas'!A97</f>
        <v>39539</v>
      </c>
      <c r="C97" s="697">
        <f ca="1">IF($A97&gt;Endyr,0,VLOOKUP($A97,Tariff_Table,Tariff!$L$33))</f>
        <v>1.21</v>
      </c>
      <c r="D97" s="113">
        <f ca="1">VLOOKUP($A97,Curves_Table,Escalation!$AL$291)</f>
        <v>1.2827383623400055</v>
      </c>
      <c r="E97" s="333">
        <f t="shared" ca="1" si="9"/>
        <v>1.5521134184314065</v>
      </c>
      <c r="F97" s="331">
        <f ca="1">IF($A97&gt;Endyr,0,VLOOKUP($A97,Tariff_Table,Tariff!$M$33))</f>
        <v>0.25</v>
      </c>
      <c r="G97" s="333">
        <f t="shared" ca="1" si="10"/>
        <v>1.8021134184314065</v>
      </c>
      <c r="H97" s="334">
        <f ca="1">VLOOKUP($A97,Plant_Table,'Plant Operations'!$T$270)</f>
        <v>2025354.24</v>
      </c>
      <c r="I97" s="335">
        <f t="shared" ca="1" si="11"/>
        <v>3649.9180529809432</v>
      </c>
      <c r="J97" s="698" t="str">
        <f t="shared" ca="1" si="12"/>
        <v xml:space="preserve"> </v>
      </c>
      <c r="L97" s="699">
        <f ca="1">IF($A97&lt;Startops2,0,VLOOKUP($A97,Tariff_Table,Tariff!$N$33))</f>
        <v>0</v>
      </c>
      <c r="M97" s="334">
        <f t="shared" ca="1" si="13"/>
        <v>2025354.24</v>
      </c>
      <c r="N97" s="1113">
        <f t="shared" ca="1" si="14"/>
        <v>0</v>
      </c>
      <c r="O97" s="1113">
        <f ca="1">IF($A97&gt;Endyr,0,VLOOKUP($A97,Tariff_Table,Tariff!$O$33))</f>
        <v>3261.4795800000002</v>
      </c>
      <c r="P97" s="113">
        <f ca="1">VLOOKUP($A97,Curves_Table,Escalation!$AP$291)</f>
        <v>1.3038965761068158</v>
      </c>
      <c r="Q97" s="328">
        <f t="shared" ca="1" si="15"/>
        <v>4252.6320574042957</v>
      </c>
      <c r="R97" s="692" t="str">
        <f t="shared" ca="1" si="8"/>
        <v xml:space="preserve"> </v>
      </c>
    </row>
    <row r="98" spans="1:18">
      <c r="A98" s="672">
        <f>'Annex 12-Gas'!A98</f>
        <v>39569</v>
      </c>
      <c r="C98" s="697">
        <f ca="1">IF($A98&gt;Endyr,0,VLOOKUP($A98,Tariff_Table,Tariff!$L$33))</f>
        <v>1.21</v>
      </c>
      <c r="D98" s="113">
        <f ca="1">VLOOKUP($A98,Curves_Table,Escalation!$AL$291)</f>
        <v>1.3138486742599804</v>
      </c>
      <c r="E98" s="333">
        <f t="shared" ca="1" si="9"/>
        <v>1.5897568958545762</v>
      </c>
      <c r="F98" s="331">
        <f ca="1">IF($A98&gt;Endyr,0,VLOOKUP($A98,Tariff_Table,Tariff!$M$33))</f>
        <v>0.25</v>
      </c>
      <c r="G98" s="333">
        <f t="shared" ca="1" si="10"/>
        <v>1.8397568958545762</v>
      </c>
      <c r="H98" s="334">
        <f ca="1">VLOOKUP($A98,Plant_Table,'Plant Operations'!$T$270)</f>
        <v>2092866.048</v>
      </c>
      <c r="I98" s="335">
        <f t="shared" ca="1" si="11"/>
        <v>3850.3647439079145</v>
      </c>
      <c r="J98" s="698" t="str">
        <f t="shared" ca="1" si="12"/>
        <v xml:space="preserve"> </v>
      </c>
      <c r="L98" s="699">
        <f ca="1">IF($A98&lt;Startops2,0,VLOOKUP($A98,Tariff_Table,Tariff!$N$33))</f>
        <v>0</v>
      </c>
      <c r="M98" s="334">
        <f t="shared" ca="1" si="13"/>
        <v>2092866.048</v>
      </c>
      <c r="N98" s="1113">
        <f t="shared" ca="1" si="14"/>
        <v>0</v>
      </c>
      <c r="O98" s="1113">
        <f ca="1">IF($A98&gt;Endyr,0,VLOOKUP($A98,Tariff_Table,Tariff!$O$33))</f>
        <v>3257.6284999999998</v>
      </c>
      <c r="P98" s="113">
        <f ca="1">VLOOKUP($A98,Curves_Table,Escalation!$AP$291)</f>
        <v>1.3387797805891259</v>
      </c>
      <c r="Q98" s="328">
        <f t="shared" ca="1" si="15"/>
        <v>4361.2471684708835</v>
      </c>
      <c r="R98" s="692" t="str">
        <f t="shared" ca="1" si="8"/>
        <v xml:space="preserve"> </v>
      </c>
    </row>
    <row r="99" spans="1:18">
      <c r="A99" s="672">
        <f>'Annex 12-Gas'!A99</f>
        <v>39600</v>
      </c>
      <c r="C99" s="697">
        <f ca="1">IF($A99&gt;Endyr,0,VLOOKUP($A99,Tariff_Table,Tariff!$L$33))</f>
        <v>1.21</v>
      </c>
      <c r="D99" s="113">
        <f ca="1">VLOOKUP($A99,Curves_Table,Escalation!$AL$291)</f>
        <v>1.3138486742599804</v>
      </c>
      <c r="E99" s="333">
        <f t="shared" ca="1" si="9"/>
        <v>1.5897568958545762</v>
      </c>
      <c r="F99" s="331">
        <f ca="1">IF($A99&gt;Endyr,0,VLOOKUP($A99,Tariff_Table,Tariff!$M$33))</f>
        <v>0.25</v>
      </c>
      <c r="G99" s="333">
        <f t="shared" ca="1" si="10"/>
        <v>1.8397568958545762</v>
      </c>
      <c r="H99" s="334">
        <f ca="1">VLOOKUP($A99,Plant_Table,'Plant Operations'!$T$270)</f>
        <v>2025354.24</v>
      </c>
      <c r="I99" s="335">
        <f t="shared" ca="1" si="11"/>
        <v>3726.1594295883042</v>
      </c>
      <c r="J99" s="698" t="str">
        <f t="shared" ca="1" si="12"/>
        <v xml:space="preserve"> </v>
      </c>
      <c r="L99" s="699">
        <f ca="1">IF($A99&lt;Startops2,0,VLOOKUP($A99,Tariff_Table,Tariff!$N$33))</f>
        <v>0</v>
      </c>
      <c r="M99" s="334">
        <f t="shared" ca="1" si="13"/>
        <v>2025354.24</v>
      </c>
      <c r="N99" s="1113">
        <f t="shared" ca="1" si="14"/>
        <v>0</v>
      </c>
      <c r="O99" s="1113">
        <f ca="1">IF($A99&gt;Endyr,0,VLOOKUP($A99,Tariff_Table,Tariff!$O$33))</f>
        <v>3257.6284999999998</v>
      </c>
      <c r="P99" s="113">
        <f ca="1">VLOOKUP($A99,Curves_Table,Escalation!$AP$291)</f>
        <v>1.3387797805891259</v>
      </c>
      <c r="Q99" s="328">
        <f t="shared" ca="1" si="15"/>
        <v>4361.2471684708835</v>
      </c>
      <c r="R99" s="692" t="str">
        <f t="shared" ca="1" si="8"/>
        <v xml:space="preserve"> </v>
      </c>
    </row>
    <row r="100" spans="1:18">
      <c r="A100" s="672">
        <f>'Annex 12-Gas'!A100</f>
        <v>39630</v>
      </c>
      <c r="C100" s="697">
        <f ca="1">IF($A100&gt;Endyr,0,VLOOKUP($A100,Tariff_Table,Tariff!$L$33))</f>
        <v>1.21</v>
      </c>
      <c r="D100" s="113">
        <f ca="1">VLOOKUP($A100,Curves_Table,Escalation!$AL$291)</f>
        <v>1.3138486742599804</v>
      </c>
      <c r="E100" s="333">
        <f t="shared" ca="1" si="9"/>
        <v>1.5897568958545762</v>
      </c>
      <c r="F100" s="331">
        <f ca="1">IF($A100&gt;Endyr,0,VLOOKUP($A100,Tariff_Table,Tariff!$M$33))</f>
        <v>0.25</v>
      </c>
      <c r="G100" s="333">
        <f t="shared" ca="1" si="10"/>
        <v>1.8397568958545762</v>
      </c>
      <c r="H100" s="334">
        <f ca="1">VLOOKUP($A100,Plant_Table,'Plant Operations'!$T$270)</f>
        <v>2092866.048</v>
      </c>
      <c r="I100" s="335">
        <f t="shared" ca="1" si="11"/>
        <v>3850.3647439079145</v>
      </c>
      <c r="J100" s="698" t="str">
        <f t="shared" ca="1" si="12"/>
        <v xml:space="preserve"> </v>
      </c>
      <c r="L100" s="699">
        <f ca="1">IF($A100&lt;Startops2,0,VLOOKUP($A100,Tariff_Table,Tariff!$N$33))</f>
        <v>0</v>
      </c>
      <c r="M100" s="334">
        <f t="shared" ca="1" si="13"/>
        <v>2092866.048</v>
      </c>
      <c r="N100" s="1113">
        <f t="shared" ca="1" si="14"/>
        <v>0</v>
      </c>
      <c r="O100" s="1113">
        <f ca="1">IF($A100&gt;Endyr,0,VLOOKUP($A100,Tariff_Table,Tariff!$O$33))</f>
        <v>3257.6284999999998</v>
      </c>
      <c r="P100" s="113">
        <f ca="1">VLOOKUP($A100,Curves_Table,Escalation!$AP$291)</f>
        <v>1.3387797805891259</v>
      </c>
      <c r="Q100" s="328">
        <f t="shared" ca="1" si="15"/>
        <v>4361.2471684708835</v>
      </c>
      <c r="R100" s="692" t="str">
        <f t="shared" ca="1" si="8"/>
        <v xml:space="preserve"> </v>
      </c>
    </row>
    <row r="101" spans="1:18">
      <c r="A101" s="672">
        <f>'Annex 12-Gas'!A101</f>
        <v>39661</v>
      </c>
      <c r="C101" s="697">
        <f ca="1">IF($A101&gt;Endyr,0,VLOOKUP($A101,Tariff_Table,Tariff!$L$33))</f>
        <v>1.21</v>
      </c>
      <c r="D101" s="113">
        <f ca="1">VLOOKUP($A101,Curves_Table,Escalation!$AL$291)</f>
        <v>1.3138486742599804</v>
      </c>
      <c r="E101" s="333">
        <f t="shared" ca="1" si="9"/>
        <v>1.5897568958545762</v>
      </c>
      <c r="F101" s="331">
        <f ca="1">IF($A101&gt;Endyr,0,VLOOKUP($A101,Tariff_Table,Tariff!$M$33))</f>
        <v>0.25</v>
      </c>
      <c r="G101" s="333">
        <f t="shared" ca="1" si="10"/>
        <v>1.8397568958545762</v>
      </c>
      <c r="H101" s="334">
        <f ca="1">VLOOKUP($A101,Plant_Table,'Plant Operations'!$T$270)</f>
        <v>2092866.048</v>
      </c>
      <c r="I101" s="335">
        <f t="shared" ca="1" si="11"/>
        <v>3850.3647439079145</v>
      </c>
      <c r="J101" s="698" t="str">
        <f t="shared" ca="1" si="12"/>
        <v xml:space="preserve"> </v>
      </c>
      <c r="L101" s="699">
        <f ca="1">IF($A101&lt;Startops2,0,VLOOKUP($A101,Tariff_Table,Tariff!$N$33))</f>
        <v>0</v>
      </c>
      <c r="M101" s="334">
        <f t="shared" ca="1" si="13"/>
        <v>2092866.048</v>
      </c>
      <c r="N101" s="1113">
        <f t="shared" ca="1" si="14"/>
        <v>0</v>
      </c>
      <c r="O101" s="1113">
        <f ca="1">IF($A101&gt;Endyr,0,VLOOKUP($A101,Tariff_Table,Tariff!$O$33))</f>
        <v>3257.6284999999998</v>
      </c>
      <c r="P101" s="113">
        <f ca="1">VLOOKUP($A101,Curves_Table,Escalation!$AP$291)</f>
        <v>1.3387797805891259</v>
      </c>
      <c r="Q101" s="328">
        <f t="shared" ca="1" si="15"/>
        <v>4361.2471684708835</v>
      </c>
      <c r="R101" s="692" t="str">
        <f t="shared" ca="1" si="8"/>
        <v xml:space="preserve"> </v>
      </c>
    </row>
    <row r="102" spans="1:18">
      <c r="A102" s="672">
        <f>'Annex 12-Gas'!A102</f>
        <v>39692</v>
      </c>
      <c r="C102" s="697">
        <f ca="1">IF($A102&gt;Endyr,0,VLOOKUP($A102,Tariff_Table,Tariff!$L$33))</f>
        <v>1.21</v>
      </c>
      <c r="D102" s="113">
        <f ca="1">VLOOKUP($A102,Curves_Table,Escalation!$AL$291)</f>
        <v>1.3138486742599804</v>
      </c>
      <c r="E102" s="333">
        <f t="shared" ca="1" si="9"/>
        <v>1.5897568958545762</v>
      </c>
      <c r="F102" s="331">
        <f ca="1">IF($A102&gt;Endyr,0,VLOOKUP($A102,Tariff_Table,Tariff!$M$33))</f>
        <v>0.25</v>
      </c>
      <c r="G102" s="333">
        <f t="shared" ca="1" si="10"/>
        <v>1.8397568958545762</v>
      </c>
      <c r="H102" s="334">
        <f ca="1">VLOOKUP($A102,Plant_Table,'Plant Operations'!$T$270)</f>
        <v>2025354.24</v>
      </c>
      <c r="I102" s="335">
        <f t="shared" ca="1" si="11"/>
        <v>3726.1594295883042</v>
      </c>
      <c r="J102" s="698" t="str">
        <f t="shared" ca="1" si="12"/>
        <v xml:space="preserve"> </v>
      </c>
      <c r="L102" s="699">
        <f ca="1">IF($A102&lt;Startops2,0,VLOOKUP($A102,Tariff_Table,Tariff!$N$33))</f>
        <v>0</v>
      </c>
      <c r="M102" s="334">
        <f t="shared" ca="1" si="13"/>
        <v>2025354.24</v>
      </c>
      <c r="N102" s="1113">
        <f t="shared" ca="1" si="14"/>
        <v>0</v>
      </c>
      <c r="O102" s="1113">
        <f ca="1">IF($A102&gt;Endyr,0,VLOOKUP($A102,Tariff_Table,Tariff!$O$33))</f>
        <v>3257.6284999999998</v>
      </c>
      <c r="P102" s="113">
        <f ca="1">VLOOKUP($A102,Curves_Table,Escalation!$AP$291)</f>
        <v>1.3387797805891259</v>
      </c>
      <c r="Q102" s="328">
        <f t="shared" ca="1" si="15"/>
        <v>4361.2471684708835</v>
      </c>
      <c r="R102" s="692" t="str">
        <f t="shared" ca="1" si="8"/>
        <v xml:space="preserve"> </v>
      </c>
    </row>
    <row r="103" spans="1:18">
      <c r="A103" s="672">
        <f>'Annex 12-Gas'!A103</f>
        <v>39722</v>
      </c>
      <c r="C103" s="697">
        <f ca="1">IF($A103&gt;Endyr,0,VLOOKUP($A103,Tariff_Table,Tariff!$L$33))</f>
        <v>1.21</v>
      </c>
      <c r="D103" s="113">
        <f ca="1">VLOOKUP($A103,Curves_Table,Escalation!$AL$291)</f>
        <v>1.3138486742599804</v>
      </c>
      <c r="E103" s="333">
        <f t="shared" ca="1" si="9"/>
        <v>1.5897568958545762</v>
      </c>
      <c r="F103" s="331">
        <f ca="1">IF($A103&gt;Endyr,0,VLOOKUP($A103,Tariff_Table,Tariff!$M$33))</f>
        <v>0.25</v>
      </c>
      <c r="G103" s="333">
        <f t="shared" ca="1" si="10"/>
        <v>1.8397568958545762</v>
      </c>
      <c r="H103" s="334">
        <f ca="1">VLOOKUP($A103,Plant_Table,'Plant Operations'!$T$270)</f>
        <v>2092866.048</v>
      </c>
      <c r="I103" s="335">
        <f t="shared" ca="1" si="11"/>
        <v>3850.3647439079145</v>
      </c>
      <c r="J103" s="698" t="str">
        <f t="shared" ca="1" si="12"/>
        <v xml:space="preserve"> </v>
      </c>
      <c r="L103" s="699">
        <f ca="1">IF($A103&lt;Startops2,0,VLOOKUP($A103,Tariff_Table,Tariff!$N$33))</f>
        <v>0</v>
      </c>
      <c r="M103" s="334">
        <f t="shared" ca="1" si="13"/>
        <v>2092866.048</v>
      </c>
      <c r="N103" s="1113">
        <f t="shared" ca="1" si="14"/>
        <v>0</v>
      </c>
      <c r="O103" s="1113">
        <f ca="1">IF($A103&gt;Endyr,0,VLOOKUP($A103,Tariff_Table,Tariff!$O$33))</f>
        <v>3257.6284999999998</v>
      </c>
      <c r="P103" s="113">
        <f ca="1">VLOOKUP($A103,Curves_Table,Escalation!$AP$291)</f>
        <v>1.3387797805891259</v>
      </c>
      <c r="Q103" s="328">
        <f t="shared" ca="1" si="15"/>
        <v>4361.2471684708835</v>
      </c>
      <c r="R103" s="692" t="str">
        <f t="shared" ca="1" si="8"/>
        <v xml:space="preserve"> </v>
      </c>
    </row>
    <row r="104" spans="1:18">
      <c r="A104" s="672">
        <f>'Annex 12-Gas'!A104</f>
        <v>39753</v>
      </c>
      <c r="C104" s="697">
        <f ca="1">IF($A104&gt;Endyr,0,VLOOKUP($A104,Tariff_Table,Tariff!$L$33))</f>
        <v>1.21</v>
      </c>
      <c r="D104" s="113">
        <f ca="1">VLOOKUP($A104,Curves_Table,Escalation!$AL$291)</f>
        <v>1.3138486742599804</v>
      </c>
      <c r="E104" s="333">
        <f t="shared" ca="1" si="9"/>
        <v>1.5897568958545762</v>
      </c>
      <c r="F104" s="331">
        <f ca="1">IF($A104&gt;Endyr,0,VLOOKUP($A104,Tariff_Table,Tariff!$M$33))</f>
        <v>0.25</v>
      </c>
      <c r="G104" s="333">
        <f t="shared" ca="1" si="10"/>
        <v>1.8397568958545762</v>
      </c>
      <c r="H104" s="334">
        <f ca="1">VLOOKUP($A104,Plant_Table,'Plant Operations'!$T$270)</f>
        <v>2025354.24</v>
      </c>
      <c r="I104" s="335">
        <f t="shared" ca="1" si="11"/>
        <v>3726.1594295883042</v>
      </c>
      <c r="J104" s="698" t="str">
        <f t="shared" ca="1" si="12"/>
        <v xml:space="preserve"> </v>
      </c>
      <c r="L104" s="699">
        <f ca="1">IF($A104&lt;Startops2,0,VLOOKUP($A104,Tariff_Table,Tariff!$N$33))</f>
        <v>0</v>
      </c>
      <c r="M104" s="334">
        <f t="shared" ca="1" si="13"/>
        <v>2025354.24</v>
      </c>
      <c r="N104" s="1113">
        <f t="shared" ca="1" si="14"/>
        <v>0</v>
      </c>
      <c r="O104" s="1113">
        <f ca="1">IF($A104&gt;Endyr,0,VLOOKUP($A104,Tariff_Table,Tariff!$O$33))</f>
        <v>3257.6284999999998</v>
      </c>
      <c r="P104" s="113">
        <f ca="1">VLOOKUP($A104,Curves_Table,Escalation!$AP$291)</f>
        <v>1.3387797805891259</v>
      </c>
      <c r="Q104" s="328">
        <f t="shared" ca="1" si="15"/>
        <v>4361.2471684708835</v>
      </c>
      <c r="R104" s="692" t="str">
        <f t="shared" ca="1" si="8"/>
        <v xml:space="preserve"> </v>
      </c>
    </row>
    <row r="105" spans="1:18">
      <c r="A105" s="672">
        <f>'Annex 12-Gas'!A105</f>
        <v>39783</v>
      </c>
      <c r="C105" s="697">
        <f ca="1">IF($A105&gt;Endyr,0,VLOOKUP($A105,Tariff_Table,Tariff!$L$33))</f>
        <v>1.21</v>
      </c>
      <c r="D105" s="113">
        <f ca="1">VLOOKUP($A105,Curves_Table,Escalation!$AL$291)</f>
        <v>1.3138486742599804</v>
      </c>
      <c r="E105" s="333">
        <f t="shared" ca="1" si="9"/>
        <v>1.5897568958545762</v>
      </c>
      <c r="F105" s="331">
        <f ca="1">IF($A105&gt;Endyr,0,VLOOKUP($A105,Tariff_Table,Tariff!$M$33))</f>
        <v>0.25</v>
      </c>
      <c r="G105" s="333">
        <f t="shared" ca="1" si="10"/>
        <v>1.8397568958545762</v>
      </c>
      <c r="H105" s="334">
        <f ca="1">VLOOKUP($A105,Plant_Table,'Plant Operations'!$T$270)</f>
        <v>2092866.048</v>
      </c>
      <c r="I105" s="335">
        <f t="shared" ca="1" si="11"/>
        <v>3850.3647439079145</v>
      </c>
      <c r="J105" s="698">
        <f t="shared" ca="1" si="12"/>
        <v>45151.638155327622</v>
      </c>
      <c r="L105" s="699">
        <f ca="1">IF($A105&lt;Startops2,0,VLOOKUP($A105,Tariff_Table,Tariff!$N$33))</f>
        <v>0</v>
      </c>
      <c r="M105" s="334">
        <f t="shared" ca="1" si="13"/>
        <v>2092866.048</v>
      </c>
      <c r="N105" s="1113">
        <f t="shared" ca="1" si="14"/>
        <v>0</v>
      </c>
      <c r="O105" s="1113">
        <f ca="1">IF($A105&gt;Endyr,0,VLOOKUP($A105,Tariff_Table,Tariff!$O$33))</f>
        <v>3257.6284999999998</v>
      </c>
      <c r="P105" s="113">
        <f ca="1">VLOOKUP($A105,Curves_Table,Escalation!$AP$291)</f>
        <v>1.3387797805891259</v>
      </c>
      <c r="Q105" s="328">
        <f t="shared" ca="1" si="15"/>
        <v>4361.2471684708835</v>
      </c>
      <c r="R105" s="692">
        <f t="shared" ca="1" si="8"/>
        <v>51900.505577384261</v>
      </c>
    </row>
    <row r="106" spans="1:18">
      <c r="A106" s="672">
        <f>'Annex 12-Gas'!A106</f>
        <v>39814</v>
      </c>
      <c r="C106" s="697">
        <f ca="1">IF($A106&gt;Endyr,0,VLOOKUP($A106,Tariff_Table,Tariff!$L$33))</f>
        <v>1.21</v>
      </c>
      <c r="D106" s="113">
        <f ca="1">VLOOKUP($A106,Curves_Table,Escalation!$AL$291)</f>
        <v>1.3138486742599804</v>
      </c>
      <c r="E106" s="333">
        <f t="shared" ca="1" si="9"/>
        <v>1.5897568958545762</v>
      </c>
      <c r="F106" s="331">
        <f ca="1">IF($A106&gt;Endyr,0,VLOOKUP($A106,Tariff_Table,Tariff!$M$33))</f>
        <v>0.25</v>
      </c>
      <c r="G106" s="333">
        <f t="shared" ca="1" si="10"/>
        <v>1.8397568958545762</v>
      </c>
      <c r="H106" s="334">
        <f ca="1">VLOOKUP($A106,Plant_Table,'Plant Operations'!$T$270)</f>
        <v>2092866.048</v>
      </c>
      <c r="I106" s="335">
        <f t="shared" ca="1" si="11"/>
        <v>3850.3647439079145</v>
      </c>
      <c r="J106" s="698" t="str">
        <f t="shared" ca="1" si="12"/>
        <v xml:space="preserve"> </v>
      </c>
      <c r="L106" s="699">
        <f ca="1">IF($A106&lt;Startops2,0,VLOOKUP($A106,Tariff_Table,Tariff!$N$33))</f>
        <v>0</v>
      </c>
      <c r="M106" s="334">
        <f t="shared" ca="1" si="13"/>
        <v>2092866.048</v>
      </c>
      <c r="N106" s="1113">
        <f t="shared" ca="1" si="14"/>
        <v>0</v>
      </c>
      <c r="O106" s="1113">
        <f ca="1">IF($A106&gt;Endyr,0,VLOOKUP($A106,Tariff_Table,Tariff!$O$33))</f>
        <v>3257.6284999999998</v>
      </c>
      <c r="P106" s="113">
        <f ca="1">VLOOKUP($A106,Curves_Table,Escalation!$AP$291)</f>
        <v>1.3387797805891259</v>
      </c>
      <c r="Q106" s="328">
        <f t="shared" ca="1" si="15"/>
        <v>4361.2471684708835</v>
      </c>
      <c r="R106" s="692" t="str">
        <f t="shared" ca="1" si="8"/>
        <v xml:space="preserve"> </v>
      </c>
    </row>
    <row r="107" spans="1:18">
      <c r="A107" s="672">
        <f>'Annex 12-Gas'!A107</f>
        <v>39845</v>
      </c>
      <c r="C107" s="697">
        <f ca="1">IF($A107&gt;Endyr,0,VLOOKUP($A107,Tariff_Table,Tariff!$L$33))</f>
        <v>1.21</v>
      </c>
      <c r="D107" s="113">
        <f ca="1">VLOOKUP($A107,Curves_Table,Escalation!$AL$291)</f>
        <v>1.3138486742599804</v>
      </c>
      <c r="E107" s="333">
        <f t="shared" ca="1" si="9"/>
        <v>1.5897568958545762</v>
      </c>
      <c r="F107" s="331">
        <f ca="1">IF($A107&gt;Endyr,0,VLOOKUP($A107,Tariff_Table,Tariff!$M$33))</f>
        <v>0.25</v>
      </c>
      <c r="G107" s="333">
        <f t="shared" ca="1" si="10"/>
        <v>1.8397568958545762</v>
      </c>
      <c r="H107" s="334">
        <f ca="1">VLOOKUP($A107,Plant_Table,'Plant Operations'!$T$270)</f>
        <v>1890330.6240000003</v>
      </c>
      <c r="I107" s="335">
        <f t="shared" ca="1" si="11"/>
        <v>3477.7488009490844</v>
      </c>
      <c r="J107" s="698" t="str">
        <f t="shared" ca="1" si="12"/>
        <v xml:space="preserve"> </v>
      </c>
      <c r="L107" s="699">
        <f ca="1">IF($A107&lt;Startops2,0,VLOOKUP($A107,Tariff_Table,Tariff!$N$33))</f>
        <v>0</v>
      </c>
      <c r="M107" s="334">
        <f t="shared" ca="1" si="13"/>
        <v>1890330.6240000003</v>
      </c>
      <c r="N107" s="1113">
        <f t="shared" ca="1" si="14"/>
        <v>0</v>
      </c>
      <c r="O107" s="1113">
        <f ca="1">IF($A107&gt;Endyr,0,VLOOKUP($A107,Tariff_Table,Tariff!$O$33))</f>
        <v>3257.6284999999998</v>
      </c>
      <c r="P107" s="113">
        <f ca="1">VLOOKUP($A107,Curves_Table,Escalation!$AP$291)</f>
        <v>1.3387797805891259</v>
      </c>
      <c r="Q107" s="328">
        <f t="shared" ca="1" si="15"/>
        <v>4361.2471684708835</v>
      </c>
      <c r="R107" s="692" t="str">
        <f t="shared" ca="1" si="8"/>
        <v xml:space="preserve"> </v>
      </c>
    </row>
    <row r="108" spans="1:18">
      <c r="A108" s="672">
        <f>'Annex 12-Gas'!A108</f>
        <v>39873</v>
      </c>
      <c r="C108" s="697">
        <f ca="1">IF($A108&gt;Endyr,0,VLOOKUP($A108,Tariff_Table,Tariff!$L$33))</f>
        <v>1.21</v>
      </c>
      <c r="D108" s="113">
        <f ca="1">VLOOKUP($A108,Curves_Table,Escalation!$AL$291)</f>
        <v>1.3138486742599804</v>
      </c>
      <c r="E108" s="333">
        <f t="shared" ca="1" si="9"/>
        <v>1.5897568958545762</v>
      </c>
      <c r="F108" s="331">
        <f ca="1">IF($A108&gt;Endyr,0,VLOOKUP($A108,Tariff_Table,Tariff!$M$33))</f>
        <v>0.25</v>
      </c>
      <c r="G108" s="333">
        <f t="shared" ca="1" si="10"/>
        <v>1.8397568958545762</v>
      </c>
      <c r="H108" s="334">
        <f ca="1">VLOOKUP($A108,Plant_Table,'Plant Operations'!$T$270)</f>
        <v>2092866.048</v>
      </c>
      <c r="I108" s="335">
        <f t="shared" ca="1" si="11"/>
        <v>3850.3647439079145</v>
      </c>
      <c r="J108" s="698" t="str">
        <f t="shared" ca="1" si="12"/>
        <v xml:space="preserve"> </v>
      </c>
      <c r="L108" s="699">
        <f ca="1">IF($A108&lt;Startops2,0,VLOOKUP($A108,Tariff_Table,Tariff!$N$33))</f>
        <v>0</v>
      </c>
      <c r="M108" s="334">
        <f t="shared" ca="1" si="13"/>
        <v>2092866.048</v>
      </c>
      <c r="N108" s="1113">
        <f t="shared" ca="1" si="14"/>
        <v>0</v>
      </c>
      <c r="O108" s="1113">
        <f ca="1">IF($A108&gt;Endyr,0,VLOOKUP($A108,Tariff_Table,Tariff!$O$33))</f>
        <v>3257.6284999999998</v>
      </c>
      <c r="P108" s="113">
        <f ca="1">VLOOKUP($A108,Curves_Table,Escalation!$AP$291)</f>
        <v>1.3387797805891259</v>
      </c>
      <c r="Q108" s="328">
        <f t="shared" ca="1" si="15"/>
        <v>4361.2471684708835</v>
      </c>
      <c r="R108" s="692" t="str">
        <f t="shared" ca="1" si="8"/>
        <v xml:space="preserve"> </v>
      </c>
    </row>
    <row r="109" spans="1:18">
      <c r="A109" s="672">
        <f>'Annex 12-Gas'!A109</f>
        <v>39904</v>
      </c>
      <c r="C109" s="697">
        <f ca="1">IF($A109&gt;Endyr,0,VLOOKUP($A109,Tariff_Table,Tariff!$L$33))</f>
        <v>1.21</v>
      </c>
      <c r="D109" s="113">
        <f ca="1">VLOOKUP($A109,Curves_Table,Escalation!$AL$291)</f>
        <v>1.3138486742599804</v>
      </c>
      <c r="E109" s="333">
        <f t="shared" ca="1" si="9"/>
        <v>1.5897568958545762</v>
      </c>
      <c r="F109" s="331">
        <f ca="1">IF($A109&gt;Endyr,0,VLOOKUP($A109,Tariff_Table,Tariff!$M$33))</f>
        <v>0.25</v>
      </c>
      <c r="G109" s="333">
        <f t="shared" ca="1" si="10"/>
        <v>1.8397568958545762</v>
      </c>
      <c r="H109" s="334">
        <f ca="1">VLOOKUP($A109,Plant_Table,'Plant Operations'!$T$270)</f>
        <v>2025354.24</v>
      </c>
      <c r="I109" s="335">
        <f t="shared" ca="1" si="11"/>
        <v>3726.1594295883042</v>
      </c>
      <c r="J109" s="698" t="str">
        <f t="shared" ca="1" si="12"/>
        <v xml:space="preserve"> </v>
      </c>
      <c r="L109" s="699">
        <f ca="1">IF($A109&lt;Startops2,0,VLOOKUP($A109,Tariff_Table,Tariff!$N$33))</f>
        <v>0</v>
      </c>
      <c r="M109" s="334">
        <f t="shared" ca="1" si="13"/>
        <v>2025354.24</v>
      </c>
      <c r="N109" s="1113">
        <f t="shared" ca="1" si="14"/>
        <v>0</v>
      </c>
      <c r="O109" s="1113">
        <f ca="1">IF($A109&gt;Endyr,0,VLOOKUP($A109,Tariff_Table,Tariff!$O$33))</f>
        <v>3257.6284999999998</v>
      </c>
      <c r="P109" s="113">
        <f ca="1">VLOOKUP($A109,Curves_Table,Escalation!$AP$291)</f>
        <v>1.3387797805891259</v>
      </c>
      <c r="Q109" s="328">
        <f t="shared" ca="1" si="15"/>
        <v>4361.2471684708835</v>
      </c>
      <c r="R109" s="692" t="str">
        <f t="shared" ca="1" si="8"/>
        <v xml:space="preserve"> </v>
      </c>
    </row>
    <row r="110" spans="1:18">
      <c r="A110" s="672">
        <f>'Annex 12-Gas'!A110</f>
        <v>39934</v>
      </c>
      <c r="C110" s="697">
        <f ca="1">IF($A110&gt;Endyr,0,VLOOKUP($A110,Tariff_Table,Tariff!$L$33))</f>
        <v>1.21</v>
      </c>
      <c r="D110" s="113">
        <f ca="1">VLOOKUP($A110,Curves_Table,Escalation!$AL$291)</f>
        <v>1.3450803185857847</v>
      </c>
      <c r="E110" s="333">
        <f t="shared" ca="1" si="9"/>
        <v>1.6275471854887995</v>
      </c>
      <c r="F110" s="331">
        <f ca="1">IF($A110&gt;Endyr,0,VLOOKUP($A110,Tariff_Table,Tariff!$M$33))</f>
        <v>0.25</v>
      </c>
      <c r="G110" s="333">
        <f t="shared" ca="1" si="10"/>
        <v>1.8775471854887995</v>
      </c>
      <c r="H110" s="334">
        <f ca="1">VLOOKUP($A110,Plant_Table,'Plant Operations'!$T$270)</f>
        <v>2092866.048</v>
      </c>
      <c r="I110" s="335">
        <f t="shared" ca="1" si="11"/>
        <v>3929.4547580274666</v>
      </c>
      <c r="J110" s="698" t="str">
        <f t="shared" ca="1" si="12"/>
        <v xml:space="preserve"> </v>
      </c>
      <c r="L110" s="699">
        <f ca="1">IF($A110&lt;Startops2,0,VLOOKUP($A110,Tariff_Table,Tariff!$N$33))</f>
        <v>0</v>
      </c>
      <c r="M110" s="334">
        <f t="shared" ca="1" si="13"/>
        <v>2092866.048</v>
      </c>
      <c r="N110" s="1113">
        <f t="shared" ca="1" si="14"/>
        <v>0</v>
      </c>
      <c r="O110" s="1113">
        <f ca="1">IF($A110&gt;Endyr,0,VLOOKUP($A110,Tariff_Table,Tariff!$O$33))</f>
        <v>3260.6798399999998</v>
      </c>
      <c r="P110" s="113">
        <f ca="1">VLOOKUP($A110,Curves_Table,Escalation!$AP$291)</f>
        <v>1.3739510144936682</v>
      </c>
      <c r="Q110" s="328">
        <f t="shared" ca="1" si="15"/>
        <v>4480.0143741070515</v>
      </c>
      <c r="R110" s="692" t="str">
        <f t="shared" ca="1" si="8"/>
        <v xml:space="preserve"> </v>
      </c>
    </row>
    <row r="111" spans="1:18">
      <c r="A111" s="672">
        <f>'Annex 12-Gas'!A111</f>
        <v>39965</v>
      </c>
      <c r="C111" s="697">
        <f ca="1">IF($A111&gt;Endyr,0,VLOOKUP($A111,Tariff_Table,Tariff!$L$33))</f>
        <v>1.21</v>
      </c>
      <c r="D111" s="113">
        <f ca="1">VLOOKUP($A111,Curves_Table,Escalation!$AL$291)</f>
        <v>1.3450803185857847</v>
      </c>
      <c r="E111" s="333">
        <f t="shared" ca="1" si="9"/>
        <v>1.6275471854887995</v>
      </c>
      <c r="F111" s="331">
        <f ca="1">IF($A111&gt;Endyr,0,VLOOKUP($A111,Tariff_Table,Tariff!$M$33))</f>
        <v>0.25</v>
      </c>
      <c r="G111" s="333">
        <f t="shared" ca="1" si="10"/>
        <v>1.8775471854887995</v>
      </c>
      <c r="H111" s="334">
        <f ca="1">VLOOKUP($A111,Plant_Table,'Plant Operations'!$T$270)</f>
        <v>2025354.24</v>
      </c>
      <c r="I111" s="335">
        <f t="shared" ca="1" si="11"/>
        <v>3802.6981529298068</v>
      </c>
      <c r="J111" s="698" t="str">
        <f t="shared" ca="1" si="12"/>
        <v xml:space="preserve"> </v>
      </c>
      <c r="L111" s="699">
        <f ca="1">IF($A111&lt;Startops2,0,VLOOKUP($A111,Tariff_Table,Tariff!$N$33))</f>
        <v>0</v>
      </c>
      <c r="M111" s="334">
        <f t="shared" ca="1" si="13"/>
        <v>2025354.24</v>
      </c>
      <c r="N111" s="1113">
        <f t="shared" ca="1" si="14"/>
        <v>0</v>
      </c>
      <c r="O111" s="1113">
        <f ca="1">IF($A111&gt;Endyr,0,VLOOKUP($A111,Tariff_Table,Tariff!$O$33))</f>
        <v>3260.6798399999998</v>
      </c>
      <c r="P111" s="113">
        <f ca="1">VLOOKUP($A111,Curves_Table,Escalation!$AP$291)</f>
        <v>1.3739510144936682</v>
      </c>
      <c r="Q111" s="328">
        <f t="shared" ca="1" si="15"/>
        <v>4480.0143741070515</v>
      </c>
      <c r="R111" s="692" t="str">
        <f t="shared" ca="1" si="8"/>
        <v xml:space="preserve"> </v>
      </c>
    </row>
    <row r="112" spans="1:18">
      <c r="A112" s="672">
        <f>'Annex 12-Gas'!A112</f>
        <v>39995</v>
      </c>
      <c r="C112" s="697">
        <f ca="1">IF($A112&gt;Endyr,0,VLOOKUP($A112,Tariff_Table,Tariff!$L$33))</f>
        <v>1.21</v>
      </c>
      <c r="D112" s="113">
        <f ca="1">VLOOKUP($A112,Curves_Table,Escalation!$AL$291)</f>
        <v>1.3450803185857847</v>
      </c>
      <c r="E112" s="333">
        <f t="shared" ca="1" si="9"/>
        <v>1.6275471854887995</v>
      </c>
      <c r="F112" s="331">
        <f ca="1">IF($A112&gt;Endyr,0,VLOOKUP($A112,Tariff_Table,Tariff!$M$33))</f>
        <v>0.25</v>
      </c>
      <c r="G112" s="333">
        <f t="shared" ca="1" si="10"/>
        <v>1.8775471854887995</v>
      </c>
      <c r="H112" s="334">
        <f ca="1">VLOOKUP($A112,Plant_Table,'Plant Operations'!$T$270)</f>
        <v>2092866.048</v>
      </c>
      <c r="I112" s="335">
        <f t="shared" ca="1" si="11"/>
        <v>3929.4547580274666</v>
      </c>
      <c r="J112" s="698" t="str">
        <f t="shared" ca="1" si="12"/>
        <v xml:space="preserve"> </v>
      </c>
      <c r="L112" s="699">
        <f ca="1">IF($A112&lt;Startops2,0,VLOOKUP($A112,Tariff_Table,Tariff!$N$33))</f>
        <v>0</v>
      </c>
      <c r="M112" s="334">
        <f t="shared" ca="1" si="13"/>
        <v>2092866.048</v>
      </c>
      <c r="N112" s="1113">
        <f t="shared" ca="1" si="14"/>
        <v>0</v>
      </c>
      <c r="O112" s="1113">
        <f ca="1">IF($A112&gt;Endyr,0,VLOOKUP($A112,Tariff_Table,Tariff!$O$33))</f>
        <v>3260.6798399999998</v>
      </c>
      <c r="P112" s="113">
        <f ca="1">VLOOKUP($A112,Curves_Table,Escalation!$AP$291)</f>
        <v>1.3739510144936682</v>
      </c>
      <c r="Q112" s="328">
        <f t="shared" ca="1" si="15"/>
        <v>4480.0143741070515</v>
      </c>
      <c r="R112" s="692" t="str">
        <f t="shared" ca="1" si="8"/>
        <v xml:space="preserve"> </v>
      </c>
    </row>
    <row r="113" spans="1:18">
      <c r="A113" s="672">
        <f>'Annex 12-Gas'!A113</f>
        <v>40026</v>
      </c>
      <c r="C113" s="697">
        <f ca="1">IF($A113&gt;Endyr,0,VLOOKUP($A113,Tariff_Table,Tariff!$L$33))</f>
        <v>1.21</v>
      </c>
      <c r="D113" s="113">
        <f ca="1">VLOOKUP($A113,Curves_Table,Escalation!$AL$291)</f>
        <v>1.3450803185857847</v>
      </c>
      <c r="E113" s="333">
        <f t="shared" ca="1" si="9"/>
        <v>1.6275471854887995</v>
      </c>
      <c r="F113" s="331">
        <f ca="1">IF($A113&gt;Endyr,0,VLOOKUP($A113,Tariff_Table,Tariff!$M$33))</f>
        <v>0.25</v>
      </c>
      <c r="G113" s="333">
        <f t="shared" ca="1" si="10"/>
        <v>1.8775471854887995</v>
      </c>
      <c r="H113" s="334">
        <f ca="1">VLOOKUP($A113,Plant_Table,'Plant Operations'!$T$270)</f>
        <v>2092866.048</v>
      </c>
      <c r="I113" s="335">
        <f t="shared" ca="1" si="11"/>
        <v>3929.4547580274666</v>
      </c>
      <c r="J113" s="698" t="str">
        <f t="shared" ca="1" si="12"/>
        <v xml:space="preserve"> </v>
      </c>
      <c r="L113" s="699">
        <f ca="1">IF($A113&lt;Startops2,0,VLOOKUP($A113,Tariff_Table,Tariff!$N$33))</f>
        <v>0</v>
      </c>
      <c r="M113" s="334">
        <f t="shared" ca="1" si="13"/>
        <v>2092866.048</v>
      </c>
      <c r="N113" s="1113">
        <f t="shared" ca="1" si="14"/>
        <v>0</v>
      </c>
      <c r="O113" s="1113">
        <f ca="1">IF($A113&gt;Endyr,0,VLOOKUP($A113,Tariff_Table,Tariff!$O$33))</f>
        <v>3260.6798399999998</v>
      </c>
      <c r="P113" s="113">
        <f ca="1">VLOOKUP($A113,Curves_Table,Escalation!$AP$291)</f>
        <v>1.3739510144936682</v>
      </c>
      <c r="Q113" s="328">
        <f t="shared" ca="1" si="15"/>
        <v>4480.0143741070515</v>
      </c>
      <c r="R113" s="692" t="str">
        <f t="shared" ca="1" si="8"/>
        <v xml:space="preserve"> </v>
      </c>
    </row>
    <row r="114" spans="1:18">
      <c r="A114" s="672">
        <f>'Annex 12-Gas'!A114</f>
        <v>40057</v>
      </c>
      <c r="C114" s="697">
        <f ca="1">IF($A114&gt;Endyr,0,VLOOKUP($A114,Tariff_Table,Tariff!$L$33))</f>
        <v>1.21</v>
      </c>
      <c r="D114" s="113">
        <f ca="1">VLOOKUP($A114,Curves_Table,Escalation!$AL$291)</f>
        <v>1.3450803185857847</v>
      </c>
      <c r="E114" s="333">
        <f t="shared" ca="1" si="9"/>
        <v>1.6275471854887995</v>
      </c>
      <c r="F114" s="331">
        <f ca="1">IF($A114&gt;Endyr,0,VLOOKUP($A114,Tariff_Table,Tariff!$M$33))</f>
        <v>0.25</v>
      </c>
      <c r="G114" s="333">
        <f t="shared" ca="1" si="10"/>
        <v>1.8775471854887995</v>
      </c>
      <c r="H114" s="334">
        <f ca="1">VLOOKUP($A114,Plant_Table,'Plant Operations'!$T$270)</f>
        <v>2025354.24</v>
      </c>
      <c r="I114" s="335">
        <f t="shared" ca="1" si="11"/>
        <v>3802.6981529298068</v>
      </c>
      <c r="J114" s="698" t="str">
        <f t="shared" ca="1" si="12"/>
        <v xml:space="preserve"> </v>
      </c>
      <c r="L114" s="699">
        <f ca="1">IF($A114&lt;Startops2,0,VLOOKUP($A114,Tariff_Table,Tariff!$N$33))</f>
        <v>0</v>
      </c>
      <c r="M114" s="334">
        <f t="shared" ca="1" si="13"/>
        <v>2025354.24</v>
      </c>
      <c r="N114" s="1113">
        <f t="shared" ca="1" si="14"/>
        <v>0</v>
      </c>
      <c r="O114" s="1113">
        <f ca="1">IF($A114&gt;Endyr,0,VLOOKUP($A114,Tariff_Table,Tariff!$O$33))</f>
        <v>3260.6798399999998</v>
      </c>
      <c r="P114" s="113">
        <f ca="1">VLOOKUP($A114,Curves_Table,Escalation!$AP$291)</f>
        <v>1.3739510144936682</v>
      </c>
      <c r="Q114" s="328">
        <f t="shared" ca="1" si="15"/>
        <v>4480.0143741070515</v>
      </c>
      <c r="R114" s="692" t="str">
        <f t="shared" ca="1" si="8"/>
        <v xml:space="preserve"> </v>
      </c>
    </row>
    <row r="115" spans="1:18">
      <c r="A115" s="672">
        <f>'Annex 12-Gas'!A115</f>
        <v>40087</v>
      </c>
      <c r="C115" s="697">
        <f ca="1">IF($A115&gt;Endyr,0,VLOOKUP($A115,Tariff_Table,Tariff!$L$33))</f>
        <v>1.21</v>
      </c>
      <c r="D115" s="113">
        <f ca="1">VLOOKUP($A115,Curves_Table,Escalation!$AL$291)</f>
        <v>1.3450803185857847</v>
      </c>
      <c r="E115" s="333">
        <f t="shared" ca="1" si="9"/>
        <v>1.6275471854887995</v>
      </c>
      <c r="F115" s="331">
        <f ca="1">IF($A115&gt;Endyr,0,VLOOKUP($A115,Tariff_Table,Tariff!$M$33))</f>
        <v>0.25</v>
      </c>
      <c r="G115" s="333">
        <f t="shared" ca="1" si="10"/>
        <v>1.8775471854887995</v>
      </c>
      <c r="H115" s="334">
        <f ca="1">VLOOKUP($A115,Plant_Table,'Plant Operations'!$T$270)</f>
        <v>2092866.048</v>
      </c>
      <c r="I115" s="335">
        <f t="shared" ca="1" si="11"/>
        <v>3929.4547580274666</v>
      </c>
      <c r="J115" s="698" t="str">
        <f t="shared" ca="1" si="12"/>
        <v xml:space="preserve"> </v>
      </c>
      <c r="L115" s="699">
        <f ca="1">IF($A115&lt;Startops2,0,VLOOKUP($A115,Tariff_Table,Tariff!$N$33))</f>
        <v>0</v>
      </c>
      <c r="M115" s="334">
        <f t="shared" ca="1" si="13"/>
        <v>2092866.048</v>
      </c>
      <c r="N115" s="1113">
        <f t="shared" ca="1" si="14"/>
        <v>0</v>
      </c>
      <c r="O115" s="1113">
        <f ca="1">IF($A115&gt;Endyr,0,VLOOKUP($A115,Tariff_Table,Tariff!$O$33))</f>
        <v>3260.6798399999998</v>
      </c>
      <c r="P115" s="113">
        <f ca="1">VLOOKUP($A115,Curves_Table,Escalation!$AP$291)</f>
        <v>1.3739510144936682</v>
      </c>
      <c r="Q115" s="328">
        <f t="shared" ca="1" si="15"/>
        <v>4480.0143741070515</v>
      </c>
      <c r="R115" s="692" t="str">
        <f t="shared" ca="1" si="8"/>
        <v xml:space="preserve"> </v>
      </c>
    </row>
    <row r="116" spans="1:18">
      <c r="A116" s="672">
        <f>'Annex 12-Gas'!A116</f>
        <v>40118</v>
      </c>
      <c r="C116" s="697">
        <f ca="1">IF($A116&gt;Endyr,0,VLOOKUP($A116,Tariff_Table,Tariff!$L$33))</f>
        <v>1.21</v>
      </c>
      <c r="D116" s="113">
        <f ca="1">VLOOKUP($A116,Curves_Table,Escalation!$AL$291)</f>
        <v>1.3450803185857847</v>
      </c>
      <c r="E116" s="333">
        <f t="shared" ca="1" si="9"/>
        <v>1.6275471854887995</v>
      </c>
      <c r="F116" s="331">
        <f ca="1">IF($A116&gt;Endyr,0,VLOOKUP($A116,Tariff_Table,Tariff!$M$33))</f>
        <v>0.25</v>
      </c>
      <c r="G116" s="333">
        <f t="shared" ca="1" si="10"/>
        <v>1.8775471854887995</v>
      </c>
      <c r="H116" s="334">
        <f ca="1">VLOOKUP($A116,Plant_Table,'Plant Operations'!$T$270)</f>
        <v>2025354.24</v>
      </c>
      <c r="I116" s="335">
        <f t="shared" ca="1" si="11"/>
        <v>3802.6981529298068</v>
      </c>
      <c r="J116" s="698" t="str">
        <f t="shared" ca="1" si="12"/>
        <v xml:space="preserve"> </v>
      </c>
      <c r="L116" s="699">
        <f ca="1">IF($A116&lt;Startops2,0,VLOOKUP($A116,Tariff_Table,Tariff!$N$33))</f>
        <v>0</v>
      </c>
      <c r="M116" s="334">
        <f t="shared" ca="1" si="13"/>
        <v>2025354.24</v>
      </c>
      <c r="N116" s="1113">
        <f t="shared" ca="1" si="14"/>
        <v>0</v>
      </c>
      <c r="O116" s="1113">
        <f ca="1">IF($A116&gt;Endyr,0,VLOOKUP($A116,Tariff_Table,Tariff!$O$33))</f>
        <v>3260.6798399999998</v>
      </c>
      <c r="P116" s="113">
        <f ca="1">VLOOKUP($A116,Curves_Table,Escalation!$AP$291)</f>
        <v>1.3739510144936682</v>
      </c>
      <c r="Q116" s="328">
        <f t="shared" ca="1" si="15"/>
        <v>4480.0143741070515</v>
      </c>
      <c r="R116" s="692" t="str">
        <f t="shared" ca="1" si="8"/>
        <v xml:space="preserve"> </v>
      </c>
    </row>
    <row r="117" spans="1:18">
      <c r="A117" s="672">
        <f>'Annex 12-Gas'!A117</f>
        <v>40148</v>
      </c>
      <c r="C117" s="697">
        <f ca="1">IF($A117&gt;Endyr,0,VLOOKUP($A117,Tariff_Table,Tariff!$L$33))</f>
        <v>1.21</v>
      </c>
      <c r="D117" s="113">
        <f ca="1">VLOOKUP($A117,Curves_Table,Escalation!$AL$291)</f>
        <v>1.3450803185857847</v>
      </c>
      <c r="E117" s="333">
        <f t="shared" ca="1" si="9"/>
        <v>1.6275471854887995</v>
      </c>
      <c r="F117" s="331">
        <f ca="1">IF($A117&gt;Endyr,0,VLOOKUP($A117,Tariff_Table,Tariff!$M$33))</f>
        <v>0.25</v>
      </c>
      <c r="G117" s="333">
        <f t="shared" ca="1" si="10"/>
        <v>1.8775471854887995</v>
      </c>
      <c r="H117" s="334">
        <f ca="1">VLOOKUP($A117,Plant_Table,'Plant Operations'!$T$270)</f>
        <v>2092866.048</v>
      </c>
      <c r="I117" s="335">
        <f t="shared" ca="1" si="11"/>
        <v>3929.4547580274666</v>
      </c>
      <c r="J117" s="698">
        <f t="shared" ca="1" si="12"/>
        <v>45960.005967279969</v>
      </c>
      <c r="L117" s="699">
        <f ca="1">IF($A117&lt;Startops2,0,VLOOKUP($A117,Tariff_Table,Tariff!$N$33))</f>
        <v>0</v>
      </c>
      <c r="M117" s="334">
        <f t="shared" ca="1" si="13"/>
        <v>2092866.048</v>
      </c>
      <c r="N117" s="1113">
        <f t="shared" ca="1" si="14"/>
        <v>0</v>
      </c>
      <c r="O117" s="1113">
        <f ca="1">IF($A117&gt;Endyr,0,VLOOKUP($A117,Tariff_Table,Tariff!$O$33))</f>
        <v>3260.6798399999998</v>
      </c>
      <c r="P117" s="113">
        <f ca="1">VLOOKUP($A117,Curves_Table,Escalation!$AP$291)</f>
        <v>1.3739510144936682</v>
      </c>
      <c r="Q117" s="328">
        <f t="shared" ca="1" si="15"/>
        <v>4480.0143741070515</v>
      </c>
      <c r="R117" s="692">
        <f t="shared" ca="1" si="8"/>
        <v>53285.103666739931</v>
      </c>
    </row>
    <row r="118" spans="1:18">
      <c r="A118" s="672">
        <f>'Annex 12-Gas'!A118</f>
        <v>40179</v>
      </c>
      <c r="C118" s="697">
        <f ca="1">IF($A118&gt;Endyr,0,VLOOKUP($A118,Tariff_Table,Tariff!$L$33))</f>
        <v>1.21</v>
      </c>
      <c r="D118" s="113">
        <f ca="1">VLOOKUP($A118,Curves_Table,Escalation!$AL$291)</f>
        <v>1.3450803185857847</v>
      </c>
      <c r="E118" s="333">
        <f t="shared" ca="1" si="9"/>
        <v>1.6275471854887995</v>
      </c>
      <c r="F118" s="331">
        <f ca="1">IF($A118&gt;Endyr,0,VLOOKUP($A118,Tariff_Table,Tariff!$M$33))</f>
        <v>0.25</v>
      </c>
      <c r="G118" s="333">
        <f t="shared" ca="1" si="10"/>
        <v>1.8775471854887995</v>
      </c>
      <c r="H118" s="334">
        <f ca="1">VLOOKUP($A118,Plant_Table,'Plant Operations'!$T$270)</f>
        <v>2092866.048</v>
      </c>
      <c r="I118" s="335">
        <f t="shared" ca="1" si="11"/>
        <v>3929.4547580274666</v>
      </c>
      <c r="J118" s="698" t="str">
        <f t="shared" ca="1" si="12"/>
        <v xml:space="preserve"> </v>
      </c>
      <c r="L118" s="699">
        <f ca="1">IF($A118&lt;Startops2,0,VLOOKUP($A118,Tariff_Table,Tariff!$N$33))</f>
        <v>0</v>
      </c>
      <c r="M118" s="334">
        <f t="shared" ca="1" si="13"/>
        <v>2092866.048</v>
      </c>
      <c r="N118" s="1113">
        <f t="shared" ca="1" si="14"/>
        <v>0</v>
      </c>
      <c r="O118" s="1113">
        <f ca="1">IF($A118&gt;Endyr,0,VLOOKUP($A118,Tariff_Table,Tariff!$O$33))</f>
        <v>3260.6798399999998</v>
      </c>
      <c r="P118" s="113">
        <f ca="1">VLOOKUP($A118,Curves_Table,Escalation!$AP$291)</f>
        <v>1.3739510144936682</v>
      </c>
      <c r="Q118" s="328">
        <f t="shared" ca="1" si="15"/>
        <v>4480.0143741070515</v>
      </c>
      <c r="R118" s="692" t="str">
        <f t="shared" ca="1" si="8"/>
        <v xml:space="preserve"> </v>
      </c>
    </row>
    <row r="119" spans="1:18">
      <c r="A119" s="672">
        <f>'Annex 12-Gas'!A119</f>
        <v>40210</v>
      </c>
      <c r="C119" s="697">
        <f ca="1">IF($A119&gt;Endyr,0,VLOOKUP($A119,Tariff_Table,Tariff!$L$33))</f>
        <v>1.21</v>
      </c>
      <c r="D119" s="113">
        <f ca="1">VLOOKUP($A119,Curves_Table,Escalation!$AL$291)</f>
        <v>1.3450803185857847</v>
      </c>
      <c r="E119" s="333">
        <f t="shared" ca="1" si="9"/>
        <v>1.6275471854887995</v>
      </c>
      <c r="F119" s="331">
        <f ca="1">IF($A119&gt;Endyr,0,VLOOKUP($A119,Tariff_Table,Tariff!$M$33))</f>
        <v>0.25</v>
      </c>
      <c r="G119" s="333">
        <f t="shared" ca="1" si="10"/>
        <v>1.8775471854887995</v>
      </c>
      <c r="H119" s="334">
        <f ca="1">VLOOKUP($A119,Plant_Table,'Plant Operations'!$T$270)</f>
        <v>1890330.6240000003</v>
      </c>
      <c r="I119" s="335">
        <f t="shared" ca="1" si="11"/>
        <v>3549.1849427344869</v>
      </c>
      <c r="J119" s="698" t="str">
        <f t="shared" ca="1" si="12"/>
        <v xml:space="preserve"> </v>
      </c>
      <c r="L119" s="699">
        <f ca="1">IF($A119&lt;Startops2,0,VLOOKUP($A119,Tariff_Table,Tariff!$N$33))</f>
        <v>0</v>
      </c>
      <c r="M119" s="334">
        <f t="shared" ca="1" si="13"/>
        <v>1890330.6240000003</v>
      </c>
      <c r="N119" s="1113">
        <f t="shared" ca="1" si="14"/>
        <v>0</v>
      </c>
      <c r="O119" s="1113">
        <f ca="1">IF($A119&gt;Endyr,0,VLOOKUP($A119,Tariff_Table,Tariff!$O$33))</f>
        <v>3260.6798399999998</v>
      </c>
      <c r="P119" s="113">
        <f ca="1">VLOOKUP($A119,Curves_Table,Escalation!$AP$291)</f>
        <v>1.3739510144936682</v>
      </c>
      <c r="Q119" s="328">
        <f t="shared" ca="1" si="15"/>
        <v>4480.0143741070515</v>
      </c>
      <c r="R119" s="692" t="str">
        <f t="shared" ca="1" si="8"/>
        <v xml:space="preserve"> </v>
      </c>
    </row>
    <row r="120" spans="1:18">
      <c r="A120" s="672">
        <f>'Annex 12-Gas'!A120</f>
        <v>40238</v>
      </c>
      <c r="C120" s="697">
        <f ca="1">IF($A120&gt;Endyr,0,VLOOKUP($A120,Tariff_Table,Tariff!$L$33))</f>
        <v>1.21</v>
      </c>
      <c r="D120" s="113">
        <f ca="1">VLOOKUP($A120,Curves_Table,Escalation!$AL$291)</f>
        <v>1.3450803185857847</v>
      </c>
      <c r="E120" s="333">
        <f t="shared" ca="1" si="9"/>
        <v>1.6275471854887995</v>
      </c>
      <c r="F120" s="331">
        <f ca="1">IF($A120&gt;Endyr,0,VLOOKUP($A120,Tariff_Table,Tariff!$M$33))</f>
        <v>0.25</v>
      </c>
      <c r="G120" s="333">
        <f t="shared" ca="1" si="10"/>
        <v>1.8775471854887995</v>
      </c>
      <c r="H120" s="334">
        <f ca="1">VLOOKUP($A120,Plant_Table,'Plant Operations'!$T$270)</f>
        <v>2092866.048</v>
      </c>
      <c r="I120" s="335">
        <f t="shared" ca="1" si="11"/>
        <v>3929.4547580274666</v>
      </c>
      <c r="J120" s="698" t="str">
        <f t="shared" ca="1" si="12"/>
        <v xml:space="preserve"> </v>
      </c>
      <c r="L120" s="699">
        <f ca="1">IF($A120&lt;Startops2,0,VLOOKUP($A120,Tariff_Table,Tariff!$N$33))</f>
        <v>0</v>
      </c>
      <c r="M120" s="334">
        <f t="shared" ca="1" si="13"/>
        <v>2092866.048</v>
      </c>
      <c r="N120" s="1113">
        <f t="shared" ca="1" si="14"/>
        <v>0</v>
      </c>
      <c r="O120" s="1113">
        <f ca="1">IF($A120&gt;Endyr,0,VLOOKUP($A120,Tariff_Table,Tariff!$O$33))</f>
        <v>3260.6798399999998</v>
      </c>
      <c r="P120" s="113">
        <f ca="1">VLOOKUP($A120,Curves_Table,Escalation!$AP$291)</f>
        <v>1.3739510144936682</v>
      </c>
      <c r="Q120" s="328">
        <f t="shared" ca="1" si="15"/>
        <v>4480.0143741070515</v>
      </c>
      <c r="R120" s="692" t="str">
        <f t="shared" ca="1" si="8"/>
        <v xml:space="preserve"> </v>
      </c>
    </row>
    <row r="121" spans="1:18">
      <c r="A121" s="672">
        <f>'Annex 12-Gas'!A121</f>
        <v>40269</v>
      </c>
      <c r="C121" s="697">
        <f ca="1">IF($A121&gt;Endyr,0,VLOOKUP($A121,Tariff_Table,Tariff!$L$33))</f>
        <v>1.21</v>
      </c>
      <c r="D121" s="113">
        <f ca="1">VLOOKUP($A121,Curves_Table,Escalation!$AL$291)</f>
        <v>1.3450803185857847</v>
      </c>
      <c r="E121" s="333">
        <f t="shared" ca="1" si="9"/>
        <v>1.6275471854887995</v>
      </c>
      <c r="F121" s="331">
        <f ca="1">IF($A121&gt;Endyr,0,VLOOKUP($A121,Tariff_Table,Tariff!$M$33))</f>
        <v>0.25</v>
      </c>
      <c r="G121" s="333">
        <f t="shared" ca="1" si="10"/>
        <v>1.8775471854887995</v>
      </c>
      <c r="H121" s="334">
        <f ca="1">VLOOKUP($A121,Plant_Table,'Plant Operations'!$T$270)</f>
        <v>2025354.24</v>
      </c>
      <c r="I121" s="335">
        <f t="shared" ca="1" si="11"/>
        <v>3802.6981529298068</v>
      </c>
      <c r="J121" s="698" t="str">
        <f t="shared" ca="1" si="12"/>
        <v xml:space="preserve"> </v>
      </c>
      <c r="L121" s="699">
        <f ca="1">IF($A121&lt;Startops2,0,VLOOKUP($A121,Tariff_Table,Tariff!$N$33))</f>
        <v>0</v>
      </c>
      <c r="M121" s="334">
        <f t="shared" ca="1" si="13"/>
        <v>2025354.24</v>
      </c>
      <c r="N121" s="1113">
        <f t="shared" ca="1" si="14"/>
        <v>0</v>
      </c>
      <c r="O121" s="1113">
        <f ca="1">IF($A121&gt;Endyr,0,VLOOKUP($A121,Tariff_Table,Tariff!$O$33))</f>
        <v>3260.6798399999998</v>
      </c>
      <c r="P121" s="113">
        <f ca="1">VLOOKUP($A121,Curves_Table,Escalation!$AP$291)</f>
        <v>1.3739510144936682</v>
      </c>
      <c r="Q121" s="328">
        <f t="shared" ca="1" si="15"/>
        <v>4480.0143741070515</v>
      </c>
      <c r="R121" s="692" t="str">
        <f t="shared" ca="1" si="8"/>
        <v xml:space="preserve"> </v>
      </c>
    </row>
    <row r="122" spans="1:18">
      <c r="A122" s="672">
        <f>'Annex 12-Gas'!A122</f>
        <v>40299</v>
      </c>
      <c r="C122" s="697">
        <f ca="1">IF($A122&gt;Endyr,0,VLOOKUP($A122,Tariff_Table,Tariff!$L$33))</f>
        <v>1.21</v>
      </c>
      <c r="D122" s="113">
        <f ca="1">VLOOKUP($A122,Curves_Table,Escalation!$AL$291)</f>
        <v>1.376475256228453</v>
      </c>
      <c r="E122" s="333">
        <f t="shared" ca="1" si="9"/>
        <v>1.665535060036428</v>
      </c>
      <c r="F122" s="331">
        <f ca="1">IF($A122&gt;Endyr,0,VLOOKUP($A122,Tariff_Table,Tariff!$M$33))</f>
        <v>0.25</v>
      </c>
      <c r="G122" s="333">
        <f t="shared" ca="1" si="10"/>
        <v>1.915535060036428</v>
      </c>
      <c r="H122" s="334">
        <f ca="1">VLOOKUP($A122,Plant_Table,'Plant Operations'!$T$270)</f>
        <v>2092866.048</v>
      </c>
      <c r="I122" s="335">
        <f t="shared" ca="1" si="11"/>
        <v>4008.9582909038818</v>
      </c>
      <c r="J122" s="698" t="str">
        <f t="shared" ca="1" si="12"/>
        <v xml:space="preserve"> </v>
      </c>
      <c r="L122" s="699">
        <f ca="1">IF($A122&lt;Startops2,0,VLOOKUP($A122,Tariff_Table,Tariff!$N$33))</f>
        <v>0</v>
      </c>
      <c r="M122" s="334">
        <f t="shared" ca="1" si="13"/>
        <v>2092866.048</v>
      </c>
      <c r="N122" s="1113">
        <f t="shared" ca="1" si="14"/>
        <v>0</v>
      </c>
      <c r="O122" s="1113">
        <f ca="1">IF($A122&gt;Endyr,0,VLOOKUP($A122,Tariff_Table,Tariff!$O$33))</f>
        <v>3262.08635</v>
      </c>
      <c r="P122" s="113">
        <f ca="1">VLOOKUP($A122,Curves_Table,Escalation!$AP$291)</f>
        <v>1.409454688092179</v>
      </c>
      <c r="Q122" s="328">
        <f t="shared" ca="1" si="15"/>
        <v>4597.7628989690047</v>
      </c>
      <c r="R122" s="692" t="str">
        <f t="shared" ca="1" si="8"/>
        <v xml:space="preserve"> </v>
      </c>
    </row>
    <row r="123" spans="1:18">
      <c r="A123" s="672">
        <f>'Annex 12-Gas'!A123</f>
        <v>40330</v>
      </c>
      <c r="C123" s="697">
        <f ca="1">IF($A123&gt;Endyr,0,VLOOKUP($A123,Tariff_Table,Tariff!$L$33))</f>
        <v>1.21</v>
      </c>
      <c r="D123" s="113">
        <f ca="1">VLOOKUP($A123,Curves_Table,Escalation!$AL$291)</f>
        <v>1.376475256228453</v>
      </c>
      <c r="E123" s="333">
        <f t="shared" ca="1" si="9"/>
        <v>1.665535060036428</v>
      </c>
      <c r="F123" s="331">
        <f ca="1">IF($A123&gt;Endyr,0,VLOOKUP($A123,Tariff_Table,Tariff!$M$33))</f>
        <v>0.25</v>
      </c>
      <c r="G123" s="333">
        <f t="shared" ca="1" si="10"/>
        <v>1.915535060036428</v>
      </c>
      <c r="H123" s="334">
        <f ca="1">VLOOKUP($A123,Plant_Table,'Plant Operations'!$T$270)</f>
        <v>2025354.24</v>
      </c>
      <c r="I123" s="335">
        <f t="shared" ca="1" si="11"/>
        <v>3879.6370557134342</v>
      </c>
      <c r="J123" s="698" t="str">
        <f t="shared" ca="1" si="12"/>
        <v xml:space="preserve"> </v>
      </c>
      <c r="L123" s="699">
        <f ca="1">IF($A123&lt;Startops2,0,VLOOKUP($A123,Tariff_Table,Tariff!$N$33))</f>
        <v>0</v>
      </c>
      <c r="M123" s="334">
        <f t="shared" ca="1" si="13"/>
        <v>2025354.24</v>
      </c>
      <c r="N123" s="1113">
        <f t="shared" ca="1" si="14"/>
        <v>0</v>
      </c>
      <c r="O123" s="1113">
        <f ca="1">IF($A123&gt;Endyr,0,VLOOKUP($A123,Tariff_Table,Tariff!$O$33))</f>
        <v>3262.08635</v>
      </c>
      <c r="P123" s="113">
        <f ca="1">VLOOKUP($A123,Curves_Table,Escalation!$AP$291)</f>
        <v>1.409454688092179</v>
      </c>
      <c r="Q123" s="328">
        <f t="shared" ca="1" si="15"/>
        <v>4597.7628989690047</v>
      </c>
      <c r="R123" s="692" t="str">
        <f t="shared" ca="1" si="8"/>
        <v xml:space="preserve"> </v>
      </c>
    </row>
    <row r="124" spans="1:18">
      <c r="A124" s="672">
        <f>'Annex 12-Gas'!A124</f>
        <v>40360</v>
      </c>
      <c r="C124" s="697">
        <f ca="1">IF($A124&gt;Endyr,0,VLOOKUP($A124,Tariff_Table,Tariff!$L$33))</f>
        <v>1.21</v>
      </c>
      <c r="D124" s="113">
        <f ca="1">VLOOKUP($A124,Curves_Table,Escalation!$AL$291)</f>
        <v>1.376475256228453</v>
      </c>
      <c r="E124" s="333">
        <f t="shared" ca="1" si="9"/>
        <v>1.665535060036428</v>
      </c>
      <c r="F124" s="331">
        <f ca="1">IF($A124&gt;Endyr,0,VLOOKUP($A124,Tariff_Table,Tariff!$M$33))</f>
        <v>0.25</v>
      </c>
      <c r="G124" s="333">
        <f t="shared" ca="1" si="10"/>
        <v>1.915535060036428</v>
      </c>
      <c r="H124" s="334">
        <f ca="1">VLOOKUP($A124,Plant_Table,'Plant Operations'!$T$270)</f>
        <v>2092866.048</v>
      </c>
      <c r="I124" s="335">
        <f t="shared" ca="1" si="11"/>
        <v>4008.9582909038818</v>
      </c>
      <c r="J124" s="698" t="str">
        <f t="shared" ca="1" si="12"/>
        <v xml:space="preserve"> </v>
      </c>
      <c r="L124" s="699">
        <f ca="1">IF($A124&lt;Startops2,0,VLOOKUP($A124,Tariff_Table,Tariff!$N$33))</f>
        <v>0</v>
      </c>
      <c r="M124" s="334">
        <f t="shared" ca="1" si="13"/>
        <v>2092866.048</v>
      </c>
      <c r="N124" s="1113">
        <f t="shared" ca="1" si="14"/>
        <v>0</v>
      </c>
      <c r="O124" s="1113">
        <f ca="1">IF($A124&gt;Endyr,0,VLOOKUP($A124,Tariff_Table,Tariff!$O$33))</f>
        <v>3262.08635</v>
      </c>
      <c r="P124" s="113">
        <f ca="1">VLOOKUP($A124,Curves_Table,Escalation!$AP$291)</f>
        <v>1.409454688092179</v>
      </c>
      <c r="Q124" s="328">
        <f t="shared" ca="1" si="15"/>
        <v>4597.7628989690047</v>
      </c>
      <c r="R124" s="692" t="str">
        <f t="shared" ca="1" si="8"/>
        <v xml:space="preserve"> </v>
      </c>
    </row>
    <row r="125" spans="1:18">
      <c r="A125" s="672">
        <f>'Annex 12-Gas'!A125</f>
        <v>40391</v>
      </c>
      <c r="C125" s="697">
        <f ca="1">IF($A125&gt;Endyr,0,VLOOKUP($A125,Tariff_Table,Tariff!$L$33))</f>
        <v>1.21</v>
      </c>
      <c r="D125" s="113">
        <f ca="1">VLOOKUP($A125,Curves_Table,Escalation!$AL$291)</f>
        <v>1.376475256228453</v>
      </c>
      <c r="E125" s="333">
        <f t="shared" ca="1" si="9"/>
        <v>1.665535060036428</v>
      </c>
      <c r="F125" s="331">
        <f ca="1">IF($A125&gt;Endyr,0,VLOOKUP($A125,Tariff_Table,Tariff!$M$33))</f>
        <v>0.25</v>
      </c>
      <c r="G125" s="333">
        <f t="shared" ca="1" si="10"/>
        <v>1.915535060036428</v>
      </c>
      <c r="H125" s="334">
        <f ca="1">VLOOKUP($A125,Plant_Table,'Plant Operations'!$T$270)</f>
        <v>2092866.048</v>
      </c>
      <c r="I125" s="335">
        <f t="shared" ca="1" si="11"/>
        <v>4008.9582909038818</v>
      </c>
      <c r="J125" s="698" t="str">
        <f t="shared" ca="1" si="12"/>
        <v xml:space="preserve"> </v>
      </c>
      <c r="L125" s="699">
        <f ca="1">IF($A125&lt;Startops2,0,VLOOKUP($A125,Tariff_Table,Tariff!$N$33))</f>
        <v>0</v>
      </c>
      <c r="M125" s="334">
        <f t="shared" ca="1" si="13"/>
        <v>2092866.048</v>
      </c>
      <c r="N125" s="1113">
        <f t="shared" ca="1" si="14"/>
        <v>0</v>
      </c>
      <c r="O125" s="1113">
        <f ca="1">IF($A125&gt;Endyr,0,VLOOKUP($A125,Tariff_Table,Tariff!$O$33))</f>
        <v>3262.08635</v>
      </c>
      <c r="P125" s="113">
        <f ca="1">VLOOKUP($A125,Curves_Table,Escalation!$AP$291)</f>
        <v>1.409454688092179</v>
      </c>
      <c r="Q125" s="328">
        <f t="shared" ca="1" si="15"/>
        <v>4597.7628989690047</v>
      </c>
      <c r="R125" s="692" t="str">
        <f t="shared" ca="1" si="8"/>
        <v xml:space="preserve"> </v>
      </c>
    </row>
    <row r="126" spans="1:18">
      <c r="A126" s="672">
        <f>'Annex 12-Gas'!A126</f>
        <v>40422</v>
      </c>
      <c r="C126" s="697">
        <f ca="1">IF($A126&gt;Endyr,0,VLOOKUP($A126,Tariff_Table,Tariff!$L$33))</f>
        <v>1.21</v>
      </c>
      <c r="D126" s="113">
        <f ca="1">VLOOKUP($A126,Curves_Table,Escalation!$AL$291)</f>
        <v>1.376475256228453</v>
      </c>
      <c r="E126" s="333">
        <f t="shared" ca="1" si="9"/>
        <v>1.665535060036428</v>
      </c>
      <c r="F126" s="331">
        <f ca="1">IF($A126&gt;Endyr,0,VLOOKUP($A126,Tariff_Table,Tariff!$M$33))</f>
        <v>0.25</v>
      </c>
      <c r="G126" s="333">
        <f t="shared" ca="1" si="10"/>
        <v>1.915535060036428</v>
      </c>
      <c r="H126" s="334">
        <f ca="1">VLOOKUP($A126,Plant_Table,'Plant Operations'!$T$270)</f>
        <v>2025354.24</v>
      </c>
      <c r="I126" s="335">
        <f t="shared" ca="1" si="11"/>
        <v>3879.6370557134342</v>
      </c>
      <c r="J126" s="698" t="str">
        <f t="shared" ca="1" si="12"/>
        <v xml:space="preserve"> </v>
      </c>
      <c r="L126" s="699">
        <f ca="1">IF($A126&lt;Startops2,0,VLOOKUP($A126,Tariff_Table,Tariff!$N$33))</f>
        <v>0</v>
      </c>
      <c r="M126" s="334">
        <f t="shared" ca="1" si="13"/>
        <v>2025354.24</v>
      </c>
      <c r="N126" s="1113">
        <f t="shared" ca="1" si="14"/>
        <v>0</v>
      </c>
      <c r="O126" s="1113">
        <f ca="1">IF($A126&gt;Endyr,0,VLOOKUP($A126,Tariff_Table,Tariff!$O$33))</f>
        <v>3262.08635</v>
      </c>
      <c r="P126" s="113">
        <f ca="1">VLOOKUP($A126,Curves_Table,Escalation!$AP$291)</f>
        <v>1.409454688092179</v>
      </c>
      <c r="Q126" s="328">
        <f t="shared" ca="1" si="15"/>
        <v>4597.7628989690047</v>
      </c>
      <c r="R126" s="692" t="str">
        <f t="shared" ca="1" si="8"/>
        <v xml:space="preserve"> </v>
      </c>
    </row>
    <row r="127" spans="1:18">
      <c r="A127" s="672">
        <f>'Annex 12-Gas'!A127</f>
        <v>40452</v>
      </c>
      <c r="C127" s="697">
        <f ca="1">IF($A127&gt;Endyr,0,VLOOKUP($A127,Tariff_Table,Tariff!$L$33))</f>
        <v>1.21</v>
      </c>
      <c r="D127" s="113">
        <f ca="1">VLOOKUP($A127,Curves_Table,Escalation!$AL$291)</f>
        <v>1.376475256228453</v>
      </c>
      <c r="E127" s="333">
        <f t="shared" ca="1" si="9"/>
        <v>1.665535060036428</v>
      </c>
      <c r="F127" s="331">
        <f ca="1">IF($A127&gt;Endyr,0,VLOOKUP($A127,Tariff_Table,Tariff!$M$33))</f>
        <v>0.25</v>
      </c>
      <c r="G127" s="333">
        <f t="shared" ca="1" si="10"/>
        <v>1.915535060036428</v>
      </c>
      <c r="H127" s="334">
        <f ca="1">VLOOKUP($A127,Plant_Table,'Plant Operations'!$T$270)</f>
        <v>2092866.048</v>
      </c>
      <c r="I127" s="335">
        <f t="shared" ca="1" si="11"/>
        <v>4008.9582909038818</v>
      </c>
      <c r="J127" s="698" t="str">
        <f t="shared" ca="1" si="12"/>
        <v xml:space="preserve"> </v>
      </c>
      <c r="L127" s="699">
        <f ca="1">IF($A127&lt;Startops2,0,VLOOKUP($A127,Tariff_Table,Tariff!$N$33))</f>
        <v>0</v>
      </c>
      <c r="M127" s="334">
        <f t="shared" ca="1" si="13"/>
        <v>2092866.048</v>
      </c>
      <c r="N127" s="1113">
        <f t="shared" ca="1" si="14"/>
        <v>0</v>
      </c>
      <c r="O127" s="1113">
        <f ca="1">IF($A127&gt;Endyr,0,VLOOKUP($A127,Tariff_Table,Tariff!$O$33))</f>
        <v>3262.08635</v>
      </c>
      <c r="P127" s="113">
        <f ca="1">VLOOKUP($A127,Curves_Table,Escalation!$AP$291)</f>
        <v>1.409454688092179</v>
      </c>
      <c r="Q127" s="328">
        <f t="shared" ca="1" si="15"/>
        <v>4597.7628989690047</v>
      </c>
      <c r="R127" s="692" t="str">
        <f t="shared" ca="1" si="8"/>
        <v xml:space="preserve"> </v>
      </c>
    </row>
    <row r="128" spans="1:18">
      <c r="A128" s="672">
        <f>'Annex 12-Gas'!A128</f>
        <v>40483</v>
      </c>
      <c r="C128" s="697">
        <f ca="1">IF($A128&gt;Endyr,0,VLOOKUP($A128,Tariff_Table,Tariff!$L$33))</f>
        <v>1.21</v>
      </c>
      <c r="D128" s="113">
        <f ca="1">VLOOKUP($A128,Curves_Table,Escalation!$AL$291)</f>
        <v>1.376475256228453</v>
      </c>
      <c r="E128" s="333">
        <f t="shared" ca="1" si="9"/>
        <v>1.665535060036428</v>
      </c>
      <c r="F128" s="331">
        <f ca="1">IF($A128&gt;Endyr,0,VLOOKUP($A128,Tariff_Table,Tariff!$M$33))</f>
        <v>0.25</v>
      </c>
      <c r="G128" s="333">
        <f t="shared" ca="1" si="10"/>
        <v>1.915535060036428</v>
      </c>
      <c r="H128" s="334">
        <f ca="1">VLOOKUP($A128,Plant_Table,'Plant Operations'!$T$270)</f>
        <v>2025354.24</v>
      </c>
      <c r="I128" s="335">
        <f t="shared" ca="1" si="11"/>
        <v>3879.6370557134342</v>
      </c>
      <c r="J128" s="698" t="str">
        <f t="shared" ca="1" si="12"/>
        <v xml:space="preserve"> </v>
      </c>
      <c r="L128" s="699">
        <f ca="1">IF($A128&lt;Startops2,0,VLOOKUP($A128,Tariff_Table,Tariff!$N$33))</f>
        <v>0</v>
      </c>
      <c r="M128" s="334">
        <f t="shared" ca="1" si="13"/>
        <v>2025354.24</v>
      </c>
      <c r="N128" s="1113">
        <f t="shared" ca="1" si="14"/>
        <v>0</v>
      </c>
      <c r="O128" s="1113">
        <f ca="1">IF($A128&gt;Endyr,0,VLOOKUP($A128,Tariff_Table,Tariff!$O$33))</f>
        <v>3262.08635</v>
      </c>
      <c r="P128" s="113">
        <f ca="1">VLOOKUP($A128,Curves_Table,Escalation!$AP$291)</f>
        <v>1.409454688092179</v>
      </c>
      <c r="Q128" s="328">
        <f t="shared" ca="1" si="15"/>
        <v>4597.7628989690047</v>
      </c>
      <c r="R128" s="692" t="str">
        <f t="shared" ca="1" si="8"/>
        <v xml:space="preserve"> </v>
      </c>
    </row>
    <row r="129" spans="1:18">
      <c r="A129" s="672">
        <f>'Annex 12-Gas'!A129</f>
        <v>40513</v>
      </c>
      <c r="C129" s="697">
        <f ca="1">IF($A129&gt;Endyr,0,VLOOKUP($A129,Tariff_Table,Tariff!$L$33))</f>
        <v>1.21</v>
      </c>
      <c r="D129" s="113">
        <f ca="1">VLOOKUP($A129,Curves_Table,Escalation!$AL$291)</f>
        <v>1.376475256228453</v>
      </c>
      <c r="E129" s="333">
        <f t="shared" ca="1" si="9"/>
        <v>1.665535060036428</v>
      </c>
      <c r="F129" s="331">
        <f ca="1">IF($A129&gt;Endyr,0,VLOOKUP($A129,Tariff_Table,Tariff!$M$33))</f>
        <v>0.25</v>
      </c>
      <c r="G129" s="333">
        <f t="shared" ca="1" si="10"/>
        <v>1.915535060036428</v>
      </c>
      <c r="H129" s="334">
        <f ca="1">VLOOKUP($A129,Plant_Table,'Plant Operations'!$T$270)</f>
        <v>2092866.048</v>
      </c>
      <c r="I129" s="335">
        <f t="shared" ca="1" si="11"/>
        <v>4008.9582909038818</v>
      </c>
      <c r="J129" s="698">
        <f t="shared" ca="1" si="12"/>
        <v>46894.495233378933</v>
      </c>
      <c r="L129" s="699">
        <f ca="1">IF($A129&lt;Startops2,0,VLOOKUP($A129,Tariff_Table,Tariff!$N$33))</f>
        <v>0</v>
      </c>
      <c r="M129" s="334">
        <f t="shared" ca="1" si="13"/>
        <v>2092866.048</v>
      </c>
      <c r="N129" s="1113">
        <f t="shared" ca="1" si="14"/>
        <v>0</v>
      </c>
      <c r="O129" s="1113">
        <f ca="1">IF($A129&gt;Endyr,0,VLOOKUP($A129,Tariff_Table,Tariff!$O$33))</f>
        <v>3262.08635</v>
      </c>
      <c r="P129" s="113">
        <f ca="1">VLOOKUP($A129,Curves_Table,Escalation!$AP$291)</f>
        <v>1.409454688092179</v>
      </c>
      <c r="Q129" s="328">
        <f t="shared" ca="1" si="15"/>
        <v>4597.7628989690047</v>
      </c>
      <c r="R129" s="692">
        <f t="shared" ca="1" si="8"/>
        <v>54702.160688180251</v>
      </c>
    </row>
    <row r="130" spans="1:18">
      <c r="A130" s="672">
        <f>'Annex 12-Gas'!A130</f>
        <v>40544</v>
      </c>
      <c r="C130" s="697">
        <f ca="1">IF($A130&gt;Endyr,0,VLOOKUP($A130,Tariff_Table,Tariff!$L$33))</f>
        <v>1.21</v>
      </c>
      <c r="D130" s="113">
        <f ca="1">VLOOKUP($A130,Curves_Table,Escalation!$AL$291)</f>
        <v>1.376475256228453</v>
      </c>
      <c r="E130" s="333">
        <f t="shared" ca="1" si="9"/>
        <v>1.665535060036428</v>
      </c>
      <c r="F130" s="331">
        <f ca="1">IF($A130&gt;Endyr,0,VLOOKUP($A130,Tariff_Table,Tariff!$M$33))</f>
        <v>0.25</v>
      </c>
      <c r="G130" s="333">
        <f t="shared" ca="1" si="10"/>
        <v>1.915535060036428</v>
      </c>
      <c r="H130" s="334">
        <f ca="1">VLOOKUP($A130,Plant_Table,'Plant Operations'!$T$270)</f>
        <v>2092866.048</v>
      </c>
      <c r="I130" s="335">
        <f t="shared" ca="1" si="11"/>
        <v>4008.9582909038818</v>
      </c>
      <c r="J130" s="698" t="str">
        <f t="shared" ca="1" si="12"/>
        <v xml:space="preserve"> </v>
      </c>
      <c r="L130" s="699">
        <f ca="1">IF($A130&lt;Startops2,0,VLOOKUP($A130,Tariff_Table,Tariff!$N$33))</f>
        <v>0</v>
      </c>
      <c r="M130" s="334">
        <f t="shared" ca="1" si="13"/>
        <v>2092866.048</v>
      </c>
      <c r="N130" s="1113">
        <f t="shared" ca="1" si="14"/>
        <v>0</v>
      </c>
      <c r="O130" s="1113">
        <f ca="1">IF($A130&gt;Endyr,0,VLOOKUP($A130,Tariff_Table,Tariff!$O$33))</f>
        <v>3262.08635</v>
      </c>
      <c r="P130" s="113">
        <f ca="1">VLOOKUP($A130,Curves_Table,Escalation!$AP$291)</f>
        <v>1.409454688092179</v>
      </c>
      <c r="Q130" s="328">
        <f t="shared" ca="1" si="15"/>
        <v>4597.7628989690047</v>
      </c>
      <c r="R130" s="692" t="str">
        <f t="shared" ca="1" si="8"/>
        <v xml:space="preserve"> </v>
      </c>
    </row>
    <row r="131" spans="1:18">
      <c r="A131" s="672">
        <f>'Annex 12-Gas'!A131</f>
        <v>40575</v>
      </c>
      <c r="C131" s="697">
        <f ca="1">IF($A131&gt;Endyr,0,VLOOKUP($A131,Tariff_Table,Tariff!$L$33))</f>
        <v>1.21</v>
      </c>
      <c r="D131" s="113">
        <f ca="1">VLOOKUP($A131,Curves_Table,Escalation!$AL$291)</f>
        <v>1.376475256228453</v>
      </c>
      <c r="E131" s="333">
        <f t="shared" ca="1" si="9"/>
        <v>1.665535060036428</v>
      </c>
      <c r="F131" s="331">
        <f ca="1">IF($A131&gt;Endyr,0,VLOOKUP($A131,Tariff_Table,Tariff!$M$33))</f>
        <v>0.25</v>
      </c>
      <c r="G131" s="333">
        <f t="shared" ca="1" si="10"/>
        <v>1.915535060036428</v>
      </c>
      <c r="H131" s="334">
        <f ca="1">VLOOKUP($A131,Plant_Table,'Plant Operations'!$T$270)</f>
        <v>1890330.6240000003</v>
      </c>
      <c r="I131" s="335">
        <f t="shared" ca="1" si="11"/>
        <v>3620.9945853325389</v>
      </c>
      <c r="J131" s="698" t="str">
        <f t="shared" ca="1" si="12"/>
        <v xml:space="preserve"> </v>
      </c>
      <c r="L131" s="699">
        <f ca="1">IF($A131&lt;Startops2,0,VLOOKUP($A131,Tariff_Table,Tariff!$N$33))</f>
        <v>0</v>
      </c>
      <c r="M131" s="334">
        <f t="shared" ca="1" si="13"/>
        <v>1890330.6240000003</v>
      </c>
      <c r="N131" s="1113">
        <f t="shared" ca="1" si="14"/>
        <v>0</v>
      </c>
      <c r="O131" s="1113">
        <f ca="1">IF($A131&gt;Endyr,0,VLOOKUP($A131,Tariff_Table,Tariff!$O$33))</f>
        <v>3262.08635</v>
      </c>
      <c r="P131" s="113">
        <f ca="1">VLOOKUP($A131,Curves_Table,Escalation!$AP$291)</f>
        <v>1.409454688092179</v>
      </c>
      <c r="Q131" s="328">
        <f t="shared" ca="1" si="15"/>
        <v>4597.7628989690047</v>
      </c>
      <c r="R131" s="692" t="str">
        <f t="shared" ca="1" si="8"/>
        <v xml:space="preserve"> </v>
      </c>
    </row>
    <row r="132" spans="1:18">
      <c r="A132" s="672">
        <f>'Annex 12-Gas'!A132</f>
        <v>40603</v>
      </c>
      <c r="C132" s="697">
        <f ca="1">IF($A132&gt;Endyr,0,VLOOKUP($A132,Tariff_Table,Tariff!$L$33))</f>
        <v>1.21</v>
      </c>
      <c r="D132" s="113">
        <f ca="1">VLOOKUP($A132,Curves_Table,Escalation!$AL$291)</f>
        <v>1.376475256228453</v>
      </c>
      <c r="E132" s="333">
        <f t="shared" ca="1" si="9"/>
        <v>1.665535060036428</v>
      </c>
      <c r="F132" s="331">
        <f ca="1">IF($A132&gt;Endyr,0,VLOOKUP($A132,Tariff_Table,Tariff!$M$33))</f>
        <v>0.25</v>
      </c>
      <c r="G132" s="333">
        <f t="shared" ca="1" si="10"/>
        <v>1.915535060036428</v>
      </c>
      <c r="H132" s="334">
        <f ca="1">VLOOKUP($A132,Plant_Table,'Plant Operations'!$T$270)</f>
        <v>2092866.048</v>
      </c>
      <c r="I132" s="335">
        <f t="shared" ca="1" si="11"/>
        <v>4008.9582909038818</v>
      </c>
      <c r="J132" s="698" t="str">
        <f t="shared" ca="1" si="12"/>
        <v xml:space="preserve"> </v>
      </c>
      <c r="L132" s="699">
        <f ca="1">IF($A132&lt;Startops2,0,VLOOKUP($A132,Tariff_Table,Tariff!$N$33))</f>
        <v>0</v>
      </c>
      <c r="M132" s="334">
        <f t="shared" ca="1" si="13"/>
        <v>2092866.048</v>
      </c>
      <c r="N132" s="1113">
        <f t="shared" ca="1" si="14"/>
        <v>0</v>
      </c>
      <c r="O132" s="1113">
        <f ca="1">IF($A132&gt;Endyr,0,VLOOKUP($A132,Tariff_Table,Tariff!$O$33))</f>
        <v>3262.08635</v>
      </c>
      <c r="P132" s="113">
        <f ca="1">VLOOKUP($A132,Curves_Table,Escalation!$AP$291)</f>
        <v>1.409454688092179</v>
      </c>
      <c r="Q132" s="328">
        <f t="shared" ca="1" si="15"/>
        <v>4597.7628989690047</v>
      </c>
      <c r="R132" s="692" t="str">
        <f t="shared" ca="1" si="8"/>
        <v xml:space="preserve"> </v>
      </c>
    </row>
    <row r="133" spans="1:18">
      <c r="A133" s="672">
        <f>'Annex 12-Gas'!A133</f>
        <v>40634</v>
      </c>
      <c r="C133" s="697">
        <f ca="1">IF($A133&gt;Endyr,0,VLOOKUP($A133,Tariff_Table,Tariff!$L$33))</f>
        <v>1.21</v>
      </c>
      <c r="D133" s="113">
        <f ca="1">VLOOKUP($A133,Curves_Table,Escalation!$AL$291)</f>
        <v>1.376475256228453</v>
      </c>
      <c r="E133" s="333">
        <f t="shared" ca="1" si="9"/>
        <v>1.665535060036428</v>
      </c>
      <c r="F133" s="331">
        <f ca="1">IF($A133&gt;Endyr,0,VLOOKUP($A133,Tariff_Table,Tariff!$M$33))</f>
        <v>0.25</v>
      </c>
      <c r="G133" s="333">
        <f t="shared" ca="1" si="10"/>
        <v>1.915535060036428</v>
      </c>
      <c r="H133" s="334">
        <f ca="1">VLOOKUP($A133,Plant_Table,'Plant Operations'!$T$270)</f>
        <v>2025354.24</v>
      </c>
      <c r="I133" s="335">
        <f t="shared" ca="1" si="11"/>
        <v>3879.6370557134342</v>
      </c>
      <c r="J133" s="698" t="str">
        <f t="shared" ca="1" si="12"/>
        <v xml:space="preserve"> </v>
      </c>
      <c r="L133" s="699">
        <f ca="1">IF($A133&lt;Startops2,0,VLOOKUP($A133,Tariff_Table,Tariff!$N$33))</f>
        <v>0</v>
      </c>
      <c r="M133" s="334">
        <f t="shared" ca="1" si="13"/>
        <v>2025354.24</v>
      </c>
      <c r="N133" s="1113">
        <f t="shared" ca="1" si="14"/>
        <v>0</v>
      </c>
      <c r="O133" s="1113">
        <f ca="1">IF($A133&gt;Endyr,0,VLOOKUP($A133,Tariff_Table,Tariff!$O$33))</f>
        <v>3262.08635</v>
      </c>
      <c r="P133" s="113">
        <f ca="1">VLOOKUP($A133,Curves_Table,Escalation!$AP$291)</f>
        <v>1.409454688092179</v>
      </c>
      <c r="Q133" s="328">
        <f t="shared" ca="1" si="15"/>
        <v>4597.7628989690047</v>
      </c>
      <c r="R133" s="692" t="str">
        <f t="shared" ca="1" si="8"/>
        <v xml:space="preserve"> </v>
      </c>
    </row>
    <row r="134" spans="1:18">
      <c r="A134" s="672">
        <f>'Annex 12-Gas'!A134</f>
        <v>40664</v>
      </c>
      <c r="C134" s="697">
        <f ca="1">IF($A134&gt;Endyr,0,VLOOKUP($A134,Tariff_Table,Tariff!$L$33))</f>
        <v>1.21</v>
      </c>
      <c r="D134" s="113">
        <f ca="1">VLOOKUP($A134,Curves_Table,Escalation!$AL$291)</f>
        <v>1.408102103454322</v>
      </c>
      <c r="E134" s="333">
        <f t="shared" ca="1" si="9"/>
        <v>1.7038035451797295</v>
      </c>
      <c r="F134" s="331">
        <f ca="1">IF($A134&gt;Endyr,0,VLOOKUP($A134,Tariff_Table,Tariff!$M$33))</f>
        <v>0.25</v>
      </c>
      <c r="G134" s="333">
        <f t="shared" ca="1" si="10"/>
        <v>1.9538035451797295</v>
      </c>
      <c r="H134" s="334">
        <f ca="1">VLOOKUP($A134,Plant_Table,'Plant Operations'!$T$270)</f>
        <v>2092866.048</v>
      </c>
      <c r="I134" s="335">
        <f t="shared" ca="1" si="11"/>
        <v>4089.0491041686896</v>
      </c>
      <c r="J134" s="698" t="str">
        <f t="shared" ca="1" si="12"/>
        <v xml:space="preserve"> </v>
      </c>
      <c r="L134" s="699">
        <f ca="1">IF($A134&lt;Startops2,0,VLOOKUP($A134,Tariff_Table,Tariff!$N$33))</f>
        <v>0</v>
      </c>
      <c r="M134" s="334">
        <f t="shared" ca="1" si="13"/>
        <v>2092866.048</v>
      </c>
      <c r="N134" s="1113">
        <f t="shared" ca="1" si="14"/>
        <v>0</v>
      </c>
      <c r="O134" s="1113">
        <f ca="1">IF($A134&gt;Endyr,0,VLOOKUP($A134,Tariff_Table,Tariff!$O$33))</f>
        <v>3255.8715299999999</v>
      </c>
      <c r="P134" s="113">
        <f ca="1">VLOOKUP($A134,Curves_Table,Escalation!$AP$291)</f>
        <v>1.4453629302678073</v>
      </c>
      <c r="Q134" s="328">
        <f t="shared" ca="1" si="15"/>
        <v>4705.916015176329</v>
      </c>
      <c r="R134" s="692" t="str">
        <f t="shared" ca="1" si="8"/>
        <v xml:space="preserve"> </v>
      </c>
    </row>
    <row r="135" spans="1:18">
      <c r="A135" s="672">
        <f>'Annex 12-Gas'!A135</f>
        <v>40695</v>
      </c>
      <c r="C135" s="697">
        <f ca="1">IF($A135&gt;Endyr,0,VLOOKUP($A135,Tariff_Table,Tariff!$L$33))</f>
        <v>1.21</v>
      </c>
      <c r="D135" s="113">
        <f ca="1">VLOOKUP($A135,Curves_Table,Escalation!$AL$291)</f>
        <v>1.408102103454322</v>
      </c>
      <c r="E135" s="333">
        <f t="shared" ca="1" si="9"/>
        <v>1.7038035451797295</v>
      </c>
      <c r="F135" s="331">
        <f ca="1">IF($A135&gt;Endyr,0,VLOOKUP($A135,Tariff_Table,Tariff!$M$33))</f>
        <v>0.25</v>
      </c>
      <c r="G135" s="333">
        <f t="shared" ca="1" si="10"/>
        <v>1.9538035451797295</v>
      </c>
      <c r="H135" s="334">
        <f ca="1">VLOOKUP($A135,Plant_Table,'Plant Operations'!$T$270)</f>
        <v>2025354.24</v>
      </c>
      <c r="I135" s="335">
        <f t="shared" ca="1" si="11"/>
        <v>3957.1442943567968</v>
      </c>
      <c r="J135" s="698" t="str">
        <f t="shared" ca="1" si="12"/>
        <v xml:space="preserve"> </v>
      </c>
      <c r="L135" s="699">
        <f ca="1">IF($A135&lt;Startops2,0,VLOOKUP($A135,Tariff_Table,Tariff!$N$33))</f>
        <v>0</v>
      </c>
      <c r="M135" s="334">
        <f t="shared" ca="1" si="13"/>
        <v>2025354.24</v>
      </c>
      <c r="N135" s="1113">
        <f t="shared" ca="1" si="14"/>
        <v>0</v>
      </c>
      <c r="O135" s="1113">
        <f ca="1">IF($A135&gt;Endyr,0,VLOOKUP($A135,Tariff_Table,Tariff!$O$33))</f>
        <v>3255.8715299999999</v>
      </c>
      <c r="P135" s="113">
        <f ca="1">VLOOKUP($A135,Curves_Table,Escalation!$AP$291)</f>
        <v>1.4453629302678073</v>
      </c>
      <c r="Q135" s="328">
        <f t="shared" ca="1" si="15"/>
        <v>4705.916015176329</v>
      </c>
      <c r="R135" s="692" t="str">
        <f t="shared" ca="1" si="8"/>
        <v xml:space="preserve"> </v>
      </c>
    </row>
    <row r="136" spans="1:18">
      <c r="A136" s="672">
        <f>'Annex 12-Gas'!A136</f>
        <v>40725</v>
      </c>
      <c r="C136" s="697">
        <f ca="1">IF($A136&gt;Endyr,0,VLOOKUP($A136,Tariff_Table,Tariff!$L$33))</f>
        <v>1.21</v>
      </c>
      <c r="D136" s="113">
        <f ca="1">VLOOKUP($A136,Curves_Table,Escalation!$AL$291)</f>
        <v>1.408102103454322</v>
      </c>
      <c r="E136" s="333">
        <f t="shared" ca="1" si="9"/>
        <v>1.7038035451797295</v>
      </c>
      <c r="F136" s="331">
        <f ca="1">IF($A136&gt;Endyr,0,VLOOKUP($A136,Tariff_Table,Tariff!$M$33))</f>
        <v>0.25</v>
      </c>
      <c r="G136" s="333">
        <f t="shared" ca="1" si="10"/>
        <v>1.9538035451797295</v>
      </c>
      <c r="H136" s="334">
        <f ca="1">VLOOKUP($A136,Plant_Table,'Plant Operations'!$T$270)</f>
        <v>2092866.048</v>
      </c>
      <c r="I136" s="335">
        <f t="shared" ca="1" si="11"/>
        <v>4089.0491041686896</v>
      </c>
      <c r="J136" s="698" t="str">
        <f t="shared" ca="1" si="12"/>
        <v xml:space="preserve"> </v>
      </c>
      <c r="L136" s="699">
        <f ca="1">IF($A136&lt;Startops2,0,VLOOKUP($A136,Tariff_Table,Tariff!$N$33))</f>
        <v>0</v>
      </c>
      <c r="M136" s="334">
        <f t="shared" ca="1" si="13"/>
        <v>2092866.048</v>
      </c>
      <c r="N136" s="1113">
        <f t="shared" ca="1" si="14"/>
        <v>0</v>
      </c>
      <c r="O136" s="1113">
        <f ca="1">IF($A136&gt;Endyr,0,VLOOKUP($A136,Tariff_Table,Tariff!$O$33))</f>
        <v>3255.8715299999999</v>
      </c>
      <c r="P136" s="113">
        <f ca="1">VLOOKUP($A136,Curves_Table,Escalation!$AP$291)</f>
        <v>1.4453629302678073</v>
      </c>
      <c r="Q136" s="328">
        <f t="shared" ca="1" si="15"/>
        <v>4705.916015176329</v>
      </c>
      <c r="R136" s="692" t="str">
        <f t="shared" ca="1" si="8"/>
        <v xml:space="preserve"> </v>
      </c>
    </row>
    <row r="137" spans="1:18">
      <c r="A137" s="672">
        <f>'Annex 12-Gas'!A137</f>
        <v>40756</v>
      </c>
      <c r="C137" s="697">
        <f ca="1">IF($A137&gt;Endyr,0,VLOOKUP($A137,Tariff_Table,Tariff!$L$33))</f>
        <v>1.21</v>
      </c>
      <c r="D137" s="113">
        <f ca="1">VLOOKUP($A137,Curves_Table,Escalation!$AL$291)</f>
        <v>1.408102103454322</v>
      </c>
      <c r="E137" s="333">
        <f t="shared" ca="1" si="9"/>
        <v>1.7038035451797295</v>
      </c>
      <c r="F137" s="331">
        <f ca="1">IF($A137&gt;Endyr,0,VLOOKUP($A137,Tariff_Table,Tariff!$M$33))</f>
        <v>0.25</v>
      </c>
      <c r="G137" s="333">
        <f t="shared" ca="1" si="10"/>
        <v>1.9538035451797295</v>
      </c>
      <c r="H137" s="334">
        <f ca="1">VLOOKUP($A137,Plant_Table,'Plant Operations'!$T$270)</f>
        <v>2092866.048</v>
      </c>
      <c r="I137" s="335">
        <f t="shared" ca="1" si="11"/>
        <v>4089.0491041686896</v>
      </c>
      <c r="J137" s="698" t="str">
        <f t="shared" ca="1" si="12"/>
        <v xml:space="preserve"> </v>
      </c>
      <c r="L137" s="699">
        <f ca="1">IF($A137&lt;Startops2,0,VLOOKUP($A137,Tariff_Table,Tariff!$N$33))</f>
        <v>0</v>
      </c>
      <c r="M137" s="334">
        <f t="shared" ca="1" si="13"/>
        <v>2092866.048</v>
      </c>
      <c r="N137" s="1113">
        <f t="shared" ca="1" si="14"/>
        <v>0</v>
      </c>
      <c r="O137" s="1113">
        <f ca="1">IF($A137&gt;Endyr,0,VLOOKUP($A137,Tariff_Table,Tariff!$O$33))</f>
        <v>3255.8715299999999</v>
      </c>
      <c r="P137" s="113">
        <f ca="1">VLOOKUP($A137,Curves_Table,Escalation!$AP$291)</f>
        <v>1.4453629302678073</v>
      </c>
      <c r="Q137" s="328">
        <f t="shared" ca="1" si="15"/>
        <v>4705.916015176329</v>
      </c>
      <c r="R137" s="692" t="str">
        <f t="shared" ca="1" si="8"/>
        <v xml:space="preserve"> </v>
      </c>
    </row>
    <row r="138" spans="1:18">
      <c r="A138" s="672">
        <f>'Annex 12-Gas'!A138</f>
        <v>40787</v>
      </c>
      <c r="C138" s="697">
        <f ca="1">IF($A138&gt;Endyr,0,VLOOKUP($A138,Tariff_Table,Tariff!$L$33))</f>
        <v>1.21</v>
      </c>
      <c r="D138" s="113">
        <f ca="1">VLOOKUP($A138,Curves_Table,Escalation!$AL$291)</f>
        <v>1.408102103454322</v>
      </c>
      <c r="E138" s="333">
        <f t="shared" ca="1" si="9"/>
        <v>1.7038035451797295</v>
      </c>
      <c r="F138" s="331">
        <f ca="1">IF($A138&gt;Endyr,0,VLOOKUP($A138,Tariff_Table,Tariff!$M$33))</f>
        <v>0.25</v>
      </c>
      <c r="G138" s="333">
        <f t="shared" ca="1" si="10"/>
        <v>1.9538035451797295</v>
      </c>
      <c r="H138" s="334">
        <f ca="1">VLOOKUP($A138,Plant_Table,'Plant Operations'!$T$270)</f>
        <v>2025354.24</v>
      </c>
      <c r="I138" s="335">
        <f t="shared" ca="1" si="11"/>
        <v>3957.1442943567968</v>
      </c>
      <c r="J138" s="698" t="str">
        <f t="shared" ca="1" si="12"/>
        <v xml:space="preserve"> </v>
      </c>
      <c r="L138" s="699">
        <f ca="1">IF($A138&lt;Startops2,0,VLOOKUP($A138,Tariff_Table,Tariff!$N$33))</f>
        <v>0</v>
      </c>
      <c r="M138" s="334">
        <f t="shared" ca="1" si="13"/>
        <v>2025354.24</v>
      </c>
      <c r="N138" s="1113">
        <f t="shared" ca="1" si="14"/>
        <v>0</v>
      </c>
      <c r="O138" s="1113">
        <f ca="1">IF($A138&gt;Endyr,0,VLOOKUP($A138,Tariff_Table,Tariff!$O$33))</f>
        <v>3255.8715299999999</v>
      </c>
      <c r="P138" s="113">
        <f ca="1">VLOOKUP($A138,Curves_Table,Escalation!$AP$291)</f>
        <v>1.4453629302678073</v>
      </c>
      <c r="Q138" s="328">
        <f t="shared" ca="1" si="15"/>
        <v>4705.916015176329</v>
      </c>
      <c r="R138" s="692" t="str">
        <f t="shared" ca="1" si="8"/>
        <v xml:space="preserve"> </v>
      </c>
    </row>
    <row r="139" spans="1:18">
      <c r="A139" s="672">
        <f>'Annex 12-Gas'!A139</f>
        <v>40817</v>
      </c>
      <c r="C139" s="697">
        <f ca="1">IF($A139&gt;Endyr,0,VLOOKUP($A139,Tariff_Table,Tariff!$L$33))</f>
        <v>1.21</v>
      </c>
      <c r="D139" s="113">
        <f ca="1">VLOOKUP($A139,Curves_Table,Escalation!$AL$291)</f>
        <v>1.408102103454322</v>
      </c>
      <c r="E139" s="333">
        <f t="shared" ca="1" si="9"/>
        <v>1.7038035451797295</v>
      </c>
      <c r="F139" s="331">
        <f ca="1">IF($A139&gt;Endyr,0,VLOOKUP($A139,Tariff_Table,Tariff!$M$33))</f>
        <v>0.25</v>
      </c>
      <c r="G139" s="333">
        <f t="shared" ca="1" si="10"/>
        <v>1.9538035451797295</v>
      </c>
      <c r="H139" s="334">
        <f ca="1">VLOOKUP($A139,Plant_Table,'Plant Operations'!$T$270)</f>
        <v>2092866.048</v>
      </c>
      <c r="I139" s="335">
        <f t="shared" ca="1" si="11"/>
        <v>4089.0491041686896</v>
      </c>
      <c r="J139" s="698" t="str">
        <f t="shared" ca="1" si="12"/>
        <v xml:space="preserve"> </v>
      </c>
      <c r="L139" s="699">
        <f ca="1">IF($A139&lt;Startops2,0,VLOOKUP($A139,Tariff_Table,Tariff!$N$33))</f>
        <v>0</v>
      </c>
      <c r="M139" s="334">
        <f t="shared" ca="1" si="13"/>
        <v>2092866.048</v>
      </c>
      <c r="N139" s="1113">
        <f t="shared" ca="1" si="14"/>
        <v>0</v>
      </c>
      <c r="O139" s="1113">
        <f ca="1">IF($A139&gt;Endyr,0,VLOOKUP($A139,Tariff_Table,Tariff!$O$33))</f>
        <v>3255.8715299999999</v>
      </c>
      <c r="P139" s="113">
        <f ca="1">VLOOKUP($A139,Curves_Table,Escalation!$AP$291)</f>
        <v>1.4453629302678073</v>
      </c>
      <c r="Q139" s="328">
        <f t="shared" ca="1" si="15"/>
        <v>4705.916015176329</v>
      </c>
      <c r="R139" s="692" t="str">
        <f t="shared" ca="1" si="8"/>
        <v xml:space="preserve"> </v>
      </c>
    </row>
    <row r="140" spans="1:18">
      <c r="A140" s="672">
        <f>'Annex 12-Gas'!A140</f>
        <v>40848</v>
      </c>
      <c r="C140" s="697">
        <f ca="1">IF($A140&gt;Endyr,0,VLOOKUP($A140,Tariff_Table,Tariff!$L$33))</f>
        <v>1.21</v>
      </c>
      <c r="D140" s="113">
        <f ca="1">VLOOKUP($A140,Curves_Table,Escalation!$AL$291)</f>
        <v>1.408102103454322</v>
      </c>
      <c r="E140" s="333">
        <f t="shared" ca="1" si="9"/>
        <v>1.7038035451797295</v>
      </c>
      <c r="F140" s="331">
        <f ca="1">IF($A140&gt;Endyr,0,VLOOKUP($A140,Tariff_Table,Tariff!$M$33))</f>
        <v>0.25</v>
      </c>
      <c r="G140" s="333">
        <f t="shared" ca="1" si="10"/>
        <v>1.9538035451797295</v>
      </c>
      <c r="H140" s="334">
        <f ca="1">VLOOKUP($A140,Plant_Table,'Plant Operations'!$T$270)</f>
        <v>2025354.24</v>
      </c>
      <c r="I140" s="335">
        <f t="shared" ca="1" si="11"/>
        <v>3957.1442943567968</v>
      </c>
      <c r="J140" s="698" t="str">
        <f t="shared" ca="1" si="12"/>
        <v xml:space="preserve"> </v>
      </c>
      <c r="L140" s="699">
        <f ca="1">IF($A140&lt;Startops2,0,VLOOKUP($A140,Tariff_Table,Tariff!$N$33))</f>
        <v>0</v>
      </c>
      <c r="M140" s="334">
        <f t="shared" ca="1" si="13"/>
        <v>2025354.24</v>
      </c>
      <c r="N140" s="1113">
        <f t="shared" ca="1" si="14"/>
        <v>0</v>
      </c>
      <c r="O140" s="1113">
        <f ca="1">IF($A140&gt;Endyr,0,VLOOKUP($A140,Tariff_Table,Tariff!$O$33))</f>
        <v>3255.8715299999999</v>
      </c>
      <c r="P140" s="113">
        <f ca="1">VLOOKUP($A140,Curves_Table,Escalation!$AP$291)</f>
        <v>1.4453629302678073</v>
      </c>
      <c r="Q140" s="328">
        <f t="shared" ca="1" si="15"/>
        <v>4705.916015176329</v>
      </c>
      <c r="R140" s="692" t="str">
        <f t="shared" ref="R140:R203" ca="1" si="16">IF(MONTH($A140)=12,SUM(Q129:Q140)," ")</f>
        <v xml:space="preserve"> </v>
      </c>
    </row>
    <row r="141" spans="1:18">
      <c r="A141" s="672">
        <f>'Annex 12-Gas'!A141</f>
        <v>40878</v>
      </c>
      <c r="C141" s="697">
        <f ca="1">IF($A141&gt;Endyr,0,VLOOKUP($A141,Tariff_Table,Tariff!$L$33))</f>
        <v>1.21</v>
      </c>
      <c r="D141" s="113">
        <f ca="1">VLOOKUP($A141,Curves_Table,Escalation!$AL$291)</f>
        <v>1.408102103454322</v>
      </c>
      <c r="E141" s="333">
        <f t="shared" ref="E141:E204" ca="1" si="17">C141*D141</f>
        <v>1.7038035451797295</v>
      </c>
      <c r="F141" s="331">
        <f ca="1">IF($A141&gt;Endyr,0,VLOOKUP($A141,Tariff_Table,Tariff!$M$33))</f>
        <v>0.25</v>
      </c>
      <c r="G141" s="333">
        <f t="shared" ref="G141:G204" ca="1" si="18">SUM(E141,F141)</f>
        <v>1.9538035451797295</v>
      </c>
      <c r="H141" s="334">
        <f ca="1">VLOOKUP($A141,Plant_Table,'Plant Operations'!$T$270)</f>
        <v>2092866.048</v>
      </c>
      <c r="I141" s="335">
        <f t="shared" ref="I141:I204" ca="1" si="19">G141*H141/1000</f>
        <v>4089.0491041686896</v>
      </c>
      <c r="J141" s="698">
        <f t="shared" ref="J141:J204" ca="1" si="20">IF(MONTH($A141)=12,SUM(I130:I141)," ")</f>
        <v>47835.22662676758</v>
      </c>
      <c r="L141" s="699">
        <f ca="1">IF($A141&lt;Startops2,0,VLOOKUP($A141,Tariff_Table,Tariff!$N$33))</f>
        <v>0</v>
      </c>
      <c r="M141" s="334">
        <f t="shared" ref="M141:M204" ca="1" si="21">H141</f>
        <v>2092866.048</v>
      </c>
      <c r="N141" s="1113">
        <f t="shared" ref="N141:N204" ca="1" si="22">L141*M141/1000</f>
        <v>0</v>
      </c>
      <c r="O141" s="1113">
        <f ca="1">IF($A141&gt;Endyr,0,VLOOKUP($A141,Tariff_Table,Tariff!$O$33))</f>
        <v>3255.8715299999999</v>
      </c>
      <c r="P141" s="113">
        <f ca="1">VLOOKUP($A141,Curves_Table,Escalation!$AP$291)</f>
        <v>1.4453629302678073</v>
      </c>
      <c r="Q141" s="328">
        <f t="shared" ref="Q141:Q204" ca="1" si="23">SUM(N141,O141)*P141</f>
        <v>4705.916015176329</v>
      </c>
      <c r="R141" s="692">
        <f t="shared" ca="1" si="16"/>
        <v>56038.379717286647</v>
      </c>
    </row>
    <row r="142" spans="1:18">
      <c r="A142" s="672">
        <f>'Annex 12-Gas'!A142</f>
        <v>40909</v>
      </c>
      <c r="C142" s="697">
        <f ca="1">IF($A142&gt;Endyr,0,VLOOKUP($A142,Tariff_Table,Tariff!$L$33))</f>
        <v>1.21</v>
      </c>
      <c r="D142" s="113">
        <f ca="1">VLOOKUP($A142,Curves_Table,Escalation!$AL$291)</f>
        <v>1.408102103454322</v>
      </c>
      <c r="E142" s="333">
        <f t="shared" ca="1" si="17"/>
        <v>1.7038035451797295</v>
      </c>
      <c r="F142" s="331">
        <f ca="1">IF($A142&gt;Endyr,0,VLOOKUP($A142,Tariff_Table,Tariff!$M$33))</f>
        <v>0.25</v>
      </c>
      <c r="G142" s="333">
        <f t="shared" ca="1" si="18"/>
        <v>1.9538035451797295</v>
      </c>
      <c r="H142" s="334">
        <f ca="1">VLOOKUP($A142,Plant_Table,'Plant Operations'!$T$270)</f>
        <v>2092866.048</v>
      </c>
      <c r="I142" s="335">
        <f t="shared" ca="1" si="19"/>
        <v>4089.0491041686896</v>
      </c>
      <c r="J142" s="698" t="str">
        <f t="shared" ca="1" si="20"/>
        <v xml:space="preserve"> </v>
      </c>
      <c r="L142" s="699">
        <f ca="1">IF($A142&lt;Startops2,0,VLOOKUP($A142,Tariff_Table,Tariff!$N$33))</f>
        <v>0</v>
      </c>
      <c r="M142" s="334">
        <f t="shared" ca="1" si="21"/>
        <v>2092866.048</v>
      </c>
      <c r="N142" s="1113">
        <f t="shared" ca="1" si="22"/>
        <v>0</v>
      </c>
      <c r="O142" s="1113">
        <f ca="1">IF($A142&gt;Endyr,0,VLOOKUP($A142,Tariff_Table,Tariff!$O$33))</f>
        <v>3255.8715299999999</v>
      </c>
      <c r="P142" s="113">
        <f ca="1">VLOOKUP($A142,Curves_Table,Escalation!$AP$291)</f>
        <v>1.4453629302678073</v>
      </c>
      <c r="Q142" s="328">
        <f t="shared" ca="1" si="23"/>
        <v>4705.916015176329</v>
      </c>
      <c r="R142" s="692" t="str">
        <f t="shared" ca="1" si="16"/>
        <v xml:space="preserve"> </v>
      </c>
    </row>
    <row r="143" spans="1:18">
      <c r="A143" s="672">
        <f>'Annex 12-Gas'!A143</f>
        <v>40940</v>
      </c>
      <c r="C143" s="697">
        <f ca="1">IF($A143&gt;Endyr,0,VLOOKUP($A143,Tariff_Table,Tariff!$L$33))</f>
        <v>1.21</v>
      </c>
      <c r="D143" s="113">
        <f ca="1">VLOOKUP($A143,Curves_Table,Escalation!$AL$291)</f>
        <v>1.408102103454322</v>
      </c>
      <c r="E143" s="333">
        <f t="shared" ca="1" si="17"/>
        <v>1.7038035451797295</v>
      </c>
      <c r="F143" s="331">
        <f ca="1">IF($A143&gt;Endyr,0,VLOOKUP($A143,Tariff_Table,Tariff!$M$33))</f>
        <v>0.25</v>
      </c>
      <c r="G143" s="333">
        <f t="shared" ca="1" si="18"/>
        <v>1.9538035451797295</v>
      </c>
      <c r="H143" s="334">
        <f ca="1">VLOOKUP($A143,Plant_Table,'Plant Operations'!$T$270)</f>
        <v>1957842.432</v>
      </c>
      <c r="I143" s="335">
        <f t="shared" ca="1" si="19"/>
        <v>3825.2394845449035</v>
      </c>
      <c r="J143" s="698" t="str">
        <f t="shared" ca="1" si="20"/>
        <v xml:space="preserve"> </v>
      </c>
      <c r="L143" s="699">
        <f ca="1">IF($A143&lt;Startops2,0,VLOOKUP($A143,Tariff_Table,Tariff!$N$33))</f>
        <v>0</v>
      </c>
      <c r="M143" s="334">
        <f t="shared" ca="1" si="21"/>
        <v>1957842.432</v>
      </c>
      <c r="N143" s="1113">
        <f t="shared" ca="1" si="22"/>
        <v>0</v>
      </c>
      <c r="O143" s="1113">
        <f ca="1">IF($A143&gt;Endyr,0,VLOOKUP($A143,Tariff_Table,Tariff!$O$33))</f>
        <v>3255.8715299999999</v>
      </c>
      <c r="P143" s="113">
        <f ca="1">VLOOKUP($A143,Curves_Table,Escalation!$AP$291)</f>
        <v>1.4453629302678073</v>
      </c>
      <c r="Q143" s="328">
        <f t="shared" ca="1" si="23"/>
        <v>4705.916015176329</v>
      </c>
      <c r="R143" s="692" t="str">
        <f t="shared" ca="1" si="16"/>
        <v xml:space="preserve"> </v>
      </c>
    </row>
    <row r="144" spans="1:18">
      <c r="A144" s="672">
        <f>'Annex 12-Gas'!A144</f>
        <v>40969</v>
      </c>
      <c r="C144" s="697">
        <f ca="1">IF($A144&gt;Endyr,0,VLOOKUP($A144,Tariff_Table,Tariff!$L$33))</f>
        <v>1.21</v>
      </c>
      <c r="D144" s="113">
        <f ca="1">VLOOKUP($A144,Curves_Table,Escalation!$AL$291)</f>
        <v>1.408102103454322</v>
      </c>
      <c r="E144" s="333">
        <f t="shared" ca="1" si="17"/>
        <v>1.7038035451797295</v>
      </c>
      <c r="F144" s="331">
        <f ca="1">IF($A144&gt;Endyr,0,VLOOKUP($A144,Tariff_Table,Tariff!$M$33))</f>
        <v>0.25</v>
      </c>
      <c r="G144" s="333">
        <f t="shared" ca="1" si="18"/>
        <v>1.9538035451797295</v>
      </c>
      <c r="H144" s="334">
        <f ca="1">VLOOKUP($A144,Plant_Table,'Plant Operations'!$T$270)</f>
        <v>2092866.048</v>
      </c>
      <c r="I144" s="335">
        <f t="shared" ca="1" si="19"/>
        <v>4089.0491041686896</v>
      </c>
      <c r="J144" s="698" t="str">
        <f t="shared" ca="1" si="20"/>
        <v xml:space="preserve"> </v>
      </c>
      <c r="L144" s="699">
        <f ca="1">IF($A144&lt;Startops2,0,VLOOKUP($A144,Tariff_Table,Tariff!$N$33))</f>
        <v>0</v>
      </c>
      <c r="M144" s="334">
        <f t="shared" ca="1" si="21"/>
        <v>2092866.048</v>
      </c>
      <c r="N144" s="1113">
        <f t="shared" ca="1" si="22"/>
        <v>0</v>
      </c>
      <c r="O144" s="1113">
        <f ca="1">IF($A144&gt;Endyr,0,VLOOKUP($A144,Tariff_Table,Tariff!$O$33))</f>
        <v>3255.8715299999999</v>
      </c>
      <c r="P144" s="113">
        <f ca="1">VLOOKUP($A144,Curves_Table,Escalation!$AP$291)</f>
        <v>1.4453629302678073</v>
      </c>
      <c r="Q144" s="328">
        <f t="shared" ca="1" si="23"/>
        <v>4705.916015176329</v>
      </c>
      <c r="R144" s="692" t="str">
        <f t="shared" ca="1" si="16"/>
        <v xml:space="preserve"> </v>
      </c>
    </row>
    <row r="145" spans="1:18">
      <c r="A145" s="672">
        <f>'Annex 12-Gas'!A145</f>
        <v>41000</v>
      </c>
      <c r="C145" s="697">
        <f ca="1">IF($A145&gt;Endyr,0,VLOOKUP($A145,Tariff_Table,Tariff!$L$33))</f>
        <v>1.21</v>
      </c>
      <c r="D145" s="113">
        <f ca="1">VLOOKUP($A145,Curves_Table,Escalation!$AL$291)</f>
        <v>1.408102103454322</v>
      </c>
      <c r="E145" s="333">
        <f t="shared" ca="1" si="17"/>
        <v>1.7038035451797295</v>
      </c>
      <c r="F145" s="331">
        <f ca="1">IF($A145&gt;Endyr,0,VLOOKUP($A145,Tariff_Table,Tariff!$M$33))</f>
        <v>0.25</v>
      </c>
      <c r="G145" s="333">
        <f t="shared" ca="1" si="18"/>
        <v>1.9538035451797295</v>
      </c>
      <c r="H145" s="334">
        <f ca="1">VLOOKUP($A145,Plant_Table,'Plant Operations'!$T$270)</f>
        <v>2025354.24</v>
      </c>
      <c r="I145" s="335">
        <f t="shared" ca="1" si="19"/>
        <v>3957.1442943567968</v>
      </c>
      <c r="J145" s="698" t="str">
        <f t="shared" ca="1" si="20"/>
        <v xml:space="preserve"> </v>
      </c>
      <c r="L145" s="699">
        <f ca="1">IF($A145&lt;Startops2,0,VLOOKUP($A145,Tariff_Table,Tariff!$N$33))</f>
        <v>0</v>
      </c>
      <c r="M145" s="334">
        <f t="shared" ca="1" si="21"/>
        <v>2025354.24</v>
      </c>
      <c r="N145" s="1113">
        <f t="shared" ca="1" si="22"/>
        <v>0</v>
      </c>
      <c r="O145" s="1113">
        <f ca="1">IF($A145&gt;Endyr,0,VLOOKUP($A145,Tariff_Table,Tariff!$O$33))</f>
        <v>3255.8715299999999</v>
      </c>
      <c r="P145" s="113">
        <f ca="1">VLOOKUP($A145,Curves_Table,Escalation!$AP$291)</f>
        <v>1.4453629302678073</v>
      </c>
      <c r="Q145" s="328">
        <f t="shared" ca="1" si="23"/>
        <v>4705.916015176329</v>
      </c>
      <c r="R145" s="692" t="str">
        <f t="shared" ca="1" si="16"/>
        <v xml:space="preserve"> </v>
      </c>
    </row>
    <row r="146" spans="1:18">
      <c r="A146" s="672">
        <f>'Annex 12-Gas'!A146</f>
        <v>41030</v>
      </c>
      <c r="C146" s="697">
        <f ca="1">IF($A146&gt;Endyr,0,VLOOKUP($A146,Tariff_Table,Tariff!$L$33))</f>
        <v>1.21</v>
      </c>
      <c r="D146" s="113">
        <f ca="1">VLOOKUP($A146,Curves_Table,Escalation!$AL$291)</f>
        <v>1.4400879746761228</v>
      </c>
      <c r="E146" s="333">
        <f t="shared" ca="1" si="17"/>
        <v>1.7425064493581086</v>
      </c>
      <c r="F146" s="331">
        <f ca="1">IF($A146&gt;Endyr,0,VLOOKUP($A146,Tariff_Table,Tariff!$M$33))</f>
        <v>0.25</v>
      </c>
      <c r="G146" s="333">
        <f t="shared" ca="1" si="18"/>
        <v>1.9925064493581086</v>
      </c>
      <c r="H146" s="334">
        <f ca="1">VLOOKUP($A146,Plant_Table,'Plant Operations'!$T$270)</f>
        <v>2092866.048</v>
      </c>
      <c r="I146" s="335">
        <f t="shared" ca="1" si="19"/>
        <v>4170.0490982826168</v>
      </c>
      <c r="J146" s="698" t="str">
        <f t="shared" ca="1" si="20"/>
        <v xml:space="preserve"> </v>
      </c>
      <c r="L146" s="699">
        <f ca="1">IF($A146&lt;Startops2,0,VLOOKUP($A146,Tariff_Table,Tariff!$N$33))</f>
        <v>0</v>
      </c>
      <c r="M146" s="334">
        <f t="shared" ca="1" si="21"/>
        <v>2092866.048</v>
      </c>
      <c r="N146" s="1113">
        <f t="shared" ca="1" si="22"/>
        <v>0</v>
      </c>
      <c r="O146" s="1113">
        <f ca="1">IF($A146&gt;Endyr,0,VLOOKUP($A146,Tariff_Table,Tariff!$O$33))</f>
        <v>3259.7406099999998</v>
      </c>
      <c r="P146" s="113">
        <f ca="1">VLOOKUP($A146,Curves_Table,Escalation!$AP$291)</f>
        <v>1.4818086105109716</v>
      </c>
      <c r="Q146" s="328">
        <f t="shared" ca="1" si="23"/>
        <v>4830.311703930287</v>
      </c>
      <c r="R146" s="692" t="str">
        <f t="shared" ca="1" si="16"/>
        <v xml:space="preserve"> </v>
      </c>
    </row>
    <row r="147" spans="1:18">
      <c r="A147" s="672">
        <f>'Annex 12-Gas'!A147</f>
        <v>41061</v>
      </c>
      <c r="C147" s="697">
        <f ca="1">IF($A147&gt;Endyr,0,VLOOKUP($A147,Tariff_Table,Tariff!$L$33))</f>
        <v>1.21</v>
      </c>
      <c r="D147" s="113">
        <f ca="1">VLOOKUP($A147,Curves_Table,Escalation!$AL$291)</f>
        <v>1.4400879746761228</v>
      </c>
      <c r="E147" s="333">
        <f t="shared" ca="1" si="17"/>
        <v>1.7425064493581086</v>
      </c>
      <c r="F147" s="331">
        <f ca="1">IF($A147&gt;Endyr,0,VLOOKUP($A147,Tariff_Table,Tariff!$M$33))</f>
        <v>0.25</v>
      </c>
      <c r="G147" s="333">
        <f t="shared" ca="1" si="18"/>
        <v>1.9925064493581086</v>
      </c>
      <c r="H147" s="334">
        <f ca="1">VLOOKUP($A147,Plant_Table,'Plant Operations'!$T$270)</f>
        <v>2025354.24</v>
      </c>
      <c r="I147" s="335">
        <f t="shared" ca="1" si="19"/>
        <v>4035.5313854347905</v>
      </c>
      <c r="J147" s="698" t="str">
        <f t="shared" ca="1" si="20"/>
        <v xml:space="preserve"> </v>
      </c>
      <c r="L147" s="699">
        <f ca="1">IF($A147&lt;Startops2,0,VLOOKUP($A147,Tariff_Table,Tariff!$N$33))</f>
        <v>0</v>
      </c>
      <c r="M147" s="334">
        <f t="shared" ca="1" si="21"/>
        <v>2025354.24</v>
      </c>
      <c r="N147" s="1113">
        <f t="shared" ca="1" si="22"/>
        <v>0</v>
      </c>
      <c r="O147" s="1113">
        <f ca="1">IF($A147&gt;Endyr,0,VLOOKUP($A147,Tariff_Table,Tariff!$O$33))</f>
        <v>3259.7406099999998</v>
      </c>
      <c r="P147" s="113">
        <f ca="1">VLOOKUP($A147,Curves_Table,Escalation!$AP$291)</f>
        <v>1.4818086105109716</v>
      </c>
      <c r="Q147" s="328">
        <f t="shared" ca="1" si="23"/>
        <v>4830.311703930287</v>
      </c>
      <c r="R147" s="692" t="str">
        <f t="shared" ca="1" si="16"/>
        <v xml:space="preserve"> </v>
      </c>
    </row>
    <row r="148" spans="1:18">
      <c r="A148" s="672">
        <f>'Annex 12-Gas'!A148</f>
        <v>41091</v>
      </c>
      <c r="C148" s="697">
        <f ca="1">IF($A148&gt;Endyr,0,VLOOKUP($A148,Tariff_Table,Tariff!$L$33))</f>
        <v>1.21</v>
      </c>
      <c r="D148" s="113">
        <f ca="1">VLOOKUP($A148,Curves_Table,Escalation!$AL$291)</f>
        <v>1.4400879746761228</v>
      </c>
      <c r="E148" s="333">
        <f t="shared" ca="1" si="17"/>
        <v>1.7425064493581086</v>
      </c>
      <c r="F148" s="331">
        <f ca="1">IF($A148&gt;Endyr,0,VLOOKUP($A148,Tariff_Table,Tariff!$M$33))</f>
        <v>0.25</v>
      </c>
      <c r="G148" s="333">
        <f t="shared" ca="1" si="18"/>
        <v>1.9925064493581086</v>
      </c>
      <c r="H148" s="334">
        <f ca="1">VLOOKUP($A148,Plant_Table,'Plant Operations'!$T$270)</f>
        <v>2092866.048</v>
      </c>
      <c r="I148" s="335">
        <f t="shared" ca="1" si="19"/>
        <v>4170.0490982826168</v>
      </c>
      <c r="J148" s="698" t="str">
        <f t="shared" ca="1" si="20"/>
        <v xml:space="preserve"> </v>
      </c>
      <c r="L148" s="699">
        <f ca="1">IF($A148&lt;Startops2,0,VLOOKUP($A148,Tariff_Table,Tariff!$N$33))</f>
        <v>0</v>
      </c>
      <c r="M148" s="334">
        <f t="shared" ca="1" si="21"/>
        <v>2092866.048</v>
      </c>
      <c r="N148" s="1113">
        <f t="shared" ca="1" si="22"/>
        <v>0</v>
      </c>
      <c r="O148" s="1113">
        <f ca="1">IF($A148&gt;Endyr,0,VLOOKUP($A148,Tariff_Table,Tariff!$O$33))</f>
        <v>3259.7406099999998</v>
      </c>
      <c r="P148" s="113">
        <f ca="1">VLOOKUP($A148,Curves_Table,Escalation!$AP$291)</f>
        <v>1.4818086105109716</v>
      </c>
      <c r="Q148" s="328">
        <f t="shared" ca="1" si="23"/>
        <v>4830.311703930287</v>
      </c>
      <c r="R148" s="692" t="str">
        <f t="shared" ca="1" si="16"/>
        <v xml:space="preserve"> </v>
      </c>
    </row>
    <row r="149" spans="1:18">
      <c r="A149" s="672">
        <f>'Annex 12-Gas'!A149</f>
        <v>41122</v>
      </c>
      <c r="C149" s="697">
        <f ca="1">IF($A149&gt;Endyr,0,VLOOKUP($A149,Tariff_Table,Tariff!$L$33))</f>
        <v>1.21</v>
      </c>
      <c r="D149" s="113">
        <f ca="1">VLOOKUP($A149,Curves_Table,Escalation!$AL$291)</f>
        <v>1.4400879746761228</v>
      </c>
      <c r="E149" s="333">
        <f t="shared" ca="1" si="17"/>
        <v>1.7425064493581086</v>
      </c>
      <c r="F149" s="331">
        <f ca="1">IF($A149&gt;Endyr,0,VLOOKUP($A149,Tariff_Table,Tariff!$M$33))</f>
        <v>0.25</v>
      </c>
      <c r="G149" s="333">
        <f t="shared" ca="1" si="18"/>
        <v>1.9925064493581086</v>
      </c>
      <c r="H149" s="334">
        <f ca="1">VLOOKUP($A149,Plant_Table,'Plant Operations'!$T$270)</f>
        <v>2092866.048</v>
      </c>
      <c r="I149" s="335">
        <f t="shared" ca="1" si="19"/>
        <v>4170.0490982826168</v>
      </c>
      <c r="J149" s="698" t="str">
        <f t="shared" ca="1" si="20"/>
        <v xml:space="preserve"> </v>
      </c>
      <c r="L149" s="699">
        <f ca="1">IF($A149&lt;Startops2,0,VLOOKUP($A149,Tariff_Table,Tariff!$N$33))</f>
        <v>0</v>
      </c>
      <c r="M149" s="334">
        <f t="shared" ca="1" si="21"/>
        <v>2092866.048</v>
      </c>
      <c r="N149" s="1113">
        <f t="shared" ca="1" si="22"/>
        <v>0</v>
      </c>
      <c r="O149" s="1113">
        <f ca="1">IF($A149&gt;Endyr,0,VLOOKUP($A149,Tariff_Table,Tariff!$O$33))</f>
        <v>3259.7406099999998</v>
      </c>
      <c r="P149" s="113">
        <f ca="1">VLOOKUP($A149,Curves_Table,Escalation!$AP$291)</f>
        <v>1.4818086105109716</v>
      </c>
      <c r="Q149" s="328">
        <f t="shared" ca="1" si="23"/>
        <v>4830.311703930287</v>
      </c>
      <c r="R149" s="692" t="str">
        <f t="shared" ca="1" si="16"/>
        <v xml:space="preserve"> </v>
      </c>
    </row>
    <row r="150" spans="1:18">
      <c r="A150" s="672">
        <f>'Annex 12-Gas'!A150</f>
        <v>41153</v>
      </c>
      <c r="C150" s="697">
        <f ca="1">IF($A150&gt;Endyr,0,VLOOKUP($A150,Tariff_Table,Tariff!$L$33))</f>
        <v>1.21</v>
      </c>
      <c r="D150" s="113">
        <f ca="1">VLOOKUP($A150,Curves_Table,Escalation!$AL$291)</f>
        <v>1.4400879746761228</v>
      </c>
      <c r="E150" s="333">
        <f t="shared" ca="1" si="17"/>
        <v>1.7425064493581086</v>
      </c>
      <c r="F150" s="331">
        <f ca="1">IF($A150&gt;Endyr,0,VLOOKUP($A150,Tariff_Table,Tariff!$M$33))</f>
        <v>0.25</v>
      </c>
      <c r="G150" s="333">
        <f t="shared" ca="1" si="18"/>
        <v>1.9925064493581086</v>
      </c>
      <c r="H150" s="334">
        <f ca="1">VLOOKUP($A150,Plant_Table,'Plant Operations'!$T$270)</f>
        <v>2025354.24</v>
      </c>
      <c r="I150" s="335">
        <f t="shared" ca="1" si="19"/>
        <v>4035.5313854347905</v>
      </c>
      <c r="J150" s="698" t="str">
        <f t="shared" ca="1" si="20"/>
        <v xml:space="preserve"> </v>
      </c>
      <c r="L150" s="699">
        <f ca="1">IF($A150&lt;Startops2,0,VLOOKUP($A150,Tariff_Table,Tariff!$N$33))</f>
        <v>0</v>
      </c>
      <c r="M150" s="334">
        <f t="shared" ca="1" si="21"/>
        <v>2025354.24</v>
      </c>
      <c r="N150" s="1113">
        <f t="shared" ca="1" si="22"/>
        <v>0</v>
      </c>
      <c r="O150" s="1113">
        <f ca="1">IF($A150&gt;Endyr,0,VLOOKUP($A150,Tariff_Table,Tariff!$O$33))</f>
        <v>3259.7406099999998</v>
      </c>
      <c r="P150" s="113">
        <f ca="1">VLOOKUP($A150,Curves_Table,Escalation!$AP$291)</f>
        <v>1.4818086105109716</v>
      </c>
      <c r="Q150" s="328">
        <f t="shared" ca="1" si="23"/>
        <v>4830.311703930287</v>
      </c>
      <c r="R150" s="692" t="str">
        <f t="shared" ca="1" si="16"/>
        <v xml:space="preserve"> </v>
      </c>
    </row>
    <row r="151" spans="1:18">
      <c r="A151" s="672">
        <f>'Annex 12-Gas'!A151</f>
        <v>41183</v>
      </c>
      <c r="C151" s="697">
        <f ca="1">IF($A151&gt;Endyr,0,VLOOKUP($A151,Tariff_Table,Tariff!$L$33))</f>
        <v>1.21</v>
      </c>
      <c r="D151" s="113">
        <f ca="1">VLOOKUP($A151,Curves_Table,Escalation!$AL$291)</f>
        <v>1.4400879746761228</v>
      </c>
      <c r="E151" s="333">
        <f t="shared" ca="1" si="17"/>
        <v>1.7425064493581086</v>
      </c>
      <c r="F151" s="331">
        <f ca="1">IF($A151&gt;Endyr,0,VLOOKUP($A151,Tariff_Table,Tariff!$M$33))</f>
        <v>0.25</v>
      </c>
      <c r="G151" s="333">
        <f t="shared" ca="1" si="18"/>
        <v>1.9925064493581086</v>
      </c>
      <c r="H151" s="334">
        <f ca="1">VLOOKUP($A151,Plant_Table,'Plant Operations'!$T$270)</f>
        <v>2092866.048</v>
      </c>
      <c r="I151" s="335">
        <f t="shared" ca="1" si="19"/>
        <v>4170.0490982826168</v>
      </c>
      <c r="J151" s="698" t="str">
        <f t="shared" ca="1" si="20"/>
        <v xml:space="preserve"> </v>
      </c>
      <c r="L151" s="699">
        <f ca="1">IF($A151&lt;Startops2,0,VLOOKUP($A151,Tariff_Table,Tariff!$N$33))</f>
        <v>0</v>
      </c>
      <c r="M151" s="334">
        <f t="shared" ca="1" si="21"/>
        <v>2092866.048</v>
      </c>
      <c r="N151" s="1113">
        <f t="shared" ca="1" si="22"/>
        <v>0</v>
      </c>
      <c r="O151" s="1113">
        <f ca="1">IF($A151&gt;Endyr,0,VLOOKUP($A151,Tariff_Table,Tariff!$O$33))</f>
        <v>3259.7406099999998</v>
      </c>
      <c r="P151" s="113">
        <f ca="1">VLOOKUP($A151,Curves_Table,Escalation!$AP$291)</f>
        <v>1.4818086105109716</v>
      </c>
      <c r="Q151" s="328">
        <f t="shared" ca="1" si="23"/>
        <v>4830.311703930287</v>
      </c>
      <c r="R151" s="692" t="str">
        <f t="shared" ca="1" si="16"/>
        <v xml:space="preserve"> </v>
      </c>
    </row>
    <row r="152" spans="1:18">
      <c r="A152" s="672">
        <f>'Annex 12-Gas'!A152</f>
        <v>41214</v>
      </c>
      <c r="C152" s="697">
        <f ca="1">IF($A152&gt;Endyr,0,VLOOKUP($A152,Tariff_Table,Tariff!$L$33))</f>
        <v>1.21</v>
      </c>
      <c r="D152" s="113">
        <f ca="1">VLOOKUP($A152,Curves_Table,Escalation!$AL$291)</f>
        <v>1.4400879746761228</v>
      </c>
      <c r="E152" s="333">
        <f t="shared" ca="1" si="17"/>
        <v>1.7425064493581086</v>
      </c>
      <c r="F152" s="331">
        <f ca="1">IF($A152&gt;Endyr,0,VLOOKUP($A152,Tariff_Table,Tariff!$M$33))</f>
        <v>0.25</v>
      </c>
      <c r="G152" s="333">
        <f t="shared" ca="1" si="18"/>
        <v>1.9925064493581086</v>
      </c>
      <c r="H152" s="334">
        <f ca="1">VLOOKUP($A152,Plant_Table,'Plant Operations'!$T$270)</f>
        <v>2025354.24</v>
      </c>
      <c r="I152" s="335">
        <f t="shared" ca="1" si="19"/>
        <v>4035.5313854347905</v>
      </c>
      <c r="J152" s="698" t="str">
        <f t="shared" ca="1" si="20"/>
        <v xml:space="preserve"> </v>
      </c>
      <c r="L152" s="699">
        <f ca="1">IF($A152&lt;Startops2,0,VLOOKUP($A152,Tariff_Table,Tariff!$N$33))</f>
        <v>0</v>
      </c>
      <c r="M152" s="334">
        <f t="shared" ca="1" si="21"/>
        <v>2025354.24</v>
      </c>
      <c r="N152" s="1113">
        <f t="shared" ca="1" si="22"/>
        <v>0</v>
      </c>
      <c r="O152" s="1113">
        <f ca="1">IF($A152&gt;Endyr,0,VLOOKUP($A152,Tariff_Table,Tariff!$O$33))</f>
        <v>3259.7406099999998</v>
      </c>
      <c r="P152" s="113">
        <f ca="1">VLOOKUP($A152,Curves_Table,Escalation!$AP$291)</f>
        <v>1.4818086105109716</v>
      </c>
      <c r="Q152" s="328">
        <f t="shared" ca="1" si="23"/>
        <v>4830.311703930287</v>
      </c>
      <c r="R152" s="692" t="str">
        <f t="shared" ca="1" si="16"/>
        <v xml:space="preserve"> </v>
      </c>
    </row>
    <row r="153" spans="1:18">
      <c r="A153" s="672">
        <f>'Annex 12-Gas'!A153</f>
        <v>41244</v>
      </c>
      <c r="C153" s="697">
        <f ca="1">IF($A153&gt;Endyr,0,VLOOKUP($A153,Tariff_Table,Tariff!$L$33))</f>
        <v>1.21</v>
      </c>
      <c r="D153" s="113">
        <f ca="1">VLOOKUP($A153,Curves_Table,Escalation!$AL$291)</f>
        <v>1.4400879746761228</v>
      </c>
      <c r="E153" s="333">
        <f t="shared" ca="1" si="17"/>
        <v>1.7425064493581086</v>
      </c>
      <c r="F153" s="331">
        <f ca="1">IF($A153&gt;Endyr,0,VLOOKUP($A153,Tariff_Table,Tariff!$M$33))</f>
        <v>0.25</v>
      </c>
      <c r="G153" s="333">
        <f t="shared" ca="1" si="18"/>
        <v>1.9925064493581086</v>
      </c>
      <c r="H153" s="334">
        <f ca="1">VLOOKUP($A153,Plant_Table,'Plant Operations'!$T$270)</f>
        <v>2092866.048</v>
      </c>
      <c r="I153" s="335">
        <f t="shared" ca="1" si="19"/>
        <v>4170.0490982826168</v>
      </c>
      <c r="J153" s="698">
        <f t="shared" ca="1" si="20"/>
        <v>48917.321634956534</v>
      </c>
      <c r="L153" s="699">
        <f ca="1">IF($A153&lt;Startops2,0,VLOOKUP($A153,Tariff_Table,Tariff!$N$33))</f>
        <v>0</v>
      </c>
      <c r="M153" s="334">
        <f t="shared" ca="1" si="21"/>
        <v>2092866.048</v>
      </c>
      <c r="N153" s="1113">
        <f t="shared" ca="1" si="22"/>
        <v>0</v>
      </c>
      <c r="O153" s="1113">
        <f ca="1">IF($A153&gt;Endyr,0,VLOOKUP($A153,Tariff_Table,Tariff!$O$33))</f>
        <v>3259.7406099999998</v>
      </c>
      <c r="P153" s="113">
        <f ca="1">VLOOKUP($A153,Curves_Table,Escalation!$AP$291)</f>
        <v>1.4818086105109716</v>
      </c>
      <c r="Q153" s="328">
        <f t="shared" ca="1" si="23"/>
        <v>4830.311703930287</v>
      </c>
      <c r="R153" s="692">
        <f t="shared" ca="1" si="16"/>
        <v>57466.157692147623</v>
      </c>
    </row>
    <row r="154" spans="1:18">
      <c r="A154" s="672">
        <f>'Annex 12-Gas'!A154</f>
        <v>41275</v>
      </c>
      <c r="C154" s="697">
        <f ca="1">IF($A154&gt;Endyr,0,VLOOKUP($A154,Tariff_Table,Tariff!$L$33))</f>
        <v>1.21</v>
      </c>
      <c r="D154" s="113">
        <f ca="1">VLOOKUP($A154,Curves_Table,Escalation!$AL$291)</f>
        <v>1.4400879746761228</v>
      </c>
      <c r="E154" s="333">
        <f t="shared" ca="1" si="17"/>
        <v>1.7425064493581086</v>
      </c>
      <c r="F154" s="331">
        <f ca="1">IF($A154&gt;Endyr,0,VLOOKUP($A154,Tariff_Table,Tariff!$M$33))</f>
        <v>0.25</v>
      </c>
      <c r="G154" s="333">
        <f t="shared" ca="1" si="18"/>
        <v>1.9925064493581086</v>
      </c>
      <c r="H154" s="334">
        <f ca="1">VLOOKUP($A154,Plant_Table,'Plant Operations'!$T$270)</f>
        <v>2092866.048</v>
      </c>
      <c r="I154" s="335">
        <f t="shared" ca="1" si="19"/>
        <v>4170.0490982826168</v>
      </c>
      <c r="J154" s="698" t="str">
        <f t="shared" ca="1" si="20"/>
        <v xml:space="preserve"> </v>
      </c>
      <c r="L154" s="699">
        <f ca="1">IF($A154&lt;Startops2,0,VLOOKUP($A154,Tariff_Table,Tariff!$N$33))</f>
        <v>0</v>
      </c>
      <c r="M154" s="334">
        <f t="shared" ca="1" si="21"/>
        <v>2092866.048</v>
      </c>
      <c r="N154" s="1113">
        <f t="shared" ca="1" si="22"/>
        <v>0</v>
      </c>
      <c r="O154" s="1113">
        <f ca="1">IF($A154&gt;Endyr,0,VLOOKUP($A154,Tariff_Table,Tariff!$O$33))</f>
        <v>3259.7406099999998</v>
      </c>
      <c r="P154" s="113">
        <f ca="1">VLOOKUP($A154,Curves_Table,Escalation!$AP$291)</f>
        <v>1.4818086105109716</v>
      </c>
      <c r="Q154" s="328">
        <f t="shared" ca="1" si="23"/>
        <v>4830.311703930287</v>
      </c>
      <c r="R154" s="692" t="str">
        <f t="shared" ca="1" si="16"/>
        <v xml:space="preserve"> </v>
      </c>
    </row>
    <row r="155" spans="1:18">
      <c r="A155" s="672">
        <f>'Annex 12-Gas'!A155</f>
        <v>41306</v>
      </c>
      <c r="C155" s="697">
        <f ca="1">IF($A155&gt;Endyr,0,VLOOKUP($A155,Tariff_Table,Tariff!$L$33))</f>
        <v>1.21</v>
      </c>
      <c r="D155" s="113">
        <f ca="1">VLOOKUP($A155,Curves_Table,Escalation!$AL$291)</f>
        <v>1.4400879746761228</v>
      </c>
      <c r="E155" s="333">
        <f t="shared" ca="1" si="17"/>
        <v>1.7425064493581086</v>
      </c>
      <c r="F155" s="331">
        <f ca="1">IF($A155&gt;Endyr,0,VLOOKUP($A155,Tariff_Table,Tariff!$M$33))</f>
        <v>0.25</v>
      </c>
      <c r="G155" s="333">
        <f t="shared" ca="1" si="18"/>
        <v>1.9925064493581086</v>
      </c>
      <c r="H155" s="334">
        <f ca="1">VLOOKUP($A155,Plant_Table,'Plant Operations'!$T$270)</f>
        <v>1890330.6240000003</v>
      </c>
      <c r="I155" s="335">
        <f t="shared" ca="1" si="19"/>
        <v>3766.4959597391385</v>
      </c>
      <c r="J155" s="698" t="str">
        <f t="shared" ca="1" si="20"/>
        <v xml:space="preserve"> </v>
      </c>
      <c r="L155" s="699">
        <f ca="1">IF($A155&lt;Startops2,0,VLOOKUP($A155,Tariff_Table,Tariff!$N$33))</f>
        <v>0</v>
      </c>
      <c r="M155" s="334">
        <f t="shared" ca="1" si="21"/>
        <v>1890330.6240000003</v>
      </c>
      <c r="N155" s="1113">
        <f t="shared" ca="1" si="22"/>
        <v>0</v>
      </c>
      <c r="O155" s="1113">
        <f ca="1">IF($A155&gt;Endyr,0,VLOOKUP($A155,Tariff_Table,Tariff!$O$33))</f>
        <v>3259.7406099999998</v>
      </c>
      <c r="P155" s="113">
        <f ca="1">VLOOKUP($A155,Curves_Table,Escalation!$AP$291)</f>
        <v>1.4818086105109716</v>
      </c>
      <c r="Q155" s="328">
        <f t="shared" ca="1" si="23"/>
        <v>4830.311703930287</v>
      </c>
      <c r="R155" s="692" t="str">
        <f t="shared" ca="1" si="16"/>
        <v xml:space="preserve"> </v>
      </c>
    </row>
    <row r="156" spans="1:18">
      <c r="A156" s="672">
        <f>'Annex 12-Gas'!A156</f>
        <v>41334</v>
      </c>
      <c r="C156" s="697">
        <f ca="1">IF($A156&gt;Endyr,0,VLOOKUP($A156,Tariff_Table,Tariff!$L$33))</f>
        <v>1.21</v>
      </c>
      <c r="D156" s="113">
        <f ca="1">VLOOKUP($A156,Curves_Table,Escalation!$AL$291)</f>
        <v>1.4400879746761228</v>
      </c>
      <c r="E156" s="333">
        <f t="shared" ca="1" si="17"/>
        <v>1.7425064493581086</v>
      </c>
      <c r="F156" s="331">
        <f ca="1">IF($A156&gt;Endyr,0,VLOOKUP($A156,Tariff_Table,Tariff!$M$33))</f>
        <v>0.25</v>
      </c>
      <c r="G156" s="333">
        <f t="shared" ca="1" si="18"/>
        <v>1.9925064493581086</v>
      </c>
      <c r="H156" s="334">
        <f ca="1">VLOOKUP($A156,Plant_Table,'Plant Operations'!$T$270)</f>
        <v>2092866.048</v>
      </c>
      <c r="I156" s="335">
        <f t="shared" ca="1" si="19"/>
        <v>4170.0490982826168</v>
      </c>
      <c r="J156" s="698" t="str">
        <f t="shared" ca="1" si="20"/>
        <v xml:space="preserve"> </v>
      </c>
      <c r="L156" s="699">
        <f ca="1">IF($A156&lt;Startops2,0,VLOOKUP($A156,Tariff_Table,Tariff!$N$33))</f>
        <v>0</v>
      </c>
      <c r="M156" s="334">
        <f t="shared" ca="1" si="21"/>
        <v>2092866.048</v>
      </c>
      <c r="N156" s="1113">
        <f t="shared" ca="1" si="22"/>
        <v>0</v>
      </c>
      <c r="O156" s="1113">
        <f ca="1">IF($A156&gt;Endyr,0,VLOOKUP($A156,Tariff_Table,Tariff!$O$33))</f>
        <v>3259.7406099999998</v>
      </c>
      <c r="P156" s="113">
        <f ca="1">VLOOKUP($A156,Curves_Table,Escalation!$AP$291)</f>
        <v>1.4818086105109716</v>
      </c>
      <c r="Q156" s="328">
        <f t="shared" ca="1" si="23"/>
        <v>4830.311703930287</v>
      </c>
      <c r="R156" s="692" t="str">
        <f t="shared" ca="1" si="16"/>
        <v xml:space="preserve"> </v>
      </c>
    </row>
    <row r="157" spans="1:18">
      <c r="A157" s="672">
        <f>'Annex 12-Gas'!A157</f>
        <v>41365</v>
      </c>
      <c r="C157" s="697">
        <f ca="1">IF($A157&gt;Endyr,0,VLOOKUP($A157,Tariff_Table,Tariff!$L$33))</f>
        <v>1.21</v>
      </c>
      <c r="D157" s="113">
        <f ca="1">VLOOKUP($A157,Curves_Table,Escalation!$AL$291)</f>
        <v>1.4400879746761228</v>
      </c>
      <c r="E157" s="333">
        <f t="shared" ca="1" si="17"/>
        <v>1.7425064493581086</v>
      </c>
      <c r="F157" s="331">
        <f ca="1">IF($A157&gt;Endyr,0,VLOOKUP($A157,Tariff_Table,Tariff!$M$33))</f>
        <v>0.25</v>
      </c>
      <c r="G157" s="333">
        <f t="shared" ca="1" si="18"/>
        <v>1.9925064493581086</v>
      </c>
      <c r="H157" s="334">
        <f ca="1">VLOOKUP($A157,Plant_Table,'Plant Operations'!$T$270)</f>
        <v>2025354.24</v>
      </c>
      <c r="I157" s="335">
        <f t="shared" ca="1" si="19"/>
        <v>4035.5313854347905</v>
      </c>
      <c r="J157" s="698" t="str">
        <f t="shared" ca="1" si="20"/>
        <v xml:space="preserve"> </v>
      </c>
      <c r="L157" s="699">
        <f ca="1">IF($A157&lt;Startops2,0,VLOOKUP($A157,Tariff_Table,Tariff!$N$33))</f>
        <v>0</v>
      </c>
      <c r="M157" s="334">
        <f t="shared" ca="1" si="21"/>
        <v>2025354.24</v>
      </c>
      <c r="N157" s="1113">
        <f t="shared" ca="1" si="22"/>
        <v>0</v>
      </c>
      <c r="O157" s="1113">
        <f ca="1">IF($A157&gt;Endyr,0,VLOOKUP($A157,Tariff_Table,Tariff!$O$33))</f>
        <v>3259.7406099999998</v>
      </c>
      <c r="P157" s="113">
        <f ca="1">VLOOKUP($A157,Curves_Table,Escalation!$AP$291)</f>
        <v>1.4818086105109716</v>
      </c>
      <c r="Q157" s="328">
        <f t="shared" ca="1" si="23"/>
        <v>4830.311703930287</v>
      </c>
      <c r="R157" s="692" t="str">
        <f t="shared" ca="1" si="16"/>
        <v xml:space="preserve"> </v>
      </c>
    </row>
    <row r="158" spans="1:18">
      <c r="A158" s="672">
        <f>'Annex 12-Gas'!A158</f>
        <v>41395</v>
      </c>
      <c r="C158" s="697">
        <f ca="1">IF($A158&gt;Endyr,0,VLOOKUP($A158,Tariff_Table,Tariff!$L$33))</f>
        <v>1.21</v>
      </c>
      <c r="D158" s="113">
        <f ca="1">VLOOKUP($A158,Curves_Table,Escalation!$AL$291)</f>
        <v>1.4726424201482966</v>
      </c>
      <c r="E158" s="333">
        <f t="shared" ca="1" si="17"/>
        <v>1.7818973283794388</v>
      </c>
      <c r="F158" s="331">
        <f ca="1">IF($A158&gt;Endyr,0,VLOOKUP($A158,Tariff_Table,Tariff!$M$33))</f>
        <v>0.25</v>
      </c>
      <c r="G158" s="333">
        <f t="shared" ca="1" si="18"/>
        <v>2.031897328379439</v>
      </c>
      <c r="H158" s="334">
        <f ca="1">VLOOKUP($A158,Plant_Table,'Plant Operations'!$T$270)</f>
        <v>2092866.048</v>
      </c>
      <c r="I158" s="335">
        <f t="shared" ca="1" si="19"/>
        <v>4252.4889315872351</v>
      </c>
      <c r="J158" s="698" t="str">
        <f t="shared" ca="1" si="20"/>
        <v xml:space="preserve"> </v>
      </c>
      <c r="L158" s="699">
        <f ca="1">IF($A158&lt;Startops2,0,VLOOKUP($A158,Tariff_Table,Tariff!$N$33))</f>
        <v>0</v>
      </c>
      <c r="M158" s="334">
        <f t="shared" ca="1" si="21"/>
        <v>2092866.048</v>
      </c>
      <c r="N158" s="1113">
        <f t="shared" ca="1" si="22"/>
        <v>0</v>
      </c>
      <c r="O158" s="1113">
        <f ca="1">IF($A158&gt;Endyr,0,VLOOKUP($A158,Tariff_Table,Tariff!$O$33))</f>
        <v>3261.4795800000002</v>
      </c>
      <c r="P158" s="113">
        <f ca="1">VLOOKUP($A158,Curves_Table,Escalation!$AP$291)</f>
        <v>1.5190107088932228</v>
      </c>
      <c r="Q158" s="328">
        <f t="shared" ca="1" si="23"/>
        <v>4954.2224088565708</v>
      </c>
      <c r="R158" s="692" t="str">
        <f t="shared" ca="1" si="16"/>
        <v xml:space="preserve"> </v>
      </c>
    </row>
    <row r="159" spans="1:18">
      <c r="A159" s="672">
        <f>'Annex 12-Gas'!A159</f>
        <v>41426</v>
      </c>
      <c r="C159" s="697">
        <f ca="1">IF($A159&gt;Endyr,0,VLOOKUP($A159,Tariff_Table,Tariff!$L$33))</f>
        <v>1.21</v>
      </c>
      <c r="D159" s="113">
        <f ca="1">VLOOKUP($A159,Curves_Table,Escalation!$AL$291)</f>
        <v>1.4726424201482966</v>
      </c>
      <c r="E159" s="333">
        <f t="shared" ca="1" si="17"/>
        <v>1.7818973283794388</v>
      </c>
      <c r="F159" s="331">
        <f ca="1">IF($A159&gt;Endyr,0,VLOOKUP($A159,Tariff_Table,Tariff!$M$33))</f>
        <v>0.25</v>
      </c>
      <c r="G159" s="333">
        <f t="shared" ca="1" si="18"/>
        <v>2.031897328379439</v>
      </c>
      <c r="H159" s="334">
        <f ca="1">VLOOKUP($A159,Plant_Table,'Plant Operations'!$T$270)</f>
        <v>2025354.24</v>
      </c>
      <c r="I159" s="335">
        <f t="shared" ca="1" si="19"/>
        <v>4115.311869277969</v>
      </c>
      <c r="J159" s="698" t="str">
        <f t="shared" ca="1" si="20"/>
        <v xml:space="preserve"> </v>
      </c>
      <c r="L159" s="699">
        <f ca="1">IF($A159&lt;Startops2,0,VLOOKUP($A159,Tariff_Table,Tariff!$N$33))</f>
        <v>0</v>
      </c>
      <c r="M159" s="334">
        <f t="shared" ca="1" si="21"/>
        <v>2025354.24</v>
      </c>
      <c r="N159" s="1113">
        <f t="shared" ca="1" si="22"/>
        <v>0</v>
      </c>
      <c r="O159" s="1113">
        <f ca="1">IF($A159&gt;Endyr,0,VLOOKUP($A159,Tariff_Table,Tariff!$O$33))</f>
        <v>3261.4795800000002</v>
      </c>
      <c r="P159" s="113">
        <f ca="1">VLOOKUP($A159,Curves_Table,Escalation!$AP$291)</f>
        <v>1.5190107088932228</v>
      </c>
      <c r="Q159" s="328">
        <f t="shared" ca="1" si="23"/>
        <v>4954.2224088565708</v>
      </c>
      <c r="R159" s="692" t="str">
        <f t="shared" ca="1" si="16"/>
        <v xml:space="preserve"> </v>
      </c>
    </row>
    <row r="160" spans="1:18">
      <c r="A160" s="672">
        <f>'Annex 12-Gas'!A160</f>
        <v>41456</v>
      </c>
      <c r="C160" s="697">
        <f ca="1">IF($A160&gt;Endyr,0,VLOOKUP($A160,Tariff_Table,Tariff!$L$33))</f>
        <v>1.21</v>
      </c>
      <c r="D160" s="113">
        <f ca="1">VLOOKUP($A160,Curves_Table,Escalation!$AL$291)</f>
        <v>1.4726424201482966</v>
      </c>
      <c r="E160" s="333">
        <f t="shared" ca="1" si="17"/>
        <v>1.7818973283794388</v>
      </c>
      <c r="F160" s="331">
        <f ca="1">IF($A160&gt;Endyr,0,VLOOKUP($A160,Tariff_Table,Tariff!$M$33))</f>
        <v>0.25</v>
      </c>
      <c r="G160" s="333">
        <f t="shared" ca="1" si="18"/>
        <v>2.031897328379439</v>
      </c>
      <c r="H160" s="334">
        <f ca="1">VLOOKUP($A160,Plant_Table,'Plant Operations'!$T$270)</f>
        <v>2092866.048</v>
      </c>
      <c r="I160" s="335">
        <f t="shared" ca="1" si="19"/>
        <v>4252.4889315872351</v>
      </c>
      <c r="J160" s="698" t="str">
        <f t="shared" ca="1" si="20"/>
        <v xml:space="preserve"> </v>
      </c>
      <c r="L160" s="699">
        <f ca="1">IF($A160&lt;Startops2,0,VLOOKUP($A160,Tariff_Table,Tariff!$N$33))</f>
        <v>0</v>
      </c>
      <c r="M160" s="334">
        <f t="shared" ca="1" si="21"/>
        <v>2092866.048</v>
      </c>
      <c r="N160" s="1113">
        <f t="shared" ca="1" si="22"/>
        <v>0</v>
      </c>
      <c r="O160" s="1113">
        <f ca="1">IF($A160&gt;Endyr,0,VLOOKUP($A160,Tariff_Table,Tariff!$O$33))</f>
        <v>3261.4795800000002</v>
      </c>
      <c r="P160" s="113">
        <f ca="1">VLOOKUP($A160,Curves_Table,Escalation!$AP$291)</f>
        <v>1.5190107088932228</v>
      </c>
      <c r="Q160" s="328">
        <f t="shared" ca="1" si="23"/>
        <v>4954.2224088565708</v>
      </c>
      <c r="R160" s="692" t="str">
        <f t="shared" ca="1" si="16"/>
        <v xml:space="preserve"> </v>
      </c>
    </row>
    <row r="161" spans="1:18">
      <c r="A161" s="672">
        <f>'Annex 12-Gas'!A161</f>
        <v>41487</v>
      </c>
      <c r="C161" s="697">
        <f ca="1">IF($A161&gt;Endyr,0,VLOOKUP($A161,Tariff_Table,Tariff!$L$33))</f>
        <v>1.21</v>
      </c>
      <c r="D161" s="113">
        <f ca="1">VLOOKUP($A161,Curves_Table,Escalation!$AL$291)</f>
        <v>1.4726424201482966</v>
      </c>
      <c r="E161" s="333">
        <f t="shared" ca="1" si="17"/>
        <v>1.7818973283794388</v>
      </c>
      <c r="F161" s="331">
        <f ca="1">IF($A161&gt;Endyr,0,VLOOKUP($A161,Tariff_Table,Tariff!$M$33))</f>
        <v>0.25</v>
      </c>
      <c r="G161" s="333">
        <f t="shared" ca="1" si="18"/>
        <v>2.031897328379439</v>
      </c>
      <c r="H161" s="334">
        <f ca="1">VLOOKUP($A161,Plant_Table,'Plant Operations'!$T$270)</f>
        <v>2092866.048</v>
      </c>
      <c r="I161" s="335">
        <f t="shared" ca="1" si="19"/>
        <v>4252.4889315872351</v>
      </c>
      <c r="J161" s="698" t="str">
        <f t="shared" ca="1" si="20"/>
        <v xml:space="preserve"> </v>
      </c>
      <c r="L161" s="699">
        <f ca="1">IF($A161&lt;Startops2,0,VLOOKUP($A161,Tariff_Table,Tariff!$N$33))</f>
        <v>0</v>
      </c>
      <c r="M161" s="334">
        <f t="shared" ca="1" si="21"/>
        <v>2092866.048</v>
      </c>
      <c r="N161" s="1113">
        <f t="shared" ca="1" si="22"/>
        <v>0</v>
      </c>
      <c r="O161" s="1113">
        <f ca="1">IF($A161&gt;Endyr,0,VLOOKUP($A161,Tariff_Table,Tariff!$O$33))</f>
        <v>3261.4795800000002</v>
      </c>
      <c r="P161" s="113">
        <f ca="1">VLOOKUP($A161,Curves_Table,Escalation!$AP$291)</f>
        <v>1.5190107088932228</v>
      </c>
      <c r="Q161" s="328">
        <f t="shared" ca="1" si="23"/>
        <v>4954.2224088565708</v>
      </c>
      <c r="R161" s="692" t="str">
        <f t="shared" ca="1" si="16"/>
        <v xml:space="preserve"> </v>
      </c>
    </row>
    <row r="162" spans="1:18">
      <c r="A162" s="672">
        <f>'Annex 12-Gas'!A162</f>
        <v>41518</v>
      </c>
      <c r="C162" s="697">
        <f ca="1">IF($A162&gt;Endyr,0,VLOOKUP($A162,Tariff_Table,Tariff!$L$33))</f>
        <v>1.21</v>
      </c>
      <c r="D162" s="113">
        <f ca="1">VLOOKUP($A162,Curves_Table,Escalation!$AL$291)</f>
        <v>1.4726424201482966</v>
      </c>
      <c r="E162" s="333">
        <f t="shared" ca="1" si="17"/>
        <v>1.7818973283794388</v>
      </c>
      <c r="F162" s="331">
        <f ca="1">IF($A162&gt;Endyr,0,VLOOKUP($A162,Tariff_Table,Tariff!$M$33))</f>
        <v>0.25</v>
      </c>
      <c r="G162" s="333">
        <f t="shared" ca="1" si="18"/>
        <v>2.031897328379439</v>
      </c>
      <c r="H162" s="334">
        <f ca="1">VLOOKUP($A162,Plant_Table,'Plant Operations'!$T$270)</f>
        <v>2025354.24</v>
      </c>
      <c r="I162" s="335">
        <f t="shared" ca="1" si="19"/>
        <v>4115.311869277969</v>
      </c>
      <c r="J162" s="698" t="str">
        <f t="shared" ca="1" si="20"/>
        <v xml:space="preserve"> </v>
      </c>
      <c r="L162" s="699">
        <f ca="1">IF($A162&lt;Startops2,0,VLOOKUP($A162,Tariff_Table,Tariff!$N$33))</f>
        <v>0</v>
      </c>
      <c r="M162" s="334">
        <f t="shared" ca="1" si="21"/>
        <v>2025354.24</v>
      </c>
      <c r="N162" s="1113">
        <f t="shared" ca="1" si="22"/>
        <v>0</v>
      </c>
      <c r="O162" s="1113">
        <f ca="1">IF($A162&gt;Endyr,0,VLOOKUP($A162,Tariff_Table,Tariff!$O$33))</f>
        <v>3261.4795800000002</v>
      </c>
      <c r="P162" s="113">
        <f ca="1">VLOOKUP($A162,Curves_Table,Escalation!$AP$291)</f>
        <v>1.5190107088932228</v>
      </c>
      <c r="Q162" s="328">
        <f t="shared" ca="1" si="23"/>
        <v>4954.2224088565708</v>
      </c>
      <c r="R162" s="692" t="str">
        <f t="shared" ca="1" si="16"/>
        <v xml:space="preserve"> </v>
      </c>
    </row>
    <row r="163" spans="1:18">
      <c r="A163" s="672">
        <f>'Annex 12-Gas'!A163</f>
        <v>41548</v>
      </c>
      <c r="C163" s="697">
        <f ca="1">IF($A163&gt;Endyr,0,VLOOKUP($A163,Tariff_Table,Tariff!$L$33))</f>
        <v>1.21</v>
      </c>
      <c r="D163" s="113">
        <f ca="1">VLOOKUP($A163,Curves_Table,Escalation!$AL$291)</f>
        <v>1.4726424201482966</v>
      </c>
      <c r="E163" s="333">
        <f t="shared" ca="1" si="17"/>
        <v>1.7818973283794388</v>
      </c>
      <c r="F163" s="331">
        <f ca="1">IF($A163&gt;Endyr,0,VLOOKUP($A163,Tariff_Table,Tariff!$M$33))</f>
        <v>0.25</v>
      </c>
      <c r="G163" s="333">
        <f t="shared" ca="1" si="18"/>
        <v>2.031897328379439</v>
      </c>
      <c r="H163" s="334">
        <f ca="1">VLOOKUP($A163,Plant_Table,'Plant Operations'!$T$270)</f>
        <v>2092866.048</v>
      </c>
      <c r="I163" s="335">
        <f t="shared" ca="1" si="19"/>
        <v>4252.4889315872351</v>
      </c>
      <c r="J163" s="698" t="str">
        <f t="shared" ca="1" si="20"/>
        <v xml:space="preserve"> </v>
      </c>
      <c r="L163" s="699">
        <f ca="1">IF($A163&lt;Startops2,0,VLOOKUP($A163,Tariff_Table,Tariff!$N$33))</f>
        <v>0</v>
      </c>
      <c r="M163" s="334">
        <f t="shared" ca="1" si="21"/>
        <v>2092866.048</v>
      </c>
      <c r="N163" s="1113">
        <f t="shared" ca="1" si="22"/>
        <v>0</v>
      </c>
      <c r="O163" s="1113">
        <f ca="1">IF($A163&gt;Endyr,0,VLOOKUP($A163,Tariff_Table,Tariff!$O$33))</f>
        <v>3261.4795800000002</v>
      </c>
      <c r="P163" s="113">
        <f ca="1">VLOOKUP($A163,Curves_Table,Escalation!$AP$291)</f>
        <v>1.5190107088932228</v>
      </c>
      <c r="Q163" s="328">
        <f t="shared" ca="1" si="23"/>
        <v>4954.2224088565708</v>
      </c>
      <c r="R163" s="692" t="str">
        <f t="shared" ca="1" si="16"/>
        <v xml:space="preserve"> </v>
      </c>
    </row>
    <row r="164" spans="1:18">
      <c r="A164" s="672">
        <f>'Annex 12-Gas'!A164</f>
        <v>41579</v>
      </c>
      <c r="C164" s="697">
        <f ca="1">IF($A164&gt;Endyr,0,VLOOKUP($A164,Tariff_Table,Tariff!$L$33))</f>
        <v>1.21</v>
      </c>
      <c r="D164" s="113">
        <f ca="1">VLOOKUP($A164,Curves_Table,Escalation!$AL$291)</f>
        <v>1.4726424201482966</v>
      </c>
      <c r="E164" s="333">
        <f t="shared" ca="1" si="17"/>
        <v>1.7818973283794388</v>
      </c>
      <c r="F164" s="331">
        <f ca="1">IF($A164&gt;Endyr,0,VLOOKUP($A164,Tariff_Table,Tariff!$M$33))</f>
        <v>0.25</v>
      </c>
      <c r="G164" s="333">
        <f t="shared" ca="1" si="18"/>
        <v>2.031897328379439</v>
      </c>
      <c r="H164" s="334">
        <f ca="1">VLOOKUP($A164,Plant_Table,'Plant Operations'!$T$270)</f>
        <v>2025354.24</v>
      </c>
      <c r="I164" s="335">
        <f t="shared" ca="1" si="19"/>
        <v>4115.311869277969</v>
      </c>
      <c r="J164" s="698" t="str">
        <f t="shared" ca="1" si="20"/>
        <v xml:space="preserve"> </v>
      </c>
      <c r="L164" s="699">
        <f ca="1">IF($A164&lt;Startops2,0,VLOOKUP($A164,Tariff_Table,Tariff!$N$33))</f>
        <v>0</v>
      </c>
      <c r="M164" s="334">
        <f t="shared" ca="1" si="21"/>
        <v>2025354.24</v>
      </c>
      <c r="N164" s="1113">
        <f t="shared" ca="1" si="22"/>
        <v>0</v>
      </c>
      <c r="O164" s="1113">
        <f ca="1">IF($A164&gt;Endyr,0,VLOOKUP($A164,Tariff_Table,Tariff!$O$33))</f>
        <v>3261.4795800000002</v>
      </c>
      <c r="P164" s="113">
        <f ca="1">VLOOKUP($A164,Curves_Table,Escalation!$AP$291)</f>
        <v>1.5190107088932228</v>
      </c>
      <c r="Q164" s="328">
        <f t="shared" ca="1" si="23"/>
        <v>4954.2224088565708</v>
      </c>
      <c r="R164" s="692" t="str">
        <f t="shared" ca="1" si="16"/>
        <v xml:space="preserve"> </v>
      </c>
    </row>
    <row r="165" spans="1:18">
      <c r="A165" s="672">
        <f>'Annex 12-Gas'!A165</f>
        <v>41609</v>
      </c>
      <c r="C165" s="697">
        <f ca="1">IF($A165&gt;Endyr,0,VLOOKUP($A165,Tariff_Table,Tariff!$L$33))</f>
        <v>1.21</v>
      </c>
      <c r="D165" s="113">
        <f ca="1">VLOOKUP($A165,Curves_Table,Escalation!$AL$291)</f>
        <v>1.4726424201482966</v>
      </c>
      <c r="E165" s="333">
        <f t="shared" ca="1" si="17"/>
        <v>1.7818973283794388</v>
      </c>
      <c r="F165" s="331">
        <f ca="1">IF($A165&gt;Endyr,0,VLOOKUP($A165,Tariff_Table,Tariff!$M$33))</f>
        <v>0.25</v>
      </c>
      <c r="G165" s="333">
        <f t="shared" ca="1" si="18"/>
        <v>2.031897328379439</v>
      </c>
      <c r="H165" s="334">
        <f ca="1">VLOOKUP($A165,Plant_Table,'Plant Operations'!$T$270)</f>
        <v>2092866.048</v>
      </c>
      <c r="I165" s="335">
        <f t="shared" ca="1" si="19"/>
        <v>4252.4889315872351</v>
      </c>
      <c r="J165" s="698">
        <f t="shared" ca="1" si="20"/>
        <v>49750.505807509238</v>
      </c>
      <c r="L165" s="699">
        <f ca="1">IF($A165&lt;Startops2,0,VLOOKUP($A165,Tariff_Table,Tariff!$N$33))</f>
        <v>0</v>
      </c>
      <c r="M165" s="334">
        <f t="shared" ca="1" si="21"/>
        <v>2092866.048</v>
      </c>
      <c r="N165" s="1113">
        <f t="shared" ca="1" si="22"/>
        <v>0</v>
      </c>
      <c r="O165" s="1113">
        <f ca="1">IF($A165&gt;Endyr,0,VLOOKUP($A165,Tariff_Table,Tariff!$O$33))</f>
        <v>3261.4795800000002</v>
      </c>
      <c r="P165" s="113">
        <f ca="1">VLOOKUP($A165,Curves_Table,Escalation!$AP$291)</f>
        <v>1.5190107088932228</v>
      </c>
      <c r="Q165" s="328">
        <f t="shared" ca="1" si="23"/>
        <v>4954.2224088565708</v>
      </c>
      <c r="R165" s="692">
        <f t="shared" ca="1" si="16"/>
        <v>58955.026086573715</v>
      </c>
    </row>
    <row r="166" spans="1:18">
      <c r="A166" s="672">
        <f>'Annex 12-Gas'!A166</f>
        <v>41640</v>
      </c>
      <c r="C166" s="697">
        <f ca="1">IF($A166&gt;Endyr,0,VLOOKUP($A166,Tariff_Table,Tariff!$L$33))</f>
        <v>1.21</v>
      </c>
      <c r="D166" s="113">
        <f ca="1">VLOOKUP($A166,Curves_Table,Escalation!$AL$291)</f>
        <v>1.4726424201482966</v>
      </c>
      <c r="E166" s="333">
        <f t="shared" ca="1" si="17"/>
        <v>1.7818973283794388</v>
      </c>
      <c r="F166" s="331">
        <f ca="1">IF($A166&gt;Endyr,0,VLOOKUP($A166,Tariff_Table,Tariff!$M$33))</f>
        <v>0.25</v>
      </c>
      <c r="G166" s="333">
        <f t="shared" ca="1" si="18"/>
        <v>2.031897328379439</v>
      </c>
      <c r="H166" s="334">
        <f ca="1">VLOOKUP($A166,Plant_Table,'Plant Operations'!$T$270)</f>
        <v>2092866.048</v>
      </c>
      <c r="I166" s="335">
        <f t="shared" ca="1" si="19"/>
        <v>4252.4889315872351</v>
      </c>
      <c r="J166" s="698" t="str">
        <f t="shared" ca="1" si="20"/>
        <v xml:space="preserve"> </v>
      </c>
      <c r="L166" s="699">
        <f ca="1">IF($A166&lt;Startops2,0,VLOOKUP($A166,Tariff_Table,Tariff!$N$33))</f>
        <v>0</v>
      </c>
      <c r="M166" s="334">
        <f t="shared" ca="1" si="21"/>
        <v>2092866.048</v>
      </c>
      <c r="N166" s="1113">
        <f t="shared" ca="1" si="22"/>
        <v>0</v>
      </c>
      <c r="O166" s="1113">
        <f ca="1">IF($A166&gt;Endyr,0,VLOOKUP($A166,Tariff_Table,Tariff!$O$33))</f>
        <v>3261.4795800000002</v>
      </c>
      <c r="P166" s="113">
        <f ca="1">VLOOKUP($A166,Curves_Table,Escalation!$AP$291)</f>
        <v>1.5190107088932228</v>
      </c>
      <c r="Q166" s="328">
        <f t="shared" ca="1" si="23"/>
        <v>4954.2224088565708</v>
      </c>
      <c r="R166" s="692" t="str">
        <f t="shared" ca="1" si="16"/>
        <v xml:space="preserve"> </v>
      </c>
    </row>
    <row r="167" spans="1:18">
      <c r="A167" s="672">
        <f>'Annex 12-Gas'!A167</f>
        <v>41671</v>
      </c>
      <c r="C167" s="697">
        <f ca="1">IF($A167&gt;Endyr,0,VLOOKUP($A167,Tariff_Table,Tariff!$L$33))</f>
        <v>1.21</v>
      </c>
      <c r="D167" s="113">
        <f ca="1">VLOOKUP($A167,Curves_Table,Escalation!$AL$291)</f>
        <v>1.4726424201482966</v>
      </c>
      <c r="E167" s="333">
        <f t="shared" ca="1" si="17"/>
        <v>1.7818973283794388</v>
      </c>
      <c r="F167" s="331">
        <f ca="1">IF($A167&gt;Endyr,0,VLOOKUP($A167,Tariff_Table,Tariff!$M$33))</f>
        <v>0.25</v>
      </c>
      <c r="G167" s="333">
        <f t="shared" ca="1" si="18"/>
        <v>2.031897328379439</v>
      </c>
      <c r="H167" s="334">
        <f ca="1">VLOOKUP($A167,Plant_Table,'Plant Operations'!$T$270)</f>
        <v>1890330.6240000003</v>
      </c>
      <c r="I167" s="335">
        <f t="shared" ca="1" si="19"/>
        <v>3840.9577446594385</v>
      </c>
      <c r="J167" s="698" t="str">
        <f t="shared" ca="1" si="20"/>
        <v xml:space="preserve"> </v>
      </c>
      <c r="L167" s="699">
        <f ca="1">IF($A167&lt;Startops2,0,VLOOKUP($A167,Tariff_Table,Tariff!$N$33))</f>
        <v>0</v>
      </c>
      <c r="M167" s="334">
        <f t="shared" ca="1" si="21"/>
        <v>1890330.6240000003</v>
      </c>
      <c r="N167" s="1113">
        <f t="shared" ca="1" si="22"/>
        <v>0</v>
      </c>
      <c r="O167" s="1113">
        <f ca="1">IF($A167&gt;Endyr,0,VLOOKUP($A167,Tariff_Table,Tariff!$O$33))</f>
        <v>3261.4795800000002</v>
      </c>
      <c r="P167" s="113">
        <f ca="1">VLOOKUP($A167,Curves_Table,Escalation!$AP$291)</f>
        <v>1.5190107088932228</v>
      </c>
      <c r="Q167" s="328">
        <f t="shared" ca="1" si="23"/>
        <v>4954.2224088565708</v>
      </c>
      <c r="R167" s="692" t="str">
        <f t="shared" ca="1" si="16"/>
        <v xml:space="preserve"> </v>
      </c>
    </row>
    <row r="168" spans="1:18">
      <c r="A168" s="672">
        <f>'Annex 12-Gas'!A168</f>
        <v>41699</v>
      </c>
      <c r="C168" s="697">
        <f ca="1">IF($A168&gt;Endyr,0,VLOOKUP($A168,Tariff_Table,Tariff!$L$33))</f>
        <v>1.21</v>
      </c>
      <c r="D168" s="113">
        <f ca="1">VLOOKUP($A168,Curves_Table,Escalation!$AL$291)</f>
        <v>1.4726424201482966</v>
      </c>
      <c r="E168" s="333">
        <f t="shared" ca="1" si="17"/>
        <v>1.7818973283794388</v>
      </c>
      <c r="F168" s="331">
        <f ca="1">IF($A168&gt;Endyr,0,VLOOKUP($A168,Tariff_Table,Tariff!$M$33))</f>
        <v>0.25</v>
      </c>
      <c r="G168" s="333">
        <f t="shared" ca="1" si="18"/>
        <v>2.031897328379439</v>
      </c>
      <c r="H168" s="334">
        <f ca="1">VLOOKUP($A168,Plant_Table,'Plant Operations'!$T$270)</f>
        <v>2092866.048</v>
      </c>
      <c r="I168" s="335">
        <f t="shared" ca="1" si="19"/>
        <v>4252.4889315872351</v>
      </c>
      <c r="J168" s="698" t="str">
        <f t="shared" ca="1" si="20"/>
        <v xml:space="preserve"> </v>
      </c>
      <c r="L168" s="699">
        <f ca="1">IF($A168&lt;Startops2,0,VLOOKUP($A168,Tariff_Table,Tariff!$N$33))</f>
        <v>0</v>
      </c>
      <c r="M168" s="334">
        <f t="shared" ca="1" si="21"/>
        <v>2092866.048</v>
      </c>
      <c r="N168" s="1113">
        <f t="shared" ca="1" si="22"/>
        <v>0</v>
      </c>
      <c r="O168" s="1113">
        <f ca="1">IF($A168&gt;Endyr,0,VLOOKUP($A168,Tariff_Table,Tariff!$O$33))</f>
        <v>3261.4795800000002</v>
      </c>
      <c r="P168" s="113">
        <f ca="1">VLOOKUP($A168,Curves_Table,Escalation!$AP$291)</f>
        <v>1.5190107088932228</v>
      </c>
      <c r="Q168" s="328">
        <f t="shared" ca="1" si="23"/>
        <v>4954.2224088565708</v>
      </c>
      <c r="R168" s="692" t="str">
        <f t="shared" ca="1" si="16"/>
        <v xml:space="preserve"> </v>
      </c>
    </row>
    <row r="169" spans="1:18">
      <c r="A169" s="672">
        <f>'Annex 12-Gas'!A169</f>
        <v>41730</v>
      </c>
      <c r="C169" s="697">
        <f ca="1">IF($A169&gt;Endyr,0,VLOOKUP($A169,Tariff_Table,Tariff!$L$33))</f>
        <v>1.21</v>
      </c>
      <c r="D169" s="113">
        <f ca="1">VLOOKUP($A169,Curves_Table,Escalation!$AL$291)</f>
        <v>1.4726424201482966</v>
      </c>
      <c r="E169" s="333">
        <f t="shared" ca="1" si="17"/>
        <v>1.7818973283794388</v>
      </c>
      <c r="F169" s="331">
        <f ca="1">IF($A169&gt;Endyr,0,VLOOKUP($A169,Tariff_Table,Tariff!$M$33))</f>
        <v>0.25</v>
      </c>
      <c r="G169" s="333">
        <f t="shared" ca="1" si="18"/>
        <v>2.031897328379439</v>
      </c>
      <c r="H169" s="334">
        <f ca="1">VLOOKUP($A169,Plant_Table,'Plant Operations'!$T$270)</f>
        <v>2025354.24</v>
      </c>
      <c r="I169" s="335">
        <f t="shared" ca="1" si="19"/>
        <v>4115.311869277969</v>
      </c>
      <c r="J169" s="698" t="str">
        <f t="shared" ca="1" si="20"/>
        <v xml:space="preserve"> </v>
      </c>
      <c r="L169" s="699">
        <f ca="1">IF($A169&lt;Startops2,0,VLOOKUP($A169,Tariff_Table,Tariff!$N$33))</f>
        <v>0</v>
      </c>
      <c r="M169" s="334">
        <f t="shared" ca="1" si="21"/>
        <v>2025354.24</v>
      </c>
      <c r="N169" s="1113">
        <f t="shared" ca="1" si="22"/>
        <v>0</v>
      </c>
      <c r="O169" s="1113">
        <f ca="1">IF($A169&gt;Endyr,0,VLOOKUP($A169,Tariff_Table,Tariff!$O$33))</f>
        <v>3261.4795800000002</v>
      </c>
      <c r="P169" s="113">
        <f ca="1">VLOOKUP($A169,Curves_Table,Escalation!$AP$291)</f>
        <v>1.5190107088932228</v>
      </c>
      <c r="Q169" s="328">
        <f t="shared" ca="1" si="23"/>
        <v>4954.2224088565708</v>
      </c>
      <c r="R169" s="692" t="str">
        <f t="shared" ca="1" si="16"/>
        <v xml:space="preserve"> </v>
      </c>
    </row>
    <row r="170" spans="1:18">
      <c r="A170" s="672">
        <f>'Annex 12-Gas'!A170</f>
        <v>41760</v>
      </c>
      <c r="C170" s="697">
        <f ca="1">IF($A170&gt;Endyr,0,VLOOKUP($A170,Tariff_Table,Tariff!$L$33))</f>
        <v>1.21</v>
      </c>
      <c r="D170" s="113">
        <f ca="1">VLOOKUP($A170,Curves_Table,Escalation!$AL$291)</f>
        <v>1.5061761575233978</v>
      </c>
      <c r="E170" s="333">
        <f t="shared" ca="1" si="17"/>
        <v>1.8224731506033114</v>
      </c>
      <c r="F170" s="331">
        <f ca="1">IF($A170&gt;Endyr,0,VLOOKUP($A170,Tariff_Table,Tariff!$M$33))</f>
        <v>0.25</v>
      </c>
      <c r="G170" s="333">
        <f t="shared" ca="1" si="18"/>
        <v>2.0724731506033116</v>
      </c>
      <c r="H170" s="334">
        <f ca="1">VLOOKUP($A170,Plant_Table,'Plant Operations'!$T$270)</f>
        <v>2092866.048</v>
      </c>
      <c r="I170" s="335">
        <f t="shared" ca="1" si="19"/>
        <v>4337.4086922892611</v>
      </c>
      <c r="J170" s="698" t="str">
        <f t="shared" ca="1" si="20"/>
        <v xml:space="preserve"> </v>
      </c>
      <c r="L170" s="699">
        <f ca="1">IF($A170&lt;Startops2,0,VLOOKUP($A170,Tariff_Table,Tariff!$N$33))</f>
        <v>0</v>
      </c>
      <c r="M170" s="334">
        <f t="shared" ca="1" si="21"/>
        <v>2092866.048</v>
      </c>
      <c r="N170" s="1113">
        <f t="shared" ca="1" si="22"/>
        <v>0</v>
      </c>
      <c r="O170" s="1113">
        <f ca="1">IF($A170&gt;Endyr,0,VLOOKUP($A170,Tariff_Table,Tariff!$O$33))</f>
        <v>3257.6284999999998</v>
      </c>
      <c r="P170" s="113">
        <f ca="1">VLOOKUP($A170,Curves_Table,Escalation!$AP$291)</f>
        <v>1.5573978315409176</v>
      </c>
      <c r="Q170" s="328">
        <f t="shared" ca="1" si="23"/>
        <v>5073.4235618658922</v>
      </c>
      <c r="R170" s="692" t="str">
        <f t="shared" ca="1" si="16"/>
        <v xml:space="preserve"> </v>
      </c>
    </row>
    <row r="171" spans="1:18">
      <c r="A171" s="672">
        <f>'Annex 12-Gas'!A171</f>
        <v>41791</v>
      </c>
      <c r="C171" s="697">
        <f ca="1">IF($A171&gt;Endyr,0,VLOOKUP($A171,Tariff_Table,Tariff!$L$33))</f>
        <v>1.21</v>
      </c>
      <c r="D171" s="113">
        <f ca="1">VLOOKUP($A171,Curves_Table,Escalation!$AL$291)</f>
        <v>1.5061761575233978</v>
      </c>
      <c r="E171" s="333">
        <f t="shared" ca="1" si="17"/>
        <v>1.8224731506033114</v>
      </c>
      <c r="F171" s="331">
        <f ca="1">IF($A171&gt;Endyr,0,VLOOKUP($A171,Tariff_Table,Tariff!$M$33))</f>
        <v>0.25</v>
      </c>
      <c r="G171" s="333">
        <f t="shared" ca="1" si="18"/>
        <v>2.0724731506033116</v>
      </c>
      <c r="H171" s="334">
        <f ca="1">VLOOKUP($A171,Plant_Table,'Plant Operations'!$T$270)</f>
        <v>2025354.24</v>
      </c>
      <c r="I171" s="335">
        <f t="shared" ca="1" si="19"/>
        <v>4197.492282860575</v>
      </c>
      <c r="J171" s="698" t="str">
        <f t="shared" ca="1" si="20"/>
        <v xml:space="preserve"> </v>
      </c>
      <c r="L171" s="699">
        <f ca="1">IF($A171&lt;Startops2,0,VLOOKUP($A171,Tariff_Table,Tariff!$N$33))</f>
        <v>0</v>
      </c>
      <c r="M171" s="334">
        <f t="shared" ca="1" si="21"/>
        <v>2025354.24</v>
      </c>
      <c r="N171" s="1113">
        <f t="shared" ca="1" si="22"/>
        <v>0</v>
      </c>
      <c r="O171" s="1113">
        <f ca="1">IF($A171&gt;Endyr,0,VLOOKUP($A171,Tariff_Table,Tariff!$O$33))</f>
        <v>3257.6284999999998</v>
      </c>
      <c r="P171" s="113">
        <f ca="1">VLOOKUP($A171,Curves_Table,Escalation!$AP$291)</f>
        <v>1.5573978315409176</v>
      </c>
      <c r="Q171" s="328">
        <f t="shared" ca="1" si="23"/>
        <v>5073.4235618658922</v>
      </c>
      <c r="R171" s="692" t="str">
        <f t="shared" ca="1" si="16"/>
        <v xml:space="preserve"> </v>
      </c>
    </row>
    <row r="172" spans="1:18">
      <c r="A172" s="672">
        <f>'Annex 12-Gas'!A172</f>
        <v>41821</v>
      </c>
      <c r="C172" s="697">
        <f ca="1">IF($A172&gt;Endyr,0,VLOOKUP($A172,Tariff_Table,Tariff!$L$33))</f>
        <v>1.21</v>
      </c>
      <c r="D172" s="113">
        <f ca="1">VLOOKUP($A172,Curves_Table,Escalation!$AL$291)</f>
        <v>1.5061761575233978</v>
      </c>
      <c r="E172" s="333">
        <f t="shared" ca="1" si="17"/>
        <v>1.8224731506033114</v>
      </c>
      <c r="F172" s="331">
        <f ca="1">IF($A172&gt;Endyr,0,VLOOKUP($A172,Tariff_Table,Tariff!$M$33))</f>
        <v>0.25</v>
      </c>
      <c r="G172" s="333">
        <f t="shared" ca="1" si="18"/>
        <v>2.0724731506033116</v>
      </c>
      <c r="H172" s="334">
        <f ca="1">VLOOKUP($A172,Plant_Table,'Plant Operations'!$T$270)</f>
        <v>2092866.048</v>
      </c>
      <c r="I172" s="335">
        <f t="shared" ca="1" si="19"/>
        <v>4337.4086922892611</v>
      </c>
      <c r="J172" s="698" t="str">
        <f t="shared" ca="1" si="20"/>
        <v xml:space="preserve"> </v>
      </c>
      <c r="L172" s="699">
        <f ca="1">IF($A172&lt;Startops2,0,VLOOKUP($A172,Tariff_Table,Tariff!$N$33))</f>
        <v>0</v>
      </c>
      <c r="M172" s="334">
        <f t="shared" ca="1" si="21"/>
        <v>2092866.048</v>
      </c>
      <c r="N172" s="1113">
        <f t="shared" ca="1" si="22"/>
        <v>0</v>
      </c>
      <c r="O172" s="1113">
        <f ca="1">IF($A172&gt;Endyr,0,VLOOKUP($A172,Tariff_Table,Tariff!$O$33))</f>
        <v>3257.6284999999998</v>
      </c>
      <c r="P172" s="113">
        <f ca="1">VLOOKUP($A172,Curves_Table,Escalation!$AP$291)</f>
        <v>1.5573978315409176</v>
      </c>
      <c r="Q172" s="328">
        <f t="shared" ca="1" si="23"/>
        <v>5073.4235618658922</v>
      </c>
      <c r="R172" s="692" t="str">
        <f t="shared" ca="1" si="16"/>
        <v xml:space="preserve"> </v>
      </c>
    </row>
    <row r="173" spans="1:18">
      <c r="A173" s="672">
        <f>'Annex 12-Gas'!A173</f>
        <v>41852</v>
      </c>
      <c r="C173" s="697">
        <f ca="1">IF($A173&gt;Endyr,0,VLOOKUP($A173,Tariff_Table,Tariff!$L$33))</f>
        <v>1.21</v>
      </c>
      <c r="D173" s="113">
        <f ca="1">VLOOKUP($A173,Curves_Table,Escalation!$AL$291)</f>
        <v>1.5061761575233978</v>
      </c>
      <c r="E173" s="333">
        <f t="shared" ca="1" si="17"/>
        <v>1.8224731506033114</v>
      </c>
      <c r="F173" s="331">
        <f ca="1">IF($A173&gt;Endyr,0,VLOOKUP($A173,Tariff_Table,Tariff!$M$33))</f>
        <v>0.25</v>
      </c>
      <c r="G173" s="333">
        <f t="shared" ca="1" si="18"/>
        <v>2.0724731506033116</v>
      </c>
      <c r="H173" s="334">
        <f ca="1">VLOOKUP($A173,Plant_Table,'Plant Operations'!$T$270)</f>
        <v>2092866.048</v>
      </c>
      <c r="I173" s="335">
        <f t="shared" ca="1" si="19"/>
        <v>4337.4086922892611</v>
      </c>
      <c r="J173" s="698" t="str">
        <f t="shared" ca="1" si="20"/>
        <v xml:space="preserve"> </v>
      </c>
      <c r="L173" s="699">
        <f ca="1">IF($A173&lt;Startops2,0,VLOOKUP($A173,Tariff_Table,Tariff!$N$33))</f>
        <v>0</v>
      </c>
      <c r="M173" s="334">
        <f t="shared" ca="1" si="21"/>
        <v>2092866.048</v>
      </c>
      <c r="N173" s="1113">
        <f t="shared" ca="1" si="22"/>
        <v>0</v>
      </c>
      <c r="O173" s="1113">
        <f ca="1">IF($A173&gt;Endyr,0,VLOOKUP($A173,Tariff_Table,Tariff!$O$33))</f>
        <v>3257.6284999999998</v>
      </c>
      <c r="P173" s="113">
        <f ca="1">VLOOKUP($A173,Curves_Table,Escalation!$AP$291)</f>
        <v>1.5573978315409176</v>
      </c>
      <c r="Q173" s="328">
        <f t="shared" ca="1" si="23"/>
        <v>5073.4235618658922</v>
      </c>
      <c r="R173" s="692" t="str">
        <f t="shared" ca="1" si="16"/>
        <v xml:space="preserve"> </v>
      </c>
    </row>
    <row r="174" spans="1:18">
      <c r="A174" s="672">
        <f>'Annex 12-Gas'!A174</f>
        <v>41883</v>
      </c>
      <c r="C174" s="697">
        <f ca="1">IF($A174&gt;Endyr,0,VLOOKUP($A174,Tariff_Table,Tariff!$L$33))</f>
        <v>1.21</v>
      </c>
      <c r="D174" s="113">
        <f ca="1">VLOOKUP($A174,Curves_Table,Escalation!$AL$291)</f>
        <v>1.5061761575233978</v>
      </c>
      <c r="E174" s="333">
        <f t="shared" ca="1" si="17"/>
        <v>1.8224731506033114</v>
      </c>
      <c r="F174" s="331">
        <f ca="1">IF($A174&gt;Endyr,0,VLOOKUP($A174,Tariff_Table,Tariff!$M$33))</f>
        <v>0.25</v>
      </c>
      <c r="G174" s="333">
        <f t="shared" ca="1" si="18"/>
        <v>2.0724731506033116</v>
      </c>
      <c r="H174" s="334">
        <f ca="1">VLOOKUP($A174,Plant_Table,'Plant Operations'!$T$270)</f>
        <v>2025354.24</v>
      </c>
      <c r="I174" s="335">
        <f t="shared" ca="1" si="19"/>
        <v>4197.492282860575</v>
      </c>
      <c r="J174" s="698" t="str">
        <f t="shared" ca="1" si="20"/>
        <v xml:space="preserve"> </v>
      </c>
      <c r="L174" s="699">
        <f ca="1">IF($A174&lt;Startops2,0,VLOOKUP($A174,Tariff_Table,Tariff!$N$33))</f>
        <v>0</v>
      </c>
      <c r="M174" s="334">
        <f t="shared" ca="1" si="21"/>
        <v>2025354.24</v>
      </c>
      <c r="N174" s="1113">
        <f t="shared" ca="1" si="22"/>
        <v>0</v>
      </c>
      <c r="O174" s="1113">
        <f ca="1">IF($A174&gt;Endyr,0,VLOOKUP($A174,Tariff_Table,Tariff!$O$33))</f>
        <v>3257.6284999999998</v>
      </c>
      <c r="P174" s="113">
        <f ca="1">VLOOKUP($A174,Curves_Table,Escalation!$AP$291)</f>
        <v>1.5573978315409176</v>
      </c>
      <c r="Q174" s="328">
        <f t="shared" ca="1" si="23"/>
        <v>5073.4235618658922</v>
      </c>
      <c r="R174" s="692" t="str">
        <f t="shared" ca="1" si="16"/>
        <v xml:space="preserve"> </v>
      </c>
    </row>
    <row r="175" spans="1:18">
      <c r="A175" s="672">
        <f>'Annex 12-Gas'!A175</f>
        <v>41913</v>
      </c>
      <c r="C175" s="697">
        <f ca="1">IF($A175&gt;Endyr,0,VLOOKUP($A175,Tariff_Table,Tariff!$L$33))</f>
        <v>1.21</v>
      </c>
      <c r="D175" s="113">
        <f ca="1">VLOOKUP($A175,Curves_Table,Escalation!$AL$291)</f>
        <v>1.5061761575233978</v>
      </c>
      <c r="E175" s="333">
        <f t="shared" ca="1" si="17"/>
        <v>1.8224731506033114</v>
      </c>
      <c r="F175" s="331">
        <f ca="1">IF($A175&gt;Endyr,0,VLOOKUP($A175,Tariff_Table,Tariff!$M$33))</f>
        <v>0.25</v>
      </c>
      <c r="G175" s="333">
        <f t="shared" ca="1" si="18"/>
        <v>2.0724731506033116</v>
      </c>
      <c r="H175" s="334">
        <f ca="1">VLOOKUP($A175,Plant_Table,'Plant Operations'!$T$270)</f>
        <v>2092866.048</v>
      </c>
      <c r="I175" s="335">
        <f t="shared" ca="1" si="19"/>
        <v>4337.4086922892611</v>
      </c>
      <c r="J175" s="698" t="str">
        <f t="shared" ca="1" si="20"/>
        <v xml:space="preserve"> </v>
      </c>
      <c r="L175" s="699">
        <f ca="1">IF($A175&lt;Startops2,0,VLOOKUP($A175,Tariff_Table,Tariff!$N$33))</f>
        <v>0</v>
      </c>
      <c r="M175" s="334">
        <f t="shared" ca="1" si="21"/>
        <v>2092866.048</v>
      </c>
      <c r="N175" s="1113">
        <f t="shared" ca="1" si="22"/>
        <v>0</v>
      </c>
      <c r="O175" s="1113">
        <f ca="1">IF($A175&gt;Endyr,0,VLOOKUP($A175,Tariff_Table,Tariff!$O$33))</f>
        <v>3257.6284999999998</v>
      </c>
      <c r="P175" s="113">
        <f ca="1">VLOOKUP($A175,Curves_Table,Escalation!$AP$291)</f>
        <v>1.5573978315409176</v>
      </c>
      <c r="Q175" s="328">
        <f t="shared" ca="1" si="23"/>
        <v>5073.4235618658922</v>
      </c>
      <c r="R175" s="692" t="str">
        <f t="shared" ca="1" si="16"/>
        <v xml:space="preserve"> </v>
      </c>
    </row>
    <row r="176" spans="1:18">
      <c r="A176" s="672">
        <f>'Annex 12-Gas'!A176</f>
        <v>41944</v>
      </c>
      <c r="C176" s="697">
        <f ca="1">IF($A176&gt;Endyr,0,VLOOKUP($A176,Tariff_Table,Tariff!$L$33))</f>
        <v>1.21</v>
      </c>
      <c r="D176" s="113">
        <f ca="1">VLOOKUP($A176,Curves_Table,Escalation!$AL$291)</f>
        <v>1.5061761575233978</v>
      </c>
      <c r="E176" s="333">
        <f t="shared" ca="1" si="17"/>
        <v>1.8224731506033114</v>
      </c>
      <c r="F176" s="331">
        <f ca="1">IF($A176&gt;Endyr,0,VLOOKUP($A176,Tariff_Table,Tariff!$M$33))</f>
        <v>0.25</v>
      </c>
      <c r="G176" s="333">
        <f t="shared" ca="1" si="18"/>
        <v>2.0724731506033116</v>
      </c>
      <c r="H176" s="334">
        <f ca="1">VLOOKUP($A176,Plant_Table,'Plant Operations'!$T$270)</f>
        <v>2025354.24</v>
      </c>
      <c r="I176" s="335">
        <f t="shared" ca="1" si="19"/>
        <v>4197.492282860575</v>
      </c>
      <c r="J176" s="698" t="str">
        <f t="shared" ca="1" si="20"/>
        <v xml:space="preserve"> </v>
      </c>
      <c r="L176" s="699">
        <f ca="1">IF($A176&lt;Startops2,0,VLOOKUP($A176,Tariff_Table,Tariff!$N$33))</f>
        <v>0</v>
      </c>
      <c r="M176" s="334">
        <f t="shared" ca="1" si="21"/>
        <v>2025354.24</v>
      </c>
      <c r="N176" s="1113">
        <f t="shared" ca="1" si="22"/>
        <v>0</v>
      </c>
      <c r="O176" s="1113">
        <f ca="1">IF($A176&gt;Endyr,0,VLOOKUP($A176,Tariff_Table,Tariff!$O$33))</f>
        <v>3257.6284999999998</v>
      </c>
      <c r="P176" s="113">
        <f ca="1">VLOOKUP($A176,Curves_Table,Escalation!$AP$291)</f>
        <v>1.5573978315409176</v>
      </c>
      <c r="Q176" s="328">
        <f t="shared" ca="1" si="23"/>
        <v>5073.4235618658922</v>
      </c>
      <c r="R176" s="692" t="str">
        <f t="shared" ca="1" si="16"/>
        <v xml:space="preserve"> </v>
      </c>
    </row>
    <row r="177" spans="1:18">
      <c r="A177" s="672">
        <f>'Annex 12-Gas'!A177</f>
        <v>41974</v>
      </c>
      <c r="C177" s="697">
        <f ca="1">IF($A177&gt;Endyr,0,VLOOKUP($A177,Tariff_Table,Tariff!$L$33))</f>
        <v>1.21</v>
      </c>
      <c r="D177" s="113">
        <f ca="1">VLOOKUP($A177,Curves_Table,Escalation!$AL$291)</f>
        <v>1.5061761575233978</v>
      </c>
      <c r="E177" s="333">
        <f t="shared" ca="1" si="17"/>
        <v>1.8224731506033114</v>
      </c>
      <c r="F177" s="331">
        <f ca="1">IF($A177&gt;Endyr,0,VLOOKUP($A177,Tariff_Table,Tariff!$M$33))</f>
        <v>0.25</v>
      </c>
      <c r="G177" s="333">
        <f t="shared" ca="1" si="18"/>
        <v>2.0724731506033116</v>
      </c>
      <c r="H177" s="334">
        <f ca="1">VLOOKUP($A177,Plant_Table,'Plant Operations'!$T$270)</f>
        <v>2092866.048</v>
      </c>
      <c r="I177" s="335">
        <f t="shared" ca="1" si="19"/>
        <v>4337.4086922892611</v>
      </c>
      <c r="J177" s="698">
        <f t="shared" ca="1" si="20"/>
        <v>50740.767787139906</v>
      </c>
      <c r="L177" s="699">
        <f ca="1">IF($A177&lt;Startops2,0,VLOOKUP($A177,Tariff_Table,Tariff!$N$33))</f>
        <v>0</v>
      </c>
      <c r="M177" s="334">
        <f t="shared" ca="1" si="21"/>
        <v>2092866.048</v>
      </c>
      <c r="N177" s="1113">
        <f t="shared" ca="1" si="22"/>
        <v>0</v>
      </c>
      <c r="O177" s="1113">
        <f ca="1">IF($A177&gt;Endyr,0,VLOOKUP($A177,Tariff_Table,Tariff!$O$33))</f>
        <v>3257.6284999999998</v>
      </c>
      <c r="P177" s="113">
        <f ca="1">VLOOKUP($A177,Curves_Table,Escalation!$AP$291)</f>
        <v>1.5573978315409176</v>
      </c>
      <c r="Q177" s="328">
        <f t="shared" ca="1" si="23"/>
        <v>5073.4235618658922</v>
      </c>
      <c r="R177" s="692">
        <f t="shared" ca="1" si="16"/>
        <v>60404.278130353428</v>
      </c>
    </row>
    <row r="178" spans="1:18">
      <c r="A178" s="672">
        <f>'Annex 12-Gas'!A178</f>
        <v>42005</v>
      </c>
      <c r="C178" s="697">
        <f ca="1">IF($A178&gt;Endyr,0,VLOOKUP($A178,Tariff_Table,Tariff!$L$33))</f>
        <v>1.21</v>
      </c>
      <c r="D178" s="113">
        <f ca="1">VLOOKUP($A178,Curves_Table,Escalation!$AL$291)</f>
        <v>1.5061761575233978</v>
      </c>
      <c r="E178" s="333">
        <f t="shared" ca="1" si="17"/>
        <v>1.8224731506033114</v>
      </c>
      <c r="F178" s="331">
        <f ca="1">IF($A178&gt;Endyr,0,VLOOKUP($A178,Tariff_Table,Tariff!$M$33))</f>
        <v>0.25</v>
      </c>
      <c r="G178" s="333">
        <f t="shared" ca="1" si="18"/>
        <v>2.0724731506033116</v>
      </c>
      <c r="H178" s="334">
        <f ca="1">VLOOKUP($A178,Plant_Table,'Plant Operations'!$T$270)</f>
        <v>2092866.048</v>
      </c>
      <c r="I178" s="335">
        <f t="shared" ca="1" si="19"/>
        <v>4337.4086922892611</v>
      </c>
      <c r="J178" s="698" t="str">
        <f t="shared" ca="1" si="20"/>
        <v xml:space="preserve"> </v>
      </c>
      <c r="L178" s="699">
        <f ca="1">IF($A178&lt;Startops2,0,VLOOKUP($A178,Tariff_Table,Tariff!$N$33))</f>
        <v>0</v>
      </c>
      <c r="M178" s="334">
        <f t="shared" ca="1" si="21"/>
        <v>2092866.048</v>
      </c>
      <c r="N178" s="1113">
        <f t="shared" ca="1" si="22"/>
        <v>0</v>
      </c>
      <c r="O178" s="1113">
        <f ca="1">IF($A178&gt;Endyr,0,VLOOKUP($A178,Tariff_Table,Tariff!$O$33))</f>
        <v>3257.6284999999998</v>
      </c>
      <c r="P178" s="113">
        <f ca="1">VLOOKUP($A178,Curves_Table,Escalation!$AP$291)</f>
        <v>1.5573978315409176</v>
      </c>
      <c r="Q178" s="328">
        <f t="shared" ca="1" si="23"/>
        <v>5073.4235618658922</v>
      </c>
      <c r="R178" s="692" t="str">
        <f t="shared" ca="1" si="16"/>
        <v xml:space="preserve"> </v>
      </c>
    </row>
    <row r="179" spans="1:18">
      <c r="A179" s="672">
        <f>'Annex 12-Gas'!A179</f>
        <v>42036</v>
      </c>
      <c r="C179" s="697">
        <f ca="1">IF($A179&gt;Endyr,0,VLOOKUP($A179,Tariff_Table,Tariff!$L$33))</f>
        <v>1.21</v>
      </c>
      <c r="D179" s="113">
        <f ca="1">VLOOKUP($A179,Curves_Table,Escalation!$AL$291)</f>
        <v>1.5061761575233978</v>
      </c>
      <c r="E179" s="333">
        <f t="shared" ca="1" si="17"/>
        <v>1.8224731506033114</v>
      </c>
      <c r="F179" s="331">
        <f ca="1">IF($A179&gt;Endyr,0,VLOOKUP($A179,Tariff_Table,Tariff!$M$33))</f>
        <v>0.25</v>
      </c>
      <c r="G179" s="333">
        <f t="shared" ca="1" si="18"/>
        <v>2.0724731506033116</v>
      </c>
      <c r="H179" s="334">
        <f ca="1">VLOOKUP($A179,Plant_Table,'Plant Operations'!$T$270)</f>
        <v>1890330.6240000003</v>
      </c>
      <c r="I179" s="335">
        <f t="shared" ca="1" si="19"/>
        <v>3917.6594640032049</v>
      </c>
      <c r="J179" s="698" t="str">
        <f t="shared" ca="1" si="20"/>
        <v xml:space="preserve"> </v>
      </c>
      <c r="L179" s="699">
        <f ca="1">IF($A179&lt;Startops2,0,VLOOKUP($A179,Tariff_Table,Tariff!$N$33))</f>
        <v>0</v>
      </c>
      <c r="M179" s="334">
        <f t="shared" ca="1" si="21"/>
        <v>1890330.6240000003</v>
      </c>
      <c r="N179" s="1113">
        <f t="shared" ca="1" si="22"/>
        <v>0</v>
      </c>
      <c r="O179" s="1113">
        <f ca="1">IF($A179&gt;Endyr,0,VLOOKUP($A179,Tariff_Table,Tariff!$O$33))</f>
        <v>3257.6284999999998</v>
      </c>
      <c r="P179" s="113">
        <f ca="1">VLOOKUP($A179,Curves_Table,Escalation!$AP$291)</f>
        <v>1.5573978315409176</v>
      </c>
      <c r="Q179" s="328">
        <f t="shared" ca="1" si="23"/>
        <v>5073.4235618658922</v>
      </c>
      <c r="R179" s="692" t="str">
        <f t="shared" ca="1" si="16"/>
        <v xml:space="preserve"> </v>
      </c>
    </row>
    <row r="180" spans="1:18">
      <c r="A180" s="672">
        <f>'Annex 12-Gas'!A180</f>
        <v>42064</v>
      </c>
      <c r="C180" s="697">
        <f ca="1">IF($A180&gt;Endyr,0,VLOOKUP($A180,Tariff_Table,Tariff!$L$33))</f>
        <v>1.21</v>
      </c>
      <c r="D180" s="113">
        <f ca="1">VLOOKUP($A180,Curves_Table,Escalation!$AL$291)</f>
        <v>1.5061761575233978</v>
      </c>
      <c r="E180" s="333">
        <f t="shared" ca="1" si="17"/>
        <v>1.8224731506033114</v>
      </c>
      <c r="F180" s="331">
        <f ca="1">IF($A180&gt;Endyr,0,VLOOKUP($A180,Tariff_Table,Tariff!$M$33))</f>
        <v>0.25</v>
      </c>
      <c r="G180" s="333">
        <f t="shared" ca="1" si="18"/>
        <v>2.0724731506033116</v>
      </c>
      <c r="H180" s="334">
        <f ca="1">VLOOKUP($A180,Plant_Table,'Plant Operations'!$T$270)</f>
        <v>2092866.048</v>
      </c>
      <c r="I180" s="335">
        <f t="shared" ca="1" si="19"/>
        <v>4337.4086922892611</v>
      </c>
      <c r="J180" s="698" t="str">
        <f t="shared" ca="1" si="20"/>
        <v xml:space="preserve"> </v>
      </c>
      <c r="L180" s="699">
        <f ca="1">IF($A180&lt;Startops2,0,VLOOKUP($A180,Tariff_Table,Tariff!$N$33))</f>
        <v>0</v>
      </c>
      <c r="M180" s="334">
        <f t="shared" ca="1" si="21"/>
        <v>2092866.048</v>
      </c>
      <c r="N180" s="1113">
        <f t="shared" ca="1" si="22"/>
        <v>0</v>
      </c>
      <c r="O180" s="1113">
        <f ca="1">IF($A180&gt;Endyr,0,VLOOKUP($A180,Tariff_Table,Tariff!$O$33))</f>
        <v>3257.6284999999998</v>
      </c>
      <c r="P180" s="113">
        <f ca="1">VLOOKUP($A180,Curves_Table,Escalation!$AP$291)</f>
        <v>1.5573978315409176</v>
      </c>
      <c r="Q180" s="328">
        <f t="shared" ca="1" si="23"/>
        <v>5073.4235618658922</v>
      </c>
      <c r="R180" s="692" t="str">
        <f t="shared" ca="1" si="16"/>
        <v xml:space="preserve"> </v>
      </c>
    </row>
    <row r="181" spans="1:18">
      <c r="A181" s="672">
        <f>'Annex 12-Gas'!A181</f>
        <v>42095</v>
      </c>
      <c r="C181" s="697">
        <f ca="1">IF($A181&gt;Endyr,0,VLOOKUP($A181,Tariff_Table,Tariff!$L$33))</f>
        <v>1.21</v>
      </c>
      <c r="D181" s="113">
        <f ca="1">VLOOKUP($A181,Curves_Table,Escalation!$AL$291)</f>
        <v>1.5061761575233978</v>
      </c>
      <c r="E181" s="333">
        <f t="shared" ca="1" si="17"/>
        <v>1.8224731506033114</v>
      </c>
      <c r="F181" s="331">
        <f ca="1">IF($A181&gt;Endyr,0,VLOOKUP($A181,Tariff_Table,Tariff!$M$33))</f>
        <v>0.25</v>
      </c>
      <c r="G181" s="333">
        <f t="shared" ca="1" si="18"/>
        <v>2.0724731506033116</v>
      </c>
      <c r="H181" s="334">
        <f ca="1">VLOOKUP($A181,Plant_Table,'Plant Operations'!$T$270)</f>
        <v>2025354.24</v>
      </c>
      <c r="I181" s="335">
        <f t="shared" ca="1" si="19"/>
        <v>4197.492282860575</v>
      </c>
      <c r="J181" s="698" t="str">
        <f t="shared" ca="1" si="20"/>
        <v xml:space="preserve"> </v>
      </c>
      <c r="L181" s="699">
        <f ca="1">IF($A181&lt;Startops2,0,VLOOKUP($A181,Tariff_Table,Tariff!$N$33))</f>
        <v>0</v>
      </c>
      <c r="M181" s="334">
        <f t="shared" ca="1" si="21"/>
        <v>2025354.24</v>
      </c>
      <c r="N181" s="1113">
        <f t="shared" ca="1" si="22"/>
        <v>0</v>
      </c>
      <c r="O181" s="1113">
        <f ca="1">IF($A181&gt;Endyr,0,VLOOKUP($A181,Tariff_Table,Tariff!$O$33))</f>
        <v>3257.6284999999998</v>
      </c>
      <c r="P181" s="113">
        <f ca="1">VLOOKUP($A181,Curves_Table,Escalation!$AP$291)</f>
        <v>1.5573978315409176</v>
      </c>
      <c r="Q181" s="328">
        <f t="shared" ca="1" si="23"/>
        <v>5073.4235618658922</v>
      </c>
      <c r="R181" s="692" t="str">
        <f t="shared" ca="1" si="16"/>
        <v xml:space="preserve"> </v>
      </c>
    </row>
    <row r="182" spans="1:18">
      <c r="A182" s="672">
        <f>'Annex 12-Gas'!A182</f>
        <v>42125</v>
      </c>
      <c r="C182" s="697">
        <f ca="1">IF($A182&gt;Endyr,0,VLOOKUP($A182,Tariff_Table,Tariff!$L$33))</f>
        <v>1.21</v>
      </c>
      <c r="D182" s="113">
        <f ca="1">VLOOKUP($A182,Curves_Table,Escalation!$AL$291)</f>
        <v>1.5410299309586164</v>
      </c>
      <c r="E182" s="333">
        <f t="shared" ca="1" si="17"/>
        <v>1.8646462164599258</v>
      </c>
      <c r="F182" s="331">
        <f ca="1">IF($A182&gt;Endyr,0,VLOOKUP($A182,Tariff_Table,Tariff!$M$33))</f>
        <v>0.25</v>
      </c>
      <c r="G182" s="333">
        <f t="shared" ca="1" si="18"/>
        <v>2.114646216459926</v>
      </c>
      <c r="H182" s="334">
        <f ca="1">VLOOKUP($A182,Plant_Table,'Plant Operations'!$T$270)</f>
        <v>2092866.048</v>
      </c>
      <c r="I182" s="335">
        <f t="shared" ca="1" si="19"/>
        <v>4425.6712699606378</v>
      </c>
      <c r="J182" s="698" t="str">
        <f t="shared" ca="1" si="20"/>
        <v xml:space="preserve"> </v>
      </c>
      <c r="L182" s="699">
        <f ca="1">IF($A182&lt;Startops2,0,VLOOKUP($A182,Tariff_Table,Tariff!$N$33))</f>
        <v>0</v>
      </c>
      <c r="M182" s="334">
        <f t="shared" ca="1" si="21"/>
        <v>2092866.048</v>
      </c>
      <c r="N182" s="1113">
        <f t="shared" ca="1" si="22"/>
        <v>0</v>
      </c>
      <c r="O182" s="1113">
        <f ca="1">IF($A182&gt;Endyr,0,VLOOKUP($A182,Tariff_Table,Tariff!$O$33))</f>
        <v>3260.6798399999998</v>
      </c>
      <c r="P182" s="113">
        <f ca="1">VLOOKUP($A182,Curves_Table,Escalation!$AP$291)</f>
        <v>1.5973303982415077</v>
      </c>
      <c r="Q182" s="328">
        <f t="shared" ca="1" si="23"/>
        <v>5208.3830273652557</v>
      </c>
      <c r="R182" s="692" t="str">
        <f t="shared" ca="1" si="16"/>
        <v xml:space="preserve"> </v>
      </c>
    </row>
    <row r="183" spans="1:18">
      <c r="A183" s="672">
        <f>'Annex 12-Gas'!A183</f>
        <v>42156</v>
      </c>
      <c r="C183" s="697">
        <f ca="1">IF($A183&gt;Endyr,0,VLOOKUP($A183,Tariff_Table,Tariff!$L$33))</f>
        <v>1.21</v>
      </c>
      <c r="D183" s="113">
        <f ca="1">VLOOKUP($A183,Curves_Table,Escalation!$AL$291)</f>
        <v>1.5410299309586164</v>
      </c>
      <c r="E183" s="333">
        <f t="shared" ca="1" si="17"/>
        <v>1.8646462164599258</v>
      </c>
      <c r="F183" s="331">
        <f ca="1">IF($A183&gt;Endyr,0,VLOOKUP($A183,Tariff_Table,Tariff!$M$33))</f>
        <v>0.25</v>
      </c>
      <c r="G183" s="333">
        <f t="shared" ca="1" si="18"/>
        <v>2.114646216459926</v>
      </c>
      <c r="H183" s="334">
        <f ca="1">VLOOKUP($A183,Plant_Table,'Plant Operations'!$T$270)</f>
        <v>2025354.24</v>
      </c>
      <c r="I183" s="335">
        <f t="shared" ca="1" si="19"/>
        <v>4282.9076806070689</v>
      </c>
      <c r="J183" s="698" t="str">
        <f t="shared" ca="1" si="20"/>
        <v xml:space="preserve"> </v>
      </c>
      <c r="L183" s="699">
        <f ca="1">IF($A183&lt;Startops2,0,VLOOKUP($A183,Tariff_Table,Tariff!$N$33))</f>
        <v>0</v>
      </c>
      <c r="M183" s="334">
        <f t="shared" ca="1" si="21"/>
        <v>2025354.24</v>
      </c>
      <c r="N183" s="1113">
        <f t="shared" ca="1" si="22"/>
        <v>0</v>
      </c>
      <c r="O183" s="1113">
        <f ca="1">IF($A183&gt;Endyr,0,VLOOKUP($A183,Tariff_Table,Tariff!$O$33))</f>
        <v>3260.6798399999998</v>
      </c>
      <c r="P183" s="113">
        <f ca="1">VLOOKUP($A183,Curves_Table,Escalation!$AP$291)</f>
        <v>1.5973303982415077</v>
      </c>
      <c r="Q183" s="328">
        <f t="shared" ca="1" si="23"/>
        <v>5208.3830273652557</v>
      </c>
      <c r="R183" s="692" t="str">
        <f t="shared" ca="1" si="16"/>
        <v xml:space="preserve"> </v>
      </c>
    </row>
    <row r="184" spans="1:18">
      <c r="A184" s="672">
        <f>'Annex 12-Gas'!A184</f>
        <v>42186</v>
      </c>
      <c r="C184" s="697">
        <f ca="1">IF($A184&gt;Endyr,0,VLOOKUP($A184,Tariff_Table,Tariff!$L$33))</f>
        <v>1.21</v>
      </c>
      <c r="D184" s="113">
        <f ca="1">VLOOKUP($A184,Curves_Table,Escalation!$AL$291)</f>
        <v>1.5410299309586164</v>
      </c>
      <c r="E184" s="333">
        <f t="shared" ca="1" si="17"/>
        <v>1.8646462164599258</v>
      </c>
      <c r="F184" s="331">
        <f ca="1">IF($A184&gt;Endyr,0,VLOOKUP($A184,Tariff_Table,Tariff!$M$33))</f>
        <v>0.25</v>
      </c>
      <c r="G184" s="333">
        <f t="shared" ca="1" si="18"/>
        <v>2.114646216459926</v>
      </c>
      <c r="H184" s="334">
        <f ca="1">VLOOKUP($A184,Plant_Table,'Plant Operations'!$T$270)</f>
        <v>2092866.048</v>
      </c>
      <c r="I184" s="335">
        <f t="shared" ca="1" si="19"/>
        <v>4425.6712699606378</v>
      </c>
      <c r="J184" s="698" t="str">
        <f t="shared" ca="1" si="20"/>
        <v xml:space="preserve"> </v>
      </c>
      <c r="L184" s="699">
        <f ca="1">IF($A184&lt;Startops2,0,VLOOKUP($A184,Tariff_Table,Tariff!$N$33))</f>
        <v>0</v>
      </c>
      <c r="M184" s="334">
        <f t="shared" ca="1" si="21"/>
        <v>2092866.048</v>
      </c>
      <c r="N184" s="1113">
        <f t="shared" ca="1" si="22"/>
        <v>0</v>
      </c>
      <c r="O184" s="1113">
        <f ca="1">IF($A184&gt;Endyr,0,VLOOKUP($A184,Tariff_Table,Tariff!$O$33))</f>
        <v>3260.6798399999998</v>
      </c>
      <c r="P184" s="113">
        <f ca="1">VLOOKUP($A184,Curves_Table,Escalation!$AP$291)</f>
        <v>1.5973303982415077</v>
      </c>
      <c r="Q184" s="328">
        <f t="shared" ca="1" si="23"/>
        <v>5208.3830273652557</v>
      </c>
      <c r="R184" s="692" t="str">
        <f t="shared" ca="1" si="16"/>
        <v xml:space="preserve"> </v>
      </c>
    </row>
    <row r="185" spans="1:18">
      <c r="A185" s="672">
        <f>'Annex 12-Gas'!A185</f>
        <v>42217</v>
      </c>
      <c r="C185" s="697">
        <f ca="1">IF($A185&gt;Endyr,0,VLOOKUP($A185,Tariff_Table,Tariff!$L$33))</f>
        <v>1.21</v>
      </c>
      <c r="D185" s="113">
        <f ca="1">VLOOKUP($A185,Curves_Table,Escalation!$AL$291)</f>
        <v>1.5410299309586164</v>
      </c>
      <c r="E185" s="333">
        <f t="shared" ca="1" si="17"/>
        <v>1.8646462164599258</v>
      </c>
      <c r="F185" s="331">
        <f ca="1">IF($A185&gt;Endyr,0,VLOOKUP($A185,Tariff_Table,Tariff!$M$33))</f>
        <v>0.25</v>
      </c>
      <c r="G185" s="333">
        <f t="shared" ca="1" si="18"/>
        <v>2.114646216459926</v>
      </c>
      <c r="H185" s="334">
        <f ca="1">VLOOKUP($A185,Plant_Table,'Plant Operations'!$T$270)</f>
        <v>2092866.048</v>
      </c>
      <c r="I185" s="335">
        <f t="shared" ca="1" si="19"/>
        <v>4425.6712699606378</v>
      </c>
      <c r="J185" s="698" t="str">
        <f t="shared" ca="1" si="20"/>
        <v xml:space="preserve"> </v>
      </c>
      <c r="L185" s="699">
        <f ca="1">IF($A185&lt;Startops2,0,VLOOKUP($A185,Tariff_Table,Tariff!$N$33))</f>
        <v>0</v>
      </c>
      <c r="M185" s="334">
        <f t="shared" ca="1" si="21"/>
        <v>2092866.048</v>
      </c>
      <c r="N185" s="1113">
        <f t="shared" ca="1" si="22"/>
        <v>0</v>
      </c>
      <c r="O185" s="1113">
        <f ca="1">IF($A185&gt;Endyr,0,VLOOKUP($A185,Tariff_Table,Tariff!$O$33))</f>
        <v>3260.6798399999998</v>
      </c>
      <c r="P185" s="113">
        <f ca="1">VLOOKUP($A185,Curves_Table,Escalation!$AP$291)</f>
        <v>1.5973303982415077</v>
      </c>
      <c r="Q185" s="328">
        <f t="shared" ca="1" si="23"/>
        <v>5208.3830273652557</v>
      </c>
      <c r="R185" s="692" t="str">
        <f t="shared" ca="1" si="16"/>
        <v xml:space="preserve"> </v>
      </c>
    </row>
    <row r="186" spans="1:18">
      <c r="A186" s="672">
        <f>'Annex 12-Gas'!A186</f>
        <v>42248</v>
      </c>
      <c r="C186" s="697">
        <f ca="1">IF($A186&gt;Endyr,0,VLOOKUP($A186,Tariff_Table,Tariff!$L$33))</f>
        <v>1.21</v>
      </c>
      <c r="D186" s="113">
        <f ca="1">VLOOKUP($A186,Curves_Table,Escalation!$AL$291)</f>
        <v>1.5410299309586164</v>
      </c>
      <c r="E186" s="333">
        <f t="shared" ca="1" si="17"/>
        <v>1.8646462164599258</v>
      </c>
      <c r="F186" s="331">
        <f ca="1">IF($A186&gt;Endyr,0,VLOOKUP($A186,Tariff_Table,Tariff!$M$33))</f>
        <v>0.25</v>
      </c>
      <c r="G186" s="333">
        <f t="shared" ca="1" si="18"/>
        <v>2.114646216459926</v>
      </c>
      <c r="H186" s="334">
        <f ca="1">VLOOKUP($A186,Plant_Table,'Plant Operations'!$T$270)</f>
        <v>2025354.24</v>
      </c>
      <c r="I186" s="335">
        <f t="shared" ca="1" si="19"/>
        <v>4282.9076806070689</v>
      </c>
      <c r="J186" s="698" t="str">
        <f t="shared" ca="1" si="20"/>
        <v xml:space="preserve"> </v>
      </c>
      <c r="L186" s="699">
        <f ca="1">IF($A186&lt;Startops2,0,VLOOKUP($A186,Tariff_Table,Tariff!$N$33))</f>
        <v>0</v>
      </c>
      <c r="M186" s="334">
        <f t="shared" ca="1" si="21"/>
        <v>2025354.24</v>
      </c>
      <c r="N186" s="1113">
        <f t="shared" ca="1" si="22"/>
        <v>0</v>
      </c>
      <c r="O186" s="1113">
        <f ca="1">IF($A186&gt;Endyr,0,VLOOKUP($A186,Tariff_Table,Tariff!$O$33))</f>
        <v>3260.6798399999998</v>
      </c>
      <c r="P186" s="113">
        <f ca="1">VLOOKUP($A186,Curves_Table,Escalation!$AP$291)</f>
        <v>1.5973303982415077</v>
      </c>
      <c r="Q186" s="328">
        <f t="shared" ca="1" si="23"/>
        <v>5208.3830273652557</v>
      </c>
      <c r="R186" s="692" t="str">
        <f t="shared" ca="1" si="16"/>
        <v xml:space="preserve"> </v>
      </c>
    </row>
    <row r="187" spans="1:18">
      <c r="A187" s="672">
        <f>'Annex 12-Gas'!A187</f>
        <v>42278</v>
      </c>
      <c r="C187" s="697">
        <f ca="1">IF($A187&gt;Endyr,0,VLOOKUP($A187,Tariff_Table,Tariff!$L$33))</f>
        <v>1.21</v>
      </c>
      <c r="D187" s="113">
        <f ca="1">VLOOKUP($A187,Curves_Table,Escalation!$AL$291)</f>
        <v>1.5410299309586164</v>
      </c>
      <c r="E187" s="333">
        <f t="shared" ca="1" si="17"/>
        <v>1.8646462164599258</v>
      </c>
      <c r="F187" s="331">
        <f ca="1">IF($A187&gt;Endyr,0,VLOOKUP($A187,Tariff_Table,Tariff!$M$33))</f>
        <v>0.25</v>
      </c>
      <c r="G187" s="333">
        <f t="shared" ca="1" si="18"/>
        <v>2.114646216459926</v>
      </c>
      <c r="H187" s="334">
        <f ca="1">VLOOKUP($A187,Plant_Table,'Plant Operations'!$T$270)</f>
        <v>2092866.048</v>
      </c>
      <c r="I187" s="335">
        <f t="shared" ca="1" si="19"/>
        <v>4425.6712699606378</v>
      </c>
      <c r="J187" s="698" t="str">
        <f t="shared" ca="1" si="20"/>
        <v xml:space="preserve"> </v>
      </c>
      <c r="L187" s="699">
        <f ca="1">IF($A187&lt;Startops2,0,VLOOKUP($A187,Tariff_Table,Tariff!$N$33))</f>
        <v>0</v>
      </c>
      <c r="M187" s="334">
        <f t="shared" ca="1" si="21"/>
        <v>2092866.048</v>
      </c>
      <c r="N187" s="1113">
        <f t="shared" ca="1" si="22"/>
        <v>0</v>
      </c>
      <c r="O187" s="1113">
        <f ca="1">IF($A187&gt;Endyr,0,VLOOKUP($A187,Tariff_Table,Tariff!$O$33))</f>
        <v>3260.6798399999998</v>
      </c>
      <c r="P187" s="113">
        <f ca="1">VLOOKUP($A187,Curves_Table,Escalation!$AP$291)</f>
        <v>1.5973303982415077</v>
      </c>
      <c r="Q187" s="328">
        <f t="shared" ca="1" si="23"/>
        <v>5208.3830273652557</v>
      </c>
      <c r="R187" s="692" t="str">
        <f t="shared" ca="1" si="16"/>
        <v xml:space="preserve"> </v>
      </c>
    </row>
    <row r="188" spans="1:18">
      <c r="A188" s="672">
        <f>'Annex 12-Gas'!A188</f>
        <v>42309</v>
      </c>
      <c r="C188" s="697">
        <f ca="1">IF($A188&gt;Endyr,0,VLOOKUP($A188,Tariff_Table,Tariff!$L$33))</f>
        <v>1.21</v>
      </c>
      <c r="D188" s="113">
        <f ca="1">VLOOKUP($A188,Curves_Table,Escalation!$AL$291)</f>
        <v>1.5410299309586164</v>
      </c>
      <c r="E188" s="333">
        <f t="shared" ca="1" si="17"/>
        <v>1.8646462164599258</v>
      </c>
      <c r="F188" s="331">
        <f ca="1">IF($A188&gt;Endyr,0,VLOOKUP($A188,Tariff_Table,Tariff!$M$33))</f>
        <v>0.25</v>
      </c>
      <c r="G188" s="333">
        <f t="shared" ca="1" si="18"/>
        <v>2.114646216459926</v>
      </c>
      <c r="H188" s="334">
        <f ca="1">VLOOKUP($A188,Plant_Table,'Plant Operations'!$T$270)</f>
        <v>2025354.24</v>
      </c>
      <c r="I188" s="335">
        <f t="shared" ca="1" si="19"/>
        <v>4282.9076806070689</v>
      </c>
      <c r="J188" s="698" t="str">
        <f t="shared" ca="1" si="20"/>
        <v xml:space="preserve"> </v>
      </c>
      <c r="L188" s="699">
        <f ca="1">IF($A188&lt;Startops2,0,VLOOKUP($A188,Tariff_Table,Tariff!$N$33))</f>
        <v>0</v>
      </c>
      <c r="M188" s="334">
        <f t="shared" ca="1" si="21"/>
        <v>2025354.24</v>
      </c>
      <c r="N188" s="1113">
        <f t="shared" ca="1" si="22"/>
        <v>0</v>
      </c>
      <c r="O188" s="1113">
        <f ca="1">IF($A188&gt;Endyr,0,VLOOKUP($A188,Tariff_Table,Tariff!$O$33))</f>
        <v>3260.6798399999998</v>
      </c>
      <c r="P188" s="113">
        <f ca="1">VLOOKUP($A188,Curves_Table,Escalation!$AP$291)</f>
        <v>1.5973303982415077</v>
      </c>
      <c r="Q188" s="328">
        <f t="shared" ca="1" si="23"/>
        <v>5208.3830273652557</v>
      </c>
      <c r="R188" s="692" t="str">
        <f t="shared" ca="1" si="16"/>
        <v xml:space="preserve"> </v>
      </c>
    </row>
    <row r="189" spans="1:18">
      <c r="A189" s="672">
        <f>'Annex 12-Gas'!A189</f>
        <v>42339</v>
      </c>
      <c r="C189" s="697">
        <f ca="1">IF($A189&gt;Endyr,0,VLOOKUP($A189,Tariff_Table,Tariff!$L$33))</f>
        <v>1.21</v>
      </c>
      <c r="D189" s="113">
        <f ca="1">VLOOKUP($A189,Curves_Table,Escalation!$AL$291)</f>
        <v>1.5410299309586164</v>
      </c>
      <c r="E189" s="333">
        <f t="shared" ca="1" si="17"/>
        <v>1.8646462164599258</v>
      </c>
      <c r="F189" s="331">
        <f ca="1">IF($A189&gt;Endyr,0,VLOOKUP($A189,Tariff_Table,Tariff!$M$33))</f>
        <v>0.25</v>
      </c>
      <c r="G189" s="333">
        <f t="shared" ca="1" si="18"/>
        <v>2.114646216459926</v>
      </c>
      <c r="H189" s="334">
        <f ca="1">VLOOKUP($A189,Plant_Table,'Plant Operations'!$T$270)</f>
        <v>2092866.048</v>
      </c>
      <c r="I189" s="335">
        <f t="shared" ca="1" si="19"/>
        <v>4425.6712699606378</v>
      </c>
      <c r="J189" s="698">
        <f t="shared" ca="1" si="20"/>
        <v>51767.048523066689</v>
      </c>
      <c r="L189" s="699">
        <f ca="1">IF($A189&lt;Startops2,0,VLOOKUP($A189,Tariff_Table,Tariff!$N$33))</f>
        <v>0</v>
      </c>
      <c r="M189" s="334">
        <f t="shared" ca="1" si="21"/>
        <v>2092866.048</v>
      </c>
      <c r="N189" s="1113">
        <f t="shared" ca="1" si="22"/>
        <v>0</v>
      </c>
      <c r="O189" s="1113">
        <f ca="1">IF($A189&gt;Endyr,0,VLOOKUP($A189,Tariff_Table,Tariff!$O$33))</f>
        <v>3260.6798399999998</v>
      </c>
      <c r="P189" s="113">
        <f ca="1">VLOOKUP($A189,Curves_Table,Escalation!$AP$291)</f>
        <v>1.5973303982415077</v>
      </c>
      <c r="Q189" s="328">
        <f t="shared" ca="1" si="23"/>
        <v>5208.3830273652557</v>
      </c>
      <c r="R189" s="692">
        <f t="shared" ca="1" si="16"/>
        <v>61960.758466385618</v>
      </c>
    </row>
    <row r="190" spans="1:18">
      <c r="A190" s="672">
        <f>'Annex 12-Gas'!A190</f>
        <v>42370</v>
      </c>
      <c r="C190" s="697">
        <f ca="1">IF($A190&gt;Endyr,0,VLOOKUP($A190,Tariff_Table,Tariff!$L$33))</f>
        <v>1.21</v>
      </c>
      <c r="D190" s="113">
        <f ca="1">VLOOKUP($A190,Curves_Table,Escalation!$AL$291)</f>
        <v>1.5410299309586164</v>
      </c>
      <c r="E190" s="333">
        <f t="shared" ca="1" si="17"/>
        <v>1.8646462164599258</v>
      </c>
      <c r="F190" s="331">
        <f ca="1">IF($A190&gt;Endyr,0,VLOOKUP($A190,Tariff_Table,Tariff!$M$33))</f>
        <v>0.25</v>
      </c>
      <c r="G190" s="333">
        <f t="shared" ca="1" si="18"/>
        <v>2.114646216459926</v>
      </c>
      <c r="H190" s="334">
        <f ca="1">VLOOKUP($A190,Plant_Table,'Plant Operations'!$T$270)</f>
        <v>2092866.048</v>
      </c>
      <c r="I190" s="335">
        <f t="shared" ca="1" si="19"/>
        <v>4425.6712699606378</v>
      </c>
      <c r="J190" s="698" t="str">
        <f t="shared" ca="1" si="20"/>
        <v xml:space="preserve"> </v>
      </c>
      <c r="L190" s="699">
        <f ca="1">IF($A190&lt;Startops2,0,VLOOKUP($A190,Tariff_Table,Tariff!$N$33))</f>
        <v>0</v>
      </c>
      <c r="M190" s="334">
        <f t="shared" ca="1" si="21"/>
        <v>2092866.048</v>
      </c>
      <c r="N190" s="1113">
        <f t="shared" ca="1" si="22"/>
        <v>0</v>
      </c>
      <c r="O190" s="1113">
        <f ca="1">IF($A190&gt;Endyr,0,VLOOKUP($A190,Tariff_Table,Tariff!$O$33))</f>
        <v>3260.6798399999998</v>
      </c>
      <c r="P190" s="113">
        <f ca="1">VLOOKUP($A190,Curves_Table,Escalation!$AP$291)</f>
        <v>1.5973303982415077</v>
      </c>
      <c r="Q190" s="328">
        <f t="shared" ca="1" si="23"/>
        <v>5208.3830273652557</v>
      </c>
      <c r="R190" s="692" t="str">
        <f t="shared" ca="1" si="16"/>
        <v xml:space="preserve"> </v>
      </c>
    </row>
    <row r="191" spans="1:18">
      <c r="A191" s="672">
        <f>'Annex 12-Gas'!A191</f>
        <v>42401</v>
      </c>
      <c r="C191" s="697">
        <f ca="1">IF($A191&gt;Endyr,0,VLOOKUP($A191,Tariff_Table,Tariff!$L$33))</f>
        <v>1.21</v>
      </c>
      <c r="D191" s="113">
        <f ca="1">VLOOKUP($A191,Curves_Table,Escalation!$AL$291)</f>
        <v>1.5410299309586164</v>
      </c>
      <c r="E191" s="333">
        <f t="shared" ca="1" si="17"/>
        <v>1.8646462164599258</v>
      </c>
      <c r="F191" s="331">
        <f ca="1">IF($A191&gt;Endyr,0,VLOOKUP($A191,Tariff_Table,Tariff!$M$33))</f>
        <v>0.25</v>
      </c>
      <c r="G191" s="333">
        <f t="shared" ca="1" si="18"/>
        <v>2.114646216459926</v>
      </c>
      <c r="H191" s="334">
        <f ca="1">VLOOKUP($A191,Plant_Table,'Plant Operations'!$T$270)</f>
        <v>1957842.432</v>
      </c>
      <c r="I191" s="335">
        <f t="shared" ca="1" si="19"/>
        <v>4140.1440912534999</v>
      </c>
      <c r="J191" s="698" t="str">
        <f t="shared" ca="1" si="20"/>
        <v xml:space="preserve"> </v>
      </c>
      <c r="L191" s="699">
        <f ca="1">IF($A191&lt;Startops2,0,VLOOKUP($A191,Tariff_Table,Tariff!$N$33))</f>
        <v>0</v>
      </c>
      <c r="M191" s="334">
        <f t="shared" ca="1" si="21"/>
        <v>1957842.432</v>
      </c>
      <c r="N191" s="1113">
        <f t="shared" ca="1" si="22"/>
        <v>0</v>
      </c>
      <c r="O191" s="1113">
        <f ca="1">IF($A191&gt;Endyr,0,VLOOKUP($A191,Tariff_Table,Tariff!$O$33))</f>
        <v>3260.6798399999998</v>
      </c>
      <c r="P191" s="113">
        <f ca="1">VLOOKUP($A191,Curves_Table,Escalation!$AP$291)</f>
        <v>1.5973303982415077</v>
      </c>
      <c r="Q191" s="328">
        <f t="shared" ca="1" si="23"/>
        <v>5208.3830273652557</v>
      </c>
      <c r="R191" s="692" t="str">
        <f t="shared" ca="1" si="16"/>
        <v xml:space="preserve"> </v>
      </c>
    </row>
    <row r="192" spans="1:18">
      <c r="A192" s="672">
        <f>'Annex 12-Gas'!A192</f>
        <v>42430</v>
      </c>
      <c r="C192" s="697">
        <f ca="1">IF($A192&gt;Endyr,0,VLOOKUP($A192,Tariff_Table,Tariff!$L$33))</f>
        <v>1.21</v>
      </c>
      <c r="D192" s="113">
        <f ca="1">VLOOKUP($A192,Curves_Table,Escalation!$AL$291)</f>
        <v>1.5410299309586164</v>
      </c>
      <c r="E192" s="333">
        <f t="shared" ca="1" si="17"/>
        <v>1.8646462164599258</v>
      </c>
      <c r="F192" s="331">
        <f ca="1">IF($A192&gt;Endyr,0,VLOOKUP($A192,Tariff_Table,Tariff!$M$33))</f>
        <v>0.25</v>
      </c>
      <c r="G192" s="333">
        <f t="shared" ca="1" si="18"/>
        <v>2.114646216459926</v>
      </c>
      <c r="H192" s="334">
        <f ca="1">VLOOKUP($A192,Plant_Table,'Plant Operations'!$T$270)</f>
        <v>2092866.048</v>
      </c>
      <c r="I192" s="335">
        <f t="shared" ca="1" si="19"/>
        <v>4425.6712699606378</v>
      </c>
      <c r="J192" s="698" t="str">
        <f t="shared" ca="1" si="20"/>
        <v xml:space="preserve"> </v>
      </c>
      <c r="L192" s="699">
        <f ca="1">IF($A192&lt;Startops2,0,VLOOKUP($A192,Tariff_Table,Tariff!$N$33))</f>
        <v>0</v>
      </c>
      <c r="M192" s="334">
        <f t="shared" ca="1" si="21"/>
        <v>2092866.048</v>
      </c>
      <c r="N192" s="1113">
        <f t="shared" ca="1" si="22"/>
        <v>0</v>
      </c>
      <c r="O192" s="1113">
        <f ca="1">IF($A192&gt;Endyr,0,VLOOKUP($A192,Tariff_Table,Tariff!$O$33))</f>
        <v>3260.6798399999998</v>
      </c>
      <c r="P192" s="113">
        <f ca="1">VLOOKUP($A192,Curves_Table,Escalation!$AP$291)</f>
        <v>1.5973303982415077</v>
      </c>
      <c r="Q192" s="328">
        <f t="shared" ca="1" si="23"/>
        <v>5208.3830273652557</v>
      </c>
      <c r="R192" s="692" t="str">
        <f t="shared" ca="1" si="16"/>
        <v xml:space="preserve"> </v>
      </c>
    </row>
    <row r="193" spans="1:18">
      <c r="A193" s="672">
        <f>'Annex 12-Gas'!A193</f>
        <v>42461</v>
      </c>
      <c r="C193" s="697">
        <f ca="1">IF($A193&gt;Endyr,0,VLOOKUP($A193,Tariff_Table,Tariff!$L$33))</f>
        <v>1.21</v>
      </c>
      <c r="D193" s="113">
        <f ca="1">VLOOKUP($A193,Curves_Table,Escalation!$AL$291)</f>
        <v>1.5410299309586164</v>
      </c>
      <c r="E193" s="333">
        <f t="shared" ca="1" si="17"/>
        <v>1.8646462164599258</v>
      </c>
      <c r="F193" s="331">
        <f ca="1">IF($A193&gt;Endyr,0,VLOOKUP($A193,Tariff_Table,Tariff!$M$33))</f>
        <v>0.25</v>
      </c>
      <c r="G193" s="333">
        <f t="shared" ca="1" si="18"/>
        <v>2.114646216459926</v>
      </c>
      <c r="H193" s="334">
        <f ca="1">VLOOKUP($A193,Plant_Table,'Plant Operations'!$T$270)</f>
        <v>2025354.24</v>
      </c>
      <c r="I193" s="335">
        <f t="shared" ca="1" si="19"/>
        <v>4282.9076806070689</v>
      </c>
      <c r="J193" s="698" t="str">
        <f t="shared" ca="1" si="20"/>
        <v xml:space="preserve"> </v>
      </c>
      <c r="L193" s="699">
        <f ca="1">IF($A193&lt;Startops2,0,VLOOKUP($A193,Tariff_Table,Tariff!$N$33))</f>
        <v>0</v>
      </c>
      <c r="M193" s="334">
        <f t="shared" ca="1" si="21"/>
        <v>2025354.24</v>
      </c>
      <c r="N193" s="1113">
        <f t="shared" ca="1" si="22"/>
        <v>0</v>
      </c>
      <c r="O193" s="1113">
        <f ca="1">IF($A193&gt;Endyr,0,VLOOKUP($A193,Tariff_Table,Tariff!$O$33))</f>
        <v>3260.6798399999998</v>
      </c>
      <c r="P193" s="113">
        <f ca="1">VLOOKUP($A193,Curves_Table,Escalation!$AP$291)</f>
        <v>1.5973303982415077</v>
      </c>
      <c r="Q193" s="328">
        <f t="shared" ca="1" si="23"/>
        <v>5208.3830273652557</v>
      </c>
      <c r="R193" s="692" t="str">
        <f t="shared" ca="1" si="16"/>
        <v xml:space="preserve"> </v>
      </c>
    </row>
    <row r="194" spans="1:18">
      <c r="A194" s="672">
        <f>'Annex 12-Gas'!A194</f>
        <v>42491</v>
      </c>
      <c r="C194" s="697">
        <f ca="1">IF($A194&gt;Endyr,0,VLOOKUP($A194,Tariff_Table,Tariff!$L$33))</f>
        <v>1.21</v>
      </c>
      <c r="D194" s="113">
        <f ca="1">VLOOKUP($A194,Curves_Table,Escalation!$AL$291)</f>
        <v>1.5773622741148436</v>
      </c>
      <c r="E194" s="333">
        <f t="shared" ca="1" si="17"/>
        <v>1.9086083516789607</v>
      </c>
      <c r="F194" s="331">
        <f ca="1">IF($A194&gt;Endyr,0,VLOOKUP($A194,Tariff_Table,Tariff!$M$33))</f>
        <v>0.25</v>
      </c>
      <c r="G194" s="333">
        <f t="shared" ca="1" si="18"/>
        <v>2.1586083516789607</v>
      </c>
      <c r="H194" s="334">
        <f ca="1">VLOOKUP($A194,Plant_Table,'Plant Operations'!$T$270)</f>
        <v>2092866.048</v>
      </c>
      <c r="I194" s="335">
        <f t="shared" ca="1" si="19"/>
        <v>4517.6781301581404</v>
      </c>
      <c r="J194" s="698" t="str">
        <f t="shared" ca="1" si="20"/>
        <v xml:space="preserve"> </v>
      </c>
      <c r="L194" s="699">
        <f ca="1">IF($A194&lt;Startops2,0,VLOOKUP($A194,Tariff_Table,Tariff!$N$33))</f>
        <v>0</v>
      </c>
      <c r="M194" s="334">
        <f t="shared" ca="1" si="21"/>
        <v>2092866.048</v>
      </c>
      <c r="N194" s="1113">
        <f t="shared" ca="1" si="22"/>
        <v>0</v>
      </c>
      <c r="O194" s="1113">
        <f ca="1">IF($A194&gt;Endyr,0,VLOOKUP($A194,Tariff_Table,Tariff!$O$33))</f>
        <v>3262.08635</v>
      </c>
      <c r="P194" s="113">
        <f ca="1">VLOOKUP($A194,Curves_Table,Escalation!$AP$291)</f>
        <v>1.6389834445299432</v>
      </c>
      <c r="Q194" s="328">
        <f t="shared" ca="1" si="23"/>
        <v>5346.5055222771098</v>
      </c>
      <c r="R194" s="692" t="str">
        <f t="shared" ca="1" si="16"/>
        <v xml:space="preserve"> </v>
      </c>
    </row>
    <row r="195" spans="1:18">
      <c r="A195" s="672">
        <f>'Annex 12-Gas'!A195</f>
        <v>42522</v>
      </c>
      <c r="C195" s="697">
        <f ca="1">IF($A195&gt;Endyr,0,VLOOKUP($A195,Tariff_Table,Tariff!$L$33))</f>
        <v>1.21</v>
      </c>
      <c r="D195" s="113">
        <f ca="1">VLOOKUP($A195,Curves_Table,Escalation!$AL$291)</f>
        <v>1.5773622741148436</v>
      </c>
      <c r="E195" s="333">
        <f t="shared" ca="1" si="17"/>
        <v>1.9086083516789607</v>
      </c>
      <c r="F195" s="331">
        <f ca="1">IF($A195&gt;Endyr,0,VLOOKUP($A195,Tariff_Table,Tariff!$M$33))</f>
        <v>0.25</v>
      </c>
      <c r="G195" s="333">
        <f t="shared" ca="1" si="18"/>
        <v>2.1586083516789607</v>
      </c>
      <c r="H195" s="334">
        <f ca="1">VLOOKUP($A195,Plant_Table,'Plant Operations'!$T$270)</f>
        <v>2025354.24</v>
      </c>
      <c r="I195" s="335">
        <f t="shared" ca="1" si="19"/>
        <v>4371.9465775723938</v>
      </c>
      <c r="J195" s="698" t="str">
        <f t="shared" ca="1" si="20"/>
        <v xml:space="preserve"> </v>
      </c>
      <c r="L195" s="699">
        <f ca="1">IF($A195&lt;Startops2,0,VLOOKUP($A195,Tariff_Table,Tariff!$N$33))</f>
        <v>0</v>
      </c>
      <c r="M195" s="334">
        <f t="shared" ca="1" si="21"/>
        <v>2025354.24</v>
      </c>
      <c r="N195" s="1113">
        <f t="shared" ca="1" si="22"/>
        <v>0</v>
      </c>
      <c r="O195" s="1113">
        <f ca="1">IF($A195&gt;Endyr,0,VLOOKUP($A195,Tariff_Table,Tariff!$O$33))</f>
        <v>3262.08635</v>
      </c>
      <c r="P195" s="113">
        <f ca="1">VLOOKUP($A195,Curves_Table,Escalation!$AP$291)</f>
        <v>1.6389834445299432</v>
      </c>
      <c r="Q195" s="328">
        <f t="shared" ca="1" si="23"/>
        <v>5346.5055222771098</v>
      </c>
      <c r="R195" s="692" t="str">
        <f t="shared" ca="1" si="16"/>
        <v xml:space="preserve"> </v>
      </c>
    </row>
    <row r="196" spans="1:18">
      <c r="A196" s="672">
        <f>'Annex 12-Gas'!A196</f>
        <v>42552</v>
      </c>
      <c r="C196" s="697">
        <f ca="1">IF($A196&gt;Endyr,0,VLOOKUP($A196,Tariff_Table,Tariff!$L$33))</f>
        <v>1.21</v>
      </c>
      <c r="D196" s="113">
        <f ca="1">VLOOKUP($A196,Curves_Table,Escalation!$AL$291)</f>
        <v>1.5773622741148436</v>
      </c>
      <c r="E196" s="333">
        <f t="shared" ca="1" si="17"/>
        <v>1.9086083516789607</v>
      </c>
      <c r="F196" s="331">
        <f ca="1">IF($A196&gt;Endyr,0,VLOOKUP($A196,Tariff_Table,Tariff!$M$33))</f>
        <v>0.25</v>
      </c>
      <c r="G196" s="333">
        <f t="shared" ca="1" si="18"/>
        <v>2.1586083516789607</v>
      </c>
      <c r="H196" s="334">
        <f ca="1">VLOOKUP($A196,Plant_Table,'Plant Operations'!$T$270)</f>
        <v>2092866.048</v>
      </c>
      <c r="I196" s="335">
        <f t="shared" ca="1" si="19"/>
        <v>4517.6781301581404</v>
      </c>
      <c r="J196" s="698" t="str">
        <f t="shared" ca="1" si="20"/>
        <v xml:space="preserve"> </v>
      </c>
      <c r="L196" s="699">
        <f ca="1">IF($A196&lt;Startops2,0,VLOOKUP($A196,Tariff_Table,Tariff!$N$33))</f>
        <v>0</v>
      </c>
      <c r="M196" s="334">
        <f t="shared" ca="1" si="21"/>
        <v>2092866.048</v>
      </c>
      <c r="N196" s="1113">
        <f t="shared" ca="1" si="22"/>
        <v>0</v>
      </c>
      <c r="O196" s="1113">
        <f ca="1">IF($A196&gt;Endyr,0,VLOOKUP($A196,Tariff_Table,Tariff!$O$33))</f>
        <v>3262.08635</v>
      </c>
      <c r="P196" s="113">
        <f ca="1">VLOOKUP($A196,Curves_Table,Escalation!$AP$291)</f>
        <v>1.6389834445299432</v>
      </c>
      <c r="Q196" s="328">
        <f t="shared" ca="1" si="23"/>
        <v>5346.5055222771098</v>
      </c>
      <c r="R196" s="692" t="str">
        <f t="shared" ca="1" si="16"/>
        <v xml:space="preserve"> </v>
      </c>
    </row>
    <row r="197" spans="1:18">
      <c r="A197" s="672">
        <f>'Annex 12-Gas'!A197</f>
        <v>42583</v>
      </c>
      <c r="C197" s="697">
        <f ca="1">IF($A197&gt;Endyr,0,VLOOKUP($A197,Tariff_Table,Tariff!$L$33))</f>
        <v>1.21</v>
      </c>
      <c r="D197" s="113">
        <f ca="1">VLOOKUP($A197,Curves_Table,Escalation!$AL$291)</f>
        <v>1.5773622741148436</v>
      </c>
      <c r="E197" s="333">
        <f t="shared" ca="1" si="17"/>
        <v>1.9086083516789607</v>
      </c>
      <c r="F197" s="331">
        <f ca="1">IF($A197&gt;Endyr,0,VLOOKUP($A197,Tariff_Table,Tariff!$M$33))</f>
        <v>0.25</v>
      </c>
      <c r="G197" s="333">
        <f t="shared" ca="1" si="18"/>
        <v>2.1586083516789607</v>
      </c>
      <c r="H197" s="334">
        <f ca="1">VLOOKUP($A197,Plant_Table,'Plant Operations'!$T$270)</f>
        <v>2092866.048</v>
      </c>
      <c r="I197" s="335">
        <f t="shared" ca="1" si="19"/>
        <v>4517.6781301581404</v>
      </c>
      <c r="J197" s="698" t="str">
        <f t="shared" ca="1" si="20"/>
        <v xml:space="preserve"> </v>
      </c>
      <c r="L197" s="699">
        <f ca="1">IF($A197&lt;Startops2,0,VLOOKUP($A197,Tariff_Table,Tariff!$N$33))</f>
        <v>0</v>
      </c>
      <c r="M197" s="334">
        <f t="shared" ca="1" si="21"/>
        <v>2092866.048</v>
      </c>
      <c r="N197" s="1113">
        <f t="shared" ca="1" si="22"/>
        <v>0</v>
      </c>
      <c r="O197" s="1113">
        <f ca="1">IF($A197&gt;Endyr,0,VLOOKUP($A197,Tariff_Table,Tariff!$O$33))</f>
        <v>3262.08635</v>
      </c>
      <c r="P197" s="113">
        <f ca="1">VLOOKUP($A197,Curves_Table,Escalation!$AP$291)</f>
        <v>1.6389834445299432</v>
      </c>
      <c r="Q197" s="328">
        <f t="shared" ca="1" si="23"/>
        <v>5346.5055222771098</v>
      </c>
      <c r="R197" s="692" t="str">
        <f t="shared" ca="1" si="16"/>
        <v xml:space="preserve"> </v>
      </c>
    </row>
    <row r="198" spans="1:18">
      <c r="A198" s="672">
        <f>'Annex 12-Gas'!A198</f>
        <v>42614</v>
      </c>
      <c r="C198" s="697">
        <f ca="1">IF($A198&gt;Endyr,0,VLOOKUP($A198,Tariff_Table,Tariff!$L$33))</f>
        <v>1.21</v>
      </c>
      <c r="D198" s="113">
        <f ca="1">VLOOKUP($A198,Curves_Table,Escalation!$AL$291)</f>
        <v>1.5773622741148436</v>
      </c>
      <c r="E198" s="333">
        <f t="shared" ca="1" si="17"/>
        <v>1.9086083516789607</v>
      </c>
      <c r="F198" s="331">
        <f ca="1">IF($A198&gt;Endyr,0,VLOOKUP($A198,Tariff_Table,Tariff!$M$33))</f>
        <v>0.25</v>
      </c>
      <c r="G198" s="333">
        <f t="shared" ca="1" si="18"/>
        <v>2.1586083516789607</v>
      </c>
      <c r="H198" s="334">
        <f ca="1">VLOOKUP($A198,Plant_Table,'Plant Operations'!$T$270)</f>
        <v>2025354.24</v>
      </c>
      <c r="I198" s="335">
        <f t="shared" ca="1" si="19"/>
        <v>4371.9465775723938</v>
      </c>
      <c r="J198" s="698" t="str">
        <f t="shared" ca="1" si="20"/>
        <v xml:space="preserve"> </v>
      </c>
      <c r="L198" s="699">
        <f ca="1">IF($A198&lt;Startops2,0,VLOOKUP($A198,Tariff_Table,Tariff!$N$33))</f>
        <v>0</v>
      </c>
      <c r="M198" s="334">
        <f t="shared" ca="1" si="21"/>
        <v>2025354.24</v>
      </c>
      <c r="N198" s="1113">
        <f t="shared" ca="1" si="22"/>
        <v>0</v>
      </c>
      <c r="O198" s="1113">
        <f ca="1">IF($A198&gt;Endyr,0,VLOOKUP($A198,Tariff_Table,Tariff!$O$33))</f>
        <v>3262.08635</v>
      </c>
      <c r="P198" s="113">
        <f ca="1">VLOOKUP($A198,Curves_Table,Escalation!$AP$291)</f>
        <v>1.6389834445299432</v>
      </c>
      <c r="Q198" s="328">
        <f t="shared" ca="1" si="23"/>
        <v>5346.5055222771098</v>
      </c>
      <c r="R198" s="692" t="str">
        <f t="shared" ca="1" si="16"/>
        <v xml:space="preserve"> </v>
      </c>
    </row>
    <row r="199" spans="1:18">
      <c r="A199" s="672">
        <f>'Annex 12-Gas'!A199</f>
        <v>42644</v>
      </c>
      <c r="C199" s="697">
        <f ca="1">IF($A199&gt;Endyr,0,VLOOKUP($A199,Tariff_Table,Tariff!$L$33))</f>
        <v>1.21</v>
      </c>
      <c r="D199" s="113">
        <f ca="1">VLOOKUP($A199,Curves_Table,Escalation!$AL$291)</f>
        <v>1.5773622741148436</v>
      </c>
      <c r="E199" s="333">
        <f t="shared" ca="1" si="17"/>
        <v>1.9086083516789607</v>
      </c>
      <c r="F199" s="331">
        <f ca="1">IF($A199&gt;Endyr,0,VLOOKUP($A199,Tariff_Table,Tariff!$M$33))</f>
        <v>0.25</v>
      </c>
      <c r="G199" s="333">
        <f t="shared" ca="1" si="18"/>
        <v>2.1586083516789607</v>
      </c>
      <c r="H199" s="334">
        <f ca="1">VLOOKUP($A199,Plant_Table,'Plant Operations'!$T$270)</f>
        <v>2092866.048</v>
      </c>
      <c r="I199" s="335">
        <f t="shared" ca="1" si="19"/>
        <v>4517.6781301581404</v>
      </c>
      <c r="J199" s="698" t="str">
        <f t="shared" ca="1" si="20"/>
        <v xml:space="preserve"> </v>
      </c>
      <c r="L199" s="699">
        <f ca="1">IF($A199&lt;Startops2,0,VLOOKUP($A199,Tariff_Table,Tariff!$N$33))</f>
        <v>0</v>
      </c>
      <c r="M199" s="334">
        <f t="shared" ca="1" si="21"/>
        <v>2092866.048</v>
      </c>
      <c r="N199" s="1113">
        <f t="shared" ca="1" si="22"/>
        <v>0</v>
      </c>
      <c r="O199" s="1113">
        <f ca="1">IF($A199&gt;Endyr,0,VLOOKUP($A199,Tariff_Table,Tariff!$O$33))</f>
        <v>3262.08635</v>
      </c>
      <c r="P199" s="113">
        <f ca="1">VLOOKUP($A199,Curves_Table,Escalation!$AP$291)</f>
        <v>1.6389834445299432</v>
      </c>
      <c r="Q199" s="328">
        <f t="shared" ca="1" si="23"/>
        <v>5346.5055222771098</v>
      </c>
      <c r="R199" s="692" t="str">
        <f t="shared" ca="1" si="16"/>
        <v xml:space="preserve"> </v>
      </c>
    </row>
    <row r="200" spans="1:18">
      <c r="A200" s="672">
        <f>'Annex 12-Gas'!A200</f>
        <v>42675</v>
      </c>
      <c r="C200" s="697">
        <f ca="1">IF($A200&gt;Endyr,0,VLOOKUP($A200,Tariff_Table,Tariff!$L$33))</f>
        <v>1.21</v>
      </c>
      <c r="D200" s="113">
        <f ca="1">VLOOKUP($A200,Curves_Table,Escalation!$AL$291)</f>
        <v>1.5773622741148436</v>
      </c>
      <c r="E200" s="333">
        <f t="shared" ca="1" si="17"/>
        <v>1.9086083516789607</v>
      </c>
      <c r="F200" s="331">
        <f ca="1">IF($A200&gt;Endyr,0,VLOOKUP($A200,Tariff_Table,Tariff!$M$33))</f>
        <v>0.25</v>
      </c>
      <c r="G200" s="333">
        <f t="shared" ca="1" si="18"/>
        <v>2.1586083516789607</v>
      </c>
      <c r="H200" s="334">
        <f ca="1">VLOOKUP($A200,Plant_Table,'Plant Operations'!$T$270)</f>
        <v>2025354.24</v>
      </c>
      <c r="I200" s="335">
        <f t="shared" ca="1" si="19"/>
        <v>4371.9465775723938</v>
      </c>
      <c r="J200" s="698" t="str">
        <f t="shared" ca="1" si="20"/>
        <v xml:space="preserve"> </v>
      </c>
      <c r="L200" s="699">
        <f ca="1">IF($A200&lt;Startops2,0,VLOOKUP($A200,Tariff_Table,Tariff!$N$33))</f>
        <v>0</v>
      </c>
      <c r="M200" s="334">
        <f t="shared" ca="1" si="21"/>
        <v>2025354.24</v>
      </c>
      <c r="N200" s="1113">
        <f t="shared" ca="1" si="22"/>
        <v>0</v>
      </c>
      <c r="O200" s="1113">
        <f ca="1">IF($A200&gt;Endyr,0,VLOOKUP($A200,Tariff_Table,Tariff!$O$33))</f>
        <v>3262.08635</v>
      </c>
      <c r="P200" s="113">
        <f ca="1">VLOOKUP($A200,Curves_Table,Escalation!$AP$291)</f>
        <v>1.6389834445299432</v>
      </c>
      <c r="Q200" s="328">
        <f t="shared" ca="1" si="23"/>
        <v>5346.5055222771098</v>
      </c>
      <c r="R200" s="692" t="str">
        <f t="shared" ca="1" si="16"/>
        <v xml:space="preserve"> </v>
      </c>
    </row>
    <row r="201" spans="1:18">
      <c r="A201" s="672">
        <f>'Annex 12-Gas'!A201</f>
        <v>42705</v>
      </c>
      <c r="C201" s="697">
        <f ca="1">IF($A201&gt;Endyr,0,VLOOKUP($A201,Tariff_Table,Tariff!$L$33))</f>
        <v>1.21</v>
      </c>
      <c r="D201" s="113">
        <f ca="1">VLOOKUP($A201,Curves_Table,Escalation!$AL$291)</f>
        <v>1.5773622741148436</v>
      </c>
      <c r="E201" s="333">
        <f t="shared" ca="1" si="17"/>
        <v>1.9086083516789607</v>
      </c>
      <c r="F201" s="331">
        <f ca="1">IF($A201&gt;Endyr,0,VLOOKUP($A201,Tariff_Table,Tariff!$M$33))</f>
        <v>0.25</v>
      </c>
      <c r="G201" s="333">
        <f t="shared" ca="1" si="18"/>
        <v>2.1586083516789607</v>
      </c>
      <c r="H201" s="334">
        <f ca="1">VLOOKUP($A201,Plant_Table,'Plant Operations'!$T$270)</f>
        <v>2092866.048</v>
      </c>
      <c r="I201" s="335">
        <f t="shared" ca="1" si="19"/>
        <v>4517.6781301581404</v>
      </c>
      <c r="J201" s="698">
        <f t="shared" ca="1" si="20"/>
        <v>52978.624695289735</v>
      </c>
      <c r="L201" s="699">
        <f ca="1">IF($A201&lt;Startops2,0,VLOOKUP($A201,Tariff_Table,Tariff!$N$33))</f>
        <v>0</v>
      </c>
      <c r="M201" s="334">
        <f t="shared" ca="1" si="21"/>
        <v>2092866.048</v>
      </c>
      <c r="N201" s="1113">
        <f t="shared" ca="1" si="22"/>
        <v>0</v>
      </c>
      <c r="O201" s="1113">
        <f ca="1">IF($A201&gt;Endyr,0,VLOOKUP($A201,Tariff_Table,Tariff!$O$33))</f>
        <v>3262.08635</v>
      </c>
      <c r="P201" s="113">
        <f ca="1">VLOOKUP($A201,Curves_Table,Escalation!$AP$291)</f>
        <v>1.6389834445299432</v>
      </c>
      <c r="Q201" s="328">
        <f t="shared" ca="1" si="23"/>
        <v>5346.5055222771098</v>
      </c>
      <c r="R201" s="692">
        <f t="shared" ca="1" si="16"/>
        <v>63605.576287677912</v>
      </c>
    </row>
    <row r="202" spans="1:18">
      <c r="A202" s="672">
        <f>'Annex 12-Gas'!A202</f>
        <v>42736</v>
      </c>
      <c r="C202" s="697">
        <f ca="1">IF($A202&gt;Endyr,0,VLOOKUP($A202,Tariff_Table,Tariff!$L$33))</f>
        <v>1.21</v>
      </c>
      <c r="D202" s="113">
        <f ca="1">VLOOKUP($A202,Curves_Table,Escalation!$AL$291)</f>
        <v>1.5773622741148436</v>
      </c>
      <c r="E202" s="333">
        <f t="shared" ca="1" si="17"/>
        <v>1.9086083516789607</v>
      </c>
      <c r="F202" s="331">
        <f ca="1">IF($A202&gt;Endyr,0,VLOOKUP($A202,Tariff_Table,Tariff!$M$33))</f>
        <v>0.25</v>
      </c>
      <c r="G202" s="333">
        <f t="shared" ca="1" si="18"/>
        <v>2.1586083516789607</v>
      </c>
      <c r="H202" s="334">
        <f ca="1">VLOOKUP($A202,Plant_Table,'Plant Operations'!$T$270)</f>
        <v>2092866.048</v>
      </c>
      <c r="I202" s="335">
        <f t="shared" ca="1" si="19"/>
        <v>4517.6781301581404</v>
      </c>
      <c r="J202" s="698" t="str">
        <f t="shared" ca="1" si="20"/>
        <v xml:space="preserve"> </v>
      </c>
      <c r="L202" s="699">
        <f ca="1">IF($A202&lt;Startops2,0,VLOOKUP($A202,Tariff_Table,Tariff!$N$33))</f>
        <v>0</v>
      </c>
      <c r="M202" s="334">
        <f t="shared" ca="1" si="21"/>
        <v>2092866.048</v>
      </c>
      <c r="N202" s="1113">
        <f t="shared" ca="1" si="22"/>
        <v>0</v>
      </c>
      <c r="O202" s="1113">
        <f ca="1">IF($A202&gt;Endyr,0,VLOOKUP($A202,Tariff_Table,Tariff!$O$33))</f>
        <v>3262.08635</v>
      </c>
      <c r="P202" s="113">
        <f ca="1">VLOOKUP($A202,Curves_Table,Escalation!$AP$291)</f>
        <v>1.6389834445299432</v>
      </c>
      <c r="Q202" s="328">
        <f t="shared" ca="1" si="23"/>
        <v>5346.5055222771098</v>
      </c>
      <c r="R202" s="692" t="str">
        <f t="shared" ca="1" si="16"/>
        <v xml:space="preserve"> </v>
      </c>
    </row>
    <row r="203" spans="1:18">
      <c r="A203" s="672">
        <f>'Annex 12-Gas'!A203</f>
        <v>42767</v>
      </c>
      <c r="C203" s="697">
        <f ca="1">IF($A203&gt;Endyr,0,VLOOKUP($A203,Tariff_Table,Tariff!$L$33))</f>
        <v>1.21</v>
      </c>
      <c r="D203" s="113">
        <f ca="1">VLOOKUP($A203,Curves_Table,Escalation!$AL$291)</f>
        <v>1.5773622741148436</v>
      </c>
      <c r="E203" s="333">
        <f t="shared" ca="1" si="17"/>
        <v>1.9086083516789607</v>
      </c>
      <c r="F203" s="331">
        <f ca="1">IF($A203&gt;Endyr,0,VLOOKUP($A203,Tariff_Table,Tariff!$M$33))</f>
        <v>0.25</v>
      </c>
      <c r="G203" s="333">
        <f t="shared" ca="1" si="18"/>
        <v>2.1586083516789607</v>
      </c>
      <c r="H203" s="334">
        <f ca="1">VLOOKUP($A203,Plant_Table,'Plant Operations'!$T$270)</f>
        <v>1890330.6240000003</v>
      </c>
      <c r="I203" s="335">
        <f t="shared" ca="1" si="19"/>
        <v>4080.483472400902</v>
      </c>
      <c r="J203" s="698" t="str">
        <f t="shared" ca="1" si="20"/>
        <v xml:space="preserve"> </v>
      </c>
      <c r="L203" s="699">
        <f ca="1">IF($A203&lt;Startops2,0,VLOOKUP($A203,Tariff_Table,Tariff!$N$33))</f>
        <v>0</v>
      </c>
      <c r="M203" s="334">
        <f t="shared" ca="1" si="21"/>
        <v>1890330.6240000003</v>
      </c>
      <c r="N203" s="1113">
        <f t="shared" ca="1" si="22"/>
        <v>0</v>
      </c>
      <c r="O203" s="1113">
        <f ca="1">IF($A203&gt;Endyr,0,VLOOKUP($A203,Tariff_Table,Tariff!$O$33))</f>
        <v>3262.08635</v>
      </c>
      <c r="P203" s="113">
        <f ca="1">VLOOKUP($A203,Curves_Table,Escalation!$AP$291)</f>
        <v>1.6389834445299432</v>
      </c>
      <c r="Q203" s="328">
        <f t="shared" ca="1" si="23"/>
        <v>5346.5055222771098</v>
      </c>
      <c r="R203" s="692" t="str">
        <f t="shared" ca="1" si="16"/>
        <v xml:space="preserve"> </v>
      </c>
    </row>
    <row r="204" spans="1:18">
      <c r="A204" s="672">
        <f>'Annex 12-Gas'!A204</f>
        <v>42795</v>
      </c>
      <c r="C204" s="697">
        <f ca="1">IF($A204&gt;Endyr,0,VLOOKUP($A204,Tariff_Table,Tariff!$L$33))</f>
        <v>1.21</v>
      </c>
      <c r="D204" s="113">
        <f ca="1">VLOOKUP($A204,Curves_Table,Escalation!$AL$291)</f>
        <v>1.5773622741148436</v>
      </c>
      <c r="E204" s="333">
        <f t="shared" ca="1" si="17"/>
        <v>1.9086083516789607</v>
      </c>
      <c r="F204" s="331">
        <f ca="1">IF($A204&gt;Endyr,0,VLOOKUP($A204,Tariff_Table,Tariff!$M$33))</f>
        <v>0.25</v>
      </c>
      <c r="G204" s="333">
        <f t="shared" ca="1" si="18"/>
        <v>2.1586083516789607</v>
      </c>
      <c r="H204" s="334">
        <f ca="1">VLOOKUP($A204,Plant_Table,'Plant Operations'!$T$270)</f>
        <v>2092866.048</v>
      </c>
      <c r="I204" s="335">
        <f t="shared" ca="1" si="19"/>
        <v>4517.6781301581404</v>
      </c>
      <c r="J204" s="698" t="str">
        <f t="shared" ca="1" si="20"/>
        <v xml:space="preserve"> </v>
      </c>
      <c r="L204" s="699">
        <f ca="1">IF($A204&lt;Startops2,0,VLOOKUP($A204,Tariff_Table,Tariff!$N$33))</f>
        <v>0</v>
      </c>
      <c r="M204" s="334">
        <f t="shared" ca="1" si="21"/>
        <v>2092866.048</v>
      </c>
      <c r="N204" s="1113">
        <f t="shared" ca="1" si="22"/>
        <v>0</v>
      </c>
      <c r="O204" s="1113">
        <f ca="1">IF($A204&gt;Endyr,0,VLOOKUP($A204,Tariff_Table,Tariff!$O$33))</f>
        <v>3262.08635</v>
      </c>
      <c r="P204" s="113">
        <f ca="1">VLOOKUP($A204,Curves_Table,Escalation!$AP$291)</f>
        <v>1.6389834445299432</v>
      </c>
      <c r="Q204" s="328">
        <f t="shared" ca="1" si="23"/>
        <v>5346.5055222771098</v>
      </c>
      <c r="R204" s="692" t="str">
        <f t="shared" ref="R204:R266" ca="1" si="24">IF(MONTH($A204)=12,SUM(Q193:Q204)," ")</f>
        <v xml:space="preserve"> </v>
      </c>
    </row>
    <row r="205" spans="1:18">
      <c r="A205" s="672">
        <f>'Annex 12-Gas'!A205</f>
        <v>42826</v>
      </c>
      <c r="C205" s="697">
        <f ca="1">IF($A205&gt;Endyr,0,VLOOKUP($A205,Tariff_Table,Tariff!$L$33))</f>
        <v>1.21</v>
      </c>
      <c r="D205" s="113">
        <f ca="1">VLOOKUP($A205,Curves_Table,Escalation!$AL$291)</f>
        <v>1.5773622741148436</v>
      </c>
      <c r="E205" s="333">
        <f t="shared" ref="E205:E266" ca="1" si="25">C205*D205</f>
        <v>1.9086083516789607</v>
      </c>
      <c r="F205" s="331">
        <f ca="1">IF($A205&gt;Endyr,0,VLOOKUP($A205,Tariff_Table,Tariff!$M$33))</f>
        <v>0.25</v>
      </c>
      <c r="G205" s="333">
        <f t="shared" ref="G205:G266" ca="1" si="26">SUM(E205,F205)</f>
        <v>2.1586083516789607</v>
      </c>
      <c r="H205" s="334">
        <f ca="1">VLOOKUP($A205,Plant_Table,'Plant Operations'!$T$270)</f>
        <v>2025354.24</v>
      </c>
      <c r="I205" s="335">
        <f t="shared" ref="I205:I266" ca="1" si="27">G205*H205/1000</f>
        <v>4371.9465775723938</v>
      </c>
      <c r="J205" s="698" t="str">
        <f t="shared" ref="J205:J266" ca="1" si="28">IF(MONTH($A205)=12,SUM(I194:I205)," ")</f>
        <v xml:space="preserve"> </v>
      </c>
      <c r="L205" s="699">
        <f ca="1">IF($A205&lt;Startops2,0,VLOOKUP($A205,Tariff_Table,Tariff!$N$33))</f>
        <v>0</v>
      </c>
      <c r="M205" s="334">
        <f t="shared" ref="M205:M266" ca="1" si="29">H205</f>
        <v>2025354.24</v>
      </c>
      <c r="N205" s="1113">
        <f t="shared" ref="N205:N266" ca="1" si="30">L205*M205/1000</f>
        <v>0</v>
      </c>
      <c r="O205" s="1113">
        <f ca="1">IF($A205&gt;Endyr,0,VLOOKUP($A205,Tariff_Table,Tariff!$O$33))</f>
        <v>3262.08635</v>
      </c>
      <c r="P205" s="113">
        <f ca="1">VLOOKUP($A205,Curves_Table,Escalation!$AP$291)</f>
        <v>1.6389834445299432</v>
      </c>
      <c r="Q205" s="328">
        <f t="shared" ref="Q205:Q266" ca="1" si="31">SUM(N205,O205)*P205</f>
        <v>5346.5055222771098</v>
      </c>
      <c r="R205" s="692" t="str">
        <f t="shared" ca="1" si="24"/>
        <v xml:space="preserve"> </v>
      </c>
    </row>
    <row r="206" spans="1:18">
      <c r="A206" s="672">
        <f>'Annex 12-Gas'!A206</f>
        <v>42856</v>
      </c>
      <c r="C206" s="697">
        <f ca="1">IF($A206&gt;Endyr,0,VLOOKUP($A206,Tariff_Table,Tariff!$L$33))</f>
        <v>1.21</v>
      </c>
      <c r="D206" s="113">
        <f ca="1">VLOOKUP($A206,Curves_Table,Escalation!$AL$291)</f>
        <v>1.6153442667317042</v>
      </c>
      <c r="E206" s="333">
        <f t="shared" ca="1" si="25"/>
        <v>1.9545665627453619</v>
      </c>
      <c r="F206" s="331">
        <f ca="1">IF($A206&gt;Endyr,0,VLOOKUP($A206,Tariff_Table,Tariff!$M$33))</f>
        <v>0.25</v>
      </c>
      <c r="G206" s="333">
        <f t="shared" ca="1" si="26"/>
        <v>2.2045665627453621</v>
      </c>
      <c r="H206" s="334">
        <f ca="1">VLOOKUP($A206,Plant_Table,'Plant Operations'!$T$270)</f>
        <v>2092866.048</v>
      </c>
      <c r="I206" s="335">
        <f t="shared" ca="1" si="27"/>
        <v>4613.86250972583</v>
      </c>
      <c r="J206" s="698" t="str">
        <f t="shared" ca="1" si="28"/>
        <v xml:space="preserve"> </v>
      </c>
      <c r="L206" s="699">
        <f ca="1">IF($A206&lt;Startops2,0,VLOOKUP($A206,Tariff_Table,Tariff!$N$33))</f>
        <v>0</v>
      </c>
      <c r="M206" s="334">
        <f t="shared" ca="1" si="29"/>
        <v>2092866.048</v>
      </c>
      <c r="N206" s="1113">
        <f t="shared" ca="1" si="30"/>
        <v>0</v>
      </c>
      <c r="O206" s="1113">
        <f ca="1">IF($A206&gt;Endyr,0,VLOOKUP($A206,Tariff_Table,Tariff!$O$33))</f>
        <v>3255.8715299999999</v>
      </c>
      <c r="P206" s="113">
        <f ca="1">VLOOKUP($A206,Curves_Table,Escalation!$AP$291)</f>
        <v>1.6825466987361488</v>
      </c>
      <c r="Q206" s="328">
        <f t="shared" ca="1" si="31"/>
        <v>5478.1558943105138</v>
      </c>
      <c r="R206" s="692" t="str">
        <f t="shared" ca="1" si="24"/>
        <v xml:space="preserve"> </v>
      </c>
    </row>
    <row r="207" spans="1:18">
      <c r="A207" s="672">
        <f>'Annex 12-Gas'!A207</f>
        <v>42887</v>
      </c>
      <c r="C207" s="697">
        <f ca="1">IF($A207&gt;Endyr,0,VLOOKUP($A207,Tariff_Table,Tariff!$L$33))</f>
        <v>1.21</v>
      </c>
      <c r="D207" s="113">
        <f ca="1">VLOOKUP($A207,Curves_Table,Escalation!$AL$291)</f>
        <v>1.6153442667317042</v>
      </c>
      <c r="E207" s="333">
        <f t="shared" ca="1" si="25"/>
        <v>1.9545665627453619</v>
      </c>
      <c r="F207" s="331">
        <f ca="1">IF($A207&gt;Endyr,0,VLOOKUP($A207,Tariff_Table,Tariff!$M$33))</f>
        <v>0.25</v>
      </c>
      <c r="G207" s="333">
        <f t="shared" ca="1" si="26"/>
        <v>2.2045665627453621</v>
      </c>
      <c r="H207" s="334">
        <f ca="1">VLOOKUP($A207,Plant_Table,'Plant Operations'!$T$270)</f>
        <v>2025354.24</v>
      </c>
      <c r="I207" s="335">
        <f t="shared" ca="1" si="27"/>
        <v>4465.028235218545</v>
      </c>
      <c r="J207" s="698" t="str">
        <f t="shared" ca="1" si="28"/>
        <v xml:space="preserve"> </v>
      </c>
      <c r="L207" s="699">
        <f ca="1">IF($A207&lt;Startops2,0,VLOOKUP($A207,Tariff_Table,Tariff!$N$33))</f>
        <v>0</v>
      </c>
      <c r="M207" s="334">
        <f t="shared" ca="1" si="29"/>
        <v>2025354.24</v>
      </c>
      <c r="N207" s="1113">
        <f t="shared" ca="1" si="30"/>
        <v>0</v>
      </c>
      <c r="O207" s="1113">
        <f ca="1">IF($A207&gt;Endyr,0,VLOOKUP($A207,Tariff_Table,Tariff!$O$33))</f>
        <v>3255.8715299999999</v>
      </c>
      <c r="P207" s="113">
        <f ca="1">VLOOKUP($A207,Curves_Table,Escalation!$AP$291)</f>
        <v>1.6825466987361488</v>
      </c>
      <c r="Q207" s="328">
        <f t="shared" ca="1" si="31"/>
        <v>5478.1558943105138</v>
      </c>
      <c r="R207" s="692" t="str">
        <f t="shared" ca="1" si="24"/>
        <v xml:space="preserve"> </v>
      </c>
    </row>
    <row r="208" spans="1:18">
      <c r="A208" s="672">
        <f>'Annex 12-Gas'!A208</f>
        <v>42917</v>
      </c>
      <c r="C208" s="697">
        <f ca="1">IF($A208&gt;Endyr,0,VLOOKUP($A208,Tariff_Table,Tariff!$L$33))</f>
        <v>1.21</v>
      </c>
      <c r="D208" s="113">
        <f ca="1">VLOOKUP($A208,Curves_Table,Escalation!$AL$291)</f>
        <v>1.6153442667317042</v>
      </c>
      <c r="E208" s="333">
        <f t="shared" ca="1" si="25"/>
        <v>1.9545665627453619</v>
      </c>
      <c r="F208" s="331">
        <f ca="1">IF($A208&gt;Endyr,0,VLOOKUP($A208,Tariff_Table,Tariff!$M$33))</f>
        <v>0.25</v>
      </c>
      <c r="G208" s="333">
        <f t="shared" ca="1" si="26"/>
        <v>2.2045665627453621</v>
      </c>
      <c r="H208" s="334">
        <f ca="1">VLOOKUP($A208,Plant_Table,'Plant Operations'!$T$270)</f>
        <v>2092866.048</v>
      </c>
      <c r="I208" s="335">
        <f t="shared" ca="1" si="27"/>
        <v>4613.86250972583</v>
      </c>
      <c r="J208" s="698" t="str">
        <f t="shared" ca="1" si="28"/>
        <v xml:space="preserve"> </v>
      </c>
      <c r="L208" s="699">
        <f ca="1">IF($A208&lt;Startops2,0,VLOOKUP($A208,Tariff_Table,Tariff!$N$33))</f>
        <v>0</v>
      </c>
      <c r="M208" s="334">
        <f t="shared" ca="1" si="29"/>
        <v>2092866.048</v>
      </c>
      <c r="N208" s="1113">
        <f t="shared" ca="1" si="30"/>
        <v>0</v>
      </c>
      <c r="O208" s="1113">
        <f ca="1">IF($A208&gt;Endyr,0,VLOOKUP($A208,Tariff_Table,Tariff!$O$33))</f>
        <v>3255.8715299999999</v>
      </c>
      <c r="P208" s="113">
        <f ca="1">VLOOKUP($A208,Curves_Table,Escalation!$AP$291)</f>
        <v>1.6825466987361488</v>
      </c>
      <c r="Q208" s="328">
        <f t="shared" ca="1" si="31"/>
        <v>5478.1558943105138</v>
      </c>
      <c r="R208" s="692" t="str">
        <f t="shared" ca="1" si="24"/>
        <v xml:space="preserve"> </v>
      </c>
    </row>
    <row r="209" spans="1:18">
      <c r="A209" s="672">
        <f>'Annex 12-Gas'!A209</f>
        <v>42948</v>
      </c>
      <c r="C209" s="697">
        <f ca="1">IF($A209&gt;Endyr,0,VLOOKUP($A209,Tariff_Table,Tariff!$L$33))</f>
        <v>1.21</v>
      </c>
      <c r="D209" s="113">
        <f ca="1">VLOOKUP($A209,Curves_Table,Escalation!$AL$291)</f>
        <v>1.6153442667317042</v>
      </c>
      <c r="E209" s="333">
        <f t="shared" ca="1" si="25"/>
        <v>1.9545665627453619</v>
      </c>
      <c r="F209" s="331">
        <f ca="1">IF($A209&gt;Endyr,0,VLOOKUP($A209,Tariff_Table,Tariff!$M$33))</f>
        <v>0.25</v>
      </c>
      <c r="G209" s="333">
        <f t="shared" ca="1" si="26"/>
        <v>2.2045665627453621</v>
      </c>
      <c r="H209" s="334">
        <f ca="1">VLOOKUP($A209,Plant_Table,'Plant Operations'!$T$270)</f>
        <v>2092866.048</v>
      </c>
      <c r="I209" s="335">
        <f t="shared" ca="1" si="27"/>
        <v>4613.86250972583</v>
      </c>
      <c r="J209" s="698" t="str">
        <f t="shared" ca="1" si="28"/>
        <v xml:space="preserve"> </v>
      </c>
      <c r="L209" s="699">
        <f ca="1">IF($A209&lt;Startops2,0,VLOOKUP($A209,Tariff_Table,Tariff!$N$33))</f>
        <v>0</v>
      </c>
      <c r="M209" s="334">
        <f t="shared" ca="1" si="29"/>
        <v>2092866.048</v>
      </c>
      <c r="N209" s="1113">
        <f t="shared" ca="1" si="30"/>
        <v>0</v>
      </c>
      <c r="O209" s="1113">
        <f ca="1">IF($A209&gt;Endyr,0,VLOOKUP($A209,Tariff_Table,Tariff!$O$33))</f>
        <v>3255.8715299999999</v>
      </c>
      <c r="P209" s="113">
        <f ca="1">VLOOKUP($A209,Curves_Table,Escalation!$AP$291)</f>
        <v>1.6825466987361488</v>
      </c>
      <c r="Q209" s="328">
        <f t="shared" ca="1" si="31"/>
        <v>5478.1558943105138</v>
      </c>
      <c r="R209" s="692" t="str">
        <f t="shared" ca="1" si="24"/>
        <v xml:space="preserve"> </v>
      </c>
    </row>
    <row r="210" spans="1:18">
      <c r="A210" s="672">
        <f>'Annex 12-Gas'!A210</f>
        <v>42979</v>
      </c>
      <c r="C210" s="697">
        <f ca="1">IF($A210&gt;Endyr,0,VLOOKUP($A210,Tariff_Table,Tariff!$L$33))</f>
        <v>1.21</v>
      </c>
      <c r="D210" s="113">
        <f ca="1">VLOOKUP($A210,Curves_Table,Escalation!$AL$291)</f>
        <v>1.6153442667317042</v>
      </c>
      <c r="E210" s="333">
        <f t="shared" ca="1" si="25"/>
        <v>1.9545665627453619</v>
      </c>
      <c r="F210" s="331">
        <f ca="1">IF($A210&gt;Endyr,0,VLOOKUP($A210,Tariff_Table,Tariff!$M$33))</f>
        <v>0.25</v>
      </c>
      <c r="G210" s="333">
        <f t="shared" ca="1" si="26"/>
        <v>2.2045665627453621</v>
      </c>
      <c r="H210" s="334">
        <f ca="1">VLOOKUP($A210,Plant_Table,'Plant Operations'!$T$270)</f>
        <v>2025354.24</v>
      </c>
      <c r="I210" s="335">
        <f t="shared" ca="1" si="27"/>
        <v>4465.028235218545</v>
      </c>
      <c r="J210" s="698" t="str">
        <f t="shared" ca="1" si="28"/>
        <v xml:space="preserve"> </v>
      </c>
      <c r="L210" s="699">
        <f ca="1">IF($A210&lt;Startops2,0,VLOOKUP($A210,Tariff_Table,Tariff!$N$33))</f>
        <v>0</v>
      </c>
      <c r="M210" s="334">
        <f t="shared" ca="1" si="29"/>
        <v>2025354.24</v>
      </c>
      <c r="N210" s="1113">
        <f t="shared" ca="1" si="30"/>
        <v>0</v>
      </c>
      <c r="O210" s="1113">
        <f ca="1">IF($A210&gt;Endyr,0,VLOOKUP($A210,Tariff_Table,Tariff!$O$33))</f>
        <v>3255.8715299999999</v>
      </c>
      <c r="P210" s="113">
        <f ca="1">VLOOKUP($A210,Curves_Table,Escalation!$AP$291)</f>
        <v>1.6825466987361488</v>
      </c>
      <c r="Q210" s="328">
        <f t="shared" ca="1" si="31"/>
        <v>5478.1558943105138</v>
      </c>
      <c r="R210" s="692" t="str">
        <f t="shared" ca="1" si="24"/>
        <v xml:space="preserve"> </v>
      </c>
    </row>
    <row r="211" spans="1:18">
      <c r="A211" s="672">
        <f>'Annex 12-Gas'!A211</f>
        <v>43009</v>
      </c>
      <c r="C211" s="697">
        <f ca="1">IF($A211&gt;Endyr,0,VLOOKUP($A211,Tariff_Table,Tariff!$L$33))</f>
        <v>1.21</v>
      </c>
      <c r="D211" s="113">
        <f ca="1">VLOOKUP($A211,Curves_Table,Escalation!$AL$291)</f>
        <v>1.6153442667317042</v>
      </c>
      <c r="E211" s="333">
        <f t="shared" ca="1" si="25"/>
        <v>1.9545665627453619</v>
      </c>
      <c r="F211" s="331">
        <f ca="1">IF($A211&gt;Endyr,0,VLOOKUP($A211,Tariff_Table,Tariff!$M$33))</f>
        <v>0.25</v>
      </c>
      <c r="G211" s="333">
        <f t="shared" ca="1" si="26"/>
        <v>2.2045665627453621</v>
      </c>
      <c r="H211" s="334">
        <f ca="1">VLOOKUP($A211,Plant_Table,'Plant Operations'!$T$270)</f>
        <v>2092866.048</v>
      </c>
      <c r="I211" s="335">
        <f t="shared" ca="1" si="27"/>
        <v>4613.86250972583</v>
      </c>
      <c r="J211" s="698" t="str">
        <f t="shared" ca="1" si="28"/>
        <v xml:space="preserve"> </v>
      </c>
      <c r="L211" s="699">
        <f ca="1">IF($A211&lt;Startops2,0,VLOOKUP($A211,Tariff_Table,Tariff!$N$33))</f>
        <v>0</v>
      </c>
      <c r="M211" s="334">
        <f t="shared" ca="1" si="29"/>
        <v>2092866.048</v>
      </c>
      <c r="N211" s="1113">
        <f t="shared" ca="1" si="30"/>
        <v>0</v>
      </c>
      <c r="O211" s="1113">
        <f ca="1">IF($A211&gt;Endyr,0,VLOOKUP($A211,Tariff_Table,Tariff!$O$33))</f>
        <v>3255.8715299999999</v>
      </c>
      <c r="P211" s="113">
        <f ca="1">VLOOKUP($A211,Curves_Table,Escalation!$AP$291)</f>
        <v>1.6825466987361488</v>
      </c>
      <c r="Q211" s="328">
        <f t="shared" ca="1" si="31"/>
        <v>5478.1558943105138</v>
      </c>
      <c r="R211" s="692" t="str">
        <f t="shared" ca="1" si="24"/>
        <v xml:space="preserve"> </v>
      </c>
    </row>
    <row r="212" spans="1:18">
      <c r="A212" s="672">
        <f>'Annex 12-Gas'!A212</f>
        <v>43040</v>
      </c>
      <c r="C212" s="697">
        <f ca="1">IF($A212&gt;Endyr,0,VLOOKUP($A212,Tariff_Table,Tariff!$L$33))</f>
        <v>1.21</v>
      </c>
      <c r="D212" s="113">
        <f ca="1">VLOOKUP($A212,Curves_Table,Escalation!$AL$291)</f>
        <v>1.6153442667317042</v>
      </c>
      <c r="E212" s="333">
        <f t="shared" ca="1" si="25"/>
        <v>1.9545665627453619</v>
      </c>
      <c r="F212" s="331">
        <f ca="1">IF($A212&gt;Endyr,0,VLOOKUP($A212,Tariff_Table,Tariff!$M$33))</f>
        <v>0.25</v>
      </c>
      <c r="G212" s="333">
        <f t="shared" ca="1" si="26"/>
        <v>2.2045665627453621</v>
      </c>
      <c r="H212" s="334">
        <f ca="1">VLOOKUP($A212,Plant_Table,'Plant Operations'!$T$270)</f>
        <v>2025354.24</v>
      </c>
      <c r="I212" s="335">
        <f t="shared" ca="1" si="27"/>
        <v>4465.028235218545</v>
      </c>
      <c r="J212" s="698" t="str">
        <f t="shared" ca="1" si="28"/>
        <v xml:space="preserve"> </v>
      </c>
      <c r="L212" s="699">
        <f ca="1">IF($A212&lt;Startops2,0,VLOOKUP($A212,Tariff_Table,Tariff!$N$33))</f>
        <v>0</v>
      </c>
      <c r="M212" s="334">
        <f t="shared" ca="1" si="29"/>
        <v>2025354.24</v>
      </c>
      <c r="N212" s="1113">
        <f t="shared" ca="1" si="30"/>
        <v>0</v>
      </c>
      <c r="O212" s="1113">
        <f ca="1">IF($A212&gt;Endyr,0,VLOOKUP($A212,Tariff_Table,Tariff!$O$33))</f>
        <v>3255.8715299999999</v>
      </c>
      <c r="P212" s="113">
        <f ca="1">VLOOKUP($A212,Curves_Table,Escalation!$AP$291)</f>
        <v>1.6825466987361488</v>
      </c>
      <c r="Q212" s="328">
        <f t="shared" ca="1" si="31"/>
        <v>5478.1558943105138</v>
      </c>
      <c r="R212" s="692" t="str">
        <f t="shared" ca="1" si="24"/>
        <v xml:space="preserve"> </v>
      </c>
    </row>
    <row r="213" spans="1:18">
      <c r="A213" s="672">
        <f>'Annex 12-Gas'!A213</f>
        <v>43070</v>
      </c>
      <c r="C213" s="697">
        <f ca="1">IF($A213&gt;Endyr,0,VLOOKUP($A213,Tariff_Table,Tariff!$L$33))</f>
        <v>1.21</v>
      </c>
      <c r="D213" s="113">
        <f ca="1">VLOOKUP($A213,Curves_Table,Escalation!$AL$291)</f>
        <v>1.6153442667317042</v>
      </c>
      <c r="E213" s="333">
        <f t="shared" ca="1" si="25"/>
        <v>1.9545665627453619</v>
      </c>
      <c r="F213" s="331">
        <f ca="1">IF($A213&gt;Endyr,0,VLOOKUP($A213,Tariff_Table,Tariff!$M$33))</f>
        <v>0.25</v>
      </c>
      <c r="G213" s="333">
        <f t="shared" ca="1" si="26"/>
        <v>2.2045665627453621</v>
      </c>
      <c r="H213" s="334">
        <f ca="1">VLOOKUP($A213,Plant_Table,'Plant Operations'!$T$270)</f>
        <v>2092866.048</v>
      </c>
      <c r="I213" s="335">
        <f t="shared" ca="1" si="27"/>
        <v>4613.86250972583</v>
      </c>
      <c r="J213" s="698">
        <f t="shared" ca="1" si="28"/>
        <v>53952.18356457437</v>
      </c>
      <c r="L213" s="699">
        <f ca="1">IF($A213&lt;Startops2,0,VLOOKUP($A213,Tariff_Table,Tariff!$N$33))</f>
        <v>0</v>
      </c>
      <c r="M213" s="334">
        <f t="shared" ca="1" si="29"/>
        <v>2092866.048</v>
      </c>
      <c r="N213" s="1113">
        <f t="shared" ca="1" si="30"/>
        <v>0</v>
      </c>
      <c r="O213" s="1113">
        <f ca="1">IF($A213&gt;Endyr,0,VLOOKUP($A213,Tariff_Table,Tariff!$O$33))</f>
        <v>3255.8715299999999</v>
      </c>
      <c r="P213" s="113">
        <f ca="1">VLOOKUP($A213,Curves_Table,Escalation!$AP$291)</f>
        <v>1.6825466987361488</v>
      </c>
      <c r="Q213" s="328">
        <f t="shared" ca="1" si="31"/>
        <v>5478.1558943105138</v>
      </c>
      <c r="R213" s="692">
        <f t="shared" ca="1" si="24"/>
        <v>65211.269243592535</v>
      </c>
    </row>
    <row r="214" spans="1:18">
      <c r="A214" s="672">
        <f>'Annex 12-Gas'!A214</f>
        <v>43101</v>
      </c>
      <c r="C214" s="697">
        <f ca="1">IF($A214&gt;Endyr,0,VLOOKUP($A214,Tariff_Table,Tariff!$L$33))</f>
        <v>1.21</v>
      </c>
      <c r="D214" s="113">
        <f ca="1">VLOOKUP($A214,Curves_Table,Escalation!$AL$291)</f>
        <v>1.6153442667317042</v>
      </c>
      <c r="E214" s="333">
        <f t="shared" ca="1" si="25"/>
        <v>1.9545665627453619</v>
      </c>
      <c r="F214" s="331">
        <f ca="1">IF($A214&gt;Endyr,0,VLOOKUP($A214,Tariff_Table,Tariff!$M$33))</f>
        <v>0.25</v>
      </c>
      <c r="G214" s="333">
        <f t="shared" ca="1" si="26"/>
        <v>2.2045665627453621</v>
      </c>
      <c r="H214" s="334">
        <f ca="1">VLOOKUP($A214,Plant_Table,'Plant Operations'!$T$270)</f>
        <v>2092866.048</v>
      </c>
      <c r="I214" s="335">
        <f t="shared" ca="1" si="27"/>
        <v>4613.86250972583</v>
      </c>
      <c r="J214" s="698" t="str">
        <f t="shared" ca="1" si="28"/>
        <v xml:space="preserve"> </v>
      </c>
      <c r="L214" s="699">
        <f ca="1">IF($A214&lt;Startops2,0,VLOOKUP($A214,Tariff_Table,Tariff!$N$33))</f>
        <v>0</v>
      </c>
      <c r="M214" s="334">
        <f t="shared" ca="1" si="29"/>
        <v>2092866.048</v>
      </c>
      <c r="N214" s="1113">
        <f t="shared" ca="1" si="30"/>
        <v>0</v>
      </c>
      <c r="O214" s="1113">
        <f ca="1">IF($A214&gt;Endyr,0,VLOOKUP($A214,Tariff_Table,Tariff!$O$33))</f>
        <v>3255.8715299999999</v>
      </c>
      <c r="P214" s="113">
        <f ca="1">VLOOKUP($A214,Curves_Table,Escalation!$AP$291)</f>
        <v>1.6825466987361488</v>
      </c>
      <c r="Q214" s="328">
        <f t="shared" ca="1" si="31"/>
        <v>5478.1558943105138</v>
      </c>
      <c r="R214" s="692" t="str">
        <f t="shared" ca="1" si="24"/>
        <v xml:space="preserve"> </v>
      </c>
    </row>
    <row r="215" spans="1:18">
      <c r="A215" s="672">
        <f>'Annex 12-Gas'!A215</f>
        <v>43132</v>
      </c>
      <c r="C215" s="697">
        <f ca="1">IF($A215&gt;Endyr,0,VLOOKUP($A215,Tariff_Table,Tariff!$L$33))</f>
        <v>1.21</v>
      </c>
      <c r="D215" s="113">
        <f ca="1">VLOOKUP($A215,Curves_Table,Escalation!$AL$291)</f>
        <v>1.6153442667317042</v>
      </c>
      <c r="E215" s="333">
        <f t="shared" ca="1" si="25"/>
        <v>1.9545665627453619</v>
      </c>
      <c r="F215" s="331">
        <f ca="1">IF($A215&gt;Endyr,0,VLOOKUP($A215,Tariff_Table,Tariff!$M$33))</f>
        <v>0.25</v>
      </c>
      <c r="G215" s="333">
        <f t="shared" ca="1" si="26"/>
        <v>2.2045665627453621</v>
      </c>
      <c r="H215" s="334">
        <f ca="1">VLOOKUP($A215,Plant_Table,'Plant Operations'!$T$270)</f>
        <v>1890330.6240000003</v>
      </c>
      <c r="I215" s="335">
        <f t="shared" ca="1" si="27"/>
        <v>4167.3596862039758</v>
      </c>
      <c r="J215" s="698" t="str">
        <f t="shared" ca="1" si="28"/>
        <v xml:space="preserve"> </v>
      </c>
      <c r="L215" s="699">
        <f ca="1">IF($A215&lt;Startops2,0,VLOOKUP($A215,Tariff_Table,Tariff!$N$33))</f>
        <v>0</v>
      </c>
      <c r="M215" s="334">
        <f t="shared" ca="1" si="29"/>
        <v>1890330.6240000003</v>
      </c>
      <c r="N215" s="1113">
        <f t="shared" ca="1" si="30"/>
        <v>0</v>
      </c>
      <c r="O215" s="1113">
        <f ca="1">IF($A215&gt;Endyr,0,VLOOKUP($A215,Tariff_Table,Tariff!$O$33))</f>
        <v>3255.8715299999999</v>
      </c>
      <c r="P215" s="113">
        <f ca="1">VLOOKUP($A215,Curves_Table,Escalation!$AP$291)</f>
        <v>1.6825466987361488</v>
      </c>
      <c r="Q215" s="328">
        <f t="shared" ca="1" si="31"/>
        <v>5478.1558943105138</v>
      </c>
      <c r="R215" s="692" t="str">
        <f t="shared" ca="1" si="24"/>
        <v xml:space="preserve"> </v>
      </c>
    </row>
    <row r="216" spans="1:18">
      <c r="A216" s="672">
        <f>'Annex 12-Gas'!A216</f>
        <v>43160</v>
      </c>
      <c r="C216" s="697">
        <f ca="1">IF($A216&gt;Endyr,0,VLOOKUP($A216,Tariff_Table,Tariff!$L$33))</f>
        <v>1.21</v>
      </c>
      <c r="D216" s="113">
        <f ca="1">VLOOKUP($A216,Curves_Table,Escalation!$AL$291)</f>
        <v>1.6153442667317042</v>
      </c>
      <c r="E216" s="333">
        <f t="shared" ca="1" si="25"/>
        <v>1.9545665627453619</v>
      </c>
      <c r="F216" s="331">
        <f ca="1">IF($A216&gt;Endyr,0,VLOOKUP($A216,Tariff_Table,Tariff!$M$33))</f>
        <v>0.25</v>
      </c>
      <c r="G216" s="333">
        <f t="shared" ca="1" si="26"/>
        <v>2.2045665627453621</v>
      </c>
      <c r="H216" s="334">
        <f ca="1">VLOOKUP($A216,Plant_Table,'Plant Operations'!$T$270)</f>
        <v>2092866.048</v>
      </c>
      <c r="I216" s="335">
        <f t="shared" ca="1" si="27"/>
        <v>4613.86250972583</v>
      </c>
      <c r="J216" s="698" t="str">
        <f t="shared" ca="1" si="28"/>
        <v xml:space="preserve"> </v>
      </c>
      <c r="L216" s="699">
        <f ca="1">IF($A216&lt;Startops2,0,VLOOKUP($A216,Tariff_Table,Tariff!$N$33))</f>
        <v>0</v>
      </c>
      <c r="M216" s="334">
        <f t="shared" ca="1" si="29"/>
        <v>2092866.048</v>
      </c>
      <c r="N216" s="1113">
        <f t="shared" ca="1" si="30"/>
        <v>0</v>
      </c>
      <c r="O216" s="1113">
        <f ca="1">IF($A216&gt;Endyr,0,VLOOKUP($A216,Tariff_Table,Tariff!$O$33))</f>
        <v>3255.8715299999999</v>
      </c>
      <c r="P216" s="113">
        <f ca="1">VLOOKUP($A216,Curves_Table,Escalation!$AP$291)</f>
        <v>1.6825466987361488</v>
      </c>
      <c r="Q216" s="328">
        <f t="shared" ca="1" si="31"/>
        <v>5478.1558943105138</v>
      </c>
      <c r="R216" s="692" t="str">
        <f t="shared" ca="1" si="24"/>
        <v xml:space="preserve"> </v>
      </c>
    </row>
    <row r="217" spans="1:18">
      <c r="A217" s="672">
        <f>'Annex 12-Gas'!A217</f>
        <v>43191</v>
      </c>
      <c r="C217" s="697">
        <f ca="1">IF($A217&gt;Endyr,0,VLOOKUP($A217,Tariff_Table,Tariff!$L$33))</f>
        <v>1.21</v>
      </c>
      <c r="D217" s="113">
        <f ca="1">VLOOKUP($A217,Curves_Table,Escalation!$AL$291)</f>
        <v>1.6153442667317042</v>
      </c>
      <c r="E217" s="333">
        <f t="shared" ca="1" si="25"/>
        <v>1.9545665627453619</v>
      </c>
      <c r="F217" s="331">
        <f ca="1">IF($A217&gt;Endyr,0,VLOOKUP($A217,Tariff_Table,Tariff!$M$33))</f>
        <v>0.25</v>
      </c>
      <c r="G217" s="333">
        <f t="shared" ca="1" si="26"/>
        <v>2.2045665627453621</v>
      </c>
      <c r="H217" s="334">
        <f ca="1">VLOOKUP($A217,Plant_Table,'Plant Operations'!$T$270)</f>
        <v>2025354.24</v>
      </c>
      <c r="I217" s="335">
        <f t="shared" ca="1" si="27"/>
        <v>4465.028235218545</v>
      </c>
      <c r="J217" s="698" t="str">
        <f t="shared" ca="1" si="28"/>
        <v xml:space="preserve"> </v>
      </c>
      <c r="L217" s="699">
        <f ca="1">IF($A217&lt;Startops2,0,VLOOKUP($A217,Tariff_Table,Tariff!$N$33))</f>
        <v>0</v>
      </c>
      <c r="M217" s="334">
        <f t="shared" ca="1" si="29"/>
        <v>2025354.24</v>
      </c>
      <c r="N217" s="1113">
        <f t="shared" ca="1" si="30"/>
        <v>0</v>
      </c>
      <c r="O217" s="1113">
        <f ca="1">IF($A217&gt;Endyr,0,VLOOKUP($A217,Tariff_Table,Tariff!$O$33))</f>
        <v>3255.8715299999999</v>
      </c>
      <c r="P217" s="113">
        <f ca="1">VLOOKUP($A217,Curves_Table,Escalation!$AP$291)</f>
        <v>1.6825466987361488</v>
      </c>
      <c r="Q217" s="328">
        <f t="shared" ca="1" si="31"/>
        <v>5478.1558943105138</v>
      </c>
      <c r="R217" s="692" t="str">
        <f t="shared" ca="1" si="24"/>
        <v xml:space="preserve"> </v>
      </c>
    </row>
    <row r="218" spans="1:18">
      <c r="A218" s="672">
        <f>'Annex 12-Gas'!A218</f>
        <v>43221</v>
      </c>
      <c r="C218" s="697">
        <f ca="1">IF($A218&gt;Endyr,0,VLOOKUP($A218,Tariff_Table,Tariff!$L$33))</f>
        <v>1.21</v>
      </c>
      <c r="D218" s="113">
        <f ca="1">VLOOKUP($A218,Curves_Table,Escalation!$AL$291)</f>
        <v>1.6549565565300055</v>
      </c>
      <c r="E218" s="333">
        <f t="shared" ca="1" si="25"/>
        <v>2.0024974334013068</v>
      </c>
      <c r="F218" s="331">
        <f ca="1">IF($A218&gt;Endyr,0,VLOOKUP($A218,Tariff_Table,Tariff!$M$33))</f>
        <v>0.25</v>
      </c>
      <c r="G218" s="333">
        <f t="shared" ca="1" si="26"/>
        <v>2.2524974334013068</v>
      </c>
      <c r="H218" s="334">
        <f ca="1">VLOOKUP($A218,Plant_Table,'Plant Operations'!$T$270)</f>
        <v>2092866.048</v>
      </c>
      <c r="I218" s="335">
        <f t="shared" ca="1" si="27"/>
        <v>4714.1754015727356</v>
      </c>
      <c r="J218" s="698" t="str">
        <f t="shared" ca="1" si="28"/>
        <v xml:space="preserve"> </v>
      </c>
      <c r="L218" s="699">
        <f ca="1">IF($A218&lt;Startops2,0,VLOOKUP($A218,Tariff_Table,Tariff!$N$33))</f>
        <v>0</v>
      </c>
      <c r="M218" s="334">
        <f t="shared" ca="1" si="29"/>
        <v>2092866.048</v>
      </c>
      <c r="N218" s="1113">
        <f t="shared" ca="1" si="30"/>
        <v>0</v>
      </c>
      <c r="O218" s="1113">
        <f ca="1">IF($A218&gt;Endyr,0,VLOOKUP($A218,Tariff_Table,Tariff!$O$33))</f>
        <v>3259.7406099999998</v>
      </c>
      <c r="P218" s="113">
        <f ca="1">VLOOKUP($A218,Curves_Table,Escalation!$AP$291)</f>
        <v>1.7280133273368676</v>
      </c>
      <c r="Q218" s="328">
        <f t="shared" ca="1" si="31"/>
        <v>5632.8752177412107</v>
      </c>
      <c r="R218" s="692" t="str">
        <f t="shared" ca="1" si="24"/>
        <v xml:space="preserve"> </v>
      </c>
    </row>
    <row r="219" spans="1:18">
      <c r="A219" s="672">
        <f>'Annex 12-Gas'!A219</f>
        <v>43252</v>
      </c>
      <c r="C219" s="697">
        <f ca="1">IF($A219&gt;Endyr,0,VLOOKUP($A219,Tariff_Table,Tariff!$L$33))</f>
        <v>1.21</v>
      </c>
      <c r="D219" s="113">
        <f ca="1">VLOOKUP($A219,Curves_Table,Escalation!$AL$291)</f>
        <v>1.6549565565300055</v>
      </c>
      <c r="E219" s="333">
        <f t="shared" ca="1" si="25"/>
        <v>2.0024974334013068</v>
      </c>
      <c r="F219" s="331">
        <f ca="1">IF($A219&gt;Endyr,0,VLOOKUP($A219,Tariff_Table,Tariff!$M$33))</f>
        <v>0.25</v>
      </c>
      <c r="G219" s="333">
        <f t="shared" ca="1" si="26"/>
        <v>2.2524974334013068</v>
      </c>
      <c r="H219" s="334">
        <f ca="1">VLOOKUP($A219,Plant_Table,'Plant Operations'!$T$270)</f>
        <v>2025354.24</v>
      </c>
      <c r="I219" s="335">
        <f t="shared" ca="1" si="27"/>
        <v>4562.105227328454</v>
      </c>
      <c r="J219" s="698" t="str">
        <f t="shared" ca="1" si="28"/>
        <v xml:space="preserve"> </v>
      </c>
      <c r="L219" s="699">
        <f ca="1">IF($A219&lt;Startops2,0,VLOOKUP($A219,Tariff_Table,Tariff!$N$33))</f>
        <v>0</v>
      </c>
      <c r="M219" s="334">
        <f t="shared" ca="1" si="29"/>
        <v>2025354.24</v>
      </c>
      <c r="N219" s="1113">
        <f t="shared" ca="1" si="30"/>
        <v>0</v>
      </c>
      <c r="O219" s="1113">
        <f ca="1">IF($A219&gt;Endyr,0,VLOOKUP($A219,Tariff_Table,Tariff!$O$33))</f>
        <v>3259.7406099999998</v>
      </c>
      <c r="P219" s="113">
        <f ca="1">VLOOKUP($A219,Curves_Table,Escalation!$AP$291)</f>
        <v>1.7280133273368676</v>
      </c>
      <c r="Q219" s="328">
        <f t="shared" ca="1" si="31"/>
        <v>5632.8752177412107</v>
      </c>
      <c r="R219" s="692" t="str">
        <f t="shared" ca="1" si="24"/>
        <v xml:space="preserve"> </v>
      </c>
    </row>
    <row r="220" spans="1:18">
      <c r="A220" s="672">
        <f>'Annex 12-Gas'!A220</f>
        <v>43282</v>
      </c>
      <c r="C220" s="697">
        <f ca="1">IF($A220&gt;Endyr,0,VLOOKUP($A220,Tariff_Table,Tariff!$L$33))</f>
        <v>1.21</v>
      </c>
      <c r="D220" s="113">
        <f ca="1">VLOOKUP($A220,Curves_Table,Escalation!$AL$291)</f>
        <v>1.6549565565300055</v>
      </c>
      <c r="E220" s="333">
        <f t="shared" ca="1" si="25"/>
        <v>2.0024974334013068</v>
      </c>
      <c r="F220" s="331">
        <f ca="1">IF($A220&gt;Endyr,0,VLOOKUP($A220,Tariff_Table,Tariff!$M$33))</f>
        <v>0.25</v>
      </c>
      <c r="G220" s="333">
        <f t="shared" ca="1" si="26"/>
        <v>2.2524974334013068</v>
      </c>
      <c r="H220" s="334">
        <f ca="1">VLOOKUP($A220,Plant_Table,'Plant Operations'!$T$270)</f>
        <v>2092866.048</v>
      </c>
      <c r="I220" s="335">
        <f t="shared" ca="1" si="27"/>
        <v>4714.1754015727356</v>
      </c>
      <c r="J220" s="698" t="str">
        <f t="shared" ca="1" si="28"/>
        <v xml:space="preserve"> </v>
      </c>
      <c r="L220" s="699">
        <f ca="1">IF($A220&lt;Startops2,0,VLOOKUP($A220,Tariff_Table,Tariff!$N$33))</f>
        <v>0</v>
      </c>
      <c r="M220" s="334">
        <f t="shared" ca="1" si="29"/>
        <v>2092866.048</v>
      </c>
      <c r="N220" s="1113">
        <f t="shared" ca="1" si="30"/>
        <v>0</v>
      </c>
      <c r="O220" s="1113">
        <f ca="1">IF($A220&gt;Endyr,0,VLOOKUP($A220,Tariff_Table,Tariff!$O$33))</f>
        <v>3259.7406099999998</v>
      </c>
      <c r="P220" s="113">
        <f ca="1">VLOOKUP($A220,Curves_Table,Escalation!$AP$291)</f>
        <v>1.7280133273368676</v>
      </c>
      <c r="Q220" s="328">
        <f t="shared" ca="1" si="31"/>
        <v>5632.8752177412107</v>
      </c>
      <c r="R220" s="692" t="str">
        <f t="shared" ca="1" si="24"/>
        <v xml:space="preserve"> </v>
      </c>
    </row>
    <row r="221" spans="1:18">
      <c r="A221" s="672">
        <f>'Annex 12-Gas'!A221</f>
        <v>43313</v>
      </c>
      <c r="C221" s="697">
        <f ca="1">IF($A221&gt;Endyr,0,VLOOKUP($A221,Tariff_Table,Tariff!$L$33))</f>
        <v>1.21</v>
      </c>
      <c r="D221" s="113">
        <f ca="1">VLOOKUP($A221,Curves_Table,Escalation!$AL$291)</f>
        <v>1.6549565565300055</v>
      </c>
      <c r="E221" s="333">
        <f t="shared" ca="1" si="25"/>
        <v>2.0024974334013068</v>
      </c>
      <c r="F221" s="331">
        <f ca="1">IF($A221&gt;Endyr,0,VLOOKUP($A221,Tariff_Table,Tariff!$M$33))</f>
        <v>0.25</v>
      </c>
      <c r="G221" s="333">
        <f t="shared" ca="1" si="26"/>
        <v>2.2524974334013068</v>
      </c>
      <c r="H221" s="334">
        <f ca="1">VLOOKUP($A221,Plant_Table,'Plant Operations'!$T$270)</f>
        <v>2092866.048</v>
      </c>
      <c r="I221" s="335">
        <f t="shared" ca="1" si="27"/>
        <v>4714.1754015727356</v>
      </c>
      <c r="J221" s="698" t="str">
        <f t="shared" ca="1" si="28"/>
        <v xml:space="preserve"> </v>
      </c>
      <c r="L221" s="699">
        <f ca="1">IF($A221&lt;Startops2,0,VLOOKUP($A221,Tariff_Table,Tariff!$N$33))</f>
        <v>0</v>
      </c>
      <c r="M221" s="334">
        <f t="shared" ca="1" si="29"/>
        <v>2092866.048</v>
      </c>
      <c r="N221" s="1113">
        <f t="shared" ca="1" si="30"/>
        <v>0</v>
      </c>
      <c r="O221" s="1113">
        <f ca="1">IF($A221&gt;Endyr,0,VLOOKUP($A221,Tariff_Table,Tariff!$O$33))</f>
        <v>3259.7406099999998</v>
      </c>
      <c r="P221" s="113">
        <f ca="1">VLOOKUP($A221,Curves_Table,Escalation!$AP$291)</f>
        <v>1.7280133273368676</v>
      </c>
      <c r="Q221" s="328">
        <f t="shared" ca="1" si="31"/>
        <v>5632.8752177412107</v>
      </c>
      <c r="R221" s="692" t="str">
        <f t="shared" ca="1" si="24"/>
        <v xml:space="preserve"> </v>
      </c>
    </row>
    <row r="222" spans="1:18">
      <c r="A222" s="672">
        <f>'Annex 12-Gas'!A222</f>
        <v>43344</v>
      </c>
      <c r="C222" s="697">
        <f ca="1">IF($A222&gt;Endyr,0,VLOOKUP($A222,Tariff_Table,Tariff!$L$33))</f>
        <v>1.21</v>
      </c>
      <c r="D222" s="113">
        <f ca="1">VLOOKUP($A222,Curves_Table,Escalation!$AL$291)</f>
        <v>1.6549565565300055</v>
      </c>
      <c r="E222" s="333">
        <f t="shared" ca="1" si="25"/>
        <v>2.0024974334013068</v>
      </c>
      <c r="F222" s="331">
        <f ca="1">IF($A222&gt;Endyr,0,VLOOKUP($A222,Tariff_Table,Tariff!$M$33))</f>
        <v>0.25</v>
      </c>
      <c r="G222" s="333">
        <f t="shared" ca="1" si="26"/>
        <v>2.2524974334013068</v>
      </c>
      <c r="H222" s="334">
        <f ca="1">VLOOKUP($A222,Plant_Table,'Plant Operations'!$T$270)</f>
        <v>2025354.24</v>
      </c>
      <c r="I222" s="335">
        <f t="shared" ca="1" si="27"/>
        <v>4562.105227328454</v>
      </c>
      <c r="J222" s="698" t="str">
        <f t="shared" ca="1" si="28"/>
        <v xml:space="preserve"> </v>
      </c>
      <c r="L222" s="699">
        <f ca="1">IF($A222&lt;Startops2,0,VLOOKUP($A222,Tariff_Table,Tariff!$N$33))</f>
        <v>0</v>
      </c>
      <c r="M222" s="334">
        <f t="shared" ca="1" si="29"/>
        <v>2025354.24</v>
      </c>
      <c r="N222" s="1113">
        <f t="shared" ca="1" si="30"/>
        <v>0</v>
      </c>
      <c r="O222" s="1113">
        <f ca="1">IF($A222&gt;Endyr,0,VLOOKUP($A222,Tariff_Table,Tariff!$O$33))</f>
        <v>3259.7406099999998</v>
      </c>
      <c r="P222" s="113">
        <f ca="1">VLOOKUP($A222,Curves_Table,Escalation!$AP$291)</f>
        <v>1.7280133273368676</v>
      </c>
      <c r="Q222" s="328">
        <f t="shared" ca="1" si="31"/>
        <v>5632.8752177412107</v>
      </c>
      <c r="R222" s="692" t="str">
        <f t="shared" ca="1" si="24"/>
        <v xml:space="preserve"> </v>
      </c>
    </row>
    <row r="223" spans="1:18">
      <c r="A223" s="672">
        <f>'Annex 12-Gas'!A223</f>
        <v>43374</v>
      </c>
      <c r="C223" s="697">
        <f ca="1">IF($A223&gt;Endyr,0,VLOOKUP($A223,Tariff_Table,Tariff!$L$33))</f>
        <v>1.21</v>
      </c>
      <c r="D223" s="113">
        <f ca="1">VLOOKUP($A223,Curves_Table,Escalation!$AL$291)</f>
        <v>1.6549565565300055</v>
      </c>
      <c r="E223" s="333">
        <f t="shared" ca="1" si="25"/>
        <v>2.0024974334013068</v>
      </c>
      <c r="F223" s="331">
        <f ca="1">IF($A223&gt;Endyr,0,VLOOKUP($A223,Tariff_Table,Tariff!$M$33))</f>
        <v>0.25</v>
      </c>
      <c r="G223" s="333">
        <f t="shared" ca="1" si="26"/>
        <v>2.2524974334013068</v>
      </c>
      <c r="H223" s="334">
        <f ca="1">VLOOKUP($A223,Plant_Table,'Plant Operations'!$T$270)</f>
        <v>2092866.048</v>
      </c>
      <c r="I223" s="335">
        <f t="shared" ca="1" si="27"/>
        <v>4714.1754015727356</v>
      </c>
      <c r="J223" s="698" t="str">
        <f t="shared" ca="1" si="28"/>
        <v xml:space="preserve"> </v>
      </c>
      <c r="L223" s="699">
        <f ca="1">IF($A223&lt;Startops2,0,VLOOKUP($A223,Tariff_Table,Tariff!$N$33))</f>
        <v>0</v>
      </c>
      <c r="M223" s="334">
        <f t="shared" ca="1" si="29"/>
        <v>2092866.048</v>
      </c>
      <c r="N223" s="1113">
        <f t="shared" ca="1" si="30"/>
        <v>0</v>
      </c>
      <c r="O223" s="1113">
        <f ca="1">IF($A223&gt;Endyr,0,VLOOKUP($A223,Tariff_Table,Tariff!$O$33))</f>
        <v>3259.7406099999998</v>
      </c>
      <c r="P223" s="113">
        <f ca="1">VLOOKUP($A223,Curves_Table,Escalation!$AP$291)</f>
        <v>1.7280133273368676</v>
      </c>
      <c r="Q223" s="328">
        <f t="shared" ca="1" si="31"/>
        <v>5632.8752177412107</v>
      </c>
      <c r="R223" s="692" t="str">
        <f t="shared" ca="1" si="24"/>
        <v xml:space="preserve"> </v>
      </c>
    </row>
    <row r="224" spans="1:18">
      <c r="A224" s="672">
        <f>'Annex 12-Gas'!A224</f>
        <v>43405</v>
      </c>
      <c r="C224" s="697">
        <f ca="1">IF($A224&gt;Endyr,0,VLOOKUP($A224,Tariff_Table,Tariff!$L$33))</f>
        <v>1.21</v>
      </c>
      <c r="D224" s="113">
        <f ca="1">VLOOKUP($A224,Curves_Table,Escalation!$AL$291)</f>
        <v>1.6549565565300055</v>
      </c>
      <c r="E224" s="333">
        <f t="shared" ca="1" si="25"/>
        <v>2.0024974334013068</v>
      </c>
      <c r="F224" s="331">
        <f ca="1">IF($A224&gt;Endyr,0,VLOOKUP($A224,Tariff_Table,Tariff!$M$33))</f>
        <v>0.25</v>
      </c>
      <c r="G224" s="333">
        <f t="shared" ca="1" si="26"/>
        <v>2.2524974334013068</v>
      </c>
      <c r="H224" s="334">
        <f ca="1">VLOOKUP($A224,Plant_Table,'Plant Operations'!$T$270)</f>
        <v>2025354.24</v>
      </c>
      <c r="I224" s="335">
        <f t="shared" ca="1" si="27"/>
        <v>4562.105227328454</v>
      </c>
      <c r="J224" s="698" t="str">
        <f t="shared" ca="1" si="28"/>
        <v xml:space="preserve"> </v>
      </c>
      <c r="L224" s="699">
        <f ca="1">IF($A224&lt;Startops2,0,VLOOKUP($A224,Tariff_Table,Tariff!$N$33))</f>
        <v>0</v>
      </c>
      <c r="M224" s="334">
        <f t="shared" ca="1" si="29"/>
        <v>2025354.24</v>
      </c>
      <c r="N224" s="1113">
        <f t="shared" ca="1" si="30"/>
        <v>0</v>
      </c>
      <c r="O224" s="1113">
        <f ca="1">IF($A224&gt;Endyr,0,VLOOKUP($A224,Tariff_Table,Tariff!$O$33))</f>
        <v>3259.7406099999998</v>
      </c>
      <c r="P224" s="113">
        <f ca="1">VLOOKUP($A224,Curves_Table,Escalation!$AP$291)</f>
        <v>1.7280133273368676</v>
      </c>
      <c r="Q224" s="328">
        <f t="shared" ca="1" si="31"/>
        <v>5632.8752177412107</v>
      </c>
      <c r="R224" s="692" t="str">
        <f t="shared" ca="1" si="24"/>
        <v xml:space="preserve"> </v>
      </c>
    </row>
    <row r="225" spans="1:18">
      <c r="A225" s="672">
        <f>'Annex 12-Gas'!A225</f>
        <v>43435</v>
      </c>
      <c r="C225" s="697">
        <f ca="1">IF($A225&gt;Endyr,0,VLOOKUP($A225,Tariff_Table,Tariff!$L$33))</f>
        <v>1.21</v>
      </c>
      <c r="D225" s="113">
        <f ca="1">VLOOKUP($A225,Curves_Table,Escalation!$AL$291)</f>
        <v>1.6549565565300055</v>
      </c>
      <c r="E225" s="333">
        <f t="shared" ca="1" si="25"/>
        <v>2.0024974334013068</v>
      </c>
      <c r="F225" s="331">
        <f ca="1">IF($A225&gt;Endyr,0,VLOOKUP($A225,Tariff_Table,Tariff!$M$33))</f>
        <v>0.25</v>
      </c>
      <c r="G225" s="333">
        <f t="shared" ca="1" si="26"/>
        <v>2.2524974334013068</v>
      </c>
      <c r="H225" s="334">
        <f ca="1">VLOOKUP($A225,Plant_Table,'Plant Operations'!$T$270)</f>
        <v>2092866.048</v>
      </c>
      <c r="I225" s="335">
        <f t="shared" ca="1" si="27"/>
        <v>4714.1754015727356</v>
      </c>
      <c r="J225" s="698">
        <f t="shared" ca="1" si="28"/>
        <v>55117.305630723211</v>
      </c>
      <c r="L225" s="699">
        <f ca="1">IF($A225&lt;Startops2,0,VLOOKUP($A225,Tariff_Table,Tariff!$N$33))</f>
        <v>0</v>
      </c>
      <c r="M225" s="334">
        <f t="shared" ca="1" si="29"/>
        <v>2092866.048</v>
      </c>
      <c r="N225" s="1113">
        <f t="shared" ca="1" si="30"/>
        <v>0</v>
      </c>
      <c r="O225" s="1113">
        <f ca="1">IF($A225&gt;Endyr,0,VLOOKUP($A225,Tariff_Table,Tariff!$O$33))</f>
        <v>3259.7406099999998</v>
      </c>
      <c r="P225" s="113">
        <f ca="1">VLOOKUP($A225,Curves_Table,Escalation!$AP$291)</f>
        <v>1.7280133273368676</v>
      </c>
      <c r="Q225" s="328">
        <f t="shared" ca="1" si="31"/>
        <v>5632.8752177412107</v>
      </c>
      <c r="R225" s="692">
        <f t="shared" ca="1" si="24"/>
        <v>66975.625319171741</v>
      </c>
    </row>
    <row r="226" spans="1:18">
      <c r="A226" s="672">
        <f>'Annex 12-Gas'!A226</f>
        <v>43466</v>
      </c>
      <c r="C226" s="697">
        <f ca="1">IF($A226&gt;Endyr,0,VLOOKUP($A226,Tariff_Table,Tariff!$L$33))</f>
        <v>1.21</v>
      </c>
      <c r="D226" s="113">
        <f ca="1">VLOOKUP($A226,Curves_Table,Escalation!$AL$291)</f>
        <v>1.6549565565300055</v>
      </c>
      <c r="E226" s="333">
        <f t="shared" ca="1" si="25"/>
        <v>2.0024974334013068</v>
      </c>
      <c r="F226" s="331">
        <f ca="1">IF($A226&gt;Endyr,0,VLOOKUP($A226,Tariff_Table,Tariff!$M$33))</f>
        <v>0.25</v>
      </c>
      <c r="G226" s="333">
        <f t="shared" ca="1" si="26"/>
        <v>2.2524974334013068</v>
      </c>
      <c r="H226" s="334">
        <f ca="1">VLOOKUP($A226,Plant_Table,'Plant Operations'!$T$270)</f>
        <v>2092866.048</v>
      </c>
      <c r="I226" s="335">
        <f t="shared" ca="1" si="27"/>
        <v>4714.1754015727356</v>
      </c>
      <c r="J226" s="698" t="str">
        <f t="shared" ca="1" si="28"/>
        <v xml:space="preserve"> </v>
      </c>
      <c r="L226" s="699">
        <f ca="1">IF($A226&lt;Startops2,0,VLOOKUP($A226,Tariff_Table,Tariff!$N$33))</f>
        <v>0</v>
      </c>
      <c r="M226" s="334">
        <f t="shared" ca="1" si="29"/>
        <v>2092866.048</v>
      </c>
      <c r="N226" s="1113">
        <f t="shared" ca="1" si="30"/>
        <v>0</v>
      </c>
      <c r="O226" s="1113">
        <f ca="1">IF($A226&gt;Endyr,0,VLOOKUP($A226,Tariff_Table,Tariff!$O$33))</f>
        <v>3259.7406099999998</v>
      </c>
      <c r="P226" s="113">
        <f ca="1">VLOOKUP($A226,Curves_Table,Escalation!$AP$291)</f>
        <v>1.7280133273368676</v>
      </c>
      <c r="Q226" s="328">
        <f t="shared" ca="1" si="31"/>
        <v>5632.8752177412107</v>
      </c>
      <c r="R226" s="692" t="str">
        <f t="shared" ca="1" si="24"/>
        <v xml:space="preserve"> </v>
      </c>
    </row>
    <row r="227" spans="1:18">
      <c r="A227" s="672">
        <f>'Annex 12-Gas'!A227</f>
        <v>43497</v>
      </c>
      <c r="C227" s="697">
        <f ca="1">IF($A227&gt;Endyr,0,VLOOKUP($A227,Tariff_Table,Tariff!$L$33))</f>
        <v>1.21</v>
      </c>
      <c r="D227" s="113">
        <f ca="1">VLOOKUP($A227,Curves_Table,Escalation!$AL$291)</f>
        <v>1.6549565565300055</v>
      </c>
      <c r="E227" s="333">
        <f t="shared" ca="1" si="25"/>
        <v>2.0024974334013068</v>
      </c>
      <c r="F227" s="331">
        <f ca="1">IF($A227&gt;Endyr,0,VLOOKUP($A227,Tariff_Table,Tariff!$M$33))</f>
        <v>0.25</v>
      </c>
      <c r="G227" s="333">
        <f t="shared" ca="1" si="26"/>
        <v>2.2524974334013068</v>
      </c>
      <c r="H227" s="334">
        <f ca="1">VLOOKUP($A227,Plant_Table,'Plant Operations'!$T$270)</f>
        <v>1890330.6240000003</v>
      </c>
      <c r="I227" s="335">
        <f t="shared" ca="1" si="27"/>
        <v>4257.9648788398918</v>
      </c>
      <c r="J227" s="698" t="str">
        <f t="shared" ca="1" si="28"/>
        <v xml:space="preserve"> </v>
      </c>
      <c r="L227" s="699">
        <f ca="1">IF($A227&lt;Startops2,0,VLOOKUP($A227,Tariff_Table,Tariff!$N$33))</f>
        <v>0</v>
      </c>
      <c r="M227" s="334">
        <f t="shared" ca="1" si="29"/>
        <v>1890330.6240000003</v>
      </c>
      <c r="N227" s="1113">
        <f t="shared" ca="1" si="30"/>
        <v>0</v>
      </c>
      <c r="O227" s="1113">
        <f ca="1">IF($A227&gt;Endyr,0,VLOOKUP($A227,Tariff_Table,Tariff!$O$33))</f>
        <v>3259.7406099999998</v>
      </c>
      <c r="P227" s="113">
        <f ca="1">VLOOKUP($A227,Curves_Table,Escalation!$AP$291)</f>
        <v>1.7280133273368676</v>
      </c>
      <c r="Q227" s="328">
        <f t="shared" ca="1" si="31"/>
        <v>5632.8752177412107</v>
      </c>
      <c r="R227" s="692" t="str">
        <f t="shared" ca="1" si="24"/>
        <v xml:space="preserve"> </v>
      </c>
    </row>
    <row r="228" spans="1:18">
      <c r="A228" s="672">
        <f>'Annex 12-Gas'!A228</f>
        <v>43525</v>
      </c>
      <c r="C228" s="697">
        <f ca="1">IF($A228&gt;Endyr,0,VLOOKUP($A228,Tariff_Table,Tariff!$L$33))</f>
        <v>1.21</v>
      </c>
      <c r="D228" s="113">
        <f ca="1">VLOOKUP($A228,Curves_Table,Escalation!$AL$291)</f>
        <v>1.6549565565300055</v>
      </c>
      <c r="E228" s="333">
        <f t="shared" ca="1" si="25"/>
        <v>2.0024974334013068</v>
      </c>
      <c r="F228" s="331">
        <f ca="1">IF($A228&gt;Endyr,0,VLOOKUP($A228,Tariff_Table,Tariff!$M$33))</f>
        <v>0.25</v>
      </c>
      <c r="G228" s="333">
        <f t="shared" ca="1" si="26"/>
        <v>2.2524974334013068</v>
      </c>
      <c r="H228" s="334">
        <f ca="1">VLOOKUP($A228,Plant_Table,'Plant Operations'!$T$270)</f>
        <v>2092866.048</v>
      </c>
      <c r="I228" s="335">
        <f t="shared" ca="1" si="27"/>
        <v>4714.1754015727356</v>
      </c>
      <c r="J228" s="698" t="str">
        <f t="shared" ca="1" si="28"/>
        <v xml:space="preserve"> </v>
      </c>
      <c r="L228" s="699">
        <f ca="1">IF($A228&lt;Startops2,0,VLOOKUP($A228,Tariff_Table,Tariff!$N$33))</f>
        <v>0</v>
      </c>
      <c r="M228" s="334">
        <f t="shared" ca="1" si="29"/>
        <v>2092866.048</v>
      </c>
      <c r="N228" s="1113">
        <f t="shared" ca="1" si="30"/>
        <v>0</v>
      </c>
      <c r="O228" s="1113">
        <f ca="1">IF($A228&gt;Endyr,0,VLOOKUP($A228,Tariff_Table,Tariff!$O$33))</f>
        <v>3259.7406099999998</v>
      </c>
      <c r="P228" s="113">
        <f ca="1">VLOOKUP($A228,Curves_Table,Escalation!$AP$291)</f>
        <v>1.7280133273368676</v>
      </c>
      <c r="Q228" s="328">
        <f t="shared" ca="1" si="31"/>
        <v>5632.8752177412107</v>
      </c>
      <c r="R228" s="692" t="str">
        <f t="shared" ca="1" si="24"/>
        <v xml:space="preserve"> </v>
      </c>
    </row>
    <row r="229" spans="1:18">
      <c r="A229" s="672">
        <f>'Annex 12-Gas'!A229</f>
        <v>43556</v>
      </c>
      <c r="C229" s="697">
        <f ca="1">IF($A229&gt;Endyr,0,VLOOKUP($A229,Tariff_Table,Tariff!$L$33))</f>
        <v>1.21</v>
      </c>
      <c r="D229" s="113">
        <f ca="1">VLOOKUP($A229,Curves_Table,Escalation!$AL$291)</f>
        <v>1.6549565565300055</v>
      </c>
      <c r="E229" s="333">
        <f t="shared" ca="1" si="25"/>
        <v>2.0024974334013068</v>
      </c>
      <c r="F229" s="331">
        <f ca="1">IF($A229&gt;Endyr,0,VLOOKUP($A229,Tariff_Table,Tariff!$M$33))</f>
        <v>0.25</v>
      </c>
      <c r="G229" s="333">
        <f t="shared" ca="1" si="26"/>
        <v>2.2524974334013068</v>
      </c>
      <c r="H229" s="334">
        <f ca="1">VLOOKUP($A229,Plant_Table,'Plant Operations'!$T$270)</f>
        <v>2025354.24</v>
      </c>
      <c r="I229" s="335">
        <f t="shared" ca="1" si="27"/>
        <v>4562.105227328454</v>
      </c>
      <c r="J229" s="698" t="str">
        <f t="shared" ca="1" si="28"/>
        <v xml:space="preserve"> </v>
      </c>
      <c r="L229" s="699">
        <f ca="1">IF($A229&lt;Startops2,0,VLOOKUP($A229,Tariff_Table,Tariff!$N$33))</f>
        <v>0</v>
      </c>
      <c r="M229" s="334">
        <f t="shared" ca="1" si="29"/>
        <v>2025354.24</v>
      </c>
      <c r="N229" s="1113">
        <f t="shared" ca="1" si="30"/>
        <v>0</v>
      </c>
      <c r="O229" s="1113">
        <f ca="1">IF($A229&gt;Endyr,0,VLOOKUP($A229,Tariff_Table,Tariff!$O$33))</f>
        <v>3259.7406099999998</v>
      </c>
      <c r="P229" s="113">
        <f ca="1">VLOOKUP($A229,Curves_Table,Escalation!$AP$291)</f>
        <v>1.7280133273368676</v>
      </c>
      <c r="Q229" s="328">
        <f t="shared" ca="1" si="31"/>
        <v>5632.8752177412107</v>
      </c>
      <c r="R229" s="692" t="str">
        <f t="shared" ca="1" si="24"/>
        <v xml:space="preserve"> </v>
      </c>
    </row>
    <row r="230" spans="1:18">
      <c r="A230" s="672">
        <f>'Annex 12-Gas'!A230</f>
        <v>43586</v>
      </c>
      <c r="C230" s="697">
        <f ca="1">IF($A230&gt;Endyr,0,VLOOKUP($A230,Tariff_Table,Tariff!$L$33))</f>
        <v>0</v>
      </c>
      <c r="D230" s="113">
        <f ca="1">VLOOKUP($A230,Curves_Table,Escalation!$AL$291)</f>
        <v>1.696236647453875</v>
      </c>
      <c r="E230" s="333">
        <f t="shared" ca="1" si="25"/>
        <v>0</v>
      </c>
      <c r="F230" s="331">
        <f ca="1">IF($A230&gt;Endyr,0,VLOOKUP($A230,Tariff_Table,Tariff!$M$33))</f>
        <v>0</v>
      </c>
      <c r="G230" s="333">
        <f t="shared" ca="1" si="26"/>
        <v>0</v>
      </c>
      <c r="H230" s="334">
        <f ca="1">VLOOKUP($A230,Plant_Table,'Plant Operations'!$T$270)</f>
        <v>0</v>
      </c>
      <c r="I230" s="335">
        <f t="shared" ca="1" si="27"/>
        <v>0</v>
      </c>
      <c r="J230" s="698" t="str">
        <f t="shared" ca="1" si="28"/>
        <v xml:space="preserve"> </v>
      </c>
      <c r="L230" s="699">
        <f ca="1">IF($A230&lt;Startops2,0,VLOOKUP($A230,Tariff_Table,Tariff!$N$33))</f>
        <v>0</v>
      </c>
      <c r="M230" s="334">
        <f t="shared" ca="1" si="29"/>
        <v>0</v>
      </c>
      <c r="N230" s="1113">
        <f t="shared" ca="1" si="30"/>
        <v>0</v>
      </c>
      <c r="O230" s="1113">
        <f ca="1">IF($A230&gt;Endyr,0,VLOOKUP($A230,Tariff_Table,Tariff!$O$33))</f>
        <v>0</v>
      </c>
      <c r="P230" s="113">
        <f ca="1">VLOOKUP($A230,Curves_Table,Escalation!$AP$291)</f>
        <v>1.7754357291063123</v>
      </c>
      <c r="Q230" s="328">
        <f t="shared" ca="1" si="31"/>
        <v>0</v>
      </c>
      <c r="R230" s="692" t="str">
        <f t="shared" ca="1" si="24"/>
        <v xml:space="preserve"> </v>
      </c>
    </row>
    <row r="231" spans="1:18">
      <c r="A231" s="672">
        <f>'Annex 12-Gas'!A231</f>
        <v>43617</v>
      </c>
      <c r="C231" s="697">
        <f ca="1">IF($A231&gt;Endyr,0,VLOOKUP($A231,Tariff_Table,Tariff!$L$33))</f>
        <v>0</v>
      </c>
      <c r="D231" s="113">
        <f ca="1">VLOOKUP($A231,Curves_Table,Escalation!$AL$291)</f>
        <v>1.696236647453875</v>
      </c>
      <c r="E231" s="333">
        <f t="shared" ca="1" si="25"/>
        <v>0</v>
      </c>
      <c r="F231" s="331">
        <f ca="1">IF($A231&gt;Endyr,0,VLOOKUP($A231,Tariff_Table,Tariff!$M$33))</f>
        <v>0</v>
      </c>
      <c r="G231" s="333">
        <f t="shared" ca="1" si="26"/>
        <v>0</v>
      </c>
      <c r="H231" s="334">
        <f ca="1">VLOOKUP($A231,Plant_Table,'Plant Operations'!$T$270)</f>
        <v>0</v>
      </c>
      <c r="I231" s="335">
        <f t="shared" ca="1" si="27"/>
        <v>0</v>
      </c>
      <c r="J231" s="698" t="str">
        <f t="shared" ca="1" si="28"/>
        <v xml:space="preserve"> </v>
      </c>
      <c r="L231" s="699">
        <f ca="1">IF($A231&lt;Startops2,0,VLOOKUP($A231,Tariff_Table,Tariff!$N$33))</f>
        <v>0</v>
      </c>
      <c r="M231" s="334">
        <f t="shared" ca="1" si="29"/>
        <v>0</v>
      </c>
      <c r="N231" s="1113">
        <f t="shared" ca="1" si="30"/>
        <v>0</v>
      </c>
      <c r="O231" s="1113">
        <f ca="1">IF($A231&gt;Endyr,0,VLOOKUP($A231,Tariff_Table,Tariff!$O$33))</f>
        <v>0</v>
      </c>
      <c r="P231" s="113">
        <f ca="1">VLOOKUP($A231,Curves_Table,Escalation!$AP$291)</f>
        <v>1.7754357291063123</v>
      </c>
      <c r="Q231" s="328">
        <f t="shared" ca="1" si="31"/>
        <v>0</v>
      </c>
      <c r="R231" s="692" t="str">
        <f t="shared" ca="1" si="24"/>
        <v xml:space="preserve"> </v>
      </c>
    </row>
    <row r="232" spans="1:18">
      <c r="A232" s="672">
        <f>'Annex 12-Gas'!A232</f>
        <v>43647</v>
      </c>
      <c r="C232" s="697">
        <f ca="1">IF($A232&gt;Endyr,0,VLOOKUP($A232,Tariff_Table,Tariff!$L$33))</f>
        <v>0</v>
      </c>
      <c r="D232" s="113">
        <f ca="1">VLOOKUP($A232,Curves_Table,Escalation!$AL$291)</f>
        <v>1.696236647453875</v>
      </c>
      <c r="E232" s="333">
        <f t="shared" ca="1" si="25"/>
        <v>0</v>
      </c>
      <c r="F232" s="331">
        <f ca="1">IF($A232&gt;Endyr,0,VLOOKUP($A232,Tariff_Table,Tariff!$M$33))</f>
        <v>0</v>
      </c>
      <c r="G232" s="333">
        <f t="shared" ca="1" si="26"/>
        <v>0</v>
      </c>
      <c r="H232" s="334">
        <f ca="1">VLOOKUP($A232,Plant_Table,'Plant Operations'!$T$270)</f>
        <v>0</v>
      </c>
      <c r="I232" s="335">
        <f t="shared" ca="1" si="27"/>
        <v>0</v>
      </c>
      <c r="J232" s="698" t="str">
        <f t="shared" ca="1" si="28"/>
        <v xml:space="preserve"> </v>
      </c>
      <c r="L232" s="699">
        <f ca="1">IF($A232&lt;Startops2,0,VLOOKUP($A232,Tariff_Table,Tariff!$N$33))</f>
        <v>0</v>
      </c>
      <c r="M232" s="334">
        <f t="shared" ca="1" si="29"/>
        <v>0</v>
      </c>
      <c r="N232" s="1113">
        <f t="shared" ca="1" si="30"/>
        <v>0</v>
      </c>
      <c r="O232" s="1113">
        <f ca="1">IF($A232&gt;Endyr,0,VLOOKUP($A232,Tariff_Table,Tariff!$O$33))</f>
        <v>0</v>
      </c>
      <c r="P232" s="113">
        <f ca="1">VLOOKUP($A232,Curves_Table,Escalation!$AP$291)</f>
        <v>1.7754357291063123</v>
      </c>
      <c r="Q232" s="328">
        <f t="shared" ca="1" si="31"/>
        <v>0</v>
      </c>
      <c r="R232" s="692" t="str">
        <f t="shared" ca="1" si="24"/>
        <v xml:space="preserve"> </v>
      </c>
    </row>
    <row r="233" spans="1:18">
      <c r="A233" s="672">
        <f>'Annex 12-Gas'!A233</f>
        <v>43678</v>
      </c>
      <c r="C233" s="697">
        <f ca="1">IF($A233&gt;Endyr,0,VLOOKUP($A233,Tariff_Table,Tariff!$L$33))</f>
        <v>0</v>
      </c>
      <c r="D233" s="113">
        <f ca="1">VLOOKUP($A233,Curves_Table,Escalation!$AL$291)</f>
        <v>1.696236647453875</v>
      </c>
      <c r="E233" s="333">
        <f t="shared" ca="1" si="25"/>
        <v>0</v>
      </c>
      <c r="F233" s="331">
        <f ca="1">IF($A233&gt;Endyr,0,VLOOKUP($A233,Tariff_Table,Tariff!$M$33))</f>
        <v>0</v>
      </c>
      <c r="G233" s="333">
        <f t="shared" ca="1" si="26"/>
        <v>0</v>
      </c>
      <c r="H233" s="334">
        <f ca="1">VLOOKUP($A233,Plant_Table,'Plant Operations'!$T$270)</f>
        <v>0</v>
      </c>
      <c r="I233" s="335">
        <f t="shared" ca="1" si="27"/>
        <v>0</v>
      </c>
      <c r="J233" s="698" t="str">
        <f t="shared" ca="1" si="28"/>
        <v xml:space="preserve"> </v>
      </c>
      <c r="L233" s="699">
        <f ca="1">IF($A233&lt;Startops2,0,VLOOKUP($A233,Tariff_Table,Tariff!$N$33))</f>
        <v>0</v>
      </c>
      <c r="M233" s="334">
        <f t="shared" ca="1" si="29"/>
        <v>0</v>
      </c>
      <c r="N233" s="1113">
        <f t="shared" ca="1" si="30"/>
        <v>0</v>
      </c>
      <c r="O233" s="1113">
        <f ca="1">IF($A233&gt;Endyr,0,VLOOKUP($A233,Tariff_Table,Tariff!$O$33))</f>
        <v>0</v>
      </c>
      <c r="P233" s="113">
        <f ca="1">VLOOKUP($A233,Curves_Table,Escalation!$AP$291)</f>
        <v>1.7754357291063123</v>
      </c>
      <c r="Q233" s="328">
        <f t="shared" ca="1" si="31"/>
        <v>0</v>
      </c>
      <c r="R233" s="692" t="str">
        <f t="shared" ca="1" si="24"/>
        <v xml:space="preserve"> </v>
      </c>
    </row>
    <row r="234" spans="1:18">
      <c r="A234" s="672">
        <f>'Annex 12-Gas'!A234</f>
        <v>43709</v>
      </c>
      <c r="C234" s="697">
        <f ca="1">IF($A234&gt;Endyr,0,VLOOKUP($A234,Tariff_Table,Tariff!$L$33))</f>
        <v>0</v>
      </c>
      <c r="D234" s="113">
        <f ca="1">VLOOKUP($A234,Curves_Table,Escalation!$AL$291)</f>
        <v>1.696236647453875</v>
      </c>
      <c r="E234" s="333">
        <f t="shared" ca="1" si="25"/>
        <v>0</v>
      </c>
      <c r="F234" s="331">
        <f ca="1">IF($A234&gt;Endyr,0,VLOOKUP($A234,Tariff_Table,Tariff!$M$33))</f>
        <v>0</v>
      </c>
      <c r="G234" s="333">
        <f t="shared" ca="1" si="26"/>
        <v>0</v>
      </c>
      <c r="H234" s="334">
        <f ca="1">VLOOKUP($A234,Plant_Table,'Plant Operations'!$T$270)</f>
        <v>0</v>
      </c>
      <c r="I234" s="335">
        <f t="shared" ca="1" si="27"/>
        <v>0</v>
      </c>
      <c r="J234" s="698" t="str">
        <f t="shared" ca="1" si="28"/>
        <v xml:space="preserve"> </v>
      </c>
      <c r="L234" s="699">
        <f ca="1">IF($A234&lt;Startops2,0,VLOOKUP($A234,Tariff_Table,Tariff!$N$33))</f>
        <v>0</v>
      </c>
      <c r="M234" s="334">
        <f t="shared" ca="1" si="29"/>
        <v>0</v>
      </c>
      <c r="N234" s="1113">
        <f t="shared" ca="1" si="30"/>
        <v>0</v>
      </c>
      <c r="O234" s="1113">
        <f ca="1">IF($A234&gt;Endyr,0,VLOOKUP($A234,Tariff_Table,Tariff!$O$33))</f>
        <v>0</v>
      </c>
      <c r="P234" s="113">
        <f ca="1">VLOOKUP($A234,Curves_Table,Escalation!$AP$291)</f>
        <v>1.7754357291063123</v>
      </c>
      <c r="Q234" s="328">
        <f t="shared" ca="1" si="31"/>
        <v>0</v>
      </c>
      <c r="R234" s="692" t="str">
        <f t="shared" ca="1" si="24"/>
        <v xml:space="preserve"> </v>
      </c>
    </row>
    <row r="235" spans="1:18">
      <c r="A235" s="672">
        <f>'Annex 12-Gas'!A235</f>
        <v>43739</v>
      </c>
      <c r="C235" s="697">
        <f ca="1">IF($A235&gt;Endyr,0,VLOOKUP($A235,Tariff_Table,Tariff!$L$33))</f>
        <v>0</v>
      </c>
      <c r="D235" s="113">
        <f ca="1">VLOOKUP($A235,Curves_Table,Escalation!$AL$291)</f>
        <v>1.696236647453875</v>
      </c>
      <c r="E235" s="333">
        <f t="shared" ca="1" si="25"/>
        <v>0</v>
      </c>
      <c r="F235" s="331">
        <f ca="1">IF($A235&gt;Endyr,0,VLOOKUP($A235,Tariff_Table,Tariff!$M$33))</f>
        <v>0</v>
      </c>
      <c r="G235" s="333">
        <f t="shared" ca="1" si="26"/>
        <v>0</v>
      </c>
      <c r="H235" s="334">
        <f ca="1">VLOOKUP($A235,Plant_Table,'Plant Operations'!$T$270)</f>
        <v>0</v>
      </c>
      <c r="I235" s="335">
        <f t="shared" ca="1" si="27"/>
        <v>0</v>
      </c>
      <c r="J235" s="698" t="str">
        <f t="shared" ca="1" si="28"/>
        <v xml:space="preserve"> </v>
      </c>
      <c r="L235" s="699">
        <f ca="1">IF($A235&lt;Startops2,0,VLOOKUP($A235,Tariff_Table,Tariff!$N$33))</f>
        <v>0</v>
      </c>
      <c r="M235" s="334">
        <f t="shared" ca="1" si="29"/>
        <v>0</v>
      </c>
      <c r="N235" s="1113">
        <f t="shared" ca="1" si="30"/>
        <v>0</v>
      </c>
      <c r="O235" s="1113">
        <f ca="1">IF($A235&gt;Endyr,0,VLOOKUP($A235,Tariff_Table,Tariff!$O$33))</f>
        <v>0</v>
      </c>
      <c r="P235" s="113">
        <f ca="1">VLOOKUP($A235,Curves_Table,Escalation!$AP$291)</f>
        <v>1.7754357291063123</v>
      </c>
      <c r="Q235" s="328">
        <f t="shared" ca="1" si="31"/>
        <v>0</v>
      </c>
      <c r="R235" s="692" t="str">
        <f t="shared" ca="1" si="24"/>
        <v xml:space="preserve"> </v>
      </c>
    </row>
    <row r="236" spans="1:18">
      <c r="A236" s="672">
        <f>'Annex 12-Gas'!A236</f>
        <v>43770</v>
      </c>
      <c r="C236" s="697">
        <f ca="1">IF($A236&gt;Endyr,0,VLOOKUP($A236,Tariff_Table,Tariff!$L$33))</f>
        <v>0</v>
      </c>
      <c r="D236" s="113">
        <f ca="1">VLOOKUP($A236,Curves_Table,Escalation!$AL$291)</f>
        <v>1.696236647453875</v>
      </c>
      <c r="E236" s="333">
        <f t="shared" ca="1" si="25"/>
        <v>0</v>
      </c>
      <c r="F236" s="331">
        <f ca="1">IF($A236&gt;Endyr,0,VLOOKUP($A236,Tariff_Table,Tariff!$M$33))</f>
        <v>0</v>
      </c>
      <c r="G236" s="333">
        <f t="shared" ca="1" si="26"/>
        <v>0</v>
      </c>
      <c r="H236" s="334">
        <f ca="1">VLOOKUP($A236,Plant_Table,'Plant Operations'!$T$270)</f>
        <v>0</v>
      </c>
      <c r="I236" s="335">
        <f t="shared" ca="1" si="27"/>
        <v>0</v>
      </c>
      <c r="J236" s="698" t="str">
        <f t="shared" ca="1" si="28"/>
        <v xml:space="preserve"> </v>
      </c>
      <c r="L236" s="699">
        <f ca="1">IF($A236&lt;Startops2,0,VLOOKUP($A236,Tariff_Table,Tariff!$N$33))</f>
        <v>0</v>
      </c>
      <c r="M236" s="334">
        <f t="shared" ca="1" si="29"/>
        <v>0</v>
      </c>
      <c r="N236" s="1113">
        <f t="shared" ca="1" si="30"/>
        <v>0</v>
      </c>
      <c r="O236" s="1113">
        <f ca="1">IF($A236&gt;Endyr,0,VLOOKUP($A236,Tariff_Table,Tariff!$O$33))</f>
        <v>0</v>
      </c>
      <c r="P236" s="113">
        <f ca="1">VLOOKUP($A236,Curves_Table,Escalation!$AP$291)</f>
        <v>1.7754357291063123</v>
      </c>
      <c r="Q236" s="328">
        <f t="shared" ca="1" si="31"/>
        <v>0</v>
      </c>
      <c r="R236" s="692" t="str">
        <f t="shared" ca="1" si="24"/>
        <v xml:space="preserve"> </v>
      </c>
    </row>
    <row r="237" spans="1:18">
      <c r="A237" s="672">
        <f>'Annex 12-Gas'!A237</f>
        <v>43800</v>
      </c>
      <c r="C237" s="697">
        <f ca="1">IF($A237&gt;Endyr,0,VLOOKUP($A237,Tariff_Table,Tariff!$L$33))</f>
        <v>0</v>
      </c>
      <c r="D237" s="113">
        <f ca="1">VLOOKUP($A237,Curves_Table,Escalation!$AL$291)</f>
        <v>1.696236647453875</v>
      </c>
      <c r="E237" s="333">
        <f t="shared" ca="1" si="25"/>
        <v>0</v>
      </c>
      <c r="F237" s="331">
        <f ca="1">IF($A237&gt;Endyr,0,VLOOKUP($A237,Tariff_Table,Tariff!$M$33))</f>
        <v>0</v>
      </c>
      <c r="G237" s="333">
        <f t="shared" ca="1" si="26"/>
        <v>0</v>
      </c>
      <c r="H237" s="334">
        <f ca="1">VLOOKUP($A237,Plant_Table,'Plant Operations'!$T$270)</f>
        <v>0</v>
      </c>
      <c r="I237" s="335">
        <f t="shared" ca="1" si="27"/>
        <v>0</v>
      </c>
      <c r="J237" s="698">
        <f t="shared" ca="1" si="28"/>
        <v>18248.420909313816</v>
      </c>
      <c r="L237" s="699">
        <f ca="1">IF($A237&lt;Startops2,0,VLOOKUP($A237,Tariff_Table,Tariff!$N$33))</f>
        <v>0</v>
      </c>
      <c r="M237" s="334">
        <f t="shared" ca="1" si="29"/>
        <v>0</v>
      </c>
      <c r="N237" s="1113">
        <f t="shared" ca="1" si="30"/>
        <v>0</v>
      </c>
      <c r="O237" s="1113">
        <f ca="1">IF($A237&gt;Endyr,0,VLOOKUP($A237,Tariff_Table,Tariff!$O$33))</f>
        <v>0</v>
      </c>
      <c r="P237" s="113">
        <f ca="1">VLOOKUP($A237,Curves_Table,Escalation!$AP$291)</f>
        <v>1.7754357291063123</v>
      </c>
      <c r="Q237" s="328">
        <f t="shared" ca="1" si="31"/>
        <v>0</v>
      </c>
      <c r="R237" s="692">
        <f t="shared" ca="1" si="24"/>
        <v>22531.500870964843</v>
      </c>
    </row>
    <row r="238" spans="1:18">
      <c r="A238" s="672">
        <f>'Annex 12-Gas'!A238</f>
        <v>43831</v>
      </c>
      <c r="C238" s="697">
        <f ca="1">IF($A238&gt;Endyr,0,VLOOKUP($A238,Tariff_Table,Tariff!$L$33))</f>
        <v>0</v>
      </c>
      <c r="D238" s="113">
        <f ca="1">VLOOKUP($A238,Curves_Table,Escalation!$AL$291)</f>
        <v>1.696236647453875</v>
      </c>
      <c r="E238" s="333">
        <f t="shared" ca="1" si="25"/>
        <v>0</v>
      </c>
      <c r="F238" s="331">
        <f ca="1">IF($A238&gt;Endyr,0,VLOOKUP($A238,Tariff_Table,Tariff!$M$33))</f>
        <v>0</v>
      </c>
      <c r="G238" s="333">
        <f t="shared" ca="1" si="26"/>
        <v>0</v>
      </c>
      <c r="H238" s="334">
        <f ca="1">VLOOKUP($A238,Plant_Table,'Plant Operations'!$T$270)</f>
        <v>0</v>
      </c>
      <c r="I238" s="335">
        <f t="shared" ca="1" si="27"/>
        <v>0</v>
      </c>
      <c r="J238" s="698" t="str">
        <f t="shared" ca="1" si="28"/>
        <v xml:space="preserve"> </v>
      </c>
      <c r="L238" s="699">
        <f ca="1">IF($A238&lt;Startops2,0,VLOOKUP($A238,Tariff_Table,Tariff!$N$33))</f>
        <v>0</v>
      </c>
      <c r="M238" s="334">
        <f t="shared" ca="1" si="29"/>
        <v>0</v>
      </c>
      <c r="N238" s="1113">
        <f t="shared" ca="1" si="30"/>
        <v>0</v>
      </c>
      <c r="O238" s="1113">
        <f ca="1">IF($A238&gt;Endyr,0,VLOOKUP($A238,Tariff_Table,Tariff!$O$33))</f>
        <v>0</v>
      </c>
      <c r="P238" s="113">
        <f ca="1">VLOOKUP($A238,Curves_Table,Escalation!$AP$291)</f>
        <v>1.7754357291063123</v>
      </c>
      <c r="Q238" s="328">
        <f t="shared" ca="1" si="31"/>
        <v>0</v>
      </c>
      <c r="R238" s="692" t="str">
        <f t="shared" ca="1" si="24"/>
        <v xml:space="preserve"> </v>
      </c>
    </row>
    <row r="239" spans="1:18">
      <c r="A239" s="672">
        <f>'Annex 12-Gas'!A239</f>
        <v>43862</v>
      </c>
      <c r="C239" s="697">
        <f ca="1">IF($A239&gt;Endyr,0,VLOOKUP($A239,Tariff_Table,Tariff!$L$33))</f>
        <v>0</v>
      </c>
      <c r="D239" s="113">
        <f ca="1">VLOOKUP($A239,Curves_Table,Escalation!$AL$291)</f>
        <v>1.696236647453875</v>
      </c>
      <c r="E239" s="333">
        <f t="shared" ca="1" si="25"/>
        <v>0</v>
      </c>
      <c r="F239" s="331">
        <f ca="1">IF($A239&gt;Endyr,0,VLOOKUP($A239,Tariff_Table,Tariff!$M$33))</f>
        <v>0</v>
      </c>
      <c r="G239" s="333">
        <f t="shared" ca="1" si="26"/>
        <v>0</v>
      </c>
      <c r="H239" s="334">
        <f ca="1">VLOOKUP($A239,Plant_Table,'Plant Operations'!$T$270)</f>
        <v>0</v>
      </c>
      <c r="I239" s="335">
        <f t="shared" ca="1" si="27"/>
        <v>0</v>
      </c>
      <c r="J239" s="698" t="str">
        <f t="shared" ca="1" si="28"/>
        <v xml:space="preserve"> </v>
      </c>
      <c r="L239" s="699">
        <f ca="1">IF($A239&lt;Startops2,0,VLOOKUP($A239,Tariff_Table,Tariff!$N$33))</f>
        <v>0</v>
      </c>
      <c r="M239" s="334">
        <f t="shared" ca="1" si="29"/>
        <v>0</v>
      </c>
      <c r="N239" s="1113">
        <f t="shared" ca="1" si="30"/>
        <v>0</v>
      </c>
      <c r="O239" s="1113">
        <f ca="1">IF($A239&gt;Endyr,0,VLOOKUP($A239,Tariff_Table,Tariff!$O$33))</f>
        <v>0</v>
      </c>
      <c r="P239" s="113">
        <f ca="1">VLOOKUP($A239,Curves_Table,Escalation!$AP$291)</f>
        <v>1.7754357291063123</v>
      </c>
      <c r="Q239" s="328">
        <f t="shared" ca="1" si="31"/>
        <v>0</v>
      </c>
      <c r="R239" s="692" t="str">
        <f t="shared" ca="1" si="24"/>
        <v xml:space="preserve"> </v>
      </c>
    </row>
    <row r="240" spans="1:18">
      <c r="A240" s="672">
        <f>'Annex 12-Gas'!A240</f>
        <v>43891</v>
      </c>
      <c r="C240" s="697">
        <f ca="1">IF($A240&gt;Endyr,0,VLOOKUP($A240,Tariff_Table,Tariff!$L$33))</f>
        <v>0</v>
      </c>
      <c r="D240" s="113">
        <f ca="1">VLOOKUP($A240,Curves_Table,Escalation!$AL$291)</f>
        <v>1.696236647453875</v>
      </c>
      <c r="E240" s="333">
        <f t="shared" ca="1" si="25"/>
        <v>0</v>
      </c>
      <c r="F240" s="331">
        <f ca="1">IF($A240&gt;Endyr,0,VLOOKUP($A240,Tariff_Table,Tariff!$M$33))</f>
        <v>0</v>
      </c>
      <c r="G240" s="333">
        <f t="shared" ca="1" si="26"/>
        <v>0</v>
      </c>
      <c r="H240" s="334">
        <f ca="1">VLOOKUP($A240,Plant_Table,'Plant Operations'!$T$270)</f>
        <v>0</v>
      </c>
      <c r="I240" s="335">
        <f t="shared" ca="1" si="27"/>
        <v>0</v>
      </c>
      <c r="J240" s="698" t="str">
        <f t="shared" ca="1" si="28"/>
        <v xml:space="preserve"> </v>
      </c>
      <c r="L240" s="699">
        <f ca="1">IF($A240&lt;Startops2,0,VLOOKUP($A240,Tariff_Table,Tariff!$N$33))</f>
        <v>0</v>
      </c>
      <c r="M240" s="334">
        <f t="shared" ca="1" si="29"/>
        <v>0</v>
      </c>
      <c r="N240" s="1113">
        <f t="shared" ca="1" si="30"/>
        <v>0</v>
      </c>
      <c r="O240" s="1113">
        <f ca="1">IF($A240&gt;Endyr,0,VLOOKUP($A240,Tariff_Table,Tariff!$O$33))</f>
        <v>0</v>
      </c>
      <c r="P240" s="113">
        <f ca="1">VLOOKUP($A240,Curves_Table,Escalation!$AP$291)</f>
        <v>1.7754357291063123</v>
      </c>
      <c r="Q240" s="328">
        <f t="shared" ca="1" si="31"/>
        <v>0</v>
      </c>
      <c r="R240" s="692" t="str">
        <f t="shared" ca="1" si="24"/>
        <v xml:space="preserve"> </v>
      </c>
    </row>
    <row r="241" spans="1:18">
      <c r="A241" s="672">
        <f>'Annex 12-Gas'!A241</f>
        <v>43922</v>
      </c>
      <c r="C241" s="697">
        <f ca="1">IF($A241&gt;Endyr,0,VLOOKUP($A241,Tariff_Table,Tariff!$L$33))</f>
        <v>0</v>
      </c>
      <c r="D241" s="113">
        <f ca="1">VLOOKUP($A241,Curves_Table,Escalation!$AL$291)</f>
        <v>1.696236647453875</v>
      </c>
      <c r="E241" s="333">
        <f t="shared" ca="1" si="25"/>
        <v>0</v>
      </c>
      <c r="F241" s="331">
        <f ca="1">IF($A241&gt;Endyr,0,VLOOKUP($A241,Tariff_Table,Tariff!$M$33))</f>
        <v>0</v>
      </c>
      <c r="G241" s="333">
        <f t="shared" ca="1" si="26"/>
        <v>0</v>
      </c>
      <c r="H241" s="334">
        <f ca="1">VLOOKUP($A241,Plant_Table,'Plant Operations'!$T$270)</f>
        <v>0</v>
      </c>
      <c r="I241" s="335">
        <f t="shared" ca="1" si="27"/>
        <v>0</v>
      </c>
      <c r="J241" s="698" t="str">
        <f t="shared" ca="1" si="28"/>
        <v xml:space="preserve"> </v>
      </c>
      <c r="L241" s="699">
        <f ca="1">IF($A241&lt;Startops2,0,VLOOKUP($A241,Tariff_Table,Tariff!$N$33))</f>
        <v>0</v>
      </c>
      <c r="M241" s="334">
        <f t="shared" ca="1" si="29"/>
        <v>0</v>
      </c>
      <c r="N241" s="1113">
        <f t="shared" ca="1" si="30"/>
        <v>0</v>
      </c>
      <c r="O241" s="1113">
        <f ca="1">IF($A241&gt;Endyr,0,VLOOKUP($A241,Tariff_Table,Tariff!$O$33))</f>
        <v>0</v>
      </c>
      <c r="P241" s="113">
        <f ca="1">VLOOKUP($A241,Curves_Table,Escalation!$AP$291)</f>
        <v>1.7754357291063123</v>
      </c>
      <c r="Q241" s="328">
        <f t="shared" ca="1" si="31"/>
        <v>0</v>
      </c>
      <c r="R241" s="692" t="str">
        <f t="shared" ca="1" si="24"/>
        <v xml:space="preserve"> </v>
      </c>
    </row>
    <row r="242" spans="1:18">
      <c r="A242" s="672">
        <f>'Annex 12-Gas'!A242</f>
        <v>43952</v>
      </c>
      <c r="C242" s="697">
        <f ca="1">IF($A242&gt;Endyr,0,VLOOKUP($A242,Tariff_Table,Tariff!$L$33))</f>
        <v>0</v>
      </c>
      <c r="D242" s="113">
        <f ca="1">VLOOKUP($A242,Curves_Table,Escalation!$AL$291)</f>
        <v>1.696236647453875</v>
      </c>
      <c r="E242" s="333">
        <f t="shared" ca="1" si="25"/>
        <v>0</v>
      </c>
      <c r="F242" s="331">
        <f ca="1">IF($A242&gt;Endyr,0,VLOOKUP($A242,Tariff_Table,Tariff!$M$33))</f>
        <v>0</v>
      </c>
      <c r="G242" s="333">
        <f t="shared" ca="1" si="26"/>
        <v>0</v>
      </c>
      <c r="H242" s="334">
        <f ca="1">VLOOKUP($A242,Plant_Table,'Plant Operations'!$T$270)</f>
        <v>0</v>
      </c>
      <c r="I242" s="335">
        <f t="shared" ca="1" si="27"/>
        <v>0</v>
      </c>
      <c r="J242" s="698" t="str">
        <f t="shared" ca="1" si="28"/>
        <v xml:space="preserve"> </v>
      </c>
      <c r="L242" s="699">
        <f ca="1">IF($A242&lt;Startops2,0,VLOOKUP($A242,Tariff_Table,Tariff!$N$33))</f>
        <v>0</v>
      </c>
      <c r="M242" s="334">
        <f t="shared" ca="1" si="29"/>
        <v>0</v>
      </c>
      <c r="N242" s="1113">
        <f t="shared" ca="1" si="30"/>
        <v>0</v>
      </c>
      <c r="O242" s="1113">
        <f ca="1">IF($A242&gt;Endyr,0,VLOOKUP($A242,Tariff_Table,Tariff!$O$33))</f>
        <v>0</v>
      </c>
      <c r="P242" s="113">
        <f ca="1">VLOOKUP($A242,Curves_Table,Escalation!$AP$291)</f>
        <v>1.7754357291063123</v>
      </c>
      <c r="Q242" s="328">
        <f t="shared" ca="1" si="31"/>
        <v>0</v>
      </c>
      <c r="R242" s="692" t="str">
        <f t="shared" ca="1" si="24"/>
        <v xml:space="preserve"> </v>
      </c>
    </row>
    <row r="243" spans="1:18">
      <c r="A243" s="672">
        <f>'Annex 12-Gas'!A243</f>
        <v>43983</v>
      </c>
      <c r="C243" s="697">
        <f ca="1">IF($A243&gt;Endyr,0,VLOOKUP($A243,Tariff_Table,Tariff!$L$33))</f>
        <v>0</v>
      </c>
      <c r="D243" s="113">
        <f ca="1">VLOOKUP($A243,Curves_Table,Escalation!$AL$291)</f>
        <v>1.696236647453875</v>
      </c>
      <c r="E243" s="333">
        <f t="shared" ca="1" si="25"/>
        <v>0</v>
      </c>
      <c r="F243" s="331">
        <f ca="1">IF($A243&gt;Endyr,0,VLOOKUP($A243,Tariff_Table,Tariff!$M$33))</f>
        <v>0</v>
      </c>
      <c r="G243" s="333">
        <f t="shared" ca="1" si="26"/>
        <v>0</v>
      </c>
      <c r="H243" s="334">
        <f ca="1">VLOOKUP($A243,Plant_Table,'Plant Operations'!$T$270)</f>
        <v>0</v>
      </c>
      <c r="I243" s="335">
        <f t="shared" ca="1" si="27"/>
        <v>0</v>
      </c>
      <c r="J243" s="698" t="str">
        <f t="shared" ca="1" si="28"/>
        <v xml:space="preserve"> </v>
      </c>
      <c r="L243" s="699">
        <f ca="1">IF($A243&lt;Startops2,0,VLOOKUP($A243,Tariff_Table,Tariff!$N$33))</f>
        <v>0</v>
      </c>
      <c r="M243" s="334">
        <f t="shared" ca="1" si="29"/>
        <v>0</v>
      </c>
      <c r="N243" s="1113">
        <f t="shared" ca="1" si="30"/>
        <v>0</v>
      </c>
      <c r="O243" s="1113">
        <f ca="1">IF($A243&gt;Endyr,0,VLOOKUP($A243,Tariff_Table,Tariff!$O$33))</f>
        <v>0</v>
      </c>
      <c r="P243" s="113">
        <f ca="1">VLOOKUP($A243,Curves_Table,Escalation!$AP$291)</f>
        <v>1.7754357291063123</v>
      </c>
      <c r="Q243" s="328">
        <f t="shared" ca="1" si="31"/>
        <v>0</v>
      </c>
      <c r="R243" s="692" t="str">
        <f t="shared" ca="1" si="24"/>
        <v xml:space="preserve"> </v>
      </c>
    </row>
    <row r="244" spans="1:18">
      <c r="A244" s="672">
        <f>'Annex 12-Gas'!A244</f>
        <v>44013</v>
      </c>
      <c r="C244" s="697">
        <f ca="1">IF($A244&gt;Endyr,0,VLOOKUP($A244,Tariff_Table,Tariff!$L$33))</f>
        <v>0</v>
      </c>
      <c r="D244" s="113">
        <f ca="1">VLOOKUP($A244,Curves_Table,Escalation!$AL$291)</f>
        <v>1.696236647453875</v>
      </c>
      <c r="E244" s="333">
        <f t="shared" ca="1" si="25"/>
        <v>0</v>
      </c>
      <c r="F244" s="331">
        <f ca="1">IF($A244&gt;Endyr,0,VLOOKUP($A244,Tariff_Table,Tariff!$M$33))</f>
        <v>0</v>
      </c>
      <c r="G244" s="333">
        <f t="shared" ca="1" si="26"/>
        <v>0</v>
      </c>
      <c r="H244" s="334">
        <f ca="1">VLOOKUP($A244,Plant_Table,'Plant Operations'!$T$270)</f>
        <v>0</v>
      </c>
      <c r="I244" s="335">
        <f t="shared" ca="1" si="27"/>
        <v>0</v>
      </c>
      <c r="J244" s="698" t="str">
        <f t="shared" ca="1" si="28"/>
        <v xml:space="preserve"> </v>
      </c>
      <c r="L244" s="699">
        <f ca="1">IF($A244&lt;Startops2,0,VLOOKUP($A244,Tariff_Table,Tariff!$N$33))</f>
        <v>0</v>
      </c>
      <c r="M244" s="334">
        <f t="shared" ca="1" si="29"/>
        <v>0</v>
      </c>
      <c r="N244" s="1113">
        <f t="shared" ca="1" si="30"/>
        <v>0</v>
      </c>
      <c r="O244" s="1113">
        <f ca="1">IF($A244&gt;Endyr,0,VLOOKUP($A244,Tariff_Table,Tariff!$O$33))</f>
        <v>0</v>
      </c>
      <c r="P244" s="113">
        <f ca="1">VLOOKUP($A244,Curves_Table,Escalation!$AP$291)</f>
        <v>1.7754357291063123</v>
      </c>
      <c r="Q244" s="328">
        <f t="shared" ca="1" si="31"/>
        <v>0</v>
      </c>
      <c r="R244" s="692" t="str">
        <f t="shared" ca="1" si="24"/>
        <v xml:space="preserve"> </v>
      </c>
    </row>
    <row r="245" spans="1:18">
      <c r="A245" s="672">
        <f>'Annex 12-Gas'!A245</f>
        <v>44044</v>
      </c>
      <c r="C245" s="697">
        <f ca="1">IF($A245&gt;Endyr,0,VLOOKUP($A245,Tariff_Table,Tariff!$L$33))</f>
        <v>0</v>
      </c>
      <c r="D245" s="113">
        <f ca="1">VLOOKUP($A245,Curves_Table,Escalation!$AL$291)</f>
        <v>1.696236647453875</v>
      </c>
      <c r="E245" s="333">
        <f t="shared" ca="1" si="25"/>
        <v>0</v>
      </c>
      <c r="F245" s="331">
        <f ca="1">IF($A245&gt;Endyr,0,VLOOKUP($A245,Tariff_Table,Tariff!$M$33))</f>
        <v>0</v>
      </c>
      <c r="G245" s="333">
        <f t="shared" ca="1" si="26"/>
        <v>0</v>
      </c>
      <c r="H245" s="334">
        <f ca="1">VLOOKUP($A245,Plant_Table,'Plant Operations'!$T$270)</f>
        <v>0</v>
      </c>
      <c r="I245" s="335">
        <f t="shared" ca="1" si="27"/>
        <v>0</v>
      </c>
      <c r="J245" s="698" t="str">
        <f t="shared" ca="1" si="28"/>
        <v xml:space="preserve"> </v>
      </c>
      <c r="L245" s="699">
        <f ca="1">IF($A245&lt;Startops2,0,VLOOKUP($A245,Tariff_Table,Tariff!$N$33))</f>
        <v>0</v>
      </c>
      <c r="M245" s="334">
        <f t="shared" ca="1" si="29"/>
        <v>0</v>
      </c>
      <c r="N245" s="1113">
        <f t="shared" ca="1" si="30"/>
        <v>0</v>
      </c>
      <c r="O245" s="1113">
        <f ca="1">IF($A245&gt;Endyr,0,VLOOKUP($A245,Tariff_Table,Tariff!$O$33))</f>
        <v>0</v>
      </c>
      <c r="P245" s="113">
        <f ca="1">VLOOKUP($A245,Curves_Table,Escalation!$AP$291)</f>
        <v>1.7754357291063123</v>
      </c>
      <c r="Q245" s="328">
        <f t="shared" ca="1" si="31"/>
        <v>0</v>
      </c>
      <c r="R245" s="692" t="str">
        <f t="shared" ca="1" si="24"/>
        <v xml:space="preserve"> </v>
      </c>
    </row>
    <row r="246" spans="1:18">
      <c r="A246" s="672">
        <f>'Annex 12-Gas'!A246</f>
        <v>44075</v>
      </c>
      <c r="C246" s="697">
        <f ca="1">IF($A246&gt;Endyr,0,VLOOKUP($A246,Tariff_Table,Tariff!$L$33))</f>
        <v>0</v>
      </c>
      <c r="D246" s="113">
        <f ca="1">VLOOKUP($A246,Curves_Table,Escalation!$AL$291)</f>
        <v>1.696236647453875</v>
      </c>
      <c r="E246" s="333">
        <f t="shared" ca="1" si="25"/>
        <v>0</v>
      </c>
      <c r="F246" s="331">
        <f ca="1">IF($A246&gt;Endyr,0,VLOOKUP($A246,Tariff_Table,Tariff!$M$33))</f>
        <v>0</v>
      </c>
      <c r="G246" s="333">
        <f t="shared" ca="1" si="26"/>
        <v>0</v>
      </c>
      <c r="H246" s="334">
        <f ca="1">VLOOKUP($A246,Plant_Table,'Plant Operations'!$T$270)</f>
        <v>0</v>
      </c>
      <c r="I246" s="335">
        <f t="shared" ca="1" si="27"/>
        <v>0</v>
      </c>
      <c r="J246" s="698" t="str">
        <f t="shared" ca="1" si="28"/>
        <v xml:space="preserve"> </v>
      </c>
      <c r="L246" s="699">
        <f ca="1">IF($A246&lt;Startops2,0,VLOOKUP($A246,Tariff_Table,Tariff!$N$33))</f>
        <v>0</v>
      </c>
      <c r="M246" s="334">
        <f t="shared" ca="1" si="29"/>
        <v>0</v>
      </c>
      <c r="N246" s="1113">
        <f t="shared" ca="1" si="30"/>
        <v>0</v>
      </c>
      <c r="O246" s="1113">
        <f ca="1">IF($A246&gt;Endyr,0,VLOOKUP($A246,Tariff_Table,Tariff!$O$33))</f>
        <v>0</v>
      </c>
      <c r="P246" s="113">
        <f ca="1">VLOOKUP($A246,Curves_Table,Escalation!$AP$291)</f>
        <v>1.7754357291063123</v>
      </c>
      <c r="Q246" s="328">
        <f t="shared" ca="1" si="31"/>
        <v>0</v>
      </c>
      <c r="R246" s="692" t="str">
        <f t="shared" ca="1" si="24"/>
        <v xml:space="preserve"> </v>
      </c>
    </row>
    <row r="247" spans="1:18">
      <c r="A247" s="672">
        <f>'Annex 12-Gas'!A247</f>
        <v>44105</v>
      </c>
      <c r="C247" s="697">
        <f ca="1">IF($A247&gt;Endyr,0,VLOOKUP($A247,Tariff_Table,Tariff!$L$33))</f>
        <v>0</v>
      </c>
      <c r="D247" s="113">
        <f ca="1">VLOOKUP($A247,Curves_Table,Escalation!$AL$291)</f>
        <v>1.696236647453875</v>
      </c>
      <c r="E247" s="333">
        <f t="shared" ca="1" si="25"/>
        <v>0</v>
      </c>
      <c r="F247" s="331">
        <f ca="1">IF($A247&gt;Endyr,0,VLOOKUP($A247,Tariff_Table,Tariff!$M$33))</f>
        <v>0</v>
      </c>
      <c r="G247" s="333">
        <f t="shared" ca="1" si="26"/>
        <v>0</v>
      </c>
      <c r="H247" s="334">
        <f ca="1">VLOOKUP($A247,Plant_Table,'Plant Operations'!$T$270)</f>
        <v>0</v>
      </c>
      <c r="I247" s="335">
        <f t="shared" ca="1" si="27"/>
        <v>0</v>
      </c>
      <c r="J247" s="698" t="str">
        <f t="shared" ca="1" si="28"/>
        <v xml:space="preserve"> </v>
      </c>
      <c r="L247" s="699">
        <f ca="1">IF($A247&lt;Startops2,0,VLOOKUP($A247,Tariff_Table,Tariff!$N$33))</f>
        <v>0</v>
      </c>
      <c r="M247" s="334">
        <f t="shared" ca="1" si="29"/>
        <v>0</v>
      </c>
      <c r="N247" s="1113">
        <f t="shared" ca="1" si="30"/>
        <v>0</v>
      </c>
      <c r="O247" s="1113">
        <f ca="1">IF($A247&gt;Endyr,0,VLOOKUP($A247,Tariff_Table,Tariff!$O$33))</f>
        <v>0</v>
      </c>
      <c r="P247" s="113">
        <f ca="1">VLOOKUP($A247,Curves_Table,Escalation!$AP$291)</f>
        <v>1.7754357291063123</v>
      </c>
      <c r="Q247" s="328">
        <f t="shared" ca="1" si="31"/>
        <v>0</v>
      </c>
      <c r="R247" s="692" t="str">
        <f t="shared" ca="1" si="24"/>
        <v xml:space="preserve"> </v>
      </c>
    </row>
    <row r="248" spans="1:18">
      <c r="A248" s="672">
        <f>'Annex 12-Gas'!A248</f>
        <v>44136</v>
      </c>
      <c r="C248" s="697">
        <f ca="1">IF($A248&gt;Endyr,0,VLOOKUP($A248,Tariff_Table,Tariff!$L$33))</f>
        <v>0</v>
      </c>
      <c r="D248" s="113">
        <f ca="1">VLOOKUP($A248,Curves_Table,Escalation!$AL$291)</f>
        <v>1.696236647453875</v>
      </c>
      <c r="E248" s="333">
        <f t="shared" ca="1" si="25"/>
        <v>0</v>
      </c>
      <c r="F248" s="331">
        <f ca="1">IF($A248&gt;Endyr,0,VLOOKUP($A248,Tariff_Table,Tariff!$M$33))</f>
        <v>0</v>
      </c>
      <c r="G248" s="333">
        <f t="shared" ca="1" si="26"/>
        <v>0</v>
      </c>
      <c r="H248" s="334">
        <f ca="1">VLOOKUP($A248,Plant_Table,'Plant Operations'!$T$270)</f>
        <v>0</v>
      </c>
      <c r="I248" s="335">
        <f t="shared" ca="1" si="27"/>
        <v>0</v>
      </c>
      <c r="J248" s="698" t="str">
        <f t="shared" ca="1" si="28"/>
        <v xml:space="preserve"> </v>
      </c>
      <c r="L248" s="699">
        <f ca="1">IF($A248&lt;Startops2,0,VLOOKUP($A248,Tariff_Table,Tariff!$N$33))</f>
        <v>0</v>
      </c>
      <c r="M248" s="334">
        <f t="shared" ca="1" si="29"/>
        <v>0</v>
      </c>
      <c r="N248" s="1113">
        <f t="shared" ca="1" si="30"/>
        <v>0</v>
      </c>
      <c r="O248" s="1113">
        <f ca="1">IF($A248&gt;Endyr,0,VLOOKUP($A248,Tariff_Table,Tariff!$O$33))</f>
        <v>0</v>
      </c>
      <c r="P248" s="113">
        <f ca="1">VLOOKUP($A248,Curves_Table,Escalation!$AP$291)</f>
        <v>1.7754357291063123</v>
      </c>
      <c r="Q248" s="328">
        <f t="shared" ca="1" si="31"/>
        <v>0</v>
      </c>
      <c r="R248" s="692" t="str">
        <f t="shared" ca="1" si="24"/>
        <v xml:space="preserve"> </v>
      </c>
    </row>
    <row r="249" spans="1:18">
      <c r="A249" s="672">
        <f>'Annex 12-Gas'!A249</f>
        <v>44166</v>
      </c>
      <c r="C249" s="697">
        <f ca="1">IF($A249&gt;Endyr,0,VLOOKUP($A249,Tariff_Table,Tariff!$L$33))</f>
        <v>0</v>
      </c>
      <c r="D249" s="113">
        <f ca="1">VLOOKUP($A249,Curves_Table,Escalation!$AL$291)</f>
        <v>1.696236647453875</v>
      </c>
      <c r="E249" s="333">
        <f t="shared" ca="1" si="25"/>
        <v>0</v>
      </c>
      <c r="F249" s="331">
        <f ca="1">IF($A249&gt;Endyr,0,VLOOKUP($A249,Tariff_Table,Tariff!$M$33))</f>
        <v>0</v>
      </c>
      <c r="G249" s="333">
        <f t="shared" ca="1" si="26"/>
        <v>0</v>
      </c>
      <c r="H249" s="334">
        <f ca="1">VLOOKUP($A249,Plant_Table,'Plant Operations'!$T$270)</f>
        <v>0</v>
      </c>
      <c r="I249" s="335">
        <f t="shared" ca="1" si="27"/>
        <v>0</v>
      </c>
      <c r="J249" s="698">
        <f t="shared" ca="1" si="28"/>
        <v>0</v>
      </c>
      <c r="L249" s="699">
        <f ca="1">IF($A249&lt;Startops2,0,VLOOKUP($A249,Tariff_Table,Tariff!$N$33))</f>
        <v>0</v>
      </c>
      <c r="M249" s="334">
        <f t="shared" ca="1" si="29"/>
        <v>0</v>
      </c>
      <c r="N249" s="1113">
        <f t="shared" ca="1" si="30"/>
        <v>0</v>
      </c>
      <c r="O249" s="1113">
        <f ca="1">IF($A249&gt;Endyr,0,VLOOKUP($A249,Tariff_Table,Tariff!$O$33))</f>
        <v>0</v>
      </c>
      <c r="P249" s="113">
        <f ca="1">VLOOKUP($A249,Curves_Table,Escalation!$AP$291)</f>
        <v>1.7754357291063123</v>
      </c>
      <c r="Q249" s="328">
        <f t="shared" ca="1" si="31"/>
        <v>0</v>
      </c>
      <c r="R249" s="692">
        <f t="shared" ca="1" si="24"/>
        <v>0</v>
      </c>
    </row>
    <row r="250" spans="1:18">
      <c r="A250" s="672">
        <f>'Annex 12-Gas'!A250</f>
        <v>44197</v>
      </c>
      <c r="C250" s="697">
        <f ca="1">IF($A250&gt;Endyr,0,VLOOKUP($A250,Tariff_Table,Tariff!$L$33))</f>
        <v>0</v>
      </c>
      <c r="D250" s="113">
        <f ca="1">VLOOKUP($A250,Curves_Table,Escalation!$AL$291)</f>
        <v>1.696236647453875</v>
      </c>
      <c r="E250" s="333">
        <f t="shared" ca="1" si="25"/>
        <v>0</v>
      </c>
      <c r="F250" s="331">
        <f ca="1">IF($A250&gt;Endyr,0,VLOOKUP($A250,Tariff_Table,Tariff!$M$33))</f>
        <v>0</v>
      </c>
      <c r="G250" s="333">
        <f t="shared" ca="1" si="26"/>
        <v>0</v>
      </c>
      <c r="H250" s="334">
        <f ca="1">VLOOKUP($A250,Plant_Table,'Plant Operations'!$T$270)</f>
        <v>0</v>
      </c>
      <c r="I250" s="335">
        <f t="shared" ca="1" si="27"/>
        <v>0</v>
      </c>
      <c r="J250" s="698" t="str">
        <f t="shared" ca="1" si="28"/>
        <v xml:space="preserve"> </v>
      </c>
      <c r="L250" s="699">
        <f ca="1">IF($A250&lt;Startops2,0,VLOOKUP($A250,Tariff_Table,Tariff!$N$33))</f>
        <v>0</v>
      </c>
      <c r="M250" s="334">
        <f t="shared" ca="1" si="29"/>
        <v>0</v>
      </c>
      <c r="N250" s="1113">
        <f t="shared" ca="1" si="30"/>
        <v>0</v>
      </c>
      <c r="O250" s="1113">
        <f ca="1">IF($A250&gt;Endyr,0,VLOOKUP($A250,Tariff_Table,Tariff!$O$33))</f>
        <v>0</v>
      </c>
      <c r="P250" s="113">
        <f ca="1">VLOOKUP($A250,Curves_Table,Escalation!$AP$291)</f>
        <v>1.7754357291063123</v>
      </c>
      <c r="Q250" s="328">
        <f t="shared" ca="1" si="31"/>
        <v>0</v>
      </c>
      <c r="R250" s="692" t="str">
        <f t="shared" ca="1" si="24"/>
        <v xml:space="preserve"> </v>
      </c>
    </row>
    <row r="251" spans="1:18">
      <c r="A251" s="672">
        <f>'Annex 12-Gas'!A251</f>
        <v>44228</v>
      </c>
      <c r="C251" s="697">
        <f ca="1">IF($A251&gt;Endyr,0,VLOOKUP($A251,Tariff_Table,Tariff!$L$33))</f>
        <v>0</v>
      </c>
      <c r="D251" s="113">
        <f ca="1">VLOOKUP($A251,Curves_Table,Escalation!$AL$291)</f>
        <v>1.696236647453875</v>
      </c>
      <c r="E251" s="333">
        <f t="shared" ca="1" si="25"/>
        <v>0</v>
      </c>
      <c r="F251" s="331">
        <f ca="1">IF($A251&gt;Endyr,0,VLOOKUP($A251,Tariff_Table,Tariff!$M$33))</f>
        <v>0</v>
      </c>
      <c r="G251" s="333">
        <f t="shared" ca="1" si="26"/>
        <v>0</v>
      </c>
      <c r="H251" s="334">
        <f ca="1">VLOOKUP($A251,Plant_Table,'Plant Operations'!$T$270)</f>
        <v>0</v>
      </c>
      <c r="I251" s="335">
        <f t="shared" ca="1" si="27"/>
        <v>0</v>
      </c>
      <c r="J251" s="698" t="str">
        <f t="shared" ca="1" si="28"/>
        <v xml:space="preserve"> </v>
      </c>
      <c r="L251" s="699">
        <f ca="1">IF($A251&lt;Startops2,0,VLOOKUP($A251,Tariff_Table,Tariff!$N$33))</f>
        <v>0</v>
      </c>
      <c r="M251" s="334">
        <f t="shared" ca="1" si="29"/>
        <v>0</v>
      </c>
      <c r="N251" s="1113">
        <f t="shared" ca="1" si="30"/>
        <v>0</v>
      </c>
      <c r="O251" s="1113">
        <f ca="1">IF($A251&gt;Endyr,0,VLOOKUP($A251,Tariff_Table,Tariff!$O$33))</f>
        <v>0</v>
      </c>
      <c r="P251" s="113">
        <f ca="1">VLOOKUP($A251,Curves_Table,Escalation!$AP$291)</f>
        <v>1.7754357291063123</v>
      </c>
      <c r="Q251" s="328">
        <f t="shared" ca="1" si="31"/>
        <v>0</v>
      </c>
      <c r="R251" s="692" t="str">
        <f t="shared" ca="1" si="24"/>
        <v xml:space="preserve"> </v>
      </c>
    </row>
    <row r="252" spans="1:18">
      <c r="A252" s="672">
        <f>'Annex 12-Gas'!A252</f>
        <v>44256</v>
      </c>
      <c r="C252" s="697">
        <f ca="1">IF($A252&gt;Endyr,0,VLOOKUP($A252,Tariff_Table,Tariff!$L$33))</f>
        <v>0</v>
      </c>
      <c r="D252" s="113">
        <f ca="1">VLOOKUP($A252,Curves_Table,Escalation!$AL$291)</f>
        <v>1.696236647453875</v>
      </c>
      <c r="E252" s="333">
        <f t="shared" ca="1" si="25"/>
        <v>0</v>
      </c>
      <c r="F252" s="331">
        <f ca="1">IF($A252&gt;Endyr,0,VLOOKUP($A252,Tariff_Table,Tariff!$M$33))</f>
        <v>0</v>
      </c>
      <c r="G252" s="333">
        <f t="shared" ca="1" si="26"/>
        <v>0</v>
      </c>
      <c r="H252" s="334">
        <f ca="1">VLOOKUP($A252,Plant_Table,'Plant Operations'!$T$270)</f>
        <v>0</v>
      </c>
      <c r="I252" s="335">
        <f t="shared" ca="1" si="27"/>
        <v>0</v>
      </c>
      <c r="J252" s="698" t="str">
        <f t="shared" ca="1" si="28"/>
        <v xml:space="preserve"> </v>
      </c>
      <c r="L252" s="699">
        <f ca="1">IF($A252&lt;Startops2,0,VLOOKUP($A252,Tariff_Table,Tariff!$N$33))</f>
        <v>0</v>
      </c>
      <c r="M252" s="334">
        <f t="shared" ca="1" si="29"/>
        <v>0</v>
      </c>
      <c r="N252" s="1113">
        <f t="shared" ca="1" si="30"/>
        <v>0</v>
      </c>
      <c r="O252" s="1113">
        <f ca="1">IF($A252&gt;Endyr,0,VLOOKUP($A252,Tariff_Table,Tariff!$O$33))</f>
        <v>0</v>
      </c>
      <c r="P252" s="113">
        <f ca="1">VLOOKUP($A252,Curves_Table,Escalation!$AP$291)</f>
        <v>1.7754357291063123</v>
      </c>
      <c r="Q252" s="328">
        <f t="shared" ca="1" si="31"/>
        <v>0</v>
      </c>
      <c r="R252" s="692" t="str">
        <f t="shared" ca="1" si="24"/>
        <v xml:space="preserve"> </v>
      </c>
    </row>
    <row r="253" spans="1:18">
      <c r="A253" s="672">
        <f>'Annex 12-Gas'!A253</f>
        <v>44287</v>
      </c>
      <c r="C253" s="697">
        <f ca="1">IF($A253&gt;Endyr,0,VLOOKUP($A253,Tariff_Table,Tariff!$L$33))</f>
        <v>0</v>
      </c>
      <c r="D253" s="113">
        <f ca="1">VLOOKUP($A253,Curves_Table,Escalation!$AL$291)</f>
        <v>1.696236647453875</v>
      </c>
      <c r="E253" s="333">
        <f t="shared" ca="1" si="25"/>
        <v>0</v>
      </c>
      <c r="F253" s="331">
        <f ca="1">IF($A253&gt;Endyr,0,VLOOKUP($A253,Tariff_Table,Tariff!$M$33))</f>
        <v>0</v>
      </c>
      <c r="G253" s="333">
        <f t="shared" ca="1" si="26"/>
        <v>0</v>
      </c>
      <c r="H253" s="334">
        <f ca="1">VLOOKUP($A253,Plant_Table,'Plant Operations'!$T$270)</f>
        <v>0</v>
      </c>
      <c r="I253" s="335">
        <f t="shared" ca="1" si="27"/>
        <v>0</v>
      </c>
      <c r="J253" s="698" t="str">
        <f t="shared" ca="1" si="28"/>
        <v xml:space="preserve"> </v>
      </c>
      <c r="L253" s="699">
        <f ca="1">IF($A253&lt;Startops2,0,VLOOKUP($A253,Tariff_Table,Tariff!$N$33))</f>
        <v>0</v>
      </c>
      <c r="M253" s="334">
        <f t="shared" ca="1" si="29"/>
        <v>0</v>
      </c>
      <c r="N253" s="1113">
        <f t="shared" ca="1" si="30"/>
        <v>0</v>
      </c>
      <c r="O253" s="1113">
        <f ca="1">IF($A253&gt;Endyr,0,VLOOKUP($A253,Tariff_Table,Tariff!$O$33))</f>
        <v>0</v>
      </c>
      <c r="P253" s="113">
        <f ca="1">VLOOKUP($A253,Curves_Table,Escalation!$AP$291)</f>
        <v>1.7754357291063123</v>
      </c>
      <c r="Q253" s="328">
        <f t="shared" ca="1" si="31"/>
        <v>0</v>
      </c>
      <c r="R253" s="692" t="str">
        <f t="shared" ca="1" si="24"/>
        <v xml:space="preserve"> </v>
      </c>
    </row>
    <row r="254" spans="1:18">
      <c r="A254" s="672">
        <f>'Annex 12-Gas'!A254</f>
        <v>44317</v>
      </c>
      <c r="C254" s="697">
        <f ca="1">IF($A254&gt;Endyr,0,VLOOKUP($A254,Tariff_Table,Tariff!$L$33))</f>
        <v>0</v>
      </c>
      <c r="D254" s="113">
        <f ca="1">VLOOKUP($A254,Curves_Table,Escalation!$AL$291)</f>
        <v>1.696236647453875</v>
      </c>
      <c r="E254" s="333">
        <f t="shared" ca="1" si="25"/>
        <v>0</v>
      </c>
      <c r="F254" s="331">
        <f ca="1">IF($A254&gt;Endyr,0,VLOOKUP($A254,Tariff_Table,Tariff!$M$33))</f>
        <v>0</v>
      </c>
      <c r="G254" s="333">
        <f t="shared" ca="1" si="26"/>
        <v>0</v>
      </c>
      <c r="H254" s="334">
        <f ca="1">VLOOKUP($A254,Plant_Table,'Plant Operations'!$T$270)</f>
        <v>0</v>
      </c>
      <c r="I254" s="335">
        <f t="shared" ca="1" si="27"/>
        <v>0</v>
      </c>
      <c r="J254" s="698" t="str">
        <f t="shared" ca="1" si="28"/>
        <v xml:space="preserve"> </v>
      </c>
      <c r="L254" s="699">
        <f ca="1">IF($A254&lt;Startops2,0,VLOOKUP($A254,Tariff_Table,Tariff!$N$33))</f>
        <v>0</v>
      </c>
      <c r="M254" s="334">
        <f t="shared" ca="1" si="29"/>
        <v>0</v>
      </c>
      <c r="N254" s="1113">
        <f t="shared" ca="1" si="30"/>
        <v>0</v>
      </c>
      <c r="O254" s="1113">
        <f ca="1">IF($A254&gt;Endyr,0,VLOOKUP($A254,Tariff_Table,Tariff!$O$33))</f>
        <v>0</v>
      </c>
      <c r="P254" s="113">
        <f ca="1">VLOOKUP($A254,Curves_Table,Escalation!$AP$291)</f>
        <v>1.7754357291063123</v>
      </c>
      <c r="Q254" s="328">
        <f t="shared" ca="1" si="31"/>
        <v>0</v>
      </c>
      <c r="R254" s="692" t="str">
        <f t="shared" ca="1" si="24"/>
        <v xml:space="preserve"> </v>
      </c>
    </row>
    <row r="255" spans="1:18">
      <c r="A255" s="672">
        <f>'Annex 12-Gas'!A255</f>
        <v>44348</v>
      </c>
      <c r="C255" s="697">
        <f ca="1">IF($A255&gt;Endyr,0,VLOOKUP($A255,Tariff_Table,Tariff!$L$33))</f>
        <v>0</v>
      </c>
      <c r="D255" s="113">
        <f ca="1">VLOOKUP($A255,Curves_Table,Escalation!$AL$291)</f>
        <v>1.696236647453875</v>
      </c>
      <c r="E255" s="333">
        <f t="shared" ca="1" si="25"/>
        <v>0</v>
      </c>
      <c r="F255" s="331">
        <f ca="1">IF($A255&gt;Endyr,0,VLOOKUP($A255,Tariff_Table,Tariff!$M$33))</f>
        <v>0</v>
      </c>
      <c r="G255" s="333">
        <f t="shared" ca="1" si="26"/>
        <v>0</v>
      </c>
      <c r="H255" s="334">
        <f ca="1">VLOOKUP($A255,Plant_Table,'Plant Operations'!$T$270)</f>
        <v>0</v>
      </c>
      <c r="I255" s="335">
        <f t="shared" ca="1" si="27"/>
        <v>0</v>
      </c>
      <c r="J255" s="698" t="str">
        <f t="shared" ca="1" si="28"/>
        <v xml:space="preserve"> </v>
      </c>
      <c r="L255" s="699">
        <f ca="1">IF($A255&lt;Startops2,0,VLOOKUP($A255,Tariff_Table,Tariff!$N$33))</f>
        <v>0</v>
      </c>
      <c r="M255" s="334">
        <f t="shared" ca="1" si="29"/>
        <v>0</v>
      </c>
      <c r="N255" s="1113">
        <f t="shared" ca="1" si="30"/>
        <v>0</v>
      </c>
      <c r="O255" s="1113">
        <f ca="1">IF($A255&gt;Endyr,0,VLOOKUP($A255,Tariff_Table,Tariff!$O$33))</f>
        <v>0</v>
      </c>
      <c r="P255" s="113">
        <f ca="1">VLOOKUP($A255,Curves_Table,Escalation!$AP$291)</f>
        <v>1.7754357291063123</v>
      </c>
      <c r="Q255" s="328">
        <f t="shared" ca="1" si="31"/>
        <v>0</v>
      </c>
      <c r="R255" s="692" t="str">
        <f t="shared" ca="1" si="24"/>
        <v xml:space="preserve"> </v>
      </c>
    </row>
    <row r="256" spans="1:18">
      <c r="A256" s="672">
        <f>'Annex 12-Gas'!A256</f>
        <v>44378</v>
      </c>
      <c r="C256" s="697">
        <f ca="1">IF($A256&gt;Endyr,0,VLOOKUP($A256,Tariff_Table,Tariff!$L$33))</f>
        <v>0</v>
      </c>
      <c r="D256" s="113">
        <f ca="1">VLOOKUP($A256,Curves_Table,Escalation!$AL$291)</f>
        <v>1.696236647453875</v>
      </c>
      <c r="E256" s="333">
        <f t="shared" ca="1" si="25"/>
        <v>0</v>
      </c>
      <c r="F256" s="331">
        <f ca="1">IF($A256&gt;Endyr,0,VLOOKUP($A256,Tariff_Table,Tariff!$M$33))</f>
        <v>0</v>
      </c>
      <c r="G256" s="333">
        <f t="shared" ca="1" si="26"/>
        <v>0</v>
      </c>
      <c r="H256" s="334">
        <f ca="1">VLOOKUP($A256,Plant_Table,'Plant Operations'!$T$270)</f>
        <v>0</v>
      </c>
      <c r="I256" s="335">
        <f t="shared" ca="1" si="27"/>
        <v>0</v>
      </c>
      <c r="J256" s="698" t="str">
        <f t="shared" ca="1" si="28"/>
        <v xml:space="preserve"> </v>
      </c>
      <c r="L256" s="699">
        <f ca="1">IF($A256&lt;Startops2,0,VLOOKUP($A256,Tariff_Table,Tariff!$N$33))</f>
        <v>0</v>
      </c>
      <c r="M256" s="334">
        <f t="shared" ca="1" si="29"/>
        <v>0</v>
      </c>
      <c r="N256" s="1113">
        <f t="shared" ca="1" si="30"/>
        <v>0</v>
      </c>
      <c r="O256" s="1113">
        <f ca="1">IF($A256&gt;Endyr,0,VLOOKUP($A256,Tariff_Table,Tariff!$O$33))</f>
        <v>0</v>
      </c>
      <c r="P256" s="113">
        <f ca="1">VLOOKUP($A256,Curves_Table,Escalation!$AP$291)</f>
        <v>1.7754357291063123</v>
      </c>
      <c r="Q256" s="328">
        <f t="shared" ca="1" si="31"/>
        <v>0</v>
      </c>
      <c r="R256" s="692" t="str">
        <f t="shared" ca="1" si="24"/>
        <v xml:space="preserve"> </v>
      </c>
    </row>
    <row r="257" spans="1:18">
      <c r="A257" s="672">
        <f>'Annex 12-Gas'!A257</f>
        <v>44409</v>
      </c>
      <c r="C257" s="697">
        <f ca="1">IF($A257&gt;Endyr,0,VLOOKUP($A257,Tariff_Table,Tariff!$L$33))</f>
        <v>0</v>
      </c>
      <c r="D257" s="113">
        <f ca="1">VLOOKUP($A257,Curves_Table,Escalation!$AL$291)</f>
        <v>1.696236647453875</v>
      </c>
      <c r="E257" s="333">
        <f t="shared" ca="1" si="25"/>
        <v>0</v>
      </c>
      <c r="F257" s="331">
        <f ca="1">IF($A257&gt;Endyr,0,VLOOKUP($A257,Tariff_Table,Tariff!$M$33))</f>
        <v>0</v>
      </c>
      <c r="G257" s="333">
        <f t="shared" ca="1" si="26"/>
        <v>0</v>
      </c>
      <c r="H257" s="334">
        <f ca="1">VLOOKUP($A257,Plant_Table,'Plant Operations'!$T$270)</f>
        <v>0</v>
      </c>
      <c r="I257" s="335">
        <f t="shared" ca="1" si="27"/>
        <v>0</v>
      </c>
      <c r="J257" s="698" t="str">
        <f t="shared" ca="1" si="28"/>
        <v xml:space="preserve"> </v>
      </c>
      <c r="L257" s="699">
        <f ca="1">IF($A257&lt;Startops2,0,VLOOKUP($A257,Tariff_Table,Tariff!$N$33))</f>
        <v>0</v>
      </c>
      <c r="M257" s="334">
        <f t="shared" ca="1" si="29"/>
        <v>0</v>
      </c>
      <c r="N257" s="1113">
        <f t="shared" ca="1" si="30"/>
        <v>0</v>
      </c>
      <c r="O257" s="1113">
        <f ca="1">IF($A257&gt;Endyr,0,VLOOKUP($A257,Tariff_Table,Tariff!$O$33))</f>
        <v>0</v>
      </c>
      <c r="P257" s="113">
        <f ca="1">VLOOKUP($A257,Curves_Table,Escalation!$AP$291)</f>
        <v>1.7754357291063123</v>
      </c>
      <c r="Q257" s="328">
        <f t="shared" ca="1" si="31"/>
        <v>0</v>
      </c>
      <c r="R257" s="692" t="str">
        <f t="shared" ca="1" si="24"/>
        <v xml:space="preserve"> </v>
      </c>
    </row>
    <row r="258" spans="1:18">
      <c r="A258" s="672">
        <f>'Annex 12-Gas'!A258</f>
        <v>44440</v>
      </c>
      <c r="C258" s="697">
        <f ca="1">IF($A258&gt;Endyr,0,VLOOKUP($A258,Tariff_Table,Tariff!$L$33))</f>
        <v>0</v>
      </c>
      <c r="D258" s="113">
        <f ca="1">VLOOKUP($A258,Curves_Table,Escalation!$AL$291)</f>
        <v>1.696236647453875</v>
      </c>
      <c r="E258" s="333">
        <f t="shared" ca="1" si="25"/>
        <v>0</v>
      </c>
      <c r="F258" s="331">
        <f ca="1">IF($A258&gt;Endyr,0,VLOOKUP($A258,Tariff_Table,Tariff!$M$33))</f>
        <v>0</v>
      </c>
      <c r="G258" s="333">
        <f t="shared" ca="1" si="26"/>
        <v>0</v>
      </c>
      <c r="H258" s="334">
        <f ca="1">VLOOKUP($A258,Plant_Table,'Plant Operations'!$T$270)</f>
        <v>0</v>
      </c>
      <c r="I258" s="335">
        <f t="shared" ca="1" si="27"/>
        <v>0</v>
      </c>
      <c r="J258" s="698" t="str">
        <f t="shared" ca="1" si="28"/>
        <v xml:space="preserve"> </v>
      </c>
      <c r="L258" s="699">
        <f ca="1">IF($A258&lt;Startops2,0,VLOOKUP($A258,Tariff_Table,Tariff!$N$33))</f>
        <v>0</v>
      </c>
      <c r="M258" s="334">
        <f t="shared" ca="1" si="29"/>
        <v>0</v>
      </c>
      <c r="N258" s="1113">
        <f t="shared" ca="1" si="30"/>
        <v>0</v>
      </c>
      <c r="O258" s="1113">
        <f ca="1">IF($A258&gt;Endyr,0,VLOOKUP($A258,Tariff_Table,Tariff!$O$33))</f>
        <v>0</v>
      </c>
      <c r="P258" s="113">
        <f ca="1">VLOOKUP($A258,Curves_Table,Escalation!$AP$291)</f>
        <v>1.7754357291063123</v>
      </c>
      <c r="Q258" s="328">
        <f t="shared" ca="1" si="31"/>
        <v>0</v>
      </c>
      <c r="R258" s="692" t="str">
        <f t="shared" ca="1" si="24"/>
        <v xml:space="preserve"> </v>
      </c>
    </row>
    <row r="259" spans="1:18">
      <c r="A259" s="672">
        <f>'Annex 12-Gas'!A259</f>
        <v>44470</v>
      </c>
      <c r="C259" s="697">
        <f ca="1">IF($A259&gt;Endyr,0,VLOOKUP($A259,Tariff_Table,Tariff!$L$33))</f>
        <v>0</v>
      </c>
      <c r="D259" s="113">
        <f ca="1">VLOOKUP($A259,Curves_Table,Escalation!$AL$291)</f>
        <v>1.696236647453875</v>
      </c>
      <c r="E259" s="333">
        <f t="shared" ca="1" si="25"/>
        <v>0</v>
      </c>
      <c r="F259" s="331">
        <f ca="1">IF($A259&gt;Endyr,0,VLOOKUP($A259,Tariff_Table,Tariff!$M$33))</f>
        <v>0</v>
      </c>
      <c r="G259" s="333">
        <f t="shared" ca="1" si="26"/>
        <v>0</v>
      </c>
      <c r="H259" s="334">
        <f ca="1">VLOOKUP($A259,Plant_Table,'Plant Operations'!$T$270)</f>
        <v>0</v>
      </c>
      <c r="I259" s="335">
        <f t="shared" ca="1" si="27"/>
        <v>0</v>
      </c>
      <c r="J259" s="698" t="str">
        <f t="shared" ca="1" si="28"/>
        <v xml:space="preserve"> </v>
      </c>
      <c r="L259" s="699">
        <f ca="1">IF($A259&lt;Startops2,0,VLOOKUP($A259,Tariff_Table,Tariff!$N$33))</f>
        <v>0</v>
      </c>
      <c r="M259" s="334">
        <f t="shared" ca="1" si="29"/>
        <v>0</v>
      </c>
      <c r="N259" s="1113">
        <f t="shared" ca="1" si="30"/>
        <v>0</v>
      </c>
      <c r="O259" s="1113">
        <f ca="1">IF($A259&gt;Endyr,0,VLOOKUP($A259,Tariff_Table,Tariff!$O$33))</f>
        <v>0</v>
      </c>
      <c r="P259" s="113">
        <f ca="1">VLOOKUP($A259,Curves_Table,Escalation!$AP$291)</f>
        <v>1.7754357291063123</v>
      </c>
      <c r="Q259" s="328">
        <f t="shared" ca="1" si="31"/>
        <v>0</v>
      </c>
      <c r="R259" s="692" t="str">
        <f t="shared" ca="1" si="24"/>
        <v xml:space="preserve"> </v>
      </c>
    </row>
    <row r="260" spans="1:18">
      <c r="A260" s="672">
        <f>'Annex 12-Gas'!A260</f>
        <v>44501</v>
      </c>
      <c r="C260" s="697">
        <f ca="1">IF($A260&gt;Endyr,0,VLOOKUP($A260,Tariff_Table,Tariff!$L$33))</f>
        <v>0</v>
      </c>
      <c r="D260" s="113">
        <f ca="1">VLOOKUP($A260,Curves_Table,Escalation!$AL$291)</f>
        <v>1.696236647453875</v>
      </c>
      <c r="E260" s="333">
        <f t="shared" ca="1" si="25"/>
        <v>0</v>
      </c>
      <c r="F260" s="331">
        <f ca="1">IF($A260&gt;Endyr,0,VLOOKUP($A260,Tariff_Table,Tariff!$M$33))</f>
        <v>0</v>
      </c>
      <c r="G260" s="333">
        <f t="shared" ca="1" si="26"/>
        <v>0</v>
      </c>
      <c r="H260" s="334">
        <f ca="1">VLOOKUP($A260,Plant_Table,'Plant Operations'!$T$270)</f>
        <v>0</v>
      </c>
      <c r="I260" s="335">
        <f t="shared" ca="1" si="27"/>
        <v>0</v>
      </c>
      <c r="J260" s="698" t="str">
        <f t="shared" ca="1" si="28"/>
        <v xml:space="preserve"> </v>
      </c>
      <c r="L260" s="699">
        <f ca="1">IF($A260&lt;Startops2,0,VLOOKUP($A260,Tariff_Table,Tariff!$N$33))</f>
        <v>0</v>
      </c>
      <c r="M260" s="334">
        <f t="shared" ca="1" si="29"/>
        <v>0</v>
      </c>
      <c r="N260" s="1113">
        <f t="shared" ca="1" si="30"/>
        <v>0</v>
      </c>
      <c r="O260" s="1113">
        <f ca="1">IF($A260&gt;Endyr,0,VLOOKUP($A260,Tariff_Table,Tariff!$O$33))</f>
        <v>0</v>
      </c>
      <c r="P260" s="113">
        <f ca="1">VLOOKUP($A260,Curves_Table,Escalation!$AP$291)</f>
        <v>1.7754357291063123</v>
      </c>
      <c r="Q260" s="328">
        <f t="shared" ca="1" si="31"/>
        <v>0</v>
      </c>
      <c r="R260" s="692" t="str">
        <f t="shared" ca="1" si="24"/>
        <v xml:space="preserve"> </v>
      </c>
    </row>
    <row r="261" spans="1:18">
      <c r="A261" s="672">
        <f>'Annex 12-Gas'!A261</f>
        <v>44531</v>
      </c>
      <c r="C261" s="697">
        <f ca="1">IF($A261&gt;Endyr,0,VLOOKUP($A261,Tariff_Table,Tariff!$L$33))</f>
        <v>0</v>
      </c>
      <c r="D261" s="113">
        <f ca="1">VLOOKUP($A261,Curves_Table,Escalation!$AL$291)</f>
        <v>1.696236647453875</v>
      </c>
      <c r="E261" s="333">
        <f t="shared" ca="1" si="25"/>
        <v>0</v>
      </c>
      <c r="F261" s="331">
        <f ca="1">IF($A261&gt;Endyr,0,VLOOKUP($A261,Tariff_Table,Tariff!$M$33))</f>
        <v>0</v>
      </c>
      <c r="G261" s="333">
        <f t="shared" ca="1" si="26"/>
        <v>0</v>
      </c>
      <c r="H261" s="334">
        <f ca="1">VLOOKUP($A261,Plant_Table,'Plant Operations'!$T$270)</f>
        <v>0</v>
      </c>
      <c r="I261" s="335">
        <f t="shared" ca="1" si="27"/>
        <v>0</v>
      </c>
      <c r="J261" s="698">
        <f t="shared" ca="1" si="28"/>
        <v>0</v>
      </c>
      <c r="L261" s="699">
        <f ca="1">IF($A261&lt;Startops2,0,VLOOKUP($A261,Tariff_Table,Tariff!$N$33))</f>
        <v>0</v>
      </c>
      <c r="M261" s="334">
        <f t="shared" ca="1" si="29"/>
        <v>0</v>
      </c>
      <c r="N261" s="1113">
        <f t="shared" ca="1" si="30"/>
        <v>0</v>
      </c>
      <c r="O261" s="1113">
        <f ca="1">IF($A261&gt;Endyr,0,VLOOKUP($A261,Tariff_Table,Tariff!$O$33))</f>
        <v>0</v>
      </c>
      <c r="P261" s="113">
        <f ca="1">VLOOKUP($A261,Curves_Table,Escalation!$AP$291)</f>
        <v>1.7754357291063123</v>
      </c>
      <c r="Q261" s="328">
        <f t="shared" ca="1" si="31"/>
        <v>0</v>
      </c>
      <c r="R261" s="692">
        <f t="shared" ca="1" si="24"/>
        <v>0</v>
      </c>
    </row>
    <row r="262" spans="1:18">
      <c r="A262" s="672">
        <f>'Annex 12-Gas'!A262</f>
        <v>44562</v>
      </c>
      <c r="C262" s="697">
        <f ca="1">IF($A262&gt;Endyr,0,VLOOKUP($A262,Tariff_Table,Tariff!$L$33))</f>
        <v>0</v>
      </c>
      <c r="D262" s="113">
        <f ca="1">VLOOKUP($A262,Curves_Table,Escalation!$AL$291)</f>
        <v>1.696236647453875</v>
      </c>
      <c r="E262" s="333">
        <f t="shared" ca="1" si="25"/>
        <v>0</v>
      </c>
      <c r="F262" s="331">
        <f ca="1">IF($A262&gt;Endyr,0,VLOOKUP($A262,Tariff_Table,Tariff!$M$33))</f>
        <v>0</v>
      </c>
      <c r="G262" s="333">
        <f t="shared" ca="1" si="26"/>
        <v>0</v>
      </c>
      <c r="H262" s="334">
        <f ca="1">VLOOKUP($A262,Plant_Table,'Plant Operations'!$T$270)</f>
        <v>0</v>
      </c>
      <c r="I262" s="335">
        <f t="shared" ca="1" si="27"/>
        <v>0</v>
      </c>
      <c r="J262" s="698" t="str">
        <f t="shared" ca="1" si="28"/>
        <v xml:space="preserve"> </v>
      </c>
      <c r="L262" s="699">
        <f ca="1">IF($A262&lt;Startops2,0,VLOOKUP($A262,Tariff_Table,Tariff!$N$33))</f>
        <v>0</v>
      </c>
      <c r="M262" s="334">
        <f t="shared" ca="1" si="29"/>
        <v>0</v>
      </c>
      <c r="N262" s="1113">
        <f t="shared" ca="1" si="30"/>
        <v>0</v>
      </c>
      <c r="O262" s="1113">
        <f ca="1">IF($A262&gt;Endyr,0,VLOOKUP($A262,Tariff_Table,Tariff!$O$33))</f>
        <v>0</v>
      </c>
      <c r="P262" s="113">
        <f ca="1">VLOOKUP($A262,Curves_Table,Escalation!$AP$291)</f>
        <v>1.7754357291063123</v>
      </c>
      <c r="Q262" s="328">
        <f t="shared" ca="1" si="31"/>
        <v>0</v>
      </c>
      <c r="R262" s="692" t="str">
        <f t="shared" ca="1" si="24"/>
        <v xml:space="preserve"> </v>
      </c>
    </row>
    <row r="263" spans="1:18">
      <c r="A263" s="672">
        <f>'Annex 12-Gas'!A263</f>
        <v>44593</v>
      </c>
      <c r="C263" s="697">
        <f ca="1">IF($A263&gt;Endyr,0,VLOOKUP($A263,Tariff_Table,Tariff!$L$33))</f>
        <v>0</v>
      </c>
      <c r="D263" s="113">
        <f ca="1">VLOOKUP($A263,Curves_Table,Escalation!$AL$291)</f>
        <v>1.696236647453875</v>
      </c>
      <c r="E263" s="333">
        <f t="shared" ca="1" si="25"/>
        <v>0</v>
      </c>
      <c r="F263" s="331">
        <f ca="1">IF($A263&gt;Endyr,0,VLOOKUP($A263,Tariff_Table,Tariff!$M$33))</f>
        <v>0</v>
      </c>
      <c r="G263" s="333">
        <f t="shared" ca="1" si="26"/>
        <v>0</v>
      </c>
      <c r="H263" s="334">
        <f ca="1">VLOOKUP($A263,Plant_Table,'Plant Operations'!$T$270)</f>
        <v>0</v>
      </c>
      <c r="I263" s="335">
        <f t="shared" ca="1" si="27"/>
        <v>0</v>
      </c>
      <c r="J263" s="698" t="str">
        <f t="shared" ca="1" si="28"/>
        <v xml:space="preserve"> </v>
      </c>
      <c r="L263" s="699">
        <f ca="1">IF($A263&lt;Startops2,0,VLOOKUP($A263,Tariff_Table,Tariff!$N$33))</f>
        <v>0</v>
      </c>
      <c r="M263" s="334">
        <f t="shared" ca="1" si="29"/>
        <v>0</v>
      </c>
      <c r="N263" s="1113">
        <f t="shared" ca="1" si="30"/>
        <v>0</v>
      </c>
      <c r="O263" s="1113">
        <f ca="1">IF($A263&gt;Endyr,0,VLOOKUP($A263,Tariff_Table,Tariff!$O$33))</f>
        <v>0</v>
      </c>
      <c r="P263" s="113">
        <f ca="1">VLOOKUP($A263,Curves_Table,Escalation!$AP$291)</f>
        <v>1.7754357291063123</v>
      </c>
      <c r="Q263" s="328">
        <f t="shared" ca="1" si="31"/>
        <v>0</v>
      </c>
      <c r="R263" s="692" t="str">
        <f t="shared" ca="1" si="24"/>
        <v xml:space="preserve"> </v>
      </c>
    </row>
    <row r="264" spans="1:18">
      <c r="A264" s="672">
        <f>'Annex 12-Gas'!A264</f>
        <v>44621</v>
      </c>
      <c r="C264" s="697">
        <f ca="1">IF($A264&gt;Endyr,0,VLOOKUP($A264,Tariff_Table,Tariff!$L$33))</f>
        <v>0</v>
      </c>
      <c r="D264" s="113">
        <f ca="1">VLOOKUP($A264,Curves_Table,Escalation!$AL$291)</f>
        <v>1.696236647453875</v>
      </c>
      <c r="E264" s="333">
        <f t="shared" ca="1" si="25"/>
        <v>0</v>
      </c>
      <c r="F264" s="331">
        <f ca="1">IF($A264&gt;Endyr,0,VLOOKUP($A264,Tariff_Table,Tariff!$M$33))</f>
        <v>0</v>
      </c>
      <c r="G264" s="333">
        <f t="shared" ca="1" si="26"/>
        <v>0</v>
      </c>
      <c r="H264" s="334">
        <f ca="1">VLOOKUP($A264,Plant_Table,'Plant Operations'!$T$270)</f>
        <v>0</v>
      </c>
      <c r="I264" s="335">
        <f t="shared" ca="1" si="27"/>
        <v>0</v>
      </c>
      <c r="J264" s="698" t="str">
        <f t="shared" ca="1" si="28"/>
        <v xml:space="preserve"> </v>
      </c>
      <c r="L264" s="699">
        <f ca="1">IF($A264&lt;Startops2,0,VLOOKUP($A264,Tariff_Table,Tariff!$N$33))</f>
        <v>0</v>
      </c>
      <c r="M264" s="334">
        <f t="shared" ca="1" si="29"/>
        <v>0</v>
      </c>
      <c r="N264" s="1113">
        <f t="shared" ca="1" si="30"/>
        <v>0</v>
      </c>
      <c r="O264" s="1113">
        <f ca="1">IF($A264&gt;Endyr,0,VLOOKUP($A264,Tariff_Table,Tariff!$O$33))</f>
        <v>0</v>
      </c>
      <c r="P264" s="113">
        <f ca="1">VLOOKUP($A264,Curves_Table,Escalation!$AP$291)</f>
        <v>1.7754357291063123</v>
      </c>
      <c r="Q264" s="328">
        <f t="shared" ca="1" si="31"/>
        <v>0</v>
      </c>
      <c r="R264" s="692" t="str">
        <f t="shared" ca="1" si="24"/>
        <v xml:space="preserve"> </v>
      </c>
    </row>
    <row r="265" spans="1:18">
      <c r="A265" s="672">
        <f>'Annex 12-Gas'!A265</f>
        <v>44652</v>
      </c>
      <c r="C265" s="697">
        <f ca="1">IF($A265&gt;Endyr,0,VLOOKUP($A265,Tariff_Table,Tariff!$L$33))</f>
        <v>0</v>
      </c>
      <c r="D265" s="113">
        <f ca="1">VLOOKUP($A265,Curves_Table,Escalation!$AL$291)</f>
        <v>1.696236647453875</v>
      </c>
      <c r="E265" s="333">
        <f t="shared" ca="1" si="25"/>
        <v>0</v>
      </c>
      <c r="F265" s="331">
        <f ca="1">IF($A265&gt;Endyr,0,VLOOKUP($A265,Tariff_Table,Tariff!$M$33))</f>
        <v>0</v>
      </c>
      <c r="G265" s="333">
        <f t="shared" ca="1" si="26"/>
        <v>0</v>
      </c>
      <c r="H265" s="334">
        <f ca="1">VLOOKUP($A265,Plant_Table,'Plant Operations'!$T$270)</f>
        <v>0</v>
      </c>
      <c r="I265" s="335">
        <f t="shared" ca="1" si="27"/>
        <v>0</v>
      </c>
      <c r="J265" s="698" t="str">
        <f t="shared" ca="1" si="28"/>
        <v xml:space="preserve"> </v>
      </c>
      <c r="L265" s="699">
        <f ca="1">IF($A265&lt;Startops2,0,VLOOKUP($A265,Tariff_Table,Tariff!$N$33))</f>
        <v>0</v>
      </c>
      <c r="M265" s="334">
        <f t="shared" ca="1" si="29"/>
        <v>0</v>
      </c>
      <c r="N265" s="1113">
        <f t="shared" ca="1" si="30"/>
        <v>0</v>
      </c>
      <c r="O265" s="1113">
        <f ca="1">IF($A265&gt;Endyr,0,VLOOKUP($A265,Tariff_Table,Tariff!$O$33))</f>
        <v>0</v>
      </c>
      <c r="P265" s="113">
        <f ca="1">VLOOKUP($A265,Curves_Table,Escalation!$AP$291)</f>
        <v>1.7754357291063123</v>
      </c>
      <c r="Q265" s="328">
        <f t="shared" ca="1" si="31"/>
        <v>0</v>
      </c>
      <c r="R265" s="692" t="str">
        <f t="shared" ca="1" si="24"/>
        <v xml:space="preserve"> </v>
      </c>
    </row>
    <row r="266" spans="1:18">
      <c r="A266" s="672">
        <f>'Annex 12-Gas'!A266</f>
        <v>44682</v>
      </c>
      <c r="C266" s="697">
        <f ca="1">IF($A266&gt;Endyr,0,VLOOKUP($A266,Tariff_Table,Tariff!$L$33))</f>
        <v>0</v>
      </c>
      <c r="D266" s="113">
        <f ca="1">VLOOKUP($A266,Curves_Table,Escalation!$AL$291)</f>
        <v>1.696236647453875</v>
      </c>
      <c r="E266" s="333">
        <f t="shared" ca="1" si="25"/>
        <v>0</v>
      </c>
      <c r="F266" s="331">
        <f ca="1">IF($A266&gt;Endyr,0,VLOOKUP($A266,Tariff_Table,Tariff!$M$33))</f>
        <v>0</v>
      </c>
      <c r="G266" s="333">
        <f t="shared" ca="1" si="26"/>
        <v>0</v>
      </c>
      <c r="H266" s="334">
        <f ca="1">VLOOKUP($A266,Plant_Table,'Plant Operations'!$T$270)</f>
        <v>0</v>
      </c>
      <c r="I266" s="335">
        <f t="shared" ca="1" si="27"/>
        <v>0</v>
      </c>
      <c r="J266" s="698" t="str">
        <f t="shared" ca="1" si="28"/>
        <v xml:space="preserve"> </v>
      </c>
      <c r="L266" s="699">
        <f ca="1">IF($A266&lt;Startops2,0,VLOOKUP($A266,Tariff_Table,Tariff!$N$33))</f>
        <v>0</v>
      </c>
      <c r="M266" s="334">
        <f t="shared" ca="1" si="29"/>
        <v>0</v>
      </c>
      <c r="N266" s="1113">
        <f t="shared" ca="1" si="30"/>
        <v>0</v>
      </c>
      <c r="O266" s="1113">
        <f ca="1">IF($A266&gt;Endyr,0,VLOOKUP($A266,Tariff_Table,Tariff!$O$33))</f>
        <v>0</v>
      </c>
      <c r="P266" s="113">
        <f ca="1">VLOOKUP($A266,Curves_Table,Escalation!$AP$291)</f>
        <v>1.7754357291063123</v>
      </c>
      <c r="Q266" s="328">
        <f t="shared" ca="1" si="31"/>
        <v>0</v>
      </c>
      <c r="R266" s="692" t="str">
        <f t="shared" ca="1" si="24"/>
        <v xml:space="preserve"> </v>
      </c>
    </row>
    <row r="267" spans="1:18" ht="13.5" thickBot="1">
      <c r="A267" s="672"/>
      <c r="C267" s="398"/>
      <c r="D267" s="1"/>
      <c r="E267" s="1"/>
      <c r="F267" s="1"/>
      <c r="H267" s="1"/>
      <c r="I267" s="1"/>
      <c r="J267" s="401"/>
      <c r="L267" s="398"/>
      <c r="M267" s="1"/>
      <c r="N267" s="1"/>
      <c r="O267" s="1"/>
      <c r="Q267" s="1"/>
      <c r="R267" s="401"/>
    </row>
    <row r="268" spans="1:18" ht="13.5" thickBot="1">
      <c r="A268" s="673"/>
      <c r="C268" s="684"/>
      <c r="D268" s="685"/>
      <c r="E268" s="685"/>
      <c r="F268" s="685"/>
      <c r="G268" s="685"/>
      <c r="H268" s="685"/>
      <c r="I268" s="686" t="s">
        <v>1335</v>
      </c>
      <c r="J268" s="693">
        <f ca="1">SUM(J12:J266)</f>
        <v>845452.90724394179</v>
      </c>
      <c r="L268" s="684"/>
      <c r="M268" s="685"/>
      <c r="N268" s="685"/>
      <c r="O268" s="685"/>
      <c r="P268" s="685"/>
      <c r="Q268" s="686" t="s">
        <v>1337</v>
      </c>
      <c r="R268" s="693">
        <f ca="1">SUM(R12:R266)</f>
        <v>983544.38092661742</v>
      </c>
    </row>
    <row r="269" spans="1:18">
      <c r="C269" s="1"/>
      <c r="G269"/>
      <c r="P269"/>
    </row>
    <row r="270" spans="1:18">
      <c r="A270" s="357">
        <v>1</v>
      </c>
      <c r="B270" s="357">
        <f>A270+1</f>
        <v>2</v>
      </c>
      <c r="C270" s="357">
        <f t="shared" ref="C270:R270" si="32">B270+1</f>
        <v>3</v>
      </c>
      <c r="D270" s="357">
        <f t="shared" si="32"/>
        <v>4</v>
      </c>
      <c r="E270" s="357">
        <f t="shared" si="32"/>
        <v>5</v>
      </c>
      <c r="F270" s="357">
        <f t="shared" si="32"/>
        <v>6</v>
      </c>
      <c r="G270" s="357">
        <f t="shared" si="32"/>
        <v>7</v>
      </c>
      <c r="H270" s="357">
        <f t="shared" si="32"/>
        <v>8</v>
      </c>
      <c r="I270" s="357">
        <f t="shared" si="32"/>
        <v>9</v>
      </c>
      <c r="J270" s="357">
        <f t="shared" si="32"/>
        <v>10</v>
      </c>
      <c r="K270" s="357">
        <f t="shared" si="32"/>
        <v>11</v>
      </c>
      <c r="L270" s="357">
        <f t="shared" si="32"/>
        <v>12</v>
      </c>
      <c r="M270" s="357">
        <f t="shared" si="32"/>
        <v>13</v>
      </c>
      <c r="N270" s="357">
        <f t="shared" si="32"/>
        <v>14</v>
      </c>
      <c r="O270" s="357">
        <f t="shared" si="32"/>
        <v>15</v>
      </c>
      <c r="P270" s="357">
        <f t="shared" si="32"/>
        <v>16</v>
      </c>
      <c r="Q270" s="357">
        <f t="shared" si="32"/>
        <v>17</v>
      </c>
      <c r="R270" s="357">
        <f t="shared" si="32"/>
        <v>18</v>
      </c>
    </row>
    <row r="271" spans="1:18">
      <c r="C271" s="1"/>
      <c r="G271"/>
      <c r="P271"/>
    </row>
    <row r="272" spans="1:18">
      <c r="C272" s="1"/>
      <c r="G272"/>
      <c r="P272"/>
    </row>
    <row r="273" spans="3:16">
      <c r="C273" s="1"/>
      <c r="G273"/>
      <c r="P273"/>
    </row>
    <row r="274" spans="3:16">
      <c r="C274" s="1"/>
      <c r="G274"/>
      <c r="P274"/>
    </row>
    <row r="275" spans="3:16">
      <c r="C275" s="1"/>
      <c r="G275"/>
      <c r="P275"/>
    </row>
    <row r="276" spans="3:16">
      <c r="C276" s="1"/>
      <c r="G276"/>
      <c r="P276"/>
    </row>
    <row r="277" spans="3:16">
      <c r="C277" s="1"/>
      <c r="G277"/>
      <c r="P277"/>
    </row>
    <row r="278" spans="3:16">
      <c r="C278" s="1"/>
      <c r="G278"/>
      <c r="P278"/>
    </row>
    <row r="279" spans="3:16">
      <c r="C279" s="1"/>
      <c r="G279"/>
      <c r="P279"/>
    </row>
    <row r="280" spans="3:16">
      <c r="C280" s="1"/>
      <c r="G280"/>
      <c r="P280"/>
    </row>
    <row r="281" spans="3:16">
      <c r="C281" s="1"/>
      <c r="G281"/>
      <c r="P281"/>
    </row>
    <row r="282" spans="3:16">
      <c r="C282" s="1"/>
      <c r="G282"/>
      <c r="P282"/>
    </row>
    <row r="283" spans="3:16">
      <c r="C283" s="1"/>
      <c r="G283"/>
      <c r="P283"/>
    </row>
    <row r="284" spans="3:16">
      <c r="C284" s="1"/>
      <c r="G284"/>
      <c r="P284"/>
    </row>
    <row r="285" spans="3:16">
      <c r="C285" s="1"/>
      <c r="G285"/>
      <c r="P285"/>
    </row>
    <row r="286" spans="3:16">
      <c r="C286" s="1"/>
      <c r="G286"/>
      <c r="P286"/>
    </row>
    <row r="287" spans="3:16">
      <c r="C287" s="1"/>
      <c r="G287"/>
      <c r="P287"/>
    </row>
    <row r="288" spans="3:16">
      <c r="C288" s="1"/>
      <c r="G288"/>
      <c r="P288"/>
    </row>
    <row r="289" spans="3:16">
      <c r="C289" s="1"/>
      <c r="G289"/>
      <c r="P289"/>
    </row>
    <row r="290" spans="3:16">
      <c r="C290" s="1"/>
      <c r="G290"/>
      <c r="P290"/>
    </row>
    <row r="291" spans="3:16">
      <c r="C291" s="1"/>
      <c r="G291"/>
      <c r="P291"/>
    </row>
    <row r="292" spans="3:16">
      <c r="C292" s="1"/>
      <c r="G292"/>
      <c r="P292"/>
    </row>
    <row r="293" spans="3:16">
      <c r="C293" s="1"/>
      <c r="G293"/>
      <c r="P293"/>
    </row>
    <row r="294" spans="3:16">
      <c r="C294" s="1"/>
      <c r="G294"/>
      <c r="P294"/>
    </row>
    <row r="295" spans="3:16">
      <c r="C295" s="1"/>
      <c r="G295"/>
      <c r="P295"/>
    </row>
    <row r="296" spans="3:16">
      <c r="C296" s="1"/>
      <c r="G296"/>
      <c r="P296"/>
    </row>
    <row r="297" spans="3:16">
      <c r="C297" s="1"/>
      <c r="G297"/>
      <c r="P297"/>
    </row>
    <row r="298" spans="3:16">
      <c r="C298" s="1"/>
      <c r="G298"/>
      <c r="P298"/>
    </row>
    <row r="299" spans="3:16">
      <c r="C299" s="1"/>
      <c r="G299"/>
      <c r="P299"/>
    </row>
    <row r="300" spans="3:16">
      <c r="C300" s="1"/>
      <c r="G300"/>
      <c r="P300"/>
    </row>
    <row r="301" spans="3:16">
      <c r="C301" s="1"/>
      <c r="G301"/>
      <c r="P301"/>
    </row>
    <row r="302" spans="3:16">
      <c r="C302" s="1"/>
      <c r="G302"/>
      <c r="P302"/>
    </row>
    <row r="303" spans="3:16">
      <c r="C303" s="1"/>
      <c r="G303"/>
      <c r="P303"/>
    </row>
    <row r="304" spans="3:16">
      <c r="C304" s="1"/>
      <c r="G304"/>
      <c r="P304"/>
    </row>
    <row r="305" spans="3:16">
      <c r="C305" s="1"/>
      <c r="G305"/>
      <c r="P305"/>
    </row>
    <row r="306" spans="3:16">
      <c r="C306" s="1"/>
      <c r="G306"/>
      <c r="P306"/>
    </row>
    <row r="307" spans="3:16">
      <c r="C307" s="1"/>
      <c r="G307"/>
      <c r="P307"/>
    </row>
    <row r="308" spans="3:16">
      <c r="C308" s="1"/>
      <c r="G308"/>
      <c r="P308"/>
    </row>
    <row r="309" spans="3:16">
      <c r="C309" s="1"/>
      <c r="G309"/>
      <c r="P309"/>
    </row>
    <row r="310" spans="3:16">
      <c r="C310" s="1"/>
      <c r="G310"/>
      <c r="P310"/>
    </row>
  </sheetData>
  <printOptions horizontalCentered="1"/>
  <pageMargins left="0.25" right="0.25" top="0.5" bottom="0.5" header="0.25" footer="0.25"/>
  <pageSetup fitToHeight="4" orientation="landscape" horizontalDpi="4294967294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AW291"/>
  <sheetViews>
    <sheetView showGridLines="0" zoomScale="75" workbookViewId="0">
      <selection activeCell="L8" sqref="L8"/>
    </sheetView>
  </sheetViews>
  <sheetFormatPr defaultRowHeight="12.75"/>
  <cols>
    <col min="1" max="8" width="9.140625" style="843"/>
    <col min="9" max="10" width="9.140625" style="856"/>
    <col min="11" max="11" width="4.7109375" style="843" customWidth="1"/>
    <col min="12" max="14" width="9.140625" style="843"/>
    <col min="15" max="15" width="2.7109375" style="843" customWidth="1"/>
    <col min="16" max="18" width="9.140625" style="843"/>
    <col min="19" max="19" width="2.7109375" style="843" customWidth="1"/>
    <col min="20" max="22" width="9.140625" style="843"/>
    <col min="23" max="23" width="2.7109375" style="843" customWidth="1"/>
    <col min="24" max="26" width="9.140625" style="843"/>
    <col min="27" max="27" width="2.7109375" style="843" customWidth="1"/>
    <col min="28" max="30" width="9.140625" style="843"/>
    <col min="31" max="31" width="2.7109375" style="843" customWidth="1"/>
    <col min="32" max="34" width="9.140625" style="843"/>
    <col min="35" max="35" width="2.7109375" style="843" customWidth="1"/>
    <col min="36" max="38" width="9.140625" style="843"/>
    <col min="39" max="39" width="2.7109375" style="843" customWidth="1"/>
    <col min="40" max="42" width="9.140625" style="843"/>
    <col min="43" max="43" width="2.7109375" style="843" customWidth="1"/>
    <col min="44" max="16384" width="9.140625" style="843"/>
  </cols>
  <sheetData>
    <row r="1" spans="1:49" ht="15.75">
      <c r="A1" s="1137" t="str">
        <f>CONCATENATE(TOC!B2," ",TOC!B6)</f>
        <v>EMPRESSA PRODUTORA DE ENERGÍA LTDA (EPE) *** DRAFT COPY ***</v>
      </c>
    </row>
    <row r="2" spans="1:49" ht="15.75">
      <c r="A2" s="1137" t="str">
        <f>TOC!B3</f>
        <v>480 MW POWER PLANT (CUIABA, BRAZIL)</v>
      </c>
    </row>
    <row r="3" spans="1:49" ht="15">
      <c r="A3" s="118" t="str">
        <f>TOC!B4</f>
        <v>ENRON INTERNATIONAL</v>
      </c>
    </row>
    <row r="4" spans="1:49" ht="15">
      <c r="A4" s="932" t="s">
        <v>1364</v>
      </c>
      <c r="B4" s="956"/>
      <c r="C4" s="956"/>
    </row>
    <row r="11" spans="1:49" ht="13.5" thickBot="1"/>
    <row r="12" spans="1:49">
      <c r="A12" s="844"/>
      <c r="B12" s="845"/>
      <c r="C12" s="846"/>
      <c r="D12" s="846"/>
      <c r="E12" s="846"/>
      <c r="F12" s="845"/>
      <c r="G12" s="846"/>
      <c r="H12" s="846"/>
      <c r="I12" s="846"/>
      <c r="J12" s="847"/>
      <c r="L12" s="848" t="s">
        <v>1365</v>
      </c>
      <c r="M12" s="849"/>
      <c r="N12" s="850"/>
      <c r="P12" s="848" t="s">
        <v>1366</v>
      </c>
      <c r="Q12" s="849"/>
      <c r="R12" s="850"/>
      <c r="T12" s="848" t="s">
        <v>812</v>
      </c>
      <c r="U12" s="849"/>
      <c r="V12" s="850"/>
      <c r="X12" s="848" t="s">
        <v>813</v>
      </c>
      <c r="Y12" s="849"/>
      <c r="Z12" s="850"/>
      <c r="AB12" s="848" t="s">
        <v>814</v>
      </c>
      <c r="AC12" s="849"/>
      <c r="AD12" s="850"/>
      <c r="AF12" s="848" t="s">
        <v>815</v>
      </c>
      <c r="AG12" s="849"/>
      <c r="AH12" s="850"/>
      <c r="AJ12" s="848" t="s">
        <v>1349</v>
      </c>
      <c r="AK12" s="849"/>
      <c r="AL12" s="850"/>
      <c r="AN12" s="848" t="s">
        <v>1350</v>
      </c>
      <c r="AO12" s="849"/>
      <c r="AP12" s="850"/>
    </row>
    <row r="13" spans="1:49" ht="13.5" thickBot="1">
      <c r="A13" s="851"/>
      <c r="B13" s="852">
        <v>1</v>
      </c>
      <c r="C13" s="853">
        <f>B13+1</f>
        <v>2</v>
      </c>
      <c r="D13" s="853">
        <f>C13+1</f>
        <v>3</v>
      </c>
      <c r="E13" s="853">
        <f>D13+1</f>
        <v>4</v>
      </c>
      <c r="F13" s="852">
        <v>1</v>
      </c>
      <c r="G13" s="853">
        <f>F13+1</f>
        <v>2</v>
      </c>
      <c r="H13" s="853">
        <f>G13+1</f>
        <v>3</v>
      </c>
      <c r="I13" s="853">
        <f>H13+1</f>
        <v>4</v>
      </c>
      <c r="J13" s="854">
        <f>I13+1</f>
        <v>5</v>
      </c>
      <c r="K13" s="958">
        <v>1</v>
      </c>
      <c r="L13" s="855" t="s">
        <v>1351</v>
      </c>
      <c r="M13" s="856"/>
      <c r="N13" s="857"/>
      <c r="P13" s="855" t="s">
        <v>1351</v>
      </c>
      <c r="Q13" s="856"/>
      <c r="R13" s="857"/>
      <c r="T13" s="855" t="s">
        <v>1351</v>
      </c>
      <c r="U13" s="856"/>
      <c r="V13" s="857"/>
      <c r="X13" s="855" t="s">
        <v>1351</v>
      </c>
      <c r="Y13" s="856"/>
      <c r="Z13" s="857"/>
      <c r="AB13" s="855" t="s">
        <v>1351</v>
      </c>
      <c r="AC13" s="856"/>
      <c r="AD13" s="857"/>
      <c r="AF13" s="855" t="s">
        <v>1351</v>
      </c>
      <c r="AG13" s="856"/>
      <c r="AH13" s="857"/>
      <c r="AJ13" s="855" t="s">
        <v>1351</v>
      </c>
      <c r="AK13" s="856"/>
      <c r="AL13" s="857"/>
      <c r="AN13" s="855" t="s">
        <v>1351</v>
      </c>
      <c r="AO13" s="856"/>
      <c r="AP13" s="857"/>
    </row>
    <row r="14" spans="1:49" ht="13.5" thickBot="1">
      <c r="A14" s="851"/>
      <c r="B14" s="859"/>
      <c r="C14" s="856"/>
      <c r="D14" s="856"/>
      <c r="E14" s="856"/>
      <c r="F14" s="860" t="s">
        <v>1352</v>
      </c>
      <c r="G14" s="861"/>
      <c r="H14" s="861"/>
      <c r="I14" s="861"/>
      <c r="J14" s="862"/>
      <c r="K14" s="958">
        <f t="shared" ref="K14:K76" si="0">K13+1</f>
        <v>2</v>
      </c>
      <c r="L14" s="863">
        <v>2</v>
      </c>
      <c r="M14" s="864" t="str">
        <f ca="1">L17</f>
        <v>US</v>
      </c>
      <c r="N14" s="865" t="str">
        <f ca="1">L18</f>
        <v>CPI</v>
      </c>
      <c r="P14" s="863">
        <v>1</v>
      </c>
      <c r="Q14" s="864" t="str">
        <f ca="1">P17</f>
        <v>Brazil</v>
      </c>
      <c r="R14" s="865" t="str">
        <f ca="1">P18</f>
        <v>IGP-DI</v>
      </c>
      <c r="T14" s="863">
        <v>2</v>
      </c>
      <c r="U14" s="864" t="str">
        <f ca="1">T17</f>
        <v>US</v>
      </c>
      <c r="V14" s="865" t="str">
        <f ca="1">T18</f>
        <v>CPI</v>
      </c>
      <c r="X14" s="863">
        <v>3</v>
      </c>
      <c r="Y14" s="864" t="str">
        <f ca="1">X17</f>
        <v>CPI Less</v>
      </c>
      <c r="Z14" s="865">
        <f ca="1">X18</f>
        <v>2.5000000000000001E-3</v>
      </c>
      <c r="AB14" s="863">
        <v>3</v>
      </c>
      <c r="AC14" s="864" t="str">
        <f ca="1">AB17</f>
        <v>CPI Less</v>
      </c>
      <c r="AD14" s="865">
        <f ca="1">AB18</f>
        <v>2.5000000000000001E-3</v>
      </c>
      <c r="AF14" s="863">
        <v>1</v>
      </c>
      <c r="AG14" s="864" t="str">
        <f ca="1">AF17</f>
        <v>Brazil</v>
      </c>
      <c r="AH14" s="865" t="str">
        <f ca="1">AF18</f>
        <v>IGP-DI</v>
      </c>
      <c r="AJ14" s="863">
        <v>3</v>
      </c>
      <c r="AK14" s="864" t="str">
        <f ca="1">AJ17</f>
        <v>CPI Less</v>
      </c>
      <c r="AL14" s="865">
        <f ca="1">AJ18</f>
        <v>2.5000000000000001E-3</v>
      </c>
      <c r="AN14" s="863">
        <v>2</v>
      </c>
      <c r="AO14" s="864" t="str">
        <f ca="1">AN17</f>
        <v>US</v>
      </c>
      <c r="AP14" s="865" t="str">
        <f ca="1">AN18</f>
        <v>CPI</v>
      </c>
      <c r="AR14" s="546" t="s">
        <v>1015</v>
      </c>
      <c r="AS14" s="814"/>
      <c r="AT14" s="814"/>
      <c r="AU14" s="814"/>
      <c r="AV14" s="814"/>
      <c r="AW14" s="815"/>
    </row>
    <row r="15" spans="1:49">
      <c r="A15" s="851"/>
      <c r="B15" s="1389" t="str">
        <f ca="1">IF(Assm!L78=1,"9/98 BANK CURVES","ALTERNATIVE CURVES")</f>
        <v>ALTERNATIVE CURVES</v>
      </c>
      <c r="D15" s="856"/>
      <c r="E15" s="856"/>
      <c r="F15" s="859"/>
      <c r="J15" s="857"/>
      <c r="K15" s="958">
        <f t="shared" si="0"/>
        <v>3</v>
      </c>
      <c r="L15" s="858"/>
      <c r="M15" s="853" t="s">
        <v>1353</v>
      </c>
      <c r="N15" s="867">
        <v>0</v>
      </c>
      <c r="P15" s="858"/>
      <c r="Q15" s="853" t="s">
        <v>1353</v>
      </c>
      <c r="R15" s="867">
        <v>0</v>
      </c>
      <c r="T15" s="858"/>
      <c r="U15" s="853" t="s">
        <v>1353</v>
      </c>
      <c r="V15" s="867">
        <v>1.0049999999999999</v>
      </c>
      <c r="X15" s="858"/>
      <c r="Y15" s="853" t="s">
        <v>1353</v>
      </c>
      <c r="Z15" s="867">
        <v>1.02</v>
      </c>
      <c r="AB15" s="858"/>
      <c r="AC15" s="853" t="s">
        <v>1353</v>
      </c>
      <c r="AD15" s="867">
        <v>1.02</v>
      </c>
      <c r="AF15" s="858"/>
      <c r="AG15" s="853" t="s">
        <v>1353</v>
      </c>
      <c r="AH15" s="867">
        <v>0</v>
      </c>
      <c r="AJ15" s="858"/>
      <c r="AK15" s="866" t="s">
        <v>1353</v>
      </c>
      <c r="AL15" s="867">
        <v>1.02</v>
      </c>
      <c r="AN15" s="858"/>
      <c r="AO15" s="853" t="s">
        <v>1353</v>
      </c>
      <c r="AP15" s="867">
        <v>1.0049999999999999</v>
      </c>
      <c r="AR15" s="398"/>
      <c r="AS15" s="16" t="s">
        <v>1284</v>
      </c>
      <c r="AT15" s="16" t="s">
        <v>468</v>
      </c>
      <c r="AU15" s="16"/>
      <c r="AV15" s="16" t="s">
        <v>978</v>
      </c>
      <c r="AW15" s="813"/>
    </row>
    <row r="16" spans="1:49">
      <c r="A16" s="851"/>
      <c r="B16" s="859"/>
      <c r="C16" s="856"/>
      <c r="D16" s="856"/>
      <c r="E16" s="870">
        <v>35521</v>
      </c>
      <c r="F16" s="868">
        <v>35551</v>
      </c>
      <c r="G16" s="869">
        <v>35551</v>
      </c>
      <c r="H16" s="869">
        <v>35551</v>
      </c>
      <c r="I16" s="869">
        <v>35796</v>
      </c>
      <c r="J16" s="870">
        <v>35796</v>
      </c>
      <c r="K16" s="958">
        <f t="shared" si="0"/>
        <v>4</v>
      </c>
      <c r="L16" s="871" t="s">
        <v>1358</v>
      </c>
      <c r="M16" s="872"/>
      <c r="N16" s="1301">
        <v>35916</v>
      </c>
      <c r="P16" s="871" t="s">
        <v>1358</v>
      </c>
      <c r="Q16" s="872"/>
      <c r="R16" s="1301">
        <v>35916</v>
      </c>
      <c r="T16" s="871" t="s">
        <v>1358</v>
      </c>
      <c r="U16" s="872"/>
      <c r="V16" s="1301">
        <v>35916</v>
      </c>
      <c r="X16" s="871" t="s">
        <v>1358</v>
      </c>
      <c r="Y16" s="872"/>
      <c r="Z16" s="1301">
        <v>35916</v>
      </c>
      <c r="AB16" s="871" t="s">
        <v>1358</v>
      </c>
      <c r="AC16" s="872"/>
      <c r="AD16" s="1301">
        <v>35916</v>
      </c>
      <c r="AF16" s="871" t="s">
        <v>1358</v>
      </c>
      <c r="AG16" s="872"/>
      <c r="AH16" s="1301">
        <v>35916</v>
      </c>
      <c r="AJ16" s="871" t="s">
        <v>1358</v>
      </c>
      <c r="AK16" s="872"/>
      <c r="AL16" s="1301">
        <v>35916</v>
      </c>
      <c r="AN16" s="871" t="s">
        <v>1358</v>
      </c>
      <c r="AO16" s="872"/>
      <c r="AP16" s="1301">
        <v>35916</v>
      </c>
      <c r="AR16" s="700"/>
      <c r="AS16" s="16" t="s">
        <v>1014</v>
      </c>
      <c r="AT16" s="16" t="s">
        <v>465</v>
      </c>
      <c r="AU16" s="16" t="s">
        <v>467</v>
      </c>
      <c r="AV16" s="16" t="s">
        <v>979</v>
      </c>
      <c r="AW16" s="875" t="s">
        <v>1013</v>
      </c>
    </row>
    <row r="17" spans="1:49">
      <c r="A17" s="851"/>
      <c r="B17" s="873" t="s">
        <v>467</v>
      </c>
      <c r="C17" s="874" t="s">
        <v>1359</v>
      </c>
      <c r="D17" s="874" t="s">
        <v>1360</v>
      </c>
      <c r="E17" s="874" t="s">
        <v>1360</v>
      </c>
      <c r="F17" s="873" t="s">
        <v>467</v>
      </c>
      <c r="G17" s="874" t="s">
        <v>1359</v>
      </c>
      <c r="H17" s="874" t="s">
        <v>1361</v>
      </c>
      <c r="I17" s="874" t="s">
        <v>1362</v>
      </c>
      <c r="J17" s="875" t="s">
        <v>1362</v>
      </c>
      <c r="K17" s="958">
        <f t="shared" si="0"/>
        <v>5</v>
      </c>
      <c r="L17" s="876" t="str">
        <f t="shared" ref="L17:L80" ca="1" si="1">HLOOKUP(L$14,Dec_Change,$K17)</f>
        <v>US</v>
      </c>
      <c r="M17" s="861"/>
      <c r="N17" s="875" t="s">
        <v>1013</v>
      </c>
      <c r="P17" s="876" t="str">
        <f t="shared" ref="P17:P80" ca="1" si="2">HLOOKUP(P$14,Dec_Change,$K17)</f>
        <v>Brazil</v>
      </c>
      <c r="Q17" s="861"/>
      <c r="R17" s="875" t="s">
        <v>1013</v>
      </c>
      <c r="T17" s="876" t="str">
        <f t="shared" ref="T17:T80" ca="1" si="3">HLOOKUP(T$14,Dec_Change,$K17)</f>
        <v>US</v>
      </c>
      <c r="U17" s="861"/>
      <c r="V17" s="875" t="s">
        <v>1013</v>
      </c>
      <c r="X17" s="876" t="str">
        <f t="shared" ref="X17:X80" ca="1" si="4">HLOOKUP(X$14,Dec_Change,$K17)</f>
        <v>CPI Less</v>
      </c>
      <c r="Y17" s="861"/>
      <c r="Z17" s="875" t="s">
        <v>1013</v>
      </c>
      <c r="AB17" s="876" t="str">
        <f t="shared" ref="AB17:AB80" ca="1" si="5">HLOOKUP(AB$14,Dec_Change,$K17)</f>
        <v>CPI Less</v>
      </c>
      <c r="AC17" s="861"/>
      <c r="AD17" s="875" t="s">
        <v>1013</v>
      </c>
      <c r="AF17" s="876" t="str">
        <f t="shared" ref="AF17:AF80" ca="1" si="6">HLOOKUP(AF$14,Dec_Change,$K17)</f>
        <v>Brazil</v>
      </c>
      <c r="AG17" s="861"/>
      <c r="AH17" s="875" t="s">
        <v>1013</v>
      </c>
      <c r="AJ17" s="876" t="str">
        <f t="shared" ref="AJ17:AJ80" ca="1" si="7">HLOOKUP(AJ$14,Dec_Change,$K17)</f>
        <v>CPI Less</v>
      </c>
      <c r="AK17" s="861"/>
      <c r="AL17" s="875" t="s">
        <v>1013</v>
      </c>
      <c r="AN17" s="876" t="str">
        <f t="shared" ref="AN17:AN80" ca="1" si="8">HLOOKUP(AN$14,Dec_Change,$K17)</f>
        <v>US</v>
      </c>
      <c r="AO17" s="861"/>
      <c r="AP17" s="875" t="s">
        <v>1013</v>
      </c>
      <c r="AR17" s="700"/>
      <c r="AS17" s="1302">
        <v>35551</v>
      </c>
      <c r="AT17" s="18" t="s">
        <v>435</v>
      </c>
      <c r="AU17" s="18" t="s">
        <v>1440</v>
      </c>
      <c r="AV17" s="18" t="s">
        <v>980</v>
      </c>
      <c r="AW17" s="880" t="s">
        <v>465</v>
      </c>
    </row>
    <row r="18" spans="1:49">
      <c r="A18" s="877" t="s">
        <v>1436</v>
      </c>
      <c r="B18" s="878" t="s">
        <v>576</v>
      </c>
      <c r="C18" s="879" t="s">
        <v>1454</v>
      </c>
      <c r="D18" s="879" t="s">
        <v>1363</v>
      </c>
      <c r="E18" s="879" t="s">
        <v>1017</v>
      </c>
      <c r="F18" s="878" t="s">
        <v>576</v>
      </c>
      <c r="G18" s="879" t="s">
        <v>1454</v>
      </c>
      <c r="H18" s="957">
        <v>2.5000000000000001E-3</v>
      </c>
      <c r="I18" s="879" t="s">
        <v>1363</v>
      </c>
      <c r="J18" s="880" t="s">
        <v>1017</v>
      </c>
      <c r="K18" s="958">
        <f t="shared" si="0"/>
        <v>6</v>
      </c>
      <c r="L18" s="881" t="str">
        <f t="shared" ca="1" si="1"/>
        <v>CPI</v>
      </c>
      <c r="M18" s="879">
        <f>N15</f>
        <v>0</v>
      </c>
      <c r="N18" s="880" t="s">
        <v>465</v>
      </c>
      <c r="P18" s="881" t="str">
        <f t="shared" ca="1" si="2"/>
        <v>IGP-DI</v>
      </c>
      <c r="Q18" s="879">
        <f>R15</f>
        <v>0</v>
      </c>
      <c r="R18" s="880" t="s">
        <v>465</v>
      </c>
      <c r="T18" s="881" t="str">
        <f t="shared" ca="1" si="3"/>
        <v>CPI</v>
      </c>
      <c r="U18" s="879">
        <f>V15</f>
        <v>1.0049999999999999</v>
      </c>
      <c r="V18" s="880" t="s">
        <v>465</v>
      </c>
      <c r="X18" s="881">
        <f t="shared" ca="1" si="4"/>
        <v>2.5000000000000001E-3</v>
      </c>
      <c r="Y18" s="879">
        <f>Z15</f>
        <v>1.02</v>
      </c>
      <c r="Z18" s="880" t="s">
        <v>465</v>
      </c>
      <c r="AB18" s="881">
        <f t="shared" ca="1" si="5"/>
        <v>2.5000000000000001E-3</v>
      </c>
      <c r="AC18" s="879">
        <f>AD15</f>
        <v>1.02</v>
      </c>
      <c r="AD18" s="880" t="s">
        <v>465</v>
      </c>
      <c r="AF18" s="881" t="str">
        <f t="shared" ca="1" si="6"/>
        <v>IGP-DI</v>
      </c>
      <c r="AG18" s="879">
        <f>AH15</f>
        <v>0</v>
      </c>
      <c r="AH18" s="880" t="s">
        <v>465</v>
      </c>
      <c r="AJ18" s="881">
        <f t="shared" ca="1" si="7"/>
        <v>2.5000000000000001E-3</v>
      </c>
      <c r="AK18" s="879">
        <f>AL15</f>
        <v>1.02</v>
      </c>
      <c r="AL18" s="880" t="s">
        <v>465</v>
      </c>
      <c r="AN18" s="881" t="str">
        <f t="shared" ca="1" si="8"/>
        <v>CPI</v>
      </c>
      <c r="AO18" s="879">
        <f>AP15</f>
        <v>1.0049999999999999</v>
      </c>
      <c r="AP18" s="880" t="s">
        <v>465</v>
      </c>
      <c r="AR18" s="700"/>
      <c r="AS18" s="1303">
        <f>Exch</f>
        <v>1.0649999999999999</v>
      </c>
      <c r="AT18" s="337"/>
      <c r="AU18" s="337"/>
      <c r="AV18" s="337"/>
      <c r="AW18" s="813"/>
    </row>
    <row r="19" spans="1:49">
      <c r="A19" s="882">
        <v>35400</v>
      </c>
      <c r="B19" s="1390">
        <f ca="1">'[2]Monthly Curve Calc.'!B22</f>
        <v>134.68899999999999</v>
      </c>
      <c r="C19" s="1391">
        <f ca="1">'[2]Monthly Curve Calc.'!C22</f>
        <v>159.1</v>
      </c>
      <c r="D19" s="1512">
        <f ca="1">'[2]Monthly Curve Calc.'!F22</f>
        <v>1.0385</v>
      </c>
      <c r="E19" s="1304">
        <f t="shared" ref="E19:E82" ca="1" si="9">IF($A19&lt;=E$16,D19,(B19/B18)/(C19/C18)*E18)</f>
        <v>1.0385</v>
      </c>
      <c r="F19" s="1469">
        <v>1</v>
      </c>
      <c r="G19" s="1470">
        <v>1</v>
      </c>
      <c r="H19" s="1470">
        <v>1</v>
      </c>
      <c r="I19" s="1471">
        <f ca="1">D19</f>
        <v>1.0385</v>
      </c>
      <c r="J19" s="1472">
        <f ca="1">E19</f>
        <v>1.0385</v>
      </c>
      <c r="K19" s="958">
        <f t="shared" si="0"/>
        <v>7</v>
      </c>
      <c r="L19" s="1476">
        <f t="shared" ca="1" si="1"/>
        <v>1</v>
      </c>
      <c r="M19" s="1474">
        <f>M18</f>
        <v>0</v>
      </c>
      <c r="N19" s="1477">
        <v>1</v>
      </c>
      <c r="P19" s="1476">
        <f t="shared" ca="1" si="2"/>
        <v>1</v>
      </c>
      <c r="Q19" s="1474">
        <f>Q18</f>
        <v>0</v>
      </c>
      <c r="R19" s="1477">
        <v>1</v>
      </c>
      <c r="T19" s="1476">
        <f t="shared" ca="1" si="3"/>
        <v>1</v>
      </c>
      <c r="U19" s="1474">
        <f>U18</f>
        <v>1.0049999999999999</v>
      </c>
      <c r="V19" s="1477">
        <v>1</v>
      </c>
      <c r="X19" s="1476">
        <f t="shared" ca="1" si="4"/>
        <v>1</v>
      </c>
      <c r="Y19" s="1474">
        <f>Y18</f>
        <v>1.02</v>
      </c>
      <c r="Z19" s="1477">
        <v>1</v>
      </c>
      <c r="AB19" s="1476">
        <f t="shared" ca="1" si="5"/>
        <v>1</v>
      </c>
      <c r="AC19" s="1474">
        <f>AC18</f>
        <v>1.02</v>
      </c>
      <c r="AD19" s="1477">
        <v>1</v>
      </c>
      <c r="AF19" s="1476">
        <f t="shared" ca="1" si="6"/>
        <v>1</v>
      </c>
      <c r="AG19" s="1474">
        <f>AG18</f>
        <v>0</v>
      </c>
      <c r="AH19" s="1477">
        <v>1</v>
      </c>
      <c r="AJ19" s="1476">
        <f t="shared" ca="1" si="7"/>
        <v>1</v>
      </c>
      <c r="AK19" s="1474">
        <f>AK18</f>
        <v>1.02</v>
      </c>
      <c r="AL19" s="1477">
        <v>1</v>
      </c>
      <c r="AN19" s="1476">
        <f t="shared" ca="1" si="8"/>
        <v>1</v>
      </c>
      <c r="AO19" s="1474">
        <f>AO18</f>
        <v>1.0049999999999999</v>
      </c>
      <c r="AP19" s="1477">
        <v>1</v>
      </c>
      <c r="AR19" s="701">
        <f>$A19</f>
        <v>35400</v>
      </c>
      <c r="AS19" s="1478">
        <f ca="1">IF(AND($A19&gt;=EDATE(AS$17,12),IF(Assm!$L$74=0,$D19,$E19)/AS18&gt;=1.05),IF(Assm!$L$74=0,$D19,$E19),AS18)</f>
        <v>1.0649999999999999</v>
      </c>
      <c r="AT19" s="1479">
        <v>1</v>
      </c>
      <c r="AU19" s="1478">
        <f>F19</f>
        <v>1</v>
      </c>
      <c r="AV19" s="1478">
        <f>MAX(AT19,AU19)</f>
        <v>1</v>
      </c>
      <c r="AW19" s="1477">
        <v>1</v>
      </c>
    </row>
    <row r="20" spans="1:49">
      <c r="A20" s="883">
        <f t="shared" ref="A20:A83" si="10">EDATE(A19,1)</f>
        <v>35431</v>
      </c>
      <c r="B20" s="1390">
        <f ca="1">'[2]Monthly Curve Calc.'!B23</f>
        <v>136.81399999999999</v>
      </c>
      <c r="C20" s="1391">
        <f ca="1">'[2]Monthly Curve Calc.'!C23</f>
        <v>159.1</v>
      </c>
      <c r="D20" s="1512">
        <f ca="1">'[2]Monthly Curve Calc.'!F23</f>
        <v>1.0456000000000001</v>
      </c>
      <c r="E20" s="1304">
        <f t="shared" ca="1" si="9"/>
        <v>1.0456000000000001</v>
      </c>
      <c r="F20" s="1473">
        <f ca="1">IF(Assm!$L$75=0,F19,IF(AND($A20&gt;F$16,MONTH($A20)=MONTH(F$16)),B19/B7,F19))</f>
        <v>1</v>
      </c>
      <c r="G20" s="1474">
        <f ca="1">IF(Assm!$L$75=0,G19,IF(AND($A20&gt;G$16,MONTH($A20)=MONTH(G$16)),C19/C7,G19))</f>
        <v>1</v>
      </c>
      <c r="H20" s="1474">
        <f ca="1">IF(Assm!$L$75=0,H19,IF(AND($A20&gt;H$16,MONTH($A20)=MONTH(H$16)),C19/C7-H$18,H19))</f>
        <v>1</v>
      </c>
      <c r="I20" s="1474">
        <f ca="1">IF(Assm!$L$75=0,I19,IF($A20&gt;=I$16,IF(MONTH($A20)=MONTH(I$16),AVERAGE(D8:D19),I19),I19))</f>
        <v>1.0385</v>
      </c>
      <c r="J20" s="1475">
        <f ca="1">IF(Assm!$L$75=0,J19,IF($A20&gt;=J$16,IF(MONTH($A20)=MONTH(J$16),AVERAGE(E8:E19),J19),J19))</f>
        <v>1.0385</v>
      </c>
      <c r="K20" s="958">
        <f t="shared" si="0"/>
        <v>8</v>
      </c>
      <c r="L20" s="1476">
        <f t="shared" ca="1" si="1"/>
        <v>1</v>
      </c>
      <c r="M20" s="1474">
        <f t="shared" ref="M20:M83" si="11">M19</f>
        <v>0</v>
      </c>
      <c r="N20" s="1475">
        <f t="shared" ref="N20:N35" ca="1" si="12">IF(AND($A20&gt;=N$16,MONTH($A20)=MONTH(N$16)),MAX(L20,M20)*N19,N19)</f>
        <v>1</v>
      </c>
      <c r="P20" s="1476">
        <f t="shared" ca="1" si="2"/>
        <v>1</v>
      </c>
      <c r="Q20" s="1474">
        <f t="shared" ref="Q20:Q83" si="13">Q19</f>
        <v>0</v>
      </c>
      <c r="R20" s="1475">
        <f t="shared" ref="R20:R35" ca="1" si="14">IF(AND($A20&gt;=R$16,MONTH($A20)=MONTH(R$16)),MAX(P20,Q20)*R19,R19)</f>
        <v>1</v>
      </c>
      <c r="T20" s="1476">
        <f t="shared" ca="1" si="3"/>
        <v>1</v>
      </c>
      <c r="U20" s="1474">
        <f t="shared" ref="U20:U83" si="15">U19</f>
        <v>1.0049999999999999</v>
      </c>
      <c r="V20" s="1475">
        <f t="shared" ref="V20:V35" ca="1" si="16">IF(AND($A20&gt;=V$16,MONTH($A20)=MONTH(V$16)),MAX(T20,U20)*V19,V19)</f>
        <v>1</v>
      </c>
      <c r="X20" s="1476">
        <f t="shared" ca="1" si="4"/>
        <v>1</v>
      </c>
      <c r="Y20" s="1474">
        <f t="shared" ref="Y20:Y83" si="17">Y19</f>
        <v>1.02</v>
      </c>
      <c r="Z20" s="1475">
        <f t="shared" ref="Z20:Z35" ca="1" si="18">IF(AND($A20&gt;=Z$16,MONTH($A20)=MONTH(Z$16)),MAX(X20,Y20)*Z19,Z19)</f>
        <v>1</v>
      </c>
      <c r="AB20" s="1476">
        <f t="shared" ca="1" si="5"/>
        <v>1</v>
      </c>
      <c r="AC20" s="1474">
        <f t="shared" ref="AC20:AC83" si="19">AC19</f>
        <v>1.02</v>
      </c>
      <c r="AD20" s="1475">
        <f t="shared" ref="AD20:AD35" ca="1" si="20">IF(AND($A20&gt;=AD$16,MONTH($A20)=MONTH(AD$16)),MAX(AB20,AC20)*AD19,AD19)</f>
        <v>1</v>
      </c>
      <c r="AF20" s="1476">
        <f t="shared" ca="1" si="6"/>
        <v>1</v>
      </c>
      <c r="AG20" s="1474">
        <f t="shared" ref="AG20:AG83" si="21">AG19</f>
        <v>0</v>
      </c>
      <c r="AH20" s="1475">
        <f t="shared" ref="AH20:AH35" ca="1" si="22">IF(AND($A20&gt;=AH$16,MONTH($A20)=MONTH(AH$16)),MAX(AF20,AG20)*AH19,AH19)</f>
        <v>1</v>
      </c>
      <c r="AJ20" s="1476">
        <f t="shared" ca="1" si="7"/>
        <v>1</v>
      </c>
      <c r="AK20" s="1474">
        <f t="shared" ref="AK20:AK83" si="23">AK19</f>
        <v>1.02</v>
      </c>
      <c r="AL20" s="1475">
        <f t="shared" ref="AL20:AL35" ca="1" si="24">IF(AND($A20&gt;=AL$16,MONTH($A20)=MONTH(AL$16)),MAX(AJ20,AK20)*AL19,AL19)</f>
        <v>1</v>
      </c>
      <c r="AN20" s="1476">
        <f t="shared" ca="1" si="8"/>
        <v>1</v>
      </c>
      <c r="AO20" s="1474">
        <f t="shared" ref="AO20:AO83" si="25">AO19</f>
        <v>1.0049999999999999</v>
      </c>
      <c r="AP20" s="1475">
        <f t="shared" ref="AP20:AP35" ca="1" si="26">IF(AND($A20&gt;=AP$16,MONTH($A20)=MONTH(AP$16)),MAX(AN20,AO20)*AP19,AP19)</f>
        <v>1</v>
      </c>
      <c r="AR20" s="701">
        <f t="shared" ref="AR20:AR83" si="27">$A20</f>
        <v>35431</v>
      </c>
      <c r="AS20" s="1478">
        <f ca="1">IF(AND($A20&gt;=EDATE(AS$17,12),IF(Assm!$L$74=0,$D20,$E20)/AS19&gt;=1.05),IF(Assm!$L$74=0,$D20,$E20),AS19)</f>
        <v>1.0649999999999999</v>
      </c>
      <c r="AT20" s="1478">
        <f t="shared" ref="AT20:AT83" ca="1" si="28">IF(AS20/AS19=1,AT19,AS20/AS19)</f>
        <v>1</v>
      </c>
      <c r="AU20" s="1478">
        <f t="shared" ref="AU20:AU83" ca="1" si="29">F20</f>
        <v>1</v>
      </c>
      <c r="AV20" s="1478">
        <f t="shared" ref="AV20:AV83" ca="1" si="30">MAX(AT20,AU20)</f>
        <v>1</v>
      </c>
      <c r="AW20" s="1475">
        <f ca="1">IF(AV20=AV19,AW19,AV20*AW19)</f>
        <v>1</v>
      </c>
    </row>
    <row r="21" spans="1:49">
      <c r="A21" s="883">
        <f t="shared" si="10"/>
        <v>35462</v>
      </c>
      <c r="B21" s="1390">
        <f ca="1">'[2]Monthly Curve Calc.'!B24</f>
        <v>137.38999999999999</v>
      </c>
      <c r="C21" s="1391">
        <f ca="1">'[2]Monthly Curve Calc.'!C24</f>
        <v>159.6</v>
      </c>
      <c r="D21" s="1512">
        <f ca="1">'[2]Monthly Curve Calc.'!F24</f>
        <v>1.0509999999999999</v>
      </c>
      <c r="E21" s="1304">
        <f t="shared" ca="1" si="9"/>
        <v>1.0509999999999999</v>
      </c>
      <c r="F21" s="1473">
        <f ca="1">IF(Assm!$L$75=0,F20,IF(AND($A21&gt;F$16,MONTH($A21)=MONTH(F$16)),B20/B8,F20))</f>
        <v>1</v>
      </c>
      <c r="G21" s="1474">
        <f ca="1">IF(Assm!$L$75=0,G20,IF(AND($A21&gt;G$16,MONTH($A21)=MONTH(G$16)),C20/C8,G20))</f>
        <v>1</v>
      </c>
      <c r="H21" s="1474">
        <f ca="1">IF(Assm!$L$75=0,H20,IF(AND($A21&gt;H$16,MONTH($A21)=MONTH(H$16)),C20/C8-H$18,H20))</f>
        <v>1</v>
      </c>
      <c r="I21" s="1474">
        <f ca="1">IF(Assm!$L$75=0,I20,IF($A21&gt;=I$16,IF(MONTH($A21)=MONTH(I$16),AVERAGE(D9:D20),I20),I20))</f>
        <v>1.0385</v>
      </c>
      <c r="J21" s="1475">
        <f ca="1">IF(Assm!$L$75=0,J20,IF($A21&gt;=J$16,IF(MONTH($A21)=MONTH(J$16),AVERAGE(E9:E20),J20),J20))</f>
        <v>1.0385</v>
      </c>
      <c r="K21" s="958">
        <f t="shared" si="0"/>
        <v>9</v>
      </c>
      <c r="L21" s="1476">
        <f t="shared" ca="1" si="1"/>
        <v>1</v>
      </c>
      <c r="M21" s="1474">
        <f t="shared" si="11"/>
        <v>0</v>
      </c>
      <c r="N21" s="1475">
        <f t="shared" ca="1" si="12"/>
        <v>1</v>
      </c>
      <c r="P21" s="1476">
        <f t="shared" ca="1" si="2"/>
        <v>1</v>
      </c>
      <c r="Q21" s="1474">
        <f t="shared" si="13"/>
        <v>0</v>
      </c>
      <c r="R21" s="1475">
        <f t="shared" ca="1" si="14"/>
        <v>1</v>
      </c>
      <c r="T21" s="1476">
        <f t="shared" ca="1" si="3"/>
        <v>1</v>
      </c>
      <c r="U21" s="1474">
        <f t="shared" si="15"/>
        <v>1.0049999999999999</v>
      </c>
      <c r="V21" s="1475">
        <f t="shared" ca="1" si="16"/>
        <v>1</v>
      </c>
      <c r="X21" s="1476">
        <f t="shared" ca="1" si="4"/>
        <v>1</v>
      </c>
      <c r="Y21" s="1474">
        <f t="shared" si="17"/>
        <v>1.02</v>
      </c>
      <c r="Z21" s="1475">
        <f t="shared" ca="1" si="18"/>
        <v>1</v>
      </c>
      <c r="AB21" s="1476">
        <f t="shared" ca="1" si="5"/>
        <v>1</v>
      </c>
      <c r="AC21" s="1474">
        <f t="shared" si="19"/>
        <v>1.02</v>
      </c>
      <c r="AD21" s="1475">
        <f t="shared" ca="1" si="20"/>
        <v>1</v>
      </c>
      <c r="AF21" s="1476">
        <f t="shared" ca="1" si="6"/>
        <v>1</v>
      </c>
      <c r="AG21" s="1474">
        <f t="shared" si="21"/>
        <v>0</v>
      </c>
      <c r="AH21" s="1475">
        <f t="shared" ca="1" si="22"/>
        <v>1</v>
      </c>
      <c r="AJ21" s="1476">
        <f t="shared" ca="1" si="7"/>
        <v>1</v>
      </c>
      <c r="AK21" s="1474">
        <f t="shared" si="23"/>
        <v>1.02</v>
      </c>
      <c r="AL21" s="1475">
        <f t="shared" ca="1" si="24"/>
        <v>1</v>
      </c>
      <c r="AN21" s="1476">
        <f t="shared" ca="1" si="8"/>
        <v>1</v>
      </c>
      <c r="AO21" s="1474">
        <f t="shared" si="25"/>
        <v>1.0049999999999999</v>
      </c>
      <c r="AP21" s="1475">
        <f t="shared" ca="1" si="26"/>
        <v>1</v>
      </c>
      <c r="AR21" s="701">
        <f t="shared" si="27"/>
        <v>35462</v>
      </c>
      <c r="AS21" s="1478">
        <f ca="1">IF(AND($A21&gt;=EDATE(AS$17,12),IF(Assm!$L$74=0,$D21,$E21)/AS20&gt;=1.05),IF(Assm!$L$74=0,$D21,$E21),AS20)</f>
        <v>1.0649999999999999</v>
      </c>
      <c r="AT21" s="1478">
        <f t="shared" ca="1" si="28"/>
        <v>1</v>
      </c>
      <c r="AU21" s="1478">
        <f t="shared" ca="1" si="29"/>
        <v>1</v>
      </c>
      <c r="AV21" s="1478">
        <f t="shared" ca="1" si="30"/>
        <v>1</v>
      </c>
      <c r="AW21" s="1475">
        <f t="shared" ref="AW21:AW84" ca="1" si="31">IF(AV21=AV20,AW20,AV21*AW20)</f>
        <v>1</v>
      </c>
    </row>
    <row r="22" spans="1:49">
      <c r="A22" s="883">
        <f t="shared" si="10"/>
        <v>35490</v>
      </c>
      <c r="B22" s="1390">
        <f ca="1">'[2]Monthly Curve Calc.'!B25</f>
        <v>138.99</v>
      </c>
      <c r="C22" s="1391">
        <f ca="1">'[2]Monthly Curve Calc.'!C25</f>
        <v>160</v>
      </c>
      <c r="D22" s="1512">
        <f ca="1">'[2]Monthly Curve Calc.'!F25</f>
        <v>1.0593999999999999</v>
      </c>
      <c r="E22" s="1304">
        <f t="shared" ca="1" si="9"/>
        <v>1.0593999999999999</v>
      </c>
      <c r="F22" s="1473">
        <f ca="1">IF(Assm!$L$75=0,F21,IF(AND($A22&gt;F$16,MONTH($A22)=MONTH(F$16)),B21/B15,F21))</f>
        <v>1</v>
      </c>
      <c r="G22" s="1474">
        <f ca="1">IF(Assm!$L$75=0,G21,IF(AND($A22&gt;G$16,MONTH($A22)=MONTH(G$16)),C21/C9,G21))</f>
        <v>1</v>
      </c>
      <c r="H22" s="1474">
        <f ca="1">IF(Assm!$L$75=0,H21,IF(AND($A22&gt;H$16,MONTH($A22)=MONTH(H$16)),C21/C9-H$18,H21))</f>
        <v>1</v>
      </c>
      <c r="I22" s="1474">
        <f ca="1">IF(Assm!$L$75=0,I21,IF($A22&gt;=I$16,IF(MONTH($A22)=MONTH(I$16),AVERAGE(D10:D21),I21),I21))</f>
        <v>1.0385</v>
      </c>
      <c r="J22" s="1475">
        <f ca="1">IF(Assm!$L$75=0,J21,IF($A22&gt;=J$16,IF(MONTH($A22)=MONTH(J$16),AVERAGE(E10:E21),J21),J21))</f>
        <v>1.0385</v>
      </c>
      <c r="K22" s="958">
        <f t="shared" si="0"/>
        <v>10</v>
      </c>
      <c r="L22" s="1476">
        <f t="shared" ca="1" si="1"/>
        <v>1</v>
      </c>
      <c r="M22" s="1474">
        <f t="shared" si="11"/>
        <v>0</v>
      </c>
      <c r="N22" s="1475">
        <f t="shared" ca="1" si="12"/>
        <v>1</v>
      </c>
      <c r="P22" s="1476">
        <f t="shared" ca="1" si="2"/>
        <v>1</v>
      </c>
      <c r="Q22" s="1474">
        <f t="shared" si="13"/>
        <v>0</v>
      </c>
      <c r="R22" s="1475">
        <f t="shared" ca="1" si="14"/>
        <v>1</v>
      </c>
      <c r="T22" s="1476">
        <f t="shared" ca="1" si="3"/>
        <v>1</v>
      </c>
      <c r="U22" s="1474">
        <f t="shared" si="15"/>
        <v>1.0049999999999999</v>
      </c>
      <c r="V22" s="1475">
        <f t="shared" ca="1" si="16"/>
        <v>1</v>
      </c>
      <c r="X22" s="1476">
        <f t="shared" ca="1" si="4"/>
        <v>1</v>
      </c>
      <c r="Y22" s="1474">
        <f t="shared" si="17"/>
        <v>1.02</v>
      </c>
      <c r="Z22" s="1475">
        <f t="shared" ca="1" si="18"/>
        <v>1</v>
      </c>
      <c r="AB22" s="1476">
        <f t="shared" ca="1" si="5"/>
        <v>1</v>
      </c>
      <c r="AC22" s="1474">
        <f t="shared" si="19"/>
        <v>1.02</v>
      </c>
      <c r="AD22" s="1475">
        <f t="shared" ca="1" si="20"/>
        <v>1</v>
      </c>
      <c r="AF22" s="1476">
        <f t="shared" ca="1" si="6"/>
        <v>1</v>
      </c>
      <c r="AG22" s="1474">
        <f t="shared" si="21"/>
        <v>0</v>
      </c>
      <c r="AH22" s="1475">
        <f t="shared" ca="1" si="22"/>
        <v>1</v>
      </c>
      <c r="AJ22" s="1476">
        <f t="shared" ca="1" si="7"/>
        <v>1</v>
      </c>
      <c r="AK22" s="1474">
        <f t="shared" si="23"/>
        <v>1.02</v>
      </c>
      <c r="AL22" s="1475">
        <f t="shared" ca="1" si="24"/>
        <v>1</v>
      </c>
      <c r="AN22" s="1476">
        <f t="shared" ca="1" si="8"/>
        <v>1</v>
      </c>
      <c r="AO22" s="1474">
        <f t="shared" si="25"/>
        <v>1.0049999999999999</v>
      </c>
      <c r="AP22" s="1475">
        <f t="shared" ca="1" si="26"/>
        <v>1</v>
      </c>
      <c r="AR22" s="701">
        <f t="shared" si="27"/>
        <v>35490</v>
      </c>
      <c r="AS22" s="1478">
        <f ca="1">IF(AND($A22&gt;=EDATE(AS$17,12),IF(Assm!$L$74=0,$D22,$E22)/AS21&gt;=1.05),IF(Assm!$L$74=0,$D22,$E22),AS21)</f>
        <v>1.0649999999999999</v>
      </c>
      <c r="AT22" s="1478">
        <f t="shared" ca="1" si="28"/>
        <v>1</v>
      </c>
      <c r="AU22" s="1478">
        <f t="shared" ca="1" si="29"/>
        <v>1</v>
      </c>
      <c r="AV22" s="1478">
        <f t="shared" ca="1" si="30"/>
        <v>1</v>
      </c>
      <c r="AW22" s="1475">
        <f t="shared" ca="1" si="31"/>
        <v>1</v>
      </c>
    </row>
    <row r="23" spans="1:49">
      <c r="A23" s="883">
        <f t="shared" si="10"/>
        <v>35521</v>
      </c>
      <c r="B23" s="1390">
        <f ca="1">'[2]Monthly Curve Calc.'!B26</f>
        <v>139.80699999999999</v>
      </c>
      <c r="C23" s="1391">
        <f ca="1">'[2]Monthly Curve Calc.'!C26</f>
        <v>160.19999999999999</v>
      </c>
      <c r="D23" s="1512">
        <f ca="1">'[2]Monthly Curve Calc.'!F26</f>
        <v>1.0634999999999999</v>
      </c>
      <c r="E23" s="1304">
        <f t="shared" ca="1" si="9"/>
        <v>1.0634999999999999</v>
      </c>
      <c r="F23" s="1473">
        <f ca="1">IF(Assm!$L$75=0,F22,IF(AND($A23&gt;F$16,MONTH($A23)=MONTH(F$16)),B22/B10,F22))</f>
        <v>1</v>
      </c>
      <c r="G23" s="1474">
        <f ca="1">IF(Assm!$L$75=0,G22,IF(AND($A23&gt;G$16,MONTH($A23)=MONTH(G$16)),C22/C10,G22))</f>
        <v>1</v>
      </c>
      <c r="H23" s="1474">
        <f ca="1">IF(Assm!$L$75=0,H22,IF(AND($A23&gt;H$16,MONTH($A23)=MONTH(H$16)),C22/C10-H$18,H22))</f>
        <v>1</v>
      </c>
      <c r="I23" s="1474">
        <f ca="1">IF(Assm!$L$75=0,I22,IF($A23&gt;=I$16,IF(MONTH($A23)=MONTH(I$16),AVERAGE(D11:D22),I22),I22))</f>
        <v>1.0385</v>
      </c>
      <c r="J23" s="1475">
        <f ca="1">IF(Assm!$L$75=0,J22,IF($A23&gt;=J$16,IF(MONTH($A23)=MONTH(J$16),AVERAGE(E11:E22),J22),J22))</f>
        <v>1.0385</v>
      </c>
      <c r="K23" s="958">
        <f t="shared" si="0"/>
        <v>11</v>
      </c>
      <c r="L23" s="1476">
        <f t="shared" ca="1" si="1"/>
        <v>1</v>
      </c>
      <c r="M23" s="1474">
        <f t="shared" si="11"/>
        <v>0</v>
      </c>
      <c r="N23" s="1475">
        <f t="shared" ca="1" si="12"/>
        <v>1</v>
      </c>
      <c r="P23" s="1476">
        <f t="shared" ca="1" si="2"/>
        <v>1</v>
      </c>
      <c r="Q23" s="1474">
        <f t="shared" si="13"/>
        <v>0</v>
      </c>
      <c r="R23" s="1475">
        <f t="shared" ca="1" si="14"/>
        <v>1</v>
      </c>
      <c r="T23" s="1476">
        <f t="shared" ca="1" si="3"/>
        <v>1</v>
      </c>
      <c r="U23" s="1474">
        <f t="shared" si="15"/>
        <v>1.0049999999999999</v>
      </c>
      <c r="V23" s="1475">
        <f t="shared" ca="1" si="16"/>
        <v>1</v>
      </c>
      <c r="X23" s="1476">
        <f t="shared" ca="1" si="4"/>
        <v>1</v>
      </c>
      <c r="Y23" s="1474">
        <f t="shared" si="17"/>
        <v>1.02</v>
      </c>
      <c r="Z23" s="1475">
        <f t="shared" ca="1" si="18"/>
        <v>1</v>
      </c>
      <c r="AB23" s="1476">
        <f t="shared" ca="1" si="5"/>
        <v>1</v>
      </c>
      <c r="AC23" s="1474">
        <f t="shared" si="19"/>
        <v>1.02</v>
      </c>
      <c r="AD23" s="1475">
        <f t="shared" ca="1" si="20"/>
        <v>1</v>
      </c>
      <c r="AF23" s="1476">
        <f t="shared" ca="1" si="6"/>
        <v>1</v>
      </c>
      <c r="AG23" s="1474">
        <f t="shared" si="21"/>
        <v>0</v>
      </c>
      <c r="AH23" s="1475">
        <f t="shared" ca="1" si="22"/>
        <v>1</v>
      </c>
      <c r="AJ23" s="1476">
        <f t="shared" ca="1" si="7"/>
        <v>1</v>
      </c>
      <c r="AK23" s="1474">
        <f t="shared" si="23"/>
        <v>1.02</v>
      </c>
      <c r="AL23" s="1475">
        <f t="shared" ca="1" si="24"/>
        <v>1</v>
      </c>
      <c r="AN23" s="1476">
        <f t="shared" ca="1" si="8"/>
        <v>1</v>
      </c>
      <c r="AO23" s="1474">
        <f t="shared" si="25"/>
        <v>1.0049999999999999</v>
      </c>
      <c r="AP23" s="1475">
        <f t="shared" ca="1" si="26"/>
        <v>1</v>
      </c>
      <c r="AR23" s="701">
        <f t="shared" si="27"/>
        <v>35521</v>
      </c>
      <c r="AS23" s="1478">
        <f ca="1">IF(AND($A23&gt;=EDATE(AS$17,12),IF(Assm!$L$74=0,$D23,$E23)/AS22&gt;=1.05),IF(Assm!$L$74=0,$D23,$E23),AS22)</f>
        <v>1.0649999999999999</v>
      </c>
      <c r="AT23" s="1478">
        <f t="shared" ca="1" si="28"/>
        <v>1</v>
      </c>
      <c r="AU23" s="1478">
        <f t="shared" ca="1" si="29"/>
        <v>1</v>
      </c>
      <c r="AV23" s="1478">
        <f t="shared" ca="1" si="30"/>
        <v>1</v>
      </c>
      <c r="AW23" s="1475">
        <f t="shared" ca="1" si="31"/>
        <v>1</v>
      </c>
    </row>
    <row r="24" spans="1:49">
      <c r="A24" s="883">
        <f t="shared" si="10"/>
        <v>35551</v>
      </c>
      <c r="B24" s="1390">
        <f ca="1">'[2]Monthly Curve Calc.'!B27</f>
        <v>140.22</v>
      </c>
      <c r="C24" s="1391">
        <f ca="1">'[2]Monthly Curve Calc.'!C27</f>
        <v>160.1</v>
      </c>
      <c r="D24" s="1512">
        <f ca="1">'[2]Monthly Curve Calc.'!F27</f>
        <v>1.0703</v>
      </c>
      <c r="E24" s="1304">
        <f t="shared" ca="1" si="9"/>
        <v>1.0673078906355455</v>
      </c>
      <c r="F24" s="1473">
        <f ca="1">IF(Assm!$L$75=0,F23,IF(AND($A24&gt;F$16,MONTH($A24)=MONTH(F$16)),B23/B11,F23))</f>
        <v>1</v>
      </c>
      <c r="G24" s="1474">
        <f ca="1">IF(Assm!$L$75=0,G23,IF(AND($A24&gt;G$16,MONTH($A24)=MONTH(G$16)),C23/C11,G23))</f>
        <v>1</v>
      </c>
      <c r="H24" s="1474">
        <f ca="1">IF(Assm!$L$75=0,H23,IF(AND($A24&gt;H$16,MONTH($A24)=MONTH(H$16)),C23/C11-H$18,H23))</f>
        <v>1</v>
      </c>
      <c r="I24" s="1474">
        <f ca="1">IF(Assm!$L$75=0,I23,IF($A24&gt;=I$16,IF(MONTH($A24)=MONTH(I$16),AVERAGE(D12:D23),I23),I23))</f>
        <v>1.0385</v>
      </c>
      <c r="J24" s="1475">
        <f ca="1">IF(Assm!$L$75=0,J23,IF($A24&gt;=J$16,IF(MONTH($A24)=MONTH(J$16),AVERAGE(E12:E23),J23),J23))</f>
        <v>1.0385</v>
      </c>
      <c r="K24" s="958">
        <f t="shared" si="0"/>
        <v>12</v>
      </c>
      <c r="L24" s="1476">
        <f t="shared" ca="1" si="1"/>
        <v>1</v>
      </c>
      <c r="M24" s="1474">
        <f t="shared" si="11"/>
        <v>0</v>
      </c>
      <c r="N24" s="1475">
        <f t="shared" ca="1" si="12"/>
        <v>1</v>
      </c>
      <c r="P24" s="1476">
        <f t="shared" ca="1" si="2"/>
        <v>1</v>
      </c>
      <c r="Q24" s="1474">
        <f t="shared" si="13"/>
        <v>0</v>
      </c>
      <c r="R24" s="1475">
        <f t="shared" ca="1" si="14"/>
        <v>1</v>
      </c>
      <c r="T24" s="1476">
        <f t="shared" ca="1" si="3"/>
        <v>1</v>
      </c>
      <c r="U24" s="1474">
        <f t="shared" si="15"/>
        <v>1.0049999999999999</v>
      </c>
      <c r="V24" s="1475">
        <f t="shared" ca="1" si="16"/>
        <v>1</v>
      </c>
      <c r="X24" s="1476">
        <f t="shared" ca="1" si="4"/>
        <v>1</v>
      </c>
      <c r="Y24" s="1474">
        <f t="shared" si="17"/>
        <v>1.02</v>
      </c>
      <c r="Z24" s="1475">
        <f t="shared" ca="1" si="18"/>
        <v>1</v>
      </c>
      <c r="AB24" s="1476">
        <f t="shared" ca="1" si="5"/>
        <v>1</v>
      </c>
      <c r="AC24" s="1474">
        <f t="shared" si="19"/>
        <v>1.02</v>
      </c>
      <c r="AD24" s="1475">
        <f t="shared" ca="1" si="20"/>
        <v>1</v>
      </c>
      <c r="AF24" s="1476">
        <f t="shared" ca="1" si="6"/>
        <v>1</v>
      </c>
      <c r="AG24" s="1474">
        <f t="shared" si="21"/>
        <v>0</v>
      </c>
      <c r="AH24" s="1475">
        <f t="shared" ca="1" si="22"/>
        <v>1</v>
      </c>
      <c r="AJ24" s="1476">
        <f t="shared" ca="1" si="7"/>
        <v>1</v>
      </c>
      <c r="AK24" s="1474">
        <f t="shared" si="23"/>
        <v>1.02</v>
      </c>
      <c r="AL24" s="1475">
        <f t="shared" ca="1" si="24"/>
        <v>1</v>
      </c>
      <c r="AN24" s="1476">
        <f t="shared" ca="1" si="8"/>
        <v>1</v>
      </c>
      <c r="AO24" s="1474">
        <f t="shared" si="25"/>
        <v>1.0049999999999999</v>
      </c>
      <c r="AP24" s="1475">
        <f t="shared" ca="1" si="26"/>
        <v>1</v>
      </c>
      <c r="AR24" s="701">
        <f t="shared" si="27"/>
        <v>35551</v>
      </c>
      <c r="AS24" s="1478">
        <f ca="1">IF(AND($A24&gt;=EDATE(AS$17,12),IF(Assm!$L$74=0,$D24,$E24)/AS23&gt;=1.05),IF(Assm!$L$74=0,$D24,$E24),AS23)</f>
        <v>1.0649999999999999</v>
      </c>
      <c r="AT24" s="1478">
        <f t="shared" ca="1" si="28"/>
        <v>1</v>
      </c>
      <c r="AU24" s="1478">
        <f t="shared" ca="1" si="29"/>
        <v>1</v>
      </c>
      <c r="AV24" s="1478">
        <f t="shared" ca="1" si="30"/>
        <v>1</v>
      </c>
      <c r="AW24" s="1475">
        <f t="shared" ca="1" si="31"/>
        <v>1</v>
      </c>
    </row>
    <row r="25" spans="1:49">
      <c r="A25" s="883">
        <f t="shared" si="10"/>
        <v>35582</v>
      </c>
      <c r="B25" s="1390">
        <f ca="1">'[2]Monthly Curve Calc.'!B28</f>
        <v>141.20699999999999</v>
      </c>
      <c r="C25" s="1391">
        <f ca="1">'[2]Monthly Curve Calc.'!C28</f>
        <v>160.30000000000001</v>
      </c>
      <c r="D25" s="1512">
        <f ca="1">'[2]Monthly Curve Calc.'!F28</f>
        <v>1.0766</v>
      </c>
      <c r="E25" s="1304">
        <f t="shared" ca="1" si="9"/>
        <v>1.0734795942089688</v>
      </c>
      <c r="F25" s="1473">
        <f ca="1">IF(Assm!$L$75=0,F24,IF(AND($A25&gt;F$16,MONTH($A25)=MONTH(F$16)),B24/B12,F24))</f>
        <v>1</v>
      </c>
      <c r="G25" s="1474">
        <f ca="1">IF(Assm!$L$75=0,G24,IF(AND($A25&gt;G$16,MONTH($A25)=MONTH(G$16)),C24/C12,G24))</f>
        <v>1</v>
      </c>
      <c r="H25" s="1474">
        <f ca="1">IF(Assm!$L$75=0,H24,IF(AND($A25&gt;H$16,MONTH($A25)=MONTH(H$16)),C24/C12-H$18,H24))</f>
        <v>1</v>
      </c>
      <c r="I25" s="1474">
        <f ca="1">IF(Assm!$L$75=0,I24,IF($A25&gt;=I$16,IF(MONTH($A25)=MONTH(I$16),AVERAGE(D13:D24),I24),I24))</f>
        <v>1.0385</v>
      </c>
      <c r="J25" s="1475">
        <f ca="1">IF(Assm!$L$75=0,J24,IF($A25&gt;=J$16,IF(MONTH($A25)=MONTH(J$16),AVERAGE(E13:E24),J24),J24))</f>
        <v>1.0385</v>
      </c>
      <c r="K25" s="958">
        <f t="shared" si="0"/>
        <v>13</v>
      </c>
      <c r="L25" s="1476">
        <f t="shared" ca="1" si="1"/>
        <v>1</v>
      </c>
      <c r="M25" s="1474">
        <f t="shared" si="11"/>
        <v>0</v>
      </c>
      <c r="N25" s="1475">
        <f t="shared" ca="1" si="12"/>
        <v>1</v>
      </c>
      <c r="P25" s="1476">
        <f t="shared" ca="1" si="2"/>
        <v>1</v>
      </c>
      <c r="Q25" s="1474">
        <f t="shared" si="13"/>
        <v>0</v>
      </c>
      <c r="R25" s="1475">
        <f t="shared" ca="1" si="14"/>
        <v>1</v>
      </c>
      <c r="T25" s="1476">
        <f t="shared" ca="1" si="3"/>
        <v>1</v>
      </c>
      <c r="U25" s="1474">
        <f t="shared" si="15"/>
        <v>1.0049999999999999</v>
      </c>
      <c r="V25" s="1475">
        <f t="shared" ca="1" si="16"/>
        <v>1</v>
      </c>
      <c r="X25" s="1476">
        <f t="shared" ca="1" si="4"/>
        <v>1</v>
      </c>
      <c r="Y25" s="1474">
        <f t="shared" si="17"/>
        <v>1.02</v>
      </c>
      <c r="Z25" s="1475">
        <f t="shared" ca="1" si="18"/>
        <v>1</v>
      </c>
      <c r="AB25" s="1476">
        <f t="shared" ca="1" si="5"/>
        <v>1</v>
      </c>
      <c r="AC25" s="1474">
        <f t="shared" si="19"/>
        <v>1.02</v>
      </c>
      <c r="AD25" s="1475">
        <f t="shared" ca="1" si="20"/>
        <v>1</v>
      </c>
      <c r="AF25" s="1476">
        <f t="shared" ca="1" si="6"/>
        <v>1</v>
      </c>
      <c r="AG25" s="1474">
        <f t="shared" si="21"/>
        <v>0</v>
      </c>
      <c r="AH25" s="1475">
        <f t="shared" ca="1" si="22"/>
        <v>1</v>
      </c>
      <c r="AJ25" s="1476">
        <f t="shared" ca="1" si="7"/>
        <v>1</v>
      </c>
      <c r="AK25" s="1474">
        <f t="shared" si="23"/>
        <v>1.02</v>
      </c>
      <c r="AL25" s="1475">
        <f t="shared" ca="1" si="24"/>
        <v>1</v>
      </c>
      <c r="AN25" s="1476">
        <f t="shared" ca="1" si="8"/>
        <v>1</v>
      </c>
      <c r="AO25" s="1474">
        <f t="shared" si="25"/>
        <v>1.0049999999999999</v>
      </c>
      <c r="AP25" s="1475">
        <f t="shared" ca="1" si="26"/>
        <v>1</v>
      </c>
      <c r="AR25" s="701">
        <f t="shared" si="27"/>
        <v>35582</v>
      </c>
      <c r="AS25" s="1478">
        <f ca="1">IF(AND($A25&gt;=EDATE(AS$17,12),IF(Assm!$L$74=0,$D25,$E25)/AS24&gt;=1.05),IF(Assm!$L$74=0,$D25,$E25),AS24)</f>
        <v>1.0649999999999999</v>
      </c>
      <c r="AT25" s="1478">
        <f t="shared" ca="1" si="28"/>
        <v>1</v>
      </c>
      <c r="AU25" s="1478">
        <f t="shared" ca="1" si="29"/>
        <v>1</v>
      </c>
      <c r="AV25" s="1478">
        <f t="shared" ca="1" si="30"/>
        <v>1</v>
      </c>
      <c r="AW25" s="1475">
        <f t="shared" ca="1" si="31"/>
        <v>1</v>
      </c>
    </row>
    <row r="26" spans="1:49">
      <c r="A26" s="883">
        <f t="shared" si="10"/>
        <v>35612</v>
      </c>
      <c r="B26" s="1390">
        <f ca="1">'[2]Monthly Curve Calc.'!B29</f>
        <v>141.33000000000001</v>
      </c>
      <c r="C26" s="1391">
        <f ca="1">'[2]Monthly Curve Calc.'!C29</f>
        <v>160.5</v>
      </c>
      <c r="D26" s="1512">
        <f ca="1">'[2]Monthly Curve Calc.'!F29</f>
        <v>1.0829</v>
      </c>
      <c r="E26" s="1304">
        <f t="shared" ca="1" si="9"/>
        <v>1.0730758266285521</v>
      </c>
      <c r="F26" s="1473">
        <f ca="1">IF(Assm!$L$75=0,F25,IF(AND($A26&gt;F$16,MONTH($A26)=MONTH(F$16)),B25/B13,F25))</f>
        <v>1</v>
      </c>
      <c r="G26" s="1474">
        <f ca="1">IF(Assm!$L$75=0,G25,IF(AND($A26&gt;G$16,MONTH($A26)=MONTH(G$16)),C25/C13,G25))</f>
        <v>1</v>
      </c>
      <c r="H26" s="1474">
        <f ca="1">IF(Assm!$L$75=0,H25,IF(AND($A26&gt;H$16,MONTH($A26)=MONTH(H$16)),C25/C13-H$18,H25))</f>
        <v>1</v>
      </c>
      <c r="I26" s="1474">
        <f ca="1">IF(Assm!$L$75=0,I25,IF($A26&gt;=I$16,IF(MONTH($A26)=MONTH(I$16),AVERAGE(D14:D25),I25),I25))</f>
        <v>1.0385</v>
      </c>
      <c r="J26" s="1475">
        <f ca="1">IF(Assm!$L$75=0,J25,IF($A26&gt;=J$16,IF(MONTH($A26)=MONTH(J$16),AVERAGE(E14:E25),J25),J25))</f>
        <v>1.0385</v>
      </c>
      <c r="K26" s="958">
        <f t="shared" si="0"/>
        <v>14</v>
      </c>
      <c r="L26" s="1476">
        <f t="shared" ca="1" si="1"/>
        <v>1</v>
      </c>
      <c r="M26" s="1474">
        <f t="shared" si="11"/>
        <v>0</v>
      </c>
      <c r="N26" s="1475">
        <f t="shared" ca="1" si="12"/>
        <v>1</v>
      </c>
      <c r="P26" s="1476">
        <f t="shared" ca="1" si="2"/>
        <v>1</v>
      </c>
      <c r="Q26" s="1474">
        <f t="shared" si="13"/>
        <v>0</v>
      </c>
      <c r="R26" s="1475">
        <f t="shared" ca="1" si="14"/>
        <v>1</v>
      </c>
      <c r="T26" s="1476">
        <f t="shared" ca="1" si="3"/>
        <v>1</v>
      </c>
      <c r="U26" s="1474">
        <f t="shared" si="15"/>
        <v>1.0049999999999999</v>
      </c>
      <c r="V26" s="1475">
        <f t="shared" ca="1" si="16"/>
        <v>1</v>
      </c>
      <c r="X26" s="1476">
        <f t="shared" ca="1" si="4"/>
        <v>1</v>
      </c>
      <c r="Y26" s="1474">
        <f t="shared" si="17"/>
        <v>1.02</v>
      </c>
      <c r="Z26" s="1475">
        <f t="shared" ca="1" si="18"/>
        <v>1</v>
      </c>
      <c r="AB26" s="1476">
        <f t="shared" ca="1" si="5"/>
        <v>1</v>
      </c>
      <c r="AC26" s="1474">
        <f t="shared" si="19"/>
        <v>1.02</v>
      </c>
      <c r="AD26" s="1475">
        <f t="shared" ca="1" si="20"/>
        <v>1</v>
      </c>
      <c r="AF26" s="1476">
        <f t="shared" ca="1" si="6"/>
        <v>1</v>
      </c>
      <c r="AG26" s="1474">
        <f t="shared" si="21"/>
        <v>0</v>
      </c>
      <c r="AH26" s="1475">
        <f t="shared" ca="1" si="22"/>
        <v>1</v>
      </c>
      <c r="AJ26" s="1476">
        <f t="shared" ca="1" si="7"/>
        <v>1</v>
      </c>
      <c r="AK26" s="1474">
        <f t="shared" si="23"/>
        <v>1.02</v>
      </c>
      <c r="AL26" s="1475">
        <f t="shared" ca="1" si="24"/>
        <v>1</v>
      </c>
      <c r="AN26" s="1476">
        <f t="shared" ca="1" si="8"/>
        <v>1</v>
      </c>
      <c r="AO26" s="1474">
        <f t="shared" si="25"/>
        <v>1.0049999999999999</v>
      </c>
      <c r="AP26" s="1475">
        <f t="shared" ca="1" si="26"/>
        <v>1</v>
      </c>
      <c r="AR26" s="701">
        <f t="shared" si="27"/>
        <v>35612</v>
      </c>
      <c r="AS26" s="1478">
        <f ca="1">IF(AND($A26&gt;=EDATE(AS$17,12),IF(Assm!$L$74=0,$D26,$E26)/AS25&gt;=1.05),IF(Assm!$L$74=0,$D26,$E26),AS25)</f>
        <v>1.0649999999999999</v>
      </c>
      <c r="AT26" s="1478">
        <f t="shared" ca="1" si="28"/>
        <v>1</v>
      </c>
      <c r="AU26" s="1478">
        <f t="shared" ca="1" si="29"/>
        <v>1</v>
      </c>
      <c r="AV26" s="1478">
        <f t="shared" ca="1" si="30"/>
        <v>1</v>
      </c>
      <c r="AW26" s="1475">
        <f t="shared" ca="1" si="31"/>
        <v>1</v>
      </c>
    </row>
    <row r="27" spans="1:49">
      <c r="A27" s="883">
        <f t="shared" si="10"/>
        <v>35643</v>
      </c>
      <c r="B27" s="1390">
        <f ca="1">'[2]Monthly Curve Calc.'!B30</f>
        <v>141.26</v>
      </c>
      <c r="C27" s="1391">
        <f ca="1">'[2]Monthly Curve Calc.'!C30</f>
        <v>160.80000000000001</v>
      </c>
      <c r="D27" s="1512">
        <f ca="1">'[2]Monthly Curve Calc.'!F30</f>
        <v>1.0912999999999999</v>
      </c>
      <c r="E27" s="1304">
        <f t="shared" ca="1" si="9"/>
        <v>1.0705433223028464</v>
      </c>
      <c r="F27" s="1473">
        <f ca="1">IF(Assm!$L$75=0,F26,IF(AND($A27&gt;F$16,MONTH($A27)=MONTH(F$16)),B26/B14,F26))</f>
        <v>1</v>
      </c>
      <c r="G27" s="1474">
        <f ca="1">IF(Assm!$L$75=0,G26,IF(AND($A27&gt;G$16,MONTH($A27)=MONTH(G$16)),C26/C14,G26))</f>
        <v>1</v>
      </c>
      <c r="H27" s="1474">
        <f ca="1">IF(Assm!$L$75=0,H26,IF(AND($A27&gt;H$16,MONTH($A27)=MONTH(H$16)),C26/C14-H$18,H26))</f>
        <v>1</v>
      </c>
      <c r="I27" s="1474">
        <f ca="1">IF(Assm!$L$75=0,I26,IF($A27&gt;=I$16,IF(MONTH($A27)=MONTH(I$16),AVERAGE(D15:D26),I26),I26))</f>
        <v>1.0385</v>
      </c>
      <c r="J27" s="1475">
        <f ca="1">IF(Assm!$L$75=0,J26,IF($A27&gt;=J$16,IF(MONTH($A27)=MONTH(J$16),AVERAGE(E15:E26),J26),J26))</f>
        <v>1.0385</v>
      </c>
      <c r="K27" s="958">
        <f t="shared" si="0"/>
        <v>15</v>
      </c>
      <c r="L27" s="1476">
        <f t="shared" ca="1" si="1"/>
        <v>1</v>
      </c>
      <c r="M27" s="1474">
        <f t="shared" si="11"/>
        <v>0</v>
      </c>
      <c r="N27" s="1475">
        <f t="shared" ca="1" si="12"/>
        <v>1</v>
      </c>
      <c r="P27" s="1476">
        <f t="shared" ca="1" si="2"/>
        <v>1</v>
      </c>
      <c r="Q27" s="1474">
        <f t="shared" si="13"/>
        <v>0</v>
      </c>
      <c r="R27" s="1475">
        <f t="shared" ca="1" si="14"/>
        <v>1</v>
      </c>
      <c r="T27" s="1476">
        <f t="shared" ca="1" si="3"/>
        <v>1</v>
      </c>
      <c r="U27" s="1474">
        <f t="shared" si="15"/>
        <v>1.0049999999999999</v>
      </c>
      <c r="V27" s="1475">
        <f t="shared" ca="1" si="16"/>
        <v>1</v>
      </c>
      <c r="X27" s="1476">
        <f t="shared" ca="1" si="4"/>
        <v>1</v>
      </c>
      <c r="Y27" s="1474">
        <f t="shared" si="17"/>
        <v>1.02</v>
      </c>
      <c r="Z27" s="1475">
        <f t="shared" ca="1" si="18"/>
        <v>1</v>
      </c>
      <c r="AB27" s="1476">
        <f t="shared" ca="1" si="5"/>
        <v>1</v>
      </c>
      <c r="AC27" s="1474">
        <f t="shared" si="19"/>
        <v>1.02</v>
      </c>
      <c r="AD27" s="1475">
        <f t="shared" ca="1" si="20"/>
        <v>1</v>
      </c>
      <c r="AF27" s="1476">
        <f t="shared" ca="1" si="6"/>
        <v>1</v>
      </c>
      <c r="AG27" s="1474">
        <f t="shared" si="21"/>
        <v>0</v>
      </c>
      <c r="AH27" s="1475">
        <f t="shared" ca="1" si="22"/>
        <v>1</v>
      </c>
      <c r="AJ27" s="1476">
        <f t="shared" ca="1" si="7"/>
        <v>1</v>
      </c>
      <c r="AK27" s="1474">
        <f t="shared" si="23"/>
        <v>1.02</v>
      </c>
      <c r="AL27" s="1475">
        <f t="shared" ca="1" si="24"/>
        <v>1</v>
      </c>
      <c r="AN27" s="1476">
        <f t="shared" ca="1" si="8"/>
        <v>1</v>
      </c>
      <c r="AO27" s="1474">
        <f t="shared" si="25"/>
        <v>1.0049999999999999</v>
      </c>
      <c r="AP27" s="1475">
        <f t="shared" ca="1" si="26"/>
        <v>1</v>
      </c>
      <c r="AR27" s="701">
        <f t="shared" si="27"/>
        <v>35643</v>
      </c>
      <c r="AS27" s="1478">
        <f ca="1">IF(AND($A27&gt;=EDATE(AS$17,12),IF(Assm!$L$74=0,$D27,$E27)/AS26&gt;=1.05),IF(Assm!$L$74=0,$D27,$E27),AS26)</f>
        <v>1.0649999999999999</v>
      </c>
      <c r="AT27" s="1478">
        <f t="shared" ca="1" si="28"/>
        <v>1</v>
      </c>
      <c r="AU27" s="1478">
        <f t="shared" ca="1" si="29"/>
        <v>1</v>
      </c>
      <c r="AV27" s="1478">
        <f t="shared" ca="1" si="30"/>
        <v>1</v>
      </c>
      <c r="AW27" s="1475">
        <f t="shared" ca="1" si="31"/>
        <v>1</v>
      </c>
    </row>
    <row r="28" spans="1:49">
      <c r="A28" s="883">
        <f t="shared" si="10"/>
        <v>35674</v>
      </c>
      <c r="B28" s="1390">
        <f ca="1">'[2]Monthly Curve Calc.'!B31</f>
        <v>142.101</v>
      </c>
      <c r="C28" s="1391">
        <f ca="1">'[2]Monthly Curve Calc.'!C31</f>
        <v>161.19999999999999</v>
      </c>
      <c r="D28" s="1512">
        <f ca="1">'[2]Monthly Curve Calc.'!F31</f>
        <v>1.0960000000000001</v>
      </c>
      <c r="E28" s="1304">
        <f t="shared" ca="1" si="9"/>
        <v>1.0742446167812592</v>
      </c>
      <c r="F28" s="1473">
        <f ca="1">IF(Assm!$L$75=0,F27,IF(AND($A28&gt;F$16,MONTH($A28)=MONTH(F$16)),B27/#REF!,F27))</f>
        <v>1</v>
      </c>
      <c r="G28" s="1474">
        <f ca="1">IF(Assm!$L$75=0,G27,IF(AND($A28&gt;G$16,MONTH($A28)=MONTH(G$16)),C27/C15,G27))</f>
        <v>1</v>
      </c>
      <c r="H28" s="1474">
        <f ca="1">IF(Assm!$L$75=0,H27,IF(AND($A28&gt;H$16,MONTH($A28)=MONTH(H$16)),C27/C15-H$18,H27))</f>
        <v>1</v>
      </c>
      <c r="I28" s="1474">
        <f ca="1">IF(Assm!$L$75=0,I27,IF($A28&gt;=I$16,IF(MONTH($A28)=MONTH(I$16),AVERAGE(D16:D27),I27),I27))</f>
        <v>1.0385</v>
      </c>
      <c r="J28" s="1475">
        <f ca="1">IF(Assm!$L$75=0,J27,IF($A28&gt;=J$16,IF(MONTH($A28)=MONTH(J$16),AVERAGE(E16:E27),J27),J27))</f>
        <v>1.0385</v>
      </c>
      <c r="K28" s="958">
        <f t="shared" si="0"/>
        <v>16</v>
      </c>
      <c r="L28" s="1476">
        <f t="shared" ca="1" si="1"/>
        <v>1</v>
      </c>
      <c r="M28" s="1474">
        <f t="shared" si="11"/>
        <v>0</v>
      </c>
      <c r="N28" s="1475">
        <f t="shared" ca="1" si="12"/>
        <v>1</v>
      </c>
      <c r="P28" s="1476">
        <f t="shared" ca="1" si="2"/>
        <v>1</v>
      </c>
      <c r="Q28" s="1474">
        <f t="shared" si="13"/>
        <v>0</v>
      </c>
      <c r="R28" s="1475">
        <f t="shared" ca="1" si="14"/>
        <v>1</v>
      </c>
      <c r="T28" s="1476">
        <f t="shared" ca="1" si="3"/>
        <v>1</v>
      </c>
      <c r="U28" s="1474">
        <f t="shared" si="15"/>
        <v>1.0049999999999999</v>
      </c>
      <c r="V28" s="1475">
        <f t="shared" ca="1" si="16"/>
        <v>1</v>
      </c>
      <c r="X28" s="1476">
        <f t="shared" ca="1" si="4"/>
        <v>1</v>
      </c>
      <c r="Y28" s="1474">
        <f t="shared" si="17"/>
        <v>1.02</v>
      </c>
      <c r="Z28" s="1475">
        <f t="shared" ca="1" si="18"/>
        <v>1</v>
      </c>
      <c r="AB28" s="1476">
        <f t="shared" ca="1" si="5"/>
        <v>1</v>
      </c>
      <c r="AC28" s="1474">
        <f t="shared" si="19"/>
        <v>1.02</v>
      </c>
      <c r="AD28" s="1475">
        <f t="shared" ca="1" si="20"/>
        <v>1</v>
      </c>
      <c r="AF28" s="1476">
        <f t="shared" ca="1" si="6"/>
        <v>1</v>
      </c>
      <c r="AG28" s="1474">
        <f t="shared" si="21"/>
        <v>0</v>
      </c>
      <c r="AH28" s="1475">
        <f t="shared" ca="1" si="22"/>
        <v>1</v>
      </c>
      <c r="AJ28" s="1476">
        <f t="shared" ca="1" si="7"/>
        <v>1</v>
      </c>
      <c r="AK28" s="1474">
        <f t="shared" si="23"/>
        <v>1.02</v>
      </c>
      <c r="AL28" s="1475">
        <f t="shared" ca="1" si="24"/>
        <v>1</v>
      </c>
      <c r="AN28" s="1476">
        <f t="shared" ca="1" si="8"/>
        <v>1</v>
      </c>
      <c r="AO28" s="1474">
        <f t="shared" si="25"/>
        <v>1.0049999999999999</v>
      </c>
      <c r="AP28" s="1475">
        <f t="shared" ca="1" si="26"/>
        <v>1</v>
      </c>
      <c r="AR28" s="701">
        <f t="shared" si="27"/>
        <v>35674</v>
      </c>
      <c r="AS28" s="1478">
        <f ca="1">IF(AND($A28&gt;=EDATE(AS$17,12),IF(Assm!$L$74=0,$D28,$E28)/AS27&gt;=1.05),IF(Assm!$L$74=0,$D28,$E28),AS27)</f>
        <v>1.0649999999999999</v>
      </c>
      <c r="AT28" s="1478">
        <f t="shared" ca="1" si="28"/>
        <v>1</v>
      </c>
      <c r="AU28" s="1478">
        <f t="shared" ca="1" si="29"/>
        <v>1</v>
      </c>
      <c r="AV28" s="1478">
        <f t="shared" ca="1" si="30"/>
        <v>1</v>
      </c>
      <c r="AW28" s="1475">
        <f t="shared" ca="1" si="31"/>
        <v>1</v>
      </c>
    </row>
    <row r="29" spans="1:49">
      <c r="A29" s="883">
        <f t="shared" si="10"/>
        <v>35704</v>
      </c>
      <c r="B29" s="1390">
        <f ca="1">'[2]Monthly Curve Calc.'!B32</f>
        <v>142.58699999999999</v>
      </c>
      <c r="C29" s="1391">
        <f ca="1">'[2]Monthly Curve Calc.'!C32</f>
        <v>161.6</v>
      </c>
      <c r="D29" s="1512">
        <f ca="1">'[2]Monthly Curve Calc.'!F32</f>
        <v>1.1027</v>
      </c>
      <c r="E29" s="1304">
        <f t="shared" ca="1" si="9"/>
        <v>1.0752505281370208</v>
      </c>
      <c r="F29" s="1473">
        <f ca="1">IF(Assm!$L$75=0,F28,IF(AND($A29&gt;F$16,MONTH($A29)=MONTH(F$16)),B28/B16,F28))</f>
        <v>1</v>
      </c>
      <c r="G29" s="1474">
        <f ca="1">IF(Assm!$L$75=0,G28,IF(AND($A29&gt;G$16,MONTH($A29)=MONTH(G$16)),C28/C16,G28))</f>
        <v>1</v>
      </c>
      <c r="H29" s="1474">
        <f ca="1">IF(Assm!$L$75=0,H28,IF(AND($A29&gt;H$16,MONTH($A29)=MONTH(H$16)),C28/C16-H$18,H28))</f>
        <v>1</v>
      </c>
      <c r="I29" s="1474">
        <f ca="1">IF(Assm!$L$75=0,I28,IF($A29&gt;=I$16,IF(MONTH($A29)=MONTH(I$16),AVERAGE(D17:D28),I28),I28))</f>
        <v>1.0385</v>
      </c>
      <c r="J29" s="1475">
        <f ca="1">IF(Assm!$L$75=0,J28,IF($A29&gt;=J$16,IF(MONTH($A29)=MONTH(J$16),AVERAGE(E17:E28),J28),J28))</f>
        <v>1.0385</v>
      </c>
      <c r="K29" s="958">
        <f t="shared" si="0"/>
        <v>17</v>
      </c>
      <c r="L29" s="1476">
        <f t="shared" ca="1" si="1"/>
        <v>1</v>
      </c>
      <c r="M29" s="1474">
        <f t="shared" si="11"/>
        <v>0</v>
      </c>
      <c r="N29" s="1475">
        <f t="shared" ca="1" si="12"/>
        <v>1</v>
      </c>
      <c r="P29" s="1476">
        <f t="shared" ca="1" si="2"/>
        <v>1</v>
      </c>
      <c r="Q29" s="1474">
        <f t="shared" si="13"/>
        <v>0</v>
      </c>
      <c r="R29" s="1475">
        <f t="shared" ca="1" si="14"/>
        <v>1</v>
      </c>
      <c r="T29" s="1476">
        <f t="shared" ca="1" si="3"/>
        <v>1</v>
      </c>
      <c r="U29" s="1474">
        <f t="shared" si="15"/>
        <v>1.0049999999999999</v>
      </c>
      <c r="V29" s="1475">
        <f t="shared" ca="1" si="16"/>
        <v>1</v>
      </c>
      <c r="X29" s="1476">
        <f t="shared" ca="1" si="4"/>
        <v>1</v>
      </c>
      <c r="Y29" s="1474">
        <f t="shared" si="17"/>
        <v>1.02</v>
      </c>
      <c r="Z29" s="1475">
        <f t="shared" ca="1" si="18"/>
        <v>1</v>
      </c>
      <c r="AB29" s="1476">
        <f t="shared" ca="1" si="5"/>
        <v>1</v>
      </c>
      <c r="AC29" s="1474">
        <f t="shared" si="19"/>
        <v>1.02</v>
      </c>
      <c r="AD29" s="1475">
        <f t="shared" ca="1" si="20"/>
        <v>1</v>
      </c>
      <c r="AF29" s="1476">
        <f t="shared" ca="1" si="6"/>
        <v>1</v>
      </c>
      <c r="AG29" s="1474">
        <f t="shared" si="21"/>
        <v>0</v>
      </c>
      <c r="AH29" s="1475">
        <f t="shared" ca="1" si="22"/>
        <v>1</v>
      </c>
      <c r="AJ29" s="1476">
        <f t="shared" ca="1" si="7"/>
        <v>1</v>
      </c>
      <c r="AK29" s="1474">
        <f t="shared" si="23"/>
        <v>1.02</v>
      </c>
      <c r="AL29" s="1475">
        <f t="shared" ca="1" si="24"/>
        <v>1</v>
      </c>
      <c r="AN29" s="1476">
        <f t="shared" ca="1" si="8"/>
        <v>1</v>
      </c>
      <c r="AO29" s="1474">
        <f t="shared" si="25"/>
        <v>1.0049999999999999</v>
      </c>
      <c r="AP29" s="1475">
        <f t="shared" ca="1" si="26"/>
        <v>1</v>
      </c>
      <c r="AR29" s="701">
        <f t="shared" si="27"/>
        <v>35704</v>
      </c>
      <c r="AS29" s="1478">
        <f ca="1">IF(AND($A29&gt;=EDATE(AS$17,12),IF(Assm!$L$74=0,$D29,$E29)/AS28&gt;=1.05),IF(Assm!$L$74=0,$D29,$E29),AS28)</f>
        <v>1.0649999999999999</v>
      </c>
      <c r="AT29" s="1478">
        <f t="shared" ca="1" si="28"/>
        <v>1</v>
      </c>
      <c r="AU29" s="1478">
        <f t="shared" ca="1" si="29"/>
        <v>1</v>
      </c>
      <c r="AV29" s="1478">
        <f t="shared" ca="1" si="30"/>
        <v>1</v>
      </c>
      <c r="AW29" s="1475">
        <f t="shared" ca="1" si="31"/>
        <v>1</v>
      </c>
    </row>
    <row r="30" spans="1:49">
      <c r="A30" s="883">
        <f t="shared" si="10"/>
        <v>35735</v>
      </c>
      <c r="B30" s="1390">
        <f ca="1">'[2]Monthly Curve Calc.'!B33</f>
        <v>143.77099999999999</v>
      </c>
      <c r="C30" s="1391">
        <f ca="1">'[2]Monthly Curve Calc.'!C33</f>
        <v>161.5</v>
      </c>
      <c r="D30" s="1512">
        <f ca="1">'[2]Monthly Curve Calc.'!F33</f>
        <v>1.1094999999999999</v>
      </c>
      <c r="E30" s="1304">
        <f t="shared" ca="1" si="9"/>
        <v>1.0848504067427227</v>
      </c>
      <c r="F30" s="1473">
        <f ca="1">IF(Assm!$L$75=0,F29,IF(AND($A30&gt;F$16,MONTH($A30)=MONTH(F$16)),B29/B17,F29))</f>
        <v>1</v>
      </c>
      <c r="G30" s="1474">
        <f ca="1">IF(Assm!$L$75=0,G29,IF(AND($A30&gt;G$16,MONTH($A30)=MONTH(G$16)),C29/C17,G29))</f>
        <v>1</v>
      </c>
      <c r="H30" s="1474">
        <f ca="1">IF(Assm!$L$75=0,H29,IF(AND($A30&gt;H$16,MONTH($A30)=MONTH(H$16)),C29/C17-H$18,H29))</f>
        <v>1</v>
      </c>
      <c r="I30" s="1474">
        <f ca="1">IF(Assm!$L$75=0,I29,IF($A30&gt;=I$16,IF(MONTH($A30)=MONTH(I$16),AVERAGE(D18:D29),I29),I29))</f>
        <v>1.0385</v>
      </c>
      <c r="J30" s="1475">
        <f ca="1">IF(Assm!$L$75=0,J29,IF($A30&gt;=J$16,IF(MONTH($A30)=MONTH(J$16),AVERAGE(E18:E29),J29),J29))</f>
        <v>1.0385</v>
      </c>
      <c r="K30" s="958">
        <f t="shared" si="0"/>
        <v>18</v>
      </c>
      <c r="L30" s="1476">
        <f t="shared" ca="1" si="1"/>
        <v>1</v>
      </c>
      <c r="M30" s="1474">
        <f t="shared" si="11"/>
        <v>0</v>
      </c>
      <c r="N30" s="1475">
        <f t="shared" ca="1" si="12"/>
        <v>1</v>
      </c>
      <c r="P30" s="1476">
        <f t="shared" ca="1" si="2"/>
        <v>1</v>
      </c>
      <c r="Q30" s="1474">
        <f t="shared" si="13"/>
        <v>0</v>
      </c>
      <c r="R30" s="1475">
        <f t="shared" ca="1" si="14"/>
        <v>1</v>
      </c>
      <c r="T30" s="1476">
        <f t="shared" ca="1" si="3"/>
        <v>1</v>
      </c>
      <c r="U30" s="1474">
        <f t="shared" si="15"/>
        <v>1.0049999999999999</v>
      </c>
      <c r="V30" s="1475">
        <f t="shared" ca="1" si="16"/>
        <v>1</v>
      </c>
      <c r="X30" s="1476">
        <f t="shared" ca="1" si="4"/>
        <v>1</v>
      </c>
      <c r="Y30" s="1474">
        <f t="shared" si="17"/>
        <v>1.02</v>
      </c>
      <c r="Z30" s="1475">
        <f t="shared" ca="1" si="18"/>
        <v>1</v>
      </c>
      <c r="AB30" s="1476">
        <f t="shared" ca="1" si="5"/>
        <v>1</v>
      </c>
      <c r="AC30" s="1474">
        <f t="shared" si="19"/>
        <v>1.02</v>
      </c>
      <c r="AD30" s="1475">
        <f t="shared" ca="1" si="20"/>
        <v>1</v>
      </c>
      <c r="AF30" s="1476">
        <f t="shared" ca="1" si="6"/>
        <v>1</v>
      </c>
      <c r="AG30" s="1474">
        <f t="shared" si="21"/>
        <v>0</v>
      </c>
      <c r="AH30" s="1475">
        <f t="shared" ca="1" si="22"/>
        <v>1</v>
      </c>
      <c r="AJ30" s="1476">
        <f t="shared" ca="1" si="7"/>
        <v>1</v>
      </c>
      <c r="AK30" s="1474">
        <f t="shared" si="23"/>
        <v>1.02</v>
      </c>
      <c r="AL30" s="1475">
        <f t="shared" ca="1" si="24"/>
        <v>1</v>
      </c>
      <c r="AN30" s="1476">
        <f t="shared" ca="1" si="8"/>
        <v>1</v>
      </c>
      <c r="AO30" s="1474">
        <f t="shared" si="25"/>
        <v>1.0049999999999999</v>
      </c>
      <c r="AP30" s="1475">
        <f t="shared" ca="1" si="26"/>
        <v>1</v>
      </c>
      <c r="AR30" s="701">
        <f t="shared" si="27"/>
        <v>35735</v>
      </c>
      <c r="AS30" s="1478">
        <f ca="1">IF(AND($A30&gt;=EDATE(AS$17,12),IF(Assm!$L$74=0,$D30,$E30)/AS29&gt;=1.05),IF(Assm!$L$74=0,$D30,$E30),AS29)</f>
        <v>1.0649999999999999</v>
      </c>
      <c r="AT30" s="1478">
        <f t="shared" ca="1" si="28"/>
        <v>1</v>
      </c>
      <c r="AU30" s="1478">
        <f t="shared" ca="1" si="29"/>
        <v>1</v>
      </c>
      <c r="AV30" s="1478">
        <f t="shared" ca="1" si="30"/>
        <v>1</v>
      </c>
      <c r="AW30" s="1475">
        <f t="shared" ca="1" si="31"/>
        <v>1</v>
      </c>
    </row>
    <row r="31" spans="1:49">
      <c r="A31" s="883">
        <f t="shared" si="10"/>
        <v>35765</v>
      </c>
      <c r="B31" s="1390">
        <f ca="1">'[2]Monthly Curve Calc.'!B34</f>
        <v>144.76499999999999</v>
      </c>
      <c r="C31" s="1391">
        <f ca="1">'[2]Monthly Curve Calc.'!C34</f>
        <v>161.30000000000001</v>
      </c>
      <c r="D31" s="1512">
        <f ca="1">'[2]Monthly Curve Calc.'!F34</f>
        <v>1.1160000000000001</v>
      </c>
      <c r="E31" s="1304">
        <f t="shared" ca="1" si="9"/>
        <v>1.0937052495018915</v>
      </c>
      <c r="F31" s="1473">
        <f ca="1">IF(Assm!$L$75=0,F30,IF(AND($A31&gt;F$16,MONTH($A31)=MONTH(F$16)),B30/B18,F30))</f>
        <v>1</v>
      </c>
      <c r="G31" s="1474">
        <f ca="1">IF(Assm!$L$75=0,G30,IF(AND($A31&gt;G$16,MONTH($A31)=MONTH(G$16)),C30/C18,G30))</f>
        <v>1</v>
      </c>
      <c r="H31" s="1474">
        <f ca="1">IF(Assm!$L$75=0,H30,IF(AND($A31&gt;H$16,MONTH($A31)=MONTH(H$16)),C30/C18-H$18,H30))</f>
        <v>1</v>
      </c>
      <c r="I31" s="1474">
        <f ca="1">IF(Assm!$L$75=0,I30,IF($A31&gt;=I$16,IF(MONTH($A31)=MONTH(I$16),AVERAGE(D19:D30),I30),I30))</f>
        <v>1.0385</v>
      </c>
      <c r="J31" s="1475">
        <f ca="1">IF(Assm!$L$75=0,J30,IF($A31&gt;=J$16,IF(MONTH($A31)=MONTH(J$16),AVERAGE(E19:E30),J30),J30))</f>
        <v>1.0385</v>
      </c>
      <c r="K31" s="958">
        <f t="shared" si="0"/>
        <v>19</v>
      </c>
      <c r="L31" s="1476">
        <f t="shared" ca="1" si="1"/>
        <v>1</v>
      </c>
      <c r="M31" s="1474">
        <f t="shared" si="11"/>
        <v>0</v>
      </c>
      <c r="N31" s="1475">
        <f t="shared" ca="1" si="12"/>
        <v>1</v>
      </c>
      <c r="P31" s="1476">
        <f t="shared" ca="1" si="2"/>
        <v>1</v>
      </c>
      <c r="Q31" s="1474">
        <f t="shared" si="13"/>
        <v>0</v>
      </c>
      <c r="R31" s="1475">
        <f t="shared" ca="1" si="14"/>
        <v>1</v>
      </c>
      <c r="T31" s="1476">
        <f t="shared" ca="1" si="3"/>
        <v>1</v>
      </c>
      <c r="U31" s="1474">
        <f t="shared" si="15"/>
        <v>1.0049999999999999</v>
      </c>
      <c r="V31" s="1475">
        <f t="shared" ca="1" si="16"/>
        <v>1</v>
      </c>
      <c r="X31" s="1476">
        <f t="shared" ca="1" si="4"/>
        <v>1</v>
      </c>
      <c r="Y31" s="1474">
        <f t="shared" si="17"/>
        <v>1.02</v>
      </c>
      <c r="Z31" s="1475">
        <f t="shared" ca="1" si="18"/>
        <v>1</v>
      </c>
      <c r="AB31" s="1476">
        <f t="shared" ca="1" si="5"/>
        <v>1</v>
      </c>
      <c r="AC31" s="1474">
        <f t="shared" si="19"/>
        <v>1.02</v>
      </c>
      <c r="AD31" s="1475">
        <f t="shared" ca="1" si="20"/>
        <v>1</v>
      </c>
      <c r="AF31" s="1476">
        <f t="shared" ca="1" si="6"/>
        <v>1</v>
      </c>
      <c r="AG31" s="1474">
        <f t="shared" si="21"/>
        <v>0</v>
      </c>
      <c r="AH31" s="1475">
        <f t="shared" ca="1" si="22"/>
        <v>1</v>
      </c>
      <c r="AJ31" s="1476">
        <f t="shared" ca="1" si="7"/>
        <v>1</v>
      </c>
      <c r="AK31" s="1474">
        <f t="shared" si="23"/>
        <v>1.02</v>
      </c>
      <c r="AL31" s="1475">
        <f t="shared" ca="1" si="24"/>
        <v>1</v>
      </c>
      <c r="AN31" s="1476">
        <f t="shared" ca="1" si="8"/>
        <v>1</v>
      </c>
      <c r="AO31" s="1474">
        <f t="shared" si="25"/>
        <v>1.0049999999999999</v>
      </c>
      <c r="AP31" s="1475">
        <f t="shared" ca="1" si="26"/>
        <v>1</v>
      </c>
      <c r="AR31" s="701">
        <f t="shared" si="27"/>
        <v>35765</v>
      </c>
      <c r="AS31" s="1478">
        <f ca="1">IF(AND($A31&gt;=EDATE(AS$17,12),IF(Assm!$L$74=0,$D31,$E31)/AS30&gt;=1.05),IF(Assm!$L$74=0,$D31,$E31),AS30)</f>
        <v>1.0649999999999999</v>
      </c>
      <c r="AT31" s="1478">
        <f t="shared" ca="1" si="28"/>
        <v>1</v>
      </c>
      <c r="AU31" s="1478">
        <f t="shared" ca="1" si="29"/>
        <v>1</v>
      </c>
      <c r="AV31" s="1478">
        <f t="shared" ca="1" si="30"/>
        <v>1</v>
      </c>
      <c r="AW31" s="1475">
        <f t="shared" ca="1" si="31"/>
        <v>1</v>
      </c>
    </row>
    <row r="32" spans="1:49">
      <c r="A32" s="883">
        <f t="shared" si="10"/>
        <v>35796</v>
      </c>
      <c r="B32" s="1390">
        <f ca="1">'[2]Monthly Curve Calc.'!B35</f>
        <v>146.03800000000001</v>
      </c>
      <c r="C32" s="1391">
        <f ca="1">'[2]Monthly Curve Calc.'!C35</f>
        <v>161.6</v>
      </c>
      <c r="D32" s="1512">
        <f ca="1">'[2]Monthly Curve Calc.'!F35</f>
        <v>1.1234</v>
      </c>
      <c r="E32" s="1304">
        <f t="shared" ca="1" si="9"/>
        <v>1.1012745666019641</v>
      </c>
      <c r="F32" s="1473">
        <f ca="1">IF(Assm!$L$75=0,F31,IF(AND($A32&gt;F$16,MONTH($A32)=MONTH(F$16)),B31/B19,F31))</f>
        <v>1</v>
      </c>
      <c r="G32" s="1474">
        <f ca="1">IF(Assm!$L$75=0,G31,IF(AND($A32&gt;G$16,MONTH($A32)=MONTH(G$16)),C31/C19,G31))</f>
        <v>1</v>
      </c>
      <c r="H32" s="1474">
        <f ca="1">IF(Assm!$L$75=0,H31,IF(AND($A32&gt;H$16,MONTH($A32)=MONTH(H$16)),C31/C19-H$18,H31))</f>
        <v>1</v>
      </c>
      <c r="I32" s="1474">
        <f ca="1">IF(Assm!$L$75=0,I31,IF($A32&gt;=I$16,IF(MONTH($A32)=MONTH(I$16),AVERAGE(D20:D31),I31),I31))</f>
        <v>1.0804</v>
      </c>
      <c r="J32" s="1475">
        <f ca="1">IF(Assm!$L$75=0,J31,IF($A32&gt;=J$16,IF(MONTH($A32)=MONTH(J$16),AVERAGE(E20:E31),J31),J31))</f>
        <v>1.0693297862449005</v>
      </c>
      <c r="K32" s="958">
        <f t="shared" si="0"/>
        <v>20</v>
      </c>
      <c r="L32" s="1476">
        <f t="shared" ca="1" si="1"/>
        <v>1</v>
      </c>
      <c r="M32" s="1474">
        <f t="shared" si="11"/>
        <v>0</v>
      </c>
      <c r="N32" s="1475">
        <f t="shared" ca="1" si="12"/>
        <v>1</v>
      </c>
      <c r="P32" s="1476">
        <f t="shared" ca="1" si="2"/>
        <v>1</v>
      </c>
      <c r="Q32" s="1474">
        <f t="shared" si="13"/>
        <v>0</v>
      </c>
      <c r="R32" s="1475">
        <f t="shared" ca="1" si="14"/>
        <v>1</v>
      </c>
      <c r="T32" s="1476">
        <f t="shared" ca="1" si="3"/>
        <v>1</v>
      </c>
      <c r="U32" s="1474">
        <f t="shared" si="15"/>
        <v>1.0049999999999999</v>
      </c>
      <c r="V32" s="1475">
        <f t="shared" ca="1" si="16"/>
        <v>1</v>
      </c>
      <c r="X32" s="1476">
        <f t="shared" ca="1" si="4"/>
        <v>1</v>
      </c>
      <c r="Y32" s="1474">
        <f t="shared" si="17"/>
        <v>1.02</v>
      </c>
      <c r="Z32" s="1475">
        <f t="shared" ca="1" si="18"/>
        <v>1</v>
      </c>
      <c r="AB32" s="1476">
        <f t="shared" ca="1" si="5"/>
        <v>1</v>
      </c>
      <c r="AC32" s="1474">
        <f t="shared" si="19"/>
        <v>1.02</v>
      </c>
      <c r="AD32" s="1475">
        <f t="shared" ca="1" si="20"/>
        <v>1</v>
      </c>
      <c r="AF32" s="1476">
        <f t="shared" ca="1" si="6"/>
        <v>1</v>
      </c>
      <c r="AG32" s="1474">
        <f t="shared" si="21"/>
        <v>0</v>
      </c>
      <c r="AH32" s="1475">
        <f t="shared" ca="1" si="22"/>
        <v>1</v>
      </c>
      <c r="AJ32" s="1476">
        <f t="shared" ca="1" si="7"/>
        <v>1</v>
      </c>
      <c r="AK32" s="1474">
        <f t="shared" si="23"/>
        <v>1.02</v>
      </c>
      <c r="AL32" s="1475">
        <f t="shared" ca="1" si="24"/>
        <v>1</v>
      </c>
      <c r="AN32" s="1476">
        <f t="shared" ca="1" si="8"/>
        <v>1</v>
      </c>
      <c r="AO32" s="1474">
        <f t="shared" si="25"/>
        <v>1.0049999999999999</v>
      </c>
      <c r="AP32" s="1475">
        <f t="shared" ca="1" si="26"/>
        <v>1</v>
      </c>
      <c r="AR32" s="701">
        <f t="shared" si="27"/>
        <v>35796</v>
      </c>
      <c r="AS32" s="1478">
        <f ca="1">IF(AND($A32&gt;=EDATE(AS$17,12),IF(Assm!$L$74=0,$D32,$E32)/AS31&gt;=1.05),IF(Assm!$L$74=0,$D32,$E32),AS31)</f>
        <v>1.0649999999999999</v>
      </c>
      <c r="AT32" s="1478">
        <f t="shared" ca="1" si="28"/>
        <v>1</v>
      </c>
      <c r="AU32" s="1478">
        <f t="shared" ca="1" si="29"/>
        <v>1</v>
      </c>
      <c r="AV32" s="1478">
        <f t="shared" ca="1" si="30"/>
        <v>1</v>
      </c>
      <c r="AW32" s="1475">
        <f t="shared" ca="1" si="31"/>
        <v>1</v>
      </c>
    </row>
    <row r="33" spans="1:49">
      <c r="A33" s="883">
        <f t="shared" si="10"/>
        <v>35827</v>
      </c>
      <c r="B33" s="1390">
        <f ca="1">'[2]Monthly Curve Calc.'!B36</f>
        <v>146.06700000000001</v>
      </c>
      <c r="C33" s="1391">
        <f ca="1">'[2]Monthly Curve Calc.'!C36</f>
        <v>161.9</v>
      </c>
      <c r="D33" s="1512">
        <f ca="1">'[2]Monthly Curve Calc.'!F36</f>
        <v>1.1299999999999999</v>
      </c>
      <c r="E33" s="1304">
        <f t="shared" ca="1" si="9"/>
        <v>1.099452193759938</v>
      </c>
      <c r="F33" s="1473">
        <f ca="1">IF(Assm!$L$75=0,F32,IF(AND($A33&gt;F$16,MONTH($A33)=MONTH(F$16)),B32/B20,F32))</f>
        <v>1</v>
      </c>
      <c r="G33" s="1474">
        <f ca="1">IF(Assm!$L$75=0,G32,IF(AND($A33&gt;G$16,MONTH($A33)=MONTH(G$16)),C32/C20,G32))</f>
        <v>1</v>
      </c>
      <c r="H33" s="1474">
        <f ca="1">IF(Assm!$L$75=0,H32,IF(AND($A33&gt;H$16,MONTH($A33)=MONTH(H$16)),C32/C20-H$18,H32))</f>
        <v>1</v>
      </c>
      <c r="I33" s="1474">
        <f ca="1">IF(Assm!$L$75=0,I32,IF($A33&gt;=I$16,IF(MONTH($A33)=MONTH(I$16),AVERAGE(D21:D32),I32),I32))</f>
        <v>1.0804</v>
      </c>
      <c r="J33" s="1475">
        <f ca="1">IF(Assm!$L$75=0,J32,IF($A33&gt;=J$16,IF(MONTH($A33)=MONTH(J$16),AVERAGE(E21:E32),J32),J32))</f>
        <v>1.0693297862449005</v>
      </c>
      <c r="K33" s="958">
        <f t="shared" si="0"/>
        <v>21</v>
      </c>
      <c r="L33" s="1476">
        <f t="shared" ca="1" si="1"/>
        <v>1</v>
      </c>
      <c r="M33" s="1474">
        <f t="shared" si="11"/>
        <v>0</v>
      </c>
      <c r="N33" s="1475">
        <f t="shared" ca="1" si="12"/>
        <v>1</v>
      </c>
      <c r="P33" s="1476">
        <f t="shared" ca="1" si="2"/>
        <v>1</v>
      </c>
      <c r="Q33" s="1474">
        <f t="shared" si="13"/>
        <v>0</v>
      </c>
      <c r="R33" s="1475">
        <f t="shared" ca="1" si="14"/>
        <v>1</v>
      </c>
      <c r="T33" s="1476">
        <f t="shared" ca="1" si="3"/>
        <v>1</v>
      </c>
      <c r="U33" s="1474">
        <f t="shared" si="15"/>
        <v>1.0049999999999999</v>
      </c>
      <c r="V33" s="1475">
        <f t="shared" ca="1" si="16"/>
        <v>1</v>
      </c>
      <c r="X33" s="1476">
        <f t="shared" ca="1" si="4"/>
        <v>1</v>
      </c>
      <c r="Y33" s="1474">
        <f t="shared" si="17"/>
        <v>1.02</v>
      </c>
      <c r="Z33" s="1475">
        <f t="shared" ca="1" si="18"/>
        <v>1</v>
      </c>
      <c r="AB33" s="1476">
        <f t="shared" ca="1" si="5"/>
        <v>1</v>
      </c>
      <c r="AC33" s="1474">
        <f t="shared" si="19"/>
        <v>1.02</v>
      </c>
      <c r="AD33" s="1475">
        <f t="shared" ca="1" si="20"/>
        <v>1</v>
      </c>
      <c r="AF33" s="1476">
        <f t="shared" ca="1" si="6"/>
        <v>1</v>
      </c>
      <c r="AG33" s="1474">
        <f t="shared" si="21"/>
        <v>0</v>
      </c>
      <c r="AH33" s="1475">
        <f t="shared" ca="1" si="22"/>
        <v>1</v>
      </c>
      <c r="AJ33" s="1476">
        <f t="shared" ca="1" si="7"/>
        <v>1</v>
      </c>
      <c r="AK33" s="1474">
        <f t="shared" si="23"/>
        <v>1.02</v>
      </c>
      <c r="AL33" s="1475">
        <f t="shared" ca="1" si="24"/>
        <v>1</v>
      </c>
      <c r="AN33" s="1476">
        <f t="shared" ca="1" si="8"/>
        <v>1</v>
      </c>
      <c r="AO33" s="1474">
        <f t="shared" si="25"/>
        <v>1.0049999999999999</v>
      </c>
      <c r="AP33" s="1475">
        <f t="shared" ca="1" si="26"/>
        <v>1</v>
      </c>
      <c r="AR33" s="701">
        <f t="shared" si="27"/>
        <v>35827</v>
      </c>
      <c r="AS33" s="1478">
        <f ca="1">IF(AND($A33&gt;=EDATE(AS$17,12),IF(Assm!$L$74=0,$D33,$E33)/AS32&gt;=1.05),IF(Assm!$L$74=0,$D33,$E33),AS32)</f>
        <v>1.0649999999999999</v>
      </c>
      <c r="AT33" s="1478">
        <f t="shared" ca="1" si="28"/>
        <v>1</v>
      </c>
      <c r="AU33" s="1478">
        <f t="shared" ca="1" si="29"/>
        <v>1</v>
      </c>
      <c r="AV33" s="1478">
        <f t="shared" ca="1" si="30"/>
        <v>1</v>
      </c>
      <c r="AW33" s="1475">
        <f t="shared" ca="1" si="31"/>
        <v>1</v>
      </c>
    </row>
    <row r="34" spans="1:49">
      <c r="A34" s="883">
        <f t="shared" si="10"/>
        <v>35855</v>
      </c>
      <c r="B34" s="1390">
        <f ca="1">'[2]Monthly Curve Calc.'!B37</f>
        <v>146.40600000000001</v>
      </c>
      <c r="C34" s="1391">
        <f ca="1">'[2]Monthly Curve Calc.'!C37</f>
        <v>162.19999999999999</v>
      </c>
      <c r="D34" s="1512">
        <f ca="1">'[2]Monthly Curve Calc.'!F37</f>
        <v>1.137</v>
      </c>
      <c r="E34" s="1304">
        <f t="shared" ca="1" si="9"/>
        <v>1.0999656288631896</v>
      </c>
      <c r="F34" s="1473">
        <f ca="1">IF(Assm!$L$75=0,F33,IF(AND($A34&gt;F$16,MONTH($A34)=MONTH(F$16)),B33/B21,F33))</f>
        <v>1</v>
      </c>
      <c r="G34" s="1474">
        <f ca="1">IF(Assm!$L$75=0,G33,IF(AND($A34&gt;G$16,MONTH($A34)=MONTH(G$16)),C33/C21,G33))</f>
        <v>1</v>
      </c>
      <c r="H34" s="1474">
        <f ca="1">IF(Assm!$L$75=0,H33,IF(AND($A34&gt;H$16,MONTH($A34)=MONTH(H$16)),C33/C21-H$18,H33))</f>
        <v>1</v>
      </c>
      <c r="I34" s="1474">
        <f ca="1">IF(Assm!$L$75=0,I33,IF($A34&gt;=I$16,IF(MONTH($A34)=MONTH(I$16),AVERAGE(D22:D33),I33),I33))</f>
        <v>1.0804</v>
      </c>
      <c r="J34" s="1475">
        <f ca="1">IF(Assm!$L$75=0,J33,IF($A34&gt;=J$16,IF(MONTH($A34)=MONTH(J$16),AVERAGE(E22:E33),J33),J33))</f>
        <v>1.0693297862449005</v>
      </c>
      <c r="K34" s="958">
        <f t="shared" si="0"/>
        <v>22</v>
      </c>
      <c r="L34" s="1476">
        <f t="shared" ca="1" si="1"/>
        <v>1</v>
      </c>
      <c r="M34" s="1474">
        <f t="shared" si="11"/>
        <v>0</v>
      </c>
      <c r="N34" s="1475">
        <f t="shared" ca="1" si="12"/>
        <v>1</v>
      </c>
      <c r="P34" s="1476">
        <f t="shared" ca="1" si="2"/>
        <v>1</v>
      </c>
      <c r="Q34" s="1474">
        <f t="shared" si="13"/>
        <v>0</v>
      </c>
      <c r="R34" s="1475">
        <f t="shared" ca="1" si="14"/>
        <v>1</v>
      </c>
      <c r="T34" s="1476">
        <f t="shared" ca="1" si="3"/>
        <v>1</v>
      </c>
      <c r="U34" s="1474">
        <f t="shared" si="15"/>
        <v>1.0049999999999999</v>
      </c>
      <c r="V34" s="1475">
        <f t="shared" ca="1" si="16"/>
        <v>1</v>
      </c>
      <c r="X34" s="1476">
        <f t="shared" ca="1" si="4"/>
        <v>1</v>
      </c>
      <c r="Y34" s="1474">
        <f t="shared" si="17"/>
        <v>1.02</v>
      </c>
      <c r="Z34" s="1475">
        <f t="shared" ca="1" si="18"/>
        <v>1</v>
      </c>
      <c r="AB34" s="1476">
        <f t="shared" ca="1" si="5"/>
        <v>1</v>
      </c>
      <c r="AC34" s="1474">
        <f t="shared" si="19"/>
        <v>1.02</v>
      </c>
      <c r="AD34" s="1475">
        <f t="shared" ca="1" si="20"/>
        <v>1</v>
      </c>
      <c r="AF34" s="1476">
        <f t="shared" ca="1" si="6"/>
        <v>1</v>
      </c>
      <c r="AG34" s="1474">
        <f t="shared" si="21"/>
        <v>0</v>
      </c>
      <c r="AH34" s="1475">
        <f t="shared" ca="1" si="22"/>
        <v>1</v>
      </c>
      <c r="AJ34" s="1476">
        <f t="shared" ca="1" si="7"/>
        <v>1</v>
      </c>
      <c r="AK34" s="1474">
        <f t="shared" si="23"/>
        <v>1.02</v>
      </c>
      <c r="AL34" s="1475">
        <f t="shared" ca="1" si="24"/>
        <v>1</v>
      </c>
      <c r="AN34" s="1476">
        <f t="shared" ca="1" si="8"/>
        <v>1</v>
      </c>
      <c r="AO34" s="1474">
        <f t="shared" si="25"/>
        <v>1.0049999999999999</v>
      </c>
      <c r="AP34" s="1475">
        <f t="shared" ca="1" si="26"/>
        <v>1</v>
      </c>
      <c r="AR34" s="701">
        <f t="shared" si="27"/>
        <v>35855</v>
      </c>
      <c r="AS34" s="1478">
        <f ca="1">IF(AND($A34&gt;=EDATE(AS$17,12),IF(Assm!$L$74=0,$D34,$E34)/AS33&gt;=1.05),IF(Assm!$L$74=0,$D34,$E34),AS33)</f>
        <v>1.0649999999999999</v>
      </c>
      <c r="AT34" s="1478">
        <f t="shared" ca="1" si="28"/>
        <v>1</v>
      </c>
      <c r="AU34" s="1478">
        <f t="shared" ca="1" si="29"/>
        <v>1</v>
      </c>
      <c r="AV34" s="1478">
        <f t="shared" ca="1" si="30"/>
        <v>1</v>
      </c>
      <c r="AW34" s="1475">
        <f t="shared" ca="1" si="31"/>
        <v>1</v>
      </c>
    </row>
    <row r="35" spans="1:49">
      <c r="A35" s="883">
        <f t="shared" si="10"/>
        <v>35886</v>
      </c>
      <c r="B35" s="1390">
        <f ca="1">'[2]Monthly Curve Calc.'!B38</f>
        <v>146.21100000000001</v>
      </c>
      <c r="C35" s="1391">
        <f ca="1">'[2]Monthly Curve Calc.'!C38</f>
        <v>162.5</v>
      </c>
      <c r="D35" s="1512">
        <f ca="1">'[2]Monthly Curve Calc.'!F38</f>
        <v>1.1443000000000001</v>
      </c>
      <c r="E35" s="1304">
        <f t="shared" ca="1" si="9"/>
        <v>1.0964725696996573</v>
      </c>
      <c r="F35" s="1473">
        <f ca="1">IF(Assm!$L$75=0,F34,IF(AND($A35&gt;F$16,MONTH($A35)=MONTH(F$16)),B34/B22,F34))</f>
        <v>1</v>
      </c>
      <c r="G35" s="1474">
        <f ca="1">IF(Assm!$L$75=0,G34,IF(AND($A35&gt;G$16,MONTH($A35)=MONTH(G$16)),C34/C22,G34))</f>
        <v>1</v>
      </c>
      <c r="H35" s="1474">
        <f ca="1">IF(Assm!$L$75=0,H34,IF(AND($A35&gt;H$16,MONTH($A35)=MONTH(H$16)),C34/C22-H$18,H34))</f>
        <v>1</v>
      </c>
      <c r="I35" s="1474">
        <f ca="1">IF(Assm!$L$75=0,I34,IF($A35&gt;=I$16,IF(MONTH($A35)=MONTH(I$16),AVERAGE(D23:D34),I34),I34))</f>
        <v>1.0804</v>
      </c>
      <c r="J35" s="1475">
        <f ca="1">IF(Assm!$L$75=0,J34,IF($A35&gt;=J$16,IF(MONTH($A35)=MONTH(J$16),AVERAGE(E23:E34),J34),J34))</f>
        <v>1.0693297862449005</v>
      </c>
      <c r="K35" s="958">
        <f t="shared" si="0"/>
        <v>23</v>
      </c>
      <c r="L35" s="1476">
        <f t="shared" ca="1" si="1"/>
        <v>1</v>
      </c>
      <c r="M35" s="1474">
        <f t="shared" si="11"/>
        <v>0</v>
      </c>
      <c r="N35" s="1475">
        <f t="shared" ca="1" si="12"/>
        <v>1</v>
      </c>
      <c r="P35" s="1476">
        <f t="shared" ca="1" si="2"/>
        <v>1</v>
      </c>
      <c r="Q35" s="1474">
        <f t="shared" si="13"/>
        <v>0</v>
      </c>
      <c r="R35" s="1475">
        <f t="shared" ca="1" si="14"/>
        <v>1</v>
      </c>
      <c r="T35" s="1476">
        <f t="shared" ca="1" si="3"/>
        <v>1</v>
      </c>
      <c r="U35" s="1474">
        <f t="shared" si="15"/>
        <v>1.0049999999999999</v>
      </c>
      <c r="V35" s="1475">
        <f t="shared" ca="1" si="16"/>
        <v>1</v>
      </c>
      <c r="X35" s="1476">
        <f t="shared" ca="1" si="4"/>
        <v>1</v>
      </c>
      <c r="Y35" s="1474">
        <f t="shared" si="17"/>
        <v>1.02</v>
      </c>
      <c r="Z35" s="1475">
        <f t="shared" ca="1" si="18"/>
        <v>1</v>
      </c>
      <c r="AB35" s="1476">
        <f t="shared" ca="1" si="5"/>
        <v>1</v>
      </c>
      <c r="AC35" s="1474">
        <f t="shared" si="19"/>
        <v>1.02</v>
      </c>
      <c r="AD35" s="1475">
        <f t="shared" ca="1" si="20"/>
        <v>1</v>
      </c>
      <c r="AF35" s="1476">
        <f t="shared" ca="1" si="6"/>
        <v>1</v>
      </c>
      <c r="AG35" s="1474">
        <f t="shared" si="21"/>
        <v>0</v>
      </c>
      <c r="AH35" s="1475">
        <f t="shared" ca="1" si="22"/>
        <v>1</v>
      </c>
      <c r="AJ35" s="1476">
        <f t="shared" ca="1" si="7"/>
        <v>1</v>
      </c>
      <c r="AK35" s="1474">
        <f t="shared" si="23"/>
        <v>1.02</v>
      </c>
      <c r="AL35" s="1475">
        <f t="shared" ca="1" si="24"/>
        <v>1</v>
      </c>
      <c r="AN35" s="1476">
        <f t="shared" ca="1" si="8"/>
        <v>1</v>
      </c>
      <c r="AO35" s="1474">
        <f t="shared" si="25"/>
        <v>1.0049999999999999</v>
      </c>
      <c r="AP35" s="1475">
        <f t="shared" ca="1" si="26"/>
        <v>1</v>
      </c>
      <c r="AR35" s="701">
        <f t="shared" si="27"/>
        <v>35886</v>
      </c>
      <c r="AS35" s="1478">
        <f ca="1">IF(AND($A35&gt;=EDATE(AS$17,12),IF(Assm!$L$74=0,$D35,$E35)/AS34&gt;=1.05),IF(Assm!$L$74=0,$D35,$E35),AS34)</f>
        <v>1.0649999999999999</v>
      </c>
      <c r="AT35" s="1478">
        <f t="shared" ca="1" si="28"/>
        <v>1</v>
      </c>
      <c r="AU35" s="1478">
        <f t="shared" ca="1" si="29"/>
        <v>1</v>
      </c>
      <c r="AV35" s="1478">
        <f t="shared" ca="1" si="30"/>
        <v>1</v>
      </c>
      <c r="AW35" s="1475">
        <f t="shared" ca="1" si="31"/>
        <v>1</v>
      </c>
    </row>
    <row r="36" spans="1:49">
      <c r="A36" s="883">
        <f t="shared" si="10"/>
        <v>35916</v>
      </c>
      <c r="B36" s="1390">
        <f ca="1">'[2]Monthly Curve Calc.'!B39</f>
        <v>146.54400000000001</v>
      </c>
      <c r="C36" s="1391">
        <f ca="1">'[2]Monthly Curve Calc.'!C39</f>
        <v>162.80000000000001</v>
      </c>
      <c r="D36" s="1512">
        <f ca="1">'[2]Monthly Curve Calc.'!F39</f>
        <v>1.1500999999999999</v>
      </c>
      <c r="E36" s="1304">
        <f t="shared" ca="1" si="9"/>
        <v>1.0969446906703553</v>
      </c>
      <c r="F36" s="1473">
        <f ca="1">IF(Assm!$L$75=0,F35,IF(AND($A36&gt;F$16,MONTH($A36)=MONTH(F$16)),B35/B23,F35))</f>
        <v>1.0458060039912167</v>
      </c>
      <c r="G36" s="1474">
        <f ca="1">IF(Assm!$L$75=0,G35,IF(AND($A36&gt;G$16,MONTH($A36)=MONTH(G$16)),C35/C23,G35))</f>
        <v>1.0143570536828965</v>
      </c>
      <c r="H36" s="1474">
        <f ca="1">IF(Assm!$L$75=0,H35,IF(AND($A36&gt;H$16,MONTH($A36)=MONTH(H$16)),C35/C23-H$18,H35))</f>
        <v>1.0118570536828966</v>
      </c>
      <c r="I36" s="1474">
        <f ca="1">IF(Assm!$L$75=0,I35,IF($A36&gt;=I$16,IF(MONTH($A36)=MONTH(I$16),AVERAGE(D24:D35),I35),I35))</f>
        <v>1.0804</v>
      </c>
      <c r="J36" s="1475">
        <f ca="1">IF(Assm!$L$75=0,J35,IF($A36&gt;=J$16,IF(MONTH($A36)=MONTH(J$16),AVERAGE(E24:E35),J35),J35))</f>
        <v>1.0693297862449005</v>
      </c>
      <c r="K36" s="958">
        <f t="shared" si="0"/>
        <v>24</v>
      </c>
      <c r="L36" s="1476">
        <f t="shared" ca="1" si="1"/>
        <v>1.0143570536828965</v>
      </c>
      <c r="M36" s="1474">
        <f t="shared" si="11"/>
        <v>0</v>
      </c>
      <c r="N36" s="1475">
        <f ca="1">IF(AND($A36&gt;=N$16,MONTH($A36)=MONTH(N$16)),MAX(L36,M36)*N35,N35)</f>
        <v>1.0143570536828965</v>
      </c>
      <c r="P36" s="1476">
        <f t="shared" ca="1" si="2"/>
        <v>1.0458060039912167</v>
      </c>
      <c r="Q36" s="1474">
        <f t="shared" si="13"/>
        <v>0</v>
      </c>
      <c r="R36" s="1475">
        <f ca="1">IF(AND($A36&gt;=R$16,MONTH($A36)=MONTH(R$16)),MAX(P36,Q36)*R35,R35)</f>
        <v>1.0458060039912167</v>
      </c>
      <c r="T36" s="1476">
        <f t="shared" ca="1" si="3"/>
        <v>1.0143570536828965</v>
      </c>
      <c r="U36" s="1474">
        <f t="shared" si="15"/>
        <v>1.0049999999999999</v>
      </c>
      <c r="V36" s="1475">
        <f ca="1">IF(AND($A36&gt;=V$16,MONTH($A36)=MONTH(V$16)),MAX(T36,U36)*V35,V35)</f>
        <v>1.0143570536828965</v>
      </c>
      <c r="X36" s="1476">
        <f t="shared" ca="1" si="4"/>
        <v>1.0118570536828966</v>
      </c>
      <c r="Y36" s="1474">
        <f t="shared" si="17"/>
        <v>1.02</v>
      </c>
      <c r="Z36" s="1475">
        <f ca="1">IF(AND($A36&gt;=Z$16,MONTH($A36)=MONTH(Z$16)),MAX(X36,Y36)*Z35,Z35)</f>
        <v>1.02</v>
      </c>
      <c r="AB36" s="1476">
        <f t="shared" ca="1" si="5"/>
        <v>1.0118570536828966</v>
      </c>
      <c r="AC36" s="1474">
        <f t="shared" si="19"/>
        <v>1.02</v>
      </c>
      <c r="AD36" s="1475">
        <f ca="1">IF(AND($A36&gt;=AD$16,MONTH($A36)=MONTH(AD$16)),MAX(AB36,AC36)*AD35,AD35)</f>
        <v>1.02</v>
      </c>
      <c r="AF36" s="1476">
        <f t="shared" ca="1" si="6"/>
        <v>1.0458060039912167</v>
      </c>
      <c r="AG36" s="1474">
        <f t="shared" si="21"/>
        <v>0</v>
      </c>
      <c r="AH36" s="1475">
        <f ca="1">IF(AND($A36&gt;=AH$16,MONTH($A36)=MONTH(AH$16)),MAX(AF36,AG36)*AH35,AH35)</f>
        <v>1.0458060039912167</v>
      </c>
      <c r="AJ36" s="1476">
        <f t="shared" ca="1" si="7"/>
        <v>1.0118570536828966</v>
      </c>
      <c r="AK36" s="1474">
        <f t="shared" si="23"/>
        <v>1.02</v>
      </c>
      <c r="AL36" s="1475">
        <f ca="1">IF(AND($A36&gt;=AL$16,MONTH($A36)=MONTH(AL$16)),MAX(AJ36,AK36)*AL35,AL35)</f>
        <v>1.02</v>
      </c>
      <c r="AN36" s="1476">
        <f t="shared" ca="1" si="8"/>
        <v>1.0143570536828965</v>
      </c>
      <c r="AO36" s="1474">
        <f t="shared" si="25"/>
        <v>1.0049999999999999</v>
      </c>
      <c r="AP36" s="1475">
        <f ca="1">IF(AND($A36&gt;=AP$16,MONTH($A36)=MONTH(AP$16)),MAX(AN36,AO36)*AP35,AP35)</f>
        <v>1.0143570536828965</v>
      </c>
      <c r="AR36" s="701">
        <f t="shared" si="27"/>
        <v>35916</v>
      </c>
      <c r="AS36" s="1478">
        <f ca="1">IF(AND($A36&gt;=EDATE(AS$17,12),IF(Assm!$L$74=0,$D36,$E36)/AS35&gt;=1.05),IF(Assm!$L$74=0,$D36,$E36),AS35)</f>
        <v>1.1500999999999999</v>
      </c>
      <c r="AT36" s="1478">
        <f t="shared" ca="1" si="28"/>
        <v>1.079906103286385</v>
      </c>
      <c r="AU36" s="1478">
        <f t="shared" ca="1" si="29"/>
        <v>1.0458060039912167</v>
      </c>
      <c r="AV36" s="1478">
        <f t="shared" ca="1" si="30"/>
        <v>1.079906103286385</v>
      </c>
      <c r="AW36" s="1475">
        <f t="shared" ca="1" si="31"/>
        <v>1.079906103286385</v>
      </c>
    </row>
    <row r="37" spans="1:49">
      <c r="A37" s="883">
        <f t="shared" si="10"/>
        <v>35947</v>
      </c>
      <c r="B37" s="1390">
        <f ca="1">'[2]Monthly Curve Calc.'!B40</f>
        <v>146.95099999999999</v>
      </c>
      <c r="C37" s="1391">
        <f ca="1">'[2]Monthly Curve Calc.'!C40</f>
        <v>163</v>
      </c>
      <c r="D37" s="1512">
        <f ca="1">'[2]Monthly Curve Calc.'!F40</f>
        <v>1.1565000000000001</v>
      </c>
      <c r="E37" s="1304">
        <f t="shared" ca="1" si="9"/>
        <v>1.0986415776990723</v>
      </c>
      <c r="F37" s="1473">
        <f ca="1">IF(Assm!$L$75=0,F36,IF(AND($A37&gt;F$16,MONTH($A37)=MONTH(F$16)),B36/B24,F36))</f>
        <v>1.0458060039912167</v>
      </c>
      <c r="G37" s="1474">
        <f ca="1">IF(Assm!$L$75=0,G36,IF(AND($A37&gt;G$16,MONTH($A37)=MONTH(G$16)),C36/C24,G36))</f>
        <v>1.0143570536828965</v>
      </c>
      <c r="H37" s="1474">
        <f ca="1">IF(Assm!$L$75=0,H36,IF(AND($A37&gt;H$16,MONTH($A37)=MONTH(H$16)),C36/C24-H$18,H36))</f>
        <v>1.0118570536828966</v>
      </c>
      <c r="I37" s="1474">
        <f ca="1">IF(Assm!$L$75=0,I36,IF($A37&gt;=I$16,IF(MONTH($A37)=MONTH(I$16),AVERAGE(D25:D36),I36),I36))</f>
        <v>1.0804</v>
      </c>
      <c r="J37" s="1475">
        <f ca="1">IF(Assm!$L$75=0,J36,IF($A37&gt;=J$16,IF(MONTH($A37)=MONTH(J$16),AVERAGE(E25:E36),J36),J36))</f>
        <v>1.0693297862449005</v>
      </c>
      <c r="K37" s="958">
        <f t="shared" si="0"/>
        <v>25</v>
      </c>
      <c r="L37" s="1476">
        <f t="shared" ca="1" si="1"/>
        <v>1.0143570536828965</v>
      </c>
      <c r="M37" s="1474">
        <f t="shared" si="11"/>
        <v>0</v>
      </c>
      <c r="N37" s="1475">
        <f t="shared" ref="N37:N100" ca="1" si="32">IF(AND($A37&gt;=N$16,MONTH($A37)=MONTH(N$16)),MAX(L37,M37)*N36,N36)</f>
        <v>1.0143570536828965</v>
      </c>
      <c r="P37" s="1476">
        <f t="shared" ca="1" si="2"/>
        <v>1.0458060039912167</v>
      </c>
      <c r="Q37" s="1474">
        <f t="shared" si="13"/>
        <v>0</v>
      </c>
      <c r="R37" s="1475">
        <f t="shared" ref="R37:R100" ca="1" si="33">IF(AND($A37&gt;=R$16,MONTH($A37)=MONTH(R$16)),MAX(P37,Q37)*R36,R36)</f>
        <v>1.0458060039912167</v>
      </c>
      <c r="T37" s="1476">
        <f t="shared" ca="1" si="3"/>
        <v>1.0143570536828965</v>
      </c>
      <c r="U37" s="1474">
        <f t="shared" si="15"/>
        <v>1.0049999999999999</v>
      </c>
      <c r="V37" s="1475">
        <f t="shared" ref="V37:V100" ca="1" si="34">IF(AND($A37&gt;=V$16,MONTH($A37)=MONTH(V$16)),MAX(T37,U37)*V36,V36)</f>
        <v>1.0143570536828965</v>
      </c>
      <c r="X37" s="1476">
        <f t="shared" ca="1" si="4"/>
        <v>1.0118570536828966</v>
      </c>
      <c r="Y37" s="1474">
        <f t="shared" si="17"/>
        <v>1.02</v>
      </c>
      <c r="Z37" s="1475">
        <f t="shared" ref="Z37:Z100" ca="1" si="35">IF(AND($A37&gt;=Z$16,MONTH($A37)=MONTH(Z$16)),MAX(X37,Y37)*Z36,Z36)</f>
        <v>1.02</v>
      </c>
      <c r="AB37" s="1476">
        <f t="shared" ca="1" si="5"/>
        <v>1.0118570536828966</v>
      </c>
      <c r="AC37" s="1474">
        <f t="shared" si="19"/>
        <v>1.02</v>
      </c>
      <c r="AD37" s="1475">
        <f t="shared" ref="AD37:AD100" ca="1" si="36">IF(AND($A37&gt;=AD$16,MONTH($A37)=MONTH(AD$16)),MAX(AB37,AC37)*AD36,AD36)</f>
        <v>1.02</v>
      </c>
      <c r="AF37" s="1476">
        <f t="shared" ca="1" si="6"/>
        <v>1.0458060039912167</v>
      </c>
      <c r="AG37" s="1474">
        <f t="shared" si="21"/>
        <v>0</v>
      </c>
      <c r="AH37" s="1475">
        <f t="shared" ref="AH37:AH100" ca="1" si="37">IF(AND($A37&gt;=AH$16,MONTH($A37)=MONTH(AH$16)),MAX(AF37,AG37)*AH36,AH36)</f>
        <v>1.0458060039912167</v>
      </c>
      <c r="AJ37" s="1476">
        <f t="shared" ca="1" si="7"/>
        <v>1.0118570536828966</v>
      </c>
      <c r="AK37" s="1474">
        <f t="shared" si="23"/>
        <v>1.02</v>
      </c>
      <c r="AL37" s="1475">
        <f t="shared" ref="AL37:AL100" ca="1" si="38">IF(AND($A37&gt;=AL$16,MONTH($A37)=MONTH(AL$16)),MAX(AJ37,AK37)*AL36,AL36)</f>
        <v>1.02</v>
      </c>
      <c r="AN37" s="1476">
        <f t="shared" ca="1" si="8"/>
        <v>1.0143570536828965</v>
      </c>
      <c r="AO37" s="1474">
        <f t="shared" si="25"/>
        <v>1.0049999999999999</v>
      </c>
      <c r="AP37" s="1475">
        <f t="shared" ref="AP37:AP100" ca="1" si="39">IF(AND($A37&gt;=AP$16,MONTH($A37)=MONTH(AP$16)),MAX(AN37,AO37)*AP36,AP36)</f>
        <v>1.0143570536828965</v>
      </c>
      <c r="AR37" s="701">
        <f t="shared" si="27"/>
        <v>35947</v>
      </c>
      <c r="AS37" s="1478">
        <f ca="1">IF(AND($A37&gt;=EDATE(AS$17,12),IF(Assm!$L$74=0,$D37,$E37)/AS36&gt;=1.05),IF(Assm!$L$74=0,$D37,$E37),AS36)</f>
        <v>1.1500999999999999</v>
      </c>
      <c r="AT37" s="1478">
        <f t="shared" ca="1" si="28"/>
        <v>1.079906103286385</v>
      </c>
      <c r="AU37" s="1478">
        <f t="shared" ca="1" si="29"/>
        <v>1.0458060039912167</v>
      </c>
      <c r="AV37" s="1478">
        <f t="shared" ca="1" si="30"/>
        <v>1.079906103286385</v>
      </c>
      <c r="AW37" s="1475">
        <f t="shared" ca="1" si="31"/>
        <v>1.079906103286385</v>
      </c>
    </row>
    <row r="38" spans="1:49">
      <c r="A38" s="883">
        <f t="shared" si="10"/>
        <v>35977</v>
      </c>
      <c r="B38" s="1390">
        <f ca="1">'[2]Monthly Curve Calc.'!B41</f>
        <v>146.38999999999999</v>
      </c>
      <c r="C38" s="1391">
        <f ca="1">'[2]Monthly Curve Calc.'!C41</f>
        <v>163.19999999999999</v>
      </c>
      <c r="D38" s="1512">
        <f ca="1">'[2]Monthly Curve Calc.'!F41</f>
        <v>1.163</v>
      </c>
      <c r="E38" s="1304">
        <f t="shared" ca="1" si="9"/>
        <v>1.0931061700762688</v>
      </c>
      <c r="F38" s="1473">
        <f ca="1">IF(Assm!$L$75=0,F37,IF(AND($A38&gt;F$16,MONTH($A38)=MONTH(F$16)),B37/B25,F37))</f>
        <v>1.0458060039912167</v>
      </c>
      <c r="G38" s="1474">
        <f ca="1">IF(Assm!$L$75=0,G37,IF(AND($A38&gt;G$16,MONTH($A38)=MONTH(G$16)),C37/C25,G37))</f>
        <v>1.0143570536828965</v>
      </c>
      <c r="H38" s="1474">
        <f ca="1">IF(Assm!$L$75=0,H37,IF(AND($A38&gt;H$16,MONTH($A38)=MONTH(H$16)),C37/C25-H$18,H37))</f>
        <v>1.0118570536828966</v>
      </c>
      <c r="I38" s="1474">
        <f ca="1">IF(Assm!$L$75=0,I37,IF($A38&gt;=I$16,IF(MONTH($A38)=MONTH(I$16),AVERAGE(D26:D37),I37),I37))</f>
        <v>1.0804</v>
      </c>
      <c r="J38" s="1475">
        <f ca="1">IF(Assm!$L$75=0,J37,IF($A38&gt;=J$16,IF(MONTH($A38)=MONTH(J$16),AVERAGE(E26:E37),J37),J37))</f>
        <v>1.0693297862449005</v>
      </c>
      <c r="K38" s="958">
        <f t="shared" si="0"/>
        <v>26</v>
      </c>
      <c r="L38" s="1476">
        <f t="shared" ca="1" si="1"/>
        <v>1.0143570536828965</v>
      </c>
      <c r="M38" s="1474">
        <f t="shared" si="11"/>
        <v>0</v>
      </c>
      <c r="N38" s="1475">
        <f t="shared" ca="1" si="32"/>
        <v>1.0143570536828965</v>
      </c>
      <c r="P38" s="1476">
        <f t="shared" ca="1" si="2"/>
        <v>1.0458060039912167</v>
      </c>
      <c r="Q38" s="1474">
        <f t="shared" si="13"/>
        <v>0</v>
      </c>
      <c r="R38" s="1475">
        <f t="shared" ca="1" si="33"/>
        <v>1.0458060039912167</v>
      </c>
      <c r="T38" s="1476">
        <f t="shared" ca="1" si="3"/>
        <v>1.0143570536828965</v>
      </c>
      <c r="U38" s="1474">
        <f t="shared" si="15"/>
        <v>1.0049999999999999</v>
      </c>
      <c r="V38" s="1475">
        <f t="shared" ca="1" si="34"/>
        <v>1.0143570536828965</v>
      </c>
      <c r="X38" s="1476">
        <f t="shared" ca="1" si="4"/>
        <v>1.0118570536828966</v>
      </c>
      <c r="Y38" s="1474">
        <f t="shared" si="17"/>
        <v>1.02</v>
      </c>
      <c r="Z38" s="1475">
        <f t="shared" ca="1" si="35"/>
        <v>1.02</v>
      </c>
      <c r="AB38" s="1476">
        <f t="shared" ca="1" si="5"/>
        <v>1.0118570536828966</v>
      </c>
      <c r="AC38" s="1474">
        <f t="shared" si="19"/>
        <v>1.02</v>
      </c>
      <c r="AD38" s="1475">
        <f t="shared" ca="1" si="36"/>
        <v>1.02</v>
      </c>
      <c r="AF38" s="1476">
        <f t="shared" ca="1" si="6"/>
        <v>1.0458060039912167</v>
      </c>
      <c r="AG38" s="1474">
        <f t="shared" si="21"/>
        <v>0</v>
      </c>
      <c r="AH38" s="1475">
        <f t="shared" ca="1" si="37"/>
        <v>1.0458060039912167</v>
      </c>
      <c r="AJ38" s="1476">
        <f t="shared" ca="1" si="7"/>
        <v>1.0118570536828966</v>
      </c>
      <c r="AK38" s="1474">
        <f t="shared" si="23"/>
        <v>1.02</v>
      </c>
      <c r="AL38" s="1475">
        <f t="shared" ca="1" si="38"/>
        <v>1.02</v>
      </c>
      <c r="AN38" s="1476">
        <f t="shared" ca="1" si="8"/>
        <v>1.0143570536828965</v>
      </c>
      <c r="AO38" s="1474">
        <f t="shared" si="25"/>
        <v>1.0049999999999999</v>
      </c>
      <c r="AP38" s="1475">
        <f t="shared" ca="1" si="39"/>
        <v>1.0143570536828965</v>
      </c>
      <c r="AR38" s="701">
        <f t="shared" si="27"/>
        <v>35977</v>
      </c>
      <c r="AS38" s="1478">
        <f ca="1">IF(AND($A38&gt;=EDATE(AS$17,12),IF(Assm!$L$74=0,$D38,$E38)/AS37&gt;=1.05),IF(Assm!$L$74=0,$D38,$E38),AS37)</f>
        <v>1.1500999999999999</v>
      </c>
      <c r="AT38" s="1478">
        <f t="shared" ca="1" si="28"/>
        <v>1.079906103286385</v>
      </c>
      <c r="AU38" s="1478">
        <f t="shared" ca="1" si="29"/>
        <v>1.0458060039912167</v>
      </c>
      <c r="AV38" s="1478">
        <f t="shared" ca="1" si="30"/>
        <v>1.079906103286385</v>
      </c>
      <c r="AW38" s="1475">
        <f t="shared" ca="1" si="31"/>
        <v>1.079906103286385</v>
      </c>
    </row>
    <row r="39" spans="1:49">
      <c r="A39" s="883">
        <f t="shared" si="10"/>
        <v>36008</v>
      </c>
      <c r="B39" s="1390">
        <f ca="1">'[2]Monthly Curve Calc.'!B42</f>
        <v>146.14400000000001</v>
      </c>
      <c r="C39" s="1391">
        <f ca="1">'[2]Monthly Curve Calc.'!C42</f>
        <v>163.4</v>
      </c>
      <c r="D39" s="1512">
        <f ca="1">'[2]Monthly Curve Calc.'!F42</f>
        <v>1.1765000000000001</v>
      </c>
      <c r="E39" s="1304">
        <f t="shared" ca="1" si="9"/>
        <v>1.0899335649453938</v>
      </c>
      <c r="F39" s="1473">
        <f ca="1">IF(Assm!$L$75=0,F38,IF(AND($A39&gt;F$16,MONTH($A39)=MONTH(F$16)),B38/B26,F38))</f>
        <v>1.0458060039912167</v>
      </c>
      <c r="G39" s="1474">
        <f ca="1">IF(Assm!$L$75=0,G38,IF(AND($A39&gt;G$16,MONTH($A39)=MONTH(G$16)),C38/C26,G38))</f>
        <v>1.0143570536828965</v>
      </c>
      <c r="H39" s="1474">
        <f ca="1">IF(Assm!$L$75=0,H38,IF(AND($A39&gt;H$16,MONTH($A39)=MONTH(H$16)),C38/C26-H$18,H38))</f>
        <v>1.0118570536828966</v>
      </c>
      <c r="I39" s="1474">
        <f ca="1">IF(Assm!$L$75=0,I38,IF($A39&gt;=I$16,IF(MONTH($A39)=MONTH(I$16),AVERAGE(D27:D38),I38),I38))</f>
        <v>1.0804</v>
      </c>
      <c r="J39" s="1475">
        <f ca="1">IF(Assm!$L$75=0,J38,IF($A39&gt;=J$16,IF(MONTH($A39)=MONTH(J$16),AVERAGE(E27:E38),J38),J38))</f>
        <v>1.0693297862449005</v>
      </c>
      <c r="K39" s="958">
        <f t="shared" si="0"/>
        <v>27</v>
      </c>
      <c r="L39" s="1476">
        <f t="shared" ca="1" si="1"/>
        <v>1.0143570536828965</v>
      </c>
      <c r="M39" s="1474">
        <f t="shared" si="11"/>
        <v>0</v>
      </c>
      <c r="N39" s="1475">
        <f t="shared" ca="1" si="32"/>
        <v>1.0143570536828965</v>
      </c>
      <c r="P39" s="1476">
        <f t="shared" ca="1" si="2"/>
        <v>1.0458060039912167</v>
      </c>
      <c r="Q39" s="1474">
        <f t="shared" si="13"/>
        <v>0</v>
      </c>
      <c r="R39" s="1475">
        <f t="shared" ca="1" si="33"/>
        <v>1.0458060039912167</v>
      </c>
      <c r="T39" s="1476">
        <f t="shared" ca="1" si="3"/>
        <v>1.0143570536828965</v>
      </c>
      <c r="U39" s="1474">
        <f t="shared" si="15"/>
        <v>1.0049999999999999</v>
      </c>
      <c r="V39" s="1475">
        <f t="shared" ca="1" si="34"/>
        <v>1.0143570536828965</v>
      </c>
      <c r="X39" s="1476">
        <f t="shared" ca="1" si="4"/>
        <v>1.0118570536828966</v>
      </c>
      <c r="Y39" s="1474">
        <f t="shared" si="17"/>
        <v>1.02</v>
      </c>
      <c r="Z39" s="1475">
        <f t="shared" ca="1" si="35"/>
        <v>1.02</v>
      </c>
      <c r="AB39" s="1476">
        <f t="shared" ca="1" si="5"/>
        <v>1.0118570536828966</v>
      </c>
      <c r="AC39" s="1474">
        <f t="shared" si="19"/>
        <v>1.02</v>
      </c>
      <c r="AD39" s="1475">
        <f t="shared" ca="1" si="36"/>
        <v>1.02</v>
      </c>
      <c r="AF39" s="1476">
        <f t="shared" ca="1" si="6"/>
        <v>1.0458060039912167</v>
      </c>
      <c r="AG39" s="1474">
        <f t="shared" si="21"/>
        <v>0</v>
      </c>
      <c r="AH39" s="1475">
        <f t="shared" ca="1" si="37"/>
        <v>1.0458060039912167</v>
      </c>
      <c r="AJ39" s="1476">
        <f t="shared" ca="1" si="7"/>
        <v>1.0118570536828966</v>
      </c>
      <c r="AK39" s="1474">
        <f t="shared" si="23"/>
        <v>1.02</v>
      </c>
      <c r="AL39" s="1475">
        <f t="shared" ca="1" si="38"/>
        <v>1.02</v>
      </c>
      <c r="AN39" s="1476">
        <f t="shared" ca="1" si="8"/>
        <v>1.0143570536828965</v>
      </c>
      <c r="AO39" s="1474">
        <f t="shared" si="25"/>
        <v>1.0049999999999999</v>
      </c>
      <c r="AP39" s="1475">
        <f t="shared" ca="1" si="39"/>
        <v>1.0143570536828965</v>
      </c>
      <c r="AR39" s="701">
        <f t="shared" si="27"/>
        <v>36008</v>
      </c>
      <c r="AS39" s="1478">
        <f ca="1">IF(AND($A39&gt;=EDATE(AS$17,12),IF(Assm!$L$74=0,$D39,$E39)/AS38&gt;=1.05),IF(Assm!$L$74=0,$D39,$E39),AS38)</f>
        <v>1.1500999999999999</v>
      </c>
      <c r="AT39" s="1478">
        <f t="shared" ca="1" si="28"/>
        <v>1.079906103286385</v>
      </c>
      <c r="AU39" s="1478">
        <f t="shared" ca="1" si="29"/>
        <v>1.0458060039912167</v>
      </c>
      <c r="AV39" s="1478">
        <f t="shared" ca="1" si="30"/>
        <v>1.079906103286385</v>
      </c>
      <c r="AW39" s="1475">
        <f t="shared" ca="1" si="31"/>
        <v>1.079906103286385</v>
      </c>
    </row>
    <row r="40" spans="1:49">
      <c r="A40" s="883">
        <f t="shared" si="10"/>
        <v>36039</v>
      </c>
      <c r="B40" s="1390">
        <f ca="1">'[2]Monthly Curve Calc.'!B43</f>
        <v>146.11099999999999</v>
      </c>
      <c r="C40" s="1391">
        <f ca="1">'[2]Monthly Curve Calc.'!C43</f>
        <v>163.6</v>
      </c>
      <c r="D40" s="1512">
        <f ca="1">'[2]Monthly Curve Calc.'!F43</f>
        <v>1.1856</v>
      </c>
      <c r="E40" s="1304">
        <f t="shared" ca="1" si="9"/>
        <v>1.0883553165888153</v>
      </c>
      <c r="F40" s="1473">
        <f ca="1">IF(Assm!$L$75=0,F39,IF(AND($A40&gt;F$16,MONTH($A40)=MONTH(F$16)),B39/B27,F39))</f>
        <v>1.0458060039912167</v>
      </c>
      <c r="G40" s="1474">
        <f ca="1">IF(Assm!$L$75=0,G39,IF(AND($A40&gt;G$16,MONTH($A40)=MONTH(G$16)),C39/C27,G39))</f>
        <v>1.0143570536828965</v>
      </c>
      <c r="H40" s="1474">
        <f ca="1">IF(Assm!$L$75=0,H39,IF(AND($A40&gt;H$16,MONTH($A40)=MONTH(H$16)),C39/C27-H$18,H39))</f>
        <v>1.0118570536828966</v>
      </c>
      <c r="I40" s="1474">
        <f ca="1">IF(Assm!$L$75=0,I39,IF($A40&gt;=I$16,IF(MONTH($A40)=MONTH(I$16),AVERAGE(D28:D39),I39),I39))</f>
        <v>1.0804</v>
      </c>
      <c r="J40" s="1475">
        <f ca="1">IF(Assm!$L$75=0,J39,IF($A40&gt;=J$16,IF(MONTH($A40)=MONTH(J$16),AVERAGE(E28:E39),J39),J39))</f>
        <v>1.0693297862449005</v>
      </c>
      <c r="K40" s="958">
        <f t="shared" si="0"/>
        <v>28</v>
      </c>
      <c r="L40" s="1476">
        <f t="shared" ca="1" si="1"/>
        <v>1.0143570536828965</v>
      </c>
      <c r="M40" s="1474">
        <f t="shared" si="11"/>
        <v>0</v>
      </c>
      <c r="N40" s="1475">
        <f t="shared" ca="1" si="32"/>
        <v>1.0143570536828965</v>
      </c>
      <c r="P40" s="1476">
        <f t="shared" ca="1" si="2"/>
        <v>1.0458060039912167</v>
      </c>
      <c r="Q40" s="1474">
        <f t="shared" si="13"/>
        <v>0</v>
      </c>
      <c r="R40" s="1475">
        <f t="shared" ca="1" si="33"/>
        <v>1.0458060039912167</v>
      </c>
      <c r="T40" s="1476">
        <f t="shared" ca="1" si="3"/>
        <v>1.0143570536828965</v>
      </c>
      <c r="U40" s="1474">
        <f t="shared" si="15"/>
        <v>1.0049999999999999</v>
      </c>
      <c r="V40" s="1475">
        <f t="shared" ca="1" si="34"/>
        <v>1.0143570536828965</v>
      </c>
      <c r="X40" s="1476">
        <f t="shared" ca="1" si="4"/>
        <v>1.0118570536828966</v>
      </c>
      <c r="Y40" s="1474">
        <f t="shared" si="17"/>
        <v>1.02</v>
      </c>
      <c r="Z40" s="1475">
        <f t="shared" ca="1" si="35"/>
        <v>1.02</v>
      </c>
      <c r="AB40" s="1476">
        <f t="shared" ca="1" si="5"/>
        <v>1.0118570536828966</v>
      </c>
      <c r="AC40" s="1474">
        <f t="shared" si="19"/>
        <v>1.02</v>
      </c>
      <c r="AD40" s="1475">
        <f t="shared" ca="1" si="36"/>
        <v>1.02</v>
      </c>
      <c r="AF40" s="1476">
        <f t="shared" ca="1" si="6"/>
        <v>1.0458060039912167</v>
      </c>
      <c r="AG40" s="1474">
        <f t="shared" si="21"/>
        <v>0</v>
      </c>
      <c r="AH40" s="1475">
        <f t="shared" ca="1" si="37"/>
        <v>1.0458060039912167</v>
      </c>
      <c r="AJ40" s="1476">
        <f t="shared" ca="1" si="7"/>
        <v>1.0118570536828966</v>
      </c>
      <c r="AK40" s="1474">
        <f t="shared" si="23"/>
        <v>1.02</v>
      </c>
      <c r="AL40" s="1475">
        <f t="shared" ca="1" si="38"/>
        <v>1.02</v>
      </c>
      <c r="AN40" s="1476">
        <f t="shared" ca="1" si="8"/>
        <v>1.0143570536828965</v>
      </c>
      <c r="AO40" s="1474">
        <f t="shared" si="25"/>
        <v>1.0049999999999999</v>
      </c>
      <c r="AP40" s="1475">
        <f t="shared" ca="1" si="39"/>
        <v>1.0143570536828965</v>
      </c>
      <c r="AR40" s="701">
        <f t="shared" si="27"/>
        <v>36039</v>
      </c>
      <c r="AS40" s="1478">
        <f ca="1">IF(AND($A40&gt;=EDATE(AS$17,12),IF(Assm!$L$74=0,$D40,$E40)/AS39&gt;=1.05),IF(Assm!$L$74=0,$D40,$E40),AS39)</f>
        <v>1.1500999999999999</v>
      </c>
      <c r="AT40" s="1478">
        <f t="shared" ca="1" si="28"/>
        <v>1.079906103286385</v>
      </c>
      <c r="AU40" s="1478">
        <f t="shared" ca="1" si="29"/>
        <v>1.0458060039912167</v>
      </c>
      <c r="AV40" s="1478">
        <f t="shared" ca="1" si="30"/>
        <v>1.079906103286385</v>
      </c>
      <c r="AW40" s="1475">
        <f t="shared" ca="1" si="31"/>
        <v>1.079906103286385</v>
      </c>
    </row>
    <row r="41" spans="1:49">
      <c r="A41" s="883">
        <f t="shared" si="10"/>
        <v>36069</v>
      </c>
      <c r="B41" s="1390">
        <f ca="1">'[2]Monthly Curve Calc.'!B44</f>
        <v>146.06299999999999</v>
      </c>
      <c r="C41" s="1391">
        <f ca="1">'[2]Monthly Curve Calc.'!C44</f>
        <v>164</v>
      </c>
      <c r="D41" s="1512">
        <f ca="1">'[2]Monthly Curve Calc.'!F44</f>
        <v>1.1928000000000001</v>
      </c>
      <c r="E41" s="1304">
        <f t="shared" ca="1" si="9"/>
        <v>1.0853441198685574</v>
      </c>
      <c r="F41" s="1473">
        <f ca="1">IF(Assm!$L$75=0,F40,IF(AND($A41&gt;F$16,MONTH($A41)=MONTH(F$16)),B40/B28,F40))</f>
        <v>1.0458060039912167</v>
      </c>
      <c r="G41" s="1474">
        <f ca="1">IF(Assm!$L$75=0,G40,IF(AND($A41&gt;G$16,MONTH($A41)=MONTH(G$16)),C40/C28,G40))</f>
        <v>1.0143570536828965</v>
      </c>
      <c r="H41" s="1474">
        <f ca="1">IF(Assm!$L$75=0,H40,IF(AND($A41&gt;H$16,MONTH($A41)=MONTH(H$16)),C40/C28-H$18,H40))</f>
        <v>1.0118570536828966</v>
      </c>
      <c r="I41" s="1474">
        <f ca="1">IF(Assm!$L$75=0,I40,IF($A41&gt;=I$16,IF(MONTH($A41)=MONTH(I$16),AVERAGE(D29:D40),I40),I40))</f>
        <v>1.0804</v>
      </c>
      <c r="J41" s="1475">
        <f ca="1">IF(Assm!$L$75=0,J40,IF($A41&gt;=J$16,IF(MONTH($A41)=MONTH(J$16),AVERAGE(E29:E40),J40),J40))</f>
        <v>1.0693297862449005</v>
      </c>
      <c r="K41" s="958">
        <f t="shared" si="0"/>
        <v>29</v>
      </c>
      <c r="L41" s="1476">
        <f t="shared" ca="1" si="1"/>
        <v>1.0143570536828965</v>
      </c>
      <c r="M41" s="1474">
        <f t="shared" si="11"/>
        <v>0</v>
      </c>
      <c r="N41" s="1475">
        <f t="shared" ca="1" si="32"/>
        <v>1.0143570536828965</v>
      </c>
      <c r="P41" s="1476">
        <f t="shared" ca="1" si="2"/>
        <v>1.0458060039912167</v>
      </c>
      <c r="Q41" s="1474">
        <f t="shared" si="13"/>
        <v>0</v>
      </c>
      <c r="R41" s="1475">
        <f t="shared" ca="1" si="33"/>
        <v>1.0458060039912167</v>
      </c>
      <c r="T41" s="1476">
        <f t="shared" ca="1" si="3"/>
        <v>1.0143570536828965</v>
      </c>
      <c r="U41" s="1474">
        <f t="shared" si="15"/>
        <v>1.0049999999999999</v>
      </c>
      <c r="V41" s="1475">
        <f t="shared" ca="1" si="34"/>
        <v>1.0143570536828965</v>
      </c>
      <c r="X41" s="1476">
        <f t="shared" ca="1" si="4"/>
        <v>1.0118570536828966</v>
      </c>
      <c r="Y41" s="1474">
        <f t="shared" si="17"/>
        <v>1.02</v>
      </c>
      <c r="Z41" s="1475">
        <f t="shared" ca="1" si="35"/>
        <v>1.02</v>
      </c>
      <c r="AB41" s="1476">
        <f t="shared" ca="1" si="5"/>
        <v>1.0118570536828966</v>
      </c>
      <c r="AC41" s="1474">
        <f t="shared" si="19"/>
        <v>1.02</v>
      </c>
      <c r="AD41" s="1475">
        <f t="shared" ca="1" si="36"/>
        <v>1.02</v>
      </c>
      <c r="AF41" s="1476">
        <f t="shared" ca="1" si="6"/>
        <v>1.0458060039912167</v>
      </c>
      <c r="AG41" s="1474">
        <f t="shared" si="21"/>
        <v>0</v>
      </c>
      <c r="AH41" s="1475">
        <f t="shared" ca="1" si="37"/>
        <v>1.0458060039912167</v>
      </c>
      <c r="AJ41" s="1476">
        <f t="shared" ca="1" si="7"/>
        <v>1.0118570536828966</v>
      </c>
      <c r="AK41" s="1474">
        <f t="shared" si="23"/>
        <v>1.02</v>
      </c>
      <c r="AL41" s="1475">
        <f t="shared" ca="1" si="38"/>
        <v>1.02</v>
      </c>
      <c r="AN41" s="1476">
        <f t="shared" ca="1" si="8"/>
        <v>1.0143570536828965</v>
      </c>
      <c r="AO41" s="1474">
        <f t="shared" si="25"/>
        <v>1.0049999999999999</v>
      </c>
      <c r="AP41" s="1475">
        <f t="shared" ca="1" si="39"/>
        <v>1.0143570536828965</v>
      </c>
      <c r="AR41" s="701">
        <f t="shared" si="27"/>
        <v>36069</v>
      </c>
      <c r="AS41" s="1478">
        <f ca="1">IF(AND($A41&gt;=EDATE(AS$17,12),IF(Assm!$L$74=0,$D41,$E41)/AS40&gt;=1.05),IF(Assm!$L$74=0,$D41,$E41),AS40)</f>
        <v>1.1500999999999999</v>
      </c>
      <c r="AT41" s="1478">
        <f t="shared" ca="1" si="28"/>
        <v>1.079906103286385</v>
      </c>
      <c r="AU41" s="1478">
        <f t="shared" ca="1" si="29"/>
        <v>1.0458060039912167</v>
      </c>
      <c r="AV41" s="1478">
        <f t="shared" ca="1" si="30"/>
        <v>1.079906103286385</v>
      </c>
      <c r="AW41" s="1475">
        <f t="shared" ca="1" si="31"/>
        <v>1.079906103286385</v>
      </c>
    </row>
    <row r="42" spans="1:49">
      <c r="A42" s="883">
        <f t="shared" si="10"/>
        <v>36100</v>
      </c>
      <c r="B42" s="1390">
        <f ca="1">'[2]Monthly Curve Calc.'!B45</f>
        <v>145.797</v>
      </c>
      <c r="C42" s="1391">
        <f ca="1">'[2]Monthly Curve Calc.'!C45</f>
        <v>164</v>
      </c>
      <c r="D42" s="1512">
        <f ca="1">'[2]Monthly Curve Calc.'!F45</f>
        <v>1.2008000000000001</v>
      </c>
      <c r="E42" s="1304">
        <f t="shared" ca="1" si="9"/>
        <v>1.083367564985493</v>
      </c>
      <c r="F42" s="1473">
        <f ca="1">IF(Assm!$L$75=0,F41,IF(AND($A42&gt;F$16,MONTH($A42)=MONTH(F$16)),B41/B29,F41))</f>
        <v>1.0458060039912167</v>
      </c>
      <c r="G42" s="1474">
        <f ca="1">IF(Assm!$L$75=0,G41,IF(AND($A42&gt;G$16,MONTH($A42)=MONTH(G$16)),C41/C29,G41))</f>
        <v>1.0143570536828965</v>
      </c>
      <c r="H42" s="1474">
        <f ca="1">IF(Assm!$L$75=0,H41,IF(AND($A42&gt;H$16,MONTH($A42)=MONTH(H$16)),C41/C29-H$18,H41))</f>
        <v>1.0118570536828966</v>
      </c>
      <c r="I42" s="1474">
        <f ca="1">IF(Assm!$L$75=0,I41,IF($A42&gt;=I$16,IF(MONTH($A42)=MONTH(I$16),AVERAGE(D30:D41),I41),I41))</f>
        <v>1.0804</v>
      </c>
      <c r="J42" s="1475">
        <f ca="1">IF(Assm!$L$75=0,J41,IF($A42&gt;=J$16,IF(MONTH($A42)=MONTH(J$16),AVERAGE(E30:E41),J41),J41))</f>
        <v>1.0693297862449005</v>
      </c>
      <c r="K42" s="958">
        <f t="shared" si="0"/>
        <v>30</v>
      </c>
      <c r="L42" s="1476">
        <f t="shared" ca="1" si="1"/>
        <v>1.0143570536828965</v>
      </c>
      <c r="M42" s="1474">
        <f t="shared" si="11"/>
        <v>0</v>
      </c>
      <c r="N42" s="1475">
        <f t="shared" ca="1" si="32"/>
        <v>1.0143570536828965</v>
      </c>
      <c r="P42" s="1476">
        <f t="shared" ca="1" si="2"/>
        <v>1.0458060039912167</v>
      </c>
      <c r="Q42" s="1474">
        <f t="shared" si="13"/>
        <v>0</v>
      </c>
      <c r="R42" s="1475">
        <f t="shared" ca="1" si="33"/>
        <v>1.0458060039912167</v>
      </c>
      <c r="T42" s="1476">
        <f t="shared" ca="1" si="3"/>
        <v>1.0143570536828965</v>
      </c>
      <c r="U42" s="1474">
        <f t="shared" si="15"/>
        <v>1.0049999999999999</v>
      </c>
      <c r="V42" s="1475">
        <f t="shared" ca="1" si="34"/>
        <v>1.0143570536828965</v>
      </c>
      <c r="X42" s="1476">
        <f t="shared" ca="1" si="4"/>
        <v>1.0118570536828966</v>
      </c>
      <c r="Y42" s="1474">
        <f t="shared" si="17"/>
        <v>1.02</v>
      </c>
      <c r="Z42" s="1475">
        <f t="shared" ca="1" si="35"/>
        <v>1.02</v>
      </c>
      <c r="AB42" s="1476">
        <f t="shared" ca="1" si="5"/>
        <v>1.0118570536828966</v>
      </c>
      <c r="AC42" s="1474">
        <f t="shared" si="19"/>
        <v>1.02</v>
      </c>
      <c r="AD42" s="1475">
        <f t="shared" ca="1" si="36"/>
        <v>1.02</v>
      </c>
      <c r="AF42" s="1476">
        <f t="shared" ca="1" si="6"/>
        <v>1.0458060039912167</v>
      </c>
      <c r="AG42" s="1474">
        <f t="shared" si="21"/>
        <v>0</v>
      </c>
      <c r="AH42" s="1475">
        <f t="shared" ca="1" si="37"/>
        <v>1.0458060039912167</v>
      </c>
      <c r="AJ42" s="1476">
        <f t="shared" ca="1" si="7"/>
        <v>1.0118570536828966</v>
      </c>
      <c r="AK42" s="1474">
        <f t="shared" si="23"/>
        <v>1.02</v>
      </c>
      <c r="AL42" s="1475">
        <f t="shared" ca="1" si="38"/>
        <v>1.02</v>
      </c>
      <c r="AN42" s="1476">
        <f t="shared" ca="1" si="8"/>
        <v>1.0143570536828965</v>
      </c>
      <c r="AO42" s="1474">
        <f t="shared" si="25"/>
        <v>1.0049999999999999</v>
      </c>
      <c r="AP42" s="1475">
        <f t="shared" ca="1" si="39"/>
        <v>1.0143570536828965</v>
      </c>
      <c r="AR42" s="701">
        <f t="shared" si="27"/>
        <v>36100</v>
      </c>
      <c r="AS42" s="1478">
        <f ca="1">IF(AND($A42&gt;=EDATE(AS$17,12),IF(Assm!$L$74=0,$D42,$E42)/AS41&gt;=1.05),IF(Assm!$L$74=0,$D42,$E42),AS41)</f>
        <v>1.1500999999999999</v>
      </c>
      <c r="AT42" s="1478">
        <f t="shared" ca="1" si="28"/>
        <v>1.079906103286385</v>
      </c>
      <c r="AU42" s="1478">
        <f t="shared" ca="1" si="29"/>
        <v>1.0458060039912167</v>
      </c>
      <c r="AV42" s="1478">
        <f t="shared" ca="1" si="30"/>
        <v>1.079906103286385</v>
      </c>
      <c r="AW42" s="1475">
        <f t="shared" ca="1" si="31"/>
        <v>1.079906103286385</v>
      </c>
    </row>
    <row r="43" spans="1:49">
      <c r="A43" s="883">
        <f t="shared" si="10"/>
        <v>36130</v>
      </c>
      <c r="B43" s="1390">
        <f ca="1">'[2]Monthly Curve Calc.'!B46</f>
        <v>147.22999999999999</v>
      </c>
      <c r="C43" s="1391">
        <f ca="1">'[2]Monthly Curve Calc.'!C46</f>
        <v>163.9</v>
      </c>
      <c r="D43" s="1512">
        <f ca="1">'[2]Monthly Curve Calc.'!F46</f>
        <v>1.2082999999999999</v>
      </c>
      <c r="E43" s="1304">
        <f t="shared" ca="1" si="9"/>
        <v>1.0946831868667828</v>
      </c>
      <c r="F43" s="1473">
        <f ca="1">IF(Assm!$L$75=0,F42,IF(AND($A43&gt;F$16,MONTH($A43)=MONTH(F$16)),B42/B30,F42))</f>
        <v>1.0458060039912167</v>
      </c>
      <c r="G43" s="1474">
        <f ca="1">IF(Assm!$L$75=0,G42,IF(AND($A43&gt;G$16,MONTH($A43)=MONTH(G$16)),C42/C30,G42))</f>
        <v>1.0143570536828965</v>
      </c>
      <c r="H43" s="1474">
        <f ca="1">IF(Assm!$L$75=0,H42,IF(AND($A43&gt;H$16,MONTH($A43)=MONTH(H$16)),C42/C30-H$18,H42))</f>
        <v>1.0118570536828966</v>
      </c>
      <c r="I43" s="1474">
        <f ca="1">IF(Assm!$L$75=0,I42,IF($A43&gt;=I$16,IF(MONTH($A43)=MONTH(I$16),AVERAGE(D31:D42),I42),I42))</f>
        <v>1.0804</v>
      </c>
      <c r="J43" s="1475">
        <f ca="1">IF(Assm!$L$75=0,J42,IF($A43&gt;=J$16,IF(MONTH($A43)=MONTH(J$16),AVERAGE(E31:E42),J42),J42))</f>
        <v>1.0693297862449005</v>
      </c>
      <c r="K43" s="958">
        <f t="shared" si="0"/>
        <v>31</v>
      </c>
      <c r="L43" s="1476">
        <f t="shared" ca="1" si="1"/>
        <v>1.0143570536828965</v>
      </c>
      <c r="M43" s="1474">
        <f t="shared" si="11"/>
        <v>0</v>
      </c>
      <c r="N43" s="1475">
        <f t="shared" ca="1" si="32"/>
        <v>1.0143570536828965</v>
      </c>
      <c r="P43" s="1476">
        <f t="shared" ca="1" si="2"/>
        <v>1.0458060039912167</v>
      </c>
      <c r="Q43" s="1474">
        <f t="shared" si="13"/>
        <v>0</v>
      </c>
      <c r="R43" s="1475">
        <f t="shared" ca="1" si="33"/>
        <v>1.0458060039912167</v>
      </c>
      <c r="T43" s="1476">
        <f t="shared" ca="1" si="3"/>
        <v>1.0143570536828965</v>
      </c>
      <c r="U43" s="1474">
        <f t="shared" si="15"/>
        <v>1.0049999999999999</v>
      </c>
      <c r="V43" s="1475">
        <f t="shared" ca="1" si="34"/>
        <v>1.0143570536828965</v>
      </c>
      <c r="X43" s="1476">
        <f t="shared" ca="1" si="4"/>
        <v>1.0118570536828966</v>
      </c>
      <c r="Y43" s="1474">
        <f t="shared" si="17"/>
        <v>1.02</v>
      </c>
      <c r="Z43" s="1475">
        <f t="shared" ca="1" si="35"/>
        <v>1.02</v>
      </c>
      <c r="AB43" s="1476">
        <f t="shared" ca="1" si="5"/>
        <v>1.0118570536828966</v>
      </c>
      <c r="AC43" s="1474">
        <f t="shared" si="19"/>
        <v>1.02</v>
      </c>
      <c r="AD43" s="1475">
        <f t="shared" ca="1" si="36"/>
        <v>1.02</v>
      </c>
      <c r="AF43" s="1476">
        <f t="shared" ca="1" si="6"/>
        <v>1.0458060039912167</v>
      </c>
      <c r="AG43" s="1474">
        <f t="shared" si="21"/>
        <v>0</v>
      </c>
      <c r="AH43" s="1475">
        <f t="shared" ca="1" si="37"/>
        <v>1.0458060039912167</v>
      </c>
      <c r="AJ43" s="1476">
        <f t="shared" ca="1" si="7"/>
        <v>1.0118570536828966</v>
      </c>
      <c r="AK43" s="1474">
        <f t="shared" si="23"/>
        <v>1.02</v>
      </c>
      <c r="AL43" s="1475">
        <f t="shared" ca="1" si="38"/>
        <v>1.02</v>
      </c>
      <c r="AN43" s="1476">
        <f t="shared" ca="1" si="8"/>
        <v>1.0143570536828965</v>
      </c>
      <c r="AO43" s="1474">
        <f t="shared" si="25"/>
        <v>1.0049999999999999</v>
      </c>
      <c r="AP43" s="1475">
        <f t="shared" ca="1" si="39"/>
        <v>1.0143570536828965</v>
      </c>
      <c r="AR43" s="701">
        <f t="shared" si="27"/>
        <v>36130</v>
      </c>
      <c r="AS43" s="1478">
        <f ca="1">IF(AND($A43&gt;=EDATE(AS$17,12),IF(Assm!$L$74=0,$D43,$E43)/AS42&gt;=1.05),IF(Assm!$L$74=0,$D43,$E43),AS42)</f>
        <v>1.2082999999999999</v>
      </c>
      <c r="AT43" s="1478">
        <f t="shared" ca="1" si="28"/>
        <v>1.0506042952786714</v>
      </c>
      <c r="AU43" s="1478">
        <f t="shared" ca="1" si="29"/>
        <v>1.0458060039912167</v>
      </c>
      <c r="AV43" s="1478">
        <f t="shared" ca="1" si="30"/>
        <v>1.0506042952786714</v>
      </c>
      <c r="AW43" s="1475">
        <f t="shared" ca="1" si="31"/>
        <v>1.1345539906103286</v>
      </c>
    </row>
    <row r="44" spans="1:49">
      <c r="A44" s="883">
        <f t="shared" si="10"/>
        <v>36161</v>
      </c>
      <c r="B44" s="1390">
        <f ca="1">'[2]Monthly Curve Calc.'!B47</f>
        <v>148.91999999999999</v>
      </c>
      <c r="C44" s="1391">
        <f ca="1">'[2]Monthly Curve Calc.'!C47</f>
        <v>164.3</v>
      </c>
      <c r="D44" s="1512">
        <f ca="1">'[2]Monthly Curve Calc.'!F47</f>
        <v>2.0499999999999998</v>
      </c>
      <c r="E44" s="1304">
        <f t="shared" ca="1" si="9"/>
        <v>1.1045529844657904</v>
      </c>
      <c r="F44" s="1473">
        <f ca="1">IF(Assm!$L$75=0,F43,IF(AND($A44&gt;F$16,MONTH($A44)=MONTH(F$16)),B43/B31,F43))</f>
        <v>1.0458060039912167</v>
      </c>
      <c r="G44" s="1474">
        <f ca="1">IF(Assm!$L$75=0,G43,IF(AND($A44&gt;G$16,MONTH($A44)=MONTH(G$16)),C43/C31,G43))</f>
        <v>1.0143570536828965</v>
      </c>
      <c r="H44" s="1474">
        <f ca="1">IF(Assm!$L$75=0,H43,IF(AND($A44&gt;H$16,MONTH($A44)=MONTH(H$16)),C43/C31-H$18,H43))</f>
        <v>1.0118570536828966</v>
      </c>
      <c r="I44" s="1474">
        <f ca="1">IF(Assm!$L$75=0,I43,IF($A44&gt;=I$16,IF(MONTH($A44)=MONTH(I$16),AVERAGE(D32:D43),I43),I43))</f>
        <v>1.1640250000000001</v>
      </c>
      <c r="J44" s="1475">
        <f ca="1">IF(Assm!$L$75=0,J43,IF($A44&gt;=J$16,IF(MONTH($A44)=MONTH(J$16),AVERAGE(E32:E43),J43),J43))</f>
        <v>1.0939617625521241</v>
      </c>
      <c r="K44" s="958">
        <f t="shared" si="0"/>
        <v>32</v>
      </c>
      <c r="L44" s="1476">
        <f t="shared" ca="1" si="1"/>
        <v>1.0143570536828965</v>
      </c>
      <c r="M44" s="1474">
        <f t="shared" si="11"/>
        <v>0</v>
      </c>
      <c r="N44" s="1475">
        <f t="shared" ca="1" si="32"/>
        <v>1.0143570536828965</v>
      </c>
      <c r="P44" s="1476">
        <f t="shared" ca="1" si="2"/>
        <v>1.0458060039912167</v>
      </c>
      <c r="Q44" s="1474">
        <f t="shared" si="13"/>
        <v>0</v>
      </c>
      <c r="R44" s="1475">
        <f t="shared" ca="1" si="33"/>
        <v>1.0458060039912167</v>
      </c>
      <c r="T44" s="1476">
        <f t="shared" ca="1" si="3"/>
        <v>1.0143570536828965</v>
      </c>
      <c r="U44" s="1474">
        <f t="shared" si="15"/>
        <v>1.0049999999999999</v>
      </c>
      <c r="V44" s="1475">
        <f t="shared" ca="1" si="34"/>
        <v>1.0143570536828965</v>
      </c>
      <c r="X44" s="1476">
        <f t="shared" ca="1" si="4"/>
        <v>1.0118570536828966</v>
      </c>
      <c r="Y44" s="1474">
        <f t="shared" si="17"/>
        <v>1.02</v>
      </c>
      <c r="Z44" s="1475">
        <f t="shared" ca="1" si="35"/>
        <v>1.02</v>
      </c>
      <c r="AB44" s="1476">
        <f t="shared" ca="1" si="5"/>
        <v>1.0118570536828966</v>
      </c>
      <c r="AC44" s="1474">
        <f t="shared" si="19"/>
        <v>1.02</v>
      </c>
      <c r="AD44" s="1475">
        <f t="shared" ca="1" si="36"/>
        <v>1.02</v>
      </c>
      <c r="AF44" s="1476">
        <f t="shared" ca="1" si="6"/>
        <v>1.0458060039912167</v>
      </c>
      <c r="AG44" s="1474">
        <f t="shared" si="21"/>
        <v>0</v>
      </c>
      <c r="AH44" s="1475">
        <f t="shared" ca="1" si="37"/>
        <v>1.0458060039912167</v>
      </c>
      <c r="AJ44" s="1476">
        <f t="shared" ca="1" si="7"/>
        <v>1.0118570536828966</v>
      </c>
      <c r="AK44" s="1474">
        <f t="shared" si="23"/>
        <v>1.02</v>
      </c>
      <c r="AL44" s="1475">
        <f t="shared" ca="1" si="38"/>
        <v>1.02</v>
      </c>
      <c r="AN44" s="1476">
        <f t="shared" ca="1" si="8"/>
        <v>1.0143570536828965</v>
      </c>
      <c r="AO44" s="1474">
        <f t="shared" si="25"/>
        <v>1.0049999999999999</v>
      </c>
      <c r="AP44" s="1475">
        <f t="shared" ca="1" si="39"/>
        <v>1.0143570536828965</v>
      </c>
      <c r="AR44" s="701">
        <f t="shared" si="27"/>
        <v>36161</v>
      </c>
      <c r="AS44" s="1478">
        <f ca="1">IF(AND($A44&gt;=EDATE(AS$17,12),IF(Assm!$L$74=0,$D44,$E44)/AS43&gt;=1.05),IF(Assm!$L$74=0,$D44,$E44),AS43)</f>
        <v>2.0499999999999998</v>
      </c>
      <c r="AT44" s="1478">
        <f t="shared" ca="1" si="28"/>
        <v>1.6965985268559132</v>
      </c>
      <c r="AU44" s="1478">
        <f t="shared" ca="1" si="29"/>
        <v>1.0458060039912167</v>
      </c>
      <c r="AV44" s="1478">
        <f t="shared" ca="1" si="30"/>
        <v>1.6965985268559132</v>
      </c>
      <c r="AW44" s="1475">
        <f t="shared" ca="1" si="31"/>
        <v>1.924882629107981</v>
      </c>
    </row>
    <row r="45" spans="1:49">
      <c r="A45" s="883">
        <f t="shared" si="10"/>
        <v>36192</v>
      </c>
      <c r="B45" s="1390">
        <f ca="1">'[2]Monthly Curve Calc.'!B48</f>
        <v>155.53</v>
      </c>
      <c r="C45" s="1391">
        <f ca="1">'[2]Monthly Curve Calc.'!C48</f>
        <v>164.5</v>
      </c>
      <c r="D45" s="1512">
        <f ca="1">'[2]Monthly Curve Calc.'!F48</f>
        <v>2.0350000000000001</v>
      </c>
      <c r="E45" s="1304">
        <f t="shared" ca="1" si="9"/>
        <v>1.1521774179658835</v>
      </c>
      <c r="F45" s="1473">
        <f ca="1">IF(Assm!$L$75=0,F44,IF(AND($A45&gt;F$16,MONTH($A45)=MONTH(F$16)),B44/B32,F44))</f>
        <v>1.0458060039912167</v>
      </c>
      <c r="G45" s="1474">
        <f ca="1">IF(Assm!$L$75=0,G44,IF(AND($A45&gt;G$16,MONTH($A45)=MONTH(G$16)),C44/C32,G44))</f>
        <v>1.0143570536828965</v>
      </c>
      <c r="H45" s="1474">
        <f ca="1">IF(Assm!$L$75=0,H44,IF(AND($A45&gt;H$16,MONTH($A45)=MONTH(H$16)),C44/C32-H$18,H44))</f>
        <v>1.0118570536828966</v>
      </c>
      <c r="I45" s="1474">
        <f ca="1">IF(Assm!$L$75=0,I44,IF($A45&gt;=I$16,IF(MONTH($A45)=MONTH(I$16),AVERAGE(D33:D44),I44),I44))</f>
        <v>1.1640250000000001</v>
      </c>
      <c r="J45" s="1475">
        <f ca="1">IF(Assm!$L$75=0,J44,IF($A45&gt;=J$16,IF(MONTH($A45)=MONTH(J$16),AVERAGE(E33:E44),J44),J44))</f>
        <v>1.0939617625521241</v>
      </c>
      <c r="K45" s="958">
        <f t="shared" si="0"/>
        <v>33</v>
      </c>
      <c r="L45" s="1476">
        <f t="shared" ca="1" si="1"/>
        <v>1.0143570536828965</v>
      </c>
      <c r="M45" s="1474">
        <f t="shared" si="11"/>
        <v>0</v>
      </c>
      <c r="N45" s="1475">
        <f t="shared" ca="1" si="32"/>
        <v>1.0143570536828965</v>
      </c>
      <c r="P45" s="1476">
        <f t="shared" ca="1" si="2"/>
        <v>1.0458060039912167</v>
      </c>
      <c r="Q45" s="1474">
        <f t="shared" si="13"/>
        <v>0</v>
      </c>
      <c r="R45" s="1475">
        <f t="shared" ca="1" si="33"/>
        <v>1.0458060039912167</v>
      </c>
      <c r="T45" s="1476">
        <f t="shared" ca="1" si="3"/>
        <v>1.0143570536828965</v>
      </c>
      <c r="U45" s="1474">
        <f t="shared" si="15"/>
        <v>1.0049999999999999</v>
      </c>
      <c r="V45" s="1475">
        <f t="shared" ca="1" si="34"/>
        <v>1.0143570536828965</v>
      </c>
      <c r="X45" s="1476">
        <f t="shared" ca="1" si="4"/>
        <v>1.0118570536828966</v>
      </c>
      <c r="Y45" s="1474">
        <f t="shared" si="17"/>
        <v>1.02</v>
      </c>
      <c r="Z45" s="1475">
        <f t="shared" ca="1" si="35"/>
        <v>1.02</v>
      </c>
      <c r="AB45" s="1476">
        <f t="shared" ca="1" si="5"/>
        <v>1.0118570536828966</v>
      </c>
      <c r="AC45" s="1474">
        <f t="shared" si="19"/>
        <v>1.02</v>
      </c>
      <c r="AD45" s="1475">
        <f t="shared" ca="1" si="36"/>
        <v>1.02</v>
      </c>
      <c r="AF45" s="1476">
        <f t="shared" ca="1" si="6"/>
        <v>1.0458060039912167</v>
      </c>
      <c r="AG45" s="1474">
        <f t="shared" si="21"/>
        <v>0</v>
      </c>
      <c r="AH45" s="1475">
        <f t="shared" ca="1" si="37"/>
        <v>1.0458060039912167</v>
      </c>
      <c r="AJ45" s="1476">
        <f t="shared" ca="1" si="7"/>
        <v>1.0118570536828966</v>
      </c>
      <c r="AK45" s="1474">
        <f t="shared" si="23"/>
        <v>1.02</v>
      </c>
      <c r="AL45" s="1475">
        <f t="shared" ca="1" si="38"/>
        <v>1.02</v>
      </c>
      <c r="AN45" s="1476">
        <f t="shared" ca="1" si="8"/>
        <v>1.0143570536828965</v>
      </c>
      <c r="AO45" s="1474">
        <f t="shared" si="25"/>
        <v>1.0049999999999999</v>
      </c>
      <c r="AP45" s="1475">
        <f t="shared" ca="1" si="39"/>
        <v>1.0143570536828965</v>
      </c>
      <c r="AR45" s="701">
        <f t="shared" si="27"/>
        <v>36192</v>
      </c>
      <c r="AS45" s="1478">
        <f ca="1">IF(AND($A45&gt;=EDATE(AS$17,12),IF(Assm!$L$74=0,$D45,$E45)/AS44&gt;=1.05),IF(Assm!$L$74=0,$D45,$E45),AS44)</f>
        <v>2.0499999999999998</v>
      </c>
      <c r="AT45" s="1478">
        <f t="shared" ca="1" si="28"/>
        <v>1.6965985268559132</v>
      </c>
      <c r="AU45" s="1478">
        <f t="shared" ca="1" si="29"/>
        <v>1.0458060039912167</v>
      </c>
      <c r="AV45" s="1478">
        <f t="shared" ca="1" si="30"/>
        <v>1.6965985268559132</v>
      </c>
      <c r="AW45" s="1475">
        <f t="shared" ca="1" si="31"/>
        <v>1.924882629107981</v>
      </c>
    </row>
    <row r="46" spans="1:49">
      <c r="A46" s="883">
        <f t="shared" si="10"/>
        <v>36220</v>
      </c>
      <c r="B46" s="1390">
        <f ca="1">'[2]Monthly Curve Calc.'!B49</f>
        <v>158.6</v>
      </c>
      <c r="C46" s="1391">
        <f ca="1">'[2]Monthly Curve Calc.'!C49</f>
        <v>165</v>
      </c>
      <c r="D46" s="1512">
        <f ca="1">'[2]Monthly Curve Calc.'!F49</f>
        <v>1.7175</v>
      </c>
      <c r="E46" s="1304">
        <f t="shared" ca="1" si="9"/>
        <v>1.1713598343690688</v>
      </c>
      <c r="F46" s="1473">
        <f ca="1">IF(Assm!$L$75=0,F45,IF(AND($A46&gt;F$16,MONTH($A46)=MONTH(F$16)),B45/B33,F45))</f>
        <v>1.0458060039912167</v>
      </c>
      <c r="G46" s="1474">
        <f ca="1">IF(Assm!$L$75=0,G45,IF(AND($A46&gt;G$16,MONTH($A46)=MONTH(G$16)),C45/C33,G45))</f>
        <v>1.0143570536828965</v>
      </c>
      <c r="H46" s="1474">
        <f ca="1">IF(Assm!$L$75=0,H45,IF(AND($A46&gt;H$16,MONTH($A46)=MONTH(H$16)),C45/C33-H$18,H45))</f>
        <v>1.0118570536828966</v>
      </c>
      <c r="I46" s="1474">
        <f ca="1">IF(Assm!$L$75=0,I45,IF($A46&gt;=I$16,IF(MONTH($A46)=MONTH(I$16),AVERAGE(D34:D45),I45),I45))</f>
        <v>1.1640250000000001</v>
      </c>
      <c r="J46" s="1475">
        <f ca="1">IF(Assm!$L$75=0,J45,IF($A46&gt;=J$16,IF(MONTH($A46)=MONTH(J$16),AVERAGE(E34:E45),J45),J45))</f>
        <v>1.0939617625521241</v>
      </c>
      <c r="K46" s="958">
        <f t="shared" si="0"/>
        <v>34</v>
      </c>
      <c r="L46" s="1476">
        <f t="shared" ca="1" si="1"/>
        <v>1.0143570536828965</v>
      </c>
      <c r="M46" s="1474">
        <f t="shared" si="11"/>
        <v>0</v>
      </c>
      <c r="N46" s="1475">
        <f t="shared" ca="1" si="32"/>
        <v>1.0143570536828965</v>
      </c>
      <c r="P46" s="1476">
        <f t="shared" ca="1" si="2"/>
        <v>1.0458060039912167</v>
      </c>
      <c r="Q46" s="1474">
        <f t="shared" si="13"/>
        <v>0</v>
      </c>
      <c r="R46" s="1475">
        <f t="shared" ca="1" si="33"/>
        <v>1.0458060039912167</v>
      </c>
      <c r="T46" s="1476">
        <f t="shared" ca="1" si="3"/>
        <v>1.0143570536828965</v>
      </c>
      <c r="U46" s="1474">
        <f t="shared" si="15"/>
        <v>1.0049999999999999</v>
      </c>
      <c r="V46" s="1475">
        <f t="shared" ca="1" si="34"/>
        <v>1.0143570536828965</v>
      </c>
      <c r="X46" s="1476">
        <f t="shared" ca="1" si="4"/>
        <v>1.0118570536828966</v>
      </c>
      <c r="Y46" s="1474">
        <f t="shared" si="17"/>
        <v>1.02</v>
      </c>
      <c r="Z46" s="1475">
        <f t="shared" ca="1" si="35"/>
        <v>1.02</v>
      </c>
      <c r="AB46" s="1476">
        <f t="shared" ca="1" si="5"/>
        <v>1.0118570536828966</v>
      </c>
      <c r="AC46" s="1474">
        <f t="shared" si="19"/>
        <v>1.02</v>
      </c>
      <c r="AD46" s="1475">
        <f t="shared" ca="1" si="36"/>
        <v>1.02</v>
      </c>
      <c r="AF46" s="1476">
        <f t="shared" ca="1" si="6"/>
        <v>1.0458060039912167</v>
      </c>
      <c r="AG46" s="1474">
        <f t="shared" si="21"/>
        <v>0</v>
      </c>
      <c r="AH46" s="1475">
        <f t="shared" ca="1" si="37"/>
        <v>1.0458060039912167</v>
      </c>
      <c r="AJ46" s="1476">
        <f t="shared" ca="1" si="7"/>
        <v>1.0118570536828966</v>
      </c>
      <c r="AK46" s="1474">
        <f t="shared" si="23"/>
        <v>1.02</v>
      </c>
      <c r="AL46" s="1475">
        <f t="shared" ca="1" si="38"/>
        <v>1.02</v>
      </c>
      <c r="AN46" s="1476">
        <f t="shared" ca="1" si="8"/>
        <v>1.0143570536828965</v>
      </c>
      <c r="AO46" s="1474">
        <f t="shared" si="25"/>
        <v>1.0049999999999999</v>
      </c>
      <c r="AP46" s="1475">
        <f t="shared" ca="1" si="39"/>
        <v>1.0143570536828965</v>
      </c>
      <c r="AR46" s="701">
        <f t="shared" si="27"/>
        <v>36220</v>
      </c>
      <c r="AS46" s="1478">
        <f ca="1">IF(AND($A46&gt;=EDATE(AS$17,12),IF(Assm!$L$74=0,$D46,$E46)/AS45&gt;=1.05),IF(Assm!$L$74=0,$D46,$E46),AS45)</f>
        <v>2.0499999999999998</v>
      </c>
      <c r="AT46" s="1478">
        <f t="shared" ca="1" si="28"/>
        <v>1.6965985268559132</v>
      </c>
      <c r="AU46" s="1478">
        <f t="shared" ca="1" si="29"/>
        <v>1.0458060039912167</v>
      </c>
      <c r="AV46" s="1478">
        <f t="shared" ca="1" si="30"/>
        <v>1.6965985268559132</v>
      </c>
      <c r="AW46" s="1475">
        <f t="shared" ca="1" si="31"/>
        <v>1.924882629107981</v>
      </c>
    </row>
    <row r="47" spans="1:49">
      <c r="A47" s="883">
        <f t="shared" si="10"/>
        <v>36251</v>
      </c>
      <c r="B47" s="1390">
        <f ca="1">'[2]Monthly Curve Calc.'!B50</f>
        <v>158.65</v>
      </c>
      <c r="C47" s="1391">
        <f ca="1">'[2]Monthly Curve Calc.'!C50</f>
        <v>166.2</v>
      </c>
      <c r="D47" s="1512">
        <f ca="1">'[2]Monthly Curve Calc.'!F50</f>
        <v>1.665</v>
      </c>
      <c r="E47" s="1304">
        <f t="shared" ca="1" si="9"/>
        <v>1.1632689775091964</v>
      </c>
      <c r="F47" s="1473">
        <f ca="1">IF(Assm!$L$75=0,F46,IF(AND($A47&gt;F$16,MONTH($A47)=MONTH(F$16)),B46/B34,F46))</f>
        <v>1.0458060039912167</v>
      </c>
      <c r="G47" s="1474">
        <f ca="1">IF(Assm!$L$75=0,G46,IF(AND($A47&gt;G$16,MONTH($A47)=MONTH(G$16)),C46/C34,G46))</f>
        <v>1.0143570536828965</v>
      </c>
      <c r="H47" s="1474">
        <f ca="1">IF(Assm!$L$75=0,H46,IF(AND($A47&gt;H$16,MONTH($A47)=MONTH(H$16)),C46/C34-H$18,H46))</f>
        <v>1.0118570536828966</v>
      </c>
      <c r="I47" s="1474">
        <f ca="1">IF(Assm!$L$75=0,I46,IF($A47&gt;=I$16,IF(MONTH($A47)=MONTH(I$16),AVERAGE(D35:D46),I46),I46))</f>
        <v>1.1640250000000001</v>
      </c>
      <c r="J47" s="1475">
        <f ca="1">IF(Assm!$L$75=0,J46,IF($A47&gt;=J$16,IF(MONTH($A47)=MONTH(J$16),AVERAGE(E35:E46),J46),J46))</f>
        <v>1.0939617625521241</v>
      </c>
      <c r="K47" s="958">
        <f t="shared" si="0"/>
        <v>35</v>
      </c>
      <c r="L47" s="1476">
        <f t="shared" ca="1" si="1"/>
        <v>1.0143570536828965</v>
      </c>
      <c r="M47" s="1474">
        <f t="shared" si="11"/>
        <v>0</v>
      </c>
      <c r="N47" s="1475">
        <f t="shared" ca="1" si="32"/>
        <v>1.0143570536828965</v>
      </c>
      <c r="P47" s="1476">
        <f t="shared" ca="1" si="2"/>
        <v>1.0458060039912167</v>
      </c>
      <c r="Q47" s="1474">
        <f t="shared" si="13"/>
        <v>0</v>
      </c>
      <c r="R47" s="1475">
        <f t="shared" ca="1" si="33"/>
        <v>1.0458060039912167</v>
      </c>
      <c r="T47" s="1476">
        <f t="shared" ca="1" si="3"/>
        <v>1.0143570536828965</v>
      </c>
      <c r="U47" s="1474">
        <f t="shared" si="15"/>
        <v>1.0049999999999999</v>
      </c>
      <c r="V47" s="1475">
        <f t="shared" ca="1" si="34"/>
        <v>1.0143570536828965</v>
      </c>
      <c r="X47" s="1476">
        <f t="shared" ca="1" si="4"/>
        <v>1.0118570536828966</v>
      </c>
      <c r="Y47" s="1474">
        <f t="shared" si="17"/>
        <v>1.02</v>
      </c>
      <c r="Z47" s="1475">
        <f t="shared" ca="1" si="35"/>
        <v>1.02</v>
      </c>
      <c r="AB47" s="1476">
        <f t="shared" ca="1" si="5"/>
        <v>1.0118570536828966</v>
      </c>
      <c r="AC47" s="1474">
        <f t="shared" si="19"/>
        <v>1.02</v>
      </c>
      <c r="AD47" s="1475">
        <f t="shared" ca="1" si="36"/>
        <v>1.02</v>
      </c>
      <c r="AF47" s="1476">
        <f t="shared" ca="1" si="6"/>
        <v>1.0458060039912167</v>
      </c>
      <c r="AG47" s="1474">
        <f t="shared" si="21"/>
        <v>0</v>
      </c>
      <c r="AH47" s="1475">
        <f t="shared" ca="1" si="37"/>
        <v>1.0458060039912167</v>
      </c>
      <c r="AJ47" s="1476">
        <f t="shared" ca="1" si="7"/>
        <v>1.0118570536828966</v>
      </c>
      <c r="AK47" s="1474">
        <f t="shared" si="23"/>
        <v>1.02</v>
      </c>
      <c r="AL47" s="1475">
        <f t="shared" ca="1" si="38"/>
        <v>1.02</v>
      </c>
      <c r="AN47" s="1476">
        <f t="shared" ca="1" si="8"/>
        <v>1.0143570536828965</v>
      </c>
      <c r="AO47" s="1474">
        <f t="shared" si="25"/>
        <v>1.0049999999999999</v>
      </c>
      <c r="AP47" s="1475">
        <f t="shared" ca="1" si="39"/>
        <v>1.0143570536828965</v>
      </c>
      <c r="AR47" s="701">
        <f t="shared" si="27"/>
        <v>36251</v>
      </c>
      <c r="AS47" s="1478">
        <f ca="1">IF(AND($A47&gt;=EDATE(AS$17,12),IF(Assm!$L$74=0,$D47,$E47)/AS46&gt;=1.05),IF(Assm!$L$74=0,$D47,$E47),AS46)</f>
        <v>2.0499999999999998</v>
      </c>
      <c r="AT47" s="1478">
        <f t="shared" ca="1" si="28"/>
        <v>1.6965985268559132</v>
      </c>
      <c r="AU47" s="1478">
        <f t="shared" ca="1" si="29"/>
        <v>1.0458060039912167</v>
      </c>
      <c r="AV47" s="1478">
        <f t="shared" ca="1" si="30"/>
        <v>1.6965985268559132</v>
      </c>
      <c r="AW47" s="1475">
        <f t="shared" ca="1" si="31"/>
        <v>1.924882629107981</v>
      </c>
    </row>
    <row r="48" spans="1:49">
      <c r="A48" s="883">
        <f t="shared" si="10"/>
        <v>36281</v>
      </c>
      <c r="B48" s="1390">
        <f ca="1">'[2]Monthly Curve Calc.'!B51</f>
        <v>158.1</v>
      </c>
      <c r="C48" s="1391">
        <f ca="1">'[2]Monthly Curve Calc.'!C51</f>
        <v>166.2</v>
      </c>
      <c r="D48" s="1512">
        <f ca="1">'[2]Monthly Curve Calc.'!F51</f>
        <v>1.7210000000000001</v>
      </c>
      <c r="E48" s="1304">
        <f t="shared" ca="1" si="9"/>
        <v>1.1592362139565329</v>
      </c>
      <c r="F48" s="1473">
        <f ca="1">IF(Assm!$L$75=0,F47,IF(AND($A48&gt;F$16,MONTH($A48)=MONTH(F$16)),B47/B35,F47))</f>
        <v>1.0850756783005382</v>
      </c>
      <c r="G48" s="1474">
        <f ca="1">IF(Assm!$L$75=0,G47,IF(AND($A48&gt;G$16,MONTH($A48)=MONTH(G$16)),C47/C35,G47))</f>
        <v>1.0227692307692307</v>
      </c>
      <c r="H48" s="1474">
        <f ca="1">IF(Assm!$L$75=0,H47,IF(AND($A48&gt;H$16,MONTH($A48)=MONTH(H$16)),C47/C35-H$18,H47))</f>
        <v>1.0202692307692307</v>
      </c>
      <c r="I48" s="1474">
        <f ca="1">IF(Assm!$L$75=0,I47,IF($A48&gt;=I$16,IF(MONTH($A48)=MONTH(I$16),AVERAGE(D36:D47),I47),I47))</f>
        <v>1.1640250000000001</v>
      </c>
      <c r="J48" s="1475">
        <f ca="1">IF(Assm!$L$75=0,J47,IF($A48&gt;=J$16,IF(MONTH($A48)=MONTH(J$16),AVERAGE(E36:E47),J47),J47))</f>
        <v>1.0939617625521241</v>
      </c>
      <c r="K48" s="958">
        <f t="shared" si="0"/>
        <v>36</v>
      </c>
      <c r="L48" s="1476">
        <f t="shared" ca="1" si="1"/>
        <v>1.0227692307692307</v>
      </c>
      <c r="M48" s="1474">
        <f t="shared" si="11"/>
        <v>0</v>
      </c>
      <c r="N48" s="1475">
        <f t="shared" ca="1" si="32"/>
        <v>1.0374531835205993</v>
      </c>
      <c r="P48" s="1476">
        <f t="shared" ca="1" si="2"/>
        <v>1.0850756783005382</v>
      </c>
      <c r="Q48" s="1474">
        <f t="shared" si="13"/>
        <v>0</v>
      </c>
      <c r="R48" s="1475">
        <f t="shared" ca="1" si="33"/>
        <v>1.1347786591515447</v>
      </c>
      <c r="T48" s="1476">
        <f t="shared" ca="1" si="3"/>
        <v>1.0227692307692307</v>
      </c>
      <c r="U48" s="1474">
        <f t="shared" si="15"/>
        <v>1.0049999999999999</v>
      </c>
      <c r="V48" s="1475">
        <f t="shared" ca="1" si="34"/>
        <v>1.0374531835205993</v>
      </c>
      <c r="X48" s="1476">
        <f t="shared" ca="1" si="4"/>
        <v>1.0202692307692307</v>
      </c>
      <c r="Y48" s="1474">
        <f t="shared" si="17"/>
        <v>1.02</v>
      </c>
      <c r="Z48" s="1475">
        <f t="shared" ca="1" si="35"/>
        <v>1.0406746153846154</v>
      </c>
      <c r="AB48" s="1476">
        <f t="shared" ca="1" si="5"/>
        <v>1.0202692307692307</v>
      </c>
      <c r="AC48" s="1474">
        <f t="shared" si="19"/>
        <v>1.02</v>
      </c>
      <c r="AD48" s="1475">
        <f t="shared" ca="1" si="36"/>
        <v>1.0406746153846154</v>
      </c>
      <c r="AF48" s="1476">
        <f t="shared" ca="1" si="6"/>
        <v>1.0850756783005382</v>
      </c>
      <c r="AG48" s="1474">
        <f t="shared" si="21"/>
        <v>0</v>
      </c>
      <c r="AH48" s="1475">
        <f t="shared" ca="1" si="37"/>
        <v>1.1347786591515447</v>
      </c>
      <c r="AJ48" s="1476">
        <f t="shared" ca="1" si="7"/>
        <v>1.0202692307692307</v>
      </c>
      <c r="AK48" s="1474">
        <f t="shared" si="23"/>
        <v>1.02</v>
      </c>
      <c r="AL48" s="1475">
        <f t="shared" ca="1" si="38"/>
        <v>1.0406746153846154</v>
      </c>
      <c r="AN48" s="1476">
        <f t="shared" ca="1" si="8"/>
        <v>1.0227692307692307</v>
      </c>
      <c r="AO48" s="1474">
        <f t="shared" si="25"/>
        <v>1.0049999999999999</v>
      </c>
      <c r="AP48" s="1475">
        <f t="shared" ca="1" si="39"/>
        <v>1.0374531835205993</v>
      </c>
      <c r="AR48" s="701">
        <f t="shared" si="27"/>
        <v>36281</v>
      </c>
      <c r="AS48" s="1478">
        <f ca="1">IF(AND($A48&gt;=EDATE(AS$17,12),IF(Assm!$L$74=0,$D48,$E48)/AS47&gt;=1.05),IF(Assm!$L$74=0,$D48,$E48),AS47)</f>
        <v>2.0499999999999998</v>
      </c>
      <c r="AT48" s="1478">
        <f t="shared" ca="1" si="28"/>
        <v>1.6965985268559132</v>
      </c>
      <c r="AU48" s="1478">
        <f t="shared" ca="1" si="29"/>
        <v>1.0850756783005382</v>
      </c>
      <c r="AV48" s="1478">
        <f t="shared" ca="1" si="30"/>
        <v>1.6965985268559132</v>
      </c>
      <c r="AW48" s="1475">
        <f t="shared" ca="1" si="31"/>
        <v>1.924882629107981</v>
      </c>
    </row>
    <row r="49" spans="1:49">
      <c r="A49" s="883">
        <f t="shared" si="10"/>
        <v>36312</v>
      </c>
      <c r="B49" s="1390">
        <f ca="1">'[2]Monthly Curve Calc.'!B52</f>
        <v>159.71</v>
      </c>
      <c r="C49" s="1391">
        <f ca="1">'[2]Monthly Curve Calc.'!C52</f>
        <v>166.2</v>
      </c>
      <c r="D49" s="1512">
        <f ca="1">'[2]Monthly Curve Calc.'!F52</f>
        <v>1.7524999999999999</v>
      </c>
      <c r="E49" s="1304">
        <f t="shared" ca="1" si="9"/>
        <v>1.1710412127197842</v>
      </c>
      <c r="F49" s="1473">
        <f ca="1">IF(Assm!$L$75=0,F48,IF(AND($A49&gt;F$16,MONTH($A49)=MONTH(F$16)),B48/B36,F48))</f>
        <v>1.0850756783005382</v>
      </c>
      <c r="G49" s="1474">
        <f ca="1">IF(Assm!$L$75=0,G48,IF(AND($A49&gt;G$16,MONTH($A49)=MONTH(G$16)),C48/C36,G48))</f>
        <v>1.0227692307692307</v>
      </c>
      <c r="H49" s="1474">
        <f ca="1">IF(Assm!$L$75=0,H48,IF(AND($A49&gt;H$16,MONTH($A49)=MONTH(H$16)),C48/C36-H$18,H48))</f>
        <v>1.0202692307692307</v>
      </c>
      <c r="I49" s="1474">
        <f ca="1">IF(Assm!$L$75=0,I48,IF($A49&gt;=I$16,IF(MONTH($A49)=MONTH(I$16),AVERAGE(D37:D48),I48),I48))</f>
        <v>1.1640250000000001</v>
      </c>
      <c r="J49" s="1475">
        <f ca="1">IF(Assm!$L$75=0,J48,IF($A49&gt;=J$16,IF(MONTH($A49)=MONTH(J$16),AVERAGE(E37:E48),J48),J48))</f>
        <v>1.0939617625521241</v>
      </c>
      <c r="K49" s="958">
        <f t="shared" si="0"/>
        <v>37</v>
      </c>
      <c r="L49" s="1476">
        <f t="shared" ca="1" si="1"/>
        <v>1.0227692307692307</v>
      </c>
      <c r="M49" s="1474">
        <f t="shared" si="11"/>
        <v>0</v>
      </c>
      <c r="N49" s="1475">
        <f t="shared" ca="1" si="32"/>
        <v>1.0374531835205993</v>
      </c>
      <c r="P49" s="1476">
        <f t="shared" ca="1" si="2"/>
        <v>1.0850756783005382</v>
      </c>
      <c r="Q49" s="1474">
        <f t="shared" si="13"/>
        <v>0</v>
      </c>
      <c r="R49" s="1475">
        <f t="shared" ca="1" si="33"/>
        <v>1.1347786591515447</v>
      </c>
      <c r="T49" s="1476">
        <f t="shared" ca="1" si="3"/>
        <v>1.0227692307692307</v>
      </c>
      <c r="U49" s="1474">
        <f t="shared" si="15"/>
        <v>1.0049999999999999</v>
      </c>
      <c r="V49" s="1475">
        <f t="shared" ca="1" si="34"/>
        <v>1.0374531835205993</v>
      </c>
      <c r="X49" s="1476">
        <f t="shared" ca="1" si="4"/>
        <v>1.0202692307692307</v>
      </c>
      <c r="Y49" s="1474">
        <f t="shared" si="17"/>
        <v>1.02</v>
      </c>
      <c r="Z49" s="1475">
        <f t="shared" ca="1" si="35"/>
        <v>1.0406746153846154</v>
      </c>
      <c r="AB49" s="1476">
        <f t="shared" ca="1" si="5"/>
        <v>1.0202692307692307</v>
      </c>
      <c r="AC49" s="1474">
        <f t="shared" si="19"/>
        <v>1.02</v>
      </c>
      <c r="AD49" s="1475">
        <f t="shared" ca="1" si="36"/>
        <v>1.0406746153846154</v>
      </c>
      <c r="AF49" s="1476">
        <f t="shared" ca="1" si="6"/>
        <v>1.0850756783005382</v>
      </c>
      <c r="AG49" s="1474">
        <f t="shared" si="21"/>
        <v>0</v>
      </c>
      <c r="AH49" s="1475">
        <f t="shared" ca="1" si="37"/>
        <v>1.1347786591515447</v>
      </c>
      <c r="AJ49" s="1476">
        <f t="shared" ca="1" si="7"/>
        <v>1.0202692307692307</v>
      </c>
      <c r="AK49" s="1474">
        <f t="shared" si="23"/>
        <v>1.02</v>
      </c>
      <c r="AL49" s="1475">
        <f t="shared" ca="1" si="38"/>
        <v>1.0406746153846154</v>
      </c>
      <c r="AN49" s="1476">
        <f t="shared" ca="1" si="8"/>
        <v>1.0227692307692307</v>
      </c>
      <c r="AO49" s="1474">
        <f t="shared" si="25"/>
        <v>1.0049999999999999</v>
      </c>
      <c r="AP49" s="1475">
        <f t="shared" ca="1" si="39"/>
        <v>1.0374531835205993</v>
      </c>
      <c r="AR49" s="701">
        <f t="shared" si="27"/>
        <v>36312</v>
      </c>
      <c r="AS49" s="1478">
        <f ca="1">IF(AND($A49&gt;=EDATE(AS$17,12),IF(Assm!$L$74=0,$D49,$E49)/AS48&gt;=1.05),IF(Assm!$L$74=0,$D49,$E49),AS48)</f>
        <v>2.0499999999999998</v>
      </c>
      <c r="AT49" s="1478">
        <f t="shared" ca="1" si="28"/>
        <v>1.6965985268559132</v>
      </c>
      <c r="AU49" s="1478">
        <f t="shared" ca="1" si="29"/>
        <v>1.0850756783005382</v>
      </c>
      <c r="AV49" s="1478">
        <f t="shared" ca="1" si="30"/>
        <v>1.6965985268559132</v>
      </c>
      <c r="AW49" s="1475">
        <f t="shared" ca="1" si="31"/>
        <v>1.924882629107981</v>
      </c>
    </row>
    <row r="50" spans="1:49">
      <c r="A50" s="883">
        <f t="shared" si="10"/>
        <v>36342</v>
      </c>
      <c r="B50" s="1390">
        <f ca="1">'[2]Monthly Curve Calc.'!B53</f>
        <v>162.25</v>
      </c>
      <c r="C50" s="1391">
        <f ca="1">'[2]Monthly Curve Calc.'!C53</f>
        <v>166.7</v>
      </c>
      <c r="D50" s="1512">
        <f ca="1">'[2]Monthly Curve Calc.'!F53</f>
        <v>1.8009999999999999</v>
      </c>
      <c r="E50" s="1304">
        <f t="shared" ca="1" si="9"/>
        <v>1.1860969659480314</v>
      </c>
      <c r="F50" s="1473">
        <f ca="1">IF(Assm!$L$75=0,F49,IF(AND($A50&gt;F$16,MONTH($A50)=MONTH(F$16)),B49/B37,F49))</f>
        <v>1.0850756783005382</v>
      </c>
      <c r="G50" s="1474">
        <f ca="1">IF(Assm!$L$75=0,G49,IF(AND($A50&gt;G$16,MONTH($A50)=MONTH(G$16)),C49/C37,G49))</f>
        <v>1.0227692307692307</v>
      </c>
      <c r="H50" s="1474">
        <f ca="1">IF(Assm!$L$75=0,H49,IF(AND($A50&gt;H$16,MONTH($A50)=MONTH(H$16)),C49/C37-H$18,H49))</f>
        <v>1.0202692307692307</v>
      </c>
      <c r="I50" s="1474">
        <f ca="1">IF(Assm!$L$75=0,I49,IF($A50&gt;=I$16,IF(MONTH($A50)=MONTH(I$16),AVERAGE(D38:D49),I49),I49))</f>
        <v>1.1640250000000001</v>
      </c>
      <c r="J50" s="1475">
        <f ca="1">IF(Assm!$L$75=0,J49,IF($A50&gt;=J$16,IF(MONTH($A50)=MONTH(J$16),AVERAGE(E38:E49),J49),J49))</f>
        <v>1.0939617625521241</v>
      </c>
      <c r="K50" s="958">
        <f t="shared" si="0"/>
        <v>38</v>
      </c>
      <c r="L50" s="1476">
        <f t="shared" ca="1" si="1"/>
        <v>1.0227692307692307</v>
      </c>
      <c r="M50" s="1474">
        <f t="shared" si="11"/>
        <v>0</v>
      </c>
      <c r="N50" s="1475">
        <f t="shared" ca="1" si="32"/>
        <v>1.0374531835205993</v>
      </c>
      <c r="P50" s="1476">
        <f t="shared" ca="1" si="2"/>
        <v>1.0850756783005382</v>
      </c>
      <c r="Q50" s="1474">
        <f t="shared" si="13"/>
        <v>0</v>
      </c>
      <c r="R50" s="1475">
        <f t="shared" ca="1" si="33"/>
        <v>1.1347786591515447</v>
      </c>
      <c r="T50" s="1476">
        <f t="shared" ca="1" si="3"/>
        <v>1.0227692307692307</v>
      </c>
      <c r="U50" s="1474">
        <f t="shared" si="15"/>
        <v>1.0049999999999999</v>
      </c>
      <c r="V50" s="1475">
        <f t="shared" ca="1" si="34"/>
        <v>1.0374531835205993</v>
      </c>
      <c r="X50" s="1476">
        <f t="shared" ca="1" si="4"/>
        <v>1.0202692307692307</v>
      </c>
      <c r="Y50" s="1474">
        <f t="shared" si="17"/>
        <v>1.02</v>
      </c>
      <c r="Z50" s="1475">
        <f t="shared" ca="1" si="35"/>
        <v>1.0406746153846154</v>
      </c>
      <c r="AB50" s="1476">
        <f t="shared" ca="1" si="5"/>
        <v>1.0202692307692307</v>
      </c>
      <c r="AC50" s="1474">
        <f t="shared" si="19"/>
        <v>1.02</v>
      </c>
      <c r="AD50" s="1475">
        <f t="shared" ca="1" si="36"/>
        <v>1.0406746153846154</v>
      </c>
      <c r="AF50" s="1476">
        <f t="shared" ca="1" si="6"/>
        <v>1.0850756783005382</v>
      </c>
      <c r="AG50" s="1474">
        <f t="shared" si="21"/>
        <v>0</v>
      </c>
      <c r="AH50" s="1475">
        <f t="shared" ca="1" si="37"/>
        <v>1.1347786591515447</v>
      </c>
      <c r="AJ50" s="1476">
        <f t="shared" ca="1" si="7"/>
        <v>1.0202692307692307</v>
      </c>
      <c r="AK50" s="1474">
        <f t="shared" si="23"/>
        <v>1.02</v>
      </c>
      <c r="AL50" s="1475">
        <f t="shared" ca="1" si="38"/>
        <v>1.0406746153846154</v>
      </c>
      <c r="AN50" s="1476">
        <f t="shared" ca="1" si="8"/>
        <v>1.0227692307692307</v>
      </c>
      <c r="AO50" s="1474">
        <f t="shared" si="25"/>
        <v>1.0049999999999999</v>
      </c>
      <c r="AP50" s="1475">
        <f t="shared" ca="1" si="39"/>
        <v>1.0374531835205993</v>
      </c>
      <c r="AR50" s="701">
        <f t="shared" si="27"/>
        <v>36342</v>
      </c>
      <c r="AS50" s="1478">
        <f ca="1">IF(AND($A50&gt;=EDATE(AS$17,12),IF(Assm!$L$74=0,$D50,$E50)/AS49&gt;=1.05),IF(Assm!$L$74=0,$D50,$E50),AS49)</f>
        <v>2.0499999999999998</v>
      </c>
      <c r="AT50" s="1478">
        <f t="shared" ca="1" si="28"/>
        <v>1.6965985268559132</v>
      </c>
      <c r="AU50" s="1478">
        <f t="shared" ca="1" si="29"/>
        <v>1.0850756783005382</v>
      </c>
      <c r="AV50" s="1478">
        <f t="shared" ca="1" si="30"/>
        <v>1.6965985268559132</v>
      </c>
      <c r="AW50" s="1475">
        <f t="shared" ca="1" si="31"/>
        <v>1.924882629107981</v>
      </c>
    </row>
    <row r="51" spans="1:49">
      <c r="A51" s="883">
        <f t="shared" si="10"/>
        <v>36373</v>
      </c>
      <c r="B51" s="1390">
        <f ca="1">'[2]Monthly Curve Calc.'!B54</f>
        <v>164.61</v>
      </c>
      <c r="C51" s="1391">
        <f ca="1">'[2]Monthly Curve Calc.'!C54</f>
        <v>167.1</v>
      </c>
      <c r="D51" s="1512">
        <f ca="1">'[2]Monthly Curve Calc.'!F54</f>
        <v>1.919</v>
      </c>
      <c r="E51" s="1304">
        <f t="shared" ca="1" si="9"/>
        <v>1.2004687365946745</v>
      </c>
      <c r="F51" s="1473">
        <f ca="1">IF(Assm!$L$75=0,F50,IF(AND($A51&gt;F$16,MONTH($A51)=MONTH(F$16)),B50/B38,F50))</f>
        <v>1.0850756783005382</v>
      </c>
      <c r="G51" s="1474">
        <f ca="1">IF(Assm!$L$75=0,G50,IF(AND($A51&gt;G$16,MONTH($A51)=MONTH(G$16)),C50/C38,G50))</f>
        <v>1.0227692307692307</v>
      </c>
      <c r="H51" s="1474">
        <f ca="1">IF(Assm!$L$75=0,H50,IF(AND($A51&gt;H$16,MONTH($A51)=MONTH(H$16)),C50/C38-H$18,H50))</f>
        <v>1.0202692307692307</v>
      </c>
      <c r="I51" s="1474">
        <f ca="1">IF(Assm!$L$75=0,I50,IF($A51&gt;=I$16,IF(MONTH($A51)=MONTH(I$16),AVERAGE(D39:D50),I50),I50))</f>
        <v>1.1640250000000001</v>
      </c>
      <c r="J51" s="1475">
        <f ca="1">IF(Assm!$L$75=0,J50,IF($A51&gt;=J$16,IF(MONTH($A51)=MONTH(J$16),AVERAGE(E39:E50),J50),J50))</f>
        <v>1.0939617625521241</v>
      </c>
      <c r="K51" s="958">
        <f t="shared" si="0"/>
        <v>39</v>
      </c>
      <c r="L51" s="1476">
        <f t="shared" ca="1" si="1"/>
        <v>1.0227692307692307</v>
      </c>
      <c r="M51" s="1474">
        <f t="shared" si="11"/>
        <v>0</v>
      </c>
      <c r="N51" s="1475">
        <f t="shared" ca="1" si="32"/>
        <v>1.0374531835205993</v>
      </c>
      <c r="P51" s="1476">
        <f t="shared" ca="1" si="2"/>
        <v>1.0850756783005382</v>
      </c>
      <c r="Q51" s="1474">
        <f t="shared" si="13"/>
        <v>0</v>
      </c>
      <c r="R51" s="1475">
        <f t="shared" ca="1" si="33"/>
        <v>1.1347786591515447</v>
      </c>
      <c r="T51" s="1476">
        <f t="shared" ca="1" si="3"/>
        <v>1.0227692307692307</v>
      </c>
      <c r="U51" s="1474">
        <f t="shared" si="15"/>
        <v>1.0049999999999999</v>
      </c>
      <c r="V51" s="1475">
        <f t="shared" ca="1" si="34"/>
        <v>1.0374531835205993</v>
      </c>
      <c r="X51" s="1476">
        <f t="shared" ca="1" si="4"/>
        <v>1.0202692307692307</v>
      </c>
      <c r="Y51" s="1474">
        <f t="shared" si="17"/>
        <v>1.02</v>
      </c>
      <c r="Z51" s="1475">
        <f t="shared" ca="1" si="35"/>
        <v>1.0406746153846154</v>
      </c>
      <c r="AB51" s="1476">
        <f t="shared" ca="1" si="5"/>
        <v>1.0202692307692307</v>
      </c>
      <c r="AC51" s="1474">
        <f t="shared" si="19"/>
        <v>1.02</v>
      </c>
      <c r="AD51" s="1475">
        <f t="shared" ca="1" si="36"/>
        <v>1.0406746153846154</v>
      </c>
      <c r="AF51" s="1476">
        <f t="shared" ca="1" si="6"/>
        <v>1.0850756783005382</v>
      </c>
      <c r="AG51" s="1474">
        <f t="shared" si="21"/>
        <v>0</v>
      </c>
      <c r="AH51" s="1475">
        <f t="shared" ca="1" si="37"/>
        <v>1.1347786591515447</v>
      </c>
      <c r="AJ51" s="1476">
        <f t="shared" ca="1" si="7"/>
        <v>1.0202692307692307</v>
      </c>
      <c r="AK51" s="1474">
        <f t="shared" si="23"/>
        <v>1.02</v>
      </c>
      <c r="AL51" s="1475">
        <f t="shared" ca="1" si="38"/>
        <v>1.0406746153846154</v>
      </c>
      <c r="AN51" s="1476">
        <f t="shared" ca="1" si="8"/>
        <v>1.0227692307692307</v>
      </c>
      <c r="AO51" s="1474">
        <f t="shared" si="25"/>
        <v>1.0049999999999999</v>
      </c>
      <c r="AP51" s="1475">
        <f t="shared" ca="1" si="39"/>
        <v>1.0374531835205993</v>
      </c>
      <c r="AR51" s="701">
        <f t="shared" si="27"/>
        <v>36373</v>
      </c>
      <c r="AS51" s="1478">
        <f ca="1">IF(AND($A51&gt;=EDATE(AS$17,12),IF(Assm!$L$74=0,$D51,$E51)/AS50&gt;=1.05),IF(Assm!$L$74=0,$D51,$E51),AS50)</f>
        <v>2.0499999999999998</v>
      </c>
      <c r="AT51" s="1478">
        <f t="shared" ca="1" si="28"/>
        <v>1.6965985268559132</v>
      </c>
      <c r="AU51" s="1478">
        <f t="shared" ca="1" si="29"/>
        <v>1.0850756783005382</v>
      </c>
      <c r="AV51" s="1478">
        <f t="shared" ca="1" si="30"/>
        <v>1.6965985268559132</v>
      </c>
      <c r="AW51" s="1475">
        <f t="shared" ca="1" si="31"/>
        <v>1.924882629107981</v>
      </c>
    </row>
    <row r="52" spans="1:49">
      <c r="A52" s="883">
        <f t="shared" si="10"/>
        <v>36404</v>
      </c>
      <c r="B52" s="1390">
        <f ca="1">'[2]Monthly Curve Calc.'!B55</f>
        <v>167.03</v>
      </c>
      <c r="C52" s="1391">
        <f ca="1">'[2]Monthly Curve Calc.'!C55</f>
        <v>167.9</v>
      </c>
      <c r="D52" s="1512">
        <f ca="1">'[2]Monthly Curve Calc.'!F55</f>
        <v>1.9375</v>
      </c>
      <c r="E52" s="1304">
        <f t="shared" ca="1" si="9"/>
        <v>1.2123133127799988</v>
      </c>
      <c r="F52" s="1473">
        <f ca="1">IF(Assm!$L$75=0,F51,IF(AND($A52&gt;F$16,MONTH($A52)=MONTH(F$16)),B51/B39,F51))</f>
        <v>1.0850756783005382</v>
      </c>
      <c r="G52" s="1474">
        <f ca="1">IF(Assm!$L$75=0,G51,IF(AND($A52&gt;G$16,MONTH($A52)=MONTH(G$16)),C51/C39,G51))</f>
        <v>1.0227692307692307</v>
      </c>
      <c r="H52" s="1474">
        <f ca="1">IF(Assm!$L$75=0,H51,IF(AND($A52&gt;H$16,MONTH($A52)=MONTH(H$16)),C51/C39-H$18,H51))</f>
        <v>1.0202692307692307</v>
      </c>
      <c r="I52" s="1474">
        <f ca="1">IF(Assm!$L$75=0,I51,IF($A52&gt;=I$16,IF(MONTH($A52)=MONTH(I$16),AVERAGE(D40:D51),I51),I51))</f>
        <v>1.1640250000000001</v>
      </c>
      <c r="J52" s="1475">
        <f ca="1">IF(Assm!$L$75=0,J51,IF($A52&gt;=J$16,IF(MONTH($A52)=MONTH(J$16),AVERAGE(E40:E51),J51),J51))</f>
        <v>1.0939617625521241</v>
      </c>
      <c r="K52" s="958">
        <f t="shared" si="0"/>
        <v>40</v>
      </c>
      <c r="L52" s="1476">
        <f t="shared" ca="1" si="1"/>
        <v>1.0227692307692307</v>
      </c>
      <c r="M52" s="1474">
        <f t="shared" si="11"/>
        <v>0</v>
      </c>
      <c r="N52" s="1475">
        <f t="shared" ca="1" si="32"/>
        <v>1.0374531835205993</v>
      </c>
      <c r="P52" s="1476">
        <f t="shared" ca="1" si="2"/>
        <v>1.0850756783005382</v>
      </c>
      <c r="Q52" s="1474">
        <f t="shared" si="13"/>
        <v>0</v>
      </c>
      <c r="R52" s="1475">
        <f t="shared" ca="1" si="33"/>
        <v>1.1347786591515447</v>
      </c>
      <c r="T52" s="1476">
        <f t="shared" ca="1" si="3"/>
        <v>1.0227692307692307</v>
      </c>
      <c r="U52" s="1474">
        <f t="shared" si="15"/>
        <v>1.0049999999999999</v>
      </c>
      <c r="V52" s="1475">
        <f t="shared" ca="1" si="34"/>
        <v>1.0374531835205993</v>
      </c>
      <c r="X52" s="1476">
        <f t="shared" ca="1" si="4"/>
        <v>1.0202692307692307</v>
      </c>
      <c r="Y52" s="1474">
        <f t="shared" si="17"/>
        <v>1.02</v>
      </c>
      <c r="Z52" s="1475">
        <f t="shared" ca="1" si="35"/>
        <v>1.0406746153846154</v>
      </c>
      <c r="AB52" s="1476">
        <f t="shared" ca="1" si="5"/>
        <v>1.0202692307692307</v>
      </c>
      <c r="AC52" s="1474">
        <f t="shared" si="19"/>
        <v>1.02</v>
      </c>
      <c r="AD52" s="1475">
        <f t="shared" ca="1" si="36"/>
        <v>1.0406746153846154</v>
      </c>
      <c r="AF52" s="1476">
        <f t="shared" ca="1" si="6"/>
        <v>1.0850756783005382</v>
      </c>
      <c r="AG52" s="1474">
        <f t="shared" si="21"/>
        <v>0</v>
      </c>
      <c r="AH52" s="1475">
        <f t="shared" ca="1" si="37"/>
        <v>1.1347786591515447</v>
      </c>
      <c r="AJ52" s="1476">
        <f t="shared" ca="1" si="7"/>
        <v>1.0202692307692307</v>
      </c>
      <c r="AK52" s="1474">
        <f t="shared" si="23"/>
        <v>1.02</v>
      </c>
      <c r="AL52" s="1475">
        <f t="shared" ca="1" si="38"/>
        <v>1.0406746153846154</v>
      </c>
      <c r="AN52" s="1476">
        <f t="shared" ca="1" si="8"/>
        <v>1.0227692307692307</v>
      </c>
      <c r="AO52" s="1474">
        <f t="shared" si="25"/>
        <v>1.0049999999999999</v>
      </c>
      <c r="AP52" s="1475">
        <f t="shared" ca="1" si="39"/>
        <v>1.0374531835205993</v>
      </c>
      <c r="AR52" s="701">
        <f t="shared" si="27"/>
        <v>36404</v>
      </c>
      <c r="AS52" s="1478">
        <f ca="1">IF(AND($A52&gt;=EDATE(AS$17,12),IF(Assm!$L$74=0,$D52,$E52)/AS51&gt;=1.05),IF(Assm!$L$74=0,$D52,$E52),AS51)</f>
        <v>2.0499999999999998</v>
      </c>
      <c r="AT52" s="1478">
        <f t="shared" ca="1" si="28"/>
        <v>1.6965985268559132</v>
      </c>
      <c r="AU52" s="1478">
        <f t="shared" ca="1" si="29"/>
        <v>1.0850756783005382</v>
      </c>
      <c r="AV52" s="1478">
        <f t="shared" ca="1" si="30"/>
        <v>1.6965985268559132</v>
      </c>
      <c r="AW52" s="1475">
        <f t="shared" ca="1" si="31"/>
        <v>1.924882629107981</v>
      </c>
    </row>
    <row r="53" spans="1:49">
      <c r="A53" s="883">
        <f t="shared" si="10"/>
        <v>36434</v>
      </c>
      <c r="B53" s="1390">
        <f ca="1">'[2]Monthly Curve Calc.'!B56</f>
        <v>170.18</v>
      </c>
      <c r="C53" s="1391">
        <f ca="1">'[2]Monthly Curve Calc.'!C56</f>
        <v>168.2</v>
      </c>
      <c r="D53" s="1512">
        <f ca="1">'[2]Monthly Curve Calc.'!F56</f>
        <v>1.9490000000000001</v>
      </c>
      <c r="E53" s="1304">
        <f t="shared" ca="1" si="9"/>
        <v>1.2329731442157055</v>
      </c>
      <c r="F53" s="1473">
        <f ca="1">IF(Assm!$L$75=0,F52,IF(AND($A53&gt;F$16,MONTH($A53)=MONTH(F$16)),B52/B40,F52))</f>
        <v>1.0850756783005382</v>
      </c>
      <c r="G53" s="1474">
        <f ca="1">IF(Assm!$L$75=0,G52,IF(AND($A53&gt;G$16,MONTH($A53)=MONTH(G$16)),C52/C40,G52))</f>
        <v>1.0227692307692307</v>
      </c>
      <c r="H53" s="1474">
        <f ca="1">IF(Assm!$L$75=0,H52,IF(AND($A53&gt;H$16,MONTH($A53)=MONTH(H$16)),C52/C40-H$18,H52))</f>
        <v>1.0202692307692307</v>
      </c>
      <c r="I53" s="1474">
        <f ca="1">IF(Assm!$L$75=0,I52,IF($A53&gt;=I$16,IF(MONTH($A53)=MONTH(I$16),AVERAGE(D41:D52),I52),I52))</f>
        <v>1.1640250000000001</v>
      </c>
      <c r="J53" s="1475">
        <f ca="1">IF(Assm!$L$75=0,J52,IF($A53&gt;=J$16,IF(MONTH($A53)=MONTH(J$16),AVERAGE(E41:E52),J52),J52))</f>
        <v>1.0939617625521241</v>
      </c>
      <c r="K53" s="958">
        <f t="shared" si="0"/>
        <v>41</v>
      </c>
      <c r="L53" s="1476">
        <f t="shared" ca="1" si="1"/>
        <v>1.0227692307692307</v>
      </c>
      <c r="M53" s="1474">
        <f t="shared" si="11"/>
        <v>0</v>
      </c>
      <c r="N53" s="1475">
        <f t="shared" ca="1" si="32"/>
        <v>1.0374531835205993</v>
      </c>
      <c r="P53" s="1476">
        <f t="shared" ca="1" si="2"/>
        <v>1.0850756783005382</v>
      </c>
      <c r="Q53" s="1474">
        <f t="shared" si="13"/>
        <v>0</v>
      </c>
      <c r="R53" s="1475">
        <f t="shared" ca="1" si="33"/>
        <v>1.1347786591515447</v>
      </c>
      <c r="T53" s="1476">
        <f t="shared" ca="1" si="3"/>
        <v>1.0227692307692307</v>
      </c>
      <c r="U53" s="1474">
        <f t="shared" si="15"/>
        <v>1.0049999999999999</v>
      </c>
      <c r="V53" s="1475">
        <f t="shared" ca="1" si="34"/>
        <v>1.0374531835205993</v>
      </c>
      <c r="X53" s="1476">
        <f t="shared" ca="1" si="4"/>
        <v>1.0202692307692307</v>
      </c>
      <c r="Y53" s="1474">
        <f t="shared" si="17"/>
        <v>1.02</v>
      </c>
      <c r="Z53" s="1475">
        <f t="shared" ca="1" si="35"/>
        <v>1.0406746153846154</v>
      </c>
      <c r="AB53" s="1476">
        <f t="shared" ca="1" si="5"/>
        <v>1.0202692307692307</v>
      </c>
      <c r="AC53" s="1474">
        <f t="shared" si="19"/>
        <v>1.02</v>
      </c>
      <c r="AD53" s="1475">
        <f t="shared" ca="1" si="36"/>
        <v>1.0406746153846154</v>
      </c>
      <c r="AF53" s="1476">
        <f t="shared" ca="1" si="6"/>
        <v>1.0850756783005382</v>
      </c>
      <c r="AG53" s="1474">
        <f t="shared" si="21"/>
        <v>0</v>
      </c>
      <c r="AH53" s="1475">
        <f t="shared" ca="1" si="37"/>
        <v>1.1347786591515447</v>
      </c>
      <c r="AJ53" s="1476">
        <f t="shared" ca="1" si="7"/>
        <v>1.0202692307692307</v>
      </c>
      <c r="AK53" s="1474">
        <f t="shared" si="23"/>
        <v>1.02</v>
      </c>
      <c r="AL53" s="1475">
        <f t="shared" ca="1" si="38"/>
        <v>1.0406746153846154</v>
      </c>
      <c r="AN53" s="1476">
        <f t="shared" ca="1" si="8"/>
        <v>1.0227692307692307</v>
      </c>
      <c r="AO53" s="1474">
        <f t="shared" si="25"/>
        <v>1.0049999999999999</v>
      </c>
      <c r="AP53" s="1475">
        <f t="shared" ca="1" si="39"/>
        <v>1.0374531835205993</v>
      </c>
      <c r="AR53" s="701">
        <f t="shared" si="27"/>
        <v>36434</v>
      </c>
      <c r="AS53" s="1478">
        <f ca="1">IF(AND($A53&gt;=EDATE(AS$17,12),IF(Assm!$L$74=0,$D53,$E53)/AS52&gt;=1.05),IF(Assm!$L$74=0,$D53,$E53),AS52)</f>
        <v>2.0499999999999998</v>
      </c>
      <c r="AT53" s="1478">
        <f t="shared" ca="1" si="28"/>
        <v>1.6965985268559132</v>
      </c>
      <c r="AU53" s="1478">
        <f t="shared" ca="1" si="29"/>
        <v>1.0850756783005382</v>
      </c>
      <c r="AV53" s="1478">
        <f t="shared" ca="1" si="30"/>
        <v>1.6965985268559132</v>
      </c>
      <c r="AW53" s="1475">
        <f t="shared" ca="1" si="31"/>
        <v>1.924882629107981</v>
      </c>
    </row>
    <row r="54" spans="1:49">
      <c r="A54" s="883">
        <f t="shared" si="10"/>
        <v>36465</v>
      </c>
      <c r="B54" s="1390">
        <f ca="1">'[2]Monthly Curve Calc.'!B57</f>
        <v>174.5</v>
      </c>
      <c r="C54" s="1391">
        <f ca="1">'[2]Monthly Curve Calc.'!C57</f>
        <v>168.3</v>
      </c>
      <c r="D54" s="1512">
        <f ca="1">'[2]Monthly Curve Calc.'!F57</f>
        <v>1.923</v>
      </c>
      <c r="E54" s="1304">
        <f t="shared" ca="1" si="9"/>
        <v>1.2635208262085065</v>
      </c>
      <c r="F54" s="1473">
        <f ca="1">IF(Assm!$L$75=0,F53,IF(AND($A54&gt;F$16,MONTH($A54)=MONTH(F$16)),B53/B41,F53))</f>
        <v>1.0850756783005382</v>
      </c>
      <c r="G54" s="1474">
        <f ca="1">IF(Assm!$L$75=0,G53,IF(AND($A54&gt;G$16,MONTH($A54)=MONTH(G$16)),C53/C41,G53))</f>
        <v>1.0227692307692307</v>
      </c>
      <c r="H54" s="1474">
        <f ca="1">IF(Assm!$L$75=0,H53,IF(AND($A54&gt;H$16,MONTH($A54)=MONTH(H$16)),C53/C41-H$18,H53))</f>
        <v>1.0202692307692307</v>
      </c>
      <c r="I54" s="1474">
        <f ca="1">IF(Assm!$L$75=0,I53,IF($A54&gt;=I$16,IF(MONTH($A54)=MONTH(I$16),AVERAGE(D42:D53),I53),I53))</f>
        <v>1.1640250000000001</v>
      </c>
      <c r="J54" s="1475">
        <f ca="1">IF(Assm!$L$75=0,J53,IF($A54&gt;=J$16,IF(MONTH($A54)=MONTH(J$16),AVERAGE(E42:E53),J53),J53))</f>
        <v>1.0939617625521241</v>
      </c>
      <c r="K54" s="958">
        <f t="shared" si="0"/>
        <v>42</v>
      </c>
      <c r="L54" s="1476">
        <f t="shared" ca="1" si="1"/>
        <v>1.0227692307692307</v>
      </c>
      <c r="M54" s="1474">
        <f t="shared" si="11"/>
        <v>0</v>
      </c>
      <c r="N54" s="1475">
        <f t="shared" ca="1" si="32"/>
        <v>1.0374531835205993</v>
      </c>
      <c r="P54" s="1476">
        <f t="shared" ca="1" si="2"/>
        <v>1.0850756783005382</v>
      </c>
      <c r="Q54" s="1474">
        <f t="shared" si="13"/>
        <v>0</v>
      </c>
      <c r="R54" s="1475">
        <f t="shared" ca="1" si="33"/>
        <v>1.1347786591515447</v>
      </c>
      <c r="T54" s="1476">
        <f t="shared" ca="1" si="3"/>
        <v>1.0227692307692307</v>
      </c>
      <c r="U54" s="1474">
        <f t="shared" si="15"/>
        <v>1.0049999999999999</v>
      </c>
      <c r="V54" s="1475">
        <f t="shared" ca="1" si="34"/>
        <v>1.0374531835205993</v>
      </c>
      <c r="X54" s="1476">
        <f t="shared" ca="1" si="4"/>
        <v>1.0202692307692307</v>
      </c>
      <c r="Y54" s="1474">
        <f t="shared" si="17"/>
        <v>1.02</v>
      </c>
      <c r="Z54" s="1475">
        <f t="shared" ca="1" si="35"/>
        <v>1.0406746153846154</v>
      </c>
      <c r="AB54" s="1476">
        <f t="shared" ca="1" si="5"/>
        <v>1.0202692307692307</v>
      </c>
      <c r="AC54" s="1474">
        <f t="shared" si="19"/>
        <v>1.02</v>
      </c>
      <c r="AD54" s="1475">
        <f t="shared" ca="1" si="36"/>
        <v>1.0406746153846154</v>
      </c>
      <c r="AF54" s="1476">
        <f t="shared" ca="1" si="6"/>
        <v>1.0850756783005382</v>
      </c>
      <c r="AG54" s="1474">
        <f t="shared" si="21"/>
        <v>0</v>
      </c>
      <c r="AH54" s="1475">
        <f t="shared" ca="1" si="37"/>
        <v>1.1347786591515447</v>
      </c>
      <c r="AJ54" s="1476">
        <f t="shared" ca="1" si="7"/>
        <v>1.0202692307692307</v>
      </c>
      <c r="AK54" s="1474">
        <f t="shared" si="23"/>
        <v>1.02</v>
      </c>
      <c r="AL54" s="1475">
        <f t="shared" ca="1" si="38"/>
        <v>1.0406746153846154</v>
      </c>
      <c r="AN54" s="1476">
        <f t="shared" ca="1" si="8"/>
        <v>1.0227692307692307</v>
      </c>
      <c r="AO54" s="1474">
        <f t="shared" si="25"/>
        <v>1.0049999999999999</v>
      </c>
      <c r="AP54" s="1475">
        <f t="shared" ca="1" si="39"/>
        <v>1.0374531835205993</v>
      </c>
      <c r="AR54" s="701">
        <f t="shared" si="27"/>
        <v>36465</v>
      </c>
      <c r="AS54" s="1478">
        <f ca="1">IF(AND($A54&gt;=EDATE(AS$17,12),IF(Assm!$L$74=0,$D54,$E54)/AS53&gt;=1.05),IF(Assm!$L$74=0,$D54,$E54),AS53)</f>
        <v>2.0499999999999998</v>
      </c>
      <c r="AT54" s="1478">
        <f t="shared" ca="1" si="28"/>
        <v>1.6965985268559132</v>
      </c>
      <c r="AU54" s="1478">
        <f t="shared" ca="1" si="29"/>
        <v>1.0850756783005382</v>
      </c>
      <c r="AV54" s="1478">
        <f t="shared" ca="1" si="30"/>
        <v>1.6965985268559132</v>
      </c>
      <c r="AW54" s="1475">
        <f t="shared" ca="1" si="31"/>
        <v>1.924882629107981</v>
      </c>
    </row>
    <row r="55" spans="1:49">
      <c r="A55" s="883">
        <f t="shared" si="10"/>
        <v>36495</v>
      </c>
      <c r="B55" s="1390">
        <f ca="1">'[2]Monthly Curve Calc.'!B58</f>
        <v>176.65</v>
      </c>
      <c r="C55" s="1391">
        <f ca="1">'[2]Monthly Curve Calc.'!C58</f>
        <v>168.3</v>
      </c>
      <c r="D55" s="1512">
        <f ca="1">'[2]Monthly Curve Calc.'!F58</f>
        <v>1.7989999999999999</v>
      </c>
      <c r="E55" s="1304">
        <f t="shared" ca="1" si="9"/>
        <v>1.2790885613165195</v>
      </c>
      <c r="F55" s="1473">
        <f ca="1">IF(Assm!$L$75=0,F54,IF(AND($A55&gt;F$16,MONTH($A55)=MONTH(F$16)),B54/B42,F54))</f>
        <v>1.0850756783005382</v>
      </c>
      <c r="G55" s="1474">
        <f ca="1">IF(Assm!$L$75=0,G54,IF(AND($A55&gt;G$16,MONTH($A55)=MONTH(G$16)),C54/C42,G54))</f>
        <v>1.0227692307692307</v>
      </c>
      <c r="H55" s="1474">
        <f ca="1">IF(Assm!$L$75=0,H54,IF(AND($A55&gt;H$16,MONTH($A55)=MONTH(H$16)),C54/C42-H$18,H54))</f>
        <v>1.0202692307692307</v>
      </c>
      <c r="I55" s="1474">
        <f ca="1">IF(Assm!$L$75=0,I54,IF($A55&gt;=I$16,IF(MONTH($A55)=MONTH(I$16),AVERAGE(D43:D54),I54),I54))</f>
        <v>1.1640250000000001</v>
      </c>
      <c r="J55" s="1475">
        <f ca="1">IF(Assm!$L$75=0,J54,IF($A55&gt;=J$16,IF(MONTH($A55)=MONTH(J$16),AVERAGE(E43:E54),J54),J54))</f>
        <v>1.0939617625521241</v>
      </c>
      <c r="K55" s="958">
        <f t="shared" si="0"/>
        <v>43</v>
      </c>
      <c r="L55" s="1476">
        <f t="shared" ca="1" si="1"/>
        <v>1.0227692307692307</v>
      </c>
      <c r="M55" s="1474">
        <f t="shared" si="11"/>
        <v>0</v>
      </c>
      <c r="N55" s="1475">
        <f t="shared" ca="1" si="32"/>
        <v>1.0374531835205993</v>
      </c>
      <c r="P55" s="1476">
        <f t="shared" ca="1" si="2"/>
        <v>1.0850756783005382</v>
      </c>
      <c r="Q55" s="1474">
        <f t="shared" si="13"/>
        <v>0</v>
      </c>
      <c r="R55" s="1475">
        <f t="shared" ca="1" si="33"/>
        <v>1.1347786591515447</v>
      </c>
      <c r="T55" s="1476">
        <f t="shared" ca="1" si="3"/>
        <v>1.0227692307692307</v>
      </c>
      <c r="U55" s="1474">
        <f t="shared" si="15"/>
        <v>1.0049999999999999</v>
      </c>
      <c r="V55" s="1475">
        <f t="shared" ca="1" si="34"/>
        <v>1.0374531835205993</v>
      </c>
      <c r="X55" s="1476">
        <f t="shared" ca="1" si="4"/>
        <v>1.0202692307692307</v>
      </c>
      <c r="Y55" s="1474">
        <f t="shared" si="17"/>
        <v>1.02</v>
      </c>
      <c r="Z55" s="1475">
        <f t="shared" ca="1" si="35"/>
        <v>1.0406746153846154</v>
      </c>
      <c r="AB55" s="1476">
        <f t="shared" ca="1" si="5"/>
        <v>1.0202692307692307</v>
      </c>
      <c r="AC55" s="1474">
        <f t="shared" si="19"/>
        <v>1.02</v>
      </c>
      <c r="AD55" s="1475">
        <f t="shared" ca="1" si="36"/>
        <v>1.0406746153846154</v>
      </c>
      <c r="AF55" s="1476">
        <f t="shared" ca="1" si="6"/>
        <v>1.0850756783005382</v>
      </c>
      <c r="AG55" s="1474">
        <f t="shared" si="21"/>
        <v>0</v>
      </c>
      <c r="AH55" s="1475">
        <f t="shared" ca="1" si="37"/>
        <v>1.1347786591515447</v>
      </c>
      <c r="AJ55" s="1476">
        <f t="shared" ca="1" si="7"/>
        <v>1.0202692307692307</v>
      </c>
      <c r="AK55" s="1474">
        <f t="shared" si="23"/>
        <v>1.02</v>
      </c>
      <c r="AL55" s="1475">
        <f t="shared" ca="1" si="38"/>
        <v>1.0406746153846154</v>
      </c>
      <c r="AN55" s="1476">
        <f t="shared" ca="1" si="8"/>
        <v>1.0227692307692307</v>
      </c>
      <c r="AO55" s="1474">
        <f t="shared" si="25"/>
        <v>1.0049999999999999</v>
      </c>
      <c r="AP55" s="1475">
        <f t="shared" ca="1" si="39"/>
        <v>1.0374531835205993</v>
      </c>
      <c r="AR55" s="701">
        <f t="shared" si="27"/>
        <v>36495</v>
      </c>
      <c r="AS55" s="1478">
        <f ca="1">IF(AND($A55&gt;=EDATE(AS$17,12),IF(Assm!$L$74=0,$D55,$E55)/AS54&gt;=1.05),IF(Assm!$L$74=0,$D55,$E55),AS54)</f>
        <v>2.0499999999999998</v>
      </c>
      <c r="AT55" s="1478">
        <f t="shared" ca="1" si="28"/>
        <v>1.6965985268559132</v>
      </c>
      <c r="AU55" s="1478">
        <f t="shared" ca="1" si="29"/>
        <v>1.0850756783005382</v>
      </c>
      <c r="AV55" s="1478">
        <f t="shared" ca="1" si="30"/>
        <v>1.6965985268559132</v>
      </c>
      <c r="AW55" s="1475">
        <f t="shared" ca="1" si="31"/>
        <v>1.924882629107981</v>
      </c>
    </row>
    <row r="56" spans="1:49">
      <c r="A56" s="883">
        <f t="shared" si="10"/>
        <v>36526</v>
      </c>
      <c r="B56" s="1390">
        <f ca="1">'[2]Monthly Curve Calc.'!B59</f>
        <v>177.96266761992723</v>
      </c>
      <c r="C56" s="1391">
        <f ca="1">'[2]Monthly Curve Calc.'!C59</f>
        <v>168.75941921656877</v>
      </c>
      <c r="D56" s="1512">
        <f ca="1">'[2]Monthly Curve Calc.'!F59</f>
        <v>1.7947506486897897</v>
      </c>
      <c r="E56" s="1304">
        <f t="shared" ca="1" si="9"/>
        <v>1.2850853549974854</v>
      </c>
      <c r="F56" s="1473">
        <f ca="1">IF(Assm!$L$75=0,F55,IF(AND($A56&gt;F$16,MONTH($A56)=MONTH(F$16)),B55/B43,F55))</f>
        <v>1.0850756783005382</v>
      </c>
      <c r="G56" s="1474">
        <f ca="1">IF(Assm!$L$75=0,G55,IF(AND($A56&gt;G$16,MONTH($A56)=MONTH(G$16)),C55/C43,G55))</f>
        <v>1.0227692307692307</v>
      </c>
      <c r="H56" s="1474">
        <f ca="1">IF(Assm!$L$75=0,H55,IF(AND($A56&gt;H$16,MONTH($A56)=MONTH(H$16)),C55/C43-H$18,H55))</f>
        <v>1.0202692307692307</v>
      </c>
      <c r="I56" s="1474">
        <f ca="1">IF(Assm!$L$75=0,I55,IF($A56&gt;=I$16,IF(MONTH($A56)=MONTH(I$16),AVERAGE(D44:D55),I55),I55))</f>
        <v>1.8557916666666667</v>
      </c>
      <c r="J56" s="1475">
        <f ca="1">IF(Assm!$L$75=0,J55,IF($A56&gt;=J$16,IF(MONTH($A56)=MONTH(J$16),AVERAGE(E44:E55),J55),J55))</f>
        <v>1.1913415156708076</v>
      </c>
      <c r="K56" s="958">
        <f t="shared" si="0"/>
        <v>44</v>
      </c>
      <c r="L56" s="1476">
        <f t="shared" ca="1" si="1"/>
        <v>1.0227692307692307</v>
      </c>
      <c r="M56" s="1474">
        <f t="shared" si="11"/>
        <v>0</v>
      </c>
      <c r="N56" s="1475">
        <f t="shared" ca="1" si="32"/>
        <v>1.0374531835205993</v>
      </c>
      <c r="P56" s="1476">
        <f t="shared" ca="1" si="2"/>
        <v>1.0850756783005382</v>
      </c>
      <c r="Q56" s="1474">
        <f t="shared" si="13"/>
        <v>0</v>
      </c>
      <c r="R56" s="1475">
        <f t="shared" ca="1" si="33"/>
        <v>1.1347786591515447</v>
      </c>
      <c r="T56" s="1476">
        <f t="shared" ca="1" si="3"/>
        <v>1.0227692307692307</v>
      </c>
      <c r="U56" s="1474">
        <f t="shared" si="15"/>
        <v>1.0049999999999999</v>
      </c>
      <c r="V56" s="1475">
        <f t="shared" ca="1" si="34"/>
        <v>1.0374531835205993</v>
      </c>
      <c r="X56" s="1476">
        <f t="shared" ca="1" si="4"/>
        <v>1.0202692307692307</v>
      </c>
      <c r="Y56" s="1474">
        <f t="shared" si="17"/>
        <v>1.02</v>
      </c>
      <c r="Z56" s="1475">
        <f t="shared" ca="1" si="35"/>
        <v>1.0406746153846154</v>
      </c>
      <c r="AB56" s="1476">
        <f t="shared" ca="1" si="5"/>
        <v>1.0202692307692307</v>
      </c>
      <c r="AC56" s="1474">
        <f t="shared" si="19"/>
        <v>1.02</v>
      </c>
      <c r="AD56" s="1475">
        <f t="shared" ca="1" si="36"/>
        <v>1.0406746153846154</v>
      </c>
      <c r="AF56" s="1476">
        <f t="shared" ca="1" si="6"/>
        <v>1.0850756783005382</v>
      </c>
      <c r="AG56" s="1474">
        <f t="shared" si="21"/>
        <v>0</v>
      </c>
      <c r="AH56" s="1475">
        <f t="shared" ca="1" si="37"/>
        <v>1.1347786591515447</v>
      </c>
      <c r="AJ56" s="1476">
        <f t="shared" ca="1" si="7"/>
        <v>1.0202692307692307</v>
      </c>
      <c r="AK56" s="1474">
        <f t="shared" si="23"/>
        <v>1.02</v>
      </c>
      <c r="AL56" s="1475">
        <f t="shared" ca="1" si="38"/>
        <v>1.0406746153846154</v>
      </c>
      <c r="AN56" s="1476">
        <f t="shared" ca="1" si="8"/>
        <v>1.0227692307692307</v>
      </c>
      <c r="AO56" s="1474">
        <f t="shared" si="25"/>
        <v>1.0049999999999999</v>
      </c>
      <c r="AP56" s="1475">
        <f t="shared" ca="1" si="39"/>
        <v>1.0374531835205993</v>
      </c>
      <c r="AR56" s="701">
        <f t="shared" si="27"/>
        <v>36526</v>
      </c>
      <c r="AS56" s="1478">
        <f ca="1">IF(AND($A56&gt;=EDATE(AS$17,12),IF(Assm!$L$74=0,$D56,$E56)/AS55&gt;=1.05),IF(Assm!$L$74=0,$D56,$E56),AS55)</f>
        <v>2.0499999999999998</v>
      </c>
      <c r="AT56" s="1478">
        <f t="shared" ca="1" si="28"/>
        <v>1.6965985268559132</v>
      </c>
      <c r="AU56" s="1478">
        <f t="shared" ca="1" si="29"/>
        <v>1.0850756783005382</v>
      </c>
      <c r="AV56" s="1478">
        <f t="shared" ca="1" si="30"/>
        <v>1.6965985268559132</v>
      </c>
      <c r="AW56" s="1475">
        <f t="shared" ca="1" si="31"/>
        <v>1.924882629107981</v>
      </c>
    </row>
    <row r="57" spans="1:49">
      <c r="A57" s="883">
        <f t="shared" si="10"/>
        <v>36557</v>
      </c>
      <c r="B57" s="1390">
        <f ca="1">'[2]Monthly Curve Calc.'!B60</f>
        <v>179.28508953524309</v>
      </c>
      <c r="C57" s="1391">
        <f ca="1">'[2]Monthly Curve Calc.'!C60</f>
        <v>169.22009253899941</v>
      </c>
      <c r="D57" s="1512">
        <f ca="1">'[2]Monthly Curve Calc.'!F60</f>
        <v>1.7905113346150201</v>
      </c>
      <c r="E57" s="1304">
        <f t="shared" ca="1" si="9"/>
        <v>1.2911102636468279</v>
      </c>
      <c r="F57" s="1473">
        <f ca="1">IF(Assm!$L$75=0,F56,IF(AND($A57&gt;F$16,MONTH($A57)=MONTH(F$16)),B56/B44,F56))</f>
        <v>1.0850756783005382</v>
      </c>
      <c r="G57" s="1474">
        <f ca="1">IF(Assm!$L$75=0,G56,IF(AND($A57&gt;G$16,MONTH($A57)=MONTH(G$16)),C56/C44,G56))</f>
        <v>1.0227692307692307</v>
      </c>
      <c r="H57" s="1474">
        <f ca="1">IF(Assm!$L$75=0,H56,IF(AND($A57&gt;H$16,MONTH($A57)=MONTH(H$16)),C56/C44-H$18,H56))</f>
        <v>1.0202692307692307</v>
      </c>
      <c r="I57" s="1474">
        <f ca="1">IF(Assm!$L$75=0,I56,IF($A57&gt;=I$16,IF(MONTH($A57)=MONTH(I$16),AVERAGE(D45:D56),I56),I56))</f>
        <v>1.8557916666666667</v>
      </c>
      <c r="J57" s="1475">
        <f ca="1">IF(Assm!$L$75=0,J56,IF($A57&gt;=J$16,IF(MONTH($A57)=MONTH(J$16),AVERAGE(E45:E56),J56),J56))</f>
        <v>1.1913415156708076</v>
      </c>
      <c r="K57" s="958">
        <f t="shared" si="0"/>
        <v>45</v>
      </c>
      <c r="L57" s="1476">
        <f t="shared" ca="1" si="1"/>
        <v>1.0227692307692307</v>
      </c>
      <c r="M57" s="1474">
        <f t="shared" si="11"/>
        <v>0</v>
      </c>
      <c r="N57" s="1475">
        <f t="shared" ca="1" si="32"/>
        <v>1.0374531835205993</v>
      </c>
      <c r="P57" s="1476">
        <f t="shared" ca="1" si="2"/>
        <v>1.0850756783005382</v>
      </c>
      <c r="Q57" s="1474">
        <f t="shared" si="13"/>
        <v>0</v>
      </c>
      <c r="R57" s="1475">
        <f t="shared" ca="1" si="33"/>
        <v>1.1347786591515447</v>
      </c>
      <c r="T57" s="1476">
        <f t="shared" ca="1" si="3"/>
        <v>1.0227692307692307</v>
      </c>
      <c r="U57" s="1474">
        <f t="shared" si="15"/>
        <v>1.0049999999999999</v>
      </c>
      <c r="V57" s="1475">
        <f t="shared" ca="1" si="34"/>
        <v>1.0374531835205993</v>
      </c>
      <c r="X57" s="1476">
        <f t="shared" ca="1" si="4"/>
        <v>1.0202692307692307</v>
      </c>
      <c r="Y57" s="1474">
        <f t="shared" si="17"/>
        <v>1.02</v>
      </c>
      <c r="Z57" s="1475">
        <f t="shared" ca="1" si="35"/>
        <v>1.0406746153846154</v>
      </c>
      <c r="AB57" s="1476">
        <f t="shared" ca="1" si="5"/>
        <v>1.0202692307692307</v>
      </c>
      <c r="AC57" s="1474">
        <f t="shared" si="19"/>
        <v>1.02</v>
      </c>
      <c r="AD57" s="1475">
        <f t="shared" ca="1" si="36"/>
        <v>1.0406746153846154</v>
      </c>
      <c r="AF57" s="1476">
        <f t="shared" ca="1" si="6"/>
        <v>1.0850756783005382</v>
      </c>
      <c r="AG57" s="1474">
        <f t="shared" si="21"/>
        <v>0</v>
      </c>
      <c r="AH57" s="1475">
        <f t="shared" ca="1" si="37"/>
        <v>1.1347786591515447</v>
      </c>
      <c r="AJ57" s="1476">
        <f t="shared" ca="1" si="7"/>
        <v>1.0202692307692307</v>
      </c>
      <c r="AK57" s="1474">
        <f t="shared" si="23"/>
        <v>1.02</v>
      </c>
      <c r="AL57" s="1475">
        <f t="shared" ca="1" si="38"/>
        <v>1.0406746153846154</v>
      </c>
      <c r="AN57" s="1476">
        <f t="shared" ca="1" si="8"/>
        <v>1.0227692307692307</v>
      </c>
      <c r="AO57" s="1474">
        <f t="shared" si="25"/>
        <v>1.0049999999999999</v>
      </c>
      <c r="AP57" s="1475">
        <f t="shared" ca="1" si="39"/>
        <v>1.0374531835205993</v>
      </c>
      <c r="AR57" s="701">
        <f t="shared" si="27"/>
        <v>36557</v>
      </c>
      <c r="AS57" s="1478">
        <f ca="1">IF(AND($A57&gt;=EDATE(AS$17,12),IF(Assm!$L$74=0,$D57,$E57)/AS56&gt;=1.05),IF(Assm!$L$74=0,$D57,$E57),AS56)</f>
        <v>2.0499999999999998</v>
      </c>
      <c r="AT57" s="1478">
        <f t="shared" ca="1" si="28"/>
        <v>1.6965985268559132</v>
      </c>
      <c r="AU57" s="1478">
        <f t="shared" ca="1" si="29"/>
        <v>1.0850756783005382</v>
      </c>
      <c r="AV57" s="1478">
        <f t="shared" ca="1" si="30"/>
        <v>1.6965985268559132</v>
      </c>
      <c r="AW57" s="1475">
        <f t="shared" ca="1" si="31"/>
        <v>1.924882629107981</v>
      </c>
    </row>
    <row r="58" spans="1:49">
      <c r="A58" s="883">
        <f t="shared" si="10"/>
        <v>36586</v>
      </c>
      <c r="B58" s="1390">
        <f ca="1">'[2]Monthly Curve Calc.'!B61</f>
        <v>180.61733822909343</v>
      </c>
      <c r="C58" s="1391">
        <f ca="1">'[2]Monthly Curve Calc.'!C61</f>
        <v>169.68202339070447</v>
      </c>
      <c r="D58" s="1512">
        <f ca="1">'[2]Monthly Curve Calc.'!F61</f>
        <v>1.7862820340671086</v>
      </c>
      <c r="E58" s="1304">
        <f t="shared" ca="1" si="9"/>
        <v>1.2971634190768933</v>
      </c>
      <c r="F58" s="1473">
        <f ca="1">IF(Assm!$L$75=0,F57,IF(AND($A58&gt;F$16,MONTH($A58)=MONTH(F$16)),B57/B45,F57))</f>
        <v>1.0850756783005382</v>
      </c>
      <c r="G58" s="1474">
        <f ca="1">IF(Assm!$L$75=0,G57,IF(AND($A58&gt;G$16,MONTH($A58)=MONTH(G$16)),C57/C45,G57))</f>
        <v>1.0227692307692307</v>
      </c>
      <c r="H58" s="1474">
        <f ca="1">IF(Assm!$L$75=0,H57,IF(AND($A58&gt;H$16,MONTH($A58)=MONTH(H$16)),C57/C45-H$18,H57))</f>
        <v>1.0202692307692307</v>
      </c>
      <c r="I58" s="1474">
        <f ca="1">IF(Assm!$L$75=0,I57,IF($A58&gt;=I$16,IF(MONTH($A58)=MONTH(I$16),AVERAGE(D46:D57),I57),I57))</f>
        <v>1.8557916666666667</v>
      </c>
      <c r="J58" s="1475">
        <f ca="1">IF(Assm!$L$75=0,J57,IF($A58&gt;=J$16,IF(MONTH($A58)=MONTH(J$16),AVERAGE(E46:E57),J57),J57))</f>
        <v>1.1913415156708076</v>
      </c>
      <c r="K58" s="958">
        <f t="shared" si="0"/>
        <v>46</v>
      </c>
      <c r="L58" s="1476">
        <f t="shared" ca="1" si="1"/>
        <v>1.0227692307692307</v>
      </c>
      <c r="M58" s="1474">
        <f t="shared" si="11"/>
        <v>0</v>
      </c>
      <c r="N58" s="1475">
        <f t="shared" ca="1" si="32"/>
        <v>1.0374531835205993</v>
      </c>
      <c r="P58" s="1476">
        <f t="shared" ca="1" si="2"/>
        <v>1.0850756783005382</v>
      </c>
      <c r="Q58" s="1474">
        <f t="shared" si="13"/>
        <v>0</v>
      </c>
      <c r="R58" s="1475">
        <f t="shared" ca="1" si="33"/>
        <v>1.1347786591515447</v>
      </c>
      <c r="T58" s="1476">
        <f t="shared" ca="1" si="3"/>
        <v>1.0227692307692307</v>
      </c>
      <c r="U58" s="1474">
        <f t="shared" si="15"/>
        <v>1.0049999999999999</v>
      </c>
      <c r="V58" s="1475">
        <f t="shared" ca="1" si="34"/>
        <v>1.0374531835205993</v>
      </c>
      <c r="X58" s="1476">
        <f t="shared" ca="1" si="4"/>
        <v>1.0202692307692307</v>
      </c>
      <c r="Y58" s="1474">
        <f t="shared" si="17"/>
        <v>1.02</v>
      </c>
      <c r="Z58" s="1475">
        <f t="shared" ca="1" si="35"/>
        <v>1.0406746153846154</v>
      </c>
      <c r="AB58" s="1476">
        <f t="shared" ca="1" si="5"/>
        <v>1.0202692307692307</v>
      </c>
      <c r="AC58" s="1474">
        <f t="shared" si="19"/>
        <v>1.02</v>
      </c>
      <c r="AD58" s="1475">
        <f t="shared" ca="1" si="36"/>
        <v>1.0406746153846154</v>
      </c>
      <c r="AF58" s="1476">
        <f t="shared" ca="1" si="6"/>
        <v>1.0850756783005382</v>
      </c>
      <c r="AG58" s="1474">
        <f t="shared" si="21"/>
        <v>0</v>
      </c>
      <c r="AH58" s="1475">
        <f t="shared" ca="1" si="37"/>
        <v>1.1347786591515447</v>
      </c>
      <c r="AJ58" s="1476">
        <f t="shared" ca="1" si="7"/>
        <v>1.0202692307692307</v>
      </c>
      <c r="AK58" s="1474">
        <f t="shared" si="23"/>
        <v>1.02</v>
      </c>
      <c r="AL58" s="1475">
        <f t="shared" ca="1" si="38"/>
        <v>1.0406746153846154</v>
      </c>
      <c r="AN58" s="1476">
        <f t="shared" ca="1" si="8"/>
        <v>1.0227692307692307</v>
      </c>
      <c r="AO58" s="1474">
        <f t="shared" si="25"/>
        <v>1.0049999999999999</v>
      </c>
      <c r="AP58" s="1475">
        <f t="shared" ca="1" si="39"/>
        <v>1.0374531835205993</v>
      </c>
      <c r="AR58" s="701">
        <f t="shared" si="27"/>
        <v>36586</v>
      </c>
      <c r="AS58" s="1478">
        <f ca="1">IF(AND($A58&gt;=EDATE(AS$17,12),IF(Assm!$L$74=0,$D58,$E58)/AS57&gt;=1.05),IF(Assm!$L$74=0,$D58,$E58),AS57)</f>
        <v>2.0499999999999998</v>
      </c>
      <c r="AT58" s="1478">
        <f t="shared" ca="1" si="28"/>
        <v>1.6965985268559132</v>
      </c>
      <c r="AU58" s="1478">
        <f t="shared" ca="1" si="29"/>
        <v>1.0850756783005382</v>
      </c>
      <c r="AV58" s="1478">
        <f t="shared" ca="1" si="30"/>
        <v>1.6965985268559132</v>
      </c>
      <c r="AW58" s="1475">
        <f t="shared" ca="1" si="31"/>
        <v>1.924882629107981</v>
      </c>
    </row>
    <row r="59" spans="1:49">
      <c r="A59" s="883">
        <f t="shared" si="10"/>
        <v>36617</v>
      </c>
      <c r="B59" s="1390">
        <f ca="1">'[2]Monthly Curve Calc.'!B62</f>
        <v>181.95948672323877</v>
      </c>
      <c r="C59" s="1391">
        <f ca="1">'[2]Monthly Curve Calc.'!C62</f>
        <v>170.1452152044416</v>
      </c>
      <c r="D59" s="1512">
        <f ca="1">'[2]Monthly Curve Calc.'!F62</f>
        <v>1.7820627233934743</v>
      </c>
      <c r="E59" s="1304">
        <f t="shared" ca="1" si="9"/>
        <v>1.3032449537180084</v>
      </c>
      <c r="F59" s="1473">
        <f ca="1">IF(Assm!$L$75=0,F58,IF(AND($A59&gt;F$16,MONTH($A59)=MONTH(F$16)),B58/B46,F58))</f>
        <v>1.0850756783005382</v>
      </c>
      <c r="G59" s="1474">
        <f ca="1">IF(Assm!$L$75=0,G58,IF(AND($A59&gt;G$16,MONTH($A59)=MONTH(G$16)),C58/C46,G58))</f>
        <v>1.0227692307692307</v>
      </c>
      <c r="H59" s="1474">
        <f ca="1">IF(Assm!$L$75=0,H58,IF(AND($A59&gt;H$16,MONTH($A59)=MONTH(H$16)),C58/C46-H$18,H58))</f>
        <v>1.0202692307692307</v>
      </c>
      <c r="I59" s="1474">
        <f ca="1">IF(Assm!$L$75=0,I58,IF($A59&gt;=I$16,IF(MONTH($A59)=MONTH(I$16),AVERAGE(D47:D58),I58),I58))</f>
        <v>1.8557916666666667</v>
      </c>
      <c r="J59" s="1475">
        <f ca="1">IF(Assm!$L$75=0,J58,IF($A59&gt;=J$16,IF(MONTH($A59)=MONTH(J$16),AVERAGE(E47:E58),J58),J58))</f>
        <v>1.1913415156708076</v>
      </c>
      <c r="K59" s="958">
        <f t="shared" si="0"/>
        <v>47</v>
      </c>
      <c r="L59" s="1476">
        <f t="shared" ca="1" si="1"/>
        <v>1.0227692307692307</v>
      </c>
      <c r="M59" s="1474">
        <f t="shared" si="11"/>
        <v>0</v>
      </c>
      <c r="N59" s="1475">
        <f t="shared" ca="1" si="32"/>
        <v>1.0374531835205993</v>
      </c>
      <c r="P59" s="1476">
        <f t="shared" ca="1" si="2"/>
        <v>1.0850756783005382</v>
      </c>
      <c r="Q59" s="1474">
        <f t="shared" si="13"/>
        <v>0</v>
      </c>
      <c r="R59" s="1475">
        <f t="shared" ca="1" si="33"/>
        <v>1.1347786591515447</v>
      </c>
      <c r="T59" s="1476">
        <f t="shared" ca="1" si="3"/>
        <v>1.0227692307692307</v>
      </c>
      <c r="U59" s="1474">
        <f t="shared" si="15"/>
        <v>1.0049999999999999</v>
      </c>
      <c r="V59" s="1475">
        <f t="shared" ca="1" si="34"/>
        <v>1.0374531835205993</v>
      </c>
      <c r="X59" s="1476">
        <f t="shared" ca="1" si="4"/>
        <v>1.0202692307692307</v>
      </c>
      <c r="Y59" s="1474">
        <f t="shared" si="17"/>
        <v>1.02</v>
      </c>
      <c r="Z59" s="1475">
        <f t="shared" ca="1" si="35"/>
        <v>1.0406746153846154</v>
      </c>
      <c r="AB59" s="1476">
        <f t="shared" ca="1" si="5"/>
        <v>1.0202692307692307</v>
      </c>
      <c r="AC59" s="1474">
        <f t="shared" si="19"/>
        <v>1.02</v>
      </c>
      <c r="AD59" s="1475">
        <f t="shared" ca="1" si="36"/>
        <v>1.0406746153846154</v>
      </c>
      <c r="AF59" s="1476">
        <f t="shared" ca="1" si="6"/>
        <v>1.0850756783005382</v>
      </c>
      <c r="AG59" s="1474">
        <f t="shared" si="21"/>
        <v>0</v>
      </c>
      <c r="AH59" s="1475">
        <f t="shared" ca="1" si="37"/>
        <v>1.1347786591515447</v>
      </c>
      <c r="AJ59" s="1476">
        <f t="shared" ca="1" si="7"/>
        <v>1.0202692307692307</v>
      </c>
      <c r="AK59" s="1474">
        <f t="shared" si="23"/>
        <v>1.02</v>
      </c>
      <c r="AL59" s="1475">
        <f t="shared" ca="1" si="38"/>
        <v>1.0406746153846154</v>
      </c>
      <c r="AN59" s="1476">
        <f t="shared" ca="1" si="8"/>
        <v>1.0227692307692307</v>
      </c>
      <c r="AO59" s="1474">
        <f t="shared" si="25"/>
        <v>1.0049999999999999</v>
      </c>
      <c r="AP59" s="1475">
        <f t="shared" ca="1" si="39"/>
        <v>1.0374531835205993</v>
      </c>
      <c r="AR59" s="701">
        <f t="shared" si="27"/>
        <v>36617</v>
      </c>
      <c r="AS59" s="1478">
        <f ca="1">IF(AND($A59&gt;=EDATE(AS$17,12),IF(Assm!$L$74=0,$D59,$E59)/AS58&gt;=1.05),IF(Assm!$L$74=0,$D59,$E59),AS58)</f>
        <v>2.0499999999999998</v>
      </c>
      <c r="AT59" s="1478">
        <f t="shared" ca="1" si="28"/>
        <v>1.6965985268559132</v>
      </c>
      <c r="AU59" s="1478">
        <f t="shared" ca="1" si="29"/>
        <v>1.0850756783005382</v>
      </c>
      <c r="AV59" s="1478">
        <f t="shared" ca="1" si="30"/>
        <v>1.6965985268559132</v>
      </c>
      <c r="AW59" s="1475">
        <f t="shared" ca="1" si="31"/>
        <v>1.924882629107981</v>
      </c>
    </row>
    <row r="60" spans="1:49">
      <c r="A60" s="883">
        <f t="shared" si="10"/>
        <v>36647</v>
      </c>
      <c r="B60" s="1390">
        <f ca="1">'[2]Monthly Curve Calc.'!B63</f>
        <v>183.31160858205661</v>
      </c>
      <c r="C60" s="1391">
        <f ca="1">'[2]Monthly Curve Calc.'!C63</f>
        <v>170.60967142233909</v>
      </c>
      <c r="D60" s="1512">
        <f ca="1">'[2]Monthly Curve Calc.'!F63</f>
        <v>1.7778533789974047</v>
      </c>
      <c r="E60" s="1304">
        <f t="shared" ca="1" si="9"/>
        <v>1.3093550006213777</v>
      </c>
      <c r="F60" s="1473">
        <f ca="1">IF(Assm!$L$75=0,F59,IF(AND($A60&gt;F$16,MONTH($A60)=MONTH(F$16)),B59/B47,F59))</f>
        <v>1.1469239629576979</v>
      </c>
      <c r="G60" s="1474">
        <f ca="1">IF(Assm!$L$75=0,G59,IF(AND($A60&gt;G$16,MONTH($A60)=MONTH(G$16)),C59/C47,G59))</f>
        <v>1.0237377569460988</v>
      </c>
      <c r="H60" s="1474">
        <f ca="1">IF(Assm!$L$75=0,H59,IF(AND($A60&gt;H$16,MONTH($A60)=MONTH(H$16)),C59/C47-H$18,H59))</f>
        <v>1.0212377569460989</v>
      </c>
      <c r="I60" s="1474">
        <f ca="1">IF(Assm!$L$75=0,I59,IF($A60&gt;=I$16,IF(MONTH($A60)=MONTH(I$16),AVERAGE(D48:D59),I59),I59))</f>
        <v>1.8557916666666667</v>
      </c>
      <c r="J60" s="1475">
        <f ca="1">IF(Assm!$L$75=0,J59,IF($A60&gt;=J$16,IF(MONTH($A60)=MONTH(J$16),AVERAGE(E48:E59),J59),J59))</f>
        <v>1.1913415156708076</v>
      </c>
      <c r="K60" s="958">
        <f t="shared" si="0"/>
        <v>48</v>
      </c>
      <c r="L60" s="1476">
        <f t="shared" ca="1" si="1"/>
        <v>1.0237377569460988</v>
      </c>
      <c r="M60" s="1474">
        <f t="shared" si="11"/>
        <v>0</v>
      </c>
      <c r="N60" s="1475">
        <f t="shared" ca="1" si="32"/>
        <v>1.0620799950339679</v>
      </c>
      <c r="P60" s="1476">
        <f t="shared" ca="1" si="2"/>
        <v>1.1469239629576979</v>
      </c>
      <c r="Q60" s="1474">
        <f t="shared" si="13"/>
        <v>0</v>
      </c>
      <c r="R60" s="1475">
        <f t="shared" ca="1" si="33"/>
        <v>1.3015048368339124</v>
      </c>
      <c r="T60" s="1476">
        <f t="shared" ca="1" si="3"/>
        <v>1.0237377569460988</v>
      </c>
      <c r="U60" s="1474">
        <f t="shared" si="15"/>
        <v>1.0049999999999999</v>
      </c>
      <c r="V60" s="1475">
        <f t="shared" ca="1" si="34"/>
        <v>1.0620799950339679</v>
      </c>
      <c r="X60" s="1476">
        <f t="shared" ca="1" si="4"/>
        <v>1.0212377569460989</v>
      </c>
      <c r="Y60" s="1474">
        <f t="shared" si="17"/>
        <v>1.02</v>
      </c>
      <c r="Z60" s="1475">
        <f t="shared" ca="1" si="35"/>
        <v>1.0627762099261286</v>
      </c>
      <c r="AB60" s="1476">
        <f t="shared" ca="1" si="5"/>
        <v>1.0212377569460989</v>
      </c>
      <c r="AC60" s="1474">
        <f t="shared" si="19"/>
        <v>1.02</v>
      </c>
      <c r="AD60" s="1475">
        <f t="shared" ca="1" si="36"/>
        <v>1.0627762099261286</v>
      </c>
      <c r="AF60" s="1476">
        <f t="shared" ca="1" si="6"/>
        <v>1.1469239629576979</v>
      </c>
      <c r="AG60" s="1474">
        <f t="shared" si="21"/>
        <v>0</v>
      </c>
      <c r="AH60" s="1475">
        <f t="shared" ca="1" si="37"/>
        <v>1.3015048368339124</v>
      </c>
      <c r="AJ60" s="1476">
        <f t="shared" ca="1" si="7"/>
        <v>1.0212377569460989</v>
      </c>
      <c r="AK60" s="1474">
        <f t="shared" si="23"/>
        <v>1.02</v>
      </c>
      <c r="AL60" s="1475">
        <f t="shared" ca="1" si="38"/>
        <v>1.0627762099261286</v>
      </c>
      <c r="AN60" s="1476">
        <f t="shared" ca="1" si="8"/>
        <v>1.0237377569460988</v>
      </c>
      <c r="AO60" s="1474">
        <f t="shared" si="25"/>
        <v>1.0049999999999999</v>
      </c>
      <c r="AP60" s="1475">
        <f t="shared" ca="1" si="39"/>
        <v>1.0620799950339679</v>
      </c>
      <c r="AR60" s="701">
        <f t="shared" si="27"/>
        <v>36647</v>
      </c>
      <c r="AS60" s="1478">
        <f ca="1">IF(AND($A60&gt;=EDATE(AS$17,12),IF(Assm!$L$74=0,$D60,$E60)/AS59&gt;=1.05),IF(Assm!$L$74=0,$D60,$E60),AS59)</f>
        <v>2.0499999999999998</v>
      </c>
      <c r="AT60" s="1478">
        <f t="shared" ca="1" si="28"/>
        <v>1.6965985268559132</v>
      </c>
      <c r="AU60" s="1478">
        <f t="shared" ca="1" si="29"/>
        <v>1.1469239629576979</v>
      </c>
      <c r="AV60" s="1478">
        <f t="shared" ca="1" si="30"/>
        <v>1.6965985268559132</v>
      </c>
      <c r="AW60" s="1475">
        <f t="shared" ca="1" si="31"/>
        <v>1.924882629107981</v>
      </c>
    </row>
    <row r="61" spans="1:49">
      <c r="A61" s="883">
        <f t="shared" si="10"/>
        <v>36678</v>
      </c>
      <c r="B61" s="1390">
        <f ca="1">'[2]Monthly Curve Calc.'!B64</f>
        <v>184.67377791657367</v>
      </c>
      <c r="C61" s="1391">
        <f ca="1">'[2]Monthly Curve Calc.'!C64</f>
        <v>171.07539549592141</v>
      </c>
      <c r="D61" s="1512">
        <f ca="1">'[2]Monthly Curve Calc.'!F64</f>
        <v>1.7736539773379247</v>
      </c>
      <c r="E61" s="1304">
        <f t="shared" ca="1" si="9"/>
        <v>1.3154936934619936</v>
      </c>
      <c r="F61" s="1473">
        <f ca="1">IF(Assm!$L$75=0,F60,IF(AND($A61&gt;F$16,MONTH($A61)=MONTH(F$16)),B60/B48,F60))</f>
        <v>1.1469239629576979</v>
      </c>
      <c r="G61" s="1474">
        <f ca="1">IF(Assm!$L$75=0,G60,IF(AND($A61&gt;G$16,MONTH($A61)=MONTH(G$16)),C60/C48,G60))</f>
        <v>1.0237377569460988</v>
      </c>
      <c r="H61" s="1474">
        <f ca="1">IF(Assm!$L$75=0,H60,IF(AND($A61&gt;H$16,MONTH($A61)=MONTH(H$16)),C60/C48-H$18,H60))</f>
        <v>1.0212377569460989</v>
      </c>
      <c r="I61" s="1474">
        <f ca="1">IF(Assm!$L$75=0,I60,IF($A61&gt;=I$16,IF(MONTH($A61)=MONTH(I$16),AVERAGE(D49:D60),I60),I60))</f>
        <v>1.8557916666666667</v>
      </c>
      <c r="J61" s="1475">
        <f ca="1">IF(Assm!$L$75=0,J60,IF($A61&gt;=J$16,IF(MONTH($A61)=MONTH(J$16),AVERAGE(E49:E60),J60),J60))</f>
        <v>1.1913415156708076</v>
      </c>
      <c r="K61" s="958">
        <f t="shared" si="0"/>
        <v>49</v>
      </c>
      <c r="L61" s="1476">
        <f t="shared" ca="1" si="1"/>
        <v>1.0237377569460988</v>
      </c>
      <c r="M61" s="1474">
        <f t="shared" si="11"/>
        <v>0</v>
      </c>
      <c r="N61" s="1475">
        <f t="shared" ca="1" si="32"/>
        <v>1.0620799950339679</v>
      </c>
      <c r="P61" s="1476">
        <f t="shared" ca="1" si="2"/>
        <v>1.1469239629576979</v>
      </c>
      <c r="Q61" s="1474">
        <f t="shared" si="13"/>
        <v>0</v>
      </c>
      <c r="R61" s="1475">
        <f t="shared" ca="1" si="33"/>
        <v>1.3015048368339124</v>
      </c>
      <c r="T61" s="1476">
        <f t="shared" ca="1" si="3"/>
        <v>1.0237377569460988</v>
      </c>
      <c r="U61" s="1474">
        <f t="shared" si="15"/>
        <v>1.0049999999999999</v>
      </c>
      <c r="V61" s="1475">
        <f t="shared" ca="1" si="34"/>
        <v>1.0620799950339679</v>
      </c>
      <c r="X61" s="1476">
        <f t="shared" ca="1" si="4"/>
        <v>1.0212377569460989</v>
      </c>
      <c r="Y61" s="1474">
        <f t="shared" si="17"/>
        <v>1.02</v>
      </c>
      <c r="Z61" s="1475">
        <f t="shared" ca="1" si="35"/>
        <v>1.0627762099261286</v>
      </c>
      <c r="AB61" s="1476">
        <f t="shared" ca="1" si="5"/>
        <v>1.0212377569460989</v>
      </c>
      <c r="AC61" s="1474">
        <f t="shared" si="19"/>
        <v>1.02</v>
      </c>
      <c r="AD61" s="1475">
        <f t="shared" ca="1" si="36"/>
        <v>1.0627762099261286</v>
      </c>
      <c r="AF61" s="1476">
        <f t="shared" ca="1" si="6"/>
        <v>1.1469239629576979</v>
      </c>
      <c r="AG61" s="1474">
        <f t="shared" si="21"/>
        <v>0</v>
      </c>
      <c r="AH61" s="1475">
        <f t="shared" ca="1" si="37"/>
        <v>1.3015048368339124</v>
      </c>
      <c r="AJ61" s="1476">
        <f t="shared" ca="1" si="7"/>
        <v>1.0212377569460989</v>
      </c>
      <c r="AK61" s="1474">
        <f t="shared" si="23"/>
        <v>1.02</v>
      </c>
      <c r="AL61" s="1475">
        <f t="shared" ca="1" si="38"/>
        <v>1.0627762099261286</v>
      </c>
      <c r="AN61" s="1476">
        <f t="shared" ca="1" si="8"/>
        <v>1.0237377569460988</v>
      </c>
      <c r="AO61" s="1474">
        <f t="shared" si="25"/>
        <v>1.0049999999999999</v>
      </c>
      <c r="AP61" s="1475">
        <f t="shared" ca="1" si="39"/>
        <v>1.0620799950339679</v>
      </c>
      <c r="AR61" s="701">
        <f t="shared" si="27"/>
        <v>36678</v>
      </c>
      <c r="AS61" s="1478">
        <f ca="1">IF(AND($A61&gt;=EDATE(AS$17,12),IF(Assm!$L$74=0,$D61,$E61)/AS60&gt;=1.05),IF(Assm!$L$74=0,$D61,$E61),AS60)</f>
        <v>2.0499999999999998</v>
      </c>
      <c r="AT61" s="1478">
        <f t="shared" ca="1" si="28"/>
        <v>1.6965985268559132</v>
      </c>
      <c r="AU61" s="1478">
        <f t="shared" ca="1" si="29"/>
        <v>1.1469239629576979</v>
      </c>
      <c r="AV61" s="1478">
        <f t="shared" ca="1" si="30"/>
        <v>1.6965985268559132</v>
      </c>
      <c r="AW61" s="1475">
        <f t="shared" ca="1" si="31"/>
        <v>1.924882629107981</v>
      </c>
    </row>
    <row r="62" spans="1:49">
      <c r="A62" s="883">
        <f t="shared" si="10"/>
        <v>36708</v>
      </c>
      <c r="B62" s="1390">
        <f ca="1">'[2]Monthly Curve Calc.'!B65</f>
        <v>186.04606938852791</v>
      </c>
      <c r="C62" s="1391">
        <f ca="1">'[2]Monthly Curve Calc.'!C65</f>
        <v>171.54239088613488</v>
      </c>
      <c r="D62" s="1512">
        <f ca="1">'[2]Monthly Curve Calc.'!F65</f>
        <v>1.7694644949296643</v>
      </c>
      <c r="E62" s="1304">
        <f t="shared" ca="1" si="9"/>
        <v>1.3216611665415621</v>
      </c>
      <c r="F62" s="1473">
        <f ca="1">IF(Assm!$L$75=0,F61,IF(AND($A62&gt;F$16,MONTH($A62)=MONTH(F$16)),B61/B49,F61))</f>
        <v>1.1469239629576979</v>
      </c>
      <c r="G62" s="1474">
        <f ca="1">IF(Assm!$L$75=0,G61,IF(AND($A62&gt;G$16,MONTH($A62)=MONTH(G$16)),C61/C49,G61))</f>
        <v>1.0237377569460988</v>
      </c>
      <c r="H62" s="1474">
        <f ca="1">IF(Assm!$L$75=0,H61,IF(AND($A62&gt;H$16,MONTH($A62)=MONTH(H$16)),C61/C49-H$18,H61))</f>
        <v>1.0212377569460989</v>
      </c>
      <c r="I62" s="1474">
        <f ca="1">IF(Assm!$L$75=0,I61,IF($A62&gt;=I$16,IF(MONTH($A62)=MONTH(I$16),AVERAGE(D50:D61),I61),I61))</f>
        <v>1.8557916666666667</v>
      </c>
      <c r="J62" s="1475">
        <f ca="1">IF(Assm!$L$75=0,J61,IF($A62&gt;=J$16,IF(MONTH($A62)=MONTH(J$16),AVERAGE(E50:E61),J61),J61))</f>
        <v>1.1913415156708076</v>
      </c>
      <c r="K62" s="958">
        <f t="shared" si="0"/>
        <v>50</v>
      </c>
      <c r="L62" s="1476">
        <f t="shared" ca="1" si="1"/>
        <v>1.0237377569460988</v>
      </c>
      <c r="M62" s="1474">
        <f t="shared" si="11"/>
        <v>0</v>
      </c>
      <c r="N62" s="1475">
        <f t="shared" ca="1" si="32"/>
        <v>1.0620799950339679</v>
      </c>
      <c r="P62" s="1476">
        <f t="shared" ca="1" si="2"/>
        <v>1.1469239629576979</v>
      </c>
      <c r="Q62" s="1474">
        <f t="shared" si="13"/>
        <v>0</v>
      </c>
      <c r="R62" s="1475">
        <f t="shared" ca="1" si="33"/>
        <v>1.3015048368339124</v>
      </c>
      <c r="T62" s="1476">
        <f t="shared" ca="1" si="3"/>
        <v>1.0237377569460988</v>
      </c>
      <c r="U62" s="1474">
        <f t="shared" si="15"/>
        <v>1.0049999999999999</v>
      </c>
      <c r="V62" s="1475">
        <f t="shared" ca="1" si="34"/>
        <v>1.0620799950339679</v>
      </c>
      <c r="X62" s="1476">
        <f t="shared" ca="1" si="4"/>
        <v>1.0212377569460989</v>
      </c>
      <c r="Y62" s="1474">
        <f t="shared" si="17"/>
        <v>1.02</v>
      </c>
      <c r="Z62" s="1475">
        <f t="shared" ca="1" si="35"/>
        <v>1.0627762099261286</v>
      </c>
      <c r="AB62" s="1476">
        <f t="shared" ca="1" si="5"/>
        <v>1.0212377569460989</v>
      </c>
      <c r="AC62" s="1474">
        <f t="shared" si="19"/>
        <v>1.02</v>
      </c>
      <c r="AD62" s="1475">
        <f t="shared" ca="1" si="36"/>
        <v>1.0627762099261286</v>
      </c>
      <c r="AF62" s="1476">
        <f t="shared" ca="1" si="6"/>
        <v>1.1469239629576979</v>
      </c>
      <c r="AG62" s="1474">
        <f t="shared" si="21"/>
        <v>0</v>
      </c>
      <c r="AH62" s="1475">
        <f t="shared" ca="1" si="37"/>
        <v>1.3015048368339124</v>
      </c>
      <c r="AJ62" s="1476">
        <f t="shared" ca="1" si="7"/>
        <v>1.0212377569460989</v>
      </c>
      <c r="AK62" s="1474">
        <f t="shared" si="23"/>
        <v>1.02</v>
      </c>
      <c r="AL62" s="1475">
        <f t="shared" ca="1" si="38"/>
        <v>1.0627762099261286</v>
      </c>
      <c r="AN62" s="1476">
        <f t="shared" ca="1" si="8"/>
        <v>1.0237377569460988</v>
      </c>
      <c r="AO62" s="1474">
        <f t="shared" si="25"/>
        <v>1.0049999999999999</v>
      </c>
      <c r="AP62" s="1475">
        <f t="shared" ca="1" si="39"/>
        <v>1.0620799950339679</v>
      </c>
      <c r="AR62" s="701">
        <f t="shared" si="27"/>
        <v>36708</v>
      </c>
      <c r="AS62" s="1478">
        <f ca="1">IF(AND($A62&gt;=EDATE(AS$17,12),IF(Assm!$L$74=0,$D62,$E62)/AS61&gt;=1.05),IF(Assm!$L$74=0,$D62,$E62),AS61)</f>
        <v>2.0499999999999998</v>
      </c>
      <c r="AT62" s="1478">
        <f t="shared" ca="1" si="28"/>
        <v>1.6965985268559132</v>
      </c>
      <c r="AU62" s="1478">
        <f t="shared" ca="1" si="29"/>
        <v>1.1469239629576979</v>
      </c>
      <c r="AV62" s="1478">
        <f t="shared" ca="1" si="30"/>
        <v>1.6965985268559132</v>
      </c>
      <c r="AW62" s="1475">
        <f t="shared" ca="1" si="31"/>
        <v>1.924882629107981</v>
      </c>
    </row>
    <row r="63" spans="1:49">
      <c r="A63" s="883">
        <f t="shared" si="10"/>
        <v>36739</v>
      </c>
      <c r="B63" s="1390">
        <f ca="1">'[2]Monthly Curve Calc.'!B66</f>
        <v>187.42855821446085</v>
      </c>
      <c r="C63" s="1391">
        <f ca="1">'[2]Monthly Curve Calc.'!C66</f>
        <v>172.01066106337339</v>
      </c>
      <c r="D63" s="1512">
        <f ca="1">'[2]Monthly Curve Calc.'!F66</f>
        <v>1.7652849083427271</v>
      </c>
      <c r="E63" s="1304">
        <f t="shared" ca="1" si="9"/>
        <v>1.3278575547914397</v>
      </c>
      <c r="F63" s="1473">
        <f ca="1">IF(Assm!$L$75=0,F62,IF(AND($A63&gt;F$16,MONTH($A63)=MONTH(F$16)),B62/B50,F62))</f>
        <v>1.1469239629576979</v>
      </c>
      <c r="G63" s="1474">
        <f ca="1">IF(Assm!$L$75=0,G62,IF(AND($A63&gt;G$16,MONTH($A63)=MONTH(G$16)),C62/C50,G62))</f>
        <v>1.0237377569460988</v>
      </c>
      <c r="H63" s="1474">
        <f ca="1">IF(Assm!$L$75=0,H62,IF(AND($A63&gt;H$16,MONTH($A63)=MONTH(H$16)),C62/C50-H$18,H62))</f>
        <v>1.0212377569460989</v>
      </c>
      <c r="I63" s="1474">
        <f ca="1">IF(Assm!$L$75=0,I62,IF($A63&gt;=I$16,IF(MONTH($A63)=MONTH(I$16),AVERAGE(D51:D62),I62),I62))</f>
        <v>1.8557916666666667</v>
      </c>
      <c r="J63" s="1475">
        <f ca="1">IF(Assm!$L$75=0,J62,IF($A63&gt;=J$16,IF(MONTH($A63)=MONTH(J$16),AVERAGE(E51:E62),J62),J62))</f>
        <v>1.1913415156708076</v>
      </c>
      <c r="K63" s="958">
        <f t="shared" si="0"/>
        <v>51</v>
      </c>
      <c r="L63" s="1476">
        <f t="shared" ca="1" si="1"/>
        <v>1.0237377569460988</v>
      </c>
      <c r="M63" s="1474">
        <f t="shared" si="11"/>
        <v>0</v>
      </c>
      <c r="N63" s="1475">
        <f t="shared" ca="1" si="32"/>
        <v>1.0620799950339679</v>
      </c>
      <c r="P63" s="1476">
        <f t="shared" ca="1" si="2"/>
        <v>1.1469239629576979</v>
      </c>
      <c r="Q63" s="1474">
        <f t="shared" si="13"/>
        <v>0</v>
      </c>
      <c r="R63" s="1475">
        <f t="shared" ca="1" si="33"/>
        <v>1.3015048368339124</v>
      </c>
      <c r="T63" s="1476">
        <f t="shared" ca="1" si="3"/>
        <v>1.0237377569460988</v>
      </c>
      <c r="U63" s="1474">
        <f t="shared" si="15"/>
        <v>1.0049999999999999</v>
      </c>
      <c r="V63" s="1475">
        <f t="shared" ca="1" si="34"/>
        <v>1.0620799950339679</v>
      </c>
      <c r="X63" s="1476">
        <f t="shared" ca="1" si="4"/>
        <v>1.0212377569460989</v>
      </c>
      <c r="Y63" s="1474">
        <f t="shared" si="17"/>
        <v>1.02</v>
      </c>
      <c r="Z63" s="1475">
        <f t="shared" ca="1" si="35"/>
        <v>1.0627762099261286</v>
      </c>
      <c r="AB63" s="1476">
        <f t="shared" ca="1" si="5"/>
        <v>1.0212377569460989</v>
      </c>
      <c r="AC63" s="1474">
        <f t="shared" si="19"/>
        <v>1.02</v>
      </c>
      <c r="AD63" s="1475">
        <f t="shared" ca="1" si="36"/>
        <v>1.0627762099261286</v>
      </c>
      <c r="AF63" s="1476">
        <f t="shared" ca="1" si="6"/>
        <v>1.1469239629576979</v>
      </c>
      <c r="AG63" s="1474">
        <f t="shared" si="21"/>
        <v>0</v>
      </c>
      <c r="AH63" s="1475">
        <f t="shared" ca="1" si="37"/>
        <v>1.3015048368339124</v>
      </c>
      <c r="AJ63" s="1476">
        <f t="shared" ca="1" si="7"/>
        <v>1.0212377569460989</v>
      </c>
      <c r="AK63" s="1474">
        <f t="shared" si="23"/>
        <v>1.02</v>
      </c>
      <c r="AL63" s="1475">
        <f t="shared" ca="1" si="38"/>
        <v>1.0627762099261286</v>
      </c>
      <c r="AN63" s="1476">
        <f t="shared" ca="1" si="8"/>
        <v>1.0237377569460988</v>
      </c>
      <c r="AO63" s="1474">
        <f t="shared" si="25"/>
        <v>1.0049999999999999</v>
      </c>
      <c r="AP63" s="1475">
        <f t="shared" ca="1" si="39"/>
        <v>1.0620799950339679</v>
      </c>
      <c r="AR63" s="701">
        <f t="shared" si="27"/>
        <v>36739</v>
      </c>
      <c r="AS63" s="1478">
        <f ca="1">IF(AND($A63&gt;=EDATE(AS$17,12),IF(Assm!$L$74=0,$D63,$E63)/AS62&gt;=1.05),IF(Assm!$L$74=0,$D63,$E63),AS62)</f>
        <v>2.0499999999999998</v>
      </c>
      <c r="AT63" s="1478">
        <f t="shared" ca="1" si="28"/>
        <v>1.6965985268559132</v>
      </c>
      <c r="AU63" s="1478">
        <f t="shared" ca="1" si="29"/>
        <v>1.1469239629576979</v>
      </c>
      <c r="AV63" s="1478">
        <f t="shared" ca="1" si="30"/>
        <v>1.6965985268559132</v>
      </c>
      <c r="AW63" s="1475">
        <f t="shared" ca="1" si="31"/>
        <v>1.924882629107981</v>
      </c>
    </row>
    <row r="64" spans="1:49">
      <c r="A64" s="883">
        <f t="shared" si="10"/>
        <v>36770</v>
      </c>
      <c r="B64" s="1390">
        <f ca="1">'[2]Monthly Curve Calc.'!B67</f>
        <v>188.82132016984022</v>
      </c>
      <c r="C64" s="1391">
        <f ca="1">'[2]Monthly Curve Calc.'!C67</f>
        <v>172.48020950750416</v>
      </c>
      <c r="D64" s="1512">
        <f ca="1">'[2]Monthly Curve Calc.'!F67</f>
        <v>1.76111519420256</v>
      </c>
      <c r="E64" s="1304">
        <f t="shared" ca="1" si="9"/>
        <v>1.3340829937755867</v>
      </c>
      <c r="F64" s="1473">
        <f ca="1">IF(Assm!$L$75=0,F63,IF(AND($A64&gt;F$16,MONTH($A64)=MONTH(F$16)),B63/B51,F63))</f>
        <v>1.1469239629576979</v>
      </c>
      <c r="G64" s="1474">
        <f ca="1">IF(Assm!$L$75=0,G63,IF(AND($A64&gt;G$16,MONTH($A64)=MONTH(G$16)),C63/C51,G63))</f>
        <v>1.0237377569460988</v>
      </c>
      <c r="H64" s="1474">
        <f ca="1">IF(Assm!$L$75=0,H63,IF(AND($A64&gt;H$16,MONTH($A64)=MONTH(H$16)),C63/C51-H$18,H63))</f>
        <v>1.0212377569460989</v>
      </c>
      <c r="I64" s="1474">
        <f ca="1">IF(Assm!$L$75=0,I63,IF($A64&gt;=I$16,IF(MONTH($A64)=MONTH(I$16),AVERAGE(D52:D63),I63),I63))</f>
        <v>1.8557916666666667</v>
      </c>
      <c r="J64" s="1475">
        <f ca="1">IF(Assm!$L$75=0,J63,IF($A64&gt;=J$16,IF(MONTH($A64)=MONTH(J$16),AVERAGE(E52:E63),J63),J63))</f>
        <v>1.1913415156708076</v>
      </c>
      <c r="K64" s="958">
        <f t="shared" si="0"/>
        <v>52</v>
      </c>
      <c r="L64" s="1476">
        <f t="shared" ca="1" si="1"/>
        <v>1.0237377569460988</v>
      </c>
      <c r="M64" s="1474">
        <f t="shared" si="11"/>
        <v>0</v>
      </c>
      <c r="N64" s="1475">
        <f t="shared" ca="1" si="32"/>
        <v>1.0620799950339679</v>
      </c>
      <c r="P64" s="1476">
        <f t="shared" ca="1" si="2"/>
        <v>1.1469239629576979</v>
      </c>
      <c r="Q64" s="1474">
        <f t="shared" si="13"/>
        <v>0</v>
      </c>
      <c r="R64" s="1475">
        <f t="shared" ca="1" si="33"/>
        <v>1.3015048368339124</v>
      </c>
      <c r="T64" s="1476">
        <f t="shared" ca="1" si="3"/>
        <v>1.0237377569460988</v>
      </c>
      <c r="U64" s="1474">
        <f t="shared" si="15"/>
        <v>1.0049999999999999</v>
      </c>
      <c r="V64" s="1475">
        <f t="shared" ca="1" si="34"/>
        <v>1.0620799950339679</v>
      </c>
      <c r="X64" s="1476">
        <f t="shared" ca="1" si="4"/>
        <v>1.0212377569460989</v>
      </c>
      <c r="Y64" s="1474">
        <f t="shared" si="17"/>
        <v>1.02</v>
      </c>
      <c r="Z64" s="1475">
        <f t="shared" ca="1" si="35"/>
        <v>1.0627762099261286</v>
      </c>
      <c r="AB64" s="1476">
        <f t="shared" ca="1" si="5"/>
        <v>1.0212377569460989</v>
      </c>
      <c r="AC64" s="1474">
        <f t="shared" si="19"/>
        <v>1.02</v>
      </c>
      <c r="AD64" s="1475">
        <f t="shared" ca="1" si="36"/>
        <v>1.0627762099261286</v>
      </c>
      <c r="AF64" s="1476">
        <f t="shared" ca="1" si="6"/>
        <v>1.1469239629576979</v>
      </c>
      <c r="AG64" s="1474">
        <f t="shared" si="21"/>
        <v>0</v>
      </c>
      <c r="AH64" s="1475">
        <f t="shared" ca="1" si="37"/>
        <v>1.3015048368339124</v>
      </c>
      <c r="AJ64" s="1476">
        <f t="shared" ca="1" si="7"/>
        <v>1.0212377569460989</v>
      </c>
      <c r="AK64" s="1474">
        <f t="shared" si="23"/>
        <v>1.02</v>
      </c>
      <c r="AL64" s="1475">
        <f t="shared" ca="1" si="38"/>
        <v>1.0627762099261286</v>
      </c>
      <c r="AN64" s="1476">
        <f t="shared" ca="1" si="8"/>
        <v>1.0237377569460988</v>
      </c>
      <c r="AO64" s="1474">
        <f t="shared" si="25"/>
        <v>1.0049999999999999</v>
      </c>
      <c r="AP64" s="1475">
        <f t="shared" ca="1" si="39"/>
        <v>1.0620799950339679</v>
      </c>
      <c r="AR64" s="701">
        <f t="shared" si="27"/>
        <v>36770</v>
      </c>
      <c r="AS64" s="1478">
        <f ca="1">IF(AND($A64&gt;=EDATE(AS$17,12),IF(Assm!$L$74=0,$D64,$E64)/AS63&gt;=1.05),IF(Assm!$L$74=0,$D64,$E64),AS63)</f>
        <v>2.0499999999999998</v>
      </c>
      <c r="AT64" s="1478">
        <f t="shared" ca="1" si="28"/>
        <v>1.6965985268559132</v>
      </c>
      <c r="AU64" s="1478">
        <f t="shared" ca="1" si="29"/>
        <v>1.1469239629576979</v>
      </c>
      <c r="AV64" s="1478">
        <f t="shared" ca="1" si="30"/>
        <v>1.6965985268559132</v>
      </c>
      <c r="AW64" s="1475">
        <f t="shared" ca="1" si="31"/>
        <v>1.924882629107981</v>
      </c>
    </row>
    <row r="65" spans="1:49">
      <c r="A65" s="883">
        <f t="shared" si="10"/>
        <v>36800</v>
      </c>
      <c r="B65" s="1390">
        <f ca="1">'[2]Monthly Curve Calc.'!B68</f>
        <v>190.22443159321332</v>
      </c>
      <c r="C65" s="1391">
        <f ca="1">'[2]Monthly Curve Calc.'!C68</f>
        <v>172.95103970789367</v>
      </c>
      <c r="D65" s="1512">
        <f ca="1">'[2]Monthly Curve Calc.'!F68</f>
        <v>1.7569553291898219</v>
      </c>
      <c r="E65" s="1304">
        <f t="shared" ca="1" si="9"/>
        <v>1.3403376196935319</v>
      </c>
      <c r="F65" s="1473">
        <f ca="1">IF(Assm!$L$75=0,F64,IF(AND($A65&gt;F$16,MONTH($A65)=MONTH(F$16)),B64/B52,F64))</f>
        <v>1.1469239629576979</v>
      </c>
      <c r="G65" s="1474">
        <f ca="1">IF(Assm!$L$75=0,G64,IF(AND($A65&gt;G$16,MONTH($A65)=MONTH(G$16)),C64/C52,G64))</f>
        <v>1.0237377569460988</v>
      </c>
      <c r="H65" s="1474">
        <f ca="1">IF(Assm!$L$75=0,H64,IF(AND($A65&gt;H$16,MONTH($A65)=MONTH(H$16)),C64/C52-H$18,H64))</f>
        <v>1.0212377569460989</v>
      </c>
      <c r="I65" s="1474">
        <f ca="1">IF(Assm!$L$75=0,I64,IF($A65&gt;=I$16,IF(MONTH($A65)=MONTH(I$16),AVERAGE(D53:D64),I64),I64))</f>
        <v>1.8557916666666667</v>
      </c>
      <c r="J65" s="1475">
        <f ca="1">IF(Assm!$L$75=0,J64,IF($A65&gt;=J$16,IF(MONTH($A65)=MONTH(J$16),AVERAGE(E53:E64),J64),J64))</f>
        <v>1.1913415156708076</v>
      </c>
      <c r="K65" s="958">
        <f t="shared" si="0"/>
        <v>53</v>
      </c>
      <c r="L65" s="1476">
        <f t="shared" ca="1" si="1"/>
        <v>1.0237377569460988</v>
      </c>
      <c r="M65" s="1474">
        <f t="shared" si="11"/>
        <v>0</v>
      </c>
      <c r="N65" s="1475">
        <f t="shared" ca="1" si="32"/>
        <v>1.0620799950339679</v>
      </c>
      <c r="P65" s="1476">
        <f t="shared" ca="1" si="2"/>
        <v>1.1469239629576979</v>
      </c>
      <c r="Q65" s="1474">
        <f t="shared" si="13"/>
        <v>0</v>
      </c>
      <c r="R65" s="1475">
        <f t="shared" ca="1" si="33"/>
        <v>1.3015048368339124</v>
      </c>
      <c r="T65" s="1476">
        <f t="shared" ca="1" si="3"/>
        <v>1.0237377569460988</v>
      </c>
      <c r="U65" s="1474">
        <f t="shared" si="15"/>
        <v>1.0049999999999999</v>
      </c>
      <c r="V65" s="1475">
        <f t="shared" ca="1" si="34"/>
        <v>1.0620799950339679</v>
      </c>
      <c r="X65" s="1476">
        <f t="shared" ca="1" si="4"/>
        <v>1.0212377569460989</v>
      </c>
      <c r="Y65" s="1474">
        <f t="shared" si="17"/>
        <v>1.02</v>
      </c>
      <c r="Z65" s="1475">
        <f t="shared" ca="1" si="35"/>
        <v>1.0627762099261286</v>
      </c>
      <c r="AB65" s="1476">
        <f t="shared" ca="1" si="5"/>
        <v>1.0212377569460989</v>
      </c>
      <c r="AC65" s="1474">
        <f t="shared" si="19"/>
        <v>1.02</v>
      </c>
      <c r="AD65" s="1475">
        <f t="shared" ca="1" si="36"/>
        <v>1.0627762099261286</v>
      </c>
      <c r="AF65" s="1476">
        <f t="shared" ca="1" si="6"/>
        <v>1.1469239629576979</v>
      </c>
      <c r="AG65" s="1474">
        <f t="shared" si="21"/>
        <v>0</v>
      </c>
      <c r="AH65" s="1475">
        <f t="shared" ca="1" si="37"/>
        <v>1.3015048368339124</v>
      </c>
      <c r="AJ65" s="1476">
        <f t="shared" ca="1" si="7"/>
        <v>1.0212377569460989</v>
      </c>
      <c r="AK65" s="1474">
        <f t="shared" si="23"/>
        <v>1.02</v>
      </c>
      <c r="AL65" s="1475">
        <f t="shared" ca="1" si="38"/>
        <v>1.0627762099261286</v>
      </c>
      <c r="AN65" s="1476">
        <f t="shared" ca="1" si="8"/>
        <v>1.0237377569460988</v>
      </c>
      <c r="AO65" s="1474">
        <f t="shared" si="25"/>
        <v>1.0049999999999999</v>
      </c>
      <c r="AP65" s="1475">
        <f t="shared" ca="1" si="39"/>
        <v>1.0620799950339679</v>
      </c>
      <c r="AR65" s="701">
        <f t="shared" si="27"/>
        <v>36800</v>
      </c>
      <c r="AS65" s="1478">
        <f ca="1">IF(AND($A65&gt;=EDATE(AS$17,12),IF(Assm!$L$74=0,$D65,$E65)/AS64&gt;=1.05),IF(Assm!$L$74=0,$D65,$E65),AS64)</f>
        <v>2.0499999999999998</v>
      </c>
      <c r="AT65" s="1478">
        <f t="shared" ca="1" si="28"/>
        <v>1.6965985268559132</v>
      </c>
      <c r="AU65" s="1478">
        <f t="shared" ca="1" si="29"/>
        <v>1.1469239629576979</v>
      </c>
      <c r="AV65" s="1478">
        <f t="shared" ca="1" si="30"/>
        <v>1.6965985268559132</v>
      </c>
      <c r="AW65" s="1475">
        <f t="shared" ca="1" si="31"/>
        <v>1.924882629107981</v>
      </c>
    </row>
    <row r="66" spans="1:49">
      <c r="A66" s="883">
        <f t="shared" si="10"/>
        <v>36831</v>
      </c>
      <c r="B66" s="1390">
        <f ca="1">'[2]Monthly Curve Calc.'!B69</f>
        <v>191.63796939039119</v>
      </c>
      <c r="C66" s="1391">
        <f ca="1">'[2]Monthly Curve Calc.'!C69</f>
        <v>173.42315516343351</v>
      </c>
      <c r="D66" s="1512">
        <f ca="1">'[2]Monthly Curve Calc.'!F69</f>
        <v>1.7528052900402533</v>
      </c>
      <c r="E66" s="1304">
        <f t="shared" ca="1" si="9"/>
        <v>1.3466215693833534</v>
      </c>
      <c r="F66" s="1473">
        <f ca="1">IF(Assm!$L$75=0,F65,IF(AND($A66&gt;F$16,MONTH($A66)=MONTH(F$16)),B65/B53,F65))</f>
        <v>1.1469239629576979</v>
      </c>
      <c r="G66" s="1474">
        <f ca="1">IF(Assm!$L$75=0,G65,IF(AND($A66&gt;G$16,MONTH($A66)=MONTH(G$16)),C65/C53,G65))</f>
        <v>1.0237377569460988</v>
      </c>
      <c r="H66" s="1474">
        <f ca="1">IF(Assm!$L$75=0,H65,IF(AND($A66&gt;H$16,MONTH($A66)=MONTH(H$16)),C65/C53-H$18,H65))</f>
        <v>1.0212377569460989</v>
      </c>
      <c r="I66" s="1474">
        <f ca="1">IF(Assm!$L$75=0,I65,IF($A66&gt;=I$16,IF(MONTH($A66)=MONTH(I$16),AVERAGE(D54:D65),I65),I65))</f>
        <v>1.8557916666666667</v>
      </c>
      <c r="J66" s="1475">
        <f ca="1">IF(Assm!$L$75=0,J65,IF($A66&gt;=J$16,IF(MONTH($A66)=MONTH(J$16),AVERAGE(E54:E65),J65),J65))</f>
        <v>1.1913415156708076</v>
      </c>
      <c r="K66" s="958">
        <f t="shared" si="0"/>
        <v>54</v>
      </c>
      <c r="L66" s="1476">
        <f t="shared" ca="1" si="1"/>
        <v>1.0237377569460988</v>
      </c>
      <c r="M66" s="1474">
        <f t="shared" si="11"/>
        <v>0</v>
      </c>
      <c r="N66" s="1475">
        <f t="shared" ca="1" si="32"/>
        <v>1.0620799950339679</v>
      </c>
      <c r="P66" s="1476">
        <f t="shared" ca="1" si="2"/>
        <v>1.1469239629576979</v>
      </c>
      <c r="Q66" s="1474">
        <f t="shared" si="13"/>
        <v>0</v>
      </c>
      <c r="R66" s="1475">
        <f t="shared" ca="1" si="33"/>
        <v>1.3015048368339124</v>
      </c>
      <c r="T66" s="1476">
        <f t="shared" ca="1" si="3"/>
        <v>1.0237377569460988</v>
      </c>
      <c r="U66" s="1474">
        <f t="shared" si="15"/>
        <v>1.0049999999999999</v>
      </c>
      <c r="V66" s="1475">
        <f t="shared" ca="1" si="34"/>
        <v>1.0620799950339679</v>
      </c>
      <c r="X66" s="1476">
        <f t="shared" ca="1" si="4"/>
        <v>1.0212377569460989</v>
      </c>
      <c r="Y66" s="1474">
        <f t="shared" si="17"/>
        <v>1.02</v>
      </c>
      <c r="Z66" s="1475">
        <f t="shared" ca="1" si="35"/>
        <v>1.0627762099261286</v>
      </c>
      <c r="AB66" s="1476">
        <f t="shared" ca="1" si="5"/>
        <v>1.0212377569460989</v>
      </c>
      <c r="AC66" s="1474">
        <f t="shared" si="19"/>
        <v>1.02</v>
      </c>
      <c r="AD66" s="1475">
        <f t="shared" ca="1" si="36"/>
        <v>1.0627762099261286</v>
      </c>
      <c r="AF66" s="1476">
        <f t="shared" ca="1" si="6"/>
        <v>1.1469239629576979</v>
      </c>
      <c r="AG66" s="1474">
        <f t="shared" si="21"/>
        <v>0</v>
      </c>
      <c r="AH66" s="1475">
        <f t="shared" ca="1" si="37"/>
        <v>1.3015048368339124</v>
      </c>
      <c r="AJ66" s="1476">
        <f t="shared" ca="1" si="7"/>
        <v>1.0212377569460989</v>
      </c>
      <c r="AK66" s="1474">
        <f t="shared" si="23"/>
        <v>1.02</v>
      </c>
      <c r="AL66" s="1475">
        <f t="shared" ca="1" si="38"/>
        <v>1.0627762099261286</v>
      </c>
      <c r="AN66" s="1476">
        <f t="shared" ca="1" si="8"/>
        <v>1.0237377569460988</v>
      </c>
      <c r="AO66" s="1474">
        <f t="shared" si="25"/>
        <v>1.0049999999999999</v>
      </c>
      <c r="AP66" s="1475">
        <f t="shared" ca="1" si="39"/>
        <v>1.0620799950339679</v>
      </c>
      <c r="AR66" s="701">
        <f t="shared" si="27"/>
        <v>36831</v>
      </c>
      <c r="AS66" s="1478">
        <f ca="1">IF(AND($A66&gt;=EDATE(AS$17,12),IF(Assm!$L$74=0,$D66,$E66)/AS65&gt;=1.05),IF(Assm!$L$74=0,$D66,$E66),AS65)</f>
        <v>2.0499999999999998</v>
      </c>
      <c r="AT66" s="1478">
        <f t="shared" ca="1" si="28"/>
        <v>1.6965985268559132</v>
      </c>
      <c r="AU66" s="1478">
        <f t="shared" ca="1" si="29"/>
        <v>1.1469239629576979</v>
      </c>
      <c r="AV66" s="1478">
        <f t="shared" ca="1" si="30"/>
        <v>1.6965985268559132</v>
      </c>
      <c r="AW66" s="1475">
        <f t="shared" ca="1" si="31"/>
        <v>1.924882629107981</v>
      </c>
    </row>
    <row r="67" spans="1:49">
      <c r="A67" s="883">
        <f t="shared" si="10"/>
        <v>36861</v>
      </c>
      <c r="B67" s="1390">
        <f ca="1">'[2]Monthly Curve Calc.'!B70</f>
        <v>193.06201103866388</v>
      </c>
      <c r="C67" s="1391">
        <f ca="1">'[2]Monthly Curve Calc.'!C70</f>
        <v>173.89655938256641</v>
      </c>
      <c r="D67" s="1512">
        <f ca="1">'[2]Monthly Curve Calc.'!F70</f>
        <v>1.8038677232680336</v>
      </c>
      <c r="E67" s="1304">
        <f t="shared" ca="1" si="9"/>
        <v>1.3529349803246715</v>
      </c>
      <c r="F67" s="1473">
        <f ca="1">IF(Assm!$L$75=0,F66,IF(AND($A67&gt;F$16,MONTH($A67)=MONTH(F$16)),B66/B54,F66))</f>
        <v>1.1469239629576979</v>
      </c>
      <c r="G67" s="1474">
        <f ca="1">IF(Assm!$L$75=0,G66,IF(AND($A67&gt;G$16,MONTH($A67)=MONTH(G$16)),C66/C54,G66))</f>
        <v>1.0237377569460988</v>
      </c>
      <c r="H67" s="1474">
        <f ca="1">IF(Assm!$L$75=0,H66,IF(AND($A67&gt;H$16,MONTH($A67)=MONTH(H$16)),C66/C54-H$18,H66))</f>
        <v>1.0212377569460989</v>
      </c>
      <c r="I67" s="1474">
        <f ca="1">IF(Assm!$L$75=0,I66,IF($A67&gt;=I$16,IF(MONTH($A67)=MONTH(I$16),AVERAGE(D55:D66),I66),I66))</f>
        <v>1.8557916666666667</v>
      </c>
      <c r="J67" s="1475">
        <f ca="1">IF(Assm!$L$75=0,J66,IF($A67&gt;=J$16,IF(MONTH($A67)=MONTH(J$16),AVERAGE(E55:E66),J66),J66))</f>
        <v>1.1913415156708076</v>
      </c>
      <c r="K67" s="958">
        <f t="shared" si="0"/>
        <v>55</v>
      </c>
      <c r="L67" s="1476">
        <f t="shared" ca="1" si="1"/>
        <v>1.0237377569460988</v>
      </c>
      <c r="M67" s="1474">
        <f t="shared" si="11"/>
        <v>0</v>
      </c>
      <c r="N67" s="1475">
        <f t="shared" ca="1" si="32"/>
        <v>1.0620799950339679</v>
      </c>
      <c r="P67" s="1476">
        <f t="shared" ca="1" si="2"/>
        <v>1.1469239629576979</v>
      </c>
      <c r="Q67" s="1474">
        <f t="shared" si="13"/>
        <v>0</v>
      </c>
      <c r="R67" s="1475">
        <f t="shared" ca="1" si="33"/>
        <v>1.3015048368339124</v>
      </c>
      <c r="T67" s="1476">
        <f t="shared" ca="1" si="3"/>
        <v>1.0237377569460988</v>
      </c>
      <c r="U67" s="1474">
        <f t="shared" si="15"/>
        <v>1.0049999999999999</v>
      </c>
      <c r="V67" s="1475">
        <f t="shared" ca="1" si="34"/>
        <v>1.0620799950339679</v>
      </c>
      <c r="X67" s="1476">
        <f t="shared" ca="1" si="4"/>
        <v>1.0212377569460989</v>
      </c>
      <c r="Y67" s="1474">
        <f t="shared" si="17"/>
        <v>1.02</v>
      </c>
      <c r="Z67" s="1475">
        <f t="shared" ca="1" si="35"/>
        <v>1.0627762099261286</v>
      </c>
      <c r="AB67" s="1476">
        <f t="shared" ca="1" si="5"/>
        <v>1.0212377569460989</v>
      </c>
      <c r="AC67" s="1474">
        <f t="shared" si="19"/>
        <v>1.02</v>
      </c>
      <c r="AD67" s="1475">
        <f t="shared" ca="1" si="36"/>
        <v>1.0627762099261286</v>
      </c>
      <c r="AF67" s="1476">
        <f t="shared" ca="1" si="6"/>
        <v>1.1469239629576979</v>
      </c>
      <c r="AG67" s="1474">
        <f t="shared" si="21"/>
        <v>0</v>
      </c>
      <c r="AH67" s="1475">
        <f t="shared" ca="1" si="37"/>
        <v>1.3015048368339124</v>
      </c>
      <c r="AJ67" s="1476">
        <f t="shared" ca="1" si="7"/>
        <v>1.0212377569460989</v>
      </c>
      <c r="AK67" s="1474">
        <f t="shared" si="23"/>
        <v>1.02</v>
      </c>
      <c r="AL67" s="1475">
        <f t="shared" ca="1" si="38"/>
        <v>1.0627762099261286</v>
      </c>
      <c r="AN67" s="1476">
        <f t="shared" ca="1" si="8"/>
        <v>1.0237377569460988</v>
      </c>
      <c r="AO67" s="1474">
        <f t="shared" si="25"/>
        <v>1.0049999999999999</v>
      </c>
      <c r="AP67" s="1475">
        <f t="shared" ca="1" si="39"/>
        <v>1.0620799950339679</v>
      </c>
      <c r="AR67" s="701">
        <f t="shared" si="27"/>
        <v>36861</v>
      </c>
      <c r="AS67" s="1478">
        <f ca="1">IF(AND($A67&gt;=EDATE(AS$17,12),IF(Assm!$L$74=0,$D67,$E67)/AS66&gt;=1.05),IF(Assm!$L$74=0,$D67,$E67),AS66)</f>
        <v>2.0499999999999998</v>
      </c>
      <c r="AT67" s="1478">
        <f t="shared" ca="1" si="28"/>
        <v>1.6965985268559132</v>
      </c>
      <c r="AU67" s="1478">
        <f t="shared" ca="1" si="29"/>
        <v>1.1469239629576979</v>
      </c>
      <c r="AV67" s="1478">
        <f t="shared" ca="1" si="30"/>
        <v>1.6965985268559132</v>
      </c>
      <c r="AW67" s="1475">
        <f t="shared" ca="1" si="31"/>
        <v>1.924882629107981</v>
      </c>
    </row>
    <row r="68" spans="1:49">
      <c r="A68" s="883">
        <f t="shared" si="10"/>
        <v>36892</v>
      </c>
      <c r="B68" s="1390">
        <f ca="1">'[2]Monthly Curve Calc.'!B71</f>
        <v>194.45347137228308</v>
      </c>
      <c r="C68" s="1391">
        <f ca="1">'[2]Monthly Curve Calc.'!C71</f>
        <v>174.3626262314074</v>
      </c>
      <c r="D68" s="1512">
        <f ca="1">'[2]Monthly Curve Calc.'!F71</f>
        <v>1.8188212690525873</v>
      </c>
      <c r="E68" s="1304">
        <f t="shared" ca="1" si="9"/>
        <v>1.359043595207942</v>
      </c>
      <c r="F68" s="1473">
        <f ca="1">IF(Assm!$L$75=0,F67,IF(AND($A68&gt;F$16,MONTH($A68)=MONTH(F$16)),B67/B55,F67))</f>
        <v>1.1469239629576979</v>
      </c>
      <c r="G68" s="1474">
        <f ca="1">IF(Assm!$L$75=0,G67,IF(AND($A68&gt;G$16,MONTH($A68)=MONTH(G$16)),C67/C55,G67))</f>
        <v>1.0237377569460988</v>
      </c>
      <c r="H68" s="1474">
        <f ca="1">IF(Assm!$L$75=0,H67,IF(AND($A68&gt;H$16,MONTH($A68)=MONTH(H$16)),C67/C55-H$18,H67))</f>
        <v>1.0212377569460989</v>
      </c>
      <c r="I68" s="1474">
        <f ca="1">IF(Assm!$L$75=0,I67,IF($A68&gt;=I$16,IF(MONTH($A68)=MONTH(I$16),AVERAGE(D56:D67),I67),I67))</f>
        <v>1.7762172530894818</v>
      </c>
      <c r="J68" s="1475">
        <f ca="1">IF(Assm!$L$75=0,J67,IF($A68&gt;=J$16,IF(MONTH($A68)=MONTH(J$16),AVERAGE(E56:E67),J67),J67))</f>
        <v>1.3187457141693943</v>
      </c>
      <c r="K68" s="958">
        <f t="shared" si="0"/>
        <v>56</v>
      </c>
      <c r="L68" s="1476">
        <f t="shared" ca="1" si="1"/>
        <v>1.0237377569460988</v>
      </c>
      <c r="M68" s="1474">
        <f t="shared" si="11"/>
        <v>0</v>
      </c>
      <c r="N68" s="1475">
        <f t="shared" ca="1" si="32"/>
        <v>1.0620799950339679</v>
      </c>
      <c r="P68" s="1476">
        <f t="shared" ca="1" si="2"/>
        <v>1.1469239629576979</v>
      </c>
      <c r="Q68" s="1474">
        <f t="shared" si="13"/>
        <v>0</v>
      </c>
      <c r="R68" s="1475">
        <f t="shared" ca="1" si="33"/>
        <v>1.3015048368339124</v>
      </c>
      <c r="T68" s="1476">
        <f t="shared" ca="1" si="3"/>
        <v>1.0237377569460988</v>
      </c>
      <c r="U68" s="1474">
        <f t="shared" si="15"/>
        <v>1.0049999999999999</v>
      </c>
      <c r="V68" s="1475">
        <f t="shared" ca="1" si="34"/>
        <v>1.0620799950339679</v>
      </c>
      <c r="X68" s="1476">
        <f t="shared" ca="1" si="4"/>
        <v>1.0212377569460989</v>
      </c>
      <c r="Y68" s="1474">
        <f t="shared" si="17"/>
        <v>1.02</v>
      </c>
      <c r="Z68" s="1475">
        <f t="shared" ca="1" si="35"/>
        <v>1.0627762099261286</v>
      </c>
      <c r="AB68" s="1476">
        <f t="shared" ca="1" si="5"/>
        <v>1.0212377569460989</v>
      </c>
      <c r="AC68" s="1474">
        <f t="shared" si="19"/>
        <v>1.02</v>
      </c>
      <c r="AD68" s="1475">
        <f t="shared" ca="1" si="36"/>
        <v>1.0627762099261286</v>
      </c>
      <c r="AF68" s="1476">
        <f t="shared" ca="1" si="6"/>
        <v>1.1469239629576979</v>
      </c>
      <c r="AG68" s="1474">
        <f t="shared" si="21"/>
        <v>0</v>
      </c>
      <c r="AH68" s="1475">
        <f t="shared" ca="1" si="37"/>
        <v>1.3015048368339124</v>
      </c>
      <c r="AJ68" s="1476">
        <f t="shared" ca="1" si="7"/>
        <v>1.0212377569460989</v>
      </c>
      <c r="AK68" s="1474">
        <f t="shared" si="23"/>
        <v>1.02</v>
      </c>
      <c r="AL68" s="1475">
        <f t="shared" ca="1" si="38"/>
        <v>1.0627762099261286</v>
      </c>
      <c r="AN68" s="1476">
        <f t="shared" ca="1" si="8"/>
        <v>1.0237377569460988</v>
      </c>
      <c r="AO68" s="1474">
        <f t="shared" si="25"/>
        <v>1.0049999999999999</v>
      </c>
      <c r="AP68" s="1475">
        <f t="shared" ca="1" si="39"/>
        <v>1.0620799950339679</v>
      </c>
      <c r="AR68" s="701">
        <f t="shared" si="27"/>
        <v>36892</v>
      </c>
      <c r="AS68" s="1478">
        <f ca="1">IF(AND($A68&gt;=EDATE(AS$17,12),IF(Assm!$L$74=0,$D68,$E68)/AS67&gt;=1.05),IF(Assm!$L$74=0,$D68,$E68),AS67)</f>
        <v>2.0499999999999998</v>
      </c>
      <c r="AT68" s="1478">
        <f t="shared" ca="1" si="28"/>
        <v>1.6965985268559132</v>
      </c>
      <c r="AU68" s="1478">
        <f t="shared" ca="1" si="29"/>
        <v>1.1469239629576979</v>
      </c>
      <c r="AV68" s="1478">
        <f t="shared" ca="1" si="30"/>
        <v>1.6965985268559132</v>
      </c>
      <c r="AW68" s="1475">
        <f t="shared" ca="1" si="31"/>
        <v>1.924882629107981</v>
      </c>
    </row>
    <row r="69" spans="1:49">
      <c r="A69" s="883">
        <f t="shared" si="10"/>
        <v>36923</v>
      </c>
      <c r="B69" s="1390">
        <f ca="1">'[2]Monthly Curve Calc.'!B72</f>
        <v>195.85496041040827</v>
      </c>
      <c r="C69" s="1391">
        <f ca="1">'[2]Monthly Curve Calc.'!C72</f>
        <v>174.82994220391342</v>
      </c>
      <c r="D69" s="1512">
        <f ca="1">'[2]Monthly Curve Calc.'!F72</f>
        <v>1.8338987754405969</v>
      </c>
      <c r="E69" s="1304">
        <f t="shared" ca="1" si="9"/>
        <v>1.3651797909996337</v>
      </c>
      <c r="F69" s="1473">
        <f ca="1">IF(Assm!$L$75=0,F68,IF(AND($A69&gt;F$16,MONTH($A69)=MONTH(F$16)),B68/B56,F68))</f>
        <v>1.1469239629576979</v>
      </c>
      <c r="G69" s="1474">
        <f ca="1">IF(Assm!$L$75=0,G68,IF(AND($A69&gt;G$16,MONTH($A69)=MONTH(G$16)),C68/C56,G68))</f>
        <v>1.0237377569460988</v>
      </c>
      <c r="H69" s="1474">
        <f ca="1">IF(Assm!$L$75=0,H68,IF(AND($A69&gt;H$16,MONTH($A69)=MONTH(H$16)),C68/C56-H$18,H68))</f>
        <v>1.0212377569460989</v>
      </c>
      <c r="I69" s="1474">
        <f ca="1">IF(Assm!$L$75=0,I68,IF($A69&gt;=I$16,IF(MONTH($A69)=MONTH(I$16),AVERAGE(D57:D68),I68),I68))</f>
        <v>1.7762172530894818</v>
      </c>
      <c r="J69" s="1475">
        <f ca="1">IF(Assm!$L$75=0,J68,IF($A69&gt;=J$16,IF(MONTH($A69)=MONTH(J$16),AVERAGE(E57:E68),J68),J68))</f>
        <v>1.3187457141693943</v>
      </c>
      <c r="K69" s="958">
        <f t="shared" si="0"/>
        <v>57</v>
      </c>
      <c r="L69" s="1476">
        <f t="shared" ca="1" si="1"/>
        <v>1.0237377569460988</v>
      </c>
      <c r="M69" s="1474">
        <f t="shared" si="11"/>
        <v>0</v>
      </c>
      <c r="N69" s="1475">
        <f t="shared" ca="1" si="32"/>
        <v>1.0620799950339679</v>
      </c>
      <c r="P69" s="1476">
        <f t="shared" ca="1" si="2"/>
        <v>1.1469239629576979</v>
      </c>
      <c r="Q69" s="1474">
        <f t="shared" si="13"/>
        <v>0</v>
      </c>
      <c r="R69" s="1475">
        <f t="shared" ca="1" si="33"/>
        <v>1.3015048368339124</v>
      </c>
      <c r="T69" s="1476">
        <f t="shared" ca="1" si="3"/>
        <v>1.0237377569460988</v>
      </c>
      <c r="U69" s="1474">
        <f t="shared" si="15"/>
        <v>1.0049999999999999</v>
      </c>
      <c r="V69" s="1475">
        <f t="shared" ca="1" si="34"/>
        <v>1.0620799950339679</v>
      </c>
      <c r="X69" s="1476">
        <f t="shared" ca="1" si="4"/>
        <v>1.0212377569460989</v>
      </c>
      <c r="Y69" s="1474">
        <f t="shared" si="17"/>
        <v>1.02</v>
      </c>
      <c r="Z69" s="1475">
        <f t="shared" ca="1" si="35"/>
        <v>1.0627762099261286</v>
      </c>
      <c r="AB69" s="1476">
        <f t="shared" ca="1" si="5"/>
        <v>1.0212377569460989</v>
      </c>
      <c r="AC69" s="1474">
        <f t="shared" si="19"/>
        <v>1.02</v>
      </c>
      <c r="AD69" s="1475">
        <f t="shared" ca="1" si="36"/>
        <v>1.0627762099261286</v>
      </c>
      <c r="AF69" s="1476">
        <f t="shared" ca="1" si="6"/>
        <v>1.1469239629576979</v>
      </c>
      <c r="AG69" s="1474">
        <f t="shared" si="21"/>
        <v>0</v>
      </c>
      <c r="AH69" s="1475">
        <f t="shared" ca="1" si="37"/>
        <v>1.3015048368339124</v>
      </c>
      <c r="AJ69" s="1476">
        <f t="shared" ca="1" si="7"/>
        <v>1.0212377569460989</v>
      </c>
      <c r="AK69" s="1474">
        <f t="shared" si="23"/>
        <v>1.02</v>
      </c>
      <c r="AL69" s="1475">
        <f t="shared" ca="1" si="38"/>
        <v>1.0627762099261286</v>
      </c>
      <c r="AN69" s="1476">
        <f t="shared" ca="1" si="8"/>
        <v>1.0237377569460988</v>
      </c>
      <c r="AO69" s="1474">
        <f t="shared" si="25"/>
        <v>1.0049999999999999</v>
      </c>
      <c r="AP69" s="1475">
        <f t="shared" ca="1" si="39"/>
        <v>1.0620799950339679</v>
      </c>
      <c r="AR69" s="701">
        <f t="shared" si="27"/>
        <v>36923</v>
      </c>
      <c r="AS69" s="1478">
        <f ca="1">IF(AND($A69&gt;=EDATE(AS$17,12),IF(Assm!$L$74=0,$D69,$E69)/AS68&gt;=1.05),IF(Assm!$L$74=0,$D69,$E69),AS68)</f>
        <v>2.0499999999999998</v>
      </c>
      <c r="AT69" s="1478">
        <f t="shared" ca="1" si="28"/>
        <v>1.6965985268559132</v>
      </c>
      <c r="AU69" s="1478">
        <f t="shared" ca="1" si="29"/>
        <v>1.1469239629576979</v>
      </c>
      <c r="AV69" s="1478">
        <f t="shared" ca="1" si="30"/>
        <v>1.6965985268559132</v>
      </c>
      <c r="AW69" s="1475">
        <f t="shared" ca="1" si="31"/>
        <v>1.924882629107981</v>
      </c>
    </row>
    <row r="70" spans="1:49">
      <c r="A70" s="883">
        <f t="shared" si="10"/>
        <v>36951</v>
      </c>
      <c r="B70" s="1390">
        <f ca="1">'[2]Monthly Curve Calc.'!B73</f>
        <v>197.26655043315523</v>
      </c>
      <c r="C70" s="1391">
        <f ca="1">'[2]Monthly Curve Calc.'!C73</f>
        <v>175.29851064790876</v>
      </c>
      <c r="D70" s="1512">
        <f ca="1">'[2]Monthly Curve Calc.'!F73</f>
        <v>1.849101270029893</v>
      </c>
      <c r="E70" s="1304">
        <f t="shared" ca="1" si="9"/>
        <v>1.3713436922298607</v>
      </c>
      <c r="F70" s="1473">
        <f ca="1">IF(Assm!$L$75=0,F69,IF(AND($A70&gt;F$16,MONTH($A70)=MONTH(F$16)),B69/B57,F69))</f>
        <v>1.1469239629576979</v>
      </c>
      <c r="G70" s="1474">
        <f ca="1">IF(Assm!$L$75=0,G69,IF(AND($A70&gt;G$16,MONTH($A70)=MONTH(G$16)),C69/C57,G69))</f>
        <v>1.0237377569460988</v>
      </c>
      <c r="H70" s="1474">
        <f ca="1">IF(Assm!$L$75=0,H69,IF(AND($A70&gt;H$16,MONTH($A70)=MONTH(H$16)),C69/C57-H$18,H69))</f>
        <v>1.0212377569460989</v>
      </c>
      <c r="I70" s="1474">
        <f ca="1">IF(Assm!$L$75=0,I69,IF($A70&gt;=I$16,IF(MONTH($A70)=MONTH(I$16),AVERAGE(D58:D69),I69),I69))</f>
        <v>1.7762172530894818</v>
      </c>
      <c r="J70" s="1475">
        <f ca="1">IF(Assm!$L$75=0,J69,IF($A70&gt;=J$16,IF(MONTH($A70)=MONTH(J$16),AVERAGE(E58:E69),J69),J69))</f>
        <v>1.3187457141693943</v>
      </c>
      <c r="K70" s="958">
        <f t="shared" si="0"/>
        <v>58</v>
      </c>
      <c r="L70" s="1476">
        <f t="shared" ca="1" si="1"/>
        <v>1.0237377569460988</v>
      </c>
      <c r="M70" s="1474">
        <f t="shared" si="11"/>
        <v>0</v>
      </c>
      <c r="N70" s="1475">
        <f t="shared" ca="1" si="32"/>
        <v>1.0620799950339679</v>
      </c>
      <c r="P70" s="1476">
        <f t="shared" ca="1" si="2"/>
        <v>1.1469239629576979</v>
      </c>
      <c r="Q70" s="1474">
        <f t="shared" si="13"/>
        <v>0</v>
      </c>
      <c r="R70" s="1475">
        <f t="shared" ca="1" si="33"/>
        <v>1.3015048368339124</v>
      </c>
      <c r="T70" s="1476">
        <f t="shared" ca="1" si="3"/>
        <v>1.0237377569460988</v>
      </c>
      <c r="U70" s="1474">
        <f t="shared" si="15"/>
        <v>1.0049999999999999</v>
      </c>
      <c r="V70" s="1475">
        <f t="shared" ca="1" si="34"/>
        <v>1.0620799950339679</v>
      </c>
      <c r="X70" s="1476">
        <f t="shared" ca="1" si="4"/>
        <v>1.0212377569460989</v>
      </c>
      <c r="Y70" s="1474">
        <f t="shared" si="17"/>
        <v>1.02</v>
      </c>
      <c r="Z70" s="1475">
        <f t="shared" ca="1" si="35"/>
        <v>1.0627762099261286</v>
      </c>
      <c r="AB70" s="1476">
        <f t="shared" ca="1" si="5"/>
        <v>1.0212377569460989</v>
      </c>
      <c r="AC70" s="1474">
        <f t="shared" si="19"/>
        <v>1.02</v>
      </c>
      <c r="AD70" s="1475">
        <f t="shared" ca="1" si="36"/>
        <v>1.0627762099261286</v>
      </c>
      <c r="AF70" s="1476">
        <f t="shared" ca="1" si="6"/>
        <v>1.1469239629576979</v>
      </c>
      <c r="AG70" s="1474">
        <f t="shared" si="21"/>
        <v>0</v>
      </c>
      <c r="AH70" s="1475">
        <f t="shared" ca="1" si="37"/>
        <v>1.3015048368339124</v>
      </c>
      <c r="AJ70" s="1476">
        <f t="shared" ca="1" si="7"/>
        <v>1.0212377569460989</v>
      </c>
      <c r="AK70" s="1474">
        <f t="shared" si="23"/>
        <v>1.02</v>
      </c>
      <c r="AL70" s="1475">
        <f t="shared" ca="1" si="38"/>
        <v>1.0627762099261286</v>
      </c>
      <c r="AN70" s="1476">
        <f t="shared" ca="1" si="8"/>
        <v>1.0237377569460988</v>
      </c>
      <c r="AO70" s="1474">
        <f t="shared" si="25"/>
        <v>1.0049999999999999</v>
      </c>
      <c r="AP70" s="1475">
        <f t="shared" ca="1" si="39"/>
        <v>1.0620799950339679</v>
      </c>
      <c r="AR70" s="701">
        <f t="shared" si="27"/>
        <v>36951</v>
      </c>
      <c r="AS70" s="1478">
        <f ca="1">IF(AND($A70&gt;=EDATE(AS$17,12),IF(Assm!$L$74=0,$D70,$E70)/AS69&gt;=1.05),IF(Assm!$L$74=0,$D70,$E70),AS69)</f>
        <v>2.0499999999999998</v>
      </c>
      <c r="AT70" s="1478">
        <f t="shared" ca="1" si="28"/>
        <v>1.6965985268559132</v>
      </c>
      <c r="AU70" s="1478">
        <f t="shared" ca="1" si="29"/>
        <v>1.1469239629576979</v>
      </c>
      <c r="AV70" s="1478">
        <f t="shared" ca="1" si="30"/>
        <v>1.6965985268559132</v>
      </c>
      <c r="AW70" s="1475">
        <f t="shared" ca="1" si="31"/>
        <v>1.924882629107981</v>
      </c>
    </row>
    <row r="71" spans="1:49">
      <c r="A71" s="883">
        <f t="shared" si="10"/>
        <v>36982</v>
      </c>
      <c r="B71" s="1390">
        <f ca="1">'[2]Monthly Curve Calc.'!B74</f>
        <v>198.68831424158597</v>
      </c>
      <c r="C71" s="1391">
        <f ca="1">'[2]Monthly Curve Calc.'!C74</f>
        <v>175.76833492019037</v>
      </c>
      <c r="D71" s="1512">
        <f ca="1">'[2]Monthly Curve Calc.'!F74</f>
        <v>1.8644297889367973</v>
      </c>
      <c r="E71" s="1304">
        <f t="shared" ca="1" si="9"/>
        <v>1.3775354239910014</v>
      </c>
      <c r="F71" s="1473">
        <f ca="1">IF(Assm!$L$75=0,F70,IF(AND($A71&gt;F$16,MONTH($A71)=MONTH(F$16)),B70/B58,F70))</f>
        <v>1.1469239629576979</v>
      </c>
      <c r="G71" s="1474">
        <f ca="1">IF(Assm!$L$75=0,G70,IF(AND($A71&gt;G$16,MONTH($A71)=MONTH(G$16)),C70/C58,G70))</f>
        <v>1.0237377569460988</v>
      </c>
      <c r="H71" s="1474">
        <f ca="1">IF(Assm!$L$75=0,H70,IF(AND($A71&gt;H$16,MONTH($A71)=MONTH(H$16)),C70/C58-H$18,H70))</f>
        <v>1.0212377569460989</v>
      </c>
      <c r="I71" s="1474">
        <f ca="1">IF(Assm!$L$75=0,I70,IF($A71&gt;=I$16,IF(MONTH($A71)=MONTH(I$16),AVERAGE(D59:D70),I70),I70))</f>
        <v>1.7762172530894818</v>
      </c>
      <c r="J71" s="1475">
        <f ca="1">IF(Assm!$L$75=0,J70,IF($A71&gt;=J$16,IF(MONTH($A71)=MONTH(J$16),AVERAGE(E59:E70),J70),J70))</f>
        <v>1.3187457141693943</v>
      </c>
      <c r="K71" s="958">
        <f t="shared" si="0"/>
        <v>59</v>
      </c>
      <c r="L71" s="1476">
        <f t="shared" ca="1" si="1"/>
        <v>1.0237377569460988</v>
      </c>
      <c r="M71" s="1474">
        <f t="shared" si="11"/>
        <v>0</v>
      </c>
      <c r="N71" s="1475">
        <f t="shared" ca="1" si="32"/>
        <v>1.0620799950339679</v>
      </c>
      <c r="P71" s="1476">
        <f t="shared" ca="1" si="2"/>
        <v>1.1469239629576979</v>
      </c>
      <c r="Q71" s="1474">
        <f t="shared" si="13"/>
        <v>0</v>
      </c>
      <c r="R71" s="1475">
        <f t="shared" ca="1" si="33"/>
        <v>1.3015048368339124</v>
      </c>
      <c r="T71" s="1476">
        <f t="shared" ca="1" si="3"/>
        <v>1.0237377569460988</v>
      </c>
      <c r="U71" s="1474">
        <f t="shared" si="15"/>
        <v>1.0049999999999999</v>
      </c>
      <c r="V71" s="1475">
        <f t="shared" ca="1" si="34"/>
        <v>1.0620799950339679</v>
      </c>
      <c r="X71" s="1476">
        <f t="shared" ca="1" si="4"/>
        <v>1.0212377569460989</v>
      </c>
      <c r="Y71" s="1474">
        <f t="shared" si="17"/>
        <v>1.02</v>
      </c>
      <c r="Z71" s="1475">
        <f t="shared" ca="1" si="35"/>
        <v>1.0627762099261286</v>
      </c>
      <c r="AB71" s="1476">
        <f t="shared" ca="1" si="5"/>
        <v>1.0212377569460989</v>
      </c>
      <c r="AC71" s="1474">
        <f t="shared" si="19"/>
        <v>1.02</v>
      </c>
      <c r="AD71" s="1475">
        <f t="shared" ca="1" si="36"/>
        <v>1.0627762099261286</v>
      </c>
      <c r="AF71" s="1476">
        <f t="shared" ca="1" si="6"/>
        <v>1.1469239629576979</v>
      </c>
      <c r="AG71" s="1474">
        <f t="shared" si="21"/>
        <v>0</v>
      </c>
      <c r="AH71" s="1475">
        <f t="shared" ca="1" si="37"/>
        <v>1.3015048368339124</v>
      </c>
      <c r="AJ71" s="1476">
        <f t="shared" ca="1" si="7"/>
        <v>1.0212377569460989</v>
      </c>
      <c r="AK71" s="1474">
        <f t="shared" si="23"/>
        <v>1.02</v>
      </c>
      <c r="AL71" s="1475">
        <f t="shared" ca="1" si="38"/>
        <v>1.0627762099261286</v>
      </c>
      <c r="AN71" s="1476">
        <f t="shared" ca="1" si="8"/>
        <v>1.0237377569460988</v>
      </c>
      <c r="AO71" s="1474">
        <f t="shared" si="25"/>
        <v>1.0049999999999999</v>
      </c>
      <c r="AP71" s="1475">
        <f t="shared" ca="1" si="39"/>
        <v>1.0620799950339679</v>
      </c>
      <c r="AR71" s="701">
        <f t="shared" si="27"/>
        <v>36982</v>
      </c>
      <c r="AS71" s="1478">
        <f ca="1">IF(AND($A71&gt;=EDATE(AS$17,12),IF(Assm!$L$74=0,$D71,$E71)/AS70&gt;=1.05),IF(Assm!$L$74=0,$D71,$E71),AS70)</f>
        <v>2.0499999999999998</v>
      </c>
      <c r="AT71" s="1478">
        <f t="shared" ca="1" si="28"/>
        <v>1.6965985268559132</v>
      </c>
      <c r="AU71" s="1478">
        <f t="shared" ca="1" si="29"/>
        <v>1.1469239629576979</v>
      </c>
      <c r="AV71" s="1478">
        <f t="shared" ca="1" si="30"/>
        <v>1.6965985268559132</v>
      </c>
      <c r="AW71" s="1475">
        <f t="shared" ca="1" si="31"/>
        <v>1.924882629107981</v>
      </c>
    </row>
    <row r="72" spans="1:49">
      <c r="A72" s="883">
        <f t="shared" si="10"/>
        <v>37012</v>
      </c>
      <c r="B72" s="1390">
        <f ca="1">'[2]Monthly Curve Calc.'!B75</f>
        <v>200.12032516146326</v>
      </c>
      <c r="C72" s="1391">
        <f ca="1">'[2]Monthly Curve Calc.'!C75</f>
        <v>176.23941838655188</v>
      </c>
      <c r="D72" s="1512">
        <f ca="1">'[2]Monthly Curve Calc.'!F75</f>
        <v>1.8798853768667387</v>
      </c>
      <c r="E72" s="1304">
        <f t="shared" ca="1" si="9"/>
        <v>1.3837551119402363</v>
      </c>
      <c r="F72" s="1473">
        <f ca="1">IF(Assm!$L$75=0,F71,IF(AND($A72&gt;F$16,MONTH($A72)=MONTH(F$16)),B71/B59,F71))</f>
        <v>1.0919370999534188</v>
      </c>
      <c r="G72" s="1474">
        <f ca="1">IF(Assm!$L$75=0,G71,IF(AND($A72&gt;G$16,MONTH($A72)=MONTH(G$16)),C71/C59,G71))</f>
        <v>1.0330489441562738</v>
      </c>
      <c r="H72" s="1474">
        <f ca="1">IF(Assm!$L$75=0,H71,IF(AND($A72&gt;H$16,MONTH($A72)=MONTH(H$16)),C71/C59-H$18,H71))</f>
        <v>1.0305489441562738</v>
      </c>
      <c r="I72" s="1474">
        <f ca="1">IF(Assm!$L$75=0,I71,IF($A72&gt;=I$16,IF(MONTH($A72)=MONTH(I$16),AVERAGE(D60:D71),I71),I71))</f>
        <v>1.7762172530894818</v>
      </c>
      <c r="J72" s="1475">
        <f ca="1">IF(Assm!$L$75=0,J71,IF($A72&gt;=J$16,IF(MONTH($A72)=MONTH(J$16),AVERAGE(E60:E71),J71),J71))</f>
        <v>1.3187457141693943</v>
      </c>
      <c r="K72" s="958">
        <f t="shared" si="0"/>
        <v>60</v>
      </c>
      <c r="L72" s="1476">
        <f t="shared" ca="1" si="1"/>
        <v>1.0330489441562738</v>
      </c>
      <c r="M72" s="1474">
        <f t="shared" si="11"/>
        <v>0</v>
      </c>
      <c r="N72" s="1475">
        <f t="shared" ca="1" si="32"/>
        <v>1.097180617479341</v>
      </c>
      <c r="P72" s="1476">
        <f t="shared" ca="1" si="2"/>
        <v>1.0919370999534188</v>
      </c>
      <c r="Q72" s="1474">
        <f t="shared" si="13"/>
        <v>0</v>
      </c>
      <c r="R72" s="1475">
        <f t="shared" ca="1" si="33"/>
        <v>1.4211614171077698</v>
      </c>
      <c r="T72" s="1476">
        <f t="shared" ca="1" si="3"/>
        <v>1.0330489441562738</v>
      </c>
      <c r="U72" s="1474">
        <f t="shared" si="15"/>
        <v>1.0049999999999999</v>
      </c>
      <c r="V72" s="1475">
        <f t="shared" ca="1" si="34"/>
        <v>1.097180617479341</v>
      </c>
      <c r="X72" s="1476">
        <f t="shared" ca="1" si="4"/>
        <v>1.0305489441562738</v>
      </c>
      <c r="Y72" s="1474">
        <f t="shared" si="17"/>
        <v>1.02</v>
      </c>
      <c r="Z72" s="1475">
        <f t="shared" ca="1" si="35"/>
        <v>1.0952429010137783</v>
      </c>
      <c r="AB72" s="1476">
        <f t="shared" ca="1" si="5"/>
        <v>1.0305489441562738</v>
      </c>
      <c r="AC72" s="1474">
        <f t="shared" si="19"/>
        <v>1.02</v>
      </c>
      <c r="AD72" s="1475">
        <f t="shared" ca="1" si="36"/>
        <v>1.0952429010137783</v>
      </c>
      <c r="AF72" s="1476">
        <f t="shared" ca="1" si="6"/>
        <v>1.0919370999534188</v>
      </c>
      <c r="AG72" s="1474">
        <f t="shared" si="21"/>
        <v>0</v>
      </c>
      <c r="AH72" s="1475">
        <f t="shared" ca="1" si="37"/>
        <v>1.4211614171077698</v>
      </c>
      <c r="AJ72" s="1476">
        <f t="shared" ca="1" si="7"/>
        <v>1.0305489441562738</v>
      </c>
      <c r="AK72" s="1474">
        <f t="shared" si="23"/>
        <v>1.02</v>
      </c>
      <c r="AL72" s="1475">
        <f t="shared" ca="1" si="38"/>
        <v>1.0952429010137783</v>
      </c>
      <c r="AN72" s="1476">
        <f t="shared" ca="1" si="8"/>
        <v>1.0330489441562738</v>
      </c>
      <c r="AO72" s="1474">
        <f t="shared" si="25"/>
        <v>1.0049999999999999</v>
      </c>
      <c r="AP72" s="1475">
        <f t="shared" ca="1" si="39"/>
        <v>1.097180617479341</v>
      </c>
      <c r="AR72" s="701">
        <f t="shared" si="27"/>
        <v>37012</v>
      </c>
      <c r="AS72" s="1478">
        <f ca="1">IF(AND($A72&gt;=EDATE(AS$17,12),IF(Assm!$L$74=0,$D72,$E72)/AS71&gt;=1.05),IF(Assm!$L$74=0,$D72,$E72),AS71)</f>
        <v>2.0499999999999998</v>
      </c>
      <c r="AT72" s="1478">
        <f t="shared" ca="1" si="28"/>
        <v>1.6965985268559132</v>
      </c>
      <c r="AU72" s="1478">
        <f t="shared" ca="1" si="29"/>
        <v>1.0919370999534188</v>
      </c>
      <c r="AV72" s="1478">
        <f t="shared" ca="1" si="30"/>
        <v>1.6965985268559132</v>
      </c>
      <c r="AW72" s="1475">
        <f t="shared" ca="1" si="31"/>
        <v>1.924882629107981</v>
      </c>
    </row>
    <row r="73" spans="1:49">
      <c r="A73" s="883">
        <f t="shared" si="10"/>
        <v>37043</v>
      </c>
      <c r="B73" s="1390">
        <f ca="1">'[2]Monthly Curve Calc.'!B76</f>
        <v>201.56265704703233</v>
      </c>
      <c r="C73" s="1391">
        <f ca="1">'[2]Monthly Curve Calc.'!C76</f>
        <v>176.71176442180774</v>
      </c>
      <c r="D73" s="1512">
        <f ca="1">'[2]Monthly Curve Calc.'!F76</f>
        <v>1.8954690871854543</v>
      </c>
      <c r="E73" s="1304">
        <f t="shared" ca="1" si="9"/>
        <v>1.3900028823020989</v>
      </c>
      <c r="F73" s="1473">
        <f ca="1">IF(Assm!$L$75=0,F72,IF(AND($A73&gt;F$16,MONTH($A73)=MONTH(F$16)),B72/B60,F72))</f>
        <v>1.0919370999534188</v>
      </c>
      <c r="G73" s="1474">
        <f ca="1">IF(Assm!$L$75=0,G72,IF(AND($A73&gt;G$16,MONTH($A73)=MONTH(G$16)),C72/C60,G72))</f>
        <v>1.0330489441562738</v>
      </c>
      <c r="H73" s="1474">
        <f ca="1">IF(Assm!$L$75=0,H72,IF(AND($A73&gt;H$16,MONTH($A73)=MONTH(H$16)),C72/C60-H$18,H72))</f>
        <v>1.0305489441562738</v>
      </c>
      <c r="I73" s="1474">
        <f ca="1">IF(Assm!$L$75=0,I72,IF($A73&gt;=I$16,IF(MONTH($A73)=MONTH(I$16),AVERAGE(D61:D72),I72),I72))</f>
        <v>1.7762172530894818</v>
      </c>
      <c r="J73" s="1475">
        <f ca="1">IF(Assm!$L$75=0,J72,IF($A73&gt;=J$16,IF(MONTH($A73)=MONTH(J$16),AVERAGE(E61:E72),J72),J72))</f>
        <v>1.3187457141693943</v>
      </c>
      <c r="K73" s="958">
        <f t="shared" si="0"/>
        <v>61</v>
      </c>
      <c r="L73" s="1476">
        <f t="shared" ca="1" si="1"/>
        <v>1.0330489441562738</v>
      </c>
      <c r="M73" s="1474">
        <f t="shared" si="11"/>
        <v>0</v>
      </c>
      <c r="N73" s="1475">
        <f t="shared" ca="1" si="32"/>
        <v>1.097180617479341</v>
      </c>
      <c r="P73" s="1476">
        <f t="shared" ca="1" si="2"/>
        <v>1.0919370999534188</v>
      </c>
      <c r="Q73" s="1474">
        <f t="shared" si="13"/>
        <v>0</v>
      </c>
      <c r="R73" s="1475">
        <f t="shared" ca="1" si="33"/>
        <v>1.4211614171077698</v>
      </c>
      <c r="T73" s="1476">
        <f t="shared" ca="1" si="3"/>
        <v>1.0330489441562738</v>
      </c>
      <c r="U73" s="1474">
        <f t="shared" si="15"/>
        <v>1.0049999999999999</v>
      </c>
      <c r="V73" s="1475">
        <f t="shared" ca="1" si="34"/>
        <v>1.097180617479341</v>
      </c>
      <c r="X73" s="1476">
        <f t="shared" ca="1" si="4"/>
        <v>1.0305489441562738</v>
      </c>
      <c r="Y73" s="1474">
        <f t="shared" si="17"/>
        <v>1.02</v>
      </c>
      <c r="Z73" s="1475">
        <f t="shared" ca="1" si="35"/>
        <v>1.0952429010137783</v>
      </c>
      <c r="AB73" s="1476">
        <f t="shared" ca="1" si="5"/>
        <v>1.0305489441562738</v>
      </c>
      <c r="AC73" s="1474">
        <f t="shared" si="19"/>
        <v>1.02</v>
      </c>
      <c r="AD73" s="1475">
        <f t="shared" ca="1" si="36"/>
        <v>1.0952429010137783</v>
      </c>
      <c r="AF73" s="1476">
        <f t="shared" ca="1" si="6"/>
        <v>1.0919370999534188</v>
      </c>
      <c r="AG73" s="1474">
        <f t="shared" si="21"/>
        <v>0</v>
      </c>
      <c r="AH73" s="1475">
        <f t="shared" ca="1" si="37"/>
        <v>1.4211614171077698</v>
      </c>
      <c r="AJ73" s="1476">
        <f t="shared" ca="1" si="7"/>
        <v>1.0305489441562738</v>
      </c>
      <c r="AK73" s="1474">
        <f t="shared" si="23"/>
        <v>1.02</v>
      </c>
      <c r="AL73" s="1475">
        <f t="shared" ca="1" si="38"/>
        <v>1.0952429010137783</v>
      </c>
      <c r="AN73" s="1476">
        <f t="shared" ca="1" si="8"/>
        <v>1.0330489441562738</v>
      </c>
      <c r="AO73" s="1474">
        <f t="shared" si="25"/>
        <v>1.0049999999999999</v>
      </c>
      <c r="AP73" s="1475">
        <f t="shared" ca="1" si="39"/>
        <v>1.097180617479341</v>
      </c>
      <c r="AR73" s="701">
        <f t="shared" si="27"/>
        <v>37043</v>
      </c>
      <c r="AS73" s="1478">
        <f ca="1">IF(AND($A73&gt;=EDATE(AS$17,12),IF(Assm!$L$74=0,$D73,$E73)/AS72&gt;=1.05),IF(Assm!$L$74=0,$D73,$E73),AS72)</f>
        <v>2.0499999999999998</v>
      </c>
      <c r="AT73" s="1478">
        <f t="shared" ca="1" si="28"/>
        <v>1.6965985268559132</v>
      </c>
      <c r="AU73" s="1478">
        <f t="shared" ca="1" si="29"/>
        <v>1.0919370999534188</v>
      </c>
      <c r="AV73" s="1478">
        <f t="shared" ca="1" si="30"/>
        <v>1.6965985268559132</v>
      </c>
      <c r="AW73" s="1475">
        <f t="shared" ca="1" si="31"/>
        <v>1.924882629107981</v>
      </c>
    </row>
    <row r="74" spans="1:49">
      <c r="A74" s="883">
        <f t="shared" si="10"/>
        <v>37073</v>
      </c>
      <c r="B74" s="1390">
        <f ca="1">'[2]Monthly Curve Calc.'!B77</f>
        <v>203.01538428482988</v>
      </c>
      <c r="C74" s="1391">
        <f ca="1">'[2]Monthly Curve Calc.'!C77</f>
        <v>177.18537640981734</v>
      </c>
      <c r="D74" s="1512">
        <f ca="1">'[2]Monthly Curve Calc.'!F77</f>
        <v>1.9111819819907805</v>
      </c>
      <c r="E74" s="1304">
        <f t="shared" ca="1" si="9"/>
        <v>1.3962788618710371</v>
      </c>
      <c r="F74" s="1473">
        <f ca="1">IF(Assm!$L$75=0,F73,IF(AND($A74&gt;F$16,MONTH($A74)=MONTH(F$16)),B73/B61,F73))</f>
        <v>1.0919370999534188</v>
      </c>
      <c r="G74" s="1474">
        <f ca="1">IF(Assm!$L$75=0,G73,IF(AND($A74&gt;G$16,MONTH($A74)=MONTH(G$16)),C73/C61,G73))</f>
        <v>1.0330489441562738</v>
      </c>
      <c r="H74" s="1474">
        <f ca="1">IF(Assm!$L$75=0,H73,IF(AND($A74&gt;H$16,MONTH($A74)=MONTH(H$16)),C73/C61-H$18,H73))</f>
        <v>1.0305489441562738</v>
      </c>
      <c r="I74" s="1474">
        <f ca="1">IF(Assm!$L$75=0,I73,IF($A74&gt;=I$16,IF(MONTH($A74)=MONTH(I$16),AVERAGE(D62:D73),I73),I73))</f>
        <v>1.7762172530894818</v>
      </c>
      <c r="J74" s="1475">
        <f ca="1">IF(Assm!$L$75=0,J73,IF($A74&gt;=J$16,IF(MONTH($A74)=MONTH(J$16),AVERAGE(E62:E73),J73),J73))</f>
        <v>1.3187457141693943</v>
      </c>
      <c r="K74" s="958">
        <f t="shared" si="0"/>
        <v>62</v>
      </c>
      <c r="L74" s="1476">
        <f t="shared" ca="1" si="1"/>
        <v>1.0330489441562738</v>
      </c>
      <c r="M74" s="1474">
        <f t="shared" si="11"/>
        <v>0</v>
      </c>
      <c r="N74" s="1475">
        <f t="shared" ca="1" si="32"/>
        <v>1.097180617479341</v>
      </c>
      <c r="P74" s="1476">
        <f t="shared" ca="1" si="2"/>
        <v>1.0919370999534188</v>
      </c>
      <c r="Q74" s="1474">
        <f t="shared" si="13"/>
        <v>0</v>
      </c>
      <c r="R74" s="1475">
        <f t="shared" ca="1" si="33"/>
        <v>1.4211614171077698</v>
      </c>
      <c r="T74" s="1476">
        <f t="shared" ca="1" si="3"/>
        <v>1.0330489441562738</v>
      </c>
      <c r="U74" s="1474">
        <f t="shared" si="15"/>
        <v>1.0049999999999999</v>
      </c>
      <c r="V74" s="1475">
        <f t="shared" ca="1" si="34"/>
        <v>1.097180617479341</v>
      </c>
      <c r="X74" s="1476">
        <f t="shared" ca="1" si="4"/>
        <v>1.0305489441562738</v>
      </c>
      <c r="Y74" s="1474">
        <f t="shared" si="17"/>
        <v>1.02</v>
      </c>
      <c r="Z74" s="1475">
        <f t="shared" ca="1" si="35"/>
        <v>1.0952429010137783</v>
      </c>
      <c r="AB74" s="1476">
        <f t="shared" ca="1" si="5"/>
        <v>1.0305489441562738</v>
      </c>
      <c r="AC74" s="1474">
        <f t="shared" si="19"/>
        <v>1.02</v>
      </c>
      <c r="AD74" s="1475">
        <f t="shared" ca="1" si="36"/>
        <v>1.0952429010137783</v>
      </c>
      <c r="AF74" s="1476">
        <f t="shared" ca="1" si="6"/>
        <v>1.0919370999534188</v>
      </c>
      <c r="AG74" s="1474">
        <f t="shared" si="21"/>
        <v>0</v>
      </c>
      <c r="AH74" s="1475">
        <f t="shared" ca="1" si="37"/>
        <v>1.4211614171077698</v>
      </c>
      <c r="AJ74" s="1476">
        <f t="shared" ca="1" si="7"/>
        <v>1.0305489441562738</v>
      </c>
      <c r="AK74" s="1474">
        <f t="shared" si="23"/>
        <v>1.02</v>
      </c>
      <c r="AL74" s="1475">
        <f t="shared" ca="1" si="38"/>
        <v>1.0952429010137783</v>
      </c>
      <c r="AN74" s="1476">
        <f t="shared" ca="1" si="8"/>
        <v>1.0330489441562738</v>
      </c>
      <c r="AO74" s="1474">
        <f t="shared" si="25"/>
        <v>1.0049999999999999</v>
      </c>
      <c r="AP74" s="1475">
        <f t="shared" ca="1" si="39"/>
        <v>1.097180617479341</v>
      </c>
      <c r="AR74" s="701">
        <f t="shared" si="27"/>
        <v>37073</v>
      </c>
      <c r="AS74" s="1478">
        <f ca="1">IF(AND($A74&gt;=EDATE(AS$17,12),IF(Assm!$L$74=0,$D74,$E74)/AS73&gt;=1.05),IF(Assm!$L$74=0,$D74,$E74),AS73)</f>
        <v>2.0499999999999998</v>
      </c>
      <c r="AT74" s="1478">
        <f t="shared" ca="1" si="28"/>
        <v>1.6965985268559132</v>
      </c>
      <c r="AU74" s="1478">
        <f t="shared" ca="1" si="29"/>
        <v>1.0919370999534188</v>
      </c>
      <c r="AV74" s="1478">
        <f t="shared" ca="1" si="30"/>
        <v>1.6965985268559132</v>
      </c>
      <c r="AW74" s="1475">
        <f t="shared" ca="1" si="31"/>
        <v>1.924882629107981</v>
      </c>
    </row>
    <row r="75" spans="1:49">
      <c r="A75" s="883">
        <f t="shared" si="10"/>
        <v>37104</v>
      </c>
      <c r="B75" s="1390">
        <f ca="1">'[2]Monthly Curve Calc.'!B78</f>
        <v>204.47858179752038</v>
      </c>
      <c r="C75" s="1391">
        <f ca="1">'[2]Monthly Curve Calc.'!C78</f>
        <v>177.66025774350925</v>
      </c>
      <c r="D75" s="1512">
        <f ca="1">'[2]Monthly Curve Calc.'!F78</f>
        <v>1.9270251321850405</v>
      </c>
      <c r="E75" s="1304">
        <f t="shared" ca="1" si="9"/>
        <v>1.4025831780139864</v>
      </c>
      <c r="F75" s="1473">
        <f ca="1">IF(Assm!$L$75=0,F74,IF(AND($A75&gt;F$16,MONTH($A75)=MONTH(F$16)),B74/B62,F74))</f>
        <v>1.0919370999534188</v>
      </c>
      <c r="G75" s="1474">
        <f ca="1">IF(Assm!$L$75=0,G74,IF(AND($A75&gt;G$16,MONTH($A75)=MONTH(G$16)),C74/C62,G74))</f>
        <v>1.0330489441562738</v>
      </c>
      <c r="H75" s="1474">
        <f ca="1">IF(Assm!$L$75=0,H74,IF(AND($A75&gt;H$16,MONTH($A75)=MONTH(H$16)),C74/C62-H$18,H74))</f>
        <v>1.0305489441562738</v>
      </c>
      <c r="I75" s="1474">
        <f ca="1">IF(Assm!$L$75=0,I74,IF($A75&gt;=I$16,IF(MONTH($A75)=MONTH(I$16),AVERAGE(D63:D74),I74),I74))</f>
        <v>1.7762172530894818</v>
      </c>
      <c r="J75" s="1475">
        <f ca="1">IF(Assm!$L$75=0,J74,IF($A75&gt;=J$16,IF(MONTH($A75)=MONTH(J$16),AVERAGE(E63:E74),J74),J74))</f>
        <v>1.3187457141693943</v>
      </c>
      <c r="K75" s="958">
        <f t="shared" si="0"/>
        <v>63</v>
      </c>
      <c r="L75" s="1476">
        <f t="shared" ca="1" si="1"/>
        <v>1.0330489441562738</v>
      </c>
      <c r="M75" s="1474">
        <f t="shared" si="11"/>
        <v>0</v>
      </c>
      <c r="N75" s="1475">
        <f t="shared" ca="1" si="32"/>
        <v>1.097180617479341</v>
      </c>
      <c r="P75" s="1476">
        <f t="shared" ca="1" si="2"/>
        <v>1.0919370999534188</v>
      </c>
      <c r="Q75" s="1474">
        <f t="shared" si="13"/>
        <v>0</v>
      </c>
      <c r="R75" s="1475">
        <f t="shared" ca="1" si="33"/>
        <v>1.4211614171077698</v>
      </c>
      <c r="T75" s="1476">
        <f t="shared" ca="1" si="3"/>
        <v>1.0330489441562738</v>
      </c>
      <c r="U75" s="1474">
        <f t="shared" si="15"/>
        <v>1.0049999999999999</v>
      </c>
      <c r="V75" s="1475">
        <f t="shared" ca="1" si="34"/>
        <v>1.097180617479341</v>
      </c>
      <c r="X75" s="1476">
        <f t="shared" ca="1" si="4"/>
        <v>1.0305489441562738</v>
      </c>
      <c r="Y75" s="1474">
        <f t="shared" si="17"/>
        <v>1.02</v>
      </c>
      <c r="Z75" s="1475">
        <f t="shared" ca="1" si="35"/>
        <v>1.0952429010137783</v>
      </c>
      <c r="AB75" s="1476">
        <f t="shared" ca="1" si="5"/>
        <v>1.0305489441562738</v>
      </c>
      <c r="AC75" s="1474">
        <f t="shared" si="19"/>
        <v>1.02</v>
      </c>
      <c r="AD75" s="1475">
        <f t="shared" ca="1" si="36"/>
        <v>1.0952429010137783</v>
      </c>
      <c r="AF75" s="1476">
        <f t="shared" ca="1" si="6"/>
        <v>1.0919370999534188</v>
      </c>
      <c r="AG75" s="1474">
        <f t="shared" si="21"/>
        <v>0</v>
      </c>
      <c r="AH75" s="1475">
        <f t="shared" ca="1" si="37"/>
        <v>1.4211614171077698</v>
      </c>
      <c r="AJ75" s="1476">
        <f t="shared" ca="1" si="7"/>
        <v>1.0305489441562738</v>
      </c>
      <c r="AK75" s="1474">
        <f t="shared" si="23"/>
        <v>1.02</v>
      </c>
      <c r="AL75" s="1475">
        <f t="shared" ca="1" si="38"/>
        <v>1.0952429010137783</v>
      </c>
      <c r="AN75" s="1476">
        <f t="shared" ca="1" si="8"/>
        <v>1.0330489441562738</v>
      </c>
      <c r="AO75" s="1474">
        <f t="shared" si="25"/>
        <v>1.0049999999999999</v>
      </c>
      <c r="AP75" s="1475">
        <f t="shared" ca="1" si="39"/>
        <v>1.097180617479341</v>
      </c>
      <c r="AR75" s="701">
        <f t="shared" si="27"/>
        <v>37104</v>
      </c>
      <c r="AS75" s="1478">
        <f ca="1">IF(AND($A75&gt;=EDATE(AS$17,12),IF(Assm!$L$74=0,$D75,$E75)/AS74&gt;=1.05),IF(Assm!$L$74=0,$D75,$E75),AS74)</f>
        <v>2.0499999999999998</v>
      </c>
      <c r="AT75" s="1478">
        <f t="shared" ca="1" si="28"/>
        <v>1.6965985268559132</v>
      </c>
      <c r="AU75" s="1478">
        <f t="shared" ca="1" si="29"/>
        <v>1.0919370999534188</v>
      </c>
      <c r="AV75" s="1478">
        <f t="shared" ca="1" si="30"/>
        <v>1.6965985268559132</v>
      </c>
      <c r="AW75" s="1475">
        <f t="shared" ca="1" si="31"/>
        <v>1.924882629107981</v>
      </c>
    </row>
    <row r="76" spans="1:49">
      <c r="A76" s="883">
        <f t="shared" si="10"/>
        <v>37135</v>
      </c>
      <c r="B76" s="1390">
        <f ca="1">'[2]Monthly Curve Calc.'!B79</f>
        <v>205.95232504776021</v>
      </c>
      <c r="C76" s="1391">
        <f ca="1">'[2]Monthly Curve Calc.'!C79</f>
        <v>178.13641182490562</v>
      </c>
      <c r="D76" s="1512">
        <f ca="1">'[2]Monthly Curve Calc.'!F79</f>
        <v>1.9429996175480302</v>
      </c>
      <c r="E76" s="1304">
        <f t="shared" ca="1" si="9"/>
        <v>1.4089159586729543</v>
      </c>
      <c r="F76" s="1473">
        <f ca="1">IF(Assm!$L$75=0,F75,IF(AND($A76&gt;F$16,MONTH($A76)=MONTH(F$16)),B75/B63,F75))</f>
        <v>1.0919370999534188</v>
      </c>
      <c r="G76" s="1474">
        <f ca="1">IF(Assm!$L$75=0,G75,IF(AND($A76&gt;G$16,MONTH($A76)=MONTH(G$16)),C75/C63,G75))</f>
        <v>1.0330489441562738</v>
      </c>
      <c r="H76" s="1474">
        <f ca="1">IF(Assm!$L$75=0,H75,IF(AND($A76&gt;H$16,MONTH($A76)=MONTH(H$16)),C75/C63-H$18,H75))</f>
        <v>1.0305489441562738</v>
      </c>
      <c r="I76" s="1474">
        <f ca="1">IF(Assm!$L$75=0,I75,IF($A76&gt;=I$16,IF(MONTH($A76)=MONTH(I$16),AVERAGE(D64:D75),I75),I75))</f>
        <v>1.7762172530894818</v>
      </c>
      <c r="J76" s="1475">
        <f ca="1">IF(Assm!$L$75=0,J75,IF($A76&gt;=J$16,IF(MONTH($A76)=MONTH(J$16),AVERAGE(E64:E75),J75),J75))</f>
        <v>1.3187457141693943</v>
      </c>
      <c r="K76" s="958">
        <f t="shared" si="0"/>
        <v>64</v>
      </c>
      <c r="L76" s="1476">
        <f t="shared" ca="1" si="1"/>
        <v>1.0330489441562738</v>
      </c>
      <c r="M76" s="1474">
        <f t="shared" si="11"/>
        <v>0</v>
      </c>
      <c r="N76" s="1475">
        <f t="shared" ca="1" si="32"/>
        <v>1.097180617479341</v>
      </c>
      <c r="P76" s="1476">
        <f t="shared" ca="1" si="2"/>
        <v>1.0919370999534188</v>
      </c>
      <c r="Q76" s="1474">
        <f t="shared" si="13"/>
        <v>0</v>
      </c>
      <c r="R76" s="1475">
        <f t="shared" ca="1" si="33"/>
        <v>1.4211614171077698</v>
      </c>
      <c r="T76" s="1476">
        <f t="shared" ca="1" si="3"/>
        <v>1.0330489441562738</v>
      </c>
      <c r="U76" s="1474">
        <f t="shared" si="15"/>
        <v>1.0049999999999999</v>
      </c>
      <c r="V76" s="1475">
        <f t="shared" ca="1" si="34"/>
        <v>1.097180617479341</v>
      </c>
      <c r="X76" s="1476">
        <f t="shared" ca="1" si="4"/>
        <v>1.0305489441562738</v>
      </c>
      <c r="Y76" s="1474">
        <f t="shared" si="17"/>
        <v>1.02</v>
      </c>
      <c r="Z76" s="1475">
        <f t="shared" ca="1" si="35"/>
        <v>1.0952429010137783</v>
      </c>
      <c r="AB76" s="1476">
        <f t="shared" ca="1" si="5"/>
        <v>1.0305489441562738</v>
      </c>
      <c r="AC76" s="1474">
        <f t="shared" si="19"/>
        <v>1.02</v>
      </c>
      <c r="AD76" s="1475">
        <f t="shared" ca="1" si="36"/>
        <v>1.0952429010137783</v>
      </c>
      <c r="AF76" s="1476">
        <f t="shared" ca="1" si="6"/>
        <v>1.0919370999534188</v>
      </c>
      <c r="AG76" s="1474">
        <f t="shared" si="21"/>
        <v>0</v>
      </c>
      <c r="AH76" s="1475">
        <f t="shared" ca="1" si="37"/>
        <v>1.4211614171077698</v>
      </c>
      <c r="AJ76" s="1476">
        <f t="shared" ca="1" si="7"/>
        <v>1.0305489441562738</v>
      </c>
      <c r="AK76" s="1474">
        <f t="shared" si="23"/>
        <v>1.02</v>
      </c>
      <c r="AL76" s="1475">
        <f t="shared" ca="1" si="38"/>
        <v>1.0952429010137783</v>
      </c>
      <c r="AN76" s="1476">
        <f t="shared" ca="1" si="8"/>
        <v>1.0330489441562738</v>
      </c>
      <c r="AO76" s="1474">
        <f t="shared" si="25"/>
        <v>1.0049999999999999</v>
      </c>
      <c r="AP76" s="1475">
        <f t="shared" ca="1" si="39"/>
        <v>1.097180617479341</v>
      </c>
      <c r="AR76" s="701">
        <f t="shared" si="27"/>
        <v>37135</v>
      </c>
      <c r="AS76" s="1478">
        <f ca="1">IF(AND($A76&gt;=EDATE(AS$17,12),IF(Assm!$L$74=0,$D76,$E76)/AS75&gt;=1.05),IF(Assm!$L$74=0,$D76,$E76),AS75)</f>
        <v>2.0499999999999998</v>
      </c>
      <c r="AT76" s="1478">
        <f t="shared" ca="1" si="28"/>
        <v>1.6965985268559132</v>
      </c>
      <c r="AU76" s="1478">
        <f t="shared" ca="1" si="29"/>
        <v>1.0919370999534188</v>
      </c>
      <c r="AV76" s="1478">
        <f t="shared" ca="1" si="30"/>
        <v>1.6965985268559132</v>
      </c>
      <c r="AW76" s="1475">
        <f t="shared" ca="1" si="31"/>
        <v>1.924882629107981</v>
      </c>
    </row>
    <row r="77" spans="1:49">
      <c r="A77" s="883">
        <f t="shared" si="10"/>
        <v>37165</v>
      </c>
      <c r="B77" s="1390">
        <f ca="1">'[2]Monthly Curve Calc.'!B80</f>
        <v>207.43669004208951</v>
      </c>
      <c r="C77" s="1391">
        <f ca="1">'[2]Monthly Curve Calc.'!C80</f>
        <v>178.61384206514646</v>
      </c>
      <c r="D77" s="1512">
        <f ca="1">'[2]Monthly Curve Calc.'!F80</f>
        <v>1.95910652681061</v>
      </c>
      <c r="E77" s="1304">
        <f t="shared" ca="1" si="9"/>
        <v>1.4152773323676173</v>
      </c>
      <c r="F77" s="1473">
        <f ca="1">IF(Assm!$L$75=0,F76,IF(AND($A77&gt;F$16,MONTH($A77)=MONTH(F$16)),B76/B64,F76))</f>
        <v>1.0919370999534188</v>
      </c>
      <c r="G77" s="1474">
        <f ca="1">IF(Assm!$L$75=0,G76,IF(AND($A77&gt;G$16,MONTH($A77)=MONTH(G$16)),C76/C64,G76))</f>
        <v>1.0330489441562738</v>
      </c>
      <c r="H77" s="1474">
        <f ca="1">IF(Assm!$L$75=0,H76,IF(AND($A77&gt;H$16,MONTH($A77)=MONTH(H$16)),C76/C64-H$18,H76))</f>
        <v>1.0305489441562738</v>
      </c>
      <c r="I77" s="1474">
        <f ca="1">IF(Assm!$L$75=0,I76,IF($A77&gt;=I$16,IF(MONTH($A77)=MONTH(I$16),AVERAGE(D65:D76),I76),I76))</f>
        <v>1.7762172530894818</v>
      </c>
      <c r="J77" s="1475">
        <f ca="1">IF(Assm!$L$75=0,J76,IF($A77&gt;=J$16,IF(MONTH($A77)=MONTH(J$16),AVERAGE(E65:E76),J76),J76))</f>
        <v>1.3187457141693943</v>
      </c>
      <c r="K77" s="958">
        <f t="shared" ref="K77:K140" si="40">K76+1</f>
        <v>65</v>
      </c>
      <c r="L77" s="1476">
        <f t="shared" ca="1" si="1"/>
        <v>1.0330489441562738</v>
      </c>
      <c r="M77" s="1474">
        <f t="shared" si="11"/>
        <v>0</v>
      </c>
      <c r="N77" s="1475">
        <f t="shared" ca="1" si="32"/>
        <v>1.097180617479341</v>
      </c>
      <c r="P77" s="1476">
        <f t="shared" ca="1" si="2"/>
        <v>1.0919370999534188</v>
      </c>
      <c r="Q77" s="1474">
        <f t="shared" si="13"/>
        <v>0</v>
      </c>
      <c r="R77" s="1475">
        <f t="shared" ca="1" si="33"/>
        <v>1.4211614171077698</v>
      </c>
      <c r="T77" s="1476">
        <f t="shared" ca="1" si="3"/>
        <v>1.0330489441562738</v>
      </c>
      <c r="U77" s="1474">
        <f t="shared" si="15"/>
        <v>1.0049999999999999</v>
      </c>
      <c r="V77" s="1475">
        <f t="shared" ca="1" si="34"/>
        <v>1.097180617479341</v>
      </c>
      <c r="X77" s="1476">
        <f t="shared" ca="1" si="4"/>
        <v>1.0305489441562738</v>
      </c>
      <c r="Y77" s="1474">
        <f t="shared" si="17"/>
        <v>1.02</v>
      </c>
      <c r="Z77" s="1475">
        <f t="shared" ca="1" si="35"/>
        <v>1.0952429010137783</v>
      </c>
      <c r="AB77" s="1476">
        <f t="shared" ca="1" si="5"/>
        <v>1.0305489441562738</v>
      </c>
      <c r="AC77" s="1474">
        <f t="shared" si="19"/>
        <v>1.02</v>
      </c>
      <c r="AD77" s="1475">
        <f t="shared" ca="1" si="36"/>
        <v>1.0952429010137783</v>
      </c>
      <c r="AF77" s="1476">
        <f t="shared" ca="1" si="6"/>
        <v>1.0919370999534188</v>
      </c>
      <c r="AG77" s="1474">
        <f t="shared" si="21"/>
        <v>0</v>
      </c>
      <c r="AH77" s="1475">
        <f t="shared" ca="1" si="37"/>
        <v>1.4211614171077698</v>
      </c>
      <c r="AJ77" s="1476">
        <f t="shared" ca="1" si="7"/>
        <v>1.0305489441562738</v>
      </c>
      <c r="AK77" s="1474">
        <f t="shared" si="23"/>
        <v>1.02</v>
      </c>
      <c r="AL77" s="1475">
        <f t="shared" ca="1" si="38"/>
        <v>1.0952429010137783</v>
      </c>
      <c r="AN77" s="1476">
        <f t="shared" ca="1" si="8"/>
        <v>1.0330489441562738</v>
      </c>
      <c r="AO77" s="1474">
        <f t="shared" si="25"/>
        <v>1.0049999999999999</v>
      </c>
      <c r="AP77" s="1475">
        <f t="shared" ca="1" si="39"/>
        <v>1.097180617479341</v>
      </c>
      <c r="AR77" s="701">
        <f t="shared" si="27"/>
        <v>37165</v>
      </c>
      <c r="AS77" s="1478">
        <f ca="1">IF(AND($A77&gt;=EDATE(AS$17,12),IF(Assm!$L$74=0,$D77,$E77)/AS76&gt;=1.05),IF(Assm!$L$74=0,$D77,$E77),AS76)</f>
        <v>2.0499999999999998</v>
      </c>
      <c r="AT77" s="1478">
        <f t="shared" ca="1" si="28"/>
        <v>1.6965985268559132</v>
      </c>
      <c r="AU77" s="1478">
        <f t="shared" ca="1" si="29"/>
        <v>1.0919370999534188</v>
      </c>
      <c r="AV77" s="1478">
        <f t="shared" ca="1" si="30"/>
        <v>1.6965985268559132</v>
      </c>
      <c r="AW77" s="1475">
        <f t="shared" ca="1" si="31"/>
        <v>1.924882629107981</v>
      </c>
    </row>
    <row r="78" spans="1:49">
      <c r="A78" s="883">
        <f t="shared" si="10"/>
        <v>37196</v>
      </c>
      <c r="B78" s="1390">
        <f ca="1">'[2]Monthly Curve Calc.'!B81</f>
        <v>208.93175333485209</v>
      </c>
      <c r="C78" s="1391">
        <f ca="1">'[2]Monthly Curve Calc.'!C81</f>
        <v>179.09255188451411</v>
      </c>
      <c r="D78" s="1512">
        <f ca="1">'[2]Monthly Curve Calc.'!F81</f>
        <v>1.9753469577289071</v>
      </c>
      <c r="E78" s="1304">
        <f t="shared" ca="1" si="9"/>
        <v>1.4216674281979296</v>
      </c>
      <c r="F78" s="1473">
        <f ca="1">IF(Assm!$L$75=0,F77,IF(AND($A78&gt;F$16,MONTH($A78)=MONTH(F$16)),B77/B65,F77))</f>
        <v>1.0919370999534188</v>
      </c>
      <c r="G78" s="1474">
        <f ca="1">IF(Assm!$L$75=0,G77,IF(AND($A78&gt;G$16,MONTH($A78)=MONTH(G$16)),C77/C65,G77))</f>
        <v>1.0330489441562738</v>
      </c>
      <c r="H78" s="1474">
        <f ca="1">IF(Assm!$L$75=0,H77,IF(AND($A78&gt;H$16,MONTH($A78)=MONTH(H$16)),C77/C65-H$18,H77))</f>
        <v>1.0305489441562738</v>
      </c>
      <c r="I78" s="1474">
        <f ca="1">IF(Assm!$L$75=0,I77,IF($A78&gt;=I$16,IF(MONTH($A78)=MONTH(I$16),AVERAGE(D66:D77),I77),I77))</f>
        <v>1.7762172530894818</v>
      </c>
      <c r="J78" s="1475">
        <f ca="1">IF(Assm!$L$75=0,J77,IF($A78&gt;=J$16,IF(MONTH($A78)=MONTH(J$16),AVERAGE(E66:E77),J77),J77))</f>
        <v>1.3187457141693943</v>
      </c>
      <c r="K78" s="958">
        <f t="shared" si="40"/>
        <v>66</v>
      </c>
      <c r="L78" s="1476">
        <f t="shared" ca="1" si="1"/>
        <v>1.0330489441562738</v>
      </c>
      <c r="M78" s="1474">
        <f t="shared" si="11"/>
        <v>0</v>
      </c>
      <c r="N78" s="1475">
        <f t="shared" ca="1" si="32"/>
        <v>1.097180617479341</v>
      </c>
      <c r="P78" s="1476">
        <f t="shared" ca="1" si="2"/>
        <v>1.0919370999534188</v>
      </c>
      <c r="Q78" s="1474">
        <f t="shared" si="13"/>
        <v>0</v>
      </c>
      <c r="R78" s="1475">
        <f t="shared" ca="1" si="33"/>
        <v>1.4211614171077698</v>
      </c>
      <c r="T78" s="1476">
        <f t="shared" ca="1" si="3"/>
        <v>1.0330489441562738</v>
      </c>
      <c r="U78" s="1474">
        <f t="shared" si="15"/>
        <v>1.0049999999999999</v>
      </c>
      <c r="V78" s="1475">
        <f t="shared" ca="1" si="34"/>
        <v>1.097180617479341</v>
      </c>
      <c r="X78" s="1476">
        <f t="shared" ca="1" si="4"/>
        <v>1.0305489441562738</v>
      </c>
      <c r="Y78" s="1474">
        <f t="shared" si="17"/>
        <v>1.02</v>
      </c>
      <c r="Z78" s="1475">
        <f t="shared" ca="1" si="35"/>
        <v>1.0952429010137783</v>
      </c>
      <c r="AB78" s="1476">
        <f t="shared" ca="1" si="5"/>
        <v>1.0305489441562738</v>
      </c>
      <c r="AC78" s="1474">
        <f t="shared" si="19"/>
        <v>1.02</v>
      </c>
      <c r="AD78" s="1475">
        <f t="shared" ca="1" si="36"/>
        <v>1.0952429010137783</v>
      </c>
      <c r="AF78" s="1476">
        <f t="shared" ca="1" si="6"/>
        <v>1.0919370999534188</v>
      </c>
      <c r="AG78" s="1474">
        <f t="shared" si="21"/>
        <v>0</v>
      </c>
      <c r="AH78" s="1475">
        <f t="shared" ca="1" si="37"/>
        <v>1.4211614171077698</v>
      </c>
      <c r="AJ78" s="1476">
        <f t="shared" ca="1" si="7"/>
        <v>1.0305489441562738</v>
      </c>
      <c r="AK78" s="1474">
        <f t="shared" si="23"/>
        <v>1.02</v>
      </c>
      <c r="AL78" s="1475">
        <f t="shared" ca="1" si="38"/>
        <v>1.0952429010137783</v>
      </c>
      <c r="AN78" s="1476">
        <f t="shared" ca="1" si="8"/>
        <v>1.0330489441562738</v>
      </c>
      <c r="AO78" s="1474">
        <f t="shared" si="25"/>
        <v>1.0049999999999999</v>
      </c>
      <c r="AP78" s="1475">
        <f t="shared" ca="1" si="39"/>
        <v>1.097180617479341</v>
      </c>
      <c r="AR78" s="701">
        <f t="shared" si="27"/>
        <v>37196</v>
      </c>
      <c r="AS78" s="1478">
        <f ca="1">IF(AND($A78&gt;=EDATE(AS$17,12),IF(Assm!$L$74=0,$D78,$E78)/AS77&gt;=1.05),IF(Assm!$L$74=0,$D78,$E78),AS77)</f>
        <v>2.0499999999999998</v>
      </c>
      <c r="AT78" s="1478">
        <f t="shared" ca="1" si="28"/>
        <v>1.6965985268559132</v>
      </c>
      <c r="AU78" s="1478">
        <f t="shared" ca="1" si="29"/>
        <v>1.0919370999534188</v>
      </c>
      <c r="AV78" s="1478">
        <f t="shared" ca="1" si="30"/>
        <v>1.6965985268559132</v>
      </c>
      <c r="AW78" s="1475">
        <f t="shared" ca="1" si="31"/>
        <v>1.924882629107981</v>
      </c>
    </row>
    <row r="79" spans="1:49">
      <c r="A79" s="883">
        <f t="shared" si="10"/>
        <v>37226</v>
      </c>
      <c r="B79" s="1390">
        <f ca="1">'[2]Monthly Curve Calc.'!B82</f>
        <v>210.4375920321437</v>
      </c>
      <c r="C79" s="1391">
        <f ca="1">'[2]Monthly Curve Calc.'!C82</f>
        <v>179.57254471245776</v>
      </c>
      <c r="D79" s="1512">
        <f ca="1">'[2]Monthly Curve Calc.'!F82</f>
        <v>1.9917220171591306</v>
      </c>
      <c r="E79" s="1304">
        <f t="shared" ca="1" si="9"/>
        <v>1.4280863758467417</v>
      </c>
      <c r="F79" s="1473">
        <f ca="1">IF(Assm!$L$75=0,F78,IF(AND($A79&gt;F$16,MONTH($A79)=MONTH(F$16)),B78/B66,F78))</f>
        <v>1.0919370999534188</v>
      </c>
      <c r="G79" s="1474">
        <f ca="1">IF(Assm!$L$75=0,G78,IF(AND($A79&gt;G$16,MONTH($A79)=MONTH(G$16)),C78/C66,G78))</f>
        <v>1.0330489441562738</v>
      </c>
      <c r="H79" s="1474">
        <f ca="1">IF(Assm!$L$75=0,H78,IF(AND($A79&gt;H$16,MONTH($A79)=MONTH(H$16)),C78/C66-H$18,H78))</f>
        <v>1.0305489441562738</v>
      </c>
      <c r="I79" s="1474">
        <f ca="1">IF(Assm!$L$75=0,I78,IF($A79&gt;=I$16,IF(MONTH($A79)=MONTH(I$16),AVERAGE(D67:D78),I78),I78))</f>
        <v>1.7762172530894818</v>
      </c>
      <c r="J79" s="1475">
        <f ca="1">IF(Assm!$L$75=0,J78,IF($A79&gt;=J$16,IF(MONTH($A79)=MONTH(J$16),AVERAGE(E67:E78),J78),J78))</f>
        <v>1.3187457141693943</v>
      </c>
      <c r="K79" s="958">
        <f t="shared" si="40"/>
        <v>67</v>
      </c>
      <c r="L79" s="1476">
        <f t="shared" ca="1" si="1"/>
        <v>1.0330489441562738</v>
      </c>
      <c r="M79" s="1474">
        <f t="shared" si="11"/>
        <v>0</v>
      </c>
      <c r="N79" s="1475">
        <f t="shared" ca="1" si="32"/>
        <v>1.097180617479341</v>
      </c>
      <c r="P79" s="1476">
        <f t="shared" ca="1" si="2"/>
        <v>1.0919370999534188</v>
      </c>
      <c r="Q79" s="1474">
        <f t="shared" si="13"/>
        <v>0</v>
      </c>
      <c r="R79" s="1475">
        <f t="shared" ca="1" si="33"/>
        <v>1.4211614171077698</v>
      </c>
      <c r="T79" s="1476">
        <f t="shared" ca="1" si="3"/>
        <v>1.0330489441562738</v>
      </c>
      <c r="U79" s="1474">
        <f t="shared" si="15"/>
        <v>1.0049999999999999</v>
      </c>
      <c r="V79" s="1475">
        <f t="shared" ca="1" si="34"/>
        <v>1.097180617479341</v>
      </c>
      <c r="X79" s="1476">
        <f t="shared" ca="1" si="4"/>
        <v>1.0305489441562738</v>
      </c>
      <c r="Y79" s="1474">
        <f t="shared" si="17"/>
        <v>1.02</v>
      </c>
      <c r="Z79" s="1475">
        <f t="shared" ca="1" si="35"/>
        <v>1.0952429010137783</v>
      </c>
      <c r="AB79" s="1476">
        <f t="shared" ca="1" si="5"/>
        <v>1.0305489441562738</v>
      </c>
      <c r="AC79" s="1474">
        <f t="shared" si="19"/>
        <v>1.02</v>
      </c>
      <c r="AD79" s="1475">
        <f t="shared" ca="1" si="36"/>
        <v>1.0952429010137783</v>
      </c>
      <c r="AF79" s="1476">
        <f t="shared" ca="1" si="6"/>
        <v>1.0919370999534188</v>
      </c>
      <c r="AG79" s="1474">
        <f t="shared" si="21"/>
        <v>0</v>
      </c>
      <c r="AH79" s="1475">
        <f t="shared" ca="1" si="37"/>
        <v>1.4211614171077698</v>
      </c>
      <c r="AJ79" s="1476">
        <f t="shared" ca="1" si="7"/>
        <v>1.0305489441562738</v>
      </c>
      <c r="AK79" s="1474">
        <f t="shared" si="23"/>
        <v>1.02</v>
      </c>
      <c r="AL79" s="1475">
        <f t="shared" ca="1" si="38"/>
        <v>1.0952429010137783</v>
      </c>
      <c r="AN79" s="1476">
        <f t="shared" ca="1" si="8"/>
        <v>1.0330489441562738</v>
      </c>
      <c r="AO79" s="1474">
        <f t="shared" si="25"/>
        <v>1.0049999999999999</v>
      </c>
      <c r="AP79" s="1475">
        <f t="shared" ca="1" si="39"/>
        <v>1.097180617479341</v>
      </c>
      <c r="AR79" s="701">
        <f t="shared" si="27"/>
        <v>37226</v>
      </c>
      <c r="AS79" s="1478">
        <f ca="1">IF(AND($A79&gt;=EDATE(AS$17,12),IF(Assm!$L$74=0,$D79,$E79)/AS78&gt;=1.05),IF(Assm!$L$74=0,$D79,$E79),AS78)</f>
        <v>2.0499999999999998</v>
      </c>
      <c r="AT79" s="1478">
        <f t="shared" ca="1" si="28"/>
        <v>1.6965985268559132</v>
      </c>
      <c r="AU79" s="1478">
        <f t="shared" ca="1" si="29"/>
        <v>1.0919370999534188</v>
      </c>
      <c r="AV79" s="1478">
        <f t="shared" ca="1" si="30"/>
        <v>1.6965985268559132</v>
      </c>
      <c r="AW79" s="1475">
        <f t="shared" ca="1" si="31"/>
        <v>1.924882629107981</v>
      </c>
    </row>
    <row r="80" spans="1:49">
      <c r="A80" s="883">
        <f t="shared" si="10"/>
        <v>37257</v>
      </c>
      <c r="B80" s="1390">
        <f ca="1">'[2]Monthly Curve Calc.'!B83</f>
        <v>211.87309067014004</v>
      </c>
      <c r="C80" s="1391">
        <f ca="1">'[2]Monthly Curve Calc.'!C83</f>
        <v>180.02195483939127</v>
      </c>
      <c r="D80" s="1512">
        <f ca="1">'[2]Monthly Curve Calc.'!F83</f>
        <v>2.0024865610216462</v>
      </c>
      <c r="E80" s="1304">
        <f t="shared" ca="1" si="9"/>
        <v>1.4342386371149447</v>
      </c>
      <c r="F80" s="1473">
        <f ca="1">IF(Assm!$L$75=0,F79,IF(AND($A80&gt;F$16,MONTH($A80)=MONTH(F$16)),B79/B67,F79))</f>
        <v>1.0919370999534188</v>
      </c>
      <c r="G80" s="1474">
        <f ca="1">IF(Assm!$L$75=0,G79,IF(AND($A80&gt;G$16,MONTH($A80)=MONTH(G$16)),C79/C67,G79))</f>
        <v>1.0330489441562738</v>
      </c>
      <c r="H80" s="1474">
        <f ca="1">IF(Assm!$L$75=0,H79,IF(AND($A80&gt;H$16,MONTH($A80)=MONTH(H$16)),C79/C67-H$18,H79))</f>
        <v>1.0305489441562738</v>
      </c>
      <c r="I80" s="1474">
        <f ca="1">IF(Assm!$L$75=0,I79,IF($A80&gt;=I$16,IF(MONTH($A80)=MONTH(I$16),AVERAGE(D68:D79),I79),I79))</f>
        <v>1.9040823167445471</v>
      </c>
      <c r="J80" s="1475">
        <f ca="1">IF(Assm!$L$75=0,J79,IF($A80&gt;=J$16,IF(MONTH($A80)=MONTH(J$16),AVERAGE(E68:E79),J79),J79))</f>
        <v>1.3933058026367533</v>
      </c>
      <c r="K80" s="958">
        <f t="shared" si="40"/>
        <v>68</v>
      </c>
      <c r="L80" s="1476">
        <f t="shared" ca="1" si="1"/>
        <v>1.0330489441562738</v>
      </c>
      <c r="M80" s="1474">
        <f t="shared" si="11"/>
        <v>0</v>
      </c>
      <c r="N80" s="1475">
        <f t="shared" ca="1" si="32"/>
        <v>1.097180617479341</v>
      </c>
      <c r="P80" s="1476">
        <f t="shared" ca="1" si="2"/>
        <v>1.0919370999534188</v>
      </c>
      <c r="Q80" s="1474">
        <f t="shared" si="13"/>
        <v>0</v>
      </c>
      <c r="R80" s="1475">
        <f t="shared" ca="1" si="33"/>
        <v>1.4211614171077698</v>
      </c>
      <c r="T80" s="1476">
        <f t="shared" ca="1" si="3"/>
        <v>1.0330489441562738</v>
      </c>
      <c r="U80" s="1474">
        <f t="shared" si="15"/>
        <v>1.0049999999999999</v>
      </c>
      <c r="V80" s="1475">
        <f t="shared" ca="1" si="34"/>
        <v>1.097180617479341</v>
      </c>
      <c r="X80" s="1476">
        <f t="shared" ca="1" si="4"/>
        <v>1.0305489441562738</v>
      </c>
      <c r="Y80" s="1474">
        <f t="shared" si="17"/>
        <v>1.02</v>
      </c>
      <c r="Z80" s="1475">
        <f t="shared" ca="1" si="35"/>
        <v>1.0952429010137783</v>
      </c>
      <c r="AB80" s="1476">
        <f t="shared" ca="1" si="5"/>
        <v>1.0305489441562738</v>
      </c>
      <c r="AC80" s="1474">
        <f t="shared" si="19"/>
        <v>1.02</v>
      </c>
      <c r="AD80" s="1475">
        <f t="shared" ca="1" si="36"/>
        <v>1.0952429010137783</v>
      </c>
      <c r="AF80" s="1476">
        <f t="shared" ca="1" si="6"/>
        <v>1.0919370999534188</v>
      </c>
      <c r="AG80" s="1474">
        <f t="shared" si="21"/>
        <v>0</v>
      </c>
      <c r="AH80" s="1475">
        <f t="shared" ca="1" si="37"/>
        <v>1.4211614171077698</v>
      </c>
      <c r="AJ80" s="1476">
        <f t="shared" ca="1" si="7"/>
        <v>1.0305489441562738</v>
      </c>
      <c r="AK80" s="1474">
        <f t="shared" si="23"/>
        <v>1.02</v>
      </c>
      <c r="AL80" s="1475">
        <f t="shared" ca="1" si="38"/>
        <v>1.0952429010137783</v>
      </c>
      <c r="AN80" s="1476">
        <f t="shared" ca="1" si="8"/>
        <v>1.0330489441562738</v>
      </c>
      <c r="AO80" s="1474">
        <f t="shared" si="25"/>
        <v>1.0049999999999999</v>
      </c>
      <c r="AP80" s="1475">
        <f t="shared" ca="1" si="39"/>
        <v>1.097180617479341</v>
      </c>
      <c r="AR80" s="701">
        <f t="shared" si="27"/>
        <v>37257</v>
      </c>
      <c r="AS80" s="1478">
        <f ca="1">IF(AND($A80&gt;=EDATE(AS$17,12),IF(Assm!$L$74=0,$D80,$E80)/AS79&gt;=1.05),IF(Assm!$L$74=0,$D80,$E80),AS79)</f>
        <v>2.0499999999999998</v>
      </c>
      <c r="AT80" s="1478">
        <f t="shared" ca="1" si="28"/>
        <v>1.6965985268559132</v>
      </c>
      <c r="AU80" s="1478">
        <f t="shared" ca="1" si="29"/>
        <v>1.0919370999534188</v>
      </c>
      <c r="AV80" s="1478">
        <f t="shared" ca="1" si="30"/>
        <v>1.6965985268559132</v>
      </c>
      <c r="AW80" s="1475">
        <f t="shared" ca="1" si="31"/>
        <v>1.924882629107981</v>
      </c>
    </row>
    <row r="81" spans="1:49">
      <c r="A81" s="883">
        <f t="shared" si="10"/>
        <v>37288</v>
      </c>
      <c r="B81" s="1390">
        <f ca="1">'[2]Monthly Curve Calc.'!B84</f>
        <v>213.31838155257233</v>
      </c>
      <c r="C81" s="1391">
        <f ca="1">'[2]Monthly Curve Calc.'!C84</f>
        <v>180.47248968983146</v>
      </c>
      <c r="D81" s="1512">
        <f ca="1">'[2]Monthly Curve Calc.'!F84</f>
        <v>2.0133092833867692</v>
      </c>
      <c r="E81" s="1304">
        <f t="shared" ca="1" si="9"/>
        <v>1.440417402605408</v>
      </c>
      <c r="F81" s="1473">
        <f ca="1">IF(Assm!$L$75=0,F80,IF(AND($A81&gt;F$16,MONTH($A81)=MONTH(F$16)),B80/B68,F80))</f>
        <v>1.0919370999534188</v>
      </c>
      <c r="G81" s="1474">
        <f ca="1">IF(Assm!$L$75=0,G80,IF(AND($A81&gt;G$16,MONTH($A81)=MONTH(G$16)),C80/C68,G80))</f>
        <v>1.0330489441562738</v>
      </c>
      <c r="H81" s="1474">
        <f ca="1">IF(Assm!$L$75=0,H80,IF(AND($A81&gt;H$16,MONTH($A81)=MONTH(H$16)),C80/C68-H$18,H80))</f>
        <v>1.0305489441562738</v>
      </c>
      <c r="I81" s="1474">
        <f ca="1">IF(Assm!$L$75=0,I80,IF($A81&gt;=I$16,IF(MONTH($A81)=MONTH(I$16),AVERAGE(D69:D80),I80),I80))</f>
        <v>1.9040823167445471</v>
      </c>
      <c r="J81" s="1475">
        <f ca="1">IF(Assm!$L$75=0,J80,IF($A81&gt;=J$16,IF(MONTH($A81)=MONTH(J$16),AVERAGE(E69:E80),J80),J80))</f>
        <v>1.3933058026367533</v>
      </c>
      <c r="K81" s="958">
        <f t="shared" si="40"/>
        <v>69</v>
      </c>
      <c r="L81" s="1476">
        <f t="shared" ref="L81:L144" ca="1" si="41">HLOOKUP(L$14,Dec_Change,$K81)</f>
        <v>1.0330489441562738</v>
      </c>
      <c r="M81" s="1474">
        <f t="shared" si="11"/>
        <v>0</v>
      </c>
      <c r="N81" s="1475">
        <f t="shared" ca="1" si="32"/>
        <v>1.097180617479341</v>
      </c>
      <c r="P81" s="1476">
        <f t="shared" ref="P81:P144" ca="1" si="42">HLOOKUP(P$14,Dec_Change,$K81)</f>
        <v>1.0919370999534188</v>
      </c>
      <c r="Q81" s="1474">
        <f t="shared" si="13"/>
        <v>0</v>
      </c>
      <c r="R81" s="1475">
        <f t="shared" ca="1" si="33"/>
        <v>1.4211614171077698</v>
      </c>
      <c r="T81" s="1476">
        <f t="shared" ref="T81:T144" ca="1" si="43">HLOOKUP(T$14,Dec_Change,$K81)</f>
        <v>1.0330489441562738</v>
      </c>
      <c r="U81" s="1474">
        <f t="shared" si="15"/>
        <v>1.0049999999999999</v>
      </c>
      <c r="V81" s="1475">
        <f t="shared" ca="1" si="34"/>
        <v>1.097180617479341</v>
      </c>
      <c r="X81" s="1476">
        <f t="shared" ref="X81:X144" ca="1" si="44">HLOOKUP(X$14,Dec_Change,$K81)</f>
        <v>1.0305489441562738</v>
      </c>
      <c r="Y81" s="1474">
        <f t="shared" si="17"/>
        <v>1.02</v>
      </c>
      <c r="Z81" s="1475">
        <f t="shared" ca="1" si="35"/>
        <v>1.0952429010137783</v>
      </c>
      <c r="AB81" s="1476">
        <f t="shared" ref="AB81:AB144" ca="1" si="45">HLOOKUP(AB$14,Dec_Change,$K81)</f>
        <v>1.0305489441562738</v>
      </c>
      <c r="AC81" s="1474">
        <f t="shared" si="19"/>
        <v>1.02</v>
      </c>
      <c r="AD81" s="1475">
        <f t="shared" ca="1" si="36"/>
        <v>1.0952429010137783</v>
      </c>
      <c r="AF81" s="1476">
        <f t="shared" ref="AF81:AF144" ca="1" si="46">HLOOKUP(AF$14,Dec_Change,$K81)</f>
        <v>1.0919370999534188</v>
      </c>
      <c r="AG81" s="1474">
        <f t="shared" si="21"/>
        <v>0</v>
      </c>
      <c r="AH81" s="1475">
        <f t="shared" ca="1" si="37"/>
        <v>1.4211614171077698</v>
      </c>
      <c r="AJ81" s="1476">
        <f t="shared" ref="AJ81:AJ144" ca="1" si="47">HLOOKUP(AJ$14,Dec_Change,$K81)</f>
        <v>1.0305489441562738</v>
      </c>
      <c r="AK81" s="1474">
        <f t="shared" si="23"/>
        <v>1.02</v>
      </c>
      <c r="AL81" s="1475">
        <f t="shared" ca="1" si="38"/>
        <v>1.0952429010137783</v>
      </c>
      <c r="AN81" s="1476">
        <f t="shared" ref="AN81:AN144" ca="1" si="48">HLOOKUP(AN$14,Dec_Change,$K81)</f>
        <v>1.0330489441562738</v>
      </c>
      <c r="AO81" s="1474">
        <f t="shared" si="25"/>
        <v>1.0049999999999999</v>
      </c>
      <c r="AP81" s="1475">
        <f t="shared" ca="1" si="39"/>
        <v>1.097180617479341</v>
      </c>
      <c r="AR81" s="701">
        <f t="shared" si="27"/>
        <v>37288</v>
      </c>
      <c r="AS81" s="1478">
        <f ca="1">IF(AND($A81&gt;=EDATE(AS$17,12),IF(Assm!$L$74=0,$D81,$E81)/AS80&gt;=1.05),IF(Assm!$L$74=0,$D81,$E81),AS80)</f>
        <v>2.0499999999999998</v>
      </c>
      <c r="AT81" s="1478">
        <f t="shared" ca="1" si="28"/>
        <v>1.6965985268559132</v>
      </c>
      <c r="AU81" s="1478">
        <f t="shared" ca="1" si="29"/>
        <v>1.0919370999534188</v>
      </c>
      <c r="AV81" s="1478">
        <f t="shared" ca="1" si="30"/>
        <v>1.6965985268559132</v>
      </c>
      <c r="AW81" s="1475">
        <f t="shared" ca="1" si="31"/>
        <v>1.924882629107981</v>
      </c>
    </row>
    <row r="82" spans="1:49">
      <c r="A82" s="883">
        <f t="shared" si="10"/>
        <v>37316</v>
      </c>
      <c r="B82" s="1390">
        <f ca="1">'[2]Monthly Curve Calc.'!B85</f>
        <v>214.77353147717102</v>
      </c>
      <c r="C82" s="1391">
        <f ca="1">'[2]Monthly Curve Calc.'!C85</f>
        <v>180.92415207858576</v>
      </c>
      <c r="D82" s="1512">
        <f ca="1">'[2]Monthly Curve Calc.'!F85</f>
        <v>2.0241904986884602</v>
      </c>
      <c r="E82" s="1304">
        <f t="shared" ca="1" si="9"/>
        <v>1.4466227864995302</v>
      </c>
      <c r="F82" s="1473">
        <f ca="1">IF(Assm!$L$75=0,F81,IF(AND($A82&gt;F$16,MONTH($A82)=MONTH(F$16)),B81/B69,F81))</f>
        <v>1.0919370999534188</v>
      </c>
      <c r="G82" s="1474">
        <f ca="1">IF(Assm!$L$75=0,G81,IF(AND($A82&gt;G$16,MONTH($A82)=MONTH(G$16)),C81/C69,G81))</f>
        <v>1.0330489441562738</v>
      </c>
      <c r="H82" s="1474">
        <f ca="1">IF(Assm!$L$75=0,H81,IF(AND($A82&gt;H$16,MONTH($A82)=MONTH(H$16)),C81/C69-H$18,H81))</f>
        <v>1.0305489441562738</v>
      </c>
      <c r="I82" s="1474">
        <f ca="1">IF(Assm!$L$75=0,I81,IF($A82&gt;=I$16,IF(MONTH($A82)=MONTH(I$16),AVERAGE(D70:D81),I81),I81))</f>
        <v>1.9040823167445471</v>
      </c>
      <c r="J82" s="1475">
        <f ca="1">IF(Assm!$L$75=0,J81,IF($A82&gt;=J$16,IF(MONTH($A82)=MONTH(J$16),AVERAGE(E70:E81),J81),J81))</f>
        <v>1.3933058026367533</v>
      </c>
      <c r="K82" s="958">
        <f t="shared" si="40"/>
        <v>70</v>
      </c>
      <c r="L82" s="1476">
        <f t="shared" ca="1" si="41"/>
        <v>1.0330489441562738</v>
      </c>
      <c r="M82" s="1474">
        <f t="shared" si="11"/>
        <v>0</v>
      </c>
      <c r="N82" s="1475">
        <f t="shared" ca="1" si="32"/>
        <v>1.097180617479341</v>
      </c>
      <c r="P82" s="1476">
        <f t="shared" ca="1" si="42"/>
        <v>1.0919370999534188</v>
      </c>
      <c r="Q82" s="1474">
        <f t="shared" si="13"/>
        <v>0</v>
      </c>
      <c r="R82" s="1475">
        <f t="shared" ca="1" si="33"/>
        <v>1.4211614171077698</v>
      </c>
      <c r="T82" s="1476">
        <f t="shared" ca="1" si="43"/>
        <v>1.0330489441562738</v>
      </c>
      <c r="U82" s="1474">
        <f t="shared" si="15"/>
        <v>1.0049999999999999</v>
      </c>
      <c r="V82" s="1475">
        <f t="shared" ca="1" si="34"/>
        <v>1.097180617479341</v>
      </c>
      <c r="X82" s="1476">
        <f t="shared" ca="1" si="44"/>
        <v>1.0305489441562738</v>
      </c>
      <c r="Y82" s="1474">
        <f t="shared" si="17"/>
        <v>1.02</v>
      </c>
      <c r="Z82" s="1475">
        <f t="shared" ca="1" si="35"/>
        <v>1.0952429010137783</v>
      </c>
      <c r="AB82" s="1476">
        <f t="shared" ca="1" si="45"/>
        <v>1.0305489441562738</v>
      </c>
      <c r="AC82" s="1474">
        <f t="shared" si="19"/>
        <v>1.02</v>
      </c>
      <c r="AD82" s="1475">
        <f t="shared" ca="1" si="36"/>
        <v>1.0952429010137783</v>
      </c>
      <c r="AF82" s="1476">
        <f t="shared" ca="1" si="46"/>
        <v>1.0919370999534188</v>
      </c>
      <c r="AG82" s="1474">
        <f t="shared" si="21"/>
        <v>0</v>
      </c>
      <c r="AH82" s="1475">
        <f t="shared" ca="1" si="37"/>
        <v>1.4211614171077698</v>
      </c>
      <c r="AJ82" s="1476">
        <f t="shared" ca="1" si="47"/>
        <v>1.0305489441562738</v>
      </c>
      <c r="AK82" s="1474">
        <f t="shared" si="23"/>
        <v>1.02</v>
      </c>
      <c r="AL82" s="1475">
        <f t="shared" ca="1" si="38"/>
        <v>1.0952429010137783</v>
      </c>
      <c r="AN82" s="1476">
        <f t="shared" ca="1" si="48"/>
        <v>1.0330489441562738</v>
      </c>
      <c r="AO82" s="1474">
        <f t="shared" si="25"/>
        <v>1.0049999999999999</v>
      </c>
      <c r="AP82" s="1475">
        <f t="shared" ca="1" si="39"/>
        <v>1.097180617479341</v>
      </c>
      <c r="AR82" s="701">
        <f t="shared" si="27"/>
        <v>37316</v>
      </c>
      <c r="AS82" s="1478">
        <f ca="1">IF(AND($A82&gt;=EDATE(AS$17,12),IF(Assm!$L$74=0,$D82,$E82)/AS81&gt;=1.05),IF(Assm!$L$74=0,$D82,$E82),AS81)</f>
        <v>2.0499999999999998</v>
      </c>
      <c r="AT82" s="1478">
        <f t="shared" ca="1" si="28"/>
        <v>1.6965985268559132</v>
      </c>
      <c r="AU82" s="1478">
        <f t="shared" ca="1" si="29"/>
        <v>1.0919370999534188</v>
      </c>
      <c r="AV82" s="1478">
        <f t="shared" ca="1" si="30"/>
        <v>1.6965985268559132</v>
      </c>
      <c r="AW82" s="1475">
        <f t="shared" ca="1" si="31"/>
        <v>1.924882629107981</v>
      </c>
    </row>
    <row r="83" spans="1:49">
      <c r="A83" s="883">
        <f t="shared" si="10"/>
        <v>37347</v>
      </c>
      <c r="B83" s="1390">
        <f ca="1">'[2]Monthly Curve Calc.'!B86</f>
        <v>216.23860769732684</v>
      </c>
      <c r="C83" s="1391">
        <f ca="1">'[2]Monthly Curve Calc.'!C86</f>
        <v>181.37694482750612</v>
      </c>
      <c r="D83" s="1512">
        <f ca="1">'[2]Monthly Curve Calc.'!F86</f>
        <v>2.0351305230600838</v>
      </c>
      <c r="E83" s="1304">
        <f t="shared" ref="E83:E146" ca="1" si="49">IF($A83&lt;=E$16,D83,(B83/B82)/(C83/C82)*E82)</f>
        <v>1.4528549034706091</v>
      </c>
      <c r="F83" s="1473">
        <f ca="1">IF(Assm!$L$75=0,F82,IF(AND($A83&gt;F$16,MONTH($A83)=MONTH(F$16)),B82/B70,F82))</f>
        <v>1.0919370999534188</v>
      </c>
      <c r="G83" s="1474">
        <f ca="1">IF(Assm!$L$75=0,G82,IF(AND($A83&gt;G$16,MONTH($A83)=MONTH(G$16)),C82/C70,G82))</f>
        <v>1.0330489441562738</v>
      </c>
      <c r="H83" s="1474">
        <f ca="1">IF(Assm!$L$75=0,H82,IF(AND($A83&gt;H$16,MONTH($A83)=MONTH(H$16)),C82/C70-H$18,H82))</f>
        <v>1.0305489441562738</v>
      </c>
      <c r="I83" s="1474">
        <f ca="1">IF(Assm!$L$75=0,I82,IF($A83&gt;=I$16,IF(MONTH($A83)=MONTH(I$16),AVERAGE(D71:D82),I82),I82))</f>
        <v>1.9040823167445471</v>
      </c>
      <c r="J83" s="1475">
        <f ca="1">IF(Assm!$L$75=0,J82,IF($A83&gt;=J$16,IF(MONTH($A83)=MONTH(J$16),AVERAGE(E71:E82),J82),J82))</f>
        <v>1.3933058026367533</v>
      </c>
      <c r="K83" s="958">
        <f t="shared" si="40"/>
        <v>71</v>
      </c>
      <c r="L83" s="1476">
        <f t="shared" ca="1" si="41"/>
        <v>1.0330489441562738</v>
      </c>
      <c r="M83" s="1474">
        <f t="shared" si="11"/>
        <v>0</v>
      </c>
      <c r="N83" s="1475">
        <f t="shared" ca="1" si="32"/>
        <v>1.097180617479341</v>
      </c>
      <c r="P83" s="1476">
        <f t="shared" ca="1" si="42"/>
        <v>1.0919370999534188</v>
      </c>
      <c r="Q83" s="1474">
        <f t="shared" si="13"/>
        <v>0</v>
      </c>
      <c r="R83" s="1475">
        <f t="shared" ca="1" si="33"/>
        <v>1.4211614171077698</v>
      </c>
      <c r="T83" s="1476">
        <f t="shared" ca="1" si="43"/>
        <v>1.0330489441562738</v>
      </c>
      <c r="U83" s="1474">
        <f t="shared" si="15"/>
        <v>1.0049999999999999</v>
      </c>
      <c r="V83" s="1475">
        <f t="shared" ca="1" si="34"/>
        <v>1.097180617479341</v>
      </c>
      <c r="X83" s="1476">
        <f t="shared" ca="1" si="44"/>
        <v>1.0305489441562738</v>
      </c>
      <c r="Y83" s="1474">
        <f t="shared" si="17"/>
        <v>1.02</v>
      </c>
      <c r="Z83" s="1475">
        <f t="shared" ca="1" si="35"/>
        <v>1.0952429010137783</v>
      </c>
      <c r="AB83" s="1476">
        <f t="shared" ca="1" si="45"/>
        <v>1.0305489441562738</v>
      </c>
      <c r="AC83" s="1474">
        <f t="shared" si="19"/>
        <v>1.02</v>
      </c>
      <c r="AD83" s="1475">
        <f t="shared" ca="1" si="36"/>
        <v>1.0952429010137783</v>
      </c>
      <c r="AF83" s="1476">
        <f t="shared" ca="1" si="46"/>
        <v>1.0919370999534188</v>
      </c>
      <c r="AG83" s="1474">
        <f t="shared" si="21"/>
        <v>0</v>
      </c>
      <c r="AH83" s="1475">
        <f t="shared" ca="1" si="37"/>
        <v>1.4211614171077698</v>
      </c>
      <c r="AJ83" s="1476">
        <f t="shared" ca="1" si="47"/>
        <v>1.0305489441562738</v>
      </c>
      <c r="AK83" s="1474">
        <f t="shared" si="23"/>
        <v>1.02</v>
      </c>
      <c r="AL83" s="1475">
        <f t="shared" ca="1" si="38"/>
        <v>1.0952429010137783</v>
      </c>
      <c r="AN83" s="1476">
        <f t="shared" ca="1" si="48"/>
        <v>1.0330489441562738</v>
      </c>
      <c r="AO83" s="1474">
        <f t="shared" si="25"/>
        <v>1.0049999999999999</v>
      </c>
      <c r="AP83" s="1475">
        <f t="shared" ca="1" si="39"/>
        <v>1.097180617479341</v>
      </c>
      <c r="AR83" s="701">
        <f t="shared" si="27"/>
        <v>37347</v>
      </c>
      <c r="AS83" s="1478">
        <f ca="1">IF(AND($A83&gt;=EDATE(AS$17,12),IF(Assm!$L$74=0,$D83,$E83)/AS82&gt;=1.05),IF(Assm!$L$74=0,$D83,$E83),AS82)</f>
        <v>2.0499999999999998</v>
      </c>
      <c r="AT83" s="1478">
        <f t="shared" ca="1" si="28"/>
        <v>1.6965985268559132</v>
      </c>
      <c r="AU83" s="1478">
        <f t="shared" ca="1" si="29"/>
        <v>1.0919370999534188</v>
      </c>
      <c r="AV83" s="1478">
        <f t="shared" ca="1" si="30"/>
        <v>1.6965985268559132</v>
      </c>
      <c r="AW83" s="1475">
        <f t="shared" ca="1" si="31"/>
        <v>1.924882629107981</v>
      </c>
    </row>
    <row r="84" spans="1:49">
      <c r="A84" s="883">
        <f t="shared" ref="A84:A147" si="50">EDATE(A83,1)</f>
        <v>37377</v>
      </c>
      <c r="B84" s="1390">
        <f ca="1">'[2]Monthly Curve Calc.'!B87</f>
        <v>217.71367792519908</v>
      </c>
      <c r="C84" s="1391">
        <f ca="1">'[2]Monthly Curve Calc.'!C87</f>
        <v>181.83087076550666</v>
      </c>
      <c r="D84" s="1512">
        <f ca="1">'[2]Monthly Curve Calc.'!F87</f>
        <v>2.0461296743435908</v>
      </c>
      <c r="E84" s="1304">
        <f t="shared" ca="1" si="49"/>
        <v>1.4591138686859599</v>
      </c>
      <c r="F84" s="1473">
        <f ca="1">IF(Assm!$L$75=0,F83,IF(AND($A84&gt;F$16,MONTH($A84)=MONTH(F$16)),B83/B71,F83))</f>
        <v>1.0883307783989822</v>
      </c>
      <c r="G84" s="1474">
        <f ca="1">IF(Assm!$L$75=0,G83,IF(AND($A84&gt;G$16,MONTH($A84)=MONTH(G$16)),C83/C71,G83))</f>
        <v>1.0319091030239458</v>
      </c>
      <c r="H84" s="1474">
        <f ca="1">IF(Assm!$L$75=0,H83,IF(AND($A84&gt;H$16,MONTH($A84)=MONTH(H$16)),C83/C71-H$18,H83))</f>
        <v>1.0294091030239458</v>
      </c>
      <c r="I84" s="1474">
        <f ca="1">IF(Assm!$L$75=0,I83,IF($A84&gt;=I$16,IF(MONTH($A84)=MONTH(I$16),AVERAGE(D72:D83),I83),I83))</f>
        <v>1.9040823167445471</v>
      </c>
      <c r="J84" s="1475">
        <f ca="1">IF(Assm!$L$75=0,J83,IF($A84&gt;=J$16,IF(MONTH($A84)=MONTH(J$16),AVERAGE(E72:E83),J83),J83))</f>
        <v>1.3933058026367533</v>
      </c>
      <c r="K84" s="958">
        <f t="shared" si="40"/>
        <v>72</v>
      </c>
      <c r="L84" s="1476">
        <f t="shared" ca="1" si="41"/>
        <v>1.0319091030239458</v>
      </c>
      <c r="M84" s="1474">
        <f t="shared" ref="M84:M147" si="51">M83</f>
        <v>0</v>
      </c>
      <c r="N84" s="1475">
        <f t="shared" ca="1" si="32"/>
        <v>1.1321906668383659</v>
      </c>
      <c r="P84" s="1476">
        <f t="shared" ca="1" si="42"/>
        <v>1.0883307783989822</v>
      </c>
      <c r="Q84" s="1474">
        <f t="shared" ref="Q84:Q147" si="52">Q83</f>
        <v>0</v>
      </c>
      <c r="R84" s="1475">
        <f t="shared" ca="1" si="33"/>
        <v>1.5466937113114996</v>
      </c>
      <c r="T84" s="1476">
        <f t="shared" ca="1" si="43"/>
        <v>1.0319091030239458</v>
      </c>
      <c r="U84" s="1474">
        <f t="shared" ref="U84:U147" si="53">U83</f>
        <v>1.0049999999999999</v>
      </c>
      <c r="V84" s="1475">
        <f t="shared" ca="1" si="34"/>
        <v>1.1321906668383659</v>
      </c>
      <c r="X84" s="1476">
        <f t="shared" ca="1" si="44"/>
        <v>1.0294091030239458</v>
      </c>
      <c r="Y84" s="1474">
        <f t="shared" ref="Y84:Y147" si="54">Y83</f>
        <v>1.02</v>
      </c>
      <c r="Z84" s="1475">
        <f t="shared" ca="1" si="35"/>
        <v>1.1274530123259379</v>
      </c>
      <c r="AB84" s="1476">
        <f t="shared" ca="1" si="45"/>
        <v>1.0294091030239458</v>
      </c>
      <c r="AC84" s="1474">
        <f t="shared" ref="AC84:AC147" si="55">AC83</f>
        <v>1.02</v>
      </c>
      <c r="AD84" s="1475">
        <f t="shared" ca="1" si="36"/>
        <v>1.1274530123259379</v>
      </c>
      <c r="AF84" s="1476">
        <f t="shared" ca="1" si="46"/>
        <v>1.0883307783989822</v>
      </c>
      <c r="AG84" s="1474">
        <f t="shared" ref="AG84:AG147" si="56">AG83</f>
        <v>0</v>
      </c>
      <c r="AH84" s="1475">
        <f t="shared" ca="1" si="37"/>
        <v>1.5466937113114996</v>
      </c>
      <c r="AJ84" s="1476">
        <f t="shared" ca="1" si="47"/>
        <v>1.0294091030239458</v>
      </c>
      <c r="AK84" s="1474">
        <f t="shared" ref="AK84:AK147" si="57">AK83</f>
        <v>1.02</v>
      </c>
      <c r="AL84" s="1475">
        <f t="shared" ca="1" si="38"/>
        <v>1.1274530123259379</v>
      </c>
      <c r="AN84" s="1476">
        <f t="shared" ca="1" si="48"/>
        <v>1.0319091030239458</v>
      </c>
      <c r="AO84" s="1474">
        <f t="shared" ref="AO84:AO147" si="58">AO83</f>
        <v>1.0049999999999999</v>
      </c>
      <c r="AP84" s="1475">
        <f t="shared" ca="1" si="39"/>
        <v>1.1321906668383659</v>
      </c>
      <c r="AR84" s="701">
        <f t="shared" ref="AR84:AR147" si="59">$A84</f>
        <v>37377</v>
      </c>
      <c r="AS84" s="1478">
        <f ca="1">IF(AND($A84&gt;=EDATE(AS$17,12),IF(Assm!$L$74=0,$D84,$E84)/AS83&gt;=1.05),IF(Assm!$L$74=0,$D84,$E84),AS83)</f>
        <v>2.0499999999999998</v>
      </c>
      <c r="AT84" s="1478">
        <f t="shared" ref="AT84:AT147" ca="1" si="60">IF(AS84/AS83=1,AT83,AS84/AS83)</f>
        <v>1.6965985268559132</v>
      </c>
      <c r="AU84" s="1478">
        <f t="shared" ref="AU84:AU147" ca="1" si="61">F84</f>
        <v>1.0883307783989822</v>
      </c>
      <c r="AV84" s="1478">
        <f t="shared" ref="AV84:AV147" ca="1" si="62">MAX(AT84,AU84)</f>
        <v>1.6965985268559132</v>
      </c>
      <c r="AW84" s="1475">
        <f t="shared" ca="1" si="31"/>
        <v>1.924882629107981</v>
      </c>
    </row>
    <row r="85" spans="1:49">
      <c r="A85" s="883">
        <f t="shared" si="50"/>
        <v>37408</v>
      </c>
      <c r="B85" s="1390">
        <f ca="1">'[2]Monthly Curve Calc.'!B88</f>
        <v>219.19881033484506</v>
      </c>
      <c r="C85" s="1391">
        <f ca="1">'[2]Monthly Curve Calc.'!C88</f>
        <v>182.28593272858129</v>
      </c>
      <c r="D85" s="1512">
        <f ca="1">'[2]Monthly Curve Calc.'!F88</f>
        <v>2.0571882720987551</v>
      </c>
      <c r="E85" s="1304">
        <f t="shared" ca="1" si="49"/>
        <v>1.4653997978090441</v>
      </c>
      <c r="F85" s="1473">
        <f ca="1">IF(Assm!$L$75=0,F84,IF(AND($A85&gt;F$16,MONTH($A85)=MONTH(F$16)),B84/B72,F84))</f>
        <v>1.0883307783989822</v>
      </c>
      <c r="G85" s="1474">
        <f ca="1">IF(Assm!$L$75=0,G84,IF(AND($A85&gt;G$16,MONTH($A85)=MONTH(G$16)),C84/C72,G84))</f>
        <v>1.0319091030239458</v>
      </c>
      <c r="H85" s="1474">
        <f ca="1">IF(Assm!$L$75=0,H84,IF(AND($A85&gt;H$16,MONTH($A85)=MONTH(H$16)),C84/C72-H$18,H84))</f>
        <v>1.0294091030239458</v>
      </c>
      <c r="I85" s="1474">
        <f ca="1">IF(Assm!$L$75=0,I84,IF($A85&gt;=I$16,IF(MONTH($A85)=MONTH(I$16),AVERAGE(D73:D84),I84),I84))</f>
        <v>1.9040823167445471</v>
      </c>
      <c r="J85" s="1475">
        <f ca="1">IF(Assm!$L$75=0,J84,IF($A85&gt;=J$16,IF(MONTH($A85)=MONTH(J$16),AVERAGE(E73:E84),J84),J84))</f>
        <v>1.3933058026367533</v>
      </c>
      <c r="K85" s="958">
        <f t="shared" si="40"/>
        <v>73</v>
      </c>
      <c r="L85" s="1476">
        <f t="shared" ca="1" si="41"/>
        <v>1.0319091030239458</v>
      </c>
      <c r="M85" s="1474">
        <f t="shared" si="51"/>
        <v>0</v>
      </c>
      <c r="N85" s="1475">
        <f t="shared" ca="1" si="32"/>
        <v>1.1321906668383659</v>
      </c>
      <c r="P85" s="1476">
        <f t="shared" ca="1" si="42"/>
        <v>1.0883307783989822</v>
      </c>
      <c r="Q85" s="1474">
        <f t="shared" si="52"/>
        <v>0</v>
      </c>
      <c r="R85" s="1475">
        <f t="shared" ca="1" si="33"/>
        <v>1.5466937113114996</v>
      </c>
      <c r="T85" s="1476">
        <f t="shared" ca="1" si="43"/>
        <v>1.0319091030239458</v>
      </c>
      <c r="U85" s="1474">
        <f t="shared" si="53"/>
        <v>1.0049999999999999</v>
      </c>
      <c r="V85" s="1475">
        <f t="shared" ca="1" si="34"/>
        <v>1.1321906668383659</v>
      </c>
      <c r="X85" s="1476">
        <f t="shared" ca="1" si="44"/>
        <v>1.0294091030239458</v>
      </c>
      <c r="Y85" s="1474">
        <f t="shared" si="54"/>
        <v>1.02</v>
      </c>
      <c r="Z85" s="1475">
        <f t="shared" ca="1" si="35"/>
        <v>1.1274530123259379</v>
      </c>
      <c r="AB85" s="1476">
        <f t="shared" ca="1" si="45"/>
        <v>1.0294091030239458</v>
      </c>
      <c r="AC85" s="1474">
        <f t="shared" si="55"/>
        <v>1.02</v>
      </c>
      <c r="AD85" s="1475">
        <f t="shared" ca="1" si="36"/>
        <v>1.1274530123259379</v>
      </c>
      <c r="AF85" s="1476">
        <f t="shared" ca="1" si="46"/>
        <v>1.0883307783989822</v>
      </c>
      <c r="AG85" s="1474">
        <f t="shared" si="56"/>
        <v>0</v>
      </c>
      <c r="AH85" s="1475">
        <f t="shared" ca="1" si="37"/>
        <v>1.5466937113114996</v>
      </c>
      <c r="AJ85" s="1476">
        <f t="shared" ca="1" si="47"/>
        <v>1.0294091030239458</v>
      </c>
      <c r="AK85" s="1474">
        <f t="shared" si="57"/>
        <v>1.02</v>
      </c>
      <c r="AL85" s="1475">
        <f t="shared" ca="1" si="38"/>
        <v>1.1274530123259379</v>
      </c>
      <c r="AN85" s="1476">
        <f t="shared" ca="1" si="48"/>
        <v>1.0319091030239458</v>
      </c>
      <c r="AO85" s="1474">
        <f t="shared" si="58"/>
        <v>1.0049999999999999</v>
      </c>
      <c r="AP85" s="1475">
        <f t="shared" ca="1" si="39"/>
        <v>1.1321906668383659</v>
      </c>
      <c r="AR85" s="701">
        <f t="shared" si="59"/>
        <v>37408</v>
      </c>
      <c r="AS85" s="1478">
        <f ca="1">IF(AND($A85&gt;=EDATE(AS$17,12),IF(Assm!$L$74=0,$D85,$E85)/AS84&gt;=1.05),IF(Assm!$L$74=0,$D85,$E85),AS84)</f>
        <v>2.0499999999999998</v>
      </c>
      <c r="AT85" s="1478">
        <f t="shared" ca="1" si="60"/>
        <v>1.6965985268559132</v>
      </c>
      <c r="AU85" s="1478">
        <f t="shared" ca="1" si="61"/>
        <v>1.0883307783989822</v>
      </c>
      <c r="AV85" s="1478">
        <f t="shared" ca="1" si="62"/>
        <v>1.6965985268559132</v>
      </c>
      <c r="AW85" s="1475">
        <f t="shared" ref="AW85:AW148" ca="1" si="63">IF(AV85=AV84,AW84,AV85*AW84)</f>
        <v>1.924882629107981</v>
      </c>
    </row>
    <row r="86" spans="1:49">
      <c r="A86" s="883">
        <f t="shared" si="50"/>
        <v>37438</v>
      </c>
      <c r="B86" s="1390">
        <f ca="1">'[2]Monthly Curve Calc.'!B89</f>
        <v>220.69407356537104</v>
      </c>
      <c r="C86" s="1391">
        <f ca="1">'[2]Monthly Curve Calc.'!C89</f>
        <v>182.74213355982153</v>
      </c>
      <c r="D86" s="1512">
        <f ca="1">'[2]Monthly Curve Calc.'!F89</f>
        <v>2.0683066376124559</v>
      </c>
      <c r="E86" s="1304">
        <f t="shared" ca="1" si="49"/>
        <v>1.4717128070016061</v>
      </c>
      <c r="F86" s="1473">
        <f ca="1">IF(Assm!$L$75=0,F85,IF(AND($A86&gt;F$16,MONTH($A86)=MONTH(F$16)),B85/B73,F85))</f>
        <v>1.0883307783989822</v>
      </c>
      <c r="G86" s="1474">
        <f ca="1">IF(Assm!$L$75=0,G85,IF(AND($A86&gt;G$16,MONTH($A86)=MONTH(G$16)),C85/C73,G85))</f>
        <v>1.0319091030239458</v>
      </c>
      <c r="H86" s="1474">
        <f ca="1">IF(Assm!$L$75=0,H85,IF(AND($A86&gt;H$16,MONTH($A86)=MONTH(H$16)),C85/C73-H$18,H85))</f>
        <v>1.0294091030239458</v>
      </c>
      <c r="I86" s="1474">
        <f ca="1">IF(Assm!$L$75=0,I85,IF($A86&gt;=I$16,IF(MONTH($A86)=MONTH(I$16),AVERAGE(D74:D85),I85),I85))</f>
        <v>1.9040823167445471</v>
      </c>
      <c r="J86" s="1475">
        <f ca="1">IF(Assm!$L$75=0,J85,IF($A86&gt;=J$16,IF(MONTH($A86)=MONTH(J$16),AVERAGE(E74:E85),J85),J85))</f>
        <v>1.3933058026367533</v>
      </c>
      <c r="K86" s="958">
        <f t="shared" si="40"/>
        <v>74</v>
      </c>
      <c r="L86" s="1476">
        <f t="shared" ca="1" si="41"/>
        <v>1.0319091030239458</v>
      </c>
      <c r="M86" s="1474">
        <f t="shared" si="51"/>
        <v>0</v>
      </c>
      <c r="N86" s="1475">
        <f t="shared" ca="1" si="32"/>
        <v>1.1321906668383659</v>
      </c>
      <c r="P86" s="1476">
        <f t="shared" ca="1" si="42"/>
        <v>1.0883307783989822</v>
      </c>
      <c r="Q86" s="1474">
        <f t="shared" si="52"/>
        <v>0</v>
      </c>
      <c r="R86" s="1475">
        <f t="shared" ca="1" si="33"/>
        <v>1.5466937113114996</v>
      </c>
      <c r="T86" s="1476">
        <f t="shared" ca="1" si="43"/>
        <v>1.0319091030239458</v>
      </c>
      <c r="U86" s="1474">
        <f t="shared" si="53"/>
        <v>1.0049999999999999</v>
      </c>
      <c r="V86" s="1475">
        <f t="shared" ca="1" si="34"/>
        <v>1.1321906668383659</v>
      </c>
      <c r="X86" s="1476">
        <f t="shared" ca="1" si="44"/>
        <v>1.0294091030239458</v>
      </c>
      <c r="Y86" s="1474">
        <f t="shared" si="54"/>
        <v>1.02</v>
      </c>
      <c r="Z86" s="1475">
        <f t="shared" ca="1" si="35"/>
        <v>1.1274530123259379</v>
      </c>
      <c r="AB86" s="1476">
        <f t="shared" ca="1" si="45"/>
        <v>1.0294091030239458</v>
      </c>
      <c r="AC86" s="1474">
        <f t="shared" si="55"/>
        <v>1.02</v>
      </c>
      <c r="AD86" s="1475">
        <f t="shared" ca="1" si="36"/>
        <v>1.1274530123259379</v>
      </c>
      <c r="AF86" s="1476">
        <f t="shared" ca="1" si="46"/>
        <v>1.0883307783989822</v>
      </c>
      <c r="AG86" s="1474">
        <f t="shared" si="56"/>
        <v>0</v>
      </c>
      <c r="AH86" s="1475">
        <f t="shared" ca="1" si="37"/>
        <v>1.5466937113114996</v>
      </c>
      <c r="AJ86" s="1476">
        <f t="shared" ca="1" si="47"/>
        <v>1.0294091030239458</v>
      </c>
      <c r="AK86" s="1474">
        <f t="shared" si="57"/>
        <v>1.02</v>
      </c>
      <c r="AL86" s="1475">
        <f t="shared" ca="1" si="38"/>
        <v>1.1274530123259379</v>
      </c>
      <c r="AN86" s="1476">
        <f t="shared" ca="1" si="48"/>
        <v>1.0319091030239458</v>
      </c>
      <c r="AO86" s="1474">
        <f t="shared" si="58"/>
        <v>1.0049999999999999</v>
      </c>
      <c r="AP86" s="1475">
        <f t="shared" ca="1" si="39"/>
        <v>1.1321906668383659</v>
      </c>
      <c r="AR86" s="701">
        <f t="shared" si="59"/>
        <v>37438</v>
      </c>
      <c r="AS86" s="1478">
        <f ca="1">IF(AND($A86&gt;=EDATE(AS$17,12),IF(Assm!$L$74=0,$D86,$E86)/AS85&gt;=1.05),IF(Assm!$L$74=0,$D86,$E86),AS85)</f>
        <v>2.0499999999999998</v>
      </c>
      <c r="AT86" s="1478">
        <f t="shared" ca="1" si="60"/>
        <v>1.6965985268559132</v>
      </c>
      <c r="AU86" s="1478">
        <f t="shared" ca="1" si="61"/>
        <v>1.0883307783989822</v>
      </c>
      <c r="AV86" s="1478">
        <f t="shared" ca="1" si="62"/>
        <v>1.6965985268559132</v>
      </c>
      <c r="AW86" s="1475">
        <f t="shared" ca="1" si="63"/>
        <v>1.924882629107981</v>
      </c>
    </row>
    <row r="87" spans="1:49">
      <c r="A87" s="883">
        <f t="shared" si="50"/>
        <v>37469</v>
      </c>
      <c r="B87" s="1390">
        <f ca="1">'[2]Monthly Curve Calc.'!B90</f>
        <v>222.19953672410441</v>
      </c>
      <c r="C87" s="1391">
        <f ca="1">'[2]Monthly Curve Calc.'!C90</f>
        <v>183.19947610943416</v>
      </c>
      <c r="D87" s="1512">
        <f ca="1">'[2]Monthly Curve Calc.'!F90</f>
        <v>2.0794850939080129</v>
      </c>
      <c r="E87" s="1304">
        <f t="shared" ca="1" si="49"/>
        <v>1.4780530129258211</v>
      </c>
      <c r="F87" s="1473">
        <f ca="1">IF(Assm!$L$75=0,F86,IF(AND($A87&gt;F$16,MONTH($A87)=MONTH(F$16)),B86/B74,F86))</f>
        <v>1.0883307783989822</v>
      </c>
      <c r="G87" s="1474">
        <f ca="1">IF(Assm!$L$75=0,G86,IF(AND($A87&gt;G$16,MONTH($A87)=MONTH(G$16)),C86/C74,G86))</f>
        <v>1.0319091030239458</v>
      </c>
      <c r="H87" s="1474">
        <f ca="1">IF(Assm!$L$75=0,H86,IF(AND($A87&gt;H$16,MONTH($A87)=MONTH(H$16)),C86/C74-H$18,H86))</f>
        <v>1.0294091030239458</v>
      </c>
      <c r="I87" s="1474">
        <f ca="1">IF(Assm!$L$75=0,I86,IF($A87&gt;=I$16,IF(MONTH($A87)=MONTH(I$16),AVERAGE(D75:D86),I86),I86))</f>
        <v>1.9040823167445471</v>
      </c>
      <c r="J87" s="1475">
        <f ca="1">IF(Assm!$L$75=0,J86,IF($A87&gt;=J$16,IF(MONTH($A87)=MONTH(J$16),AVERAGE(E75:E86),J86),J86))</f>
        <v>1.3933058026367533</v>
      </c>
      <c r="K87" s="958">
        <f t="shared" si="40"/>
        <v>75</v>
      </c>
      <c r="L87" s="1476">
        <f t="shared" ca="1" si="41"/>
        <v>1.0319091030239458</v>
      </c>
      <c r="M87" s="1474">
        <f t="shared" si="51"/>
        <v>0</v>
      </c>
      <c r="N87" s="1475">
        <f t="shared" ca="1" si="32"/>
        <v>1.1321906668383659</v>
      </c>
      <c r="P87" s="1476">
        <f t="shared" ca="1" si="42"/>
        <v>1.0883307783989822</v>
      </c>
      <c r="Q87" s="1474">
        <f t="shared" si="52"/>
        <v>0</v>
      </c>
      <c r="R87" s="1475">
        <f t="shared" ca="1" si="33"/>
        <v>1.5466937113114996</v>
      </c>
      <c r="T87" s="1476">
        <f t="shared" ca="1" si="43"/>
        <v>1.0319091030239458</v>
      </c>
      <c r="U87" s="1474">
        <f t="shared" si="53"/>
        <v>1.0049999999999999</v>
      </c>
      <c r="V87" s="1475">
        <f t="shared" ca="1" si="34"/>
        <v>1.1321906668383659</v>
      </c>
      <c r="X87" s="1476">
        <f t="shared" ca="1" si="44"/>
        <v>1.0294091030239458</v>
      </c>
      <c r="Y87" s="1474">
        <f t="shared" si="54"/>
        <v>1.02</v>
      </c>
      <c r="Z87" s="1475">
        <f t="shared" ca="1" si="35"/>
        <v>1.1274530123259379</v>
      </c>
      <c r="AB87" s="1476">
        <f t="shared" ca="1" si="45"/>
        <v>1.0294091030239458</v>
      </c>
      <c r="AC87" s="1474">
        <f t="shared" si="55"/>
        <v>1.02</v>
      </c>
      <c r="AD87" s="1475">
        <f t="shared" ca="1" si="36"/>
        <v>1.1274530123259379</v>
      </c>
      <c r="AF87" s="1476">
        <f t="shared" ca="1" si="46"/>
        <v>1.0883307783989822</v>
      </c>
      <c r="AG87" s="1474">
        <f t="shared" si="56"/>
        <v>0</v>
      </c>
      <c r="AH87" s="1475">
        <f t="shared" ca="1" si="37"/>
        <v>1.5466937113114996</v>
      </c>
      <c r="AJ87" s="1476">
        <f t="shared" ca="1" si="47"/>
        <v>1.0294091030239458</v>
      </c>
      <c r="AK87" s="1474">
        <f t="shared" si="57"/>
        <v>1.02</v>
      </c>
      <c r="AL87" s="1475">
        <f t="shared" ca="1" si="38"/>
        <v>1.1274530123259379</v>
      </c>
      <c r="AN87" s="1476">
        <f t="shared" ca="1" si="48"/>
        <v>1.0319091030239458</v>
      </c>
      <c r="AO87" s="1474">
        <f t="shared" si="58"/>
        <v>1.0049999999999999</v>
      </c>
      <c r="AP87" s="1475">
        <f t="shared" ca="1" si="39"/>
        <v>1.1321906668383659</v>
      </c>
      <c r="AR87" s="701">
        <f t="shared" si="59"/>
        <v>37469</v>
      </c>
      <c r="AS87" s="1478">
        <f ca="1">IF(AND($A87&gt;=EDATE(AS$17,12),IF(Assm!$L$74=0,$D87,$E87)/AS86&gt;=1.05),IF(Assm!$L$74=0,$D87,$E87),AS86)</f>
        <v>2.0499999999999998</v>
      </c>
      <c r="AT87" s="1478">
        <f t="shared" ca="1" si="60"/>
        <v>1.6965985268559132</v>
      </c>
      <c r="AU87" s="1478">
        <f t="shared" ca="1" si="61"/>
        <v>1.0883307783989822</v>
      </c>
      <c r="AV87" s="1478">
        <f t="shared" ca="1" si="62"/>
        <v>1.6965985268559132</v>
      </c>
      <c r="AW87" s="1475">
        <f t="shared" ca="1" si="63"/>
        <v>1.924882629107981</v>
      </c>
    </row>
    <row r="88" spans="1:49">
      <c r="A88" s="883">
        <f t="shared" si="50"/>
        <v>37500</v>
      </c>
      <c r="B88" s="1390">
        <f ca="1">'[2]Monthly Curve Calc.'!B91</f>
        <v>223.71526938978778</v>
      </c>
      <c r="C88" s="1391">
        <f ca="1">'[2]Monthly Curve Calc.'!C91</f>
        <v>183.65796323475908</v>
      </c>
      <c r="D88" s="1512">
        <f ca="1">'[2]Monthly Curve Calc.'!F91</f>
        <v>2.0907239657545715</v>
      </c>
      <c r="E88" s="1304">
        <f t="shared" ca="1" si="49"/>
        <v>1.4844205327464501</v>
      </c>
      <c r="F88" s="1473">
        <f ca="1">IF(Assm!$L$75=0,F87,IF(AND($A88&gt;F$16,MONTH($A88)=MONTH(F$16)),B87/B75,F87))</f>
        <v>1.0883307783989822</v>
      </c>
      <c r="G88" s="1474">
        <f ca="1">IF(Assm!$L$75=0,G87,IF(AND($A88&gt;G$16,MONTH($A88)=MONTH(G$16)),C87/C75,G87))</f>
        <v>1.0319091030239458</v>
      </c>
      <c r="H88" s="1474">
        <f ca="1">IF(Assm!$L$75=0,H87,IF(AND($A88&gt;H$16,MONTH($A88)=MONTH(H$16)),C87/C75-H$18,H87))</f>
        <v>1.0294091030239458</v>
      </c>
      <c r="I88" s="1474">
        <f ca="1">IF(Assm!$L$75=0,I87,IF($A88&gt;=I$16,IF(MONTH($A88)=MONTH(I$16),AVERAGE(D76:D87),I87),I87))</f>
        <v>1.9040823167445471</v>
      </c>
      <c r="J88" s="1475">
        <f ca="1">IF(Assm!$L$75=0,J87,IF($A88&gt;=J$16,IF(MONTH($A88)=MONTH(J$16),AVERAGE(E76:E87),J87),J87))</f>
        <v>1.3933058026367533</v>
      </c>
      <c r="K88" s="958">
        <f t="shared" si="40"/>
        <v>76</v>
      </c>
      <c r="L88" s="1476">
        <f t="shared" ca="1" si="41"/>
        <v>1.0319091030239458</v>
      </c>
      <c r="M88" s="1474">
        <f t="shared" si="51"/>
        <v>0</v>
      </c>
      <c r="N88" s="1475">
        <f t="shared" ca="1" si="32"/>
        <v>1.1321906668383659</v>
      </c>
      <c r="P88" s="1476">
        <f t="shared" ca="1" si="42"/>
        <v>1.0883307783989822</v>
      </c>
      <c r="Q88" s="1474">
        <f t="shared" si="52"/>
        <v>0</v>
      </c>
      <c r="R88" s="1475">
        <f t="shared" ca="1" si="33"/>
        <v>1.5466937113114996</v>
      </c>
      <c r="T88" s="1476">
        <f t="shared" ca="1" si="43"/>
        <v>1.0319091030239458</v>
      </c>
      <c r="U88" s="1474">
        <f t="shared" si="53"/>
        <v>1.0049999999999999</v>
      </c>
      <c r="V88" s="1475">
        <f t="shared" ca="1" si="34"/>
        <v>1.1321906668383659</v>
      </c>
      <c r="X88" s="1476">
        <f t="shared" ca="1" si="44"/>
        <v>1.0294091030239458</v>
      </c>
      <c r="Y88" s="1474">
        <f t="shared" si="54"/>
        <v>1.02</v>
      </c>
      <c r="Z88" s="1475">
        <f t="shared" ca="1" si="35"/>
        <v>1.1274530123259379</v>
      </c>
      <c r="AB88" s="1476">
        <f t="shared" ca="1" si="45"/>
        <v>1.0294091030239458</v>
      </c>
      <c r="AC88" s="1474">
        <f t="shared" si="55"/>
        <v>1.02</v>
      </c>
      <c r="AD88" s="1475">
        <f t="shared" ca="1" si="36"/>
        <v>1.1274530123259379</v>
      </c>
      <c r="AF88" s="1476">
        <f t="shared" ca="1" si="46"/>
        <v>1.0883307783989822</v>
      </c>
      <c r="AG88" s="1474">
        <f t="shared" si="56"/>
        <v>0</v>
      </c>
      <c r="AH88" s="1475">
        <f t="shared" ca="1" si="37"/>
        <v>1.5466937113114996</v>
      </c>
      <c r="AJ88" s="1476">
        <f t="shared" ca="1" si="47"/>
        <v>1.0294091030239458</v>
      </c>
      <c r="AK88" s="1474">
        <f t="shared" si="57"/>
        <v>1.02</v>
      </c>
      <c r="AL88" s="1475">
        <f t="shared" ca="1" si="38"/>
        <v>1.1274530123259379</v>
      </c>
      <c r="AN88" s="1476">
        <f t="shared" ca="1" si="48"/>
        <v>1.0319091030239458</v>
      </c>
      <c r="AO88" s="1474">
        <f t="shared" si="58"/>
        <v>1.0049999999999999</v>
      </c>
      <c r="AP88" s="1475">
        <f t="shared" ca="1" si="39"/>
        <v>1.1321906668383659</v>
      </c>
      <c r="AR88" s="701">
        <f t="shared" si="59"/>
        <v>37500</v>
      </c>
      <c r="AS88" s="1478">
        <f ca="1">IF(AND($A88&gt;=EDATE(AS$17,12),IF(Assm!$L$74=0,$D88,$E88)/AS87&gt;=1.05),IF(Assm!$L$74=0,$D88,$E88),AS87)</f>
        <v>2.0499999999999998</v>
      </c>
      <c r="AT88" s="1478">
        <f t="shared" ca="1" si="60"/>
        <v>1.6965985268559132</v>
      </c>
      <c r="AU88" s="1478">
        <f t="shared" ca="1" si="61"/>
        <v>1.0883307783989822</v>
      </c>
      <c r="AV88" s="1478">
        <f t="shared" ca="1" si="62"/>
        <v>1.6965985268559132</v>
      </c>
      <c r="AW88" s="1475">
        <f t="shared" ca="1" si="63"/>
        <v>1.924882629107981</v>
      </c>
    </row>
    <row r="89" spans="1:49">
      <c r="A89" s="883">
        <f t="shared" si="50"/>
        <v>37530</v>
      </c>
      <c r="B89" s="1390">
        <f ca="1">'[2]Monthly Curve Calc.'!B92</f>
        <v>225.24134161579468</v>
      </c>
      <c r="C89" s="1391">
        <f ca="1">'[2]Monthly Curve Calc.'!C92</f>
        <v>184.11759780028717</v>
      </c>
      <c r="D89" s="1512">
        <f ca="1">'[2]Monthly Curve Calc.'!F92</f>
        <v>2.1020235796765379</v>
      </c>
      <c r="E89" s="1304">
        <f t="shared" ca="1" si="49"/>
        <v>1.490815484133005</v>
      </c>
      <c r="F89" s="1473">
        <f ca="1">IF(Assm!$L$75=0,F88,IF(AND($A89&gt;F$16,MONTH($A89)=MONTH(F$16)),B88/B76,F88))</f>
        <v>1.0883307783989822</v>
      </c>
      <c r="G89" s="1474">
        <f ca="1">IF(Assm!$L$75=0,G88,IF(AND($A89&gt;G$16,MONTH($A89)=MONTH(G$16)),C88/C76,G88))</f>
        <v>1.0319091030239458</v>
      </c>
      <c r="H89" s="1474">
        <f ca="1">IF(Assm!$L$75=0,H88,IF(AND($A89&gt;H$16,MONTH($A89)=MONTH(H$16)),C88/C76-H$18,H88))</f>
        <v>1.0294091030239458</v>
      </c>
      <c r="I89" s="1474">
        <f ca="1">IF(Assm!$L$75=0,I88,IF($A89&gt;=I$16,IF(MONTH($A89)=MONTH(I$16),AVERAGE(D77:D88),I88),I88))</f>
        <v>1.9040823167445471</v>
      </c>
      <c r="J89" s="1475">
        <f ca="1">IF(Assm!$L$75=0,J88,IF($A89&gt;=J$16,IF(MONTH($A89)=MONTH(J$16),AVERAGE(E77:E88),J88),J88))</f>
        <v>1.3933058026367533</v>
      </c>
      <c r="K89" s="958">
        <f t="shared" si="40"/>
        <v>77</v>
      </c>
      <c r="L89" s="1476">
        <f t="shared" ca="1" si="41"/>
        <v>1.0319091030239458</v>
      </c>
      <c r="M89" s="1474">
        <f t="shared" si="51"/>
        <v>0</v>
      </c>
      <c r="N89" s="1475">
        <f t="shared" ca="1" si="32"/>
        <v>1.1321906668383659</v>
      </c>
      <c r="P89" s="1476">
        <f t="shared" ca="1" si="42"/>
        <v>1.0883307783989822</v>
      </c>
      <c r="Q89" s="1474">
        <f t="shared" si="52"/>
        <v>0</v>
      </c>
      <c r="R89" s="1475">
        <f t="shared" ca="1" si="33"/>
        <v>1.5466937113114996</v>
      </c>
      <c r="T89" s="1476">
        <f t="shared" ca="1" si="43"/>
        <v>1.0319091030239458</v>
      </c>
      <c r="U89" s="1474">
        <f t="shared" si="53"/>
        <v>1.0049999999999999</v>
      </c>
      <c r="V89" s="1475">
        <f t="shared" ca="1" si="34"/>
        <v>1.1321906668383659</v>
      </c>
      <c r="X89" s="1476">
        <f t="shared" ca="1" si="44"/>
        <v>1.0294091030239458</v>
      </c>
      <c r="Y89" s="1474">
        <f t="shared" si="54"/>
        <v>1.02</v>
      </c>
      <c r="Z89" s="1475">
        <f t="shared" ca="1" si="35"/>
        <v>1.1274530123259379</v>
      </c>
      <c r="AB89" s="1476">
        <f t="shared" ca="1" si="45"/>
        <v>1.0294091030239458</v>
      </c>
      <c r="AC89" s="1474">
        <f t="shared" si="55"/>
        <v>1.02</v>
      </c>
      <c r="AD89" s="1475">
        <f t="shared" ca="1" si="36"/>
        <v>1.1274530123259379</v>
      </c>
      <c r="AF89" s="1476">
        <f t="shared" ca="1" si="46"/>
        <v>1.0883307783989822</v>
      </c>
      <c r="AG89" s="1474">
        <f t="shared" si="56"/>
        <v>0</v>
      </c>
      <c r="AH89" s="1475">
        <f t="shared" ca="1" si="37"/>
        <v>1.5466937113114996</v>
      </c>
      <c r="AJ89" s="1476">
        <f t="shared" ca="1" si="47"/>
        <v>1.0294091030239458</v>
      </c>
      <c r="AK89" s="1474">
        <f t="shared" si="57"/>
        <v>1.02</v>
      </c>
      <c r="AL89" s="1475">
        <f t="shared" ca="1" si="38"/>
        <v>1.1274530123259379</v>
      </c>
      <c r="AN89" s="1476">
        <f t="shared" ca="1" si="48"/>
        <v>1.0319091030239458</v>
      </c>
      <c r="AO89" s="1474">
        <f t="shared" si="58"/>
        <v>1.0049999999999999</v>
      </c>
      <c r="AP89" s="1475">
        <f t="shared" ca="1" si="39"/>
        <v>1.1321906668383659</v>
      </c>
      <c r="AR89" s="701">
        <f t="shared" si="59"/>
        <v>37530</v>
      </c>
      <c r="AS89" s="1478">
        <f ca="1">IF(AND($A89&gt;=EDATE(AS$17,12),IF(Assm!$L$74=0,$D89,$E89)/AS88&gt;=1.05),IF(Assm!$L$74=0,$D89,$E89),AS88)</f>
        <v>2.0499999999999998</v>
      </c>
      <c r="AT89" s="1478">
        <f t="shared" ca="1" si="60"/>
        <v>1.6965985268559132</v>
      </c>
      <c r="AU89" s="1478">
        <f t="shared" ca="1" si="61"/>
        <v>1.0883307783989822</v>
      </c>
      <c r="AV89" s="1478">
        <f t="shared" ca="1" si="62"/>
        <v>1.6965985268559132</v>
      </c>
      <c r="AW89" s="1475">
        <f t="shared" ca="1" si="63"/>
        <v>1.924882629107981</v>
      </c>
    </row>
    <row r="90" spans="1:49">
      <c r="A90" s="883">
        <f t="shared" si="50"/>
        <v>37561</v>
      </c>
      <c r="B90" s="1390">
        <f ca="1">'[2]Monthly Curve Calc.'!B93</f>
        <v>226.77782393336727</v>
      </c>
      <c r="C90" s="1391">
        <f ca="1">'[2]Monthly Curve Calc.'!C93</f>
        <v>184.57838267767818</v>
      </c>
      <c r="D90" s="1512">
        <f ca="1">'[2]Monthly Curve Calc.'!F93</f>
        <v>2.1133842639630656</v>
      </c>
      <c r="E90" s="1304">
        <f t="shared" ca="1" si="49"/>
        <v>1.4972379852619235</v>
      </c>
      <c r="F90" s="1473">
        <f ca="1">IF(Assm!$L$75=0,F89,IF(AND($A90&gt;F$16,MONTH($A90)=MONTH(F$16)),B89/B77,F89))</f>
        <v>1.0883307783989822</v>
      </c>
      <c r="G90" s="1474">
        <f ca="1">IF(Assm!$L$75=0,G89,IF(AND($A90&gt;G$16,MONTH($A90)=MONTH(G$16)),C89/C77,G89))</f>
        <v>1.0319091030239458</v>
      </c>
      <c r="H90" s="1474">
        <f ca="1">IF(Assm!$L$75=0,H89,IF(AND($A90&gt;H$16,MONTH($A90)=MONTH(H$16)),C89/C77-H$18,H89))</f>
        <v>1.0294091030239458</v>
      </c>
      <c r="I90" s="1474">
        <f ca="1">IF(Assm!$L$75=0,I89,IF($A90&gt;=I$16,IF(MONTH($A90)=MONTH(I$16),AVERAGE(D78:D89),I89),I89))</f>
        <v>1.9040823167445471</v>
      </c>
      <c r="J90" s="1475">
        <f ca="1">IF(Assm!$L$75=0,J89,IF($A90&gt;=J$16,IF(MONTH($A90)=MONTH(J$16),AVERAGE(E78:E89),J89),J89))</f>
        <v>1.3933058026367533</v>
      </c>
      <c r="K90" s="958">
        <f t="shared" si="40"/>
        <v>78</v>
      </c>
      <c r="L90" s="1476">
        <f t="shared" ca="1" si="41"/>
        <v>1.0319091030239458</v>
      </c>
      <c r="M90" s="1474">
        <f t="shared" si="51"/>
        <v>0</v>
      </c>
      <c r="N90" s="1475">
        <f t="shared" ca="1" si="32"/>
        <v>1.1321906668383659</v>
      </c>
      <c r="P90" s="1476">
        <f t="shared" ca="1" si="42"/>
        <v>1.0883307783989822</v>
      </c>
      <c r="Q90" s="1474">
        <f t="shared" si="52"/>
        <v>0</v>
      </c>
      <c r="R90" s="1475">
        <f t="shared" ca="1" si="33"/>
        <v>1.5466937113114996</v>
      </c>
      <c r="T90" s="1476">
        <f t="shared" ca="1" si="43"/>
        <v>1.0319091030239458</v>
      </c>
      <c r="U90" s="1474">
        <f t="shared" si="53"/>
        <v>1.0049999999999999</v>
      </c>
      <c r="V90" s="1475">
        <f t="shared" ca="1" si="34"/>
        <v>1.1321906668383659</v>
      </c>
      <c r="X90" s="1476">
        <f t="shared" ca="1" si="44"/>
        <v>1.0294091030239458</v>
      </c>
      <c r="Y90" s="1474">
        <f t="shared" si="54"/>
        <v>1.02</v>
      </c>
      <c r="Z90" s="1475">
        <f t="shared" ca="1" si="35"/>
        <v>1.1274530123259379</v>
      </c>
      <c r="AB90" s="1476">
        <f t="shared" ca="1" si="45"/>
        <v>1.0294091030239458</v>
      </c>
      <c r="AC90" s="1474">
        <f t="shared" si="55"/>
        <v>1.02</v>
      </c>
      <c r="AD90" s="1475">
        <f t="shared" ca="1" si="36"/>
        <v>1.1274530123259379</v>
      </c>
      <c r="AF90" s="1476">
        <f t="shared" ca="1" si="46"/>
        <v>1.0883307783989822</v>
      </c>
      <c r="AG90" s="1474">
        <f t="shared" si="56"/>
        <v>0</v>
      </c>
      <c r="AH90" s="1475">
        <f t="shared" ca="1" si="37"/>
        <v>1.5466937113114996</v>
      </c>
      <c r="AJ90" s="1476">
        <f t="shared" ca="1" si="47"/>
        <v>1.0294091030239458</v>
      </c>
      <c r="AK90" s="1474">
        <f t="shared" si="57"/>
        <v>1.02</v>
      </c>
      <c r="AL90" s="1475">
        <f t="shared" ca="1" si="38"/>
        <v>1.1274530123259379</v>
      </c>
      <c r="AN90" s="1476">
        <f t="shared" ca="1" si="48"/>
        <v>1.0319091030239458</v>
      </c>
      <c r="AO90" s="1474">
        <f t="shared" si="58"/>
        <v>1.0049999999999999</v>
      </c>
      <c r="AP90" s="1475">
        <f t="shared" ca="1" si="39"/>
        <v>1.1321906668383659</v>
      </c>
      <c r="AR90" s="701">
        <f t="shared" si="59"/>
        <v>37561</v>
      </c>
      <c r="AS90" s="1478">
        <f ca="1">IF(AND($A90&gt;=EDATE(AS$17,12),IF(Assm!$L$74=0,$D90,$E90)/AS89&gt;=1.05),IF(Assm!$L$74=0,$D90,$E90),AS89)</f>
        <v>2.0499999999999998</v>
      </c>
      <c r="AT90" s="1478">
        <f t="shared" ca="1" si="60"/>
        <v>1.6965985268559132</v>
      </c>
      <c r="AU90" s="1478">
        <f t="shared" ca="1" si="61"/>
        <v>1.0883307783989822</v>
      </c>
      <c r="AV90" s="1478">
        <f t="shared" ca="1" si="62"/>
        <v>1.6965985268559132</v>
      </c>
      <c r="AW90" s="1475">
        <f t="shared" ca="1" si="63"/>
        <v>1.924882629107981</v>
      </c>
    </row>
    <row r="91" spans="1:49">
      <c r="A91" s="883">
        <f t="shared" si="50"/>
        <v>37591</v>
      </c>
      <c r="B91" s="1390">
        <f ca="1">'[2]Monthly Curve Calc.'!B94</f>
        <v>228.32478735487609</v>
      </c>
      <c r="C91" s="1391">
        <f ca="1">'[2]Monthly Curve Calc.'!C94</f>
        <v>185.04032074577864</v>
      </c>
      <c r="D91" s="1512">
        <f ca="1">'[2]Monthly Curve Calc.'!F94</f>
        <v>2.1248063486775925</v>
      </c>
      <c r="E91" s="1304">
        <f t="shared" ca="1" si="49"/>
        <v>1.5036881548187528</v>
      </c>
      <c r="F91" s="1473">
        <f ca="1">IF(Assm!$L$75=0,F90,IF(AND($A91&gt;F$16,MONTH($A91)=MONTH(F$16)),B90/B78,F90))</f>
        <v>1.0883307783989822</v>
      </c>
      <c r="G91" s="1474">
        <f ca="1">IF(Assm!$L$75=0,G90,IF(AND($A91&gt;G$16,MONTH($A91)=MONTH(G$16)),C90/C78,G90))</f>
        <v>1.0319091030239458</v>
      </c>
      <c r="H91" s="1474">
        <f ca="1">IF(Assm!$L$75=0,H90,IF(AND($A91&gt;H$16,MONTH($A91)=MONTH(H$16)),C90/C78-H$18,H90))</f>
        <v>1.0294091030239458</v>
      </c>
      <c r="I91" s="1474">
        <f ca="1">IF(Assm!$L$75=0,I90,IF($A91&gt;=I$16,IF(MONTH($A91)=MONTH(I$16),AVERAGE(D79:D90),I90),I90))</f>
        <v>1.9040823167445471</v>
      </c>
      <c r="J91" s="1475">
        <f ca="1">IF(Assm!$L$75=0,J90,IF($A91&gt;=J$16,IF(MONTH($A91)=MONTH(J$16),AVERAGE(E79:E90),J90),J90))</f>
        <v>1.3933058026367533</v>
      </c>
      <c r="K91" s="958">
        <f t="shared" si="40"/>
        <v>79</v>
      </c>
      <c r="L91" s="1476">
        <f t="shared" ca="1" si="41"/>
        <v>1.0319091030239458</v>
      </c>
      <c r="M91" s="1474">
        <f t="shared" si="51"/>
        <v>0</v>
      </c>
      <c r="N91" s="1475">
        <f t="shared" ca="1" si="32"/>
        <v>1.1321906668383659</v>
      </c>
      <c r="P91" s="1476">
        <f t="shared" ca="1" si="42"/>
        <v>1.0883307783989822</v>
      </c>
      <c r="Q91" s="1474">
        <f t="shared" si="52"/>
        <v>0</v>
      </c>
      <c r="R91" s="1475">
        <f t="shared" ca="1" si="33"/>
        <v>1.5466937113114996</v>
      </c>
      <c r="T91" s="1476">
        <f t="shared" ca="1" si="43"/>
        <v>1.0319091030239458</v>
      </c>
      <c r="U91" s="1474">
        <f t="shared" si="53"/>
        <v>1.0049999999999999</v>
      </c>
      <c r="V91" s="1475">
        <f t="shared" ca="1" si="34"/>
        <v>1.1321906668383659</v>
      </c>
      <c r="X91" s="1476">
        <f t="shared" ca="1" si="44"/>
        <v>1.0294091030239458</v>
      </c>
      <c r="Y91" s="1474">
        <f t="shared" si="54"/>
        <v>1.02</v>
      </c>
      <c r="Z91" s="1475">
        <f t="shared" ca="1" si="35"/>
        <v>1.1274530123259379</v>
      </c>
      <c r="AB91" s="1476">
        <f t="shared" ca="1" si="45"/>
        <v>1.0294091030239458</v>
      </c>
      <c r="AC91" s="1474">
        <f t="shared" si="55"/>
        <v>1.02</v>
      </c>
      <c r="AD91" s="1475">
        <f t="shared" ca="1" si="36"/>
        <v>1.1274530123259379</v>
      </c>
      <c r="AF91" s="1476">
        <f t="shared" ca="1" si="46"/>
        <v>1.0883307783989822</v>
      </c>
      <c r="AG91" s="1474">
        <f t="shared" si="56"/>
        <v>0</v>
      </c>
      <c r="AH91" s="1475">
        <f t="shared" ca="1" si="37"/>
        <v>1.5466937113114996</v>
      </c>
      <c r="AJ91" s="1476">
        <f t="shared" ca="1" si="47"/>
        <v>1.0294091030239458</v>
      </c>
      <c r="AK91" s="1474">
        <f t="shared" si="57"/>
        <v>1.02</v>
      </c>
      <c r="AL91" s="1475">
        <f t="shared" ca="1" si="38"/>
        <v>1.1274530123259379</v>
      </c>
      <c r="AN91" s="1476">
        <f t="shared" ca="1" si="48"/>
        <v>1.0319091030239458</v>
      </c>
      <c r="AO91" s="1474">
        <f t="shared" si="58"/>
        <v>1.0049999999999999</v>
      </c>
      <c r="AP91" s="1475">
        <f t="shared" ca="1" si="39"/>
        <v>1.1321906668383659</v>
      </c>
      <c r="AR91" s="701">
        <f t="shared" si="59"/>
        <v>37591</v>
      </c>
      <c r="AS91" s="1478">
        <f ca="1">IF(AND($A91&gt;=EDATE(AS$17,12),IF(Assm!$L$74=0,$D91,$E91)/AS90&gt;=1.05),IF(Assm!$L$74=0,$D91,$E91),AS90)</f>
        <v>2.0499999999999998</v>
      </c>
      <c r="AT91" s="1478">
        <f t="shared" ca="1" si="60"/>
        <v>1.6965985268559132</v>
      </c>
      <c r="AU91" s="1478">
        <f t="shared" ca="1" si="61"/>
        <v>1.0883307783989822</v>
      </c>
      <c r="AV91" s="1478">
        <f t="shared" ca="1" si="62"/>
        <v>1.6965985268559132</v>
      </c>
      <c r="AW91" s="1475">
        <f t="shared" ca="1" si="63"/>
        <v>1.924882629107981</v>
      </c>
    </row>
    <row r="92" spans="1:49">
      <c r="A92" s="883">
        <f t="shared" si="50"/>
        <v>37622</v>
      </c>
      <c r="B92" s="1390">
        <f ca="1">'[2]Monthly Curve Calc.'!B95</f>
        <v>229.7938359115775</v>
      </c>
      <c r="C92" s="1391">
        <f ca="1">'[2]Monthly Curve Calc.'!C95</f>
        <v>185.48840652139788</v>
      </c>
      <c r="D92" s="1512">
        <f ca="1">'[2]Monthly Curve Calc.'!F95</f>
        <v>2.1308778783404252</v>
      </c>
      <c r="E92" s="1304">
        <f t="shared" ca="1" si="49"/>
        <v>1.5097070871703928</v>
      </c>
      <c r="F92" s="1473">
        <f ca="1">IF(Assm!$L$75=0,F91,IF(AND($A92&gt;F$16,MONTH($A92)=MONTH(F$16)),B91/B79,F91))</f>
        <v>1.0883307783989822</v>
      </c>
      <c r="G92" s="1474">
        <f ca="1">IF(Assm!$L$75=0,G91,IF(AND($A92&gt;G$16,MONTH($A92)=MONTH(G$16)),C91/C79,G91))</f>
        <v>1.0319091030239458</v>
      </c>
      <c r="H92" s="1474">
        <f ca="1">IF(Assm!$L$75=0,H91,IF(AND($A92&gt;H$16,MONTH($A92)=MONTH(H$16)),C91/C79-H$18,H91))</f>
        <v>1.0294091030239458</v>
      </c>
      <c r="I92" s="1474">
        <f ca="1">IF(Assm!$L$75=0,I91,IF($A92&gt;=I$16,IF(MONTH($A92)=MONTH(I$16),AVERAGE(D80:D91),I91),I91))</f>
        <v>2.0630970585159614</v>
      </c>
      <c r="J92" s="1475">
        <f ca="1">IF(Assm!$L$75=0,J91,IF($A92&gt;=J$16,IF(MONTH($A92)=MONTH(J$16),AVERAGE(E80:E91),J91),J91))</f>
        <v>1.4687146144227545</v>
      </c>
      <c r="K92" s="958">
        <f t="shared" si="40"/>
        <v>80</v>
      </c>
      <c r="L92" s="1476">
        <f t="shared" ca="1" si="41"/>
        <v>1.0319091030239458</v>
      </c>
      <c r="M92" s="1474">
        <f t="shared" si="51"/>
        <v>0</v>
      </c>
      <c r="N92" s="1475">
        <f t="shared" ca="1" si="32"/>
        <v>1.1321906668383659</v>
      </c>
      <c r="P92" s="1476">
        <f t="shared" ca="1" si="42"/>
        <v>1.0883307783989822</v>
      </c>
      <c r="Q92" s="1474">
        <f t="shared" si="52"/>
        <v>0</v>
      </c>
      <c r="R92" s="1475">
        <f t="shared" ca="1" si="33"/>
        <v>1.5466937113114996</v>
      </c>
      <c r="T92" s="1476">
        <f t="shared" ca="1" si="43"/>
        <v>1.0319091030239458</v>
      </c>
      <c r="U92" s="1474">
        <f t="shared" si="53"/>
        <v>1.0049999999999999</v>
      </c>
      <c r="V92" s="1475">
        <f t="shared" ca="1" si="34"/>
        <v>1.1321906668383659</v>
      </c>
      <c r="X92" s="1476">
        <f t="shared" ca="1" si="44"/>
        <v>1.0294091030239458</v>
      </c>
      <c r="Y92" s="1474">
        <f t="shared" si="54"/>
        <v>1.02</v>
      </c>
      <c r="Z92" s="1475">
        <f t="shared" ca="1" si="35"/>
        <v>1.1274530123259379</v>
      </c>
      <c r="AB92" s="1476">
        <f t="shared" ca="1" si="45"/>
        <v>1.0294091030239458</v>
      </c>
      <c r="AC92" s="1474">
        <f t="shared" si="55"/>
        <v>1.02</v>
      </c>
      <c r="AD92" s="1475">
        <f t="shared" ca="1" si="36"/>
        <v>1.1274530123259379</v>
      </c>
      <c r="AF92" s="1476">
        <f t="shared" ca="1" si="46"/>
        <v>1.0883307783989822</v>
      </c>
      <c r="AG92" s="1474">
        <f t="shared" si="56"/>
        <v>0</v>
      </c>
      <c r="AH92" s="1475">
        <f t="shared" ca="1" si="37"/>
        <v>1.5466937113114996</v>
      </c>
      <c r="AJ92" s="1476">
        <f t="shared" ca="1" si="47"/>
        <v>1.0294091030239458</v>
      </c>
      <c r="AK92" s="1474">
        <f t="shared" si="57"/>
        <v>1.02</v>
      </c>
      <c r="AL92" s="1475">
        <f t="shared" ca="1" si="38"/>
        <v>1.1274530123259379</v>
      </c>
      <c r="AN92" s="1476">
        <f t="shared" ca="1" si="48"/>
        <v>1.0319091030239458</v>
      </c>
      <c r="AO92" s="1474">
        <f t="shared" si="58"/>
        <v>1.0049999999999999</v>
      </c>
      <c r="AP92" s="1475">
        <f t="shared" ca="1" si="39"/>
        <v>1.1321906668383659</v>
      </c>
      <c r="AR92" s="701">
        <f t="shared" si="59"/>
        <v>37622</v>
      </c>
      <c r="AS92" s="1478">
        <f ca="1">IF(AND($A92&gt;=EDATE(AS$17,12),IF(Assm!$L$74=0,$D92,$E92)/AS91&gt;=1.05),IF(Assm!$L$74=0,$D92,$E92),AS91)</f>
        <v>2.0499999999999998</v>
      </c>
      <c r="AT92" s="1478">
        <f t="shared" ca="1" si="60"/>
        <v>1.6965985268559132</v>
      </c>
      <c r="AU92" s="1478">
        <f t="shared" ca="1" si="61"/>
        <v>1.0883307783989822</v>
      </c>
      <c r="AV92" s="1478">
        <f t="shared" ca="1" si="62"/>
        <v>1.6965985268559132</v>
      </c>
      <c r="AW92" s="1475">
        <f t="shared" ca="1" si="63"/>
        <v>1.924882629107981</v>
      </c>
    </row>
    <row r="93" spans="1:49">
      <c r="A93" s="883">
        <f t="shared" si="50"/>
        <v>37653</v>
      </c>
      <c r="B93" s="1390">
        <f ca="1">'[2]Monthly Curve Calc.'!B96</f>
        <v>231.27233637092579</v>
      </c>
      <c r="C93" s="1391">
        <f ca="1">'[2]Monthly Curve Calc.'!C96</f>
        <v>185.93757736248557</v>
      </c>
      <c r="D93" s="1512">
        <f ca="1">'[2]Monthly Curve Calc.'!F96</f>
        <v>2.1369667571007271</v>
      </c>
      <c r="E93" s="1304">
        <f t="shared" ca="1" si="49"/>
        <v>1.5157501119819872</v>
      </c>
      <c r="F93" s="1473">
        <f ca="1">IF(Assm!$L$75=0,F92,IF(AND($A93&gt;F$16,MONTH($A93)=MONTH(F$16)),B92/B80,F92))</f>
        <v>1.0883307783989822</v>
      </c>
      <c r="G93" s="1474">
        <f ca="1">IF(Assm!$L$75=0,G92,IF(AND($A93&gt;G$16,MONTH($A93)=MONTH(G$16)),C92/C80,G92))</f>
        <v>1.0319091030239458</v>
      </c>
      <c r="H93" s="1474">
        <f ca="1">IF(Assm!$L$75=0,H92,IF(AND($A93&gt;H$16,MONTH($A93)=MONTH(H$16)),C92/C80-H$18,H92))</f>
        <v>1.0294091030239458</v>
      </c>
      <c r="I93" s="1474">
        <f ca="1">IF(Assm!$L$75=0,I92,IF($A93&gt;=I$16,IF(MONTH($A93)=MONTH(I$16),AVERAGE(D81:D92),I92),I92))</f>
        <v>2.0630970585159614</v>
      </c>
      <c r="J93" s="1475">
        <f ca="1">IF(Assm!$L$75=0,J92,IF($A93&gt;=J$16,IF(MONTH($A93)=MONTH(J$16),AVERAGE(E81:E92),J92),J92))</f>
        <v>1.4687146144227545</v>
      </c>
      <c r="K93" s="958">
        <f t="shared" si="40"/>
        <v>81</v>
      </c>
      <c r="L93" s="1476">
        <f t="shared" ca="1" si="41"/>
        <v>1.0319091030239458</v>
      </c>
      <c r="M93" s="1474">
        <f t="shared" si="51"/>
        <v>0</v>
      </c>
      <c r="N93" s="1475">
        <f t="shared" ca="1" si="32"/>
        <v>1.1321906668383659</v>
      </c>
      <c r="P93" s="1476">
        <f t="shared" ca="1" si="42"/>
        <v>1.0883307783989822</v>
      </c>
      <c r="Q93" s="1474">
        <f t="shared" si="52"/>
        <v>0</v>
      </c>
      <c r="R93" s="1475">
        <f t="shared" ca="1" si="33"/>
        <v>1.5466937113114996</v>
      </c>
      <c r="T93" s="1476">
        <f t="shared" ca="1" si="43"/>
        <v>1.0319091030239458</v>
      </c>
      <c r="U93" s="1474">
        <f t="shared" si="53"/>
        <v>1.0049999999999999</v>
      </c>
      <c r="V93" s="1475">
        <f t="shared" ca="1" si="34"/>
        <v>1.1321906668383659</v>
      </c>
      <c r="X93" s="1476">
        <f t="shared" ca="1" si="44"/>
        <v>1.0294091030239458</v>
      </c>
      <c r="Y93" s="1474">
        <f t="shared" si="54"/>
        <v>1.02</v>
      </c>
      <c r="Z93" s="1475">
        <f t="shared" ca="1" si="35"/>
        <v>1.1274530123259379</v>
      </c>
      <c r="AB93" s="1476">
        <f t="shared" ca="1" si="45"/>
        <v>1.0294091030239458</v>
      </c>
      <c r="AC93" s="1474">
        <f t="shared" si="55"/>
        <v>1.02</v>
      </c>
      <c r="AD93" s="1475">
        <f t="shared" ca="1" si="36"/>
        <v>1.1274530123259379</v>
      </c>
      <c r="AF93" s="1476">
        <f t="shared" ca="1" si="46"/>
        <v>1.0883307783989822</v>
      </c>
      <c r="AG93" s="1474">
        <f t="shared" si="56"/>
        <v>0</v>
      </c>
      <c r="AH93" s="1475">
        <f t="shared" ca="1" si="37"/>
        <v>1.5466937113114996</v>
      </c>
      <c r="AJ93" s="1476">
        <f t="shared" ca="1" si="47"/>
        <v>1.0294091030239458</v>
      </c>
      <c r="AK93" s="1474">
        <f t="shared" si="57"/>
        <v>1.02</v>
      </c>
      <c r="AL93" s="1475">
        <f t="shared" ca="1" si="38"/>
        <v>1.1274530123259379</v>
      </c>
      <c r="AN93" s="1476">
        <f t="shared" ca="1" si="48"/>
        <v>1.0319091030239458</v>
      </c>
      <c r="AO93" s="1474">
        <f t="shared" si="58"/>
        <v>1.0049999999999999</v>
      </c>
      <c r="AP93" s="1475">
        <f t="shared" ca="1" si="39"/>
        <v>1.1321906668383659</v>
      </c>
      <c r="AR93" s="701">
        <f t="shared" si="59"/>
        <v>37653</v>
      </c>
      <c r="AS93" s="1478">
        <f ca="1">IF(AND($A93&gt;=EDATE(AS$17,12),IF(Assm!$L$74=0,$D93,$E93)/AS92&gt;=1.05),IF(Assm!$L$74=0,$D93,$E93),AS92)</f>
        <v>2.0499999999999998</v>
      </c>
      <c r="AT93" s="1478">
        <f t="shared" ca="1" si="60"/>
        <v>1.6965985268559132</v>
      </c>
      <c r="AU93" s="1478">
        <f t="shared" ca="1" si="61"/>
        <v>1.0883307783989822</v>
      </c>
      <c r="AV93" s="1478">
        <f t="shared" ca="1" si="62"/>
        <v>1.6965985268559132</v>
      </c>
      <c r="AW93" s="1475">
        <f t="shared" ca="1" si="63"/>
        <v>1.924882629107981</v>
      </c>
    </row>
    <row r="94" spans="1:49">
      <c r="A94" s="883">
        <f t="shared" si="50"/>
        <v>37681</v>
      </c>
      <c r="B94" s="1390">
        <f ca="1">'[2]Monthly Curve Calc.'!B97</f>
        <v>232.76034954674716</v>
      </c>
      <c r="C94" s="1391">
        <f ca="1">'[2]Monthly Curve Calc.'!C97</f>
        <v>186.38783589659013</v>
      </c>
      <c r="D94" s="1512">
        <f ca="1">'[2]Monthly Curve Calc.'!F97</f>
        <v>2.1430730345326912</v>
      </c>
      <c r="E94" s="1304">
        <f t="shared" ca="1" si="49"/>
        <v>1.5218173256903442</v>
      </c>
      <c r="F94" s="1473">
        <f ca="1">IF(Assm!$L$75=0,F93,IF(AND($A94&gt;F$16,MONTH($A94)=MONTH(F$16)),B93/B81,F93))</f>
        <v>1.0883307783989822</v>
      </c>
      <c r="G94" s="1474">
        <f ca="1">IF(Assm!$L$75=0,G93,IF(AND($A94&gt;G$16,MONTH($A94)=MONTH(G$16)),C93/C81,G93))</f>
        <v>1.0319091030239458</v>
      </c>
      <c r="H94" s="1474">
        <f ca="1">IF(Assm!$L$75=0,H93,IF(AND($A94&gt;H$16,MONTH($A94)=MONTH(H$16)),C93/C81-H$18,H93))</f>
        <v>1.0294091030239458</v>
      </c>
      <c r="I94" s="1474">
        <f ca="1">IF(Assm!$L$75=0,I93,IF($A94&gt;=I$16,IF(MONTH($A94)=MONTH(I$16),AVERAGE(D82:D93),I93),I93))</f>
        <v>2.0630970585159614</v>
      </c>
      <c r="J94" s="1475">
        <f ca="1">IF(Assm!$L$75=0,J93,IF($A94&gt;=J$16,IF(MONTH($A94)=MONTH(J$16),AVERAGE(E82:E93),J93),J93))</f>
        <v>1.4687146144227545</v>
      </c>
      <c r="K94" s="958">
        <f t="shared" si="40"/>
        <v>82</v>
      </c>
      <c r="L94" s="1476">
        <f t="shared" ca="1" si="41"/>
        <v>1.0319091030239458</v>
      </c>
      <c r="M94" s="1474">
        <f t="shared" si="51"/>
        <v>0</v>
      </c>
      <c r="N94" s="1475">
        <f t="shared" ca="1" si="32"/>
        <v>1.1321906668383659</v>
      </c>
      <c r="P94" s="1476">
        <f t="shared" ca="1" si="42"/>
        <v>1.0883307783989822</v>
      </c>
      <c r="Q94" s="1474">
        <f t="shared" si="52"/>
        <v>0</v>
      </c>
      <c r="R94" s="1475">
        <f t="shared" ca="1" si="33"/>
        <v>1.5466937113114996</v>
      </c>
      <c r="T94" s="1476">
        <f t="shared" ca="1" si="43"/>
        <v>1.0319091030239458</v>
      </c>
      <c r="U94" s="1474">
        <f t="shared" si="53"/>
        <v>1.0049999999999999</v>
      </c>
      <c r="V94" s="1475">
        <f t="shared" ca="1" si="34"/>
        <v>1.1321906668383659</v>
      </c>
      <c r="X94" s="1476">
        <f t="shared" ca="1" si="44"/>
        <v>1.0294091030239458</v>
      </c>
      <c r="Y94" s="1474">
        <f t="shared" si="54"/>
        <v>1.02</v>
      </c>
      <c r="Z94" s="1475">
        <f t="shared" ca="1" si="35"/>
        <v>1.1274530123259379</v>
      </c>
      <c r="AB94" s="1476">
        <f t="shared" ca="1" si="45"/>
        <v>1.0294091030239458</v>
      </c>
      <c r="AC94" s="1474">
        <f t="shared" si="55"/>
        <v>1.02</v>
      </c>
      <c r="AD94" s="1475">
        <f t="shared" ca="1" si="36"/>
        <v>1.1274530123259379</v>
      </c>
      <c r="AF94" s="1476">
        <f t="shared" ca="1" si="46"/>
        <v>1.0883307783989822</v>
      </c>
      <c r="AG94" s="1474">
        <f t="shared" si="56"/>
        <v>0</v>
      </c>
      <c r="AH94" s="1475">
        <f t="shared" ca="1" si="37"/>
        <v>1.5466937113114996</v>
      </c>
      <c r="AJ94" s="1476">
        <f t="shared" ca="1" si="47"/>
        <v>1.0294091030239458</v>
      </c>
      <c r="AK94" s="1474">
        <f t="shared" si="57"/>
        <v>1.02</v>
      </c>
      <c r="AL94" s="1475">
        <f t="shared" ca="1" si="38"/>
        <v>1.1274530123259379</v>
      </c>
      <c r="AN94" s="1476">
        <f t="shared" ca="1" si="48"/>
        <v>1.0319091030239458</v>
      </c>
      <c r="AO94" s="1474">
        <f t="shared" si="58"/>
        <v>1.0049999999999999</v>
      </c>
      <c r="AP94" s="1475">
        <f t="shared" ca="1" si="39"/>
        <v>1.1321906668383659</v>
      </c>
      <c r="AR94" s="701">
        <f t="shared" si="59"/>
        <v>37681</v>
      </c>
      <c r="AS94" s="1478">
        <f ca="1">IF(AND($A94&gt;=EDATE(AS$17,12),IF(Assm!$L$74=0,$D94,$E94)/AS93&gt;=1.05),IF(Assm!$L$74=0,$D94,$E94),AS93)</f>
        <v>2.0499999999999998</v>
      </c>
      <c r="AT94" s="1478">
        <f t="shared" ca="1" si="60"/>
        <v>1.6965985268559132</v>
      </c>
      <c r="AU94" s="1478">
        <f t="shared" ca="1" si="61"/>
        <v>1.0883307783989822</v>
      </c>
      <c r="AV94" s="1478">
        <f t="shared" ca="1" si="62"/>
        <v>1.6965985268559132</v>
      </c>
      <c r="AW94" s="1475">
        <f t="shared" ca="1" si="63"/>
        <v>1.924882629107981</v>
      </c>
    </row>
    <row r="95" spans="1:49">
      <c r="A95" s="883">
        <f t="shared" si="50"/>
        <v>37712</v>
      </c>
      <c r="B95" s="1390">
        <f ca="1">'[2]Monthly Curve Calc.'!B98</f>
        <v>234.25793664414587</v>
      </c>
      <c r="C95" s="1391">
        <f ca="1">'[2]Monthly Curve Calc.'!C98</f>
        <v>186.83918475762275</v>
      </c>
      <c r="D95" s="1512">
        <f ca="1">'[2]Monthly Curve Calc.'!F98</f>
        <v>2.1491967603521664</v>
      </c>
      <c r="E95" s="1304">
        <f t="shared" ca="1" si="49"/>
        <v>1.5279088251182877</v>
      </c>
      <c r="F95" s="1473">
        <f ca="1">IF(Assm!$L$75=0,F94,IF(AND($A95&gt;F$16,MONTH($A95)=MONTH(F$16)),B94/B82,F94))</f>
        <v>1.0883307783989822</v>
      </c>
      <c r="G95" s="1474">
        <f ca="1">IF(Assm!$L$75=0,G94,IF(AND($A95&gt;G$16,MONTH($A95)=MONTH(G$16)),C94/C82,G94))</f>
        <v>1.0319091030239458</v>
      </c>
      <c r="H95" s="1474">
        <f ca="1">IF(Assm!$L$75=0,H94,IF(AND($A95&gt;H$16,MONTH($A95)=MONTH(H$16)),C94/C82-H$18,H94))</f>
        <v>1.0294091030239458</v>
      </c>
      <c r="I95" s="1474">
        <f ca="1">IF(Assm!$L$75=0,I94,IF($A95&gt;=I$16,IF(MONTH($A95)=MONTH(I$16),AVERAGE(D83:D94),I94),I94))</f>
        <v>2.0630970585159614</v>
      </c>
      <c r="J95" s="1475">
        <f ca="1">IF(Assm!$L$75=0,J94,IF($A95&gt;=J$16,IF(MONTH($A95)=MONTH(J$16),AVERAGE(E83:E94),J94),J94))</f>
        <v>1.4687146144227545</v>
      </c>
      <c r="K95" s="958">
        <f t="shared" si="40"/>
        <v>83</v>
      </c>
      <c r="L95" s="1476">
        <f t="shared" ca="1" si="41"/>
        <v>1.0319091030239458</v>
      </c>
      <c r="M95" s="1474">
        <f t="shared" si="51"/>
        <v>0</v>
      </c>
      <c r="N95" s="1475">
        <f t="shared" ca="1" si="32"/>
        <v>1.1321906668383659</v>
      </c>
      <c r="P95" s="1476">
        <f t="shared" ca="1" si="42"/>
        <v>1.0883307783989822</v>
      </c>
      <c r="Q95" s="1474">
        <f t="shared" si="52"/>
        <v>0</v>
      </c>
      <c r="R95" s="1475">
        <f t="shared" ca="1" si="33"/>
        <v>1.5466937113114996</v>
      </c>
      <c r="T95" s="1476">
        <f t="shared" ca="1" si="43"/>
        <v>1.0319091030239458</v>
      </c>
      <c r="U95" s="1474">
        <f t="shared" si="53"/>
        <v>1.0049999999999999</v>
      </c>
      <c r="V95" s="1475">
        <f t="shared" ca="1" si="34"/>
        <v>1.1321906668383659</v>
      </c>
      <c r="X95" s="1476">
        <f t="shared" ca="1" si="44"/>
        <v>1.0294091030239458</v>
      </c>
      <c r="Y95" s="1474">
        <f t="shared" si="54"/>
        <v>1.02</v>
      </c>
      <c r="Z95" s="1475">
        <f t="shared" ca="1" si="35"/>
        <v>1.1274530123259379</v>
      </c>
      <c r="AB95" s="1476">
        <f t="shared" ca="1" si="45"/>
        <v>1.0294091030239458</v>
      </c>
      <c r="AC95" s="1474">
        <f t="shared" si="55"/>
        <v>1.02</v>
      </c>
      <c r="AD95" s="1475">
        <f t="shared" ca="1" si="36"/>
        <v>1.1274530123259379</v>
      </c>
      <c r="AF95" s="1476">
        <f t="shared" ca="1" si="46"/>
        <v>1.0883307783989822</v>
      </c>
      <c r="AG95" s="1474">
        <f t="shared" si="56"/>
        <v>0</v>
      </c>
      <c r="AH95" s="1475">
        <f t="shared" ca="1" si="37"/>
        <v>1.5466937113114996</v>
      </c>
      <c r="AJ95" s="1476">
        <f t="shared" ca="1" si="47"/>
        <v>1.0294091030239458</v>
      </c>
      <c r="AK95" s="1474">
        <f t="shared" si="57"/>
        <v>1.02</v>
      </c>
      <c r="AL95" s="1475">
        <f t="shared" ca="1" si="38"/>
        <v>1.1274530123259379</v>
      </c>
      <c r="AN95" s="1476">
        <f t="shared" ca="1" si="48"/>
        <v>1.0319091030239458</v>
      </c>
      <c r="AO95" s="1474">
        <f t="shared" si="58"/>
        <v>1.0049999999999999</v>
      </c>
      <c r="AP95" s="1475">
        <f t="shared" ca="1" si="39"/>
        <v>1.1321906668383659</v>
      </c>
      <c r="AR95" s="701">
        <f t="shared" si="59"/>
        <v>37712</v>
      </c>
      <c r="AS95" s="1478">
        <f ca="1">IF(AND($A95&gt;=EDATE(AS$17,12),IF(Assm!$L$74=0,$D95,$E95)/AS94&gt;=1.05),IF(Assm!$L$74=0,$D95,$E95),AS94)</f>
        <v>2.0499999999999998</v>
      </c>
      <c r="AT95" s="1478">
        <f t="shared" ca="1" si="60"/>
        <v>1.6965985268559132</v>
      </c>
      <c r="AU95" s="1478">
        <f t="shared" ca="1" si="61"/>
        <v>1.0883307783989822</v>
      </c>
      <c r="AV95" s="1478">
        <f t="shared" ca="1" si="62"/>
        <v>1.6965985268559132</v>
      </c>
      <c r="AW95" s="1475">
        <f t="shared" ca="1" si="63"/>
        <v>1.924882629107981</v>
      </c>
    </row>
    <row r="96" spans="1:49">
      <c r="A96" s="883">
        <f t="shared" si="50"/>
        <v>37742</v>
      </c>
      <c r="B96" s="1390">
        <f ca="1">'[2]Monthly Curve Calc.'!B99</f>
        <v>235.76515926202157</v>
      </c>
      <c r="C96" s="1391">
        <f ca="1">'[2]Monthly Curve Calc.'!C99</f>
        <v>187.29162658587273</v>
      </c>
      <c r="D96" s="1512">
        <f ca="1">'[2]Monthly Curve Calc.'!F99</f>
        <v>2.1553379844170619</v>
      </c>
      <c r="E96" s="1304">
        <f t="shared" ca="1" si="49"/>
        <v>1.5340247074762021</v>
      </c>
      <c r="F96" s="1473">
        <f ca="1">IF(Assm!$L$75=0,F95,IF(AND($A96&gt;F$16,MONTH($A96)=MONTH(F$16)),B95/B83,F95))</f>
        <v>1.0833307665948395</v>
      </c>
      <c r="G96" s="1474">
        <f ca="1">IF(Assm!$L$75=0,G95,IF(AND($A96&gt;G$16,MONTH($A96)=MONTH(G$16)),C95/C83,G95))</f>
        <v>1.0301154037813975</v>
      </c>
      <c r="H96" s="1474">
        <f ca="1">IF(Assm!$L$75=0,H95,IF(AND($A96&gt;H$16,MONTH($A96)=MONTH(H$16)),C95/C83-H$18,H95))</f>
        <v>1.0276154037813976</v>
      </c>
      <c r="I96" s="1474">
        <f ca="1">IF(Assm!$L$75=0,I95,IF($A96&gt;=I$16,IF(MONTH($A96)=MONTH(I$16),AVERAGE(D84:D95),I95),I95))</f>
        <v>2.0630970585159614</v>
      </c>
      <c r="J96" s="1475">
        <f ca="1">IF(Assm!$L$75=0,J95,IF($A96&gt;=J$16,IF(MONTH($A96)=MONTH(J$16),AVERAGE(E84:E95),J95),J95))</f>
        <v>1.4687146144227545</v>
      </c>
      <c r="K96" s="958">
        <f t="shared" si="40"/>
        <v>84</v>
      </c>
      <c r="L96" s="1476">
        <f t="shared" ca="1" si="41"/>
        <v>1.0301154037813975</v>
      </c>
      <c r="M96" s="1474">
        <f t="shared" si="51"/>
        <v>0</v>
      </c>
      <c r="N96" s="1475">
        <f t="shared" ca="1" si="32"/>
        <v>1.166287045927733</v>
      </c>
      <c r="P96" s="1476">
        <f t="shared" ca="1" si="42"/>
        <v>1.0833307665948395</v>
      </c>
      <c r="Q96" s="1474">
        <f t="shared" si="52"/>
        <v>0</v>
      </c>
      <c r="R96" s="1475">
        <f t="shared" ca="1" si="33"/>
        <v>1.6755808839625042</v>
      </c>
      <c r="T96" s="1476">
        <f t="shared" ca="1" si="43"/>
        <v>1.0301154037813975</v>
      </c>
      <c r="U96" s="1474">
        <f t="shared" si="53"/>
        <v>1.0049999999999999</v>
      </c>
      <c r="V96" s="1475">
        <f t="shared" ca="1" si="34"/>
        <v>1.166287045927733</v>
      </c>
      <c r="X96" s="1476">
        <f t="shared" ca="1" si="44"/>
        <v>1.0276154037813976</v>
      </c>
      <c r="Y96" s="1474">
        <f t="shared" si="54"/>
        <v>1.02</v>
      </c>
      <c r="Z96" s="1475">
        <f t="shared" ca="1" si="35"/>
        <v>1.1585880825058716</v>
      </c>
      <c r="AB96" s="1476">
        <f t="shared" ca="1" si="45"/>
        <v>1.0276154037813976</v>
      </c>
      <c r="AC96" s="1474">
        <f t="shared" si="55"/>
        <v>1.02</v>
      </c>
      <c r="AD96" s="1475">
        <f t="shared" ca="1" si="36"/>
        <v>1.1585880825058716</v>
      </c>
      <c r="AF96" s="1476">
        <f t="shared" ca="1" si="46"/>
        <v>1.0833307665948395</v>
      </c>
      <c r="AG96" s="1474">
        <f t="shared" si="56"/>
        <v>0</v>
      </c>
      <c r="AH96" s="1475">
        <f t="shared" ca="1" si="37"/>
        <v>1.6755808839625042</v>
      </c>
      <c r="AJ96" s="1476">
        <f t="shared" ca="1" si="47"/>
        <v>1.0276154037813976</v>
      </c>
      <c r="AK96" s="1474">
        <f t="shared" si="57"/>
        <v>1.02</v>
      </c>
      <c r="AL96" s="1475">
        <f t="shared" ca="1" si="38"/>
        <v>1.1585880825058716</v>
      </c>
      <c r="AN96" s="1476">
        <f t="shared" ca="1" si="48"/>
        <v>1.0301154037813975</v>
      </c>
      <c r="AO96" s="1474">
        <f t="shared" si="58"/>
        <v>1.0049999999999999</v>
      </c>
      <c r="AP96" s="1475">
        <f t="shared" ca="1" si="39"/>
        <v>1.166287045927733</v>
      </c>
      <c r="AR96" s="701">
        <f t="shared" si="59"/>
        <v>37742</v>
      </c>
      <c r="AS96" s="1478">
        <f ca="1">IF(AND($A96&gt;=EDATE(AS$17,12),IF(Assm!$L$74=0,$D96,$E96)/AS95&gt;=1.05),IF(Assm!$L$74=0,$D96,$E96),AS95)</f>
        <v>2.1553379844170619</v>
      </c>
      <c r="AT96" s="1478">
        <f t="shared" ca="1" si="60"/>
        <v>1.0513843826424694</v>
      </c>
      <c r="AU96" s="1478">
        <f t="shared" ca="1" si="61"/>
        <v>1.0833307665948395</v>
      </c>
      <c r="AV96" s="1478">
        <f t="shared" ca="1" si="62"/>
        <v>1.0833307665948395</v>
      </c>
      <c r="AW96" s="1475">
        <f t="shared" ca="1" si="63"/>
        <v>2.0852845741966393</v>
      </c>
    </row>
    <row r="97" spans="1:49">
      <c r="A97" s="883">
        <f t="shared" si="50"/>
        <v>37773</v>
      </c>
      <c r="B97" s="1390">
        <f ca="1">'[2]Monthly Curve Calc.'!B100</f>
        <v>237.28207939560318</v>
      </c>
      <c r="C97" s="1391">
        <f ca="1">'[2]Monthly Curve Calc.'!C100</f>
        <v>187.74516402802308</v>
      </c>
      <c r="D97" s="1512">
        <f ca="1">'[2]Monthly Curve Calc.'!F100</f>
        <v>2.1614967567277539</v>
      </c>
      <c r="E97" s="1304">
        <f t="shared" ca="1" si="49"/>
        <v>1.5401650703635832</v>
      </c>
      <c r="F97" s="1473">
        <f ca="1">IF(Assm!$L$75=0,F96,IF(AND($A97&gt;F$16,MONTH($A97)=MONTH(F$16)),B96/B84,F96))</f>
        <v>1.0833307665948395</v>
      </c>
      <c r="G97" s="1474">
        <f ca="1">IF(Assm!$L$75=0,G96,IF(AND($A97&gt;G$16,MONTH($A97)=MONTH(G$16)),C96/C84,G96))</f>
        <v>1.0301154037813975</v>
      </c>
      <c r="H97" s="1474">
        <f ca="1">IF(Assm!$L$75=0,H96,IF(AND($A97&gt;H$16,MONTH($A97)=MONTH(H$16)),C96/C84-H$18,H96))</f>
        <v>1.0276154037813976</v>
      </c>
      <c r="I97" s="1474">
        <f ca="1">IF(Assm!$L$75=0,I96,IF($A97&gt;=I$16,IF(MONTH($A97)=MONTH(I$16),AVERAGE(D85:D96),I96),I96))</f>
        <v>2.0630970585159614</v>
      </c>
      <c r="J97" s="1475">
        <f ca="1">IF(Assm!$L$75=0,J96,IF($A97&gt;=J$16,IF(MONTH($A97)=MONTH(J$16),AVERAGE(E85:E96),J96),J96))</f>
        <v>1.4687146144227545</v>
      </c>
      <c r="K97" s="958">
        <f t="shared" si="40"/>
        <v>85</v>
      </c>
      <c r="L97" s="1476">
        <f t="shared" ca="1" si="41"/>
        <v>1.0301154037813975</v>
      </c>
      <c r="M97" s="1474">
        <f t="shared" si="51"/>
        <v>0</v>
      </c>
      <c r="N97" s="1475">
        <f t="shared" ca="1" si="32"/>
        <v>1.166287045927733</v>
      </c>
      <c r="P97" s="1476">
        <f t="shared" ca="1" si="42"/>
        <v>1.0833307665948395</v>
      </c>
      <c r="Q97" s="1474">
        <f t="shared" si="52"/>
        <v>0</v>
      </c>
      <c r="R97" s="1475">
        <f t="shared" ca="1" si="33"/>
        <v>1.6755808839625042</v>
      </c>
      <c r="T97" s="1476">
        <f t="shared" ca="1" si="43"/>
        <v>1.0301154037813975</v>
      </c>
      <c r="U97" s="1474">
        <f t="shared" si="53"/>
        <v>1.0049999999999999</v>
      </c>
      <c r="V97" s="1475">
        <f t="shared" ca="1" si="34"/>
        <v>1.166287045927733</v>
      </c>
      <c r="X97" s="1476">
        <f t="shared" ca="1" si="44"/>
        <v>1.0276154037813976</v>
      </c>
      <c r="Y97" s="1474">
        <f t="shared" si="54"/>
        <v>1.02</v>
      </c>
      <c r="Z97" s="1475">
        <f t="shared" ca="1" si="35"/>
        <v>1.1585880825058716</v>
      </c>
      <c r="AB97" s="1476">
        <f t="shared" ca="1" si="45"/>
        <v>1.0276154037813976</v>
      </c>
      <c r="AC97" s="1474">
        <f t="shared" si="55"/>
        <v>1.02</v>
      </c>
      <c r="AD97" s="1475">
        <f t="shared" ca="1" si="36"/>
        <v>1.1585880825058716</v>
      </c>
      <c r="AF97" s="1476">
        <f t="shared" ca="1" si="46"/>
        <v>1.0833307665948395</v>
      </c>
      <c r="AG97" s="1474">
        <f t="shared" si="56"/>
        <v>0</v>
      </c>
      <c r="AH97" s="1475">
        <f t="shared" ca="1" si="37"/>
        <v>1.6755808839625042</v>
      </c>
      <c r="AJ97" s="1476">
        <f t="shared" ca="1" si="47"/>
        <v>1.0276154037813976</v>
      </c>
      <c r="AK97" s="1474">
        <f t="shared" si="57"/>
        <v>1.02</v>
      </c>
      <c r="AL97" s="1475">
        <f t="shared" ca="1" si="38"/>
        <v>1.1585880825058716</v>
      </c>
      <c r="AN97" s="1476">
        <f t="shared" ca="1" si="48"/>
        <v>1.0301154037813975</v>
      </c>
      <c r="AO97" s="1474">
        <f t="shared" si="58"/>
        <v>1.0049999999999999</v>
      </c>
      <c r="AP97" s="1475">
        <f t="shared" ca="1" si="39"/>
        <v>1.166287045927733</v>
      </c>
      <c r="AR97" s="701">
        <f t="shared" si="59"/>
        <v>37773</v>
      </c>
      <c r="AS97" s="1478">
        <f ca="1">IF(AND($A97&gt;=EDATE(AS$17,12),IF(Assm!$L$74=0,$D97,$E97)/AS96&gt;=1.05),IF(Assm!$L$74=0,$D97,$E97),AS96)</f>
        <v>2.1553379844170619</v>
      </c>
      <c r="AT97" s="1478">
        <f t="shared" ca="1" si="60"/>
        <v>1.0513843826424694</v>
      </c>
      <c r="AU97" s="1478">
        <f t="shared" ca="1" si="61"/>
        <v>1.0833307665948395</v>
      </c>
      <c r="AV97" s="1478">
        <f t="shared" ca="1" si="62"/>
        <v>1.0833307665948395</v>
      </c>
      <c r="AW97" s="1475">
        <f t="shared" ca="1" si="63"/>
        <v>2.0852845741966393</v>
      </c>
    </row>
    <row r="98" spans="1:49">
      <c r="A98" s="883">
        <f t="shared" si="50"/>
        <v>37803</v>
      </c>
      <c r="B98" s="1390">
        <f ca="1">'[2]Monthly Curve Calc.'!B101</f>
        <v>238.80875943899872</v>
      </c>
      <c r="C98" s="1391">
        <f ca="1">'[2]Monthly Curve Calc.'!C101</f>
        <v>188.19979973716582</v>
      </c>
      <c r="D98" s="1512">
        <f ca="1">'[2]Monthly Curve Calc.'!F101</f>
        <v>2.1676731274274914</v>
      </c>
      <c r="E98" s="1304">
        <f t="shared" ca="1" si="49"/>
        <v>1.5463300117705963</v>
      </c>
      <c r="F98" s="1473">
        <f ca="1">IF(Assm!$L$75=0,F97,IF(AND($A98&gt;F$16,MONTH($A98)=MONTH(F$16)),B97/B85,F97))</f>
        <v>1.0833307665948395</v>
      </c>
      <c r="G98" s="1474">
        <f ca="1">IF(Assm!$L$75=0,G97,IF(AND($A98&gt;G$16,MONTH($A98)=MONTH(G$16)),C97/C85,G97))</f>
        <v>1.0301154037813975</v>
      </c>
      <c r="H98" s="1474">
        <f ca="1">IF(Assm!$L$75=0,H97,IF(AND($A98&gt;H$16,MONTH($A98)=MONTH(H$16)),C97/C85-H$18,H97))</f>
        <v>1.0276154037813976</v>
      </c>
      <c r="I98" s="1474">
        <f ca="1">IF(Assm!$L$75=0,I97,IF($A98&gt;=I$16,IF(MONTH($A98)=MONTH(I$16),AVERAGE(D86:D97),I97),I97))</f>
        <v>2.0630970585159614</v>
      </c>
      <c r="J98" s="1475">
        <f ca="1">IF(Assm!$L$75=0,J97,IF($A98&gt;=J$16,IF(MONTH($A98)=MONTH(J$16),AVERAGE(E86:E97),J97),J97))</f>
        <v>1.4687146144227545</v>
      </c>
      <c r="K98" s="958">
        <f t="shared" si="40"/>
        <v>86</v>
      </c>
      <c r="L98" s="1476">
        <f t="shared" ca="1" si="41"/>
        <v>1.0301154037813975</v>
      </c>
      <c r="M98" s="1474">
        <f t="shared" si="51"/>
        <v>0</v>
      </c>
      <c r="N98" s="1475">
        <f t="shared" ca="1" si="32"/>
        <v>1.166287045927733</v>
      </c>
      <c r="P98" s="1476">
        <f t="shared" ca="1" si="42"/>
        <v>1.0833307665948395</v>
      </c>
      <c r="Q98" s="1474">
        <f t="shared" si="52"/>
        <v>0</v>
      </c>
      <c r="R98" s="1475">
        <f t="shared" ca="1" si="33"/>
        <v>1.6755808839625042</v>
      </c>
      <c r="T98" s="1476">
        <f t="shared" ca="1" si="43"/>
        <v>1.0301154037813975</v>
      </c>
      <c r="U98" s="1474">
        <f t="shared" si="53"/>
        <v>1.0049999999999999</v>
      </c>
      <c r="V98" s="1475">
        <f t="shared" ca="1" si="34"/>
        <v>1.166287045927733</v>
      </c>
      <c r="X98" s="1476">
        <f t="shared" ca="1" si="44"/>
        <v>1.0276154037813976</v>
      </c>
      <c r="Y98" s="1474">
        <f t="shared" si="54"/>
        <v>1.02</v>
      </c>
      <c r="Z98" s="1475">
        <f t="shared" ca="1" si="35"/>
        <v>1.1585880825058716</v>
      </c>
      <c r="AB98" s="1476">
        <f t="shared" ca="1" si="45"/>
        <v>1.0276154037813976</v>
      </c>
      <c r="AC98" s="1474">
        <f t="shared" si="55"/>
        <v>1.02</v>
      </c>
      <c r="AD98" s="1475">
        <f t="shared" ca="1" si="36"/>
        <v>1.1585880825058716</v>
      </c>
      <c r="AF98" s="1476">
        <f t="shared" ca="1" si="46"/>
        <v>1.0833307665948395</v>
      </c>
      <c r="AG98" s="1474">
        <f t="shared" si="56"/>
        <v>0</v>
      </c>
      <c r="AH98" s="1475">
        <f t="shared" ca="1" si="37"/>
        <v>1.6755808839625042</v>
      </c>
      <c r="AJ98" s="1476">
        <f t="shared" ca="1" si="47"/>
        <v>1.0276154037813976</v>
      </c>
      <c r="AK98" s="1474">
        <f t="shared" si="57"/>
        <v>1.02</v>
      </c>
      <c r="AL98" s="1475">
        <f t="shared" ca="1" si="38"/>
        <v>1.1585880825058716</v>
      </c>
      <c r="AN98" s="1476">
        <f t="shared" ca="1" si="48"/>
        <v>1.0301154037813975</v>
      </c>
      <c r="AO98" s="1474">
        <f t="shared" si="58"/>
        <v>1.0049999999999999</v>
      </c>
      <c r="AP98" s="1475">
        <f t="shared" ca="1" si="39"/>
        <v>1.166287045927733</v>
      </c>
      <c r="AR98" s="701">
        <f t="shared" si="59"/>
        <v>37803</v>
      </c>
      <c r="AS98" s="1478">
        <f ca="1">IF(AND($A98&gt;=EDATE(AS$17,12),IF(Assm!$L$74=0,$D98,$E98)/AS97&gt;=1.05),IF(Assm!$L$74=0,$D98,$E98),AS97)</f>
        <v>2.1553379844170619</v>
      </c>
      <c r="AT98" s="1478">
        <f t="shared" ca="1" si="60"/>
        <v>1.0513843826424694</v>
      </c>
      <c r="AU98" s="1478">
        <f t="shared" ca="1" si="61"/>
        <v>1.0833307665948395</v>
      </c>
      <c r="AV98" s="1478">
        <f t="shared" ca="1" si="62"/>
        <v>1.0833307665948395</v>
      </c>
      <c r="AW98" s="1475">
        <f t="shared" ca="1" si="63"/>
        <v>2.0852845741966393</v>
      </c>
    </row>
    <row r="99" spans="1:49">
      <c r="A99" s="883">
        <f t="shared" si="50"/>
        <v>37834</v>
      </c>
      <c r="B99" s="1390">
        <f ca="1">'[2]Monthly Curve Calc.'!B102</f>
        <v>240.34526218776179</v>
      </c>
      <c r="C99" s="1391">
        <f ca="1">'[2]Monthly Curve Calc.'!C102</f>
        <v>188.65553637281764</v>
      </c>
      <c r="D99" s="1512">
        <f ca="1">'[2]Monthly Curve Calc.'!F102</f>
        <v>2.1738671468028063</v>
      </c>
      <c r="E99" s="1304">
        <f t="shared" ca="1" si="49"/>
        <v>1.5525196300796398</v>
      </c>
      <c r="F99" s="1473">
        <f ca="1">IF(Assm!$L$75=0,F98,IF(AND($A99&gt;F$16,MONTH($A99)=MONTH(F$16)),B98/B86,F98))</f>
        <v>1.0833307665948395</v>
      </c>
      <c r="G99" s="1474">
        <f ca="1">IF(Assm!$L$75=0,G98,IF(AND($A99&gt;G$16,MONTH($A99)=MONTH(G$16)),C98/C86,G98))</f>
        <v>1.0301154037813975</v>
      </c>
      <c r="H99" s="1474">
        <f ca="1">IF(Assm!$L$75=0,H98,IF(AND($A99&gt;H$16,MONTH($A99)=MONTH(H$16)),C98/C86-H$18,H98))</f>
        <v>1.0276154037813976</v>
      </c>
      <c r="I99" s="1474">
        <f ca="1">IF(Assm!$L$75=0,I98,IF($A99&gt;=I$16,IF(MONTH($A99)=MONTH(I$16),AVERAGE(D87:D98),I98),I98))</f>
        <v>2.0630970585159614</v>
      </c>
      <c r="J99" s="1475">
        <f ca="1">IF(Assm!$L$75=0,J98,IF($A99&gt;=J$16,IF(MONTH($A99)=MONTH(J$16),AVERAGE(E87:E98),J98),J98))</f>
        <v>1.4687146144227545</v>
      </c>
      <c r="K99" s="958">
        <f t="shared" si="40"/>
        <v>87</v>
      </c>
      <c r="L99" s="1476">
        <f t="shared" ca="1" si="41"/>
        <v>1.0301154037813975</v>
      </c>
      <c r="M99" s="1474">
        <f t="shared" si="51"/>
        <v>0</v>
      </c>
      <c r="N99" s="1475">
        <f t="shared" ca="1" si="32"/>
        <v>1.166287045927733</v>
      </c>
      <c r="P99" s="1476">
        <f t="shared" ca="1" si="42"/>
        <v>1.0833307665948395</v>
      </c>
      <c r="Q99" s="1474">
        <f t="shared" si="52"/>
        <v>0</v>
      </c>
      <c r="R99" s="1475">
        <f t="shared" ca="1" si="33"/>
        <v>1.6755808839625042</v>
      </c>
      <c r="T99" s="1476">
        <f t="shared" ca="1" si="43"/>
        <v>1.0301154037813975</v>
      </c>
      <c r="U99" s="1474">
        <f t="shared" si="53"/>
        <v>1.0049999999999999</v>
      </c>
      <c r="V99" s="1475">
        <f t="shared" ca="1" si="34"/>
        <v>1.166287045927733</v>
      </c>
      <c r="X99" s="1476">
        <f t="shared" ca="1" si="44"/>
        <v>1.0276154037813976</v>
      </c>
      <c r="Y99" s="1474">
        <f t="shared" si="54"/>
        <v>1.02</v>
      </c>
      <c r="Z99" s="1475">
        <f t="shared" ca="1" si="35"/>
        <v>1.1585880825058716</v>
      </c>
      <c r="AB99" s="1476">
        <f t="shared" ca="1" si="45"/>
        <v>1.0276154037813976</v>
      </c>
      <c r="AC99" s="1474">
        <f t="shared" si="55"/>
        <v>1.02</v>
      </c>
      <c r="AD99" s="1475">
        <f t="shared" ca="1" si="36"/>
        <v>1.1585880825058716</v>
      </c>
      <c r="AF99" s="1476">
        <f t="shared" ca="1" si="46"/>
        <v>1.0833307665948395</v>
      </c>
      <c r="AG99" s="1474">
        <f t="shared" si="56"/>
        <v>0</v>
      </c>
      <c r="AH99" s="1475">
        <f t="shared" ca="1" si="37"/>
        <v>1.6755808839625042</v>
      </c>
      <c r="AJ99" s="1476">
        <f t="shared" ca="1" si="47"/>
        <v>1.0276154037813976</v>
      </c>
      <c r="AK99" s="1474">
        <f t="shared" si="57"/>
        <v>1.02</v>
      </c>
      <c r="AL99" s="1475">
        <f t="shared" ca="1" si="38"/>
        <v>1.1585880825058716</v>
      </c>
      <c r="AN99" s="1476">
        <f t="shared" ca="1" si="48"/>
        <v>1.0301154037813975</v>
      </c>
      <c r="AO99" s="1474">
        <f t="shared" si="58"/>
        <v>1.0049999999999999</v>
      </c>
      <c r="AP99" s="1475">
        <f t="shared" ca="1" si="39"/>
        <v>1.166287045927733</v>
      </c>
      <c r="AR99" s="701">
        <f t="shared" si="59"/>
        <v>37834</v>
      </c>
      <c r="AS99" s="1478">
        <f ca="1">IF(AND($A99&gt;=EDATE(AS$17,12),IF(Assm!$L$74=0,$D99,$E99)/AS98&gt;=1.05),IF(Assm!$L$74=0,$D99,$E99),AS98)</f>
        <v>2.1553379844170619</v>
      </c>
      <c r="AT99" s="1478">
        <f t="shared" ca="1" si="60"/>
        <v>1.0513843826424694</v>
      </c>
      <c r="AU99" s="1478">
        <f t="shared" ca="1" si="61"/>
        <v>1.0833307665948395</v>
      </c>
      <c r="AV99" s="1478">
        <f t="shared" ca="1" si="62"/>
        <v>1.0833307665948395</v>
      </c>
      <c r="AW99" s="1475">
        <f t="shared" ca="1" si="63"/>
        <v>2.0852845741966393</v>
      </c>
    </row>
    <row r="100" spans="1:49">
      <c r="A100" s="883">
        <f t="shared" si="50"/>
        <v>37865</v>
      </c>
      <c r="B100" s="1390">
        <f ca="1">'[2]Monthly Curve Calc.'!B103</f>
        <v>241.89165084147453</v>
      </c>
      <c r="C100" s="1391">
        <f ca="1">'[2]Monthly Curve Calc.'!C103</f>
        <v>189.11237660093536</v>
      </c>
      <c r="D100" s="1512">
        <f ca="1">'[2]Monthly Curve Calc.'!F103</f>
        <v>2.1800788652839209</v>
      </c>
      <c r="E100" s="1304">
        <f t="shared" ca="1" si="49"/>
        <v>1.558734024066915</v>
      </c>
      <c r="F100" s="1473">
        <f ca="1">IF(Assm!$L$75=0,F99,IF(AND($A100&gt;F$16,MONTH($A100)=MONTH(F$16)),B99/B87,F99))</f>
        <v>1.0833307665948395</v>
      </c>
      <c r="G100" s="1474">
        <f ca="1">IF(Assm!$L$75=0,G99,IF(AND($A100&gt;G$16,MONTH($A100)=MONTH(G$16)),C99/C87,G99))</f>
        <v>1.0301154037813975</v>
      </c>
      <c r="H100" s="1474">
        <f ca="1">IF(Assm!$L$75=0,H99,IF(AND($A100&gt;H$16,MONTH($A100)=MONTH(H$16)),C99/C87-H$18,H99))</f>
        <v>1.0276154037813976</v>
      </c>
      <c r="I100" s="1474">
        <f ca="1">IF(Assm!$L$75=0,I99,IF($A100&gt;=I$16,IF(MONTH($A100)=MONTH(I$16),AVERAGE(D88:D99),I99),I99))</f>
        <v>2.0630970585159614</v>
      </c>
      <c r="J100" s="1475">
        <f ca="1">IF(Assm!$L$75=0,J99,IF($A100&gt;=J$16,IF(MONTH($A100)=MONTH(J$16),AVERAGE(E88:E99),J99),J99))</f>
        <v>1.4687146144227545</v>
      </c>
      <c r="K100" s="958">
        <f t="shared" si="40"/>
        <v>88</v>
      </c>
      <c r="L100" s="1476">
        <f t="shared" ca="1" si="41"/>
        <v>1.0301154037813975</v>
      </c>
      <c r="M100" s="1474">
        <f t="shared" si="51"/>
        <v>0</v>
      </c>
      <c r="N100" s="1475">
        <f t="shared" ca="1" si="32"/>
        <v>1.166287045927733</v>
      </c>
      <c r="P100" s="1476">
        <f t="shared" ca="1" si="42"/>
        <v>1.0833307665948395</v>
      </c>
      <c r="Q100" s="1474">
        <f t="shared" si="52"/>
        <v>0</v>
      </c>
      <c r="R100" s="1475">
        <f t="shared" ca="1" si="33"/>
        <v>1.6755808839625042</v>
      </c>
      <c r="T100" s="1476">
        <f t="shared" ca="1" si="43"/>
        <v>1.0301154037813975</v>
      </c>
      <c r="U100" s="1474">
        <f t="shared" si="53"/>
        <v>1.0049999999999999</v>
      </c>
      <c r="V100" s="1475">
        <f t="shared" ca="1" si="34"/>
        <v>1.166287045927733</v>
      </c>
      <c r="X100" s="1476">
        <f t="shared" ca="1" si="44"/>
        <v>1.0276154037813976</v>
      </c>
      <c r="Y100" s="1474">
        <f t="shared" si="54"/>
        <v>1.02</v>
      </c>
      <c r="Z100" s="1475">
        <f t="shared" ca="1" si="35"/>
        <v>1.1585880825058716</v>
      </c>
      <c r="AB100" s="1476">
        <f t="shared" ca="1" si="45"/>
        <v>1.0276154037813976</v>
      </c>
      <c r="AC100" s="1474">
        <f t="shared" si="55"/>
        <v>1.02</v>
      </c>
      <c r="AD100" s="1475">
        <f t="shared" ca="1" si="36"/>
        <v>1.1585880825058716</v>
      </c>
      <c r="AF100" s="1476">
        <f t="shared" ca="1" si="46"/>
        <v>1.0833307665948395</v>
      </c>
      <c r="AG100" s="1474">
        <f t="shared" si="56"/>
        <v>0</v>
      </c>
      <c r="AH100" s="1475">
        <f t="shared" ca="1" si="37"/>
        <v>1.6755808839625042</v>
      </c>
      <c r="AJ100" s="1476">
        <f t="shared" ca="1" si="47"/>
        <v>1.0276154037813976</v>
      </c>
      <c r="AK100" s="1474">
        <f t="shared" si="57"/>
        <v>1.02</v>
      </c>
      <c r="AL100" s="1475">
        <f t="shared" ca="1" si="38"/>
        <v>1.1585880825058716</v>
      </c>
      <c r="AN100" s="1476">
        <f t="shared" ca="1" si="48"/>
        <v>1.0301154037813975</v>
      </c>
      <c r="AO100" s="1474">
        <f t="shared" si="58"/>
        <v>1.0049999999999999</v>
      </c>
      <c r="AP100" s="1475">
        <f t="shared" ca="1" si="39"/>
        <v>1.166287045927733</v>
      </c>
      <c r="AR100" s="701">
        <f t="shared" si="59"/>
        <v>37865</v>
      </c>
      <c r="AS100" s="1478">
        <f ca="1">IF(AND($A100&gt;=EDATE(AS$17,12),IF(Assm!$L$74=0,$D100,$E100)/AS99&gt;=1.05),IF(Assm!$L$74=0,$D100,$E100),AS99)</f>
        <v>2.1553379844170619</v>
      </c>
      <c r="AT100" s="1478">
        <f t="shared" ca="1" si="60"/>
        <v>1.0513843826424694</v>
      </c>
      <c r="AU100" s="1478">
        <f t="shared" ca="1" si="61"/>
        <v>1.0833307665948395</v>
      </c>
      <c r="AV100" s="1478">
        <f t="shared" ca="1" si="62"/>
        <v>1.0833307665948395</v>
      </c>
      <c r="AW100" s="1475">
        <f t="shared" ca="1" si="63"/>
        <v>2.0852845741966393</v>
      </c>
    </row>
    <row r="101" spans="1:49">
      <c r="A101" s="883">
        <f t="shared" si="50"/>
        <v>37895</v>
      </c>
      <c r="B101" s="1390">
        <f ca="1">'[2]Monthly Curve Calc.'!B104</f>
        <v>243.447989006347</v>
      </c>
      <c r="C101" s="1391">
        <f ca="1">'[2]Monthly Curve Calc.'!C104</f>
        <v>189.57032309393159</v>
      </c>
      <c r="D101" s="1512">
        <f ca="1">'[2]Monthly Curve Calc.'!F104</f>
        <v>2.1863083334451598</v>
      </c>
      <c r="E101" s="1304">
        <f t="shared" ca="1" si="49"/>
        <v>1.5649732929040026</v>
      </c>
      <c r="F101" s="1473">
        <f ca="1">IF(Assm!$L$75=0,F100,IF(AND($A101&gt;F$16,MONTH($A101)=MONTH(F$16)),B100/B88,F100))</f>
        <v>1.0833307665948395</v>
      </c>
      <c r="G101" s="1474">
        <f ca="1">IF(Assm!$L$75=0,G100,IF(AND($A101&gt;G$16,MONTH($A101)=MONTH(G$16)),C100/C88,G100))</f>
        <v>1.0301154037813975</v>
      </c>
      <c r="H101" s="1474">
        <f ca="1">IF(Assm!$L$75=0,H100,IF(AND($A101&gt;H$16,MONTH($A101)=MONTH(H$16)),C100/C88-H$18,H100))</f>
        <v>1.0276154037813976</v>
      </c>
      <c r="I101" s="1474">
        <f ca="1">IF(Assm!$L$75=0,I100,IF($A101&gt;=I$16,IF(MONTH($A101)=MONTH(I$16),AVERAGE(D89:D100),I100),I100))</f>
        <v>2.0630970585159614</v>
      </c>
      <c r="J101" s="1475">
        <f ca="1">IF(Assm!$L$75=0,J100,IF($A101&gt;=J$16,IF(MONTH($A101)=MONTH(J$16),AVERAGE(E89:E100),J100),J100))</f>
        <v>1.4687146144227545</v>
      </c>
      <c r="K101" s="958">
        <f t="shared" si="40"/>
        <v>89</v>
      </c>
      <c r="L101" s="1476">
        <f t="shared" ca="1" si="41"/>
        <v>1.0301154037813975</v>
      </c>
      <c r="M101" s="1474">
        <f t="shared" si="51"/>
        <v>0</v>
      </c>
      <c r="N101" s="1475">
        <f t="shared" ref="N101:N164" ca="1" si="64">IF(AND($A101&gt;=N$16,MONTH($A101)=MONTH(N$16)),MAX(L101,M101)*N100,N100)</f>
        <v>1.166287045927733</v>
      </c>
      <c r="P101" s="1476">
        <f t="shared" ca="1" si="42"/>
        <v>1.0833307665948395</v>
      </c>
      <c r="Q101" s="1474">
        <f t="shared" si="52"/>
        <v>0</v>
      </c>
      <c r="R101" s="1475">
        <f t="shared" ref="R101:R164" ca="1" si="65">IF(AND($A101&gt;=R$16,MONTH($A101)=MONTH(R$16)),MAX(P101,Q101)*R100,R100)</f>
        <v>1.6755808839625042</v>
      </c>
      <c r="T101" s="1476">
        <f t="shared" ca="1" si="43"/>
        <v>1.0301154037813975</v>
      </c>
      <c r="U101" s="1474">
        <f t="shared" si="53"/>
        <v>1.0049999999999999</v>
      </c>
      <c r="V101" s="1475">
        <f t="shared" ref="V101:V164" ca="1" si="66">IF(AND($A101&gt;=V$16,MONTH($A101)=MONTH(V$16)),MAX(T101,U101)*V100,V100)</f>
        <v>1.166287045927733</v>
      </c>
      <c r="X101" s="1476">
        <f t="shared" ca="1" si="44"/>
        <v>1.0276154037813976</v>
      </c>
      <c r="Y101" s="1474">
        <f t="shared" si="54"/>
        <v>1.02</v>
      </c>
      <c r="Z101" s="1475">
        <f t="shared" ref="Z101:Z164" ca="1" si="67">IF(AND($A101&gt;=Z$16,MONTH($A101)=MONTH(Z$16)),MAX(X101,Y101)*Z100,Z100)</f>
        <v>1.1585880825058716</v>
      </c>
      <c r="AB101" s="1476">
        <f t="shared" ca="1" si="45"/>
        <v>1.0276154037813976</v>
      </c>
      <c r="AC101" s="1474">
        <f t="shared" si="55"/>
        <v>1.02</v>
      </c>
      <c r="AD101" s="1475">
        <f t="shared" ref="AD101:AD164" ca="1" si="68">IF(AND($A101&gt;=AD$16,MONTH($A101)=MONTH(AD$16)),MAX(AB101,AC101)*AD100,AD100)</f>
        <v>1.1585880825058716</v>
      </c>
      <c r="AF101" s="1476">
        <f t="shared" ca="1" si="46"/>
        <v>1.0833307665948395</v>
      </c>
      <c r="AG101" s="1474">
        <f t="shared" si="56"/>
        <v>0</v>
      </c>
      <c r="AH101" s="1475">
        <f t="shared" ref="AH101:AH164" ca="1" si="69">IF(AND($A101&gt;=AH$16,MONTH($A101)=MONTH(AH$16)),MAX(AF101,AG101)*AH100,AH100)</f>
        <v>1.6755808839625042</v>
      </c>
      <c r="AJ101" s="1476">
        <f t="shared" ca="1" si="47"/>
        <v>1.0276154037813976</v>
      </c>
      <c r="AK101" s="1474">
        <f t="shared" si="57"/>
        <v>1.02</v>
      </c>
      <c r="AL101" s="1475">
        <f t="shared" ref="AL101:AL164" ca="1" si="70">IF(AND($A101&gt;=AL$16,MONTH($A101)=MONTH(AL$16)),MAX(AJ101,AK101)*AL100,AL100)</f>
        <v>1.1585880825058716</v>
      </c>
      <c r="AN101" s="1476">
        <f t="shared" ca="1" si="48"/>
        <v>1.0301154037813975</v>
      </c>
      <c r="AO101" s="1474">
        <f t="shared" si="58"/>
        <v>1.0049999999999999</v>
      </c>
      <c r="AP101" s="1475">
        <f t="shared" ref="AP101:AP164" ca="1" si="71">IF(AND($A101&gt;=AP$16,MONTH($A101)=MONTH(AP$16)),MAX(AN101,AO101)*AP100,AP100)</f>
        <v>1.166287045927733</v>
      </c>
      <c r="AR101" s="701">
        <f t="shared" si="59"/>
        <v>37895</v>
      </c>
      <c r="AS101" s="1478">
        <f ca="1">IF(AND($A101&gt;=EDATE(AS$17,12),IF(Assm!$L$74=0,$D101,$E101)/AS100&gt;=1.05),IF(Assm!$L$74=0,$D101,$E101),AS100)</f>
        <v>2.1553379844170619</v>
      </c>
      <c r="AT101" s="1478">
        <f t="shared" ca="1" si="60"/>
        <v>1.0513843826424694</v>
      </c>
      <c r="AU101" s="1478">
        <f t="shared" ca="1" si="61"/>
        <v>1.0833307665948395</v>
      </c>
      <c r="AV101" s="1478">
        <f t="shared" ca="1" si="62"/>
        <v>1.0833307665948395</v>
      </c>
      <c r="AW101" s="1475">
        <f t="shared" ca="1" si="63"/>
        <v>2.0852845741966393</v>
      </c>
    </row>
    <row r="102" spans="1:49">
      <c r="A102" s="883">
        <f t="shared" si="50"/>
        <v>37926</v>
      </c>
      <c r="B102" s="1390">
        <f ca="1">'[2]Monthly Curve Calc.'!B105</f>
        <v>245.01434069783363</v>
      </c>
      <c r="C102" s="1391">
        <f ca="1">'[2]Monthly Curve Calc.'!C105</f>
        <v>190.02937853069034</v>
      </c>
      <c r="D102" s="1512">
        <f ca="1">'[2]Monthly Curve Calc.'!F105</f>
        <v>2.1925556020053616</v>
      </c>
      <c r="E102" s="1304">
        <f t="shared" ca="1" si="49"/>
        <v>1.5712375361594453</v>
      </c>
      <c r="F102" s="1473">
        <f ca="1">IF(Assm!$L$75=0,F101,IF(AND($A102&gt;F$16,MONTH($A102)=MONTH(F$16)),B101/B89,F101))</f>
        <v>1.0833307665948395</v>
      </c>
      <c r="G102" s="1474">
        <f ca="1">IF(Assm!$L$75=0,G101,IF(AND($A102&gt;G$16,MONTH($A102)=MONTH(G$16)),C101/C89,G101))</f>
        <v>1.0301154037813975</v>
      </c>
      <c r="H102" s="1474">
        <f ca="1">IF(Assm!$L$75=0,H101,IF(AND($A102&gt;H$16,MONTH($A102)=MONTH(H$16)),C101/C89-H$18,H101))</f>
        <v>1.0276154037813976</v>
      </c>
      <c r="I102" s="1474">
        <f ca="1">IF(Assm!$L$75=0,I101,IF($A102&gt;=I$16,IF(MONTH($A102)=MONTH(I$16),AVERAGE(D90:D101),I101),I101))</f>
        <v>2.0630970585159614</v>
      </c>
      <c r="J102" s="1475">
        <f ca="1">IF(Assm!$L$75=0,J101,IF($A102&gt;=J$16,IF(MONTH($A102)=MONTH(J$16),AVERAGE(E90:E101),J101),J101))</f>
        <v>1.4687146144227545</v>
      </c>
      <c r="K102" s="958">
        <f t="shared" si="40"/>
        <v>90</v>
      </c>
      <c r="L102" s="1476">
        <f t="shared" ca="1" si="41"/>
        <v>1.0301154037813975</v>
      </c>
      <c r="M102" s="1474">
        <f t="shared" si="51"/>
        <v>0</v>
      </c>
      <c r="N102" s="1475">
        <f t="shared" ca="1" si="64"/>
        <v>1.166287045927733</v>
      </c>
      <c r="P102" s="1476">
        <f t="shared" ca="1" si="42"/>
        <v>1.0833307665948395</v>
      </c>
      <c r="Q102" s="1474">
        <f t="shared" si="52"/>
        <v>0</v>
      </c>
      <c r="R102" s="1475">
        <f t="shared" ca="1" si="65"/>
        <v>1.6755808839625042</v>
      </c>
      <c r="T102" s="1476">
        <f t="shared" ca="1" si="43"/>
        <v>1.0301154037813975</v>
      </c>
      <c r="U102" s="1474">
        <f t="shared" si="53"/>
        <v>1.0049999999999999</v>
      </c>
      <c r="V102" s="1475">
        <f t="shared" ca="1" si="66"/>
        <v>1.166287045927733</v>
      </c>
      <c r="X102" s="1476">
        <f t="shared" ca="1" si="44"/>
        <v>1.0276154037813976</v>
      </c>
      <c r="Y102" s="1474">
        <f t="shared" si="54"/>
        <v>1.02</v>
      </c>
      <c r="Z102" s="1475">
        <f t="shared" ca="1" si="67"/>
        <v>1.1585880825058716</v>
      </c>
      <c r="AB102" s="1476">
        <f t="shared" ca="1" si="45"/>
        <v>1.0276154037813976</v>
      </c>
      <c r="AC102" s="1474">
        <f t="shared" si="55"/>
        <v>1.02</v>
      </c>
      <c r="AD102" s="1475">
        <f t="shared" ca="1" si="68"/>
        <v>1.1585880825058716</v>
      </c>
      <c r="AF102" s="1476">
        <f t="shared" ca="1" si="46"/>
        <v>1.0833307665948395</v>
      </c>
      <c r="AG102" s="1474">
        <f t="shared" si="56"/>
        <v>0</v>
      </c>
      <c r="AH102" s="1475">
        <f t="shared" ca="1" si="69"/>
        <v>1.6755808839625042</v>
      </c>
      <c r="AJ102" s="1476">
        <f t="shared" ca="1" si="47"/>
        <v>1.0276154037813976</v>
      </c>
      <c r="AK102" s="1474">
        <f t="shared" si="57"/>
        <v>1.02</v>
      </c>
      <c r="AL102" s="1475">
        <f t="shared" ca="1" si="70"/>
        <v>1.1585880825058716</v>
      </c>
      <c r="AN102" s="1476">
        <f t="shared" ca="1" si="48"/>
        <v>1.0301154037813975</v>
      </c>
      <c r="AO102" s="1474">
        <f t="shared" si="58"/>
        <v>1.0049999999999999</v>
      </c>
      <c r="AP102" s="1475">
        <f t="shared" ca="1" si="71"/>
        <v>1.166287045927733</v>
      </c>
      <c r="AR102" s="701">
        <f t="shared" si="59"/>
        <v>37926</v>
      </c>
      <c r="AS102" s="1478">
        <f ca="1">IF(AND($A102&gt;=EDATE(AS$17,12),IF(Assm!$L$74=0,$D102,$E102)/AS101&gt;=1.05),IF(Assm!$L$74=0,$D102,$E102),AS101)</f>
        <v>2.1553379844170619</v>
      </c>
      <c r="AT102" s="1478">
        <f t="shared" ca="1" si="60"/>
        <v>1.0513843826424694</v>
      </c>
      <c r="AU102" s="1478">
        <f t="shared" ca="1" si="61"/>
        <v>1.0833307665948395</v>
      </c>
      <c r="AV102" s="1478">
        <f t="shared" ca="1" si="62"/>
        <v>1.0833307665948395</v>
      </c>
      <c r="AW102" s="1475">
        <f t="shared" ca="1" si="63"/>
        <v>2.0852845741966393</v>
      </c>
    </row>
    <row r="103" spans="1:49">
      <c r="A103" s="883">
        <f t="shared" si="50"/>
        <v>37956</v>
      </c>
      <c r="B103" s="1390">
        <f ca="1">'[2]Monthly Curve Calc.'!B106</f>
        <v>246.59077034326614</v>
      </c>
      <c r="C103" s="1391">
        <f ca="1">'[2]Monthly Curve Calc.'!C106</f>
        <v>190.4895455965827</v>
      </c>
      <c r="D103" s="1512">
        <f ca="1">'[2]Monthly Curve Calc.'!F106</f>
        <v>2.1988207218282909</v>
      </c>
      <c r="E103" s="1304">
        <f t="shared" ca="1" si="49"/>
        <v>1.5775268538003369</v>
      </c>
      <c r="F103" s="1473">
        <f ca="1">IF(Assm!$L$75=0,F102,IF(AND($A103&gt;F$16,MONTH($A103)=MONTH(F$16)),B102/B90,F102))</f>
        <v>1.0833307665948395</v>
      </c>
      <c r="G103" s="1474">
        <f ca="1">IF(Assm!$L$75=0,G102,IF(AND($A103&gt;G$16,MONTH($A103)=MONTH(G$16)),C102/C90,G102))</f>
        <v>1.0301154037813975</v>
      </c>
      <c r="H103" s="1474">
        <f ca="1">IF(Assm!$L$75=0,H102,IF(AND($A103&gt;H$16,MONTH($A103)=MONTH(H$16)),C102/C90-H$18,H102))</f>
        <v>1.0276154037813976</v>
      </c>
      <c r="I103" s="1474">
        <f ca="1">IF(Assm!$L$75=0,I102,IF($A103&gt;=I$16,IF(MONTH($A103)=MONTH(I$16),AVERAGE(D91:D102),I102),I102))</f>
        <v>2.0630970585159614</v>
      </c>
      <c r="J103" s="1475">
        <f ca="1">IF(Assm!$L$75=0,J102,IF($A103&gt;=J$16,IF(MONTH($A103)=MONTH(J$16),AVERAGE(E91:E102),J102),J102))</f>
        <v>1.4687146144227545</v>
      </c>
      <c r="K103" s="958">
        <f t="shared" si="40"/>
        <v>91</v>
      </c>
      <c r="L103" s="1476">
        <f t="shared" ca="1" si="41"/>
        <v>1.0301154037813975</v>
      </c>
      <c r="M103" s="1474">
        <f t="shared" si="51"/>
        <v>0</v>
      </c>
      <c r="N103" s="1475">
        <f t="shared" ca="1" si="64"/>
        <v>1.166287045927733</v>
      </c>
      <c r="P103" s="1476">
        <f t="shared" ca="1" si="42"/>
        <v>1.0833307665948395</v>
      </c>
      <c r="Q103" s="1474">
        <f t="shared" si="52"/>
        <v>0</v>
      </c>
      <c r="R103" s="1475">
        <f t="shared" ca="1" si="65"/>
        <v>1.6755808839625042</v>
      </c>
      <c r="T103" s="1476">
        <f t="shared" ca="1" si="43"/>
        <v>1.0301154037813975</v>
      </c>
      <c r="U103" s="1474">
        <f t="shared" si="53"/>
        <v>1.0049999999999999</v>
      </c>
      <c r="V103" s="1475">
        <f t="shared" ca="1" si="66"/>
        <v>1.166287045927733</v>
      </c>
      <c r="X103" s="1476">
        <f t="shared" ca="1" si="44"/>
        <v>1.0276154037813976</v>
      </c>
      <c r="Y103" s="1474">
        <f t="shared" si="54"/>
        <v>1.02</v>
      </c>
      <c r="Z103" s="1475">
        <f t="shared" ca="1" si="67"/>
        <v>1.1585880825058716</v>
      </c>
      <c r="AB103" s="1476">
        <f t="shared" ca="1" si="45"/>
        <v>1.0276154037813976</v>
      </c>
      <c r="AC103" s="1474">
        <f t="shared" si="55"/>
        <v>1.02</v>
      </c>
      <c r="AD103" s="1475">
        <f t="shared" ca="1" si="68"/>
        <v>1.1585880825058716</v>
      </c>
      <c r="AF103" s="1476">
        <f t="shared" ca="1" si="46"/>
        <v>1.0833307665948395</v>
      </c>
      <c r="AG103" s="1474">
        <f t="shared" si="56"/>
        <v>0</v>
      </c>
      <c r="AH103" s="1475">
        <f t="shared" ca="1" si="69"/>
        <v>1.6755808839625042</v>
      </c>
      <c r="AJ103" s="1476">
        <f t="shared" ca="1" si="47"/>
        <v>1.0276154037813976</v>
      </c>
      <c r="AK103" s="1474">
        <f t="shared" si="57"/>
        <v>1.02</v>
      </c>
      <c r="AL103" s="1475">
        <f t="shared" ca="1" si="70"/>
        <v>1.1585880825058716</v>
      </c>
      <c r="AN103" s="1476">
        <f t="shared" ca="1" si="48"/>
        <v>1.0301154037813975</v>
      </c>
      <c r="AO103" s="1474">
        <f t="shared" si="58"/>
        <v>1.0049999999999999</v>
      </c>
      <c r="AP103" s="1475">
        <f t="shared" ca="1" si="71"/>
        <v>1.166287045927733</v>
      </c>
      <c r="AR103" s="701">
        <f t="shared" si="59"/>
        <v>37956</v>
      </c>
      <c r="AS103" s="1478">
        <f ca="1">IF(AND($A103&gt;=EDATE(AS$17,12),IF(Assm!$L$74=0,$D103,$E103)/AS102&gt;=1.05),IF(Assm!$L$74=0,$D103,$E103),AS102)</f>
        <v>2.1553379844170619</v>
      </c>
      <c r="AT103" s="1478">
        <f t="shared" ca="1" si="60"/>
        <v>1.0513843826424694</v>
      </c>
      <c r="AU103" s="1478">
        <f t="shared" ca="1" si="61"/>
        <v>1.0833307665948395</v>
      </c>
      <c r="AV103" s="1478">
        <f t="shared" ca="1" si="62"/>
        <v>1.0833307665948395</v>
      </c>
      <c r="AW103" s="1475">
        <f t="shared" ca="1" si="63"/>
        <v>2.0852845741966393</v>
      </c>
    </row>
    <row r="104" spans="1:49">
      <c r="A104" s="883">
        <f t="shared" si="50"/>
        <v>37987</v>
      </c>
      <c r="B104" s="1390">
        <f ca="1">'[2]Monthly Curve Calc.'!B107</f>
        <v>248.17734278450365</v>
      </c>
      <c r="C104" s="1391">
        <f ca="1">'[2]Monthly Curve Calc.'!C107</f>
        <v>190.93955289546653</v>
      </c>
      <c r="D104" s="1512">
        <f ca="1">'[2]Monthly Curve Calc.'!F107</f>
        <v>2.2045030649335842</v>
      </c>
      <c r="E104" s="1304">
        <f t="shared" ca="1" si="49"/>
        <v>1.5839348646214488</v>
      </c>
      <c r="F104" s="1473">
        <f ca="1">IF(Assm!$L$75=0,F103,IF(AND($A104&gt;F$16,MONTH($A104)=MONTH(F$16)),B103/B91,F103))</f>
        <v>1.0833307665948395</v>
      </c>
      <c r="G104" s="1474">
        <f ca="1">IF(Assm!$L$75=0,G103,IF(AND($A104&gt;G$16,MONTH($A104)=MONTH(G$16)),C103/C91,G103))</f>
        <v>1.0301154037813975</v>
      </c>
      <c r="H104" s="1474">
        <f ca="1">IF(Assm!$L$75=0,H103,IF(AND($A104&gt;H$16,MONTH($A104)=MONTH(H$16)),C103/C91-H$18,H103))</f>
        <v>1.0276154037813976</v>
      </c>
      <c r="I104" s="1474">
        <f ca="1">IF(Assm!$L$75=0,I103,IF($A104&gt;=I$16,IF(MONTH($A104)=MONTH(I$16),AVERAGE(D92:D103),I103),I103))</f>
        <v>2.1646877473553214</v>
      </c>
      <c r="J104" s="1475">
        <f ca="1">IF(Assm!$L$75=0,J103,IF($A104&gt;=J$16,IF(MONTH($A104)=MONTH(J$16),AVERAGE(E92:E103),J103),J103))</f>
        <v>1.5433912063818109</v>
      </c>
      <c r="K104" s="958">
        <f t="shared" si="40"/>
        <v>92</v>
      </c>
      <c r="L104" s="1476">
        <f t="shared" ca="1" si="41"/>
        <v>1.0301154037813975</v>
      </c>
      <c r="M104" s="1474">
        <f t="shared" si="51"/>
        <v>0</v>
      </c>
      <c r="N104" s="1475">
        <f t="shared" ca="1" si="64"/>
        <v>1.166287045927733</v>
      </c>
      <c r="P104" s="1476">
        <f t="shared" ca="1" si="42"/>
        <v>1.0833307665948395</v>
      </c>
      <c r="Q104" s="1474">
        <f t="shared" si="52"/>
        <v>0</v>
      </c>
      <c r="R104" s="1475">
        <f t="shared" ca="1" si="65"/>
        <v>1.6755808839625042</v>
      </c>
      <c r="T104" s="1476">
        <f t="shared" ca="1" si="43"/>
        <v>1.0301154037813975</v>
      </c>
      <c r="U104" s="1474">
        <f t="shared" si="53"/>
        <v>1.0049999999999999</v>
      </c>
      <c r="V104" s="1475">
        <f t="shared" ca="1" si="66"/>
        <v>1.166287045927733</v>
      </c>
      <c r="X104" s="1476">
        <f t="shared" ca="1" si="44"/>
        <v>1.0276154037813976</v>
      </c>
      <c r="Y104" s="1474">
        <f t="shared" si="54"/>
        <v>1.02</v>
      </c>
      <c r="Z104" s="1475">
        <f t="shared" ca="1" si="67"/>
        <v>1.1585880825058716</v>
      </c>
      <c r="AB104" s="1476">
        <f t="shared" ca="1" si="45"/>
        <v>1.0276154037813976</v>
      </c>
      <c r="AC104" s="1474">
        <f t="shared" si="55"/>
        <v>1.02</v>
      </c>
      <c r="AD104" s="1475">
        <f t="shared" ca="1" si="68"/>
        <v>1.1585880825058716</v>
      </c>
      <c r="AF104" s="1476">
        <f t="shared" ca="1" si="46"/>
        <v>1.0833307665948395</v>
      </c>
      <c r="AG104" s="1474">
        <f t="shared" si="56"/>
        <v>0</v>
      </c>
      <c r="AH104" s="1475">
        <f t="shared" ca="1" si="69"/>
        <v>1.6755808839625042</v>
      </c>
      <c r="AJ104" s="1476">
        <f t="shared" ca="1" si="47"/>
        <v>1.0276154037813976</v>
      </c>
      <c r="AK104" s="1474">
        <f t="shared" si="57"/>
        <v>1.02</v>
      </c>
      <c r="AL104" s="1475">
        <f t="shared" ca="1" si="70"/>
        <v>1.1585880825058716</v>
      </c>
      <c r="AN104" s="1476">
        <f t="shared" ca="1" si="48"/>
        <v>1.0301154037813975</v>
      </c>
      <c r="AO104" s="1474">
        <f t="shared" si="58"/>
        <v>1.0049999999999999</v>
      </c>
      <c r="AP104" s="1475">
        <f t="shared" ca="1" si="71"/>
        <v>1.166287045927733</v>
      </c>
      <c r="AR104" s="701">
        <f t="shared" si="59"/>
        <v>37987</v>
      </c>
      <c r="AS104" s="1478">
        <f ca="1">IF(AND($A104&gt;=EDATE(AS$17,12),IF(Assm!$L$74=0,$D104,$E104)/AS103&gt;=1.05),IF(Assm!$L$74=0,$D104,$E104),AS103)</f>
        <v>2.1553379844170619</v>
      </c>
      <c r="AT104" s="1478">
        <f t="shared" ca="1" si="60"/>
        <v>1.0513843826424694</v>
      </c>
      <c r="AU104" s="1478">
        <f t="shared" ca="1" si="61"/>
        <v>1.0833307665948395</v>
      </c>
      <c r="AV104" s="1478">
        <f t="shared" ca="1" si="62"/>
        <v>1.0833307665948395</v>
      </c>
      <c r="AW104" s="1475">
        <f t="shared" ca="1" si="63"/>
        <v>2.0852845741966393</v>
      </c>
    </row>
    <row r="105" spans="1:49">
      <c r="A105" s="883">
        <f t="shared" si="50"/>
        <v>38018</v>
      </c>
      <c r="B105" s="1390">
        <f ca="1">'[2]Monthly Curve Calc.'!B108</f>
        <v>249.77412328059978</v>
      </c>
      <c r="C105" s="1391">
        <f ca="1">'[2]Monthly Curve Calc.'!C108</f>
        <v>191.39062327930031</v>
      </c>
      <c r="D105" s="1512">
        <f ca="1">'[2]Monthly Curve Calc.'!F108</f>
        <v>2.2102000927391106</v>
      </c>
      <c r="E105" s="1304">
        <f t="shared" ca="1" si="49"/>
        <v>1.5903689051754839</v>
      </c>
      <c r="F105" s="1473">
        <f ca="1">IF(Assm!$L$75=0,F104,IF(AND($A105&gt;F$16,MONTH($A105)=MONTH(F$16)),B104/B92,F104))</f>
        <v>1.0833307665948395</v>
      </c>
      <c r="G105" s="1474">
        <f ca="1">IF(Assm!$L$75=0,G104,IF(AND($A105&gt;G$16,MONTH($A105)=MONTH(G$16)),C104/C92,G104))</f>
        <v>1.0301154037813975</v>
      </c>
      <c r="H105" s="1474">
        <f ca="1">IF(Assm!$L$75=0,H104,IF(AND($A105&gt;H$16,MONTH($A105)=MONTH(H$16)),C104/C92-H$18,H104))</f>
        <v>1.0276154037813976</v>
      </c>
      <c r="I105" s="1474">
        <f ca="1">IF(Assm!$L$75=0,I104,IF($A105&gt;=I$16,IF(MONTH($A105)=MONTH(I$16),AVERAGE(D93:D104),I104),I104))</f>
        <v>2.1646877473553214</v>
      </c>
      <c r="J105" s="1475">
        <f ca="1">IF(Assm!$L$75=0,J104,IF($A105&gt;=J$16,IF(MONTH($A105)=MONTH(J$16),AVERAGE(E93:E104),J104),J104))</f>
        <v>1.5433912063818109</v>
      </c>
      <c r="K105" s="958">
        <f t="shared" si="40"/>
        <v>93</v>
      </c>
      <c r="L105" s="1476">
        <f t="shared" ca="1" si="41"/>
        <v>1.0301154037813975</v>
      </c>
      <c r="M105" s="1474">
        <f t="shared" si="51"/>
        <v>0</v>
      </c>
      <c r="N105" s="1475">
        <f t="shared" ca="1" si="64"/>
        <v>1.166287045927733</v>
      </c>
      <c r="P105" s="1476">
        <f t="shared" ca="1" si="42"/>
        <v>1.0833307665948395</v>
      </c>
      <c r="Q105" s="1474">
        <f t="shared" si="52"/>
        <v>0</v>
      </c>
      <c r="R105" s="1475">
        <f t="shared" ca="1" si="65"/>
        <v>1.6755808839625042</v>
      </c>
      <c r="T105" s="1476">
        <f t="shared" ca="1" si="43"/>
        <v>1.0301154037813975</v>
      </c>
      <c r="U105" s="1474">
        <f t="shared" si="53"/>
        <v>1.0049999999999999</v>
      </c>
      <c r="V105" s="1475">
        <f t="shared" ca="1" si="66"/>
        <v>1.166287045927733</v>
      </c>
      <c r="X105" s="1476">
        <f t="shared" ca="1" si="44"/>
        <v>1.0276154037813976</v>
      </c>
      <c r="Y105" s="1474">
        <f t="shared" si="54"/>
        <v>1.02</v>
      </c>
      <c r="Z105" s="1475">
        <f t="shared" ca="1" si="67"/>
        <v>1.1585880825058716</v>
      </c>
      <c r="AB105" s="1476">
        <f t="shared" ca="1" si="45"/>
        <v>1.0276154037813976</v>
      </c>
      <c r="AC105" s="1474">
        <f t="shared" si="55"/>
        <v>1.02</v>
      </c>
      <c r="AD105" s="1475">
        <f t="shared" ca="1" si="68"/>
        <v>1.1585880825058716</v>
      </c>
      <c r="AF105" s="1476">
        <f t="shared" ca="1" si="46"/>
        <v>1.0833307665948395</v>
      </c>
      <c r="AG105" s="1474">
        <f t="shared" si="56"/>
        <v>0</v>
      </c>
      <c r="AH105" s="1475">
        <f t="shared" ca="1" si="69"/>
        <v>1.6755808839625042</v>
      </c>
      <c r="AJ105" s="1476">
        <f t="shared" ca="1" si="47"/>
        <v>1.0276154037813976</v>
      </c>
      <c r="AK105" s="1474">
        <f t="shared" si="57"/>
        <v>1.02</v>
      </c>
      <c r="AL105" s="1475">
        <f t="shared" ca="1" si="70"/>
        <v>1.1585880825058716</v>
      </c>
      <c r="AN105" s="1476">
        <f t="shared" ca="1" si="48"/>
        <v>1.0301154037813975</v>
      </c>
      <c r="AO105" s="1474">
        <f t="shared" si="58"/>
        <v>1.0049999999999999</v>
      </c>
      <c r="AP105" s="1475">
        <f t="shared" ca="1" si="71"/>
        <v>1.166287045927733</v>
      </c>
      <c r="AR105" s="701">
        <f t="shared" si="59"/>
        <v>38018</v>
      </c>
      <c r="AS105" s="1478">
        <f ca="1">IF(AND($A105&gt;=EDATE(AS$17,12),IF(Assm!$L$74=0,$D105,$E105)/AS104&gt;=1.05),IF(Assm!$L$74=0,$D105,$E105),AS104)</f>
        <v>2.1553379844170619</v>
      </c>
      <c r="AT105" s="1478">
        <f t="shared" ca="1" si="60"/>
        <v>1.0513843826424694</v>
      </c>
      <c r="AU105" s="1478">
        <f t="shared" ca="1" si="61"/>
        <v>1.0833307665948395</v>
      </c>
      <c r="AV105" s="1478">
        <f t="shared" ca="1" si="62"/>
        <v>1.0833307665948395</v>
      </c>
      <c r="AW105" s="1475">
        <f t="shared" ca="1" si="63"/>
        <v>2.0852845741966393</v>
      </c>
    </row>
    <row r="106" spans="1:49">
      <c r="A106" s="883">
        <f t="shared" si="50"/>
        <v>38047</v>
      </c>
      <c r="B106" s="1390">
        <f ca="1">'[2]Monthly Curve Calc.'!B109</f>
        <v>251.38117751048688</v>
      </c>
      <c r="C106" s="1391">
        <f ca="1">'[2]Monthly Curve Calc.'!C109</f>
        <v>191.84275925948691</v>
      </c>
      <c r="D106" s="1512">
        <f ca="1">'[2]Monthly Curve Calc.'!F109</f>
        <v>2.2159118431940779</v>
      </c>
      <c r="E106" s="1304">
        <f t="shared" ca="1" si="49"/>
        <v>1.5968290811968135</v>
      </c>
      <c r="F106" s="1473">
        <f ca="1">IF(Assm!$L$75=0,F105,IF(AND($A106&gt;F$16,MONTH($A106)=MONTH(F$16)),B105/B93,F105))</f>
        <v>1.0833307665948395</v>
      </c>
      <c r="G106" s="1474">
        <f ca="1">IF(Assm!$L$75=0,G105,IF(AND($A106&gt;G$16,MONTH($A106)=MONTH(G$16)),C105/C93,G105))</f>
        <v>1.0301154037813975</v>
      </c>
      <c r="H106" s="1474">
        <f ca="1">IF(Assm!$L$75=0,H105,IF(AND($A106&gt;H$16,MONTH($A106)=MONTH(H$16)),C105/C93-H$18,H105))</f>
        <v>1.0276154037813976</v>
      </c>
      <c r="I106" s="1474">
        <f ca="1">IF(Assm!$L$75=0,I105,IF($A106&gt;=I$16,IF(MONTH($A106)=MONTH(I$16),AVERAGE(D94:D105),I105),I105))</f>
        <v>2.1646877473553214</v>
      </c>
      <c r="J106" s="1475">
        <f ca="1">IF(Assm!$L$75=0,J105,IF($A106&gt;=J$16,IF(MONTH($A106)=MONTH(J$16),AVERAGE(E94:E105),J105),J105))</f>
        <v>1.5433912063818109</v>
      </c>
      <c r="K106" s="958">
        <f t="shared" si="40"/>
        <v>94</v>
      </c>
      <c r="L106" s="1476">
        <f t="shared" ca="1" si="41"/>
        <v>1.0301154037813975</v>
      </c>
      <c r="M106" s="1474">
        <f t="shared" si="51"/>
        <v>0</v>
      </c>
      <c r="N106" s="1475">
        <f t="shared" ca="1" si="64"/>
        <v>1.166287045927733</v>
      </c>
      <c r="P106" s="1476">
        <f t="shared" ca="1" si="42"/>
        <v>1.0833307665948395</v>
      </c>
      <c r="Q106" s="1474">
        <f t="shared" si="52"/>
        <v>0</v>
      </c>
      <c r="R106" s="1475">
        <f t="shared" ca="1" si="65"/>
        <v>1.6755808839625042</v>
      </c>
      <c r="T106" s="1476">
        <f t="shared" ca="1" si="43"/>
        <v>1.0301154037813975</v>
      </c>
      <c r="U106" s="1474">
        <f t="shared" si="53"/>
        <v>1.0049999999999999</v>
      </c>
      <c r="V106" s="1475">
        <f t="shared" ca="1" si="66"/>
        <v>1.166287045927733</v>
      </c>
      <c r="X106" s="1476">
        <f t="shared" ca="1" si="44"/>
        <v>1.0276154037813976</v>
      </c>
      <c r="Y106" s="1474">
        <f t="shared" si="54"/>
        <v>1.02</v>
      </c>
      <c r="Z106" s="1475">
        <f t="shared" ca="1" si="67"/>
        <v>1.1585880825058716</v>
      </c>
      <c r="AB106" s="1476">
        <f t="shared" ca="1" si="45"/>
        <v>1.0276154037813976</v>
      </c>
      <c r="AC106" s="1474">
        <f t="shared" si="55"/>
        <v>1.02</v>
      </c>
      <c r="AD106" s="1475">
        <f t="shared" ca="1" si="68"/>
        <v>1.1585880825058716</v>
      </c>
      <c r="AF106" s="1476">
        <f t="shared" ca="1" si="46"/>
        <v>1.0833307665948395</v>
      </c>
      <c r="AG106" s="1474">
        <f t="shared" si="56"/>
        <v>0</v>
      </c>
      <c r="AH106" s="1475">
        <f t="shared" ca="1" si="69"/>
        <v>1.6755808839625042</v>
      </c>
      <c r="AJ106" s="1476">
        <f t="shared" ca="1" si="47"/>
        <v>1.0276154037813976</v>
      </c>
      <c r="AK106" s="1474">
        <f t="shared" si="57"/>
        <v>1.02</v>
      </c>
      <c r="AL106" s="1475">
        <f t="shared" ca="1" si="70"/>
        <v>1.1585880825058716</v>
      </c>
      <c r="AN106" s="1476">
        <f t="shared" ca="1" si="48"/>
        <v>1.0301154037813975</v>
      </c>
      <c r="AO106" s="1474">
        <f t="shared" si="58"/>
        <v>1.0049999999999999</v>
      </c>
      <c r="AP106" s="1475">
        <f t="shared" ca="1" si="71"/>
        <v>1.166287045927733</v>
      </c>
      <c r="AR106" s="701">
        <f t="shared" si="59"/>
        <v>38047</v>
      </c>
      <c r="AS106" s="1478">
        <f ca="1">IF(AND($A106&gt;=EDATE(AS$17,12),IF(Assm!$L$74=0,$D106,$E106)/AS105&gt;=1.05),IF(Assm!$L$74=0,$D106,$E106),AS105)</f>
        <v>2.1553379844170619</v>
      </c>
      <c r="AT106" s="1478">
        <f t="shared" ca="1" si="60"/>
        <v>1.0513843826424694</v>
      </c>
      <c r="AU106" s="1478">
        <f t="shared" ca="1" si="61"/>
        <v>1.0833307665948395</v>
      </c>
      <c r="AV106" s="1478">
        <f t="shared" ca="1" si="62"/>
        <v>1.0833307665948395</v>
      </c>
      <c r="AW106" s="1475">
        <f t="shared" ca="1" si="63"/>
        <v>2.0852845741966393</v>
      </c>
    </row>
    <row r="107" spans="1:49">
      <c r="A107" s="883">
        <f t="shared" si="50"/>
        <v>38078</v>
      </c>
      <c r="B107" s="1390">
        <f ca="1">'[2]Monthly Curve Calc.'!B110</f>
        <v>252.99857157567746</v>
      </c>
      <c r="C107" s="1391">
        <f ca="1">'[2]Monthly Curve Calc.'!C110</f>
        <v>192.29596335336203</v>
      </c>
      <c r="D107" s="1512">
        <f ca="1">'[2]Monthly Curve Calc.'!F110</f>
        <v>2.2216383543457656</v>
      </c>
      <c r="E107" s="1304">
        <f t="shared" ca="1" si="49"/>
        <v>1.6033154988493086</v>
      </c>
      <c r="F107" s="1473">
        <f ca="1">IF(Assm!$L$75=0,F106,IF(AND($A107&gt;F$16,MONTH($A107)=MONTH(F$16)),B106/B94,F106))</f>
        <v>1.0833307665948395</v>
      </c>
      <c r="G107" s="1474">
        <f ca="1">IF(Assm!$L$75=0,G106,IF(AND($A107&gt;G$16,MONTH($A107)=MONTH(G$16)),C106/C94,G106))</f>
        <v>1.0301154037813975</v>
      </c>
      <c r="H107" s="1474">
        <f ca="1">IF(Assm!$L$75=0,H106,IF(AND($A107&gt;H$16,MONTH($A107)=MONTH(H$16)),C106/C94-H$18,H106))</f>
        <v>1.0276154037813976</v>
      </c>
      <c r="I107" s="1474">
        <f ca="1">IF(Assm!$L$75=0,I106,IF($A107&gt;=I$16,IF(MONTH($A107)=MONTH(I$16),AVERAGE(D95:D106),I106),I106))</f>
        <v>2.1646877473553214</v>
      </c>
      <c r="J107" s="1475">
        <f ca="1">IF(Assm!$L$75=0,J106,IF($A107&gt;=J$16,IF(MONTH($A107)=MONTH(J$16),AVERAGE(E95:E106),J106),J106))</f>
        <v>1.5433912063818109</v>
      </c>
      <c r="K107" s="958">
        <f t="shared" si="40"/>
        <v>95</v>
      </c>
      <c r="L107" s="1476">
        <f t="shared" ca="1" si="41"/>
        <v>1.0301154037813975</v>
      </c>
      <c r="M107" s="1474">
        <f t="shared" si="51"/>
        <v>0</v>
      </c>
      <c r="N107" s="1475">
        <f t="shared" ca="1" si="64"/>
        <v>1.166287045927733</v>
      </c>
      <c r="P107" s="1476">
        <f t="shared" ca="1" si="42"/>
        <v>1.0833307665948395</v>
      </c>
      <c r="Q107" s="1474">
        <f t="shared" si="52"/>
        <v>0</v>
      </c>
      <c r="R107" s="1475">
        <f t="shared" ca="1" si="65"/>
        <v>1.6755808839625042</v>
      </c>
      <c r="T107" s="1476">
        <f t="shared" ca="1" si="43"/>
        <v>1.0301154037813975</v>
      </c>
      <c r="U107" s="1474">
        <f t="shared" si="53"/>
        <v>1.0049999999999999</v>
      </c>
      <c r="V107" s="1475">
        <f t="shared" ca="1" si="66"/>
        <v>1.166287045927733</v>
      </c>
      <c r="X107" s="1476">
        <f t="shared" ca="1" si="44"/>
        <v>1.0276154037813976</v>
      </c>
      <c r="Y107" s="1474">
        <f t="shared" si="54"/>
        <v>1.02</v>
      </c>
      <c r="Z107" s="1475">
        <f t="shared" ca="1" si="67"/>
        <v>1.1585880825058716</v>
      </c>
      <c r="AB107" s="1476">
        <f t="shared" ca="1" si="45"/>
        <v>1.0276154037813976</v>
      </c>
      <c r="AC107" s="1474">
        <f t="shared" si="55"/>
        <v>1.02</v>
      </c>
      <c r="AD107" s="1475">
        <f t="shared" ca="1" si="68"/>
        <v>1.1585880825058716</v>
      </c>
      <c r="AF107" s="1476">
        <f t="shared" ca="1" si="46"/>
        <v>1.0833307665948395</v>
      </c>
      <c r="AG107" s="1474">
        <f t="shared" si="56"/>
        <v>0</v>
      </c>
      <c r="AH107" s="1475">
        <f t="shared" ca="1" si="69"/>
        <v>1.6755808839625042</v>
      </c>
      <c r="AJ107" s="1476">
        <f t="shared" ca="1" si="47"/>
        <v>1.0276154037813976</v>
      </c>
      <c r="AK107" s="1474">
        <f t="shared" si="57"/>
        <v>1.02</v>
      </c>
      <c r="AL107" s="1475">
        <f t="shared" ca="1" si="70"/>
        <v>1.1585880825058716</v>
      </c>
      <c r="AN107" s="1476">
        <f t="shared" ca="1" si="48"/>
        <v>1.0301154037813975</v>
      </c>
      <c r="AO107" s="1474">
        <f t="shared" si="58"/>
        <v>1.0049999999999999</v>
      </c>
      <c r="AP107" s="1475">
        <f t="shared" ca="1" si="71"/>
        <v>1.166287045927733</v>
      </c>
      <c r="AR107" s="701">
        <f t="shared" si="59"/>
        <v>38078</v>
      </c>
      <c r="AS107" s="1478">
        <f ca="1">IF(AND($A107&gt;=EDATE(AS$17,12),IF(Assm!$L$74=0,$D107,$E107)/AS106&gt;=1.05),IF(Assm!$L$74=0,$D107,$E107),AS106)</f>
        <v>2.1553379844170619</v>
      </c>
      <c r="AT107" s="1478">
        <f t="shared" ca="1" si="60"/>
        <v>1.0513843826424694</v>
      </c>
      <c r="AU107" s="1478">
        <f t="shared" ca="1" si="61"/>
        <v>1.0833307665948395</v>
      </c>
      <c r="AV107" s="1478">
        <f t="shared" ca="1" si="62"/>
        <v>1.0833307665948395</v>
      </c>
      <c r="AW107" s="1475">
        <f t="shared" ca="1" si="63"/>
        <v>2.0852845741966393</v>
      </c>
    </row>
    <row r="108" spans="1:49">
      <c r="A108" s="883">
        <f t="shared" si="50"/>
        <v>38108</v>
      </c>
      <c r="B108" s="1390">
        <f ca="1">'[2]Monthly Curve Calc.'!B111</f>
        <v>254.62637200298323</v>
      </c>
      <c r="C108" s="1391">
        <f ca="1">'[2]Monthly Curve Calc.'!C111</f>
        <v>192.75023808420826</v>
      </c>
      <c r="D108" s="1512">
        <f ca="1">'[2]Monthly Curve Calc.'!F111</f>
        <v>2.227379664339777</v>
      </c>
      <c r="E108" s="1304">
        <f t="shared" ca="1" si="49"/>
        <v>1.6098282647280842</v>
      </c>
      <c r="F108" s="1473">
        <f ca="1">IF(Assm!$L$75=0,F107,IF(AND($A108&gt;F$16,MONTH($A108)=MONTH(F$16)),B107/B95,F107))</f>
        <v>1.0799999999999996</v>
      </c>
      <c r="G108" s="1474">
        <f ca="1">IF(Assm!$L$75=0,G107,IF(AND($A108&gt;G$16,MONTH($A108)=MONTH(G$16)),C107/C95,G107))</f>
        <v>1.0292057504041141</v>
      </c>
      <c r="H108" s="1474">
        <f ca="1">IF(Assm!$L$75=0,H107,IF(AND($A108&gt;H$16,MONTH($A108)=MONTH(H$16)),C107/C95-H$18,H107))</f>
        <v>1.0267057504041142</v>
      </c>
      <c r="I108" s="1474">
        <f ca="1">IF(Assm!$L$75=0,I107,IF($A108&gt;=I$16,IF(MONTH($A108)=MONTH(I$16),AVERAGE(D96:D107),I107),I107))</f>
        <v>2.1646877473553214</v>
      </c>
      <c r="J108" s="1475">
        <f ca="1">IF(Assm!$L$75=0,J107,IF($A108&gt;=J$16,IF(MONTH($A108)=MONTH(J$16),AVERAGE(E96:E107),J107),J107))</f>
        <v>1.5433912063818109</v>
      </c>
      <c r="K108" s="958">
        <f t="shared" si="40"/>
        <v>96</v>
      </c>
      <c r="L108" s="1476">
        <f t="shared" ca="1" si="41"/>
        <v>1.0292057504041141</v>
      </c>
      <c r="M108" s="1474">
        <f t="shared" si="51"/>
        <v>0</v>
      </c>
      <c r="N108" s="1475">
        <f t="shared" ca="1" si="64"/>
        <v>1.2003493342906499</v>
      </c>
      <c r="P108" s="1476">
        <f t="shared" ca="1" si="42"/>
        <v>1.0799999999999996</v>
      </c>
      <c r="Q108" s="1474">
        <f t="shared" si="52"/>
        <v>0</v>
      </c>
      <c r="R108" s="1475">
        <f t="shared" ca="1" si="65"/>
        <v>1.8096273546795039</v>
      </c>
      <c r="T108" s="1476">
        <f t="shared" ca="1" si="43"/>
        <v>1.0292057504041141</v>
      </c>
      <c r="U108" s="1474">
        <f t="shared" si="53"/>
        <v>1.0049999999999999</v>
      </c>
      <c r="V108" s="1475">
        <f t="shared" ca="1" si="66"/>
        <v>1.2003493342906499</v>
      </c>
      <c r="X108" s="1476">
        <f t="shared" ca="1" si="44"/>
        <v>1.0267057504041142</v>
      </c>
      <c r="Y108" s="1474">
        <f t="shared" si="54"/>
        <v>1.02</v>
      </c>
      <c r="Z108" s="1475">
        <f t="shared" ca="1" si="67"/>
        <v>1.1895290466584547</v>
      </c>
      <c r="AB108" s="1476">
        <f t="shared" ca="1" si="45"/>
        <v>1.0267057504041142</v>
      </c>
      <c r="AC108" s="1474">
        <f t="shared" si="55"/>
        <v>1.02</v>
      </c>
      <c r="AD108" s="1475">
        <f t="shared" ca="1" si="68"/>
        <v>1.1895290466584547</v>
      </c>
      <c r="AF108" s="1476">
        <f t="shared" ca="1" si="46"/>
        <v>1.0799999999999996</v>
      </c>
      <c r="AG108" s="1474">
        <f t="shared" si="56"/>
        <v>0</v>
      </c>
      <c r="AH108" s="1475">
        <f t="shared" ca="1" si="69"/>
        <v>1.8096273546795039</v>
      </c>
      <c r="AJ108" s="1476">
        <f t="shared" ca="1" si="47"/>
        <v>1.0267057504041142</v>
      </c>
      <c r="AK108" s="1474">
        <f t="shared" si="57"/>
        <v>1.02</v>
      </c>
      <c r="AL108" s="1475">
        <f t="shared" ca="1" si="70"/>
        <v>1.1895290466584547</v>
      </c>
      <c r="AN108" s="1476">
        <f t="shared" ca="1" si="48"/>
        <v>1.0292057504041141</v>
      </c>
      <c r="AO108" s="1474">
        <f t="shared" si="58"/>
        <v>1.0049999999999999</v>
      </c>
      <c r="AP108" s="1475">
        <f t="shared" ca="1" si="71"/>
        <v>1.2003493342906499</v>
      </c>
      <c r="AR108" s="701">
        <f t="shared" si="59"/>
        <v>38108</v>
      </c>
      <c r="AS108" s="1478">
        <f ca="1">IF(AND($A108&gt;=EDATE(AS$17,12),IF(Assm!$L$74=0,$D108,$E108)/AS107&gt;=1.05),IF(Assm!$L$74=0,$D108,$E108),AS107)</f>
        <v>2.1553379844170619</v>
      </c>
      <c r="AT108" s="1478">
        <f t="shared" ca="1" si="60"/>
        <v>1.0513843826424694</v>
      </c>
      <c r="AU108" s="1478">
        <f t="shared" ca="1" si="61"/>
        <v>1.0799999999999996</v>
      </c>
      <c r="AV108" s="1478">
        <f t="shared" ca="1" si="62"/>
        <v>1.0799999999999996</v>
      </c>
      <c r="AW108" s="1475">
        <f t="shared" ca="1" si="63"/>
        <v>2.2521073401323695</v>
      </c>
    </row>
    <row r="109" spans="1:49">
      <c r="A109" s="883">
        <f t="shared" si="50"/>
        <v>38139</v>
      </c>
      <c r="B109" s="1390">
        <f ca="1">'[2]Monthly Curve Calc.'!B112</f>
        <v>256.26464574725134</v>
      </c>
      <c r="C109" s="1391">
        <f ca="1">'[2]Monthly Curve Calc.'!C112</f>
        <v>193.20558598126917</v>
      </c>
      <c r="D109" s="1512">
        <f ca="1">'[2]Monthly Curve Calc.'!F112</f>
        <v>2.2331358114202935</v>
      </c>
      <c r="E109" s="1304">
        <f t="shared" ca="1" si="49"/>
        <v>1.6163674858612511</v>
      </c>
      <c r="F109" s="1473">
        <f ca="1">IF(Assm!$L$75=0,F108,IF(AND($A109&gt;F$16,MONTH($A109)=MONTH(F$16)),B108/B96,F108))</f>
        <v>1.0799999999999996</v>
      </c>
      <c r="G109" s="1474">
        <f ca="1">IF(Assm!$L$75=0,G108,IF(AND($A109&gt;G$16,MONTH($A109)=MONTH(G$16)),C108/C96,G108))</f>
        <v>1.0292057504041141</v>
      </c>
      <c r="H109" s="1474">
        <f ca="1">IF(Assm!$L$75=0,H108,IF(AND($A109&gt;H$16,MONTH($A109)=MONTH(H$16)),C108/C96-H$18,H108))</f>
        <v>1.0267057504041142</v>
      </c>
      <c r="I109" s="1474">
        <f ca="1">IF(Assm!$L$75=0,I108,IF($A109&gt;=I$16,IF(MONTH($A109)=MONTH(I$16),AVERAGE(D97:D108),I108),I108))</f>
        <v>2.1646877473553214</v>
      </c>
      <c r="J109" s="1475">
        <f ca="1">IF(Assm!$L$75=0,J108,IF($A109&gt;=J$16,IF(MONTH($A109)=MONTH(J$16),AVERAGE(E97:E108),J108),J108))</f>
        <v>1.5433912063818109</v>
      </c>
      <c r="K109" s="958">
        <f t="shared" si="40"/>
        <v>97</v>
      </c>
      <c r="L109" s="1476">
        <f t="shared" ca="1" si="41"/>
        <v>1.0292057504041141</v>
      </c>
      <c r="M109" s="1474">
        <f t="shared" si="51"/>
        <v>0</v>
      </c>
      <c r="N109" s="1475">
        <f t="shared" ca="1" si="64"/>
        <v>1.2003493342906499</v>
      </c>
      <c r="P109" s="1476">
        <f t="shared" ca="1" si="42"/>
        <v>1.0799999999999996</v>
      </c>
      <c r="Q109" s="1474">
        <f t="shared" si="52"/>
        <v>0</v>
      </c>
      <c r="R109" s="1475">
        <f t="shared" ca="1" si="65"/>
        <v>1.8096273546795039</v>
      </c>
      <c r="T109" s="1476">
        <f t="shared" ca="1" si="43"/>
        <v>1.0292057504041141</v>
      </c>
      <c r="U109" s="1474">
        <f t="shared" si="53"/>
        <v>1.0049999999999999</v>
      </c>
      <c r="V109" s="1475">
        <f t="shared" ca="1" si="66"/>
        <v>1.2003493342906499</v>
      </c>
      <c r="X109" s="1476">
        <f t="shared" ca="1" si="44"/>
        <v>1.0267057504041142</v>
      </c>
      <c r="Y109" s="1474">
        <f t="shared" si="54"/>
        <v>1.02</v>
      </c>
      <c r="Z109" s="1475">
        <f t="shared" ca="1" si="67"/>
        <v>1.1895290466584547</v>
      </c>
      <c r="AB109" s="1476">
        <f t="shared" ca="1" si="45"/>
        <v>1.0267057504041142</v>
      </c>
      <c r="AC109" s="1474">
        <f t="shared" si="55"/>
        <v>1.02</v>
      </c>
      <c r="AD109" s="1475">
        <f t="shared" ca="1" si="68"/>
        <v>1.1895290466584547</v>
      </c>
      <c r="AF109" s="1476">
        <f t="shared" ca="1" si="46"/>
        <v>1.0799999999999996</v>
      </c>
      <c r="AG109" s="1474">
        <f t="shared" si="56"/>
        <v>0</v>
      </c>
      <c r="AH109" s="1475">
        <f t="shared" ca="1" si="69"/>
        <v>1.8096273546795039</v>
      </c>
      <c r="AJ109" s="1476">
        <f t="shared" ca="1" si="47"/>
        <v>1.0267057504041142</v>
      </c>
      <c r="AK109" s="1474">
        <f t="shared" si="57"/>
        <v>1.02</v>
      </c>
      <c r="AL109" s="1475">
        <f t="shared" ca="1" si="70"/>
        <v>1.1895290466584547</v>
      </c>
      <c r="AN109" s="1476">
        <f t="shared" ca="1" si="48"/>
        <v>1.0292057504041141</v>
      </c>
      <c r="AO109" s="1474">
        <f t="shared" si="58"/>
        <v>1.0049999999999999</v>
      </c>
      <c r="AP109" s="1475">
        <f t="shared" ca="1" si="71"/>
        <v>1.2003493342906499</v>
      </c>
      <c r="AR109" s="701">
        <f t="shared" si="59"/>
        <v>38139</v>
      </c>
      <c r="AS109" s="1478">
        <f ca="1">IF(AND($A109&gt;=EDATE(AS$17,12),IF(Assm!$L$74=0,$D109,$E109)/AS108&gt;=1.05),IF(Assm!$L$74=0,$D109,$E109),AS108)</f>
        <v>2.1553379844170619</v>
      </c>
      <c r="AT109" s="1478">
        <f t="shared" ca="1" si="60"/>
        <v>1.0513843826424694</v>
      </c>
      <c r="AU109" s="1478">
        <f t="shared" ca="1" si="61"/>
        <v>1.0799999999999996</v>
      </c>
      <c r="AV109" s="1478">
        <f t="shared" ca="1" si="62"/>
        <v>1.0799999999999996</v>
      </c>
      <c r="AW109" s="1475">
        <f t="shared" ca="1" si="63"/>
        <v>2.2521073401323695</v>
      </c>
    </row>
    <row r="110" spans="1:49">
      <c r="A110" s="883">
        <f t="shared" si="50"/>
        <v>38169</v>
      </c>
      <c r="B110" s="1390">
        <f ca="1">'[2]Monthly Curve Calc.'!B113</f>
        <v>257.9134601941185</v>
      </c>
      <c r="C110" s="1391">
        <f ca="1">'[2]Monthly Curve Calc.'!C113</f>
        <v>193.66200957976326</v>
      </c>
      <c r="D110" s="1512">
        <f ca="1">'[2]Monthly Curve Calc.'!F113</f>
        <v>2.2389068339303306</v>
      </c>
      <c r="E110" s="1304">
        <f t="shared" ca="1" si="49"/>
        <v>1.6229332697116752</v>
      </c>
      <c r="F110" s="1473">
        <f ca="1">IF(Assm!$L$75=0,F109,IF(AND($A110&gt;F$16,MONTH($A110)=MONTH(F$16)),B109/B97,F109))</f>
        <v>1.0799999999999996</v>
      </c>
      <c r="G110" s="1474">
        <f ca="1">IF(Assm!$L$75=0,G109,IF(AND($A110&gt;G$16,MONTH($A110)=MONTH(G$16)),C109/C97,G109))</f>
        <v>1.0292057504041141</v>
      </c>
      <c r="H110" s="1474">
        <f ca="1">IF(Assm!$L$75=0,H109,IF(AND($A110&gt;H$16,MONTH($A110)=MONTH(H$16)),C109/C97-H$18,H109))</f>
        <v>1.0267057504041142</v>
      </c>
      <c r="I110" s="1474">
        <f ca="1">IF(Assm!$L$75=0,I109,IF($A110&gt;=I$16,IF(MONTH($A110)=MONTH(I$16),AVERAGE(D98:D109),I109),I109))</f>
        <v>2.1646877473553214</v>
      </c>
      <c r="J110" s="1475">
        <f ca="1">IF(Assm!$L$75=0,J109,IF($A110&gt;=J$16,IF(MONTH($A110)=MONTH(J$16),AVERAGE(E98:E109),J109),J109))</f>
        <v>1.5433912063818109</v>
      </c>
      <c r="K110" s="958">
        <f t="shared" si="40"/>
        <v>98</v>
      </c>
      <c r="L110" s="1476">
        <f t="shared" ca="1" si="41"/>
        <v>1.0292057504041141</v>
      </c>
      <c r="M110" s="1474">
        <f t="shared" si="51"/>
        <v>0</v>
      </c>
      <c r="N110" s="1475">
        <f t="shared" ca="1" si="64"/>
        <v>1.2003493342906499</v>
      </c>
      <c r="P110" s="1476">
        <f t="shared" ca="1" si="42"/>
        <v>1.0799999999999996</v>
      </c>
      <c r="Q110" s="1474">
        <f t="shared" si="52"/>
        <v>0</v>
      </c>
      <c r="R110" s="1475">
        <f t="shared" ca="1" si="65"/>
        <v>1.8096273546795039</v>
      </c>
      <c r="T110" s="1476">
        <f t="shared" ca="1" si="43"/>
        <v>1.0292057504041141</v>
      </c>
      <c r="U110" s="1474">
        <f t="shared" si="53"/>
        <v>1.0049999999999999</v>
      </c>
      <c r="V110" s="1475">
        <f t="shared" ca="1" si="66"/>
        <v>1.2003493342906499</v>
      </c>
      <c r="X110" s="1476">
        <f t="shared" ca="1" si="44"/>
        <v>1.0267057504041142</v>
      </c>
      <c r="Y110" s="1474">
        <f t="shared" si="54"/>
        <v>1.02</v>
      </c>
      <c r="Z110" s="1475">
        <f t="shared" ca="1" si="67"/>
        <v>1.1895290466584547</v>
      </c>
      <c r="AB110" s="1476">
        <f t="shared" ca="1" si="45"/>
        <v>1.0267057504041142</v>
      </c>
      <c r="AC110" s="1474">
        <f t="shared" si="55"/>
        <v>1.02</v>
      </c>
      <c r="AD110" s="1475">
        <f t="shared" ca="1" si="68"/>
        <v>1.1895290466584547</v>
      </c>
      <c r="AF110" s="1476">
        <f t="shared" ca="1" si="46"/>
        <v>1.0799999999999996</v>
      </c>
      <c r="AG110" s="1474">
        <f t="shared" si="56"/>
        <v>0</v>
      </c>
      <c r="AH110" s="1475">
        <f t="shared" ca="1" si="69"/>
        <v>1.8096273546795039</v>
      </c>
      <c r="AJ110" s="1476">
        <f t="shared" ca="1" si="47"/>
        <v>1.0267057504041142</v>
      </c>
      <c r="AK110" s="1474">
        <f t="shared" si="57"/>
        <v>1.02</v>
      </c>
      <c r="AL110" s="1475">
        <f t="shared" ca="1" si="70"/>
        <v>1.1895290466584547</v>
      </c>
      <c r="AN110" s="1476">
        <f t="shared" ca="1" si="48"/>
        <v>1.0292057504041141</v>
      </c>
      <c r="AO110" s="1474">
        <f t="shared" si="58"/>
        <v>1.0049999999999999</v>
      </c>
      <c r="AP110" s="1475">
        <f t="shared" ca="1" si="71"/>
        <v>1.2003493342906499</v>
      </c>
      <c r="AR110" s="701">
        <f t="shared" si="59"/>
        <v>38169</v>
      </c>
      <c r="AS110" s="1478">
        <f ca="1">IF(AND($A110&gt;=EDATE(AS$17,12),IF(Assm!$L$74=0,$D110,$E110)/AS109&gt;=1.05),IF(Assm!$L$74=0,$D110,$E110),AS109)</f>
        <v>2.1553379844170619</v>
      </c>
      <c r="AT110" s="1478">
        <f t="shared" ca="1" si="60"/>
        <v>1.0513843826424694</v>
      </c>
      <c r="AU110" s="1478">
        <f t="shared" ca="1" si="61"/>
        <v>1.0799999999999996</v>
      </c>
      <c r="AV110" s="1478">
        <f t="shared" ca="1" si="62"/>
        <v>1.0799999999999996</v>
      </c>
      <c r="AW110" s="1475">
        <f t="shared" ca="1" si="63"/>
        <v>2.2521073401323695</v>
      </c>
    </row>
    <row r="111" spans="1:49">
      <c r="A111" s="883">
        <f t="shared" si="50"/>
        <v>38200</v>
      </c>
      <c r="B111" s="1390">
        <f ca="1">'[2]Monthly Curve Calc.'!B114</f>
        <v>259.5728831627826</v>
      </c>
      <c r="C111" s="1391">
        <f ca="1">'[2]Monthly Curve Calc.'!C114</f>
        <v>194.11951142089825</v>
      </c>
      <c r="D111" s="1512">
        <f ca="1">'[2]Monthly Curve Calc.'!F114</f>
        <v>2.2446927703119925</v>
      </c>
      <c r="E111" s="1304">
        <f t="shared" ca="1" si="49"/>
        <v>1.6295257241787429</v>
      </c>
      <c r="F111" s="1473">
        <f ca="1">IF(Assm!$L$75=0,F110,IF(AND($A111&gt;F$16,MONTH($A111)=MONTH(F$16)),B110/B98,F110))</f>
        <v>1.0799999999999996</v>
      </c>
      <c r="G111" s="1474">
        <f ca="1">IF(Assm!$L$75=0,G110,IF(AND($A111&gt;G$16,MONTH($A111)=MONTH(G$16)),C110/C98,G110))</f>
        <v>1.0292057504041141</v>
      </c>
      <c r="H111" s="1474">
        <f ca="1">IF(Assm!$L$75=0,H110,IF(AND($A111&gt;H$16,MONTH($A111)=MONTH(H$16)),C110/C98-H$18,H110))</f>
        <v>1.0267057504041142</v>
      </c>
      <c r="I111" s="1474">
        <f ca="1">IF(Assm!$L$75=0,I110,IF($A111&gt;=I$16,IF(MONTH($A111)=MONTH(I$16),AVERAGE(D99:D110),I110),I110))</f>
        <v>2.1646877473553214</v>
      </c>
      <c r="J111" s="1475">
        <f ca="1">IF(Assm!$L$75=0,J110,IF($A111&gt;=J$16,IF(MONTH($A111)=MONTH(J$16),AVERAGE(E99:E110),J110),J110))</f>
        <v>1.5433912063818109</v>
      </c>
      <c r="K111" s="958">
        <f t="shared" si="40"/>
        <v>99</v>
      </c>
      <c r="L111" s="1476">
        <f t="shared" ca="1" si="41"/>
        <v>1.0292057504041141</v>
      </c>
      <c r="M111" s="1474">
        <f t="shared" si="51"/>
        <v>0</v>
      </c>
      <c r="N111" s="1475">
        <f t="shared" ca="1" si="64"/>
        <v>1.2003493342906499</v>
      </c>
      <c r="P111" s="1476">
        <f t="shared" ca="1" si="42"/>
        <v>1.0799999999999996</v>
      </c>
      <c r="Q111" s="1474">
        <f t="shared" si="52"/>
        <v>0</v>
      </c>
      <c r="R111" s="1475">
        <f t="shared" ca="1" si="65"/>
        <v>1.8096273546795039</v>
      </c>
      <c r="T111" s="1476">
        <f t="shared" ca="1" si="43"/>
        <v>1.0292057504041141</v>
      </c>
      <c r="U111" s="1474">
        <f t="shared" si="53"/>
        <v>1.0049999999999999</v>
      </c>
      <c r="V111" s="1475">
        <f t="shared" ca="1" si="66"/>
        <v>1.2003493342906499</v>
      </c>
      <c r="X111" s="1476">
        <f t="shared" ca="1" si="44"/>
        <v>1.0267057504041142</v>
      </c>
      <c r="Y111" s="1474">
        <f t="shared" si="54"/>
        <v>1.02</v>
      </c>
      <c r="Z111" s="1475">
        <f t="shared" ca="1" si="67"/>
        <v>1.1895290466584547</v>
      </c>
      <c r="AB111" s="1476">
        <f t="shared" ca="1" si="45"/>
        <v>1.0267057504041142</v>
      </c>
      <c r="AC111" s="1474">
        <f t="shared" si="55"/>
        <v>1.02</v>
      </c>
      <c r="AD111" s="1475">
        <f t="shared" ca="1" si="68"/>
        <v>1.1895290466584547</v>
      </c>
      <c r="AF111" s="1476">
        <f t="shared" ca="1" si="46"/>
        <v>1.0799999999999996</v>
      </c>
      <c r="AG111" s="1474">
        <f t="shared" si="56"/>
        <v>0</v>
      </c>
      <c r="AH111" s="1475">
        <f t="shared" ca="1" si="69"/>
        <v>1.8096273546795039</v>
      </c>
      <c r="AJ111" s="1476">
        <f t="shared" ca="1" si="47"/>
        <v>1.0267057504041142</v>
      </c>
      <c r="AK111" s="1474">
        <f t="shared" si="57"/>
        <v>1.02</v>
      </c>
      <c r="AL111" s="1475">
        <f t="shared" ca="1" si="70"/>
        <v>1.1895290466584547</v>
      </c>
      <c r="AN111" s="1476">
        <f t="shared" ca="1" si="48"/>
        <v>1.0292057504041141</v>
      </c>
      <c r="AO111" s="1474">
        <f t="shared" si="58"/>
        <v>1.0049999999999999</v>
      </c>
      <c r="AP111" s="1475">
        <f t="shared" ca="1" si="71"/>
        <v>1.2003493342906499</v>
      </c>
      <c r="AR111" s="701">
        <f t="shared" si="59"/>
        <v>38200</v>
      </c>
      <c r="AS111" s="1478">
        <f ca="1">IF(AND($A111&gt;=EDATE(AS$17,12),IF(Assm!$L$74=0,$D111,$E111)/AS110&gt;=1.05),IF(Assm!$L$74=0,$D111,$E111),AS110)</f>
        <v>2.1553379844170619</v>
      </c>
      <c r="AT111" s="1478">
        <f t="shared" ca="1" si="60"/>
        <v>1.0513843826424694</v>
      </c>
      <c r="AU111" s="1478">
        <f t="shared" ca="1" si="61"/>
        <v>1.0799999999999996</v>
      </c>
      <c r="AV111" s="1478">
        <f t="shared" ca="1" si="62"/>
        <v>1.0799999999999996</v>
      </c>
      <c r="AW111" s="1475">
        <f t="shared" ca="1" si="63"/>
        <v>2.2521073401323695</v>
      </c>
    </row>
    <row r="112" spans="1:49">
      <c r="A112" s="883">
        <f t="shared" si="50"/>
        <v>38231</v>
      </c>
      <c r="B112" s="1390">
        <f ca="1">'[2]Monthly Curve Calc.'!B115</f>
        <v>261.24298290879233</v>
      </c>
      <c r="C112" s="1391">
        <f ca="1">'[2]Monthly Curve Calc.'!C115</f>
        <v>194.57809405188507</v>
      </c>
      <c r="D112" s="1512">
        <f ca="1">'[2]Monthly Curve Calc.'!F115</f>
        <v>2.2504936591067271</v>
      </c>
      <c r="E112" s="1304">
        <f t="shared" ca="1" si="49"/>
        <v>1.6361449576001343</v>
      </c>
      <c r="F112" s="1473">
        <f ca="1">IF(Assm!$L$75=0,F111,IF(AND($A112&gt;F$16,MONTH($A112)=MONTH(F$16)),B111/B99,F111))</f>
        <v>1.0799999999999996</v>
      </c>
      <c r="G112" s="1474">
        <f ca="1">IF(Assm!$L$75=0,G111,IF(AND($A112&gt;G$16,MONTH($A112)=MONTH(G$16)),C111/C99,G111))</f>
        <v>1.0292057504041141</v>
      </c>
      <c r="H112" s="1474">
        <f ca="1">IF(Assm!$L$75=0,H111,IF(AND($A112&gt;H$16,MONTH($A112)=MONTH(H$16)),C111/C99-H$18,H111))</f>
        <v>1.0267057504041142</v>
      </c>
      <c r="I112" s="1474">
        <f ca="1">IF(Assm!$L$75=0,I111,IF($A112&gt;=I$16,IF(MONTH($A112)=MONTH(I$16),AVERAGE(D100:D111),I111),I111))</f>
        <v>2.1646877473553214</v>
      </c>
      <c r="J112" s="1475">
        <f ca="1">IF(Assm!$L$75=0,J111,IF($A112&gt;=J$16,IF(MONTH($A112)=MONTH(J$16),AVERAGE(E100:E111),J111),J111))</f>
        <v>1.5433912063818109</v>
      </c>
      <c r="K112" s="958">
        <f t="shared" si="40"/>
        <v>100</v>
      </c>
      <c r="L112" s="1476">
        <f t="shared" ca="1" si="41"/>
        <v>1.0292057504041141</v>
      </c>
      <c r="M112" s="1474">
        <f t="shared" si="51"/>
        <v>0</v>
      </c>
      <c r="N112" s="1475">
        <f t="shared" ca="1" si="64"/>
        <v>1.2003493342906499</v>
      </c>
      <c r="P112" s="1476">
        <f t="shared" ca="1" si="42"/>
        <v>1.0799999999999996</v>
      </c>
      <c r="Q112" s="1474">
        <f t="shared" si="52"/>
        <v>0</v>
      </c>
      <c r="R112" s="1475">
        <f t="shared" ca="1" si="65"/>
        <v>1.8096273546795039</v>
      </c>
      <c r="T112" s="1476">
        <f t="shared" ca="1" si="43"/>
        <v>1.0292057504041141</v>
      </c>
      <c r="U112" s="1474">
        <f t="shared" si="53"/>
        <v>1.0049999999999999</v>
      </c>
      <c r="V112" s="1475">
        <f t="shared" ca="1" si="66"/>
        <v>1.2003493342906499</v>
      </c>
      <c r="X112" s="1476">
        <f t="shared" ca="1" si="44"/>
        <v>1.0267057504041142</v>
      </c>
      <c r="Y112" s="1474">
        <f t="shared" si="54"/>
        <v>1.02</v>
      </c>
      <c r="Z112" s="1475">
        <f t="shared" ca="1" si="67"/>
        <v>1.1895290466584547</v>
      </c>
      <c r="AB112" s="1476">
        <f t="shared" ca="1" si="45"/>
        <v>1.0267057504041142</v>
      </c>
      <c r="AC112" s="1474">
        <f t="shared" si="55"/>
        <v>1.02</v>
      </c>
      <c r="AD112" s="1475">
        <f t="shared" ca="1" si="68"/>
        <v>1.1895290466584547</v>
      </c>
      <c r="AF112" s="1476">
        <f t="shared" ca="1" si="46"/>
        <v>1.0799999999999996</v>
      </c>
      <c r="AG112" s="1474">
        <f t="shared" si="56"/>
        <v>0</v>
      </c>
      <c r="AH112" s="1475">
        <f t="shared" ca="1" si="69"/>
        <v>1.8096273546795039</v>
      </c>
      <c r="AJ112" s="1476">
        <f t="shared" ca="1" si="47"/>
        <v>1.0267057504041142</v>
      </c>
      <c r="AK112" s="1474">
        <f t="shared" si="57"/>
        <v>1.02</v>
      </c>
      <c r="AL112" s="1475">
        <f t="shared" ca="1" si="70"/>
        <v>1.1895290466584547</v>
      </c>
      <c r="AN112" s="1476">
        <f t="shared" ca="1" si="48"/>
        <v>1.0292057504041141</v>
      </c>
      <c r="AO112" s="1474">
        <f t="shared" si="58"/>
        <v>1.0049999999999999</v>
      </c>
      <c r="AP112" s="1475">
        <f t="shared" ca="1" si="71"/>
        <v>1.2003493342906499</v>
      </c>
      <c r="AR112" s="701">
        <f t="shared" si="59"/>
        <v>38231</v>
      </c>
      <c r="AS112" s="1478">
        <f ca="1">IF(AND($A112&gt;=EDATE(AS$17,12),IF(Assm!$L$74=0,$D112,$E112)/AS111&gt;=1.05),IF(Assm!$L$74=0,$D112,$E112),AS111)</f>
        <v>2.1553379844170619</v>
      </c>
      <c r="AT112" s="1478">
        <f t="shared" ca="1" si="60"/>
        <v>1.0513843826424694</v>
      </c>
      <c r="AU112" s="1478">
        <f t="shared" ca="1" si="61"/>
        <v>1.0799999999999996</v>
      </c>
      <c r="AV112" s="1478">
        <f t="shared" ca="1" si="62"/>
        <v>1.0799999999999996</v>
      </c>
      <c r="AW112" s="1475">
        <f t="shared" ca="1" si="63"/>
        <v>2.2521073401323695</v>
      </c>
    </row>
    <row r="113" spans="1:49">
      <c r="A113" s="883">
        <f t="shared" si="50"/>
        <v>38261</v>
      </c>
      <c r="B113" s="1390">
        <f ca="1">'[2]Monthly Curve Calc.'!B116</f>
        <v>262.92382812685463</v>
      </c>
      <c r="C113" s="1391">
        <f ca="1">'[2]Monthly Curve Calc.'!C116</f>
        <v>195.03776002595217</v>
      </c>
      <c r="D113" s="1512">
        <f ca="1">'[2]Monthly Curve Calc.'!F116</f>
        <v>2.2563095389555845</v>
      </c>
      <c r="E113" s="1304">
        <f t="shared" ca="1" si="49"/>
        <v>1.6427910787536044</v>
      </c>
      <c r="F113" s="1473">
        <f ca="1">IF(Assm!$L$75=0,F112,IF(AND($A113&gt;F$16,MONTH($A113)=MONTH(F$16)),B112/B100,F112))</f>
        <v>1.0799999999999996</v>
      </c>
      <c r="G113" s="1474">
        <f ca="1">IF(Assm!$L$75=0,G112,IF(AND($A113&gt;G$16,MONTH($A113)=MONTH(G$16)),C112/C100,G112))</f>
        <v>1.0292057504041141</v>
      </c>
      <c r="H113" s="1474">
        <f ca="1">IF(Assm!$L$75=0,H112,IF(AND($A113&gt;H$16,MONTH($A113)=MONTH(H$16)),C112/C100-H$18,H112))</f>
        <v>1.0267057504041142</v>
      </c>
      <c r="I113" s="1474">
        <f ca="1">IF(Assm!$L$75=0,I112,IF($A113&gt;=I$16,IF(MONTH($A113)=MONTH(I$16),AVERAGE(D101:D112),I112),I112))</f>
        <v>2.1646877473553214</v>
      </c>
      <c r="J113" s="1475">
        <f ca="1">IF(Assm!$L$75=0,J112,IF($A113&gt;=J$16,IF(MONTH($A113)=MONTH(J$16),AVERAGE(E101:E112),J112),J112))</f>
        <v>1.5433912063818109</v>
      </c>
      <c r="K113" s="958">
        <f t="shared" si="40"/>
        <v>101</v>
      </c>
      <c r="L113" s="1476">
        <f t="shared" ca="1" si="41"/>
        <v>1.0292057504041141</v>
      </c>
      <c r="M113" s="1474">
        <f t="shared" si="51"/>
        <v>0</v>
      </c>
      <c r="N113" s="1475">
        <f t="shared" ca="1" si="64"/>
        <v>1.2003493342906499</v>
      </c>
      <c r="P113" s="1476">
        <f t="shared" ca="1" si="42"/>
        <v>1.0799999999999996</v>
      </c>
      <c r="Q113" s="1474">
        <f t="shared" si="52"/>
        <v>0</v>
      </c>
      <c r="R113" s="1475">
        <f t="shared" ca="1" si="65"/>
        <v>1.8096273546795039</v>
      </c>
      <c r="T113" s="1476">
        <f t="shared" ca="1" si="43"/>
        <v>1.0292057504041141</v>
      </c>
      <c r="U113" s="1474">
        <f t="shared" si="53"/>
        <v>1.0049999999999999</v>
      </c>
      <c r="V113" s="1475">
        <f t="shared" ca="1" si="66"/>
        <v>1.2003493342906499</v>
      </c>
      <c r="X113" s="1476">
        <f t="shared" ca="1" si="44"/>
        <v>1.0267057504041142</v>
      </c>
      <c r="Y113" s="1474">
        <f t="shared" si="54"/>
        <v>1.02</v>
      </c>
      <c r="Z113" s="1475">
        <f t="shared" ca="1" si="67"/>
        <v>1.1895290466584547</v>
      </c>
      <c r="AB113" s="1476">
        <f t="shared" ca="1" si="45"/>
        <v>1.0267057504041142</v>
      </c>
      <c r="AC113" s="1474">
        <f t="shared" si="55"/>
        <v>1.02</v>
      </c>
      <c r="AD113" s="1475">
        <f t="shared" ca="1" si="68"/>
        <v>1.1895290466584547</v>
      </c>
      <c r="AF113" s="1476">
        <f t="shared" ca="1" si="46"/>
        <v>1.0799999999999996</v>
      </c>
      <c r="AG113" s="1474">
        <f t="shared" si="56"/>
        <v>0</v>
      </c>
      <c r="AH113" s="1475">
        <f t="shared" ca="1" si="69"/>
        <v>1.8096273546795039</v>
      </c>
      <c r="AJ113" s="1476">
        <f t="shared" ca="1" si="47"/>
        <v>1.0267057504041142</v>
      </c>
      <c r="AK113" s="1474">
        <f t="shared" si="57"/>
        <v>1.02</v>
      </c>
      <c r="AL113" s="1475">
        <f t="shared" ca="1" si="70"/>
        <v>1.1895290466584547</v>
      </c>
      <c r="AN113" s="1476">
        <f t="shared" ca="1" si="48"/>
        <v>1.0292057504041141</v>
      </c>
      <c r="AO113" s="1474">
        <f t="shared" si="58"/>
        <v>1.0049999999999999</v>
      </c>
      <c r="AP113" s="1475">
        <f t="shared" ca="1" si="71"/>
        <v>1.2003493342906499</v>
      </c>
      <c r="AR113" s="701">
        <f t="shared" si="59"/>
        <v>38261</v>
      </c>
      <c r="AS113" s="1478">
        <f ca="1">IF(AND($A113&gt;=EDATE(AS$17,12),IF(Assm!$L$74=0,$D113,$E113)/AS112&gt;=1.05),IF(Assm!$L$74=0,$D113,$E113),AS112)</f>
        <v>2.1553379844170619</v>
      </c>
      <c r="AT113" s="1478">
        <f t="shared" ca="1" si="60"/>
        <v>1.0513843826424694</v>
      </c>
      <c r="AU113" s="1478">
        <f t="shared" ca="1" si="61"/>
        <v>1.0799999999999996</v>
      </c>
      <c r="AV113" s="1478">
        <f t="shared" ca="1" si="62"/>
        <v>1.0799999999999996</v>
      </c>
      <c r="AW113" s="1475">
        <f t="shared" ca="1" si="63"/>
        <v>2.2521073401323695</v>
      </c>
    </row>
    <row r="114" spans="1:49">
      <c r="A114" s="883">
        <f t="shared" si="50"/>
        <v>38292</v>
      </c>
      <c r="B114" s="1390">
        <f ca="1">'[2]Monthly Curve Calc.'!B117</f>
        <v>264.61548795366019</v>
      </c>
      <c r="C114" s="1391">
        <f ca="1">'[2]Monthly Curve Calc.'!C117</f>
        <v>195.49851190235964</v>
      </c>
      <c r="D114" s="1512">
        <f ca="1">'[2]Monthly Curve Calc.'!F117</f>
        <v>2.2621404485994736</v>
      </c>
      <c r="E114" s="1304">
        <f t="shared" ca="1" si="49"/>
        <v>1.6494641968587695</v>
      </c>
      <c r="F114" s="1473">
        <f ca="1">IF(Assm!$L$75=0,F113,IF(AND($A114&gt;F$16,MONTH($A114)=MONTH(F$16)),B113/B101,F113))</f>
        <v>1.0799999999999996</v>
      </c>
      <c r="G114" s="1474">
        <f ca="1">IF(Assm!$L$75=0,G113,IF(AND($A114&gt;G$16,MONTH($A114)=MONTH(G$16)),C113/C101,G113))</f>
        <v>1.0292057504041141</v>
      </c>
      <c r="H114" s="1474">
        <f ca="1">IF(Assm!$L$75=0,H113,IF(AND($A114&gt;H$16,MONTH($A114)=MONTH(H$16)),C113/C101-H$18,H113))</f>
        <v>1.0267057504041142</v>
      </c>
      <c r="I114" s="1474">
        <f ca="1">IF(Assm!$L$75=0,I113,IF($A114&gt;=I$16,IF(MONTH($A114)=MONTH(I$16),AVERAGE(D102:D113),I113),I113))</f>
        <v>2.1646877473553214</v>
      </c>
      <c r="J114" s="1475">
        <f ca="1">IF(Assm!$L$75=0,J113,IF($A114&gt;=J$16,IF(MONTH($A114)=MONTH(J$16),AVERAGE(E102:E113),J113),J113))</f>
        <v>1.5433912063818109</v>
      </c>
      <c r="K114" s="958">
        <f t="shared" si="40"/>
        <v>102</v>
      </c>
      <c r="L114" s="1476">
        <f t="shared" ca="1" si="41"/>
        <v>1.0292057504041141</v>
      </c>
      <c r="M114" s="1474">
        <f t="shared" si="51"/>
        <v>0</v>
      </c>
      <c r="N114" s="1475">
        <f t="shared" ca="1" si="64"/>
        <v>1.2003493342906499</v>
      </c>
      <c r="P114" s="1476">
        <f t="shared" ca="1" si="42"/>
        <v>1.0799999999999996</v>
      </c>
      <c r="Q114" s="1474">
        <f t="shared" si="52"/>
        <v>0</v>
      </c>
      <c r="R114" s="1475">
        <f t="shared" ca="1" si="65"/>
        <v>1.8096273546795039</v>
      </c>
      <c r="T114" s="1476">
        <f t="shared" ca="1" si="43"/>
        <v>1.0292057504041141</v>
      </c>
      <c r="U114" s="1474">
        <f t="shared" si="53"/>
        <v>1.0049999999999999</v>
      </c>
      <c r="V114" s="1475">
        <f t="shared" ca="1" si="66"/>
        <v>1.2003493342906499</v>
      </c>
      <c r="X114" s="1476">
        <f t="shared" ca="1" si="44"/>
        <v>1.0267057504041142</v>
      </c>
      <c r="Y114" s="1474">
        <f t="shared" si="54"/>
        <v>1.02</v>
      </c>
      <c r="Z114" s="1475">
        <f t="shared" ca="1" si="67"/>
        <v>1.1895290466584547</v>
      </c>
      <c r="AB114" s="1476">
        <f t="shared" ca="1" si="45"/>
        <v>1.0267057504041142</v>
      </c>
      <c r="AC114" s="1474">
        <f t="shared" si="55"/>
        <v>1.02</v>
      </c>
      <c r="AD114" s="1475">
        <f t="shared" ca="1" si="68"/>
        <v>1.1895290466584547</v>
      </c>
      <c r="AF114" s="1476">
        <f t="shared" ca="1" si="46"/>
        <v>1.0799999999999996</v>
      </c>
      <c r="AG114" s="1474">
        <f t="shared" si="56"/>
        <v>0</v>
      </c>
      <c r="AH114" s="1475">
        <f t="shared" ca="1" si="69"/>
        <v>1.8096273546795039</v>
      </c>
      <c r="AJ114" s="1476">
        <f t="shared" ca="1" si="47"/>
        <v>1.0267057504041142</v>
      </c>
      <c r="AK114" s="1474">
        <f t="shared" si="57"/>
        <v>1.02</v>
      </c>
      <c r="AL114" s="1475">
        <f t="shared" ca="1" si="70"/>
        <v>1.1895290466584547</v>
      </c>
      <c r="AN114" s="1476">
        <f t="shared" ca="1" si="48"/>
        <v>1.0292057504041141</v>
      </c>
      <c r="AO114" s="1474">
        <f t="shared" si="58"/>
        <v>1.0049999999999999</v>
      </c>
      <c r="AP114" s="1475">
        <f t="shared" ca="1" si="71"/>
        <v>1.2003493342906499</v>
      </c>
      <c r="AR114" s="701">
        <f t="shared" si="59"/>
        <v>38292</v>
      </c>
      <c r="AS114" s="1478">
        <f ca="1">IF(AND($A114&gt;=EDATE(AS$17,12),IF(Assm!$L$74=0,$D114,$E114)/AS113&gt;=1.05),IF(Assm!$L$74=0,$D114,$E114),AS113)</f>
        <v>2.1553379844170619</v>
      </c>
      <c r="AT114" s="1478">
        <f t="shared" ca="1" si="60"/>
        <v>1.0513843826424694</v>
      </c>
      <c r="AU114" s="1478">
        <f t="shared" ca="1" si="61"/>
        <v>1.0799999999999996</v>
      </c>
      <c r="AV114" s="1478">
        <f t="shared" ca="1" si="62"/>
        <v>1.0799999999999996</v>
      </c>
      <c r="AW114" s="1475">
        <f t="shared" ca="1" si="63"/>
        <v>2.2521073401323695</v>
      </c>
    </row>
    <row r="115" spans="1:49">
      <c r="A115" s="883">
        <f t="shared" si="50"/>
        <v>38322</v>
      </c>
      <c r="B115" s="1390">
        <f ca="1">'[2]Monthly Curve Calc.'!B118</f>
        <v>266.3180319707273</v>
      </c>
      <c r="C115" s="1391">
        <f ca="1">'[2]Monthly Curve Calc.'!C118</f>
        <v>195.96035224641349</v>
      </c>
      <c r="D115" s="1512">
        <f ca="1">'[2]Monthly Curve Calc.'!F118</f>
        <v>2.2679864268794208</v>
      </c>
      <c r="E115" s="1304">
        <f t="shared" ca="1" si="49"/>
        <v>1.6561644215789033</v>
      </c>
      <c r="F115" s="1473">
        <f ca="1">IF(Assm!$L$75=0,F114,IF(AND($A115&gt;F$16,MONTH($A115)=MONTH(F$16)),B114/B102,F114))</f>
        <v>1.0799999999999996</v>
      </c>
      <c r="G115" s="1474">
        <f ca="1">IF(Assm!$L$75=0,G114,IF(AND($A115&gt;G$16,MONTH($A115)=MONTH(G$16)),C114/C102,G114))</f>
        <v>1.0292057504041141</v>
      </c>
      <c r="H115" s="1474">
        <f ca="1">IF(Assm!$L$75=0,H114,IF(AND($A115&gt;H$16,MONTH($A115)=MONTH(H$16)),C114/C102-H$18,H114))</f>
        <v>1.0267057504041142</v>
      </c>
      <c r="I115" s="1474">
        <f ca="1">IF(Assm!$L$75=0,I114,IF($A115&gt;=I$16,IF(MONTH($A115)=MONTH(I$16),AVERAGE(D103:D114),I114),I114))</f>
        <v>2.1646877473553214</v>
      </c>
      <c r="J115" s="1475">
        <f ca="1">IF(Assm!$L$75=0,J114,IF($A115&gt;=J$16,IF(MONTH($A115)=MONTH(J$16),AVERAGE(E103:E114),J114),J114))</f>
        <v>1.5433912063818109</v>
      </c>
      <c r="K115" s="958">
        <f t="shared" si="40"/>
        <v>103</v>
      </c>
      <c r="L115" s="1476">
        <f t="shared" ca="1" si="41"/>
        <v>1.0292057504041141</v>
      </c>
      <c r="M115" s="1474">
        <f t="shared" si="51"/>
        <v>0</v>
      </c>
      <c r="N115" s="1475">
        <f t="shared" ca="1" si="64"/>
        <v>1.2003493342906499</v>
      </c>
      <c r="P115" s="1476">
        <f t="shared" ca="1" si="42"/>
        <v>1.0799999999999996</v>
      </c>
      <c r="Q115" s="1474">
        <f t="shared" si="52"/>
        <v>0</v>
      </c>
      <c r="R115" s="1475">
        <f t="shared" ca="1" si="65"/>
        <v>1.8096273546795039</v>
      </c>
      <c r="T115" s="1476">
        <f t="shared" ca="1" si="43"/>
        <v>1.0292057504041141</v>
      </c>
      <c r="U115" s="1474">
        <f t="shared" si="53"/>
        <v>1.0049999999999999</v>
      </c>
      <c r="V115" s="1475">
        <f t="shared" ca="1" si="66"/>
        <v>1.2003493342906499</v>
      </c>
      <c r="X115" s="1476">
        <f t="shared" ca="1" si="44"/>
        <v>1.0267057504041142</v>
      </c>
      <c r="Y115" s="1474">
        <f t="shared" si="54"/>
        <v>1.02</v>
      </c>
      <c r="Z115" s="1475">
        <f t="shared" ca="1" si="67"/>
        <v>1.1895290466584547</v>
      </c>
      <c r="AB115" s="1476">
        <f t="shared" ca="1" si="45"/>
        <v>1.0267057504041142</v>
      </c>
      <c r="AC115" s="1474">
        <f t="shared" si="55"/>
        <v>1.02</v>
      </c>
      <c r="AD115" s="1475">
        <f t="shared" ca="1" si="68"/>
        <v>1.1895290466584547</v>
      </c>
      <c r="AF115" s="1476">
        <f t="shared" ca="1" si="46"/>
        <v>1.0799999999999996</v>
      </c>
      <c r="AG115" s="1474">
        <f t="shared" si="56"/>
        <v>0</v>
      </c>
      <c r="AH115" s="1475">
        <f t="shared" ca="1" si="69"/>
        <v>1.8096273546795039</v>
      </c>
      <c r="AJ115" s="1476">
        <f t="shared" ca="1" si="47"/>
        <v>1.0267057504041142</v>
      </c>
      <c r="AK115" s="1474">
        <f t="shared" si="57"/>
        <v>1.02</v>
      </c>
      <c r="AL115" s="1475">
        <f t="shared" ca="1" si="70"/>
        <v>1.1895290466584547</v>
      </c>
      <c r="AN115" s="1476">
        <f t="shared" ca="1" si="48"/>
        <v>1.0292057504041141</v>
      </c>
      <c r="AO115" s="1474">
        <f t="shared" si="58"/>
        <v>1.0049999999999999</v>
      </c>
      <c r="AP115" s="1475">
        <f t="shared" ca="1" si="71"/>
        <v>1.2003493342906499</v>
      </c>
      <c r="AR115" s="701">
        <f t="shared" si="59"/>
        <v>38322</v>
      </c>
      <c r="AS115" s="1478">
        <f ca="1">IF(AND($A115&gt;=EDATE(AS$17,12),IF(Assm!$L$74=0,$D115,$E115)/AS114&gt;=1.05),IF(Assm!$L$74=0,$D115,$E115),AS114)</f>
        <v>2.2679864268794208</v>
      </c>
      <c r="AT115" s="1478">
        <f t="shared" ca="1" si="60"/>
        <v>1.0522648620665525</v>
      </c>
      <c r="AU115" s="1478">
        <f t="shared" ca="1" si="61"/>
        <v>1.0799999999999996</v>
      </c>
      <c r="AV115" s="1478">
        <f t="shared" ca="1" si="62"/>
        <v>1.0799999999999996</v>
      </c>
      <c r="AW115" s="1475">
        <f t="shared" ca="1" si="63"/>
        <v>2.2521073401323695</v>
      </c>
    </row>
    <row r="116" spans="1:49">
      <c r="A116" s="883">
        <f t="shared" si="50"/>
        <v>38353</v>
      </c>
      <c r="B116" s="1390">
        <f ca="1">'[2]Monthly Curve Calc.'!B119</f>
        <v>267.92790290869908</v>
      </c>
      <c r="C116" s="1391">
        <f ca="1">'[2]Monthly Curve Calc.'!C119</f>
        <v>196.41532611484243</v>
      </c>
      <c r="D116" s="1512">
        <f ca="1">'[2]Monthly Curve Calc.'!F119</f>
        <v>2.2732944230483629</v>
      </c>
      <c r="E116" s="1304">
        <f t="shared" ca="1" si="49"/>
        <v>1.6623162937679774</v>
      </c>
      <c r="F116" s="1473">
        <f ca="1">IF(Assm!$L$75=0,F115,IF(AND($A116&gt;F$16,MONTH($A116)=MONTH(F$16)),B115/B103,F115))</f>
        <v>1.0799999999999996</v>
      </c>
      <c r="G116" s="1474">
        <f ca="1">IF(Assm!$L$75=0,G115,IF(AND($A116&gt;G$16,MONTH($A116)=MONTH(G$16)),C115/C103,G115))</f>
        <v>1.0292057504041141</v>
      </c>
      <c r="H116" s="1474">
        <f ca="1">IF(Assm!$L$75=0,H115,IF(AND($A116&gt;H$16,MONTH($A116)=MONTH(H$16)),C115/C103-H$18,H115))</f>
        <v>1.0267057504041142</v>
      </c>
      <c r="I116" s="1474">
        <f ca="1">IF(Assm!$L$75=0,I115,IF($A116&gt;=I$16,IF(MONTH($A116)=MONTH(I$16),AVERAGE(D104:D115),I115),I115))</f>
        <v>2.2361082090630116</v>
      </c>
      <c r="J116" s="1475">
        <f ca="1">IF(Assm!$L$75=0,J115,IF($A116&gt;=J$16,IF(MONTH($A116)=MONTH(J$16),AVERAGE(E104:E115),J115),J115))</f>
        <v>1.6198056457595182</v>
      </c>
      <c r="K116" s="958">
        <f t="shared" si="40"/>
        <v>104</v>
      </c>
      <c r="L116" s="1476">
        <f t="shared" ca="1" si="41"/>
        <v>1.0292057504041141</v>
      </c>
      <c r="M116" s="1474">
        <f t="shared" si="51"/>
        <v>0</v>
      </c>
      <c r="N116" s="1475">
        <f t="shared" ca="1" si="64"/>
        <v>1.2003493342906499</v>
      </c>
      <c r="P116" s="1476">
        <f t="shared" ca="1" si="42"/>
        <v>1.0799999999999996</v>
      </c>
      <c r="Q116" s="1474">
        <f t="shared" si="52"/>
        <v>0</v>
      </c>
      <c r="R116" s="1475">
        <f t="shared" ca="1" si="65"/>
        <v>1.8096273546795039</v>
      </c>
      <c r="T116" s="1476">
        <f t="shared" ca="1" si="43"/>
        <v>1.0292057504041141</v>
      </c>
      <c r="U116" s="1474">
        <f t="shared" si="53"/>
        <v>1.0049999999999999</v>
      </c>
      <c r="V116" s="1475">
        <f t="shared" ca="1" si="66"/>
        <v>1.2003493342906499</v>
      </c>
      <c r="X116" s="1476">
        <f t="shared" ca="1" si="44"/>
        <v>1.0267057504041142</v>
      </c>
      <c r="Y116" s="1474">
        <f t="shared" si="54"/>
        <v>1.02</v>
      </c>
      <c r="Z116" s="1475">
        <f t="shared" ca="1" si="67"/>
        <v>1.1895290466584547</v>
      </c>
      <c r="AB116" s="1476">
        <f t="shared" ca="1" si="45"/>
        <v>1.0267057504041142</v>
      </c>
      <c r="AC116" s="1474">
        <f t="shared" si="55"/>
        <v>1.02</v>
      </c>
      <c r="AD116" s="1475">
        <f t="shared" ca="1" si="68"/>
        <v>1.1895290466584547</v>
      </c>
      <c r="AF116" s="1476">
        <f t="shared" ca="1" si="46"/>
        <v>1.0799999999999996</v>
      </c>
      <c r="AG116" s="1474">
        <f t="shared" si="56"/>
        <v>0</v>
      </c>
      <c r="AH116" s="1475">
        <f t="shared" ca="1" si="69"/>
        <v>1.8096273546795039</v>
      </c>
      <c r="AJ116" s="1476">
        <f t="shared" ca="1" si="47"/>
        <v>1.0267057504041142</v>
      </c>
      <c r="AK116" s="1474">
        <f t="shared" si="57"/>
        <v>1.02</v>
      </c>
      <c r="AL116" s="1475">
        <f t="shared" ca="1" si="70"/>
        <v>1.1895290466584547</v>
      </c>
      <c r="AN116" s="1476">
        <f t="shared" ca="1" si="48"/>
        <v>1.0292057504041141</v>
      </c>
      <c r="AO116" s="1474">
        <f t="shared" si="58"/>
        <v>1.0049999999999999</v>
      </c>
      <c r="AP116" s="1475">
        <f t="shared" ca="1" si="71"/>
        <v>1.2003493342906499</v>
      </c>
      <c r="AR116" s="701">
        <f t="shared" si="59"/>
        <v>38353</v>
      </c>
      <c r="AS116" s="1478">
        <f ca="1">IF(AND($A116&gt;=EDATE(AS$17,12),IF(Assm!$L$74=0,$D116,$E116)/AS115&gt;=1.05),IF(Assm!$L$74=0,$D116,$E116),AS115)</f>
        <v>2.2679864268794208</v>
      </c>
      <c r="AT116" s="1478">
        <f t="shared" ca="1" si="60"/>
        <v>1.0522648620665525</v>
      </c>
      <c r="AU116" s="1478">
        <f t="shared" ca="1" si="61"/>
        <v>1.0799999999999996</v>
      </c>
      <c r="AV116" s="1478">
        <f t="shared" ca="1" si="62"/>
        <v>1.0799999999999996</v>
      </c>
      <c r="AW116" s="1475">
        <f t="shared" ca="1" si="63"/>
        <v>2.2521073401323695</v>
      </c>
    </row>
    <row r="117" spans="1:49">
      <c r="A117" s="883">
        <f t="shared" si="50"/>
        <v>38384</v>
      </c>
      <c r="B117" s="1390">
        <f ca="1">'[2]Monthly Curve Calc.'!B120</f>
        <v>269.54750538613047</v>
      </c>
      <c r="C117" s="1391">
        <f ca="1">'[2]Monthly Curve Calc.'!C120</f>
        <v>196.87135632563133</v>
      </c>
      <c r="D117" s="1512">
        <f ca="1">'[2]Monthly Curve Calc.'!F120</f>
        <v>2.2786148420532601</v>
      </c>
      <c r="E117" s="1304">
        <f t="shared" ca="1" si="49"/>
        <v>1.6684910172699632</v>
      </c>
      <c r="F117" s="1473">
        <f ca="1">IF(Assm!$L$75=0,F116,IF(AND($A117&gt;F$16,MONTH($A117)=MONTH(F$16)),B116/B104,F116))</f>
        <v>1.0799999999999996</v>
      </c>
      <c r="G117" s="1474">
        <f ca="1">IF(Assm!$L$75=0,G116,IF(AND($A117&gt;G$16,MONTH($A117)=MONTH(G$16)),C116/C104,G116))</f>
        <v>1.0292057504041141</v>
      </c>
      <c r="H117" s="1474">
        <f ca="1">IF(Assm!$L$75=0,H116,IF(AND($A117&gt;H$16,MONTH($A117)=MONTH(H$16)),C116/C104-H$18,H116))</f>
        <v>1.0267057504041142</v>
      </c>
      <c r="I117" s="1474">
        <f ca="1">IF(Assm!$L$75=0,I116,IF($A117&gt;=I$16,IF(MONTH($A117)=MONTH(I$16),AVERAGE(D105:D116),I116),I116))</f>
        <v>2.2361082090630116</v>
      </c>
      <c r="J117" s="1475">
        <f ca="1">IF(Assm!$L$75=0,J116,IF($A117&gt;=J$16,IF(MONTH($A117)=MONTH(J$16),AVERAGE(E105:E116),J116),J116))</f>
        <v>1.6198056457595182</v>
      </c>
      <c r="K117" s="958">
        <f t="shared" si="40"/>
        <v>105</v>
      </c>
      <c r="L117" s="1476">
        <f t="shared" ca="1" si="41"/>
        <v>1.0292057504041141</v>
      </c>
      <c r="M117" s="1474">
        <f t="shared" si="51"/>
        <v>0</v>
      </c>
      <c r="N117" s="1475">
        <f t="shared" ca="1" si="64"/>
        <v>1.2003493342906499</v>
      </c>
      <c r="P117" s="1476">
        <f t="shared" ca="1" si="42"/>
        <v>1.0799999999999996</v>
      </c>
      <c r="Q117" s="1474">
        <f t="shared" si="52"/>
        <v>0</v>
      </c>
      <c r="R117" s="1475">
        <f t="shared" ca="1" si="65"/>
        <v>1.8096273546795039</v>
      </c>
      <c r="T117" s="1476">
        <f t="shared" ca="1" si="43"/>
        <v>1.0292057504041141</v>
      </c>
      <c r="U117" s="1474">
        <f t="shared" si="53"/>
        <v>1.0049999999999999</v>
      </c>
      <c r="V117" s="1475">
        <f t="shared" ca="1" si="66"/>
        <v>1.2003493342906499</v>
      </c>
      <c r="X117" s="1476">
        <f t="shared" ca="1" si="44"/>
        <v>1.0267057504041142</v>
      </c>
      <c r="Y117" s="1474">
        <f t="shared" si="54"/>
        <v>1.02</v>
      </c>
      <c r="Z117" s="1475">
        <f t="shared" ca="1" si="67"/>
        <v>1.1895290466584547</v>
      </c>
      <c r="AB117" s="1476">
        <f t="shared" ca="1" si="45"/>
        <v>1.0267057504041142</v>
      </c>
      <c r="AC117" s="1474">
        <f t="shared" si="55"/>
        <v>1.02</v>
      </c>
      <c r="AD117" s="1475">
        <f t="shared" ca="1" si="68"/>
        <v>1.1895290466584547</v>
      </c>
      <c r="AF117" s="1476">
        <f t="shared" ca="1" si="46"/>
        <v>1.0799999999999996</v>
      </c>
      <c r="AG117" s="1474">
        <f t="shared" si="56"/>
        <v>0</v>
      </c>
      <c r="AH117" s="1475">
        <f t="shared" ca="1" si="69"/>
        <v>1.8096273546795039</v>
      </c>
      <c r="AJ117" s="1476">
        <f t="shared" ca="1" si="47"/>
        <v>1.0267057504041142</v>
      </c>
      <c r="AK117" s="1474">
        <f t="shared" si="57"/>
        <v>1.02</v>
      </c>
      <c r="AL117" s="1475">
        <f t="shared" ca="1" si="70"/>
        <v>1.1895290466584547</v>
      </c>
      <c r="AN117" s="1476">
        <f t="shared" ca="1" si="48"/>
        <v>1.0292057504041141</v>
      </c>
      <c r="AO117" s="1474">
        <f t="shared" si="58"/>
        <v>1.0049999999999999</v>
      </c>
      <c r="AP117" s="1475">
        <f t="shared" ca="1" si="71"/>
        <v>1.2003493342906499</v>
      </c>
      <c r="AR117" s="701">
        <f t="shared" si="59"/>
        <v>38384</v>
      </c>
      <c r="AS117" s="1478">
        <f ca="1">IF(AND($A117&gt;=EDATE(AS$17,12),IF(Assm!$L$74=0,$D117,$E117)/AS116&gt;=1.05),IF(Assm!$L$74=0,$D117,$E117),AS116)</f>
        <v>2.2679864268794208</v>
      </c>
      <c r="AT117" s="1478">
        <f t="shared" ca="1" si="60"/>
        <v>1.0522648620665525</v>
      </c>
      <c r="AU117" s="1478">
        <f t="shared" ca="1" si="61"/>
        <v>1.0799999999999996</v>
      </c>
      <c r="AV117" s="1478">
        <f t="shared" ca="1" si="62"/>
        <v>1.0799999999999996</v>
      </c>
      <c r="AW117" s="1475">
        <f t="shared" ca="1" si="63"/>
        <v>2.2521073401323695</v>
      </c>
    </row>
    <row r="118" spans="1:49">
      <c r="A118" s="883">
        <f t="shared" si="50"/>
        <v>38412</v>
      </c>
      <c r="B118" s="1390">
        <f ca="1">'[2]Monthly Curve Calc.'!B121</f>
        <v>271.17689822938945</v>
      </c>
      <c r="C118" s="1391">
        <f ca="1">'[2]Monthly Curve Calc.'!C121</f>
        <v>197.32844533135884</v>
      </c>
      <c r="D118" s="1512">
        <f ca="1">'[2]Monthly Curve Calc.'!F121</f>
        <v>2.2839477129685219</v>
      </c>
      <c r="E118" s="1304">
        <f t="shared" ca="1" si="49"/>
        <v>1.6746886769667446</v>
      </c>
      <c r="F118" s="1473">
        <f ca="1">IF(Assm!$L$75=0,F117,IF(AND($A118&gt;F$16,MONTH($A118)=MONTH(F$16)),B117/B105,F117))</f>
        <v>1.0799999999999996</v>
      </c>
      <c r="G118" s="1474">
        <f ca="1">IF(Assm!$L$75=0,G117,IF(AND($A118&gt;G$16,MONTH($A118)=MONTH(G$16)),C117/C105,G117))</f>
        <v>1.0292057504041141</v>
      </c>
      <c r="H118" s="1474">
        <f ca="1">IF(Assm!$L$75=0,H117,IF(AND($A118&gt;H$16,MONTH($A118)=MONTH(H$16)),C117/C105-H$18,H117))</f>
        <v>1.0267057504041142</v>
      </c>
      <c r="I118" s="1474">
        <f ca="1">IF(Assm!$L$75=0,I117,IF($A118&gt;=I$16,IF(MONTH($A118)=MONTH(I$16),AVERAGE(D106:D117),I117),I117))</f>
        <v>2.2361082090630116</v>
      </c>
      <c r="J118" s="1475">
        <f ca="1">IF(Assm!$L$75=0,J117,IF($A118&gt;=J$16,IF(MONTH($A118)=MONTH(J$16),AVERAGE(E106:E117),J117),J117))</f>
        <v>1.6198056457595182</v>
      </c>
      <c r="K118" s="958">
        <f t="shared" si="40"/>
        <v>106</v>
      </c>
      <c r="L118" s="1476">
        <f t="shared" ca="1" si="41"/>
        <v>1.0292057504041141</v>
      </c>
      <c r="M118" s="1474">
        <f t="shared" si="51"/>
        <v>0</v>
      </c>
      <c r="N118" s="1475">
        <f t="shared" ca="1" si="64"/>
        <v>1.2003493342906499</v>
      </c>
      <c r="P118" s="1476">
        <f t="shared" ca="1" si="42"/>
        <v>1.0799999999999996</v>
      </c>
      <c r="Q118" s="1474">
        <f t="shared" si="52"/>
        <v>0</v>
      </c>
      <c r="R118" s="1475">
        <f t="shared" ca="1" si="65"/>
        <v>1.8096273546795039</v>
      </c>
      <c r="T118" s="1476">
        <f t="shared" ca="1" si="43"/>
        <v>1.0292057504041141</v>
      </c>
      <c r="U118" s="1474">
        <f t="shared" si="53"/>
        <v>1.0049999999999999</v>
      </c>
      <c r="V118" s="1475">
        <f t="shared" ca="1" si="66"/>
        <v>1.2003493342906499</v>
      </c>
      <c r="X118" s="1476">
        <f t="shared" ca="1" si="44"/>
        <v>1.0267057504041142</v>
      </c>
      <c r="Y118" s="1474">
        <f t="shared" si="54"/>
        <v>1.02</v>
      </c>
      <c r="Z118" s="1475">
        <f t="shared" ca="1" si="67"/>
        <v>1.1895290466584547</v>
      </c>
      <c r="AB118" s="1476">
        <f t="shared" ca="1" si="45"/>
        <v>1.0267057504041142</v>
      </c>
      <c r="AC118" s="1474">
        <f t="shared" si="55"/>
        <v>1.02</v>
      </c>
      <c r="AD118" s="1475">
        <f t="shared" ca="1" si="68"/>
        <v>1.1895290466584547</v>
      </c>
      <c r="AF118" s="1476">
        <f t="shared" ca="1" si="46"/>
        <v>1.0799999999999996</v>
      </c>
      <c r="AG118" s="1474">
        <f t="shared" si="56"/>
        <v>0</v>
      </c>
      <c r="AH118" s="1475">
        <f t="shared" ca="1" si="69"/>
        <v>1.8096273546795039</v>
      </c>
      <c r="AJ118" s="1476">
        <f t="shared" ca="1" si="47"/>
        <v>1.0267057504041142</v>
      </c>
      <c r="AK118" s="1474">
        <f t="shared" si="57"/>
        <v>1.02</v>
      </c>
      <c r="AL118" s="1475">
        <f t="shared" ca="1" si="70"/>
        <v>1.1895290466584547</v>
      </c>
      <c r="AN118" s="1476">
        <f t="shared" ca="1" si="48"/>
        <v>1.0292057504041141</v>
      </c>
      <c r="AO118" s="1474">
        <f t="shared" si="58"/>
        <v>1.0049999999999999</v>
      </c>
      <c r="AP118" s="1475">
        <f t="shared" ca="1" si="71"/>
        <v>1.2003493342906499</v>
      </c>
      <c r="AR118" s="701">
        <f t="shared" si="59"/>
        <v>38412</v>
      </c>
      <c r="AS118" s="1478">
        <f ca="1">IF(AND($A118&gt;=EDATE(AS$17,12),IF(Assm!$L$74=0,$D118,$E118)/AS117&gt;=1.05),IF(Assm!$L$74=0,$D118,$E118),AS117)</f>
        <v>2.2679864268794208</v>
      </c>
      <c r="AT118" s="1478">
        <f t="shared" ca="1" si="60"/>
        <v>1.0522648620665525</v>
      </c>
      <c r="AU118" s="1478">
        <f t="shared" ca="1" si="61"/>
        <v>1.0799999999999996</v>
      </c>
      <c r="AV118" s="1478">
        <f t="shared" ca="1" si="62"/>
        <v>1.0799999999999996</v>
      </c>
      <c r="AW118" s="1475">
        <f t="shared" ca="1" si="63"/>
        <v>2.2521073401323695</v>
      </c>
    </row>
    <row r="119" spans="1:49">
      <c r="A119" s="883">
        <f t="shared" si="50"/>
        <v>38443</v>
      </c>
      <c r="B119" s="1390">
        <f ca="1">'[2]Monthly Curve Calc.'!B122</f>
        <v>272.81614062044468</v>
      </c>
      <c r="C119" s="1391">
        <f ca="1">'[2]Monthly Curve Calc.'!C122</f>
        <v>197.78659559029785</v>
      </c>
      <c r="D119" s="1512">
        <f ca="1">'[2]Monthly Curve Calc.'!F122</f>
        <v>2.289293064936603</v>
      </c>
      <c r="E119" s="1304">
        <f t="shared" ca="1" si="49"/>
        <v>1.6809093580555021</v>
      </c>
      <c r="F119" s="1473">
        <f ca="1">IF(Assm!$L$75=0,F118,IF(AND($A119&gt;F$16,MONTH($A119)=MONTH(F$16)),B118/B106,F118))</f>
        <v>1.0799999999999996</v>
      </c>
      <c r="G119" s="1474">
        <f ca="1">IF(Assm!$L$75=0,G118,IF(AND($A119&gt;G$16,MONTH($A119)=MONTH(G$16)),C118/C106,G118))</f>
        <v>1.0292057504041141</v>
      </c>
      <c r="H119" s="1474">
        <f ca="1">IF(Assm!$L$75=0,H118,IF(AND($A119&gt;H$16,MONTH($A119)=MONTH(H$16)),C118/C106-H$18,H118))</f>
        <v>1.0267057504041142</v>
      </c>
      <c r="I119" s="1474">
        <f ca="1">IF(Assm!$L$75=0,I118,IF($A119&gt;=I$16,IF(MONTH($A119)=MONTH(I$16),AVERAGE(D107:D118),I118),I118))</f>
        <v>2.2361082090630116</v>
      </c>
      <c r="J119" s="1475">
        <f ca="1">IF(Assm!$L$75=0,J118,IF($A119&gt;=J$16,IF(MONTH($A119)=MONTH(J$16),AVERAGE(E107:E118),J118),J118))</f>
        <v>1.6198056457595182</v>
      </c>
      <c r="K119" s="958">
        <f t="shared" si="40"/>
        <v>107</v>
      </c>
      <c r="L119" s="1476">
        <f t="shared" ca="1" si="41"/>
        <v>1.0292057504041141</v>
      </c>
      <c r="M119" s="1474">
        <f t="shared" si="51"/>
        <v>0</v>
      </c>
      <c r="N119" s="1475">
        <f t="shared" ca="1" si="64"/>
        <v>1.2003493342906499</v>
      </c>
      <c r="P119" s="1476">
        <f t="shared" ca="1" si="42"/>
        <v>1.0799999999999996</v>
      </c>
      <c r="Q119" s="1474">
        <f t="shared" si="52"/>
        <v>0</v>
      </c>
      <c r="R119" s="1475">
        <f t="shared" ca="1" si="65"/>
        <v>1.8096273546795039</v>
      </c>
      <c r="T119" s="1476">
        <f t="shared" ca="1" si="43"/>
        <v>1.0292057504041141</v>
      </c>
      <c r="U119" s="1474">
        <f t="shared" si="53"/>
        <v>1.0049999999999999</v>
      </c>
      <c r="V119" s="1475">
        <f t="shared" ca="1" si="66"/>
        <v>1.2003493342906499</v>
      </c>
      <c r="X119" s="1476">
        <f t="shared" ca="1" si="44"/>
        <v>1.0267057504041142</v>
      </c>
      <c r="Y119" s="1474">
        <f t="shared" si="54"/>
        <v>1.02</v>
      </c>
      <c r="Z119" s="1475">
        <f t="shared" ca="1" si="67"/>
        <v>1.1895290466584547</v>
      </c>
      <c r="AB119" s="1476">
        <f t="shared" ca="1" si="45"/>
        <v>1.0267057504041142</v>
      </c>
      <c r="AC119" s="1474">
        <f t="shared" si="55"/>
        <v>1.02</v>
      </c>
      <c r="AD119" s="1475">
        <f t="shared" ca="1" si="68"/>
        <v>1.1895290466584547</v>
      </c>
      <c r="AF119" s="1476">
        <f t="shared" ca="1" si="46"/>
        <v>1.0799999999999996</v>
      </c>
      <c r="AG119" s="1474">
        <f t="shared" si="56"/>
        <v>0</v>
      </c>
      <c r="AH119" s="1475">
        <f t="shared" ca="1" si="69"/>
        <v>1.8096273546795039</v>
      </c>
      <c r="AJ119" s="1476">
        <f t="shared" ca="1" si="47"/>
        <v>1.0267057504041142</v>
      </c>
      <c r="AK119" s="1474">
        <f t="shared" si="57"/>
        <v>1.02</v>
      </c>
      <c r="AL119" s="1475">
        <f t="shared" ca="1" si="70"/>
        <v>1.1895290466584547</v>
      </c>
      <c r="AN119" s="1476">
        <f t="shared" ca="1" si="48"/>
        <v>1.0292057504041141</v>
      </c>
      <c r="AO119" s="1474">
        <f t="shared" si="58"/>
        <v>1.0049999999999999</v>
      </c>
      <c r="AP119" s="1475">
        <f t="shared" ca="1" si="71"/>
        <v>1.2003493342906499</v>
      </c>
      <c r="AR119" s="701">
        <f t="shared" si="59"/>
        <v>38443</v>
      </c>
      <c r="AS119" s="1478">
        <f ca="1">IF(AND($A119&gt;=EDATE(AS$17,12),IF(Assm!$L$74=0,$D119,$E119)/AS118&gt;=1.05),IF(Assm!$L$74=0,$D119,$E119),AS118)</f>
        <v>2.2679864268794208</v>
      </c>
      <c r="AT119" s="1478">
        <f t="shared" ca="1" si="60"/>
        <v>1.0522648620665525</v>
      </c>
      <c r="AU119" s="1478">
        <f t="shared" ca="1" si="61"/>
        <v>1.0799999999999996</v>
      </c>
      <c r="AV119" s="1478">
        <f t="shared" ca="1" si="62"/>
        <v>1.0799999999999996</v>
      </c>
      <c r="AW119" s="1475">
        <f t="shared" ca="1" si="63"/>
        <v>2.2521073401323695</v>
      </c>
    </row>
    <row r="120" spans="1:49">
      <c r="A120" s="883">
        <f t="shared" si="50"/>
        <v>38473</v>
      </c>
      <c r="B120" s="1390">
        <f ca="1">'[2]Monthly Curve Calc.'!B123</f>
        <v>274.46529209901507</v>
      </c>
      <c r="C120" s="1391">
        <f ca="1">'[2]Monthly Curve Calc.'!C123</f>
        <v>198.24580956642885</v>
      </c>
      <c r="D120" s="1512">
        <f ca="1">'[2]Monthly Curve Calc.'!F123</f>
        <v>2.2946509271681639</v>
      </c>
      <c r="E120" s="1304">
        <f t="shared" ca="1" si="49"/>
        <v>1.6871531460498834</v>
      </c>
      <c r="F120" s="1473">
        <f ca="1">IF(Assm!$L$75=0,F119,IF(AND($A120&gt;F$16,MONTH($A120)=MONTH(F$16)),B119/B107,F119))</f>
        <v>1.0783307546811163</v>
      </c>
      <c r="G120" s="1474">
        <f ca="1">IF(Assm!$L$75=0,G119,IF(AND($A120&gt;G$16,MONTH($A120)=MONTH(G$16)),C119/C107,G119))</f>
        <v>1.0285530290973726</v>
      </c>
      <c r="H120" s="1474">
        <f ca="1">IF(Assm!$L$75=0,H119,IF(AND($A120&gt;H$16,MONTH($A120)=MONTH(H$16)),C119/C107-H$18,H119))</f>
        <v>1.0260530290973726</v>
      </c>
      <c r="I120" s="1474">
        <f ca="1">IF(Assm!$L$75=0,I119,IF($A120&gt;=I$16,IF(MONTH($A120)=MONTH(I$16),AVERAGE(D108:D119),I119),I119))</f>
        <v>2.2361082090630116</v>
      </c>
      <c r="J120" s="1475">
        <f ca="1">IF(Assm!$L$75=0,J119,IF($A120&gt;=J$16,IF(MONTH($A120)=MONTH(J$16),AVERAGE(E108:E119),J119),J119))</f>
        <v>1.6198056457595182</v>
      </c>
      <c r="K120" s="958">
        <f t="shared" si="40"/>
        <v>108</v>
      </c>
      <c r="L120" s="1476">
        <f t="shared" ca="1" si="41"/>
        <v>1.0285530290973726</v>
      </c>
      <c r="M120" s="1474">
        <f t="shared" si="51"/>
        <v>0</v>
      </c>
      <c r="N120" s="1475">
        <f t="shared" ca="1" si="64"/>
        <v>1.2346229437596627</v>
      </c>
      <c r="P120" s="1476">
        <f t="shared" ca="1" si="42"/>
        <v>1.0783307546811163</v>
      </c>
      <c r="Q120" s="1474">
        <f t="shared" si="52"/>
        <v>0</v>
      </c>
      <c r="R120" s="1475">
        <f t="shared" ca="1" si="65"/>
        <v>1.9513768310631414</v>
      </c>
      <c r="T120" s="1476">
        <f t="shared" ca="1" si="43"/>
        <v>1.0285530290973726</v>
      </c>
      <c r="U120" s="1474">
        <f t="shared" si="53"/>
        <v>1.0049999999999999</v>
      </c>
      <c r="V120" s="1475">
        <f t="shared" ca="1" si="66"/>
        <v>1.2346229437596627</v>
      </c>
      <c r="X120" s="1476">
        <f t="shared" ca="1" si="44"/>
        <v>1.0260530290973726</v>
      </c>
      <c r="Y120" s="1474">
        <f t="shared" si="54"/>
        <v>1.02</v>
      </c>
      <c r="Z120" s="1475">
        <f t="shared" ca="1" si="67"/>
        <v>1.2205198815232174</v>
      </c>
      <c r="AB120" s="1476">
        <f t="shared" ca="1" si="45"/>
        <v>1.0260530290973726</v>
      </c>
      <c r="AC120" s="1474">
        <f t="shared" si="55"/>
        <v>1.02</v>
      </c>
      <c r="AD120" s="1475">
        <f t="shared" ca="1" si="68"/>
        <v>1.2205198815232174</v>
      </c>
      <c r="AF120" s="1476">
        <f t="shared" ca="1" si="46"/>
        <v>1.0783307546811163</v>
      </c>
      <c r="AG120" s="1474">
        <f t="shared" si="56"/>
        <v>0</v>
      </c>
      <c r="AH120" s="1475">
        <f t="shared" ca="1" si="69"/>
        <v>1.9513768310631414</v>
      </c>
      <c r="AJ120" s="1476">
        <f t="shared" ca="1" si="47"/>
        <v>1.0260530290973726</v>
      </c>
      <c r="AK120" s="1474">
        <f t="shared" si="57"/>
        <v>1.02</v>
      </c>
      <c r="AL120" s="1475">
        <f t="shared" ca="1" si="70"/>
        <v>1.2205198815232174</v>
      </c>
      <c r="AN120" s="1476">
        <f t="shared" ca="1" si="48"/>
        <v>1.0285530290973726</v>
      </c>
      <c r="AO120" s="1474">
        <f t="shared" si="58"/>
        <v>1.0049999999999999</v>
      </c>
      <c r="AP120" s="1475">
        <f t="shared" ca="1" si="71"/>
        <v>1.2346229437596627</v>
      </c>
      <c r="AR120" s="701">
        <f t="shared" si="59"/>
        <v>38473</v>
      </c>
      <c r="AS120" s="1478">
        <f ca="1">IF(AND($A120&gt;=EDATE(AS$17,12),IF(Assm!$L$74=0,$D120,$E120)/AS119&gt;=1.05),IF(Assm!$L$74=0,$D120,$E120),AS119)</f>
        <v>2.2679864268794208</v>
      </c>
      <c r="AT120" s="1478">
        <f t="shared" ca="1" si="60"/>
        <v>1.0522648620665525</v>
      </c>
      <c r="AU120" s="1478">
        <f t="shared" ca="1" si="61"/>
        <v>1.0783307546811163</v>
      </c>
      <c r="AV120" s="1478">
        <f t="shared" ca="1" si="62"/>
        <v>1.0783307546811163</v>
      </c>
      <c r="AW120" s="1475">
        <f t="shared" ca="1" si="63"/>
        <v>2.4285166077078193</v>
      </c>
    </row>
    <row r="121" spans="1:49">
      <c r="A121" s="883">
        <f t="shared" si="50"/>
        <v>38504</v>
      </c>
      <c r="B121" s="1390">
        <f ca="1">'[2]Monthly Curve Calc.'!B124</f>
        <v>276.12441256473221</v>
      </c>
      <c r="C121" s="1391">
        <f ca="1">'[2]Monthly Curve Calc.'!C124</f>
        <v>198.70608972945308</v>
      </c>
      <c r="D121" s="1512">
        <f ca="1">'[2]Monthly Curve Calc.'!F124</f>
        <v>2.3000213289422287</v>
      </c>
      <c r="E121" s="1304">
        <f t="shared" ca="1" si="49"/>
        <v>1.6934201267811795</v>
      </c>
      <c r="F121" s="1473">
        <f ca="1">IF(Assm!$L$75=0,F120,IF(AND($A121&gt;F$16,MONTH($A121)=MONTH(F$16)),B120/B108,F120))</f>
        <v>1.0783307546811163</v>
      </c>
      <c r="G121" s="1474">
        <f ca="1">IF(Assm!$L$75=0,G120,IF(AND($A121&gt;G$16,MONTH($A121)=MONTH(G$16)),C120/C108,G120))</f>
        <v>1.0285530290973726</v>
      </c>
      <c r="H121" s="1474">
        <f ca="1">IF(Assm!$L$75=0,H120,IF(AND($A121&gt;H$16,MONTH($A121)=MONTH(H$16)),C120/C108-H$18,H120))</f>
        <v>1.0260530290973726</v>
      </c>
      <c r="I121" s="1474">
        <f ca="1">IF(Assm!$L$75=0,I120,IF($A121&gt;=I$16,IF(MONTH($A121)=MONTH(I$16),AVERAGE(D109:D120),I120),I120))</f>
        <v>2.2361082090630116</v>
      </c>
      <c r="J121" s="1475">
        <f ca="1">IF(Assm!$L$75=0,J120,IF($A121&gt;=J$16,IF(MONTH($A121)=MONTH(J$16),AVERAGE(E109:E120),J120),J120))</f>
        <v>1.6198056457595182</v>
      </c>
      <c r="K121" s="958">
        <f t="shared" si="40"/>
        <v>109</v>
      </c>
      <c r="L121" s="1476">
        <f t="shared" ca="1" si="41"/>
        <v>1.0285530290973726</v>
      </c>
      <c r="M121" s="1474">
        <f t="shared" si="51"/>
        <v>0</v>
      </c>
      <c r="N121" s="1475">
        <f t="shared" ca="1" si="64"/>
        <v>1.2346229437596627</v>
      </c>
      <c r="P121" s="1476">
        <f t="shared" ca="1" si="42"/>
        <v>1.0783307546811163</v>
      </c>
      <c r="Q121" s="1474">
        <f t="shared" si="52"/>
        <v>0</v>
      </c>
      <c r="R121" s="1475">
        <f t="shared" ca="1" si="65"/>
        <v>1.9513768310631414</v>
      </c>
      <c r="T121" s="1476">
        <f t="shared" ca="1" si="43"/>
        <v>1.0285530290973726</v>
      </c>
      <c r="U121" s="1474">
        <f t="shared" si="53"/>
        <v>1.0049999999999999</v>
      </c>
      <c r="V121" s="1475">
        <f t="shared" ca="1" si="66"/>
        <v>1.2346229437596627</v>
      </c>
      <c r="X121" s="1476">
        <f t="shared" ca="1" si="44"/>
        <v>1.0260530290973726</v>
      </c>
      <c r="Y121" s="1474">
        <f t="shared" si="54"/>
        <v>1.02</v>
      </c>
      <c r="Z121" s="1475">
        <f t="shared" ca="1" si="67"/>
        <v>1.2205198815232174</v>
      </c>
      <c r="AB121" s="1476">
        <f t="shared" ca="1" si="45"/>
        <v>1.0260530290973726</v>
      </c>
      <c r="AC121" s="1474">
        <f t="shared" si="55"/>
        <v>1.02</v>
      </c>
      <c r="AD121" s="1475">
        <f t="shared" ca="1" si="68"/>
        <v>1.2205198815232174</v>
      </c>
      <c r="AF121" s="1476">
        <f t="shared" ca="1" si="46"/>
        <v>1.0783307546811163</v>
      </c>
      <c r="AG121" s="1474">
        <f t="shared" si="56"/>
        <v>0</v>
      </c>
      <c r="AH121" s="1475">
        <f t="shared" ca="1" si="69"/>
        <v>1.9513768310631414</v>
      </c>
      <c r="AJ121" s="1476">
        <f t="shared" ca="1" si="47"/>
        <v>1.0260530290973726</v>
      </c>
      <c r="AK121" s="1474">
        <f t="shared" si="57"/>
        <v>1.02</v>
      </c>
      <c r="AL121" s="1475">
        <f t="shared" ca="1" si="70"/>
        <v>1.2205198815232174</v>
      </c>
      <c r="AN121" s="1476">
        <f t="shared" ca="1" si="48"/>
        <v>1.0285530290973726</v>
      </c>
      <c r="AO121" s="1474">
        <f t="shared" si="58"/>
        <v>1.0049999999999999</v>
      </c>
      <c r="AP121" s="1475">
        <f t="shared" ca="1" si="71"/>
        <v>1.2346229437596627</v>
      </c>
      <c r="AR121" s="701">
        <f t="shared" si="59"/>
        <v>38504</v>
      </c>
      <c r="AS121" s="1478">
        <f ca="1">IF(AND($A121&gt;=EDATE(AS$17,12),IF(Assm!$L$74=0,$D121,$E121)/AS120&gt;=1.05),IF(Assm!$L$74=0,$D121,$E121),AS120)</f>
        <v>2.2679864268794208</v>
      </c>
      <c r="AT121" s="1478">
        <f t="shared" ca="1" si="60"/>
        <v>1.0522648620665525</v>
      </c>
      <c r="AU121" s="1478">
        <f t="shared" ca="1" si="61"/>
        <v>1.0783307546811163</v>
      </c>
      <c r="AV121" s="1478">
        <f t="shared" ca="1" si="62"/>
        <v>1.0783307546811163</v>
      </c>
      <c r="AW121" s="1475">
        <f t="shared" ca="1" si="63"/>
        <v>2.4285166077078193</v>
      </c>
    </row>
    <row r="122" spans="1:49">
      <c r="A122" s="883">
        <f t="shared" si="50"/>
        <v>38534</v>
      </c>
      <c r="B122" s="1390">
        <f ca="1">'[2]Monthly Curve Calc.'!B125</f>
        <v>277.79356227931612</v>
      </c>
      <c r="C122" s="1391">
        <f ca="1">'[2]Monthly Curve Calc.'!C125</f>
        <v>199.16743855480584</v>
      </c>
      <c r="D122" s="1512">
        <f ca="1">'[2]Monthly Curve Calc.'!F125</f>
        <v>2.3054042996063471</v>
      </c>
      <c r="E122" s="1304">
        <f t="shared" ca="1" si="49"/>
        <v>1.6997103863995038</v>
      </c>
      <c r="F122" s="1473">
        <f ca="1">IF(Assm!$L$75=0,F121,IF(AND($A122&gt;F$16,MONTH($A122)=MONTH(F$16)),B121/B109,F121))</f>
        <v>1.0783307546811163</v>
      </c>
      <c r="G122" s="1474">
        <f ca="1">IF(Assm!$L$75=0,G121,IF(AND($A122&gt;G$16,MONTH($A122)=MONTH(G$16)),C121/C109,G121))</f>
        <v>1.0285530290973726</v>
      </c>
      <c r="H122" s="1474">
        <f ca="1">IF(Assm!$L$75=0,H121,IF(AND($A122&gt;H$16,MONTH($A122)=MONTH(H$16)),C121/C109-H$18,H121))</f>
        <v>1.0260530290973726</v>
      </c>
      <c r="I122" s="1474">
        <f ca="1">IF(Assm!$L$75=0,I121,IF($A122&gt;=I$16,IF(MONTH($A122)=MONTH(I$16),AVERAGE(D110:D121),I121),I121))</f>
        <v>2.2361082090630116</v>
      </c>
      <c r="J122" s="1475">
        <f ca="1">IF(Assm!$L$75=0,J121,IF($A122&gt;=J$16,IF(MONTH($A122)=MONTH(J$16),AVERAGE(E110:E121),J121),J121))</f>
        <v>1.6198056457595182</v>
      </c>
      <c r="K122" s="958">
        <f t="shared" si="40"/>
        <v>110</v>
      </c>
      <c r="L122" s="1476">
        <f t="shared" ca="1" si="41"/>
        <v>1.0285530290973726</v>
      </c>
      <c r="M122" s="1474">
        <f t="shared" si="51"/>
        <v>0</v>
      </c>
      <c r="N122" s="1475">
        <f t="shared" ca="1" si="64"/>
        <v>1.2346229437596627</v>
      </c>
      <c r="P122" s="1476">
        <f t="shared" ca="1" si="42"/>
        <v>1.0783307546811163</v>
      </c>
      <c r="Q122" s="1474">
        <f t="shared" si="52"/>
        <v>0</v>
      </c>
      <c r="R122" s="1475">
        <f t="shared" ca="1" si="65"/>
        <v>1.9513768310631414</v>
      </c>
      <c r="T122" s="1476">
        <f t="shared" ca="1" si="43"/>
        <v>1.0285530290973726</v>
      </c>
      <c r="U122" s="1474">
        <f t="shared" si="53"/>
        <v>1.0049999999999999</v>
      </c>
      <c r="V122" s="1475">
        <f t="shared" ca="1" si="66"/>
        <v>1.2346229437596627</v>
      </c>
      <c r="X122" s="1476">
        <f t="shared" ca="1" si="44"/>
        <v>1.0260530290973726</v>
      </c>
      <c r="Y122" s="1474">
        <f t="shared" si="54"/>
        <v>1.02</v>
      </c>
      <c r="Z122" s="1475">
        <f t="shared" ca="1" si="67"/>
        <v>1.2205198815232174</v>
      </c>
      <c r="AB122" s="1476">
        <f t="shared" ca="1" si="45"/>
        <v>1.0260530290973726</v>
      </c>
      <c r="AC122" s="1474">
        <f t="shared" si="55"/>
        <v>1.02</v>
      </c>
      <c r="AD122" s="1475">
        <f t="shared" ca="1" si="68"/>
        <v>1.2205198815232174</v>
      </c>
      <c r="AF122" s="1476">
        <f t="shared" ca="1" si="46"/>
        <v>1.0783307546811163</v>
      </c>
      <c r="AG122" s="1474">
        <f t="shared" si="56"/>
        <v>0</v>
      </c>
      <c r="AH122" s="1475">
        <f t="shared" ca="1" si="69"/>
        <v>1.9513768310631414</v>
      </c>
      <c r="AJ122" s="1476">
        <f t="shared" ca="1" si="47"/>
        <v>1.0260530290973726</v>
      </c>
      <c r="AK122" s="1474">
        <f t="shared" si="57"/>
        <v>1.02</v>
      </c>
      <c r="AL122" s="1475">
        <f t="shared" ca="1" si="70"/>
        <v>1.2205198815232174</v>
      </c>
      <c r="AN122" s="1476">
        <f t="shared" ca="1" si="48"/>
        <v>1.0285530290973726</v>
      </c>
      <c r="AO122" s="1474">
        <f t="shared" si="58"/>
        <v>1.0049999999999999</v>
      </c>
      <c r="AP122" s="1475">
        <f t="shared" ca="1" si="71"/>
        <v>1.2346229437596627</v>
      </c>
      <c r="AR122" s="701">
        <f t="shared" si="59"/>
        <v>38534</v>
      </c>
      <c r="AS122" s="1478">
        <f ca="1">IF(AND($A122&gt;=EDATE(AS$17,12),IF(Assm!$L$74=0,$D122,$E122)/AS121&gt;=1.05),IF(Assm!$L$74=0,$D122,$E122),AS121)</f>
        <v>2.2679864268794208</v>
      </c>
      <c r="AT122" s="1478">
        <f t="shared" ca="1" si="60"/>
        <v>1.0522648620665525</v>
      </c>
      <c r="AU122" s="1478">
        <f t="shared" ca="1" si="61"/>
        <v>1.0783307546811163</v>
      </c>
      <c r="AV122" s="1478">
        <f t="shared" ca="1" si="62"/>
        <v>1.0783307546811163</v>
      </c>
      <c r="AW122" s="1475">
        <f t="shared" ca="1" si="63"/>
        <v>2.4285166077078193</v>
      </c>
    </row>
    <row r="123" spans="1:49">
      <c r="A123" s="883">
        <f t="shared" si="50"/>
        <v>38565</v>
      </c>
      <c r="B123" s="1390">
        <f ca="1">'[2]Monthly Curve Calc.'!B126</f>
        <v>279.47280186876412</v>
      </c>
      <c r="C123" s="1391">
        <f ca="1">'[2]Monthly Curve Calc.'!C126</f>
        <v>199.62985852366984</v>
      </c>
      <c r="D123" s="1512">
        <f ca="1">'[2]Monthly Curve Calc.'!F126</f>
        <v>2.3107998685767535</v>
      </c>
      <c r="E123" s="1304">
        <f t="shared" ca="1" si="49"/>
        <v>1.7060240113749774</v>
      </c>
      <c r="F123" s="1473">
        <f ca="1">IF(Assm!$L$75=0,F122,IF(AND($A123&gt;F$16,MONTH($A123)=MONTH(F$16)),B122/B110,F122))</f>
        <v>1.0783307546811163</v>
      </c>
      <c r="G123" s="1474">
        <f ca="1">IF(Assm!$L$75=0,G122,IF(AND($A123&gt;G$16,MONTH($A123)=MONTH(G$16)),C122/C110,G122))</f>
        <v>1.0285530290973726</v>
      </c>
      <c r="H123" s="1474">
        <f ca="1">IF(Assm!$L$75=0,H122,IF(AND($A123&gt;H$16,MONTH($A123)=MONTH(H$16)),C122/C110-H$18,H122))</f>
        <v>1.0260530290973726</v>
      </c>
      <c r="I123" s="1474">
        <f ca="1">IF(Assm!$L$75=0,I122,IF($A123&gt;=I$16,IF(MONTH($A123)=MONTH(I$16),AVERAGE(D111:D122),I122),I122))</f>
        <v>2.2361082090630116</v>
      </c>
      <c r="J123" s="1475">
        <f ca="1">IF(Assm!$L$75=0,J122,IF($A123&gt;=J$16,IF(MONTH($A123)=MONTH(J$16),AVERAGE(E111:E122),J122),J122))</f>
        <v>1.6198056457595182</v>
      </c>
      <c r="K123" s="958">
        <f t="shared" si="40"/>
        <v>111</v>
      </c>
      <c r="L123" s="1476">
        <f t="shared" ca="1" si="41"/>
        <v>1.0285530290973726</v>
      </c>
      <c r="M123" s="1474">
        <f t="shared" si="51"/>
        <v>0</v>
      </c>
      <c r="N123" s="1475">
        <f t="shared" ca="1" si="64"/>
        <v>1.2346229437596627</v>
      </c>
      <c r="P123" s="1476">
        <f t="shared" ca="1" si="42"/>
        <v>1.0783307546811163</v>
      </c>
      <c r="Q123" s="1474">
        <f t="shared" si="52"/>
        <v>0</v>
      </c>
      <c r="R123" s="1475">
        <f t="shared" ca="1" si="65"/>
        <v>1.9513768310631414</v>
      </c>
      <c r="T123" s="1476">
        <f t="shared" ca="1" si="43"/>
        <v>1.0285530290973726</v>
      </c>
      <c r="U123" s="1474">
        <f t="shared" si="53"/>
        <v>1.0049999999999999</v>
      </c>
      <c r="V123" s="1475">
        <f t="shared" ca="1" si="66"/>
        <v>1.2346229437596627</v>
      </c>
      <c r="X123" s="1476">
        <f t="shared" ca="1" si="44"/>
        <v>1.0260530290973726</v>
      </c>
      <c r="Y123" s="1474">
        <f t="shared" si="54"/>
        <v>1.02</v>
      </c>
      <c r="Z123" s="1475">
        <f t="shared" ca="1" si="67"/>
        <v>1.2205198815232174</v>
      </c>
      <c r="AB123" s="1476">
        <f t="shared" ca="1" si="45"/>
        <v>1.0260530290973726</v>
      </c>
      <c r="AC123" s="1474">
        <f t="shared" si="55"/>
        <v>1.02</v>
      </c>
      <c r="AD123" s="1475">
        <f t="shared" ca="1" si="68"/>
        <v>1.2205198815232174</v>
      </c>
      <c r="AF123" s="1476">
        <f t="shared" ca="1" si="46"/>
        <v>1.0783307546811163</v>
      </c>
      <c r="AG123" s="1474">
        <f t="shared" si="56"/>
        <v>0</v>
      </c>
      <c r="AH123" s="1475">
        <f t="shared" ca="1" si="69"/>
        <v>1.9513768310631414</v>
      </c>
      <c r="AJ123" s="1476">
        <f t="shared" ca="1" si="47"/>
        <v>1.0260530290973726</v>
      </c>
      <c r="AK123" s="1474">
        <f t="shared" si="57"/>
        <v>1.02</v>
      </c>
      <c r="AL123" s="1475">
        <f t="shared" ca="1" si="70"/>
        <v>1.2205198815232174</v>
      </c>
      <c r="AN123" s="1476">
        <f t="shared" ca="1" si="48"/>
        <v>1.0285530290973726</v>
      </c>
      <c r="AO123" s="1474">
        <f t="shared" si="58"/>
        <v>1.0049999999999999</v>
      </c>
      <c r="AP123" s="1475">
        <f t="shared" ca="1" si="71"/>
        <v>1.2346229437596627</v>
      </c>
      <c r="AR123" s="701">
        <f t="shared" si="59"/>
        <v>38565</v>
      </c>
      <c r="AS123" s="1478">
        <f ca="1">IF(AND($A123&gt;=EDATE(AS$17,12),IF(Assm!$L$74=0,$D123,$E123)/AS122&gt;=1.05),IF(Assm!$L$74=0,$D123,$E123),AS122)</f>
        <v>2.2679864268794208</v>
      </c>
      <c r="AT123" s="1478">
        <f t="shared" ca="1" si="60"/>
        <v>1.0522648620665525</v>
      </c>
      <c r="AU123" s="1478">
        <f t="shared" ca="1" si="61"/>
        <v>1.0783307546811163</v>
      </c>
      <c r="AV123" s="1478">
        <f t="shared" ca="1" si="62"/>
        <v>1.0783307546811163</v>
      </c>
      <c r="AW123" s="1475">
        <f t="shared" ca="1" si="63"/>
        <v>2.4285166077078193</v>
      </c>
    </row>
    <row r="124" spans="1:49">
      <c r="A124" s="883">
        <f t="shared" si="50"/>
        <v>38596</v>
      </c>
      <c r="B124" s="1390">
        <f ca="1">'[2]Monthly Curve Calc.'!B127</f>
        <v>281.16219232555272</v>
      </c>
      <c r="C124" s="1391">
        <f ca="1">'[2]Monthly Curve Calc.'!C127</f>
        <v>200.09335212298845</v>
      </c>
      <c r="D124" s="1512">
        <f ca="1">'[2]Monthly Curve Calc.'!F127</f>
        <v>2.316208065338528</v>
      </c>
      <c r="E124" s="1304">
        <f t="shared" ca="1" si="49"/>
        <v>1.7123610884989169</v>
      </c>
      <c r="F124" s="1473">
        <f ca="1">IF(Assm!$L$75=0,F123,IF(AND($A124&gt;F$16,MONTH($A124)=MONTH(F$16)),B123/B111,F123))</f>
        <v>1.0783307546811163</v>
      </c>
      <c r="G124" s="1474">
        <f ca="1">IF(Assm!$L$75=0,G123,IF(AND($A124&gt;G$16,MONTH($A124)=MONTH(G$16)),C123/C111,G123))</f>
        <v>1.0285530290973726</v>
      </c>
      <c r="H124" s="1474">
        <f ca="1">IF(Assm!$L$75=0,H123,IF(AND($A124&gt;H$16,MONTH($A124)=MONTH(H$16)),C123/C111-H$18,H123))</f>
        <v>1.0260530290973726</v>
      </c>
      <c r="I124" s="1474">
        <f ca="1">IF(Assm!$L$75=0,I123,IF($A124&gt;=I$16,IF(MONTH($A124)=MONTH(I$16),AVERAGE(D112:D123),I123),I123))</f>
        <v>2.2361082090630116</v>
      </c>
      <c r="J124" s="1475">
        <f ca="1">IF(Assm!$L$75=0,J123,IF($A124&gt;=J$16,IF(MONTH($A124)=MONTH(J$16),AVERAGE(E112:E123),J123),J123))</f>
        <v>1.6198056457595182</v>
      </c>
      <c r="K124" s="958">
        <f t="shared" si="40"/>
        <v>112</v>
      </c>
      <c r="L124" s="1476">
        <f t="shared" ca="1" si="41"/>
        <v>1.0285530290973726</v>
      </c>
      <c r="M124" s="1474">
        <f t="shared" si="51"/>
        <v>0</v>
      </c>
      <c r="N124" s="1475">
        <f t="shared" ca="1" si="64"/>
        <v>1.2346229437596627</v>
      </c>
      <c r="P124" s="1476">
        <f t="shared" ca="1" si="42"/>
        <v>1.0783307546811163</v>
      </c>
      <c r="Q124" s="1474">
        <f t="shared" si="52"/>
        <v>0</v>
      </c>
      <c r="R124" s="1475">
        <f t="shared" ca="1" si="65"/>
        <v>1.9513768310631414</v>
      </c>
      <c r="T124" s="1476">
        <f t="shared" ca="1" si="43"/>
        <v>1.0285530290973726</v>
      </c>
      <c r="U124" s="1474">
        <f t="shared" si="53"/>
        <v>1.0049999999999999</v>
      </c>
      <c r="V124" s="1475">
        <f t="shared" ca="1" si="66"/>
        <v>1.2346229437596627</v>
      </c>
      <c r="X124" s="1476">
        <f t="shared" ca="1" si="44"/>
        <v>1.0260530290973726</v>
      </c>
      <c r="Y124" s="1474">
        <f t="shared" si="54"/>
        <v>1.02</v>
      </c>
      <c r="Z124" s="1475">
        <f t="shared" ca="1" si="67"/>
        <v>1.2205198815232174</v>
      </c>
      <c r="AB124" s="1476">
        <f t="shared" ca="1" si="45"/>
        <v>1.0260530290973726</v>
      </c>
      <c r="AC124" s="1474">
        <f t="shared" si="55"/>
        <v>1.02</v>
      </c>
      <c r="AD124" s="1475">
        <f t="shared" ca="1" si="68"/>
        <v>1.2205198815232174</v>
      </c>
      <c r="AF124" s="1476">
        <f t="shared" ca="1" si="46"/>
        <v>1.0783307546811163</v>
      </c>
      <c r="AG124" s="1474">
        <f t="shared" si="56"/>
        <v>0</v>
      </c>
      <c r="AH124" s="1475">
        <f t="shared" ca="1" si="69"/>
        <v>1.9513768310631414</v>
      </c>
      <c r="AJ124" s="1476">
        <f t="shared" ca="1" si="47"/>
        <v>1.0260530290973726</v>
      </c>
      <c r="AK124" s="1474">
        <f t="shared" si="57"/>
        <v>1.02</v>
      </c>
      <c r="AL124" s="1475">
        <f t="shared" ca="1" si="70"/>
        <v>1.2205198815232174</v>
      </c>
      <c r="AN124" s="1476">
        <f t="shared" ca="1" si="48"/>
        <v>1.0285530290973726</v>
      </c>
      <c r="AO124" s="1474">
        <f t="shared" si="58"/>
        <v>1.0049999999999999</v>
      </c>
      <c r="AP124" s="1475">
        <f t="shared" ca="1" si="71"/>
        <v>1.2346229437596627</v>
      </c>
      <c r="AR124" s="701">
        <f t="shared" si="59"/>
        <v>38596</v>
      </c>
      <c r="AS124" s="1478">
        <f ca="1">IF(AND($A124&gt;=EDATE(AS$17,12),IF(Assm!$L$74=0,$D124,$E124)/AS123&gt;=1.05),IF(Assm!$L$74=0,$D124,$E124),AS123)</f>
        <v>2.2679864268794208</v>
      </c>
      <c r="AT124" s="1478">
        <f t="shared" ca="1" si="60"/>
        <v>1.0522648620665525</v>
      </c>
      <c r="AU124" s="1478">
        <f t="shared" ca="1" si="61"/>
        <v>1.0783307546811163</v>
      </c>
      <c r="AV124" s="1478">
        <f t="shared" ca="1" si="62"/>
        <v>1.0783307546811163</v>
      </c>
      <c r="AW124" s="1475">
        <f t="shared" ca="1" si="63"/>
        <v>2.4285166077078193</v>
      </c>
    </row>
    <row r="125" spans="1:49">
      <c r="A125" s="883">
        <f t="shared" si="50"/>
        <v>38626</v>
      </c>
      <c r="B125" s="1390">
        <f ca="1">'[2]Monthly Curve Calc.'!B128</f>
        <v>282.86179501085303</v>
      </c>
      <c r="C125" s="1391">
        <f ca="1">'[2]Monthly Curve Calc.'!C128</f>
        <v>200.5579218454792</v>
      </c>
      <c r="D125" s="1512">
        <f ca="1">'[2]Monthly Curve Calc.'!F128</f>
        <v>2.3216289194457573</v>
      </c>
      <c r="E125" s="1304">
        <f t="shared" ca="1" si="49"/>
        <v>1.7187217048850281</v>
      </c>
      <c r="F125" s="1473">
        <f ca="1">IF(Assm!$L$75=0,F124,IF(AND($A125&gt;F$16,MONTH($A125)=MONTH(F$16)),B124/B112,F124))</f>
        <v>1.0783307546811163</v>
      </c>
      <c r="G125" s="1474">
        <f ca="1">IF(Assm!$L$75=0,G124,IF(AND($A125&gt;G$16,MONTH($A125)=MONTH(G$16)),C124/C112,G124))</f>
        <v>1.0285530290973726</v>
      </c>
      <c r="H125" s="1474">
        <f ca="1">IF(Assm!$L$75=0,H124,IF(AND($A125&gt;H$16,MONTH($A125)=MONTH(H$16)),C124/C112-H$18,H124))</f>
        <v>1.0260530290973726</v>
      </c>
      <c r="I125" s="1474">
        <f ca="1">IF(Assm!$L$75=0,I124,IF($A125&gt;=I$16,IF(MONTH($A125)=MONTH(I$16),AVERAGE(D113:D124),I124),I124))</f>
        <v>2.2361082090630116</v>
      </c>
      <c r="J125" s="1475">
        <f ca="1">IF(Assm!$L$75=0,J124,IF($A125&gt;=J$16,IF(MONTH($A125)=MONTH(J$16),AVERAGE(E113:E124),J124),J124))</f>
        <v>1.6198056457595182</v>
      </c>
      <c r="K125" s="958">
        <f t="shared" si="40"/>
        <v>113</v>
      </c>
      <c r="L125" s="1476">
        <f t="shared" ca="1" si="41"/>
        <v>1.0285530290973726</v>
      </c>
      <c r="M125" s="1474">
        <f t="shared" si="51"/>
        <v>0</v>
      </c>
      <c r="N125" s="1475">
        <f t="shared" ca="1" si="64"/>
        <v>1.2346229437596627</v>
      </c>
      <c r="P125" s="1476">
        <f t="shared" ca="1" si="42"/>
        <v>1.0783307546811163</v>
      </c>
      <c r="Q125" s="1474">
        <f t="shared" si="52"/>
        <v>0</v>
      </c>
      <c r="R125" s="1475">
        <f t="shared" ca="1" si="65"/>
        <v>1.9513768310631414</v>
      </c>
      <c r="T125" s="1476">
        <f t="shared" ca="1" si="43"/>
        <v>1.0285530290973726</v>
      </c>
      <c r="U125" s="1474">
        <f t="shared" si="53"/>
        <v>1.0049999999999999</v>
      </c>
      <c r="V125" s="1475">
        <f t="shared" ca="1" si="66"/>
        <v>1.2346229437596627</v>
      </c>
      <c r="X125" s="1476">
        <f t="shared" ca="1" si="44"/>
        <v>1.0260530290973726</v>
      </c>
      <c r="Y125" s="1474">
        <f t="shared" si="54"/>
        <v>1.02</v>
      </c>
      <c r="Z125" s="1475">
        <f t="shared" ca="1" si="67"/>
        <v>1.2205198815232174</v>
      </c>
      <c r="AB125" s="1476">
        <f t="shared" ca="1" si="45"/>
        <v>1.0260530290973726</v>
      </c>
      <c r="AC125" s="1474">
        <f t="shared" si="55"/>
        <v>1.02</v>
      </c>
      <c r="AD125" s="1475">
        <f t="shared" ca="1" si="68"/>
        <v>1.2205198815232174</v>
      </c>
      <c r="AF125" s="1476">
        <f t="shared" ca="1" si="46"/>
        <v>1.0783307546811163</v>
      </c>
      <c r="AG125" s="1474">
        <f t="shared" si="56"/>
        <v>0</v>
      </c>
      <c r="AH125" s="1475">
        <f t="shared" ca="1" si="69"/>
        <v>1.9513768310631414</v>
      </c>
      <c r="AJ125" s="1476">
        <f t="shared" ca="1" si="47"/>
        <v>1.0260530290973726</v>
      </c>
      <c r="AK125" s="1474">
        <f t="shared" si="57"/>
        <v>1.02</v>
      </c>
      <c r="AL125" s="1475">
        <f t="shared" ca="1" si="70"/>
        <v>1.2205198815232174</v>
      </c>
      <c r="AN125" s="1476">
        <f t="shared" ca="1" si="48"/>
        <v>1.0285530290973726</v>
      </c>
      <c r="AO125" s="1474">
        <f t="shared" si="58"/>
        <v>1.0049999999999999</v>
      </c>
      <c r="AP125" s="1475">
        <f t="shared" ca="1" si="71"/>
        <v>1.2346229437596627</v>
      </c>
      <c r="AR125" s="701">
        <f t="shared" si="59"/>
        <v>38626</v>
      </c>
      <c r="AS125" s="1478">
        <f ca="1">IF(AND($A125&gt;=EDATE(AS$17,12),IF(Assm!$L$74=0,$D125,$E125)/AS124&gt;=1.05),IF(Assm!$L$74=0,$D125,$E125),AS124)</f>
        <v>2.2679864268794208</v>
      </c>
      <c r="AT125" s="1478">
        <f t="shared" ca="1" si="60"/>
        <v>1.0522648620665525</v>
      </c>
      <c r="AU125" s="1478">
        <f t="shared" ca="1" si="61"/>
        <v>1.0783307546811163</v>
      </c>
      <c r="AV125" s="1478">
        <f t="shared" ca="1" si="62"/>
        <v>1.0783307546811163</v>
      </c>
      <c r="AW125" s="1475">
        <f t="shared" ca="1" si="63"/>
        <v>2.4285166077078193</v>
      </c>
    </row>
    <row r="126" spans="1:49">
      <c r="A126" s="883">
        <f t="shared" si="50"/>
        <v>38657</v>
      </c>
      <c r="B126" s="1390">
        <f ca="1">'[2]Monthly Curve Calc.'!B129</f>
        <v>284.57167165675946</v>
      </c>
      <c r="C126" s="1391">
        <f ca="1">'[2]Monthly Curve Calc.'!C129</f>
        <v>201.02357018964713</v>
      </c>
      <c r="D126" s="1512">
        <f ca="1">'[2]Monthly Curve Calc.'!F129</f>
        <v>2.3270624605216974</v>
      </c>
      <c r="E126" s="1304">
        <f t="shared" ca="1" si="49"/>
        <v>1.7251059479706028</v>
      </c>
      <c r="F126" s="1473">
        <f ca="1">IF(Assm!$L$75=0,F125,IF(AND($A126&gt;F$16,MONTH($A126)=MONTH(F$16)),B125/B113,F125))</f>
        <v>1.0783307546811163</v>
      </c>
      <c r="G126" s="1474">
        <f ca="1">IF(Assm!$L$75=0,G125,IF(AND($A126&gt;G$16,MONTH($A126)=MONTH(G$16)),C125/C113,G125))</f>
        <v>1.0285530290973726</v>
      </c>
      <c r="H126" s="1474">
        <f ca="1">IF(Assm!$L$75=0,H125,IF(AND($A126&gt;H$16,MONTH($A126)=MONTH(H$16)),C125/C113-H$18,H125))</f>
        <v>1.0260530290973726</v>
      </c>
      <c r="I126" s="1474">
        <f ca="1">IF(Assm!$L$75=0,I125,IF($A126&gt;=I$16,IF(MONTH($A126)=MONTH(I$16),AVERAGE(D114:D125),I125),I125))</f>
        <v>2.2361082090630116</v>
      </c>
      <c r="J126" s="1475">
        <f ca="1">IF(Assm!$L$75=0,J125,IF($A126&gt;=J$16,IF(MONTH($A126)=MONTH(J$16),AVERAGE(E114:E125),J125),J125))</f>
        <v>1.6198056457595182</v>
      </c>
      <c r="K126" s="958">
        <f t="shared" si="40"/>
        <v>114</v>
      </c>
      <c r="L126" s="1476">
        <f t="shared" ca="1" si="41"/>
        <v>1.0285530290973726</v>
      </c>
      <c r="M126" s="1474">
        <f t="shared" si="51"/>
        <v>0</v>
      </c>
      <c r="N126" s="1475">
        <f t="shared" ca="1" si="64"/>
        <v>1.2346229437596627</v>
      </c>
      <c r="P126" s="1476">
        <f t="shared" ca="1" si="42"/>
        <v>1.0783307546811163</v>
      </c>
      <c r="Q126" s="1474">
        <f t="shared" si="52"/>
        <v>0</v>
      </c>
      <c r="R126" s="1475">
        <f t="shared" ca="1" si="65"/>
        <v>1.9513768310631414</v>
      </c>
      <c r="T126" s="1476">
        <f t="shared" ca="1" si="43"/>
        <v>1.0285530290973726</v>
      </c>
      <c r="U126" s="1474">
        <f t="shared" si="53"/>
        <v>1.0049999999999999</v>
      </c>
      <c r="V126" s="1475">
        <f t="shared" ca="1" si="66"/>
        <v>1.2346229437596627</v>
      </c>
      <c r="X126" s="1476">
        <f t="shared" ca="1" si="44"/>
        <v>1.0260530290973726</v>
      </c>
      <c r="Y126" s="1474">
        <f t="shared" si="54"/>
        <v>1.02</v>
      </c>
      <c r="Z126" s="1475">
        <f t="shared" ca="1" si="67"/>
        <v>1.2205198815232174</v>
      </c>
      <c r="AB126" s="1476">
        <f t="shared" ca="1" si="45"/>
        <v>1.0260530290973726</v>
      </c>
      <c r="AC126" s="1474">
        <f t="shared" si="55"/>
        <v>1.02</v>
      </c>
      <c r="AD126" s="1475">
        <f t="shared" ca="1" si="68"/>
        <v>1.2205198815232174</v>
      </c>
      <c r="AF126" s="1476">
        <f t="shared" ca="1" si="46"/>
        <v>1.0783307546811163</v>
      </c>
      <c r="AG126" s="1474">
        <f t="shared" si="56"/>
        <v>0</v>
      </c>
      <c r="AH126" s="1475">
        <f t="shared" ca="1" si="69"/>
        <v>1.9513768310631414</v>
      </c>
      <c r="AJ126" s="1476">
        <f t="shared" ca="1" si="47"/>
        <v>1.0260530290973726</v>
      </c>
      <c r="AK126" s="1474">
        <f t="shared" si="57"/>
        <v>1.02</v>
      </c>
      <c r="AL126" s="1475">
        <f t="shared" ca="1" si="70"/>
        <v>1.2205198815232174</v>
      </c>
      <c r="AN126" s="1476">
        <f t="shared" ca="1" si="48"/>
        <v>1.0285530290973726</v>
      </c>
      <c r="AO126" s="1474">
        <f t="shared" si="58"/>
        <v>1.0049999999999999</v>
      </c>
      <c r="AP126" s="1475">
        <f t="shared" ca="1" si="71"/>
        <v>1.2346229437596627</v>
      </c>
      <c r="AR126" s="701">
        <f t="shared" si="59"/>
        <v>38657</v>
      </c>
      <c r="AS126" s="1478">
        <f ca="1">IF(AND($A126&gt;=EDATE(AS$17,12),IF(Assm!$L$74=0,$D126,$E126)/AS125&gt;=1.05),IF(Assm!$L$74=0,$D126,$E126),AS125)</f>
        <v>2.2679864268794208</v>
      </c>
      <c r="AT126" s="1478">
        <f t="shared" ca="1" si="60"/>
        <v>1.0522648620665525</v>
      </c>
      <c r="AU126" s="1478">
        <f t="shared" ca="1" si="61"/>
        <v>1.0783307546811163</v>
      </c>
      <c r="AV126" s="1478">
        <f t="shared" ca="1" si="62"/>
        <v>1.0783307546811163</v>
      </c>
      <c r="AW126" s="1475">
        <f t="shared" ca="1" si="63"/>
        <v>2.4285166077078193</v>
      </c>
    </row>
    <row r="127" spans="1:49">
      <c r="A127" s="883">
        <f t="shared" si="50"/>
        <v>38687</v>
      </c>
      <c r="B127" s="1390">
        <f ca="1">'[2]Monthly Curve Calc.'!B130</f>
        <v>286.2918843685319</v>
      </c>
      <c r="C127" s="1391">
        <f ca="1">'[2]Monthly Curve Calc.'!C130</f>
        <v>201.49029965979815</v>
      </c>
      <c r="D127" s="1512">
        <f ca="1">'[2]Monthly Curve Calc.'!F130</f>
        <v>2.3325087182589361</v>
      </c>
      <c r="E127" s="1304">
        <f t="shared" ca="1" si="49"/>
        <v>1.7315139055177218</v>
      </c>
      <c r="F127" s="1473">
        <f ca="1">IF(Assm!$L$75=0,F126,IF(AND($A127&gt;F$16,MONTH($A127)=MONTH(F$16)),B126/B114,F126))</f>
        <v>1.0783307546811163</v>
      </c>
      <c r="G127" s="1474">
        <f ca="1">IF(Assm!$L$75=0,G126,IF(AND($A127&gt;G$16,MONTH($A127)=MONTH(G$16)),C126/C114,G126))</f>
        <v>1.0285530290973726</v>
      </c>
      <c r="H127" s="1474">
        <f ca="1">IF(Assm!$L$75=0,H126,IF(AND($A127&gt;H$16,MONTH($A127)=MONTH(H$16)),C126/C114-H$18,H126))</f>
        <v>1.0260530290973726</v>
      </c>
      <c r="I127" s="1474">
        <f ca="1">IF(Assm!$L$75=0,I126,IF($A127&gt;=I$16,IF(MONTH($A127)=MONTH(I$16),AVERAGE(D115:D126),I126),I126))</f>
        <v>2.2361082090630116</v>
      </c>
      <c r="J127" s="1475">
        <f ca="1">IF(Assm!$L$75=0,J126,IF($A127&gt;=J$16,IF(MONTH($A127)=MONTH(J$16),AVERAGE(E115:E126),J126),J126))</f>
        <v>1.6198056457595182</v>
      </c>
      <c r="K127" s="958">
        <f t="shared" si="40"/>
        <v>115</v>
      </c>
      <c r="L127" s="1476">
        <f t="shared" ca="1" si="41"/>
        <v>1.0285530290973726</v>
      </c>
      <c r="M127" s="1474">
        <f t="shared" si="51"/>
        <v>0</v>
      </c>
      <c r="N127" s="1475">
        <f t="shared" ca="1" si="64"/>
        <v>1.2346229437596627</v>
      </c>
      <c r="P127" s="1476">
        <f t="shared" ca="1" si="42"/>
        <v>1.0783307546811163</v>
      </c>
      <c r="Q127" s="1474">
        <f t="shared" si="52"/>
        <v>0</v>
      </c>
      <c r="R127" s="1475">
        <f t="shared" ca="1" si="65"/>
        <v>1.9513768310631414</v>
      </c>
      <c r="T127" s="1476">
        <f t="shared" ca="1" si="43"/>
        <v>1.0285530290973726</v>
      </c>
      <c r="U127" s="1474">
        <f t="shared" si="53"/>
        <v>1.0049999999999999</v>
      </c>
      <c r="V127" s="1475">
        <f t="shared" ca="1" si="66"/>
        <v>1.2346229437596627</v>
      </c>
      <c r="X127" s="1476">
        <f t="shared" ca="1" si="44"/>
        <v>1.0260530290973726</v>
      </c>
      <c r="Y127" s="1474">
        <f t="shared" si="54"/>
        <v>1.02</v>
      </c>
      <c r="Z127" s="1475">
        <f t="shared" ca="1" si="67"/>
        <v>1.2205198815232174</v>
      </c>
      <c r="AB127" s="1476">
        <f t="shared" ca="1" si="45"/>
        <v>1.0260530290973726</v>
      </c>
      <c r="AC127" s="1474">
        <f t="shared" si="55"/>
        <v>1.02</v>
      </c>
      <c r="AD127" s="1475">
        <f t="shared" ca="1" si="68"/>
        <v>1.2205198815232174</v>
      </c>
      <c r="AF127" s="1476">
        <f t="shared" ca="1" si="46"/>
        <v>1.0783307546811163</v>
      </c>
      <c r="AG127" s="1474">
        <f t="shared" si="56"/>
        <v>0</v>
      </c>
      <c r="AH127" s="1475">
        <f t="shared" ca="1" si="69"/>
        <v>1.9513768310631414</v>
      </c>
      <c r="AJ127" s="1476">
        <f t="shared" ca="1" si="47"/>
        <v>1.0260530290973726</v>
      </c>
      <c r="AK127" s="1474">
        <f t="shared" si="57"/>
        <v>1.02</v>
      </c>
      <c r="AL127" s="1475">
        <f t="shared" ca="1" si="70"/>
        <v>1.2205198815232174</v>
      </c>
      <c r="AN127" s="1476">
        <f t="shared" ca="1" si="48"/>
        <v>1.0285530290973726</v>
      </c>
      <c r="AO127" s="1474">
        <f t="shared" si="58"/>
        <v>1.0049999999999999</v>
      </c>
      <c r="AP127" s="1475">
        <f t="shared" ca="1" si="71"/>
        <v>1.2346229437596627</v>
      </c>
      <c r="AR127" s="701">
        <f t="shared" si="59"/>
        <v>38687</v>
      </c>
      <c r="AS127" s="1478">
        <f ca="1">IF(AND($A127&gt;=EDATE(AS$17,12),IF(Assm!$L$74=0,$D127,$E127)/AS126&gt;=1.05),IF(Assm!$L$74=0,$D127,$E127),AS126)</f>
        <v>2.2679864268794208</v>
      </c>
      <c r="AT127" s="1478">
        <f t="shared" ca="1" si="60"/>
        <v>1.0522648620665525</v>
      </c>
      <c r="AU127" s="1478">
        <f t="shared" ca="1" si="61"/>
        <v>1.0783307546811163</v>
      </c>
      <c r="AV127" s="1478">
        <f t="shared" ca="1" si="62"/>
        <v>1.0783307546811163</v>
      </c>
      <c r="AW127" s="1475">
        <f t="shared" ca="1" si="63"/>
        <v>2.4285166077078193</v>
      </c>
    </row>
    <row r="128" spans="1:49">
      <c r="A128" s="883">
        <f t="shared" si="50"/>
        <v>38718</v>
      </c>
      <c r="B128" s="1390">
        <f ca="1">'[2]Monthly Curve Calc.'!B131</f>
        <v>288.02249562685154</v>
      </c>
      <c r="C128" s="1391">
        <f ca="1">'[2]Monthly Curve Calc.'!C131</f>
        <v>201.94726564185683</v>
      </c>
      <c r="D128" s="1512">
        <f ca="1">'[2]Monthly Curve Calc.'!F131</f>
        <v>2.3378826174225127</v>
      </c>
      <c r="E128" s="1304">
        <f t="shared" ca="1" si="49"/>
        <v>1.7380390152937473</v>
      </c>
      <c r="F128" s="1473">
        <f ca="1">IF(Assm!$L$75=0,F127,IF(AND($A128&gt;F$16,MONTH($A128)=MONTH(F$16)),B127/B115,F127))</f>
        <v>1.0783307546811163</v>
      </c>
      <c r="G128" s="1474">
        <f ca="1">IF(Assm!$L$75=0,G127,IF(AND($A128&gt;G$16,MONTH($A128)=MONTH(G$16)),C127/C115,G127))</f>
        <v>1.0285530290973726</v>
      </c>
      <c r="H128" s="1474">
        <f ca="1">IF(Assm!$L$75=0,H127,IF(AND($A128&gt;H$16,MONTH($A128)=MONTH(H$16)),C127/C115-H$18,H127))</f>
        <v>1.0260530290973726</v>
      </c>
      <c r="I128" s="1474">
        <f ca="1">IF(Assm!$L$75=0,I127,IF($A128&gt;=I$16,IF(MONTH($A128)=MONTH(I$16),AVERAGE(D116:D127),I127),I127))</f>
        <v>2.3027862192387638</v>
      </c>
      <c r="J128" s="1475">
        <f ca="1">IF(Assm!$L$75=0,J127,IF($A128&gt;=J$16,IF(MONTH($A128)=MONTH(J$16),AVERAGE(E116:E127),J127),J127))</f>
        <v>1.6967013052948337</v>
      </c>
      <c r="K128" s="958">
        <f t="shared" si="40"/>
        <v>116</v>
      </c>
      <c r="L128" s="1476">
        <f t="shared" ca="1" si="41"/>
        <v>1.0285530290973726</v>
      </c>
      <c r="M128" s="1474">
        <f t="shared" si="51"/>
        <v>0</v>
      </c>
      <c r="N128" s="1475">
        <f t="shared" ca="1" si="64"/>
        <v>1.2346229437596627</v>
      </c>
      <c r="P128" s="1476">
        <f t="shared" ca="1" si="42"/>
        <v>1.0783307546811163</v>
      </c>
      <c r="Q128" s="1474">
        <f t="shared" si="52"/>
        <v>0</v>
      </c>
      <c r="R128" s="1475">
        <f t="shared" ca="1" si="65"/>
        <v>1.9513768310631414</v>
      </c>
      <c r="T128" s="1476">
        <f t="shared" ca="1" si="43"/>
        <v>1.0285530290973726</v>
      </c>
      <c r="U128" s="1474">
        <f t="shared" si="53"/>
        <v>1.0049999999999999</v>
      </c>
      <c r="V128" s="1475">
        <f t="shared" ca="1" si="66"/>
        <v>1.2346229437596627</v>
      </c>
      <c r="X128" s="1476">
        <f t="shared" ca="1" si="44"/>
        <v>1.0260530290973726</v>
      </c>
      <c r="Y128" s="1474">
        <f t="shared" si="54"/>
        <v>1.02</v>
      </c>
      <c r="Z128" s="1475">
        <f t="shared" ca="1" si="67"/>
        <v>1.2205198815232174</v>
      </c>
      <c r="AB128" s="1476">
        <f t="shared" ca="1" si="45"/>
        <v>1.0260530290973726</v>
      </c>
      <c r="AC128" s="1474">
        <f t="shared" si="55"/>
        <v>1.02</v>
      </c>
      <c r="AD128" s="1475">
        <f t="shared" ca="1" si="68"/>
        <v>1.2205198815232174</v>
      </c>
      <c r="AF128" s="1476">
        <f t="shared" ca="1" si="46"/>
        <v>1.0783307546811163</v>
      </c>
      <c r="AG128" s="1474">
        <f t="shared" si="56"/>
        <v>0</v>
      </c>
      <c r="AH128" s="1475">
        <f t="shared" ca="1" si="69"/>
        <v>1.9513768310631414</v>
      </c>
      <c r="AJ128" s="1476">
        <f t="shared" ca="1" si="47"/>
        <v>1.0260530290973726</v>
      </c>
      <c r="AK128" s="1474">
        <f t="shared" si="57"/>
        <v>1.02</v>
      </c>
      <c r="AL128" s="1475">
        <f t="shared" ca="1" si="70"/>
        <v>1.2205198815232174</v>
      </c>
      <c r="AN128" s="1476">
        <f t="shared" ca="1" si="48"/>
        <v>1.0285530290973726</v>
      </c>
      <c r="AO128" s="1474">
        <f t="shared" si="58"/>
        <v>1.0049999999999999</v>
      </c>
      <c r="AP128" s="1475">
        <f t="shared" ca="1" si="71"/>
        <v>1.2346229437596627</v>
      </c>
      <c r="AR128" s="701">
        <f t="shared" si="59"/>
        <v>38718</v>
      </c>
      <c r="AS128" s="1478">
        <f ca="1">IF(AND($A128&gt;=EDATE(AS$17,12),IF(Assm!$L$74=0,$D128,$E128)/AS127&gt;=1.05),IF(Assm!$L$74=0,$D128,$E128),AS127)</f>
        <v>2.2679864268794208</v>
      </c>
      <c r="AT128" s="1478">
        <f t="shared" ca="1" si="60"/>
        <v>1.0522648620665525</v>
      </c>
      <c r="AU128" s="1478">
        <f t="shared" ca="1" si="61"/>
        <v>1.0783307546811163</v>
      </c>
      <c r="AV128" s="1478">
        <f t="shared" ca="1" si="62"/>
        <v>1.0783307546811163</v>
      </c>
      <c r="AW128" s="1475">
        <f t="shared" ca="1" si="63"/>
        <v>2.4285166077078193</v>
      </c>
    </row>
    <row r="129" spans="1:49">
      <c r="A129" s="883">
        <f t="shared" si="50"/>
        <v>38749</v>
      </c>
      <c r="B129" s="1390">
        <f ca="1">'[2]Monthly Curve Calc.'!B132</f>
        <v>289.76356829009029</v>
      </c>
      <c r="C129" s="1391">
        <f ca="1">'[2]Monthly Curve Calc.'!C132</f>
        <v>202.40526799097196</v>
      </c>
      <c r="D129" s="1512">
        <f ca="1">'[2]Monthly Curve Calc.'!F132</f>
        <v>2.3432688975868521</v>
      </c>
      <c r="E129" s="1304">
        <f t="shared" ca="1" si="49"/>
        <v>1.744588714567699</v>
      </c>
      <c r="F129" s="1473">
        <f ca="1">IF(Assm!$L$75=0,F128,IF(AND($A129&gt;F$16,MONTH($A129)=MONTH(F$16)),B128/B116,F128))</f>
        <v>1.0783307546811163</v>
      </c>
      <c r="G129" s="1474">
        <f ca="1">IF(Assm!$L$75=0,G128,IF(AND($A129&gt;G$16,MONTH($A129)=MONTH(G$16)),C128/C116,G128))</f>
        <v>1.0285530290973726</v>
      </c>
      <c r="H129" s="1474">
        <f ca="1">IF(Assm!$L$75=0,H128,IF(AND($A129&gt;H$16,MONTH($A129)=MONTH(H$16)),C128/C116-H$18,H128))</f>
        <v>1.0260530290973726</v>
      </c>
      <c r="I129" s="1474">
        <f ca="1">IF(Assm!$L$75=0,I128,IF($A129&gt;=I$16,IF(MONTH($A129)=MONTH(I$16),AVERAGE(D117:D128),I128),I128))</f>
        <v>2.3027862192387638</v>
      </c>
      <c r="J129" s="1475">
        <f ca="1">IF(Assm!$L$75=0,J128,IF($A129&gt;=J$16,IF(MONTH($A129)=MONTH(J$16),AVERAGE(E117:E128),J128),J128))</f>
        <v>1.6967013052948337</v>
      </c>
      <c r="K129" s="958">
        <f t="shared" si="40"/>
        <v>117</v>
      </c>
      <c r="L129" s="1476">
        <f t="shared" ca="1" si="41"/>
        <v>1.0285530290973726</v>
      </c>
      <c r="M129" s="1474">
        <f t="shared" si="51"/>
        <v>0</v>
      </c>
      <c r="N129" s="1475">
        <f t="shared" ca="1" si="64"/>
        <v>1.2346229437596627</v>
      </c>
      <c r="P129" s="1476">
        <f t="shared" ca="1" si="42"/>
        <v>1.0783307546811163</v>
      </c>
      <c r="Q129" s="1474">
        <f t="shared" si="52"/>
        <v>0</v>
      </c>
      <c r="R129" s="1475">
        <f t="shared" ca="1" si="65"/>
        <v>1.9513768310631414</v>
      </c>
      <c r="T129" s="1476">
        <f t="shared" ca="1" si="43"/>
        <v>1.0285530290973726</v>
      </c>
      <c r="U129" s="1474">
        <f t="shared" si="53"/>
        <v>1.0049999999999999</v>
      </c>
      <c r="V129" s="1475">
        <f t="shared" ca="1" si="66"/>
        <v>1.2346229437596627</v>
      </c>
      <c r="X129" s="1476">
        <f t="shared" ca="1" si="44"/>
        <v>1.0260530290973726</v>
      </c>
      <c r="Y129" s="1474">
        <f t="shared" si="54"/>
        <v>1.02</v>
      </c>
      <c r="Z129" s="1475">
        <f t="shared" ca="1" si="67"/>
        <v>1.2205198815232174</v>
      </c>
      <c r="AB129" s="1476">
        <f t="shared" ca="1" si="45"/>
        <v>1.0260530290973726</v>
      </c>
      <c r="AC129" s="1474">
        <f t="shared" si="55"/>
        <v>1.02</v>
      </c>
      <c r="AD129" s="1475">
        <f t="shared" ca="1" si="68"/>
        <v>1.2205198815232174</v>
      </c>
      <c r="AF129" s="1476">
        <f t="shared" ca="1" si="46"/>
        <v>1.0783307546811163</v>
      </c>
      <c r="AG129" s="1474">
        <f t="shared" si="56"/>
        <v>0</v>
      </c>
      <c r="AH129" s="1475">
        <f t="shared" ca="1" si="69"/>
        <v>1.9513768310631414</v>
      </c>
      <c r="AJ129" s="1476">
        <f t="shared" ca="1" si="47"/>
        <v>1.0260530290973726</v>
      </c>
      <c r="AK129" s="1474">
        <f t="shared" si="57"/>
        <v>1.02</v>
      </c>
      <c r="AL129" s="1475">
        <f t="shared" ca="1" si="70"/>
        <v>1.2205198815232174</v>
      </c>
      <c r="AN129" s="1476">
        <f t="shared" ca="1" si="48"/>
        <v>1.0285530290973726</v>
      </c>
      <c r="AO129" s="1474">
        <f t="shared" si="58"/>
        <v>1.0049999999999999</v>
      </c>
      <c r="AP129" s="1475">
        <f t="shared" ca="1" si="71"/>
        <v>1.2346229437596627</v>
      </c>
      <c r="AR129" s="701">
        <f t="shared" si="59"/>
        <v>38749</v>
      </c>
      <c r="AS129" s="1478">
        <f ca="1">IF(AND($A129&gt;=EDATE(AS$17,12),IF(Assm!$L$74=0,$D129,$E129)/AS128&gt;=1.05),IF(Assm!$L$74=0,$D129,$E129),AS128)</f>
        <v>2.2679864268794208</v>
      </c>
      <c r="AT129" s="1478">
        <f t="shared" ca="1" si="60"/>
        <v>1.0522648620665525</v>
      </c>
      <c r="AU129" s="1478">
        <f t="shared" ca="1" si="61"/>
        <v>1.0783307546811163</v>
      </c>
      <c r="AV129" s="1478">
        <f t="shared" ca="1" si="62"/>
        <v>1.0783307546811163</v>
      </c>
      <c r="AW129" s="1475">
        <f t="shared" ca="1" si="63"/>
        <v>2.4285166077078193</v>
      </c>
    </row>
    <row r="130" spans="1:49">
      <c r="A130" s="883">
        <f t="shared" si="50"/>
        <v>38777</v>
      </c>
      <c r="B130" s="1390">
        <f ca="1">'[2]Monthly Curve Calc.'!B133</f>
        <v>291.5151655965937</v>
      </c>
      <c r="C130" s="1391">
        <f ca="1">'[2]Monthly Curve Calc.'!C133</f>
        <v>202.86430905755191</v>
      </c>
      <c r="D130" s="1512">
        <f ca="1">'[2]Monthly Curve Calc.'!F133</f>
        <v>2.3486675872767138</v>
      </c>
      <c r="E130" s="1304">
        <f t="shared" ca="1" si="49"/>
        <v>1.7511630960036746</v>
      </c>
      <c r="F130" s="1473">
        <f ca="1">IF(Assm!$L$75=0,F129,IF(AND($A130&gt;F$16,MONTH($A130)=MONTH(F$16)),B129/B117,F129))</f>
        <v>1.0783307546811163</v>
      </c>
      <c r="G130" s="1474">
        <f ca="1">IF(Assm!$L$75=0,G129,IF(AND($A130&gt;G$16,MONTH($A130)=MONTH(G$16)),C129/C117,G129))</f>
        <v>1.0285530290973726</v>
      </c>
      <c r="H130" s="1474">
        <f ca="1">IF(Assm!$L$75=0,H129,IF(AND($A130&gt;H$16,MONTH($A130)=MONTH(H$16)),C129/C117-H$18,H129))</f>
        <v>1.0260530290973726</v>
      </c>
      <c r="I130" s="1474">
        <f ca="1">IF(Assm!$L$75=0,I129,IF($A130&gt;=I$16,IF(MONTH($A130)=MONTH(I$16),AVERAGE(D118:D129),I129),I129))</f>
        <v>2.3027862192387638</v>
      </c>
      <c r="J130" s="1475">
        <f ca="1">IF(Assm!$L$75=0,J129,IF($A130&gt;=J$16,IF(MONTH($A130)=MONTH(J$16),AVERAGE(E118:E129),J129),J129))</f>
        <v>1.6967013052948337</v>
      </c>
      <c r="K130" s="958">
        <f t="shared" si="40"/>
        <v>118</v>
      </c>
      <c r="L130" s="1476">
        <f t="shared" ca="1" si="41"/>
        <v>1.0285530290973726</v>
      </c>
      <c r="M130" s="1474">
        <f t="shared" si="51"/>
        <v>0</v>
      </c>
      <c r="N130" s="1475">
        <f t="shared" ca="1" si="64"/>
        <v>1.2346229437596627</v>
      </c>
      <c r="P130" s="1476">
        <f t="shared" ca="1" si="42"/>
        <v>1.0783307546811163</v>
      </c>
      <c r="Q130" s="1474">
        <f t="shared" si="52"/>
        <v>0</v>
      </c>
      <c r="R130" s="1475">
        <f t="shared" ca="1" si="65"/>
        <v>1.9513768310631414</v>
      </c>
      <c r="T130" s="1476">
        <f t="shared" ca="1" si="43"/>
        <v>1.0285530290973726</v>
      </c>
      <c r="U130" s="1474">
        <f t="shared" si="53"/>
        <v>1.0049999999999999</v>
      </c>
      <c r="V130" s="1475">
        <f t="shared" ca="1" si="66"/>
        <v>1.2346229437596627</v>
      </c>
      <c r="X130" s="1476">
        <f t="shared" ca="1" si="44"/>
        <v>1.0260530290973726</v>
      </c>
      <c r="Y130" s="1474">
        <f t="shared" si="54"/>
        <v>1.02</v>
      </c>
      <c r="Z130" s="1475">
        <f t="shared" ca="1" si="67"/>
        <v>1.2205198815232174</v>
      </c>
      <c r="AB130" s="1476">
        <f t="shared" ca="1" si="45"/>
        <v>1.0260530290973726</v>
      </c>
      <c r="AC130" s="1474">
        <f t="shared" si="55"/>
        <v>1.02</v>
      </c>
      <c r="AD130" s="1475">
        <f t="shared" ca="1" si="68"/>
        <v>1.2205198815232174</v>
      </c>
      <c r="AF130" s="1476">
        <f t="shared" ca="1" si="46"/>
        <v>1.0783307546811163</v>
      </c>
      <c r="AG130" s="1474">
        <f t="shared" si="56"/>
        <v>0</v>
      </c>
      <c r="AH130" s="1475">
        <f t="shared" ca="1" si="69"/>
        <v>1.9513768310631414</v>
      </c>
      <c r="AJ130" s="1476">
        <f t="shared" ca="1" si="47"/>
        <v>1.0260530290973726</v>
      </c>
      <c r="AK130" s="1474">
        <f t="shared" si="57"/>
        <v>1.02</v>
      </c>
      <c r="AL130" s="1475">
        <f t="shared" ca="1" si="70"/>
        <v>1.2205198815232174</v>
      </c>
      <c r="AN130" s="1476">
        <f t="shared" ca="1" si="48"/>
        <v>1.0285530290973726</v>
      </c>
      <c r="AO130" s="1474">
        <f t="shared" si="58"/>
        <v>1.0049999999999999</v>
      </c>
      <c r="AP130" s="1475">
        <f t="shared" ca="1" si="71"/>
        <v>1.2346229437596627</v>
      </c>
      <c r="AR130" s="701">
        <f t="shared" si="59"/>
        <v>38777</v>
      </c>
      <c r="AS130" s="1478">
        <f ca="1">IF(AND($A130&gt;=EDATE(AS$17,12),IF(Assm!$L$74=0,$D130,$E130)/AS129&gt;=1.05),IF(Assm!$L$74=0,$D130,$E130),AS129)</f>
        <v>2.2679864268794208</v>
      </c>
      <c r="AT130" s="1478">
        <f t="shared" ca="1" si="60"/>
        <v>1.0522648620665525</v>
      </c>
      <c r="AU130" s="1478">
        <f t="shared" ca="1" si="61"/>
        <v>1.0783307546811163</v>
      </c>
      <c r="AV130" s="1478">
        <f t="shared" ca="1" si="62"/>
        <v>1.0783307546811163</v>
      </c>
      <c r="AW130" s="1475">
        <f t="shared" ca="1" si="63"/>
        <v>2.4285166077078193</v>
      </c>
    </row>
    <row r="131" spans="1:49">
      <c r="A131" s="883">
        <f t="shared" si="50"/>
        <v>38808</v>
      </c>
      <c r="B131" s="1390">
        <f ca="1">'[2]Monthly Curve Calc.'!B134</f>
        <v>293.27735116697812</v>
      </c>
      <c r="C131" s="1391">
        <f ca="1">'[2]Monthly Curve Calc.'!C134</f>
        <v>203.32439119733561</v>
      </c>
      <c r="D131" s="1512">
        <f ca="1">'[2]Monthly Curve Calc.'!F134</f>
        <v>2.3540787150825753</v>
      </c>
      <c r="E131" s="1304">
        <f t="shared" ca="1" si="49"/>
        <v>1.7577622526149708</v>
      </c>
      <c r="F131" s="1473">
        <f ca="1">IF(Assm!$L$75=0,F130,IF(AND($A131&gt;F$16,MONTH($A131)=MONTH(F$16)),B130/B118,F130))</f>
        <v>1.0783307546811163</v>
      </c>
      <c r="G131" s="1474">
        <f ca="1">IF(Assm!$L$75=0,G130,IF(AND($A131&gt;G$16,MONTH($A131)=MONTH(G$16)),C130/C118,G130))</f>
        <v>1.0285530290973726</v>
      </c>
      <c r="H131" s="1474">
        <f ca="1">IF(Assm!$L$75=0,H130,IF(AND($A131&gt;H$16,MONTH($A131)=MONTH(H$16)),C130/C118-H$18,H130))</f>
        <v>1.0260530290973726</v>
      </c>
      <c r="I131" s="1474">
        <f ca="1">IF(Assm!$L$75=0,I130,IF($A131&gt;=I$16,IF(MONTH($A131)=MONTH(I$16),AVERAGE(D119:D130),I130),I130))</f>
        <v>2.3027862192387638</v>
      </c>
      <c r="J131" s="1475">
        <f ca="1">IF(Assm!$L$75=0,J130,IF($A131&gt;=J$16,IF(MONTH($A131)=MONTH(J$16),AVERAGE(E119:E130),J130),J130))</f>
        <v>1.6967013052948337</v>
      </c>
      <c r="K131" s="958">
        <f t="shared" si="40"/>
        <v>119</v>
      </c>
      <c r="L131" s="1476">
        <f t="shared" ca="1" si="41"/>
        <v>1.0285530290973726</v>
      </c>
      <c r="M131" s="1474">
        <f t="shared" si="51"/>
        <v>0</v>
      </c>
      <c r="N131" s="1475">
        <f t="shared" ca="1" si="64"/>
        <v>1.2346229437596627</v>
      </c>
      <c r="P131" s="1476">
        <f t="shared" ca="1" si="42"/>
        <v>1.0783307546811163</v>
      </c>
      <c r="Q131" s="1474">
        <f t="shared" si="52"/>
        <v>0</v>
      </c>
      <c r="R131" s="1475">
        <f t="shared" ca="1" si="65"/>
        <v>1.9513768310631414</v>
      </c>
      <c r="T131" s="1476">
        <f t="shared" ca="1" si="43"/>
        <v>1.0285530290973726</v>
      </c>
      <c r="U131" s="1474">
        <f t="shared" si="53"/>
        <v>1.0049999999999999</v>
      </c>
      <c r="V131" s="1475">
        <f t="shared" ca="1" si="66"/>
        <v>1.2346229437596627</v>
      </c>
      <c r="X131" s="1476">
        <f t="shared" ca="1" si="44"/>
        <v>1.0260530290973726</v>
      </c>
      <c r="Y131" s="1474">
        <f t="shared" si="54"/>
        <v>1.02</v>
      </c>
      <c r="Z131" s="1475">
        <f t="shared" ca="1" si="67"/>
        <v>1.2205198815232174</v>
      </c>
      <c r="AB131" s="1476">
        <f t="shared" ca="1" si="45"/>
        <v>1.0260530290973726</v>
      </c>
      <c r="AC131" s="1474">
        <f t="shared" si="55"/>
        <v>1.02</v>
      </c>
      <c r="AD131" s="1475">
        <f t="shared" ca="1" si="68"/>
        <v>1.2205198815232174</v>
      </c>
      <c r="AF131" s="1476">
        <f t="shared" ca="1" si="46"/>
        <v>1.0783307546811163</v>
      </c>
      <c r="AG131" s="1474">
        <f t="shared" si="56"/>
        <v>0</v>
      </c>
      <c r="AH131" s="1475">
        <f t="shared" ca="1" si="69"/>
        <v>1.9513768310631414</v>
      </c>
      <c r="AJ131" s="1476">
        <f t="shared" ca="1" si="47"/>
        <v>1.0260530290973726</v>
      </c>
      <c r="AK131" s="1474">
        <f t="shared" si="57"/>
        <v>1.02</v>
      </c>
      <c r="AL131" s="1475">
        <f t="shared" ca="1" si="70"/>
        <v>1.2205198815232174</v>
      </c>
      <c r="AN131" s="1476">
        <f t="shared" ca="1" si="48"/>
        <v>1.0285530290973726</v>
      </c>
      <c r="AO131" s="1474">
        <f t="shared" si="58"/>
        <v>1.0049999999999999</v>
      </c>
      <c r="AP131" s="1475">
        <f t="shared" ca="1" si="71"/>
        <v>1.2346229437596627</v>
      </c>
      <c r="AR131" s="701">
        <f t="shared" si="59"/>
        <v>38808</v>
      </c>
      <c r="AS131" s="1478">
        <f ca="1">IF(AND($A131&gt;=EDATE(AS$17,12),IF(Assm!$L$74=0,$D131,$E131)/AS130&gt;=1.05),IF(Assm!$L$74=0,$D131,$E131),AS130)</f>
        <v>2.2679864268794208</v>
      </c>
      <c r="AT131" s="1478">
        <f t="shared" ca="1" si="60"/>
        <v>1.0522648620665525</v>
      </c>
      <c r="AU131" s="1478">
        <f t="shared" ca="1" si="61"/>
        <v>1.0783307546811163</v>
      </c>
      <c r="AV131" s="1478">
        <f t="shared" ca="1" si="62"/>
        <v>1.0783307546811163</v>
      </c>
      <c r="AW131" s="1475">
        <f t="shared" ca="1" si="63"/>
        <v>2.4285166077078193</v>
      </c>
    </row>
    <row r="132" spans="1:49">
      <c r="A132" s="883">
        <f t="shared" si="50"/>
        <v>38838</v>
      </c>
      <c r="B132" s="1390">
        <f ca="1">'[2]Monthly Curve Calc.'!B135</f>
        <v>295.05018900644126</v>
      </c>
      <c r="C132" s="1391">
        <f ca="1">'[2]Monthly Curve Calc.'!C135</f>
        <v>203.7855167714047</v>
      </c>
      <c r="D132" s="1512">
        <f ca="1">'[2]Monthly Curve Calc.'!F135</f>
        <v>2.3595023096607846</v>
      </c>
      <c r="E132" s="1304">
        <f t="shared" ca="1" si="49"/>
        <v>1.7643862777653994</v>
      </c>
      <c r="F132" s="1473">
        <f ca="1">IF(Assm!$L$75=0,F131,IF(AND($A132&gt;F$16,MONTH($A132)=MONTH(F$16)),B131/B119,F131))</f>
        <v>1.0750000000000004</v>
      </c>
      <c r="G132" s="1474">
        <f ca="1">IF(Assm!$L$75=0,G131,IF(AND($A132&gt;G$16,MONTH($A132)=MONTH(G$16)),C131/C119,G131))</f>
        <v>1.0279988418351107</v>
      </c>
      <c r="H132" s="1474">
        <f ca="1">IF(Assm!$L$75=0,H131,IF(AND($A132&gt;H$16,MONTH($A132)=MONTH(H$16)),C131/C119-H$18,H131))</f>
        <v>1.0254988418351108</v>
      </c>
      <c r="I132" s="1474">
        <f ca="1">IF(Assm!$L$75=0,I131,IF($A132&gt;=I$16,IF(MONTH($A132)=MONTH(I$16),AVERAGE(D120:D131),I131),I131))</f>
        <v>2.3027862192387638</v>
      </c>
      <c r="J132" s="1475">
        <f ca="1">IF(Assm!$L$75=0,J131,IF($A132&gt;=J$16,IF(MONTH($A132)=MONTH(J$16),AVERAGE(E120:E131),J131),J131))</f>
        <v>1.6967013052948337</v>
      </c>
      <c r="K132" s="958">
        <f t="shared" si="40"/>
        <v>120</v>
      </c>
      <c r="L132" s="1476">
        <f t="shared" ca="1" si="41"/>
        <v>1.0279988418351107</v>
      </c>
      <c r="M132" s="1474">
        <f t="shared" si="51"/>
        <v>0</v>
      </c>
      <c r="N132" s="1475">
        <f t="shared" ca="1" si="64"/>
        <v>1.2691909562879884</v>
      </c>
      <c r="P132" s="1476">
        <f t="shared" ca="1" si="42"/>
        <v>1.0750000000000004</v>
      </c>
      <c r="Q132" s="1474">
        <f t="shared" si="52"/>
        <v>0</v>
      </c>
      <c r="R132" s="1475">
        <f t="shared" ca="1" si="65"/>
        <v>2.0977300933928777</v>
      </c>
      <c r="T132" s="1476">
        <f t="shared" ca="1" si="43"/>
        <v>1.0279988418351107</v>
      </c>
      <c r="U132" s="1474">
        <f t="shared" si="53"/>
        <v>1.0049999999999999</v>
      </c>
      <c r="V132" s="1475">
        <f t="shared" ca="1" si="66"/>
        <v>1.2691909562879884</v>
      </c>
      <c r="X132" s="1476">
        <f t="shared" ca="1" si="44"/>
        <v>1.0254988418351108</v>
      </c>
      <c r="Y132" s="1474">
        <f t="shared" si="54"/>
        <v>1.02</v>
      </c>
      <c r="Z132" s="1475">
        <f t="shared" ca="1" si="67"/>
        <v>1.2516417249387861</v>
      </c>
      <c r="AB132" s="1476">
        <f t="shared" ca="1" si="45"/>
        <v>1.0254988418351108</v>
      </c>
      <c r="AC132" s="1474">
        <f t="shared" si="55"/>
        <v>1.02</v>
      </c>
      <c r="AD132" s="1475">
        <f t="shared" ca="1" si="68"/>
        <v>1.2516417249387861</v>
      </c>
      <c r="AF132" s="1476">
        <f t="shared" ca="1" si="46"/>
        <v>1.0750000000000004</v>
      </c>
      <c r="AG132" s="1474">
        <f t="shared" si="56"/>
        <v>0</v>
      </c>
      <c r="AH132" s="1475">
        <f t="shared" ca="1" si="69"/>
        <v>2.0977300933928777</v>
      </c>
      <c r="AJ132" s="1476">
        <f t="shared" ca="1" si="47"/>
        <v>1.0254988418351108</v>
      </c>
      <c r="AK132" s="1474">
        <f t="shared" si="57"/>
        <v>1.02</v>
      </c>
      <c r="AL132" s="1475">
        <f t="shared" ca="1" si="70"/>
        <v>1.2516417249387861</v>
      </c>
      <c r="AN132" s="1476">
        <f t="shared" ca="1" si="48"/>
        <v>1.0279988418351107</v>
      </c>
      <c r="AO132" s="1474">
        <f t="shared" si="58"/>
        <v>1.0049999999999999</v>
      </c>
      <c r="AP132" s="1475">
        <f t="shared" ca="1" si="71"/>
        <v>1.2691909562879884</v>
      </c>
      <c r="AR132" s="701">
        <f t="shared" si="59"/>
        <v>38838</v>
      </c>
      <c r="AS132" s="1478">
        <f ca="1">IF(AND($A132&gt;=EDATE(AS$17,12),IF(Assm!$L$74=0,$D132,$E132)/AS131&gt;=1.05),IF(Assm!$L$74=0,$D132,$E132),AS131)</f>
        <v>2.2679864268794208</v>
      </c>
      <c r="AT132" s="1478">
        <f t="shared" ca="1" si="60"/>
        <v>1.0522648620665525</v>
      </c>
      <c r="AU132" s="1478">
        <f t="shared" ca="1" si="61"/>
        <v>1.0750000000000004</v>
      </c>
      <c r="AV132" s="1478">
        <f t="shared" ca="1" si="62"/>
        <v>1.0750000000000004</v>
      </c>
      <c r="AW132" s="1475">
        <f t="shared" ca="1" si="63"/>
        <v>2.6106553532859067</v>
      </c>
    </row>
    <row r="133" spans="1:49">
      <c r="A133" s="883">
        <f t="shared" si="50"/>
        <v>38869</v>
      </c>
      <c r="B133" s="1390">
        <f ca="1">'[2]Monthly Curve Calc.'!B136</f>
        <v>296.83374350708715</v>
      </c>
      <c r="C133" s="1391">
        <f ca="1">'[2]Monthly Curve Calc.'!C136</f>
        <v>204.24768814619551</v>
      </c>
      <c r="D133" s="1512">
        <f ca="1">'[2]Monthly Curve Calc.'!F136</f>
        <v>2.3649383997337114</v>
      </c>
      <c r="E133" s="1304">
        <f t="shared" ca="1" si="49"/>
        <v>1.7710352651706087</v>
      </c>
      <c r="F133" s="1473">
        <f ca="1">IF(Assm!$L$75=0,F132,IF(AND($A133&gt;F$16,MONTH($A133)=MONTH(F$16)),B132/B120,F132))</f>
        <v>1.0750000000000004</v>
      </c>
      <c r="G133" s="1474">
        <f ca="1">IF(Assm!$L$75=0,G132,IF(AND($A133&gt;G$16,MONTH($A133)=MONTH(G$16)),C132/C120,G132))</f>
        <v>1.0279988418351107</v>
      </c>
      <c r="H133" s="1474">
        <f ca="1">IF(Assm!$L$75=0,H132,IF(AND($A133&gt;H$16,MONTH($A133)=MONTH(H$16)),C132/C120-H$18,H132))</f>
        <v>1.0254988418351108</v>
      </c>
      <c r="I133" s="1474">
        <f ca="1">IF(Assm!$L$75=0,I132,IF($A133&gt;=I$16,IF(MONTH($A133)=MONTH(I$16),AVERAGE(D121:D132),I132),I132))</f>
        <v>2.3027862192387638</v>
      </c>
      <c r="J133" s="1475">
        <f ca="1">IF(Assm!$L$75=0,J132,IF($A133&gt;=J$16,IF(MONTH($A133)=MONTH(J$16),AVERAGE(E121:E132),J132),J132))</f>
        <v>1.6967013052948337</v>
      </c>
      <c r="K133" s="958">
        <f t="shared" si="40"/>
        <v>121</v>
      </c>
      <c r="L133" s="1476">
        <f t="shared" ca="1" si="41"/>
        <v>1.0279988418351107</v>
      </c>
      <c r="M133" s="1474">
        <f t="shared" si="51"/>
        <v>0</v>
      </c>
      <c r="N133" s="1475">
        <f t="shared" ca="1" si="64"/>
        <v>1.2691909562879884</v>
      </c>
      <c r="P133" s="1476">
        <f t="shared" ca="1" si="42"/>
        <v>1.0750000000000004</v>
      </c>
      <c r="Q133" s="1474">
        <f t="shared" si="52"/>
        <v>0</v>
      </c>
      <c r="R133" s="1475">
        <f t="shared" ca="1" si="65"/>
        <v>2.0977300933928777</v>
      </c>
      <c r="T133" s="1476">
        <f t="shared" ca="1" si="43"/>
        <v>1.0279988418351107</v>
      </c>
      <c r="U133" s="1474">
        <f t="shared" si="53"/>
        <v>1.0049999999999999</v>
      </c>
      <c r="V133" s="1475">
        <f t="shared" ca="1" si="66"/>
        <v>1.2691909562879884</v>
      </c>
      <c r="X133" s="1476">
        <f t="shared" ca="1" si="44"/>
        <v>1.0254988418351108</v>
      </c>
      <c r="Y133" s="1474">
        <f t="shared" si="54"/>
        <v>1.02</v>
      </c>
      <c r="Z133" s="1475">
        <f t="shared" ca="1" si="67"/>
        <v>1.2516417249387861</v>
      </c>
      <c r="AB133" s="1476">
        <f t="shared" ca="1" si="45"/>
        <v>1.0254988418351108</v>
      </c>
      <c r="AC133" s="1474">
        <f t="shared" si="55"/>
        <v>1.02</v>
      </c>
      <c r="AD133" s="1475">
        <f t="shared" ca="1" si="68"/>
        <v>1.2516417249387861</v>
      </c>
      <c r="AF133" s="1476">
        <f t="shared" ca="1" si="46"/>
        <v>1.0750000000000004</v>
      </c>
      <c r="AG133" s="1474">
        <f t="shared" si="56"/>
        <v>0</v>
      </c>
      <c r="AH133" s="1475">
        <f t="shared" ca="1" si="69"/>
        <v>2.0977300933928777</v>
      </c>
      <c r="AJ133" s="1476">
        <f t="shared" ca="1" si="47"/>
        <v>1.0254988418351108</v>
      </c>
      <c r="AK133" s="1474">
        <f t="shared" si="57"/>
        <v>1.02</v>
      </c>
      <c r="AL133" s="1475">
        <f t="shared" ca="1" si="70"/>
        <v>1.2516417249387861</v>
      </c>
      <c r="AN133" s="1476">
        <f t="shared" ca="1" si="48"/>
        <v>1.0279988418351107</v>
      </c>
      <c r="AO133" s="1474">
        <f t="shared" si="58"/>
        <v>1.0049999999999999</v>
      </c>
      <c r="AP133" s="1475">
        <f t="shared" ca="1" si="71"/>
        <v>1.2691909562879884</v>
      </c>
      <c r="AR133" s="701">
        <f t="shared" si="59"/>
        <v>38869</v>
      </c>
      <c r="AS133" s="1478">
        <f ca="1">IF(AND($A133&gt;=EDATE(AS$17,12),IF(Assm!$L$74=0,$D133,$E133)/AS132&gt;=1.05),IF(Assm!$L$74=0,$D133,$E133),AS132)</f>
        <v>2.2679864268794208</v>
      </c>
      <c r="AT133" s="1478">
        <f t="shared" ca="1" si="60"/>
        <v>1.0522648620665525</v>
      </c>
      <c r="AU133" s="1478">
        <f t="shared" ca="1" si="61"/>
        <v>1.0750000000000004</v>
      </c>
      <c r="AV133" s="1478">
        <f t="shared" ca="1" si="62"/>
        <v>1.0750000000000004</v>
      </c>
      <c r="AW133" s="1475">
        <f t="shared" ca="1" si="63"/>
        <v>2.6106553532859067</v>
      </c>
    </row>
    <row r="134" spans="1:49">
      <c r="A134" s="883">
        <f t="shared" si="50"/>
        <v>38899</v>
      </c>
      <c r="B134" s="1390">
        <f ca="1">'[2]Monthly Curve Calc.'!B137</f>
        <v>298.62807945026486</v>
      </c>
      <c r="C134" s="1391">
        <f ca="1">'[2]Monthly Curve Calc.'!C137</f>
        <v>204.71090769351133</v>
      </c>
      <c r="D134" s="1512">
        <f ca="1">'[2]Monthly Curve Calc.'!F137</f>
        <v>2.370387014089899</v>
      </c>
      <c r="E134" s="1304">
        <f t="shared" ca="1" si="49"/>
        <v>1.7777093088994087</v>
      </c>
      <c r="F134" s="1473">
        <f ca="1">IF(Assm!$L$75=0,F133,IF(AND($A134&gt;F$16,MONTH($A134)=MONTH(F$16)),B133/B121,F133))</f>
        <v>1.0750000000000004</v>
      </c>
      <c r="G134" s="1474">
        <f ca="1">IF(Assm!$L$75=0,G133,IF(AND($A134&gt;G$16,MONTH($A134)=MONTH(G$16)),C133/C121,G133))</f>
        <v>1.0279988418351107</v>
      </c>
      <c r="H134" s="1474">
        <f ca="1">IF(Assm!$L$75=0,H133,IF(AND($A134&gt;H$16,MONTH($A134)=MONTH(H$16)),C133/C121-H$18,H133))</f>
        <v>1.0254988418351108</v>
      </c>
      <c r="I134" s="1474">
        <f ca="1">IF(Assm!$L$75=0,I133,IF($A134&gt;=I$16,IF(MONTH($A134)=MONTH(I$16),AVERAGE(D122:D133),I133),I133))</f>
        <v>2.3027862192387638</v>
      </c>
      <c r="J134" s="1475">
        <f ca="1">IF(Assm!$L$75=0,J133,IF($A134&gt;=J$16,IF(MONTH($A134)=MONTH(J$16),AVERAGE(E122:E133),J133),J133))</f>
        <v>1.6967013052948337</v>
      </c>
      <c r="K134" s="958">
        <f t="shared" si="40"/>
        <v>122</v>
      </c>
      <c r="L134" s="1476">
        <f t="shared" ca="1" si="41"/>
        <v>1.0279988418351107</v>
      </c>
      <c r="M134" s="1474">
        <f t="shared" si="51"/>
        <v>0</v>
      </c>
      <c r="N134" s="1475">
        <f t="shared" ca="1" si="64"/>
        <v>1.2691909562879884</v>
      </c>
      <c r="P134" s="1476">
        <f t="shared" ca="1" si="42"/>
        <v>1.0750000000000004</v>
      </c>
      <c r="Q134" s="1474">
        <f t="shared" si="52"/>
        <v>0</v>
      </c>
      <c r="R134" s="1475">
        <f t="shared" ca="1" si="65"/>
        <v>2.0977300933928777</v>
      </c>
      <c r="T134" s="1476">
        <f t="shared" ca="1" si="43"/>
        <v>1.0279988418351107</v>
      </c>
      <c r="U134" s="1474">
        <f t="shared" si="53"/>
        <v>1.0049999999999999</v>
      </c>
      <c r="V134" s="1475">
        <f t="shared" ca="1" si="66"/>
        <v>1.2691909562879884</v>
      </c>
      <c r="X134" s="1476">
        <f t="shared" ca="1" si="44"/>
        <v>1.0254988418351108</v>
      </c>
      <c r="Y134" s="1474">
        <f t="shared" si="54"/>
        <v>1.02</v>
      </c>
      <c r="Z134" s="1475">
        <f t="shared" ca="1" si="67"/>
        <v>1.2516417249387861</v>
      </c>
      <c r="AB134" s="1476">
        <f t="shared" ca="1" si="45"/>
        <v>1.0254988418351108</v>
      </c>
      <c r="AC134" s="1474">
        <f t="shared" si="55"/>
        <v>1.02</v>
      </c>
      <c r="AD134" s="1475">
        <f t="shared" ca="1" si="68"/>
        <v>1.2516417249387861</v>
      </c>
      <c r="AF134" s="1476">
        <f t="shared" ca="1" si="46"/>
        <v>1.0750000000000004</v>
      </c>
      <c r="AG134" s="1474">
        <f t="shared" si="56"/>
        <v>0</v>
      </c>
      <c r="AH134" s="1475">
        <f t="shared" ca="1" si="69"/>
        <v>2.0977300933928777</v>
      </c>
      <c r="AJ134" s="1476">
        <f t="shared" ca="1" si="47"/>
        <v>1.0254988418351108</v>
      </c>
      <c r="AK134" s="1474">
        <f t="shared" si="57"/>
        <v>1.02</v>
      </c>
      <c r="AL134" s="1475">
        <f t="shared" ca="1" si="70"/>
        <v>1.2516417249387861</v>
      </c>
      <c r="AN134" s="1476">
        <f t="shared" ca="1" si="48"/>
        <v>1.0279988418351107</v>
      </c>
      <c r="AO134" s="1474">
        <f t="shared" si="58"/>
        <v>1.0049999999999999</v>
      </c>
      <c r="AP134" s="1475">
        <f t="shared" ca="1" si="71"/>
        <v>1.2691909562879884</v>
      </c>
      <c r="AR134" s="701">
        <f t="shared" si="59"/>
        <v>38899</v>
      </c>
      <c r="AS134" s="1478">
        <f ca="1">IF(AND($A134&gt;=EDATE(AS$17,12),IF(Assm!$L$74=0,$D134,$E134)/AS133&gt;=1.05),IF(Assm!$L$74=0,$D134,$E134),AS133)</f>
        <v>2.2679864268794208</v>
      </c>
      <c r="AT134" s="1478">
        <f t="shared" ca="1" si="60"/>
        <v>1.0522648620665525</v>
      </c>
      <c r="AU134" s="1478">
        <f t="shared" ca="1" si="61"/>
        <v>1.0750000000000004</v>
      </c>
      <c r="AV134" s="1478">
        <f t="shared" ca="1" si="62"/>
        <v>1.0750000000000004</v>
      </c>
      <c r="AW134" s="1475">
        <f t="shared" ca="1" si="63"/>
        <v>2.6106553532859067</v>
      </c>
    </row>
    <row r="135" spans="1:49">
      <c r="A135" s="883">
        <f t="shared" si="50"/>
        <v>38930</v>
      </c>
      <c r="B135" s="1390">
        <f ca="1">'[2]Monthly Curve Calc.'!B138</f>
        <v>300.43326200892147</v>
      </c>
      <c r="C135" s="1391">
        <f ca="1">'[2]Monthly Curve Calc.'!C138</f>
        <v>205.17517779053455</v>
      </c>
      <c r="D135" s="1512">
        <f ca="1">'[2]Monthly Curve Calc.'!F138</f>
        <v>2.3758481815842174</v>
      </c>
      <c r="E135" s="1304">
        <f t="shared" ca="1" si="49"/>
        <v>1.7844085033751023</v>
      </c>
      <c r="F135" s="1473">
        <f ca="1">IF(Assm!$L$75=0,F134,IF(AND($A135&gt;F$16,MONTH($A135)=MONTH(F$16)),B134/B122,F134))</f>
        <v>1.0750000000000004</v>
      </c>
      <c r="G135" s="1474">
        <f ca="1">IF(Assm!$L$75=0,G134,IF(AND($A135&gt;G$16,MONTH($A135)=MONTH(G$16)),C134/C122,G134))</f>
        <v>1.0279988418351107</v>
      </c>
      <c r="H135" s="1474">
        <f ca="1">IF(Assm!$L$75=0,H134,IF(AND($A135&gt;H$16,MONTH($A135)=MONTH(H$16)),C134/C122-H$18,H134))</f>
        <v>1.0254988418351108</v>
      </c>
      <c r="I135" s="1474">
        <f ca="1">IF(Assm!$L$75=0,I134,IF($A135&gt;=I$16,IF(MONTH($A135)=MONTH(I$16),AVERAGE(D123:D134),I134),I134))</f>
        <v>2.3027862192387638</v>
      </c>
      <c r="J135" s="1475">
        <f ca="1">IF(Assm!$L$75=0,J134,IF($A135&gt;=J$16,IF(MONTH($A135)=MONTH(J$16),AVERAGE(E123:E134),J134),J134))</f>
        <v>1.6967013052948337</v>
      </c>
      <c r="K135" s="958">
        <f t="shared" si="40"/>
        <v>123</v>
      </c>
      <c r="L135" s="1476">
        <f t="shared" ca="1" si="41"/>
        <v>1.0279988418351107</v>
      </c>
      <c r="M135" s="1474">
        <f t="shared" si="51"/>
        <v>0</v>
      </c>
      <c r="N135" s="1475">
        <f t="shared" ca="1" si="64"/>
        <v>1.2691909562879884</v>
      </c>
      <c r="P135" s="1476">
        <f t="shared" ca="1" si="42"/>
        <v>1.0750000000000004</v>
      </c>
      <c r="Q135" s="1474">
        <f t="shared" si="52"/>
        <v>0</v>
      </c>
      <c r="R135" s="1475">
        <f t="shared" ca="1" si="65"/>
        <v>2.0977300933928777</v>
      </c>
      <c r="T135" s="1476">
        <f t="shared" ca="1" si="43"/>
        <v>1.0279988418351107</v>
      </c>
      <c r="U135" s="1474">
        <f t="shared" si="53"/>
        <v>1.0049999999999999</v>
      </c>
      <c r="V135" s="1475">
        <f t="shared" ca="1" si="66"/>
        <v>1.2691909562879884</v>
      </c>
      <c r="X135" s="1476">
        <f t="shared" ca="1" si="44"/>
        <v>1.0254988418351108</v>
      </c>
      <c r="Y135" s="1474">
        <f t="shared" si="54"/>
        <v>1.02</v>
      </c>
      <c r="Z135" s="1475">
        <f t="shared" ca="1" si="67"/>
        <v>1.2516417249387861</v>
      </c>
      <c r="AB135" s="1476">
        <f t="shared" ca="1" si="45"/>
        <v>1.0254988418351108</v>
      </c>
      <c r="AC135" s="1474">
        <f t="shared" si="55"/>
        <v>1.02</v>
      </c>
      <c r="AD135" s="1475">
        <f t="shared" ca="1" si="68"/>
        <v>1.2516417249387861</v>
      </c>
      <c r="AF135" s="1476">
        <f t="shared" ca="1" si="46"/>
        <v>1.0750000000000004</v>
      </c>
      <c r="AG135" s="1474">
        <f t="shared" si="56"/>
        <v>0</v>
      </c>
      <c r="AH135" s="1475">
        <f t="shared" ca="1" si="69"/>
        <v>2.0977300933928777</v>
      </c>
      <c r="AJ135" s="1476">
        <f t="shared" ca="1" si="47"/>
        <v>1.0254988418351108</v>
      </c>
      <c r="AK135" s="1474">
        <f t="shared" si="57"/>
        <v>1.02</v>
      </c>
      <c r="AL135" s="1475">
        <f t="shared" ca="1" si="70"/>
        <v>1.2516417249387861</v>
      </c>
      <c r="AN135" s="1476">
        <f t="shared" ca="1" si="48"/>
        <v>1.0279988418351107</v>
      </c>
      <c r="AO135" s="1474">
        <f t="shared" si="58"/>
        <v>1.0049999999999999</v>
      </c>
      <c r="AP135" s="1475">
        <f t="shared" ca="1" si="71"/>
        <v>1.2691909562879884</v>
      </c>
      <c r="AR135" s="701">
        <f t="shared" si="59"/>
        <v>38930</v>
      </c>
      <c r="AS135" s="1478">
        <f ca="1">IF(AND($A135&gt;=EDATE(AS$17,12),IF(Assm!$L$74=0,$D135,$E135)/AS134&gt;=1.05),IF(Assm!$L$74=0,$D135,$E135),AS134)</f>
        <v>2.2679864268794208</v>
      </c>
      <c r="AT135" s="1478">
        <f t="shared" ca="1" si="60"/>
        <v>1.0522648620665525</v>
      </c>
      <c r="AU135" s="1478">
        <f t="shared" ca="1" si="61"/>
        <v>1.0750000000000004</v>
      </c>
      <c r="AV135" s="1478">
        <f t="shared" ca="1" si="62"/>
        <v>1.0750000000000004</v>
      </c>
      <c r="AW135" s="1475">
        <f t="shared" ca="1" si="63"/>
        <v>2.6106553532859067</v>
      </c>
    </row>
    <row r="136" spans="1:49">
      <c r="A136" s="883">
        <f t="shared" si="50"/>
        <v>38961</v>
      </c>
      <c r="B136" s="1390">
        <f ca="1">'[2]Monthly Curve Calc.'!B139</f>
        <v>302.24935674996919</v>
      </c>
      <c r="C136" s="1391">
        <f ca="1">'[2]Monthly Curve Calc.'!C139</f>
        <v>205.64050081983879</v>
      </c>
      <c r="D136" s="1512">
        <f ca="1">'[2]Monthly Curve Calc.'!F139</f>
        <v>2.3813219311380154</v>
      </c>
      <c r="E136" s="1304">
        <f t="shared" ca="1" si="49"/>
        <v>1.7911329433768211</v>
      </c>
      <c r="F136" s="1473">
        <f ca="1">IF(Assm!$L$75=0,F135,IF(AND($A136&gt;F$16,MONTH($A136)=MONTH(F$16)),B135/B123,F135))</f>
        <v>1.0750000000000004</v>
      </c>
      <c r="G136" s="1474">
        <f ca="1">IF(Assm!$L$75=0,G135,IF(AND($A136&gt;G$16,MONTH($A136)=MONTH(G$16)),C135/C123,G135))</f>
        <v>1.0279988418351107</v>
      </c>
      <c r="H136" s="1474">
        <f ca="1">IF(Assm!$L$75=0,H135,IF(AND($A136&gt;H$16,MONTH($A136)=MONTH(H$16)),C135/C123-H$18,H135))</f>
        <v>1.0254988418351108</v>
      </c>
      <c r="I136" s="1474">
        <f ca="1">IF(Assm!$L$75=0,I135,IF($A136&gt;=I$16,IF(MONTH($A136)=MONTH(I$16),AVERAGE(D124:D135),I135),I135))</f>
        <v>2.3027862192387638</v>
      </c>
      <c r="J136" s="1475">
        <f ca="1">IF(Assm!$L$75=0,J135,IF($A136&gt;=J$16,IF(MONTH($A136)=MONTH(J$16),AVERAGE(E124:E135),J135),J135))</f>
        <v>1.6967013052948337</v>
      </c>
      <c r="K136" s="958">
        <f t="shared" si="40"/>
        <v>124</v>
      </c>
      <c r="L136" s="1476">
        <f t="shared" ca="1" si="41"/>
        <v>1.0279988418351107</v>
      </c>
      <c r="M136" s="1474">
        <f t="shared" si="51"/>
        <v>0</v>
      </c>
      <c r="N136" s="1475">
        <f t="shared" ca="1" si="64"/>
        <v>1.2691909562879884</v>
      </c>
      <c r="P136" s="1476">
        <f t="shared" ca="1" si="42"/>
        <v>1.0750000000000004</v>
      </c>
      <c r="Q136" s="1474">
        <f t="shared" si="52"/>
        <v>0</v>
      </c>
      <c r="R136" s="1475">
        <f t="shared" ca="1" si="65"/>
        <v>2.0977300933928777</v>
      </c>
      <c r="T136" s="1476">
        <f t="shared" ca="1" si="43"/>
        <v>1.0279988418351107</v>
      </c>
      <c r="U136" s="1474">
        <f t="shared" si="53"/>
        <v>1.0049999999999999</v>
      </c>
      <c r="V136" s="1475">
        <f t="shared" ca="1" si="66"/>
        <v>1.2691909562879884</v>
      </c>
      <c r="X136" s="1476">
        <f t="shared" ca="1" si="44"/>
        <v>1.0254988418351108</v>
      </c>
      <c r="Y136" s="1474">
        <f t="shared" si="54"/>
        <v>1.02</v>
      </c>
      <c r="Z136" s="1475">
        <f t="shared" ca="1" si="67"/>
        <v>1.2516417249387861</v>
      </c>
      <c r="AB136" s="1476">
        <f t="shared" ca="1" si="45"/>
        <v>1.0254988418351108</v>
      </c>
      <c r="AC136" s="1474">
        <f t="shared" si="55"/>
        <v>1.02</v>
      </c>
      <c r="AD136" s="1475">
        <f t="shared" ca="1" si="68"/>
        <v>1.2516417249387861</v>
      </c>
      <c r="AF136" s="1476">
        <f t="shared" ca="1" si="46"/>
        <v>1.0750000000000004</v>
      </c>
      <c r="AG136" s="1474">
        <f t="shared" si="56"/>
        <v>0</v>
      </c>
      <c r="AH136" s="1475">
        <f t="shared" ca="1" si="69"/>
        <v>2.0977300933928777</v>
      </c>
      <c r="AJ136" s="1476">
        <f t="shared" ca="1" si="47"/>
        <v>1.0254988418351108</v>
      </c>
      <c r="AK136" s="1474">
        <f t="shared" si="57"/>
        <v>1.02</v>
      </c>
      <c r="AL136" s="1475">
        <f t="shared" ca="1" si="70"/>
        <v>1.2516417249387861</v>
      </c>
      <c r="AN136" s="1476">
        <f t="shared" ca="1" si="48"/>
        <v>1.0279988418351107</v>
      </c>
      <c r="AO136" s="1474">
        <f t="shared" si="58"/>
        <v>1.0049999999999999</v>
      </c>
      <c r="AP136" s="1475">
        <f t="shared" ca="1" si="71"/>
        <v>1.2691909562879884</v>
      </c>
      <c r="AR136" s="701">
        <f t="shared" si="59"/>
        <v>38961</v>
      </c>
      <c r="AS136" s="1478">
        <f ca="1">IF(AND($A136&gt;=EDATE(AS$17,12),IF(Assm!$L$74=0,$D136,$E136)/AS135&gt;=1.05),IF(Assm!$L$74=0,$D136,$E136),AS135)</f>
        <v>2.2679864268794208</v>
      </c>
      <c r="AT136" s="1478">
        <f t="shared" ca="1" si="60"/>
        <v>1.0522648620665525</v>
      </c>
      <c r="AU136" s="1478">
        <f t="shared" ca="1" si="61"/>
        <v>1.0750000000000004</v>
      </c>
      <c r="AV136" s="1478">
        <f t="shared" ca="1" si="62"/>
        <v>1.0750000000000004</v>
      </c>
      <c r="AW136" s="1475">
        <f t="shared" ca="1" si="63"/>
        <v>2.6106553532859067</v>
      </c>
    </row>
    <row r="137" spans="1:49">
      <c r="A137" s="883">
        <f t="shared" si="50"/>
        <v>38991</v>
      </c>
      <c r="B137" s="1390">
        <f ca="1">'[2]Monthly Curve Calc.'!B140</f>
        <v>304.076429636667</v>
      </c>
      <c r="C137" s="1391">
        <f ca="1">'[2]Monthly Curve Calc.'!C140</f>
        <v>206.10687916940122</v>
      </c>
      <c r="D137" s="1512">
        <f ca="1">'[2]Monthly Curve Calc.'!F140</f>
        <v>2.3868082917392743</v>
      </c>
      <c r="E137" s="1304">
        <f t="shared" ca="1" si="49"/>
        <v>1.7978827240408664</v>
      </c>
      <c r="F137" s="1473">
        <f ca="1">IF(Assm!$L$75=0,F136,IF(AND($A137&gt;F$16,MONTH($A137)=MONTH(F$16)),B136/B124,F136))</f>
        <v>1.0750000000000004</v>
      </c>
      <c r="G137" s="1474">
        <f ca="1">IF(Assm!$L$75=0,G136,IF(AND($A137&gt;G$16,MONTH($A137)=MONTH(G$16)),C136/C124,G136))</f>
        <v>1.0279988418351107</v>
      </c>
      <c r="H137" s="1474">
        <f ca="1">IF(Assm!$L$75=0,H136,IF(AND($A137&gt;H$16,MONTH($A137)=MONTH(H$16)),C136/C124-H$18,H136))</f>
        <v>1.0254988418351108</v>
      </c>
      <c r="I137" s="1474">
        <f ca="1">IF(Assm!$L$75=0,I136,IF($A137&gt;=I$16,IF(MONTH($A137)=MONTH(I$16),AVERAGE(D125:D136),I136),I136))</f>
        <v>2.3027862192387638</v>
      </c>
      <c r="J137" s="1475">
        <f ca="1">IF(Assm!$L$75=0,J136,IF($A137&gt;=J$16,IF(MONTH($A137)=MONTH(J$16),AVERAGE(E125:E136),J136),J136))</f>
        <v>1.6967013052948337</v>
      </c>
      <c r="K137" s="958">
        <f t="shared" si="40"/>
        <v>125</v>
      </c>
      <c r="L137" s="1476">
        <f t="shared" ca="1" si="41"/>
        <v>1.0279988418351107</v>
      </c>
      <c r="M137" s="1474">
        <f t="shared" si="51"/>
        <v>0</v>
      </c>
      <c r="N137" s="1475">
        <f t="shared" ca="1" si="64"/>
        <v>1.2691909562879884</v>
      </c>
      <c r="P137" s="1476">
        <f t="shared" ca="1" si="42"/>
        <v>1.0750000000000004</v>
      </c>
      <c r="Q137" s="1474">
        <f t="shared" si="52"/>
        <v>0</v>
      </c>
      <c r="R137" s="1475">
        <f t="shared" ca="1" si="65"/>
        <v>2.0977300933928777</v>
      </c>
      <c r="T137" s="1476">
        <f t="shared" ca="1" si="43"/>
        <v>1.0279988418351107</v>
      </c>
      <c r="U137" s="1474">
        <f t="shared" si="53"/>
        <v>1.0049999999999999</v>
      </c>
      <c r="V137" s="1475">
        <f t="shared" ca="1" si="66"/>
        <v>1.2691909562879884</v>
      </c>
      <c r="X137" s="1476">
        <f t="shared" ca="1" si="44"/>
        <v>1.0254988418351108</v>
      </c>
      <c r="Y137" s="1474">
        <f t="shared" si="54"/>
        <v>1.02</v>
      </c>
      <c r="Z137" s="1475">
        <f t="shared" ca="1" si="67"/>
        <v>1.2516417249387861</v>
      </c>
      <c r="AB137" s="1476">
        <f t="shared" ca="1" si="45"/>
        <v>1.0254988418351108</v>
      </c>
      <c r="AC137" s="1474">
        <f t="shared" si="55"/>
        <v>1.02</v>
      </c>
      <c r="AD137" s="1475">
        <f t="shared" ca="1" si="68"/>
        <v>1.2516417249387861</v>
      </c>
      <c r="AF137" s="1476">
        <f t="shared" ca="1" si="46"/>
        <v>1.0750000000000004</v>
      </c>
      <c r="AG137" s="1474">
        <f t="shared" si="56"/>
        <v>0</v>
      </c>
      <c r="AH137" s="1475">
        <f t="shared" ca="1" si="69"/>
        <v>2.0977300933928777</v>
      </c>
      <c r="AJ137" s="1476">
        <f t="shared" ca="1" si="47"/>
        <v>1.0254988418351108</v>
      </c>
      <c r="AK137" s="1474">
        <f t="shared" si="57"/>
        <v>1.02</v>
      </c>
      <c r="AL137" s="1475">
        <f t="shared" ca="1" si="70"/>
        <v>1.2516417249387861</v>
      </c>
      <c r="AN137" s="1476">
        <f t="shared" ca="1" si="48"/>
        <v>1.0279988418351107</v>
      </c>
      <c r="AO137" s="1474">
        <f t="shared" si="58"/>
        <v>1.0049999999999999</v>
      </c>
      <c r="AP137" s="1475">
        <f t="shared" ca="1" si="71"/>
        <v>1.2691909562879884</v>
      </c>
      <c r="AR137" s="701">
        <f t="shared" si="59"/>
        <v>38991</v>
      </c>
      <c r="AS137" s="1478">
        <f ca="1">IF(AND($A137&gt;=EDATE(AS$17,12),IF(Assm!$L$74=0,$D137,$E137)/AS136&gt;=1.05),IF(Assm!$L$74=0,$D137,$E137),AS136)</f>
        <v>2.3868082917392743</v>
      </c>
      <c r="AT137" s="1478">
        <f t="shared" ca="1" si="60"/>
        <v>1.0523909065114396</v>
      </c>
      <c r="AU137" s="1478">
        <f t="shared" ca="1" si="61"/>
        <v>1.0750000000000004</v>
      </c>
      <c r="AV137" s="1478">
        <f t="shared" ca="1" si="62"/>
        <v>1.0750000000000004</v>
      </c>
      <c r="AW137" s="1475">
        <f t="shared" ca="1" si="63"/>
        <v>2.6106553532859067</v>
      </c>
    </row>
    <row r="138" spans="1:49">
      <c r="A138" s="883">
        <f t="shared" si="50"/>
        <v>39022</v>
      </c>
      <c r="B138" s="1390">
        <f ca="1">'[2]Monthly Curve Calc.'!B141</f>
        <v>305.91454703101641</v>
      </c>
      <c r="C138" s="1391">
        <f ca="1">'[2]Monthly Curve Calc.'!C141</f>
        <v>206.57431523261479</v>
      </c>
      <c r="D138" s="1512">
        <f ca="1">'[2]Monthly Curve Calc.'!F141</f>
        <v>2.3923072924427613</v>
      </c>
      <c r="E138" s="1304">
        <f t="shared" ca="1" si="49"/>
        <v>1.8046579408620553</v>
      </c>
      <c r="F138" s="1473">
        <f ca="1">IF(Assm!$L$75=0,F137,IF(AND($A138&gt;F$16,MONTH($A138)=MONTH(F$16)),B137/B125,F137))</f>
        <v>1.0750000000000004</v>
      </c>
      <c r="G138" s="1474">
        <f ca="1">IF(Assm!$L$75=0,G137,IF(AND($A138&gt;G$16,MONTH($A138)=MONTH(G$16)),C137/C125,G137))</f>
        <v>1.0279988418351107</v>
      </c>
      <c r="H138" s="1474">
        <f ca="1">IF(Assm!$L$75=0,H137,IF(AND($A138&gt;H$16,MONTH($A138)=MONTH(H$16)),C137/C125-H$18,H137))</f>
        <v>1.0254988418351108</v>
      </c>
      <c r="I138" s="1474">
        <f ca="1">IF(Assm!$L$75=0,I137,IF($A138&gt;=I$16,IF(MONTH($A138)=MONTH(I$16),AVERAGE(D126:D137),I137),I137))</f>
        <v>2.3027862192387638</v>
      </c>
      <c r="J138" s="1475">
        <f ca="1">IF(Assm!$L$75=0,J137,IF($A138&gt;=J$16,IF(MONTH($A138)=MONTH(J$16),AVERAGE(E126:E137),J137),J137))</f>
        <v>1.6967013052948337</v>
      </c>
      <c r="K138" s="958">
        <f t="shared" si="40"/>
        <v>126</v>
      </c>
      <c r="L138" s="1476">
        <f t="shared" ca="1" si="41"/>
        <v>1.0279988418351107</v>
      </c>
      <c r="M138" s="1474">
        <f t="shared" si="51"/>
        <v>0</v>
      </c>
      <c r="N138" s="1475">
        <f t="shared" ca="1" si="64"/>
        <v>1.2691909562879884</v>
      </c>
      <c r="P138" s="1476">
        <f t="shared" ca="1" si="42"/>
        <v>1.0750000000000004</v>
      </c>
      <c r="Q138" s="1474">
        <f t="shared" si="52"/>
        <v>0</v>
      </c>
      <c r="R138" s="1475">
        <f t="shared" ca="1" si="65"/>
        <v>2.0977300933928777</v>
      </c>
      <c r="T138" s="1476">
        <f t="shared" ca="1" si="43"/>
        <v>1.0279988418351107</v>
      </c>
      <c r="U138" s="1474">
        <f t="shared" si="53"/>
        <v>1.0049999999999999</v>
      </c>
      <c r="V138" s="1475">
        <f t="shared" ca="1" si="66"/>
        <v>1.2691909562879884</v>
      </c>
      <c r="X138" s="1476">
        <f t="shared" ca="1" si="44"/>
        <v>1.0254988418351108</v>
      </c>
      <c r="Y138" s="1474">
        <f t="shared" si="54"/>
        <v>1.02</v>
      </c>
      <c r="Z138" s="1475">
        <f t="shared" ca="1" si="67"/>
        <v>1.2516417249387861</v>
      </c>
      <c r="AB138" s="1476">
        <f t="shared" ca="1" si="45"/>
        <v>1.0254988418351108</v>
      </c>
      <c r="AC138" s="1474">
        <f t="shared" si="55"/>
        <v>1.02</v>
      </c>
      <c r="AD138" s="1475">
        <f t="shared" ca="1" si="68"/>
        <v>1.2516417249387861</v>
      </c>
      <c r="AF138" s="1476">
        <f t="shared" ca="1" si="46"/>
        <v>1.0750000000000004</v>
      </c>
      <c r="AG138" s="1474">
        <f t="shared" si="56"/>
        <v>0</v>
      </c>
      <c r="AH138" s="1475">
        <f t="shared" ca="1" si="69"/>
        <v>2.0977300933928777</v>
      </c>
      <c r="AJ138" s="1476">
        <f t="shared" ca="1" si="47"/>
        <v>1.0254988418351108</v>
      </c>
      <c r="AK138" s="1474">
        <f t="shared" si="57"/>
        <v>1.02</v>
      </c>
      <c r="AL138" s="1475">
        <f t="shared" ca="1" si="70"/>
        <v>1.2516417249387861</v>
      </c>
      <c r="AN138" s="1476">
        <f t="shared" ca="1" si="48"/>
        <v>1.0279988418351107</v>
      </c>
      <c r="AO138" s="1474">
        <f t="shared" si="58"/>
        <v>1.0049999999999999</v>
      </c>
      <c r="AP138" s="1475">
        <f t="shared" ca="1" si="71"/>
        <v>1.2691909562879884</v>
      </c>
      <c r="AR138" s="701">
        <f t="shared" si="59"/>
        <v>39022</v>
      </c>
      <c r="AS138" s="1478">
        <f ca="1">IF(AND($A138&gt;=EDATE(AS$17,12),IF(Assm!$L$74=0,$D138,$E138)/AS137&gt;=1.05),IF(Assm!$L$74=0,$D138,$E138),AS137)</f>
        <v>2.3868082917392743</v>
      </c>
      <c r="AT138" s="1478">
        <f t="shared" ca="1" si="60"/>
        <v>1.0523909065114396</v>
      </c>
      <c r="AU138" s="1478">
        <f t="shared" ca="1" si="61"/>
        <v>1.0750000000000004</v>
      </c>
      <c r="AV138" s="1478">
        <f t="shared" ca="1" si="62"/>
        <v>1.0750000000000004</v>
      </c>
      <c r="AW138" s="1475">
        <f t="shared" ca="1" si="63"/>
        <v>2.6106553532859067</v>
      </c>
    </row>
    <row r="139" spans="1:49">
      <c r="A139" s="883">
        <f t="shared" si="50"/>
        <v>39052</v>
      </c>
      <c r="B139" s="1390">
        <f ca="1">'[2]Monthly Curve Calc.'!B142</f>
        <v>307.76377569617176</v>
      </c>
      <c r="C139" s="1391">
        <f ca="1">'[2]Monthly Curve Calc.'!C142</f>
        <v>207.04281140830045</v>
      </c>
      <c r="D139" s="1512">
        <f ca="1">'[2]Monthly Curve Calc.'!F142</f>
        <v>2.39781896237018</v>
      </c>
      <c r="E139" s="1304">
        <f t="shared" ca="1" si="49"/>
        <v>1.8114586896950715</v>
      </c>
      <c r="F139" s="1473">
        <f ca="1">IF(Assm!$L$75=0,F138,IF(AND($A139&gt;F$16,MONTH($A139)=MONTH(F$16)),B138/B126,F138))</f>
        <v>1.0750000000000004</v>
      </c>
      <c r="G139" s="1474">
        <f ca="1">IF(Assm!$L$75=0,G138,IF(AND($A139&gt;G$16,MONTH($A139)=MONTH(G$16)),C138/C126,G138))</f>
        <v>1.0279988418351107</v>
      </c>
      <c r="H139" s="1474">
        <f ca="1">IF(Assm!$L$75=0,H138,IF(AND($A139&gt;H$16,MONTH($A139)=MONTH(H$16)),C138/C126-H$18,H138))</f>
        <v>1.0254988418351108</v>
      </c>
      <c r="I139" s="1474">
        <f ca="1">IF(Assm!$L$75=0,I138,IF($A139&gt;=I$16,IF(MONTH($A139)=MONTH(I$16),AVERAGE(D127:D138),I138),I138))</f>
        <v>2.3027862192387638</v>
      </c>
      <c r="J139" s="1475">
        <f ca="1">IF(Assm!$L$75=0,J138,IF($A139&gt;=J$16,IF(MONTH($A139)=MONTH(J$16),AVERAGE(E127:E138),J138),J138))</f>
        <v>1.6967013052948337</v>
      </c>
      <c r="K139" s="958">
        <f t="shared" si="40"/>
        <v>127</v>
      </c>
      <c r="L139" s="1476">
        <f t="shared" ca="1" si="41"/>
        <v>1.0279988418351107</v>
      </c>
      <c r="M139" s="1474">
        <f t="shared" si="51"/>
        <v>0</v>
      </c>
      <c r="N139" s="1475">
        <f t="shared" ca="1" si="64"/>
        <v>1.2691909562879884</v>
      </c>
      <c r="P139" s="1476">
        <f t="shared" ca="1" si="42"/>
        <v>1.0750000000000004</v>
      </c>
      <c r="Q139" s="1474">
        <f t="shared" si="52"/>
        <v>0</v>
      </c>
      <c r="R139" s="1475">
        <f t="shared" ca="1" si="65"/>
        <v>2.0977300933928777</v>
      </c>
      <c r="T139" s="1476">
        <f t="shared" ca="1" si="43"/>
        <v>1.0279988418351107</v>
      </c>
      <c r="U139" s="1474">
        <f t="shared" si="53"/>
        <v>1.0049999999999999</v>
      </c>
      <c r="V139" s="1475">
        <f t="shared" ca="1" si="66"/>
        <v>1.2691909562879884</v>
      </c>
      <c r="X139" s="1476">
        <f t="shared" ca="1" si="44"/>
        <v>1.0254988418351108</v>
      </c>
      <c r="Y139" s="1474">
        <f t="shared" si="54"/>
        <v>1.02</v>
      </c>
      <c r="Z139" s="1475">
        <f t="shared" ca="1" si="67"/>
        <v>1.2516417249387861</v>
      </c>
      <c r="AB139" s="1476">
        <f t="shared" ca="1" si="45"/>
        <v>1.0254988418351108</v>
      </c>
      <c r="AC139" s="1474">
        <f t="shared" si="55"/>
        <v>1.02</v>
      </c>
      <c r="AD139" s="1475">
        <f t="shared" ca="1" si="68"/>
        <v>1.2516417249387861</v>
      </c>
      <c r="AF139" s="1476">
        <f t="shared" ca="1" si="46"/>
        <v>1.0750000000000004</v>
      </c>
      <c r="AG139" s="1474">
        <f t="shared" si="56"/>
        <v>0</v>
      </c>
      <c r="AH139" s="1475">
        <f t="shared" ca="1" si="69"/>
        <v>2.0977300933928777</v>
      </c>
      <c r="AJ139" s="1476">
        <f t="shared" ca="1" si="47"/>
        <v>1.0254988418351108</v>
      </c>
      <c r="AK139" s="1474">
        <f t="shared" si="57"/>
        <v>1.02</v>
      </c>
      <c r="AL139" s="1475">
        <f t="shared" ca="1" si="70"/>
        <v>1.2516417249387861</v>
      </c>
      <c r="AN139" s="1476">
        <f t="shared" ca="1" si="48"/>
        <v>1.0279988418351107</v>
      </c>
      <c r="AO139" s="1474">
        <f t="shared" si="58"/>
        <v>1.0049999999999999</v>
      </c>
      <c r="AP139" s="1475">
        <f t="shared" ca="1" si="71"/>
        <v>1.2691909562879884</v>
      </c>
      <c r="AR139" s="701">
        <f t="shared" si="59"/>
        <v>39052</v>
      </c>
      <c r="AS139" s="1478">
        <f ca="1">IF(AND($A139&gt;=EDATE(AS$17,12),IF(Assm!$L$74=0,$D139,$E139)/AS138&gt;=1.05),IF(Assm!$L$74=0,$D139,$E139),AS138)</f>
        <v>2.3868082917392743</v>
      </c>
      <c r="AT139" s="1478">
        <f t="shared" ca="1" si="60"/>
        <v>1.0523909065114396</v>
      </c>
      <c r="AU139" s="1478">
        <f t="shared" ca="1" si="61"/>
        <v>1.0750000000000004</v>
      </c>
      <c r="AV139" s="1478">
        <f t="shared" ca="1" si="62"/>
        <v>1.0750000000000004</v>
      </c>
      <c r="AW139" s="1475">
        <f t="shared" ca="1" si="63"/>
        <v>2.6106553532859067</v>
      </c>
    </row>
    <row r="140" spans="1:49">
      <c r="A140" s="883">
        <f t="shared" si="50"/>
        <v>39083</v>
      </c>
      <c r="B140" s="1390">
        <f ca="1">'[2]Monthly Curve Calc.'!B143</f>
        <v>309.62418279886538</v>
      </c>
      <c r="C140" s="1391">
        <f ca="1">'[2]Monthly Curve Calc.'!C143</f>
        <v>207.50163896315578</v>
      </c>
      <c r="D140" s="1512">
        <f ca="1">'[2]Monthly Curve Calc.'!F143</f>
        <v>2.4031820782557931</v>
      </c>
      <c r="E140" s="1304">
        <f t="shared" ca="1" si="49"/>
        <v>1.8183791010356418</v>
      </c>
      <c r="F140" s="1473">
        <f ca="1">IF(Assm!$L$75=0,F139,IF(AND($A140&gt;F$16,MONTH($A140)=MONTH(F$16)),B139/B127,F139))</f>
        <v>1.0750000000000004</v>
      </c>
      <c r="G140" s="1474">
        <f ca="1">IF(Assm!$L$75=0,G139,IF(AND($A140&gt;G$16,MONTH($A140)=MONTH(G$16)),C139/C127,G139))</f>
        <v>1.0279988418351107</v>
      </c>
      <c r="H140" s="1474">
        <f ca="1">IF(Assm!$L$75=0,H139,IF(AND($A140&gt;H$16,MONTH($A140)=MONTH(H$16)),C139/C127-H$18,H139))</f>
        <v>1.0254988418351108</v>
      </c>
      <c r="I140" s="1474">
        <f ca="1">IF(Assm!$L$75=0,I139,IF($A140&gt;=I$16,IF(MONTH($A140)=MONTH(I$16),AVERAGE(D128:D139),I139),I139))</f>
        <v>2.3677358500106247</v>
      </c>
      <c r="J140" s="1475">
        <f ca="1">IF(Assm!$L$75=0,J139,IF($A140&gt;=J$16,IF(MONTH($A140)=MONTH(J$16),AVERAGE(E128:E139),J139),J139))</f>
        <v>1.7745187276387855</v>
      </c>
      <c r="K140" s="958">
        <f t="shared" si="40"/>
        <v>128</v>
      </c>
      <c r="L140" s="1476">
        <f t="shared" ca="1" si="41"/>
        <v>1.0279988418351107</v>
      </c>
      <c r="M140" s="1474">
        <f t="shared" si="51"/>
        <v>0</v>
      </c>
      <c r="N140" s="1475">
        <f t="shared" ca="1" si="64"/>
        <v>1.2691909562879884</v>
      </c>
      <c r="P140" s="1476">
        <f t="shared" ca="1" si="42"/>
        <v>1.0750000000000004</v>
      </c>
      <c r="Q140" s="1474">
        <f t="shared" si="52"/>
        <v>0</v>
      </c>
      <c r="R140" s="1475">
        <f t="shared" ca="1" si="65"/>
        <v>2.0977300933928777</v>
      </c>
      <c r="T140" s="1476">
        <f t="shared" ca="1" si="43"/>
        <v>1.0279988418351107</v>
      </c>
      <c r="U140" s="1474">
        <f t="shared" si="53"/>
        <v>1.0049999999999999</v>
      </c>
      <c r="V140" s="1475">
        <f t="shared" ca="1" si="66"/>
        <v>1.2691909562879884</v>
      </c>
      <c r="X140" s="1476">
        <f t="shared" ca="1" si="44"/>
        <v>1.0254988418351108</v>
      </c>
      <c r="Y140" s="1474">
        <f t="shared" si="54"/>
        <v>1.02</v>
      </c>
      <c r="Z140" s="1475">
        <f t="shared" ca="1" si="67"/>
        <v>1.2516417249387861</v>
      </c>
      <c r="AB140" s="1476">
        <f t="shared" ca="1" si="45"/>
        <v>1.0254988418351108</v>
      </c>
      <c r="AC140" s="1474">
        <f t="shared" si="55"/>
        <v>1.02</v>
      </c>
      <c r="AD140" s="1475">
        <f t="shared" ca="1" si="68"/>
        <v>1.2516417249387861</v>
      </c>
      <c r="AF140" s="1476">
        <f t="shared" ca="1" si="46"/>
        <v>1.0750000000000004</v>
      </c>
      <c r="AG140" s="1474">
        <f t="shared" si="56"/>
        <v>0</v>
      </c>
      <c r="AH140" s="1475">
        <f t="shared" ca="1" si="69"/>
        <v>2.0977300933928777</v>
      </c>
      <c r="AJ140" s="1476">
        <f t="shared" ca="1" si="47"/>
        <v>1.0254988418351108</v>
      </c>
      <c r="AK140" s="1474">
        <f t="shared" si="57"/>
        <v>1.02</v>
      </c>
      <c r="AL140" s="1475">
        <f t="shared" ca="1" si="70"/>
        <v>1.2516417249387861</v>
      </c>
      <c r="AN140" s="1476">
        <f t="shared" ca="1" si="48"/>
        <v>1.0279988418351107</v>
      </c>
      <c r="AO140" s="1474">
        <f t="shared" si="58"/>
        <v>1.0049999999999999</v>
      </c>
      <c r="AP140" s="1475">
        <f t="shared" ca="1" si="71"/>
        <v>1.2691909562879884</v>
      </c>
      <c r="AR140" s="701">
        <f t="shared" si="59"/>
        <v>39083</v>
      </c>
      <c r="AS140" s="1478">
        <f ca="1">IF(AND($A140&gt;=EDATE(AS$17,12),IF(Assm!$L$74=0,$D140,$E140)/AS139&gt;=1.05),IF(Assm!$L$74=0,$D140,$E140),AS139)</f>
        <v>2.3868082917392743</v>
      </c>
      <c r="AT140" s="1478">
        <f t="shared" ca="1" si="60"/>
        <v>1.0523909065114396</v>
      </c>
      <c r="AU140" s="1478">
        <f t="shared" ca="1" si="61"/>
        <v>1.0750000000000004</v>
      </c>
      <c r="AV140" s="1478">
        <f t="shared" ca="1" si="62"/>
        <v>1.0750000000000004</v>
      </c>
      <c r="AW140" s="1475">
        <f t="shared" ca="1" si="63"/>
        <v>2.6106553532859067</v>
      </c>
    </row>
    <row r="141" spans="1:49">
      <c r="A141" s="883">
        <f t="shared" si="50"/>
        <v>39114</v>
      </c>
      <c r="B141" s="1390">
        <f ca="1">'[2]Monthly Curve Calc.'!B144</f>
        <v>311.495835911847</v>
      </c>
      <c r="C141" s="1391">
        <f ca="1">'[2]Monthly Curve Calc.'!C144</f>
        <v>207.96148332571221</v>
      </c>
      <c r="D141" s="1512">
        <f ca="1">'[2]Monthly Curve Calc.'!F144</f>
        <v>2.4085571896308298</v>
      </c>
      <c r="E141" s="1304">
        <f t="shared" ca="1" si="49"/>
        <v>1.825325950789296</v>
      </c>
      <c r="F141" s="1473">
        <f ca="1">IF(Assm!$L$75=0,F140,IF(AND($A141&gt;F$16,MONTH($A141)=MONTH(F$16)),B140/B128,F140))</f>
        <v>1.0750000000000004</v>
      </c>
      <c r="G141" s="1474">
        <f ca="1">IF(Assm!$L$75=0,G140,IF(AND($A141&gt;G$16,MONTH($A141)=MONTH(G$16)),C140/C128,G140))</f>
        <v>1.0279988418351107</v>
      </c>
      <c r="H141" s="1474">
        <f ca="1">IF(Assm!$L$75=0,H140,IF(AND($A141&gt;H$16,MONTH($A141)=MONTH(H$16)),C140/C128-H$18,H140))</f>
        <v>1.0254988418351108</v>
      </c>
      <c r="I141" s="1474">
        <f ca="1">IF(Assm!$L$75=0,I140,IF($A141&gt;=I$16,IF(MONTH($A141)=MONTH(I$16),AVERAGE(D129:D140),I140),I140))</f>
        <v>2.3677358500106247</v>
      </c>
      <c r="J141" s="1475">
        <f ca="1">IF(Assm!$L$75=0,J140,IF($A141&gt;=J$16,IF(MONTH($A141)=MONTH(J$16),AVERAGE(E129:E140),J140),J140))</f>
        <v>1.7745187276387855</v>
      </c>
      <c r="K141" s="958">
        <f t="shared" ref="K141:K204" si="72">K140+1</f>
        <v>129</v>
      </c>
      <c r="L141" s="1476">
        <f t="shared" ca="1" si="41"/>
        <v>1.0279988418351107</v>
      </c>
      <c r="M141" s="1474">
        <f t="shared" si="51"/>
        <v>0</v>
      </c>
      <c r="N141" s="1475">
        <f t="shared" ca="1" si="64"/>
        <v>1.2691909562879884</v>
      </c>
      <c r="P141" s="1476">
        <f t="shared" ca="1" si="42"/>
        <v>1.0750000000000004</v>
      </c>
      <c r="Q141" s="1474">
        <f t="shared" si="52"/>
        <v>0</v>
      </c>
      <c r="R141" s="1475">
        <f t="shared" ca="1" si="65"/>
        <v>2.0977300933928777</v>
      </c>
      <c r="T141" s="1476">
        <f t="shared" ca="1" si="43"/>
        <v>1.0279988418351107</v>
      </c>
      <c r="U141" s="1474">
        <f t="shared" si="53"/>
        <v>1.0049999999999999</v>
      </c>
      <c r="V141" s="1475">
        <f t="shared" ca="1" si="66"/>
        <v>1.2691909562879884</v>
      </c>
      <c r="X141" s="1476">
        <f t="shared" ca="1" si="44"/>
        <v>1.0254988418351108</v>
      </c>
      <c r="Y141" s="1474">
        <f t="shared" si="54"/>
        <v>1.02</v>
      </c>
      <c r="Z141" s="1475">
        <f t="shared" ca="1" si="67"/>
        <v>1.2516417249387861</v>
      </c>
      <c r="AB141" s="1476">
        <f t="shared" ca="1" si="45"/>
        <v>1.0254988418351108</v>
      </c>
      <c r="AC141" s="1474">
        <f t="shared" si="55"/>
        <v>1.02</v>
      </c>
      <c r="AD141" s="1475">
        <f t="shared" ca="1" si="68"/>
        <v>1.2516417249387861</v>
      </c>
      <c r="AF141" s="1476">
        <f t="shared" ca="1" si="46"/>
        <v>1.0750000000000004</v>
      </c>
      <c r="AG141" s="1474">
        <f t="shared" si="56"/>
        <v>0</v>
      </c>
      <c r="AH141" s="1475">
        <f t="shared" ca="1" si="69"/>
        <v>2.0977300933928777</v>
      </c>
      <c r="AJ141" s="1476">
        <f t="shared" ca="1" si="47"/>
        <v>1.0254988418351108</v>
      </c>
      <c r="AK141" s="1474">
        <f t="shared" si="57"/>
        <v>1.02</v>
      </c>
      <c r="AL141" s="1475">
        <f t="shared" ca="1" si="70"/>
        <v>1.2516417249387861</v>
      </c>
      <c r="AN141" s="1476">
        <f t="shared" ca="1" si="48"/>
        <v>1.0279988418351107</v>
      </c>
      <c r="AO141" s="1474">
        <f t="shared" si="58"/>
        <v>1.0049999999999999</v>
      </c>
      <c r="AP141" s="1475">
        <f t="shared" ca="1" si="71"/>
        <v>1.2691909562879884</v>
      </c>
      <c r="AR141" s="701">
        <f t="shared" si="59"/>
        <v>39114</v>
      </c>
      <c r="AS141" s="1478">
        <f ca="1">IF(AND($A141&gt;=EDATE(AS$17,12),IF(Assm!$L$74=0,$D141,$E141)/AS140&gt;=1.05),IF(Assm!$L$74=0,$D141,$E141),AS140)</f>
        <v>2.3868082917392743</v>
      </c>
      <c r="AT141" s="1478">
        <f t="shared" ca="1" si="60"/>
        <v>1.0523909065114396</v>
      </c>
      <c r="AU141" s="1478">
        <f t="shared" ca="1" si="61"/>
        <v>1.0750000000000004</v>
      </c>
      <c r="AV141" s="1478">
        <f t="shared" ca="1" si="62"/>
        <v>1.0750000000000004</v>
      </c>
      <c r="AW141" s="1475">
        <f t="shared" ca="1" si="63"/>
        <v>2.6106553532859067</v>
      </c>
    </row>
    <row r="142" spans="1:49">
      <c r="A142" s="883">
        <f t="shared" si="50"/>
        <v>39142</v>
      </c>
      <c r="B142" s="1390">
        <f ca="1">'[2]Monthly Curve Calc.'!B145</f>
        <v>313.37880301633817</v>
      </c>
      <c r="C142" s="1391">
        <f ca="1">'[2]Monthly Curve Calc.'!C145</f>
        <v>208.42234674931717</v>
      </c>
      <c r="D142" s="1512">
        <f ca="1">'[2]Monthly Curve Calc.'!F145</f>
        <v>2.4139443233251718</v>
      </c>
      <c r="E142" s="1304">
        <f t="shared" ca="1" si="49"/>
        <v>1.8322993399601006</v>
      </c>
      <c r="F142" s="1473">
        <f ca="1">IF(Assm!$L$75=0,F141,IF(AND($A142&gt;F$16,MONTH($A142)=MONTH(F$16)),B141/B129,F141))</f>
        <v>1.0750000000000004</v>
      </c>
      <c r="G142" s="1474">
        <f ca="1">IF(Assm!$L$75=0,G141,IF(AND($A142&gt;G$16,MONTH($A142)=MONTH(G$16)),C141/C129,G141))</f>
        <v>1.0279988418351107</v>
      </c>
      <c r="H142" s="1474">
        <f ca="1">IF(Assm!$L$75=0,H141,IF(AND($A142&gt;H$16,MONTH($A142)=MONTH(H$16)),C141/C129-H$18,H141))</f>
        <v>1.0254988418351108</v>
      </c>
      <c r="I142" s="1474">
        <f ca="1">IF(Assm!$L$75=0,I141,IF($A142&gt;=I$16,IF(MONTH($A142)=MONTH(I$16),AVERAGE(D130:D141),I141),I141))</f>
        <v>2.3677358500106247</v>
      </c>
      <c r="J142" s="1475">
        <f ca="1">IF(Assm!$L$75=0,J141,IF($A142&gt;=J$16,IF(MONTH($A142)=MONTH(J$16),AVERAGE(E130:E141),J141),J141))</f>
        <v>1.7745187276387855</v>
      </c>
      <c r="K142" s="958">
        <f t="shared" si="72"/>
        <v>130</v>
      </c>
      <c r="L142" s="1476">
        <f t="shared" ca="1" si="41"/>
        <v>1.0279988418351107</v>
      </c>
      <c r="M142" s="1474">
        <f t="shared" si="51"/>
        <v>0</v>
      </c>
      <c r="N142" s="1475">
        <f t="shared" ca="1" si="64"/>
        <v>1.2691909562879884</v>
      </c>
      <c r="P142" s="1476">
        <f t="shared" ca="1" si="42"/>
        <v>1.0750000000000004</v>
      </c>
      <c r="Q142" s="1474">
        <f t="shared" si="52"/>
        <v>0</v>
      </c>
      <c r="R142" s="1475">
        <f t="shared" ca="1" si="65"/>
        <v>2.0977300933928777</v>
      </c>
      <c r="T142" s="1476">
        <f t="shared" ca="1" si="43"/>
        <v>1.0279988418351107</v>
      </c>
      <c r="U142" s="1474">
        <f t="shared" si="53"/>
        <v>1.0049999999999999</v>
      </c>
      <c r="V142" s="1475">
        <f t="shared" ca="1" si="66"/>
        <v>1.2691909562879884</v>
      </c>
      <c r="X142" s="1476">
        <f t="shared" ca="1" si="44"/>
        <v>1.0254988418351108</v>
      </c>
      <c r="Y142" s="1474">
        <f t="shared" si="54"/>
        <v>1.02</v>
      </c>
      <c r="Z142" s="1475">
        <f t="shared" ca="1" si="67"/>
        <v>1.2516417249387861</v>
      </c>
      <c r="AB142" s="1476">
        <f t="shared" ca="1" si="45"/>
        <v>1.0254988418351108</v>
      </c>
      <c r="AC142" s="1474">
        <f t="shared" si="55"/>
        <v>1.02</v>
      </c>
      <c r="AD142" s="1475">
        <f t="shared" ca="1" si="68"/>
        <v>1.2516417249387861</v>
      </c>
      <c r="AF142" s="1476">
        <f t="shared" ca="1" si="46"/>
        <v>1.0750000000000004</v>
      </c>
      <c r="AG142" s="1474">
        <f t="shared" si="56"/>
        <v>0</v>
      </c>
      <c r="AH142" s="1475">
        <f t="shared" ca="1" si="69"/>
        <v>2.0977300933928777</v>
      </c>
      <c r="AJ142" s="1476">
        <f t="shared" ca="1" si="47"/>
        <v>1.0254988418351108</v>
      </c>
      <c r="AK142" s="1474">
        <f t="shared" si="57"/>
        <v>1.02</v>
      </c>
      <c r="AL142" s="1475">
        <f t="shared" ca="1" si="70"/>
        <v>1.2516417249387861</v>
      </c>
      <c r="AN142" s="1476">
        <f t="shared" ca="1" si="48"/>
        <v>1.0279988418351107</v>
      </c>
      <c r="AO142" s="1474">
        <f t="shared" si="58"/>
        <v>1.0049999999999999</v>
      </c>
      <c r="AP142" s="1475">
        <f t="shared" ca="1" si="71"/>
        <v>1.2691909562879884</v>
      </c>
      <c r="AR142" s="701">
        <f t="shared" si="59"/>
        <v>39142</v>
      </c>
      <c r="AS142" s="1478">
        <f ca="1">IF(AND($A142&gt;=EDATE(AS$17,12),IF(Assm!$L$74=0,$D142,$E142)/AS141&gt;=1.05),IF(Assm!$L$74=0,$D142,$E142),AS141)</f>
        <v>2.3868082917392743</v>
      </c>
      <c r="AT142" s="1478">
        <f t="shared" ca="1" si="60"/>
        <v>1.0523909065114396</v>
      </c>
      <c r="AU142" s="1478">
        <f t="shared" ca="1" si="61"/>
        <v>1.0750000000000004</v>
      </c>
      <c r="AV142" s="1478">
        <f t="shared" ca="1" si="62"/>
        <v>1.0750000000000004</v>
      </c>
      <c r="AW142" s="1475">
        <f t="shared" ca="1" si="63"/>
        <v>2.6106553532859067</v>
      </c>
    </row>
    <row r="143" spans="1:49">
      <c r="A143" s="883">
        <f t="shared" si="50"/>
        <v>39173</v>
      </c>
      <c r="B143" s="1390">
        <f ca="1">'[2]Monthly Curve Calc.'!B146</f>
        <v>315.27315250450141</v>
      </c>
      <c r="C143" s="1391">
        <f ca="1">'[2]Monthly Curve Calc.'!C146</f>
        <v>208.88423149231176</v>
      </c>
      <c r="D143" s="1512">
        <f ca="1">'[2]Monthly Curve Calc.'!F146</f>
        <v>2.419343506228711</v>
      </c>
      <c r="E143" s="1304">
        <f t="shared" ca="1" si="49"/>
        <v>1.8392993699379931</v>
      </c>
      <c r="F143" s="1473">
        <f ca="1">IF(Assm!$L$75=0,F142,IF(AND($A143&gt;F$16,MONTH($A143)=MONTH(F$16)),B142/B130,F142))</f>
        <v>1.0750000000000004</v>
      </c>
      <c r="G143" s="1474">
        <f ca="1">IF(Assm!$L$75=0,G142,IF(AND($A143&gt;G$16,MONTH($A143)=MONTH(G$16)),C142/C130,G142))</f>
        <v>1.0279988418351107</v>
      </c>
      <c r="H143" s="1474">
        <f ca="1">IF(Assm!$L$75=0,H142,IF(AND($A143&gt;H$16,MONTH($A143)=MONTH(H$16)),C142/C130-H$18,H142))</f>
        <v>1.0254988418351108</v>
      </c>
      <c r="I143" s="1474">
        <f ca="1">IF(Assm!$L$75=0,I142,IF($A143&gt;=I$16,IF(MONTH($A143)=MONTH(I$16),AVERAGE(D131:D142),I142),I142))</f>
        <v>2.3677358500106247</v>
      </c>
      <c r="J143" s="1475">
        <f ca="1">IF(Assm!$L$75=0,J142,IF($A143&gt;=J$16,IF(MONTH($A143)=MONTH(J$16),AVERAGE(E131:E142),J142),J142))</f>
        <v>1.7745187276387855</v>
      </c>
      <c r="K143" s="958">
        <f t="shared" si="72"/>
        <v>131</v>
      </c>
      <c r="L143" s="1476">
        <f t="shared" ca="1" si="41"/>
        <v>1.0279988418351107</v>
      </c>
      <c r="M143" s="1474">
        <f t="shared" si="51"/>
        <v>0</v>
      </c>
      <c r="N143" s="1475">
        <f t="shared" ca="1" si="64"/>
        <v>1.2691909562879884</v>
      </c>
      <c r="P143" s="1476">
        <f t="shared" ca="1" si="42"/>
        <v>1.0750000000000004</v>
      </c>
      <c r="Q143" s="1474">
        <f t="shared" si="52"/>
        <v>0</v>
      </c>
      <c r="R143" s="1475">
        <f t="shared" ca="1" si="65"/>
        <v>2.0977300933928777</v>
      </c>
      <c r="T143" s="1476">
        <f t="shared" ca="1" si="43"/>
        <v>1.0279988418351107</v>
      </c>
      <c r="U143" s="1474">
        <f t="shared" si="53"/>
        <v>1.0049999999999999</v>
      </c>
      <c r="V143" s="1475">
        <f t="shared" ca="1" si="66"/>
        <v>1.2691909562879884</v>
      </c>
      <c r="X143" s="1476">
        <f t="shared" ca="1" si="44"/>
        <v>1.0254988418351108</v>
      </c>
      <c r="Y143" s="1474">
        <f t="shared" si="54"/>
        <v>1.02</v>
      </c>
      <c r="Z143" s="1475">
        <f t="shared" ca="1" si="67"/>
        <v>1.2516417249387861</v>
      </c>
      <c r="AB143" s="1476">
        <f t="shared" ca="1" si="45"/>
        <v>1.0254988418351108</v>
      </c>
      <c r="AC143" s="1474">
        <f t="shared" si="55"/>
        <v>1.02</v>
      </c>
      <c r="AD143" s="1475">
        <f t="shared" ca="1" si="68"/>
        <v>1.2516417249387861</v>
      </c>
      <c r="AF143" s="1476">
        <f t="shared" ca="1" si="46"/>
        <v>1.0750000000000004</v>
      </c>
      <c r="AG143" s="1474">
        <f t="shared" si="56"/>
        <v>0</v>
      </c>
      <c r="AH143" s="1475">
        <f t="shared" ca="1" si="69"/>
        <v>2.0977300933928777</v>
      </c>
      <c r="AJ143" s="1476">
        <f t="shared" ca="1" si="47"/>
        <v>1.0254988418351108</v>
      </c>
      <c r="AK143" s="1474">
        <f t="shared" si="57"/>
        <v>1.02</v>
      </c>
      <c r="AL143" s="1475">
        <f t="shared" ca="1" si="70"/>
        <v>1.2516417249387861</v>
      </c>
      <c r="AN143" s="1476">
        <f t="shared" ca="1" si="48"/>
        <v>1.0279988418351107</v>
      </c>
      <c r="AO143" s="1474">
        <f t="shared" si="58"/>
        <v>1.0049999999999999</v>
      </c>
      <c r="AP143" s="1475">
        <f t="shared" ca="1" si="71"/>
        <v>1.2691909562879884</v>
      </c>
      <c r="AR143" s="701">
        <f t="shared" si="59"/>
        <v>39173</v>
      </c>
      <c r="AS143" s="1478">
        <f ca="1">IF(AND($A143&gt;=EDATE(AS$17,12),IF(Assm!$L$74=0,$D143,$E143)/AS142&gt;=1.05),IF(Assm!$L$74=0,$D143,$E143),AS142)</f>
        <v>2.3868082917392743</v>
      </c>
      <c r="AT143" s="1478">
        <f t="shared" ca="1" si="60"/>
        <v>1.0523909065114396</v>
      </c>
      <c r="AU143" s="1478">
        <f t="shared" ca="1" si="61"/>
        <v>1.0750000000000004</v>
      </c>
      <c r="AV143" s="1478">
        <f t="shared" ca="1" si="62"/>
        <v>1.0750000000000004</v>
      </c>
      <c r="AW143" s="1475">
        <f t="shared" ca="1" si="63"/>
        <v>2.6106553532859067</v>
      </c>
    </row>
    <row r="144" spans="1:49">
      <c r="A144" s="883">
        <f t="shared" si="50"/>
        <v>39203</v>
      </c>
      <c r="B144" s="1390">
        <f ca="1">'[2]Monthly Curve Calc.'!B147</f>
        <v>317.17895318192427</v>
      </c>
      <c r="C144" s="1391">
        <f ca="1">'[2]Monthly Curve Calc.'!C147</f>
        <v>209.3471398180418</v>
      </c>
      <c r="D144" s="1512">
        <f ca="1">'[2]Monthly Curve Calc.'!F147</f>
        <v>2.4247547652914823</v>
      </c>
      <c r="E144" s="1304">
        <f t="shared" ca="1" si="49"/>
        <v>1.8463261425002564</v>
      </c>
      <c r="F144" s="1473">
        <f ca="1">IF(Assm!$L$75=0,F143,IF(AND($A144&gt;F$16,MONTH($A144)=MONTH(F$16)),B143/B131,F143))</f>
        <v>1.0749999999999997</v>
      </c>
      <c r="G144" s="1474">
        <f ca="1">IF(Assm!$L$75=0,G143,IF(AND($A144&gt;G$16,MONTH($A144)=MONTH(G$16)),C143/C131,G143))</f>
        <v>1.0273446794171393</v>
      </c>
      <c r="H144" s="1474">
        <f ca="1">IF(Assm!$L$75=0,H143,IF(AND($A144&gt;H$16,MONTH($A144)=MONTH(H$16)),C143/C131-H$18,H143))</f>
        <v>1.0248446794171393</v>
      </c>
      <c r="I144" s="1474">
        <f ca="1">IF(Assm!$L$75=0,I143,IF($A144&gt;=I$16,IF(MONTH($A144)=MONTH(I$16),AVERAGE(D132:D143),I143),I143))</f>
        <v>2.3677358500106247</v>
      </c>
      <c r="J144" s="1475">
        <f ca="1">IF(Assm!$L$75=0,J143,IF($A144&gt;=J$16,IF(MONTH($A144)=MONTH(J$16),AVERAGE(E132:E143),J143),J143))</f>
        <v>1.7745187276387855</v>
      </c>
      <c r="K144" s="958">
        <f t="shared" si="72"/>
        <v>132</v>
      </c>
      <c r="L144" s="1476">
        <f t="shared" ca="1" si="41"/>
        <v>1.0273446794171393</v>
      </c>
      <c r="M144" s="1474">
        <f t="shared" si="51"/>
        <v>0</v>
      </c>
      <c r="N144" s="1475">
        <f t="shared" ca="1" si="64"/>
        <v>1.3038965761068158</v>
      </c>
      <c r="P144" s="1476">
        <f t="shared" ca="1" si="42"/>
        <v>1.0749999999999997</v>
      </c>
      <c r="Q144" s="1474">
        <f t="shared" si="52"/>
        <v>0</v>
      </c>
      <c r="R144" s="1475">
        <f t="shared" ca="1" si="65"/>
        <v>2.2550598503973429</v>
      </c>
      <c r="T144" s="1476">
        <f t="shared" ca="1" si="43"/>
        <v>1.0273446794171393</v>
      </c>
      <c r="U144" s="1474">
        <f t="shared" si="53"/>
        <v>1.0049999999999999</v>
      </c>
      <c r="V144" s="1475">
        <f t="shared" ca="1" si="66"/>
        <v>1.3038965761068158</v>
      </c>
      <c r="X144" s="1476">
        <f t="shared" ca="1" si="44"/>
        <v>1.0248446794171393</v>
      </c>
      <c r="Y144" s="1474">
        <f t="shared" si="54"/>
        <v>1.02</v>
      </c>
      <c r="Z144" s="1475">
        <f t="shared" ca="1" si="67"/>
        <v>1.2827383623400055</v>
      </c>
      <c r="AB144" s="1476">
        <f t="shared" ca="1" si="45"/>
        <v>1.0248446794171393</v>
      </c>
      <c r="AC144" s="1474">
        <f t="shared" si="55"/>
        <v>1.02</v>
      </c>
      <c r="AD144" s="1475">
        <f t="shared" ca="1" si="68"/>
        <v>1.2827383623400055</v>
      </c>
      <c r="AF144" s="1476">
        <f t="shared" ca="1" si="46"/>
        <v>1.0749999999999997</v>
      </c>
      <c r="AG144" s="1474">
        <f t="shared" si="56"/>
        <v>0</v>
      </c>
      <c r="AH144" s="1475">
        <f t="shared" ca="1" si="69"/>
        <v>2.2550598503973429</v>
      </c>
      <c r="AJ144" s="1476">
        <f t="shared" ca="1" si="47"/>
        <v>1.0248446794171393</v>
      </c>
      <c r="AK144" s="1474">
        <f t="shared" si="57"/>
        <v>1.02</v>
      </c>
      <c r="AL144" s="1475">
        <f t="shared" ca="1" si="70"/>
        <v>1.2827383623400055</v>
      </c>
      <c r="AN144" s="1476">
        <f t="shared" ca="1" si="48"/>
        <v>1.0273446794171393</v>
      </c>
      <c r="AO144" s="1474">
        <f t="shared" si="58"/>
        <v>1.0049999999999999</v>
      </c>
      <c r="AP144" s="1475">
        <f t="shared" ca="1" si="71"/>
        <v>1.3038965761068158</v>
      </c>
      <c r="AR144" s="701">
        <f t="shared" si="59"/>
        <v>39203</v>
      </c>
      <c r="AS144" s="1478">
        <f ca="1">IF(AND($A144&gt;=EDATE(AS$17,12),IF(Assm!$L$74=0,$D144,$E144)/AS143&gt;=1.05),IF(Assm!$L$74=0,$D144,$E144),AS143)</f>
        <v>2.3868082917392743</v>
      </c>
      <c r="AT144" s="1478">
        <f t="shared" ca="1" si="60"/>
        <v>1.0523909065114396</v>
      </c>
      <c r="AU144" s="1478">
        <f t="shared" ca="1" si="61"/>
        <v>1.0749999999999997</v>
      </c>
      <c r="AV144" s="1478">
        <f t="shared" ca="1" si="62"/>
        <v>1.0749999999999997</v>
      </c>
      <c r="AW144" s="1475">
        <f t="shared" ca="1" si="63"/>
        <v>2.6106553532859067</v>
      </c>
    </row>
    <row r="145" spans="1:49">
      <c r="A145" s="883">
        <f t="shared" si="50"/>
        <v>39234</v>
      </c>
      <c r="B145" s="1390">
        <f ca="1">'[2]Monthly Curve Calc.'!B148</f>
        <v>319.09627427011861</v>
      </c>
      <c r="C145" s="1391">
        <f ca="1">'[2]Monthly Curve Calc.'!C148</f>
        <v>209.81107399486888</v>
      </c>
      <c r="D145" s="1512">
        <f ca="1">'[2]Monthly Curve Calc.'!F148</f>
        <v>2.4301781275237988</v>
      </c>
      <c r="E145" s="1304">
        <f t="shared" ca="1" si="49"/>
        <v>1.8533797598129984</v>
      </c>
      <c r="F145" s="1473">
        <f ca="1">IF(Assm!$L$75=0,F144,IF(AND($A145&gt;F$16,MONTH($A145)=MONTH(F$16)),B144/B132,F144))</f>
        <v>1.0749999999999997</v>
      </c>
      <c r="G145" s="1474">
        <f ca="1">IF(Assm!$L$75=0,G144,IF(AND($A145&gt;G$16,MONTH($A145)=MONTH(G$16)),C144/C132,G144))</f>
        <v>1.0273446794171393</v>
      </c>
      <c r="H145" s="1474">
        <f ca="1">IF(Assm!$L$75=0,H144,IF(AND($A145&gt;H$16,MONTH($A145)=MONTH(H$16)),C144/C132-H$18,H144))</f>
        <v>1.0248446794171393</v>
      </c>
      <c r="I145" s="1474">
        <f ca="1">IF(Assm!$L$75=0,I144,IF($A145&gt;=I$16,IF(MONTH($A145)=MONTH(I$16),AVERAGE(D133:D144),I144),I144))</f>
        <v>2.3677358500106247</v>
      </c>
      <c r="J145" s="1475">
        <f ca="1">IF(Assm!$L$75=0,J144,IF($A145&gt;=J$16,IF(MONTH($A145)=MONTH(J$16),AVERAGE(E133:E144),J144),J144))</f>
        <v>1.7745187276387855</v>
      </c>
      <c r="K145" s="958">
        <f t="shared" si="72"/>
        <v>133</v>
      </c>
      <c r="L145" s="1476">
        <f t="shared" ref="L145:L208" ca="1" si="73">HLOOKUP(L$14,Dec_Change,$K145)</f>
        <v>1.0273446794171393</v>
      </c>
      <c r="M145" s="1474">
        <f t="shared" si="51"/>
        <v>0</v>
      </c>
      <c r="N145" s="1475">
        <f t="shared" ca="1" si="64"/>
        <v>1.3038965761068158</v>
      </c>
      <c r="P145" s="1476">
        <f t="shared" ref="P145:P208" ca="1" si="74">HLOOKUP(P$14,Dec_Change,$K145)</f>
        <v>1.0749999999999997</v>
      </c>
      <c r="Q145" s="1474">
        <f t="shared" si="52"/>
        <v>0</v>
      </c>
      <c r="R145" s="1475">
        <f t="shared" ca="1" si="65"/>
        <v>2.2550598503973429</v>
      </c>
      <c r="T145" s="1476">
        <f t="shared" ref="T145:T208" ca="1" si="75">HLOOKUP(T$14,Dec_Change,$K145)</f>
        <v>1.0273446794171393</v>
      </c>
      <c r="U145" s="1474">
        <f t="shared" si="53"/>
        <v>1.0049999999999999</v>
      </c>
      <c r="V145" s="1475">
        <f t="shared" ca="1" si="66"/>
        <v>1.3038965761068158</v>
      </c>
      <c r="X145" s="1476">
        <f t="shared" ref="X145:X208" ca="1" si="76">HLOOKUP(X$14,Dec_Change,$K145)</f>
        <v>1.0248446794171393</v>
      </c>
      <c r="Y145" s="1474">
        <f t="shared" si="54"/>
        <v>1.02</v>
      </c>
      <c r="Z145" s="1475">
        <f t="shared" ca="1" si="67"/>
        <v>1.2827383623400055</v>
      </c>
      <c r="AB145" s="1476">
        <f t="shared" ref="AB145:AB208" ca="1" si="77">HLOOKUP(AB$14,Dec_Change,$K145)</f>
        <v>1.0248446794171393</v>
      </c>
      <c r="AC145" s="1474">
        <f t="shared" si="55"/>
        <v>1.02</v>
      </c>
      <c r="AD145" s="1475">
        <f t="shared" ca="1" si="68"/>
        <v>1.2827383623400055</v>
      </c>
      <c r="AF145" s="1476">
        <f t="shared" ref="AF145:AF208" ca="1" si="78">HLOOKUP(AF$14,Dec_Change,$K145)</f>
        <v>1.0749999999999997</v>
      </c>
      <c r="AG145" s="1474">
        <f t="shared" si="56"/>
        <v>0</v>
      </c>
      <c r="AH145" s="1475">
        <f t="shared" ca="1" si="69"/>
        <v>2.2550598503973429</v>
      </c>
      <c r="AJ145" s="1476">
        <f t="shared" ref="AJ145:AJ208" ca="1" si="79">HLOOKUP(AJ$14,Dec_Change,$K145)</f>
        <v>1.0248446794171393</v>
      </c>
      <c r="AK145" s="1474">
        <f t="shared" si="57"/>
        <v>1.02</v>
      </c>
      <c r="AL145" s="1475">
        <f t="shared" ca="1" si="70"/>
        <v>1.2827383623400055</v>
      </c>
      <c r="AN145" s="1476">
        <f t="shared" ref="AN145:AN208" ca="1" si="80">HLOOKUP(AN$14,Dec_Change,$K145)</f>
        <v>1.0273446794171393</v>
      </c>
      <c r="AO145" s="1474">
        <f t="shared" si="58"/>
        <v>1.0049999999999999</v>
      </c>
      <c r="AP145" s="1475">
        <f t="shared" ca="1" si="71"/>
        <v>1.3038965761068158</v>
      </c>
      <c r="AR145" s="701">
        <f t="shared" si="59"/>
        <v>39234</v>
      </c>
      <c r="AS145" s="1478">
        <f ca="1">IF(AND($A145&gt;=EDATE(AS$17,12),IF(Assm!$L$74=0,$D145,$E145)/AS144&gt;=1.05),IF(Assm!$L$74=0,$D145,$E145),AS144)</f>
        <v>2.3868082917392743</v>
      </c>
      <c r="AT145" s="1478">
        <f t="shared" ca="1" si="60"/>
        <v>1.0523909065114396</v>
      </c>
      <c r="AU145" s="1478">
        <f t="shared" ca="1" si="61"/>
        <v>1.0749999999999997</v>
      </c>
      <c r="AV145" s="1478">
        <f t="shared" ca="1" si="62"/>
        <v>1.0749999999999997</v>
      </c>
      <c r="AW145" s="1475">
        <f t="shared" ca="1" si="63"/>
        <v>2.6106553532859067</v>
      </c>
    </row>
    <row r="146" spans="1:49">
      <c r="A146" s="883">
        <f t="shared" si="50"/>
        <v>39264</v>
      </c>
      <c r="B146" s="1390">
        <f ca="1">'[2]Monthly Curve Calc.'!B149</f>
        <v>321.02518540903463</v>
      </c>
      <c r="C146" s="1391">
        <f ca="1">'[2]Monthly Curve Calc.'!C149</f>
        <v>210.2760362961815</v>
      </c>
      <c r="D146" s="1512">
        <f ca="1">'[2]Monthly Curve Calc.'!F149</f>
        <v>2.4356136199963871</v>
      </c>
      <c r="E146" s="1304">
        <f t="shared" ca="1" si="49"/>
        <v>1.8604603244326379</v>
      </c>
      <c r="F146" s="1473">
        <f ca="1">IF(Assm!$L$75=0,F145,IF(AND($A146&gt;F$16,MONTH($A146)=MONTH(F$16)),B145/B133,F145))</f>
        <v>1.0749999999999997</v>
      </c>
      <c r="G146" s="1474">
        <f ca="1">IF(Assm!$L$75=0,G145,IF(AND($A146&gt;G$16,MONTH($A146)=MONTH(G$16)),C145/C133,G145))</f>
        <v>1.0273446794171393</v>
      </c>
      <c r="H146" s="1474">
        <f ca="1">IF(Assm!$L$75=0,H145,IF(AND($A146&gt;H$16,MONTH($A146)=MONTH(H$16)),C145/C133-H$18,H145))</f>
        <v>1.0248446794171393</v>
      </c>
      <c r="I146" s="1474">
        <f ca="1">IF(Assm!$L$75=0,I145,IF($A146&gt;=I$16,IF(MONTH($A146)=MONTH(I$16),AVERAGE(D134:D145),I145),I145))</f>
        <v>2.3677358500106247</v>
      </c>
      <c r="J146" s="1475">
        <f ca="1">IF(Assm!$L$75=0,J145,IF($A146&gt;=J$16,IF(MONTH($A146)=MONTH(J$16),AVERAGE(E134:E145),J145),J145))</f>
        <v>1.7745187276387855</v>
      </c>
      <c r="K146" s="958">
        <f t="shared" si="72"/>
        <v>134</v>
      </c>
      <c r="L146" s="1476">
        <f t="shared" ca="1" si="73"/>
        <v>1.0273446794171393</v>
      </c>
      <c r="M146" s="1474">
        <f t="shared" si="51"/>
        <v>0</v>
      </c>
      <c r="N146" s="1475">
        <f t="shared" ca="1" si="64"/>
        <v>1.3038965761068158</v>
      </c>
      <c r="P146" s="1476">
        <f t="shared" ca="1" si="74"/>
        <v>1.0749999999999997</v>
      </c>
      <c r="Q146" s="1474">
        <f t="shared" si="52"/>
        <v>0</v>
      </c>
      <c r="R146" s="1475">
        <f t="shared" ca="1" si="65"/>
        <v>2.2550598503973429</v>
      </c>
      <c r="T146" s="1476">
        <f t="shared" ca="1" si="75"/>
        <v>1.0273446794171393</v>
      </c>
      <c r="U146" s="1474">
        <f t="shared" si="53"/>
        <v>1.0049999999999999</v>
      </c>
      <c r="V146" s="1475">
        <f t="shared" ca="1" si="66"/>
        <v>1.3038965761068158</v>
      </c>
      <c r="X146" s="1476">
        <f t="shared" ca="1" si="76"/>
        <v>1.0248446794171393</v>
      </c>
      <c r="Y146" s="1474">
        <f t="shared" si="54"/>
        <v>1.02</v>
      </c>
      <c r="Z146" s="1475">
        <f t="shared" ca="1" si="67"/>
        <v>1.2827383623400055</v>
      </c>
      <c r="AB146" s="1476">
        <f t="shared" ca="1" si="77"/>
        <v>1.0248446794171393</v>
      </c>
      <c r="AC146" s="1474">
        <f t="shared" si="55"/>
        <v>1.02</v>
      </c>
      <c r="AD146" s="1475">
        <f t="shared" ca="1" si="68"/>
        <v>1.2827383623400055</v>
      </c>
      <c r="AF146" s="1476">
        <f t="shared" ca="1" si="78"/>
        <v>1.0749999999999997</v>
      </c>
      <c r="AG146" s="1474">
        <f t="shared" si="56"/>
        <v>0</v>
      </c>
      <c r="AH146" s="1475">
        <f t="shared" ca="1" si="69"/>
        <v>2.2550598503973429</v>
      </c>
      <c r="AJ146" s="1476">
        <f t="shared" ca="1" si="79"/>
        <v>1.0248446794171393</v>
      </c>
      <c r="AK146" s="1474">
        <f t="shared" si="57"/>
        <v>1.02</v>
      </c>
      <c r="AL146" s="1475">
        <f t="shared" ca="1" si="70"/>
        <v>1.2827383623400055</v>
      </c>
      <c r="AN146" s="1476">
        <f t="shared" ca="1" si="80"/>
        <v>1.0273446794171393</v>
      </c>
      <c r="AO146" s="1474">
        <f t="shared" si="58"/>
        <v>1.0049999999999999</v>
      </c>
      <c r="AP146" s="1475">
        <f t="shared" ca="1" si="71"/>
        <v>1.3038965761068158</v>
      </c>
      <c r="AR146" s="701">
        <f t="shared" si="59"/>
        <v>39264</v>
      </c>
      <c r="AS146" s="1478">
        <f ca="1">IF(AND($A146&gt;=EDATE(AS$17,12),IF(Assm!$L$74=0,$D146,$E146)/AS145&gt;=1.05),IF(Assm!$L$74=0,$D146,$E146),AS145)</f>
        <v>2.3868082917392743</v>
      </c>
      <c r="AT146" s="1478">
        <f t="shared" ca="1" si="60"/>
        <v>1.0523909065114396</v>
      </c>
      <c r="AU146" s="1478">
        <f t="shared" ca="1" si="61"/>
        <v>1.0749999999999997</v>
      </c>
      <c r="AV146" s="1478">
        <f t="shared" ca="1" si="62"/>
        <v>1.0749999999999997</v>
      </c>
      <c r="AW146" s="1475">
        <f t="shared" ca="1" si="63"/>
        <v>2.6106553532859067</v>
      </c>
    </row>
    <row r="147" spans="1:49">
      <c r="A147" s="883">
        <f t="shared" si="50"/>
        <v>39295</v>
      </c>
      <c r="B147" s="1390">
        <f ca="1">'[2]Monthly Curve Calc.'!B150</f>
        <v>322.96575665959051</v>
      </c>
      <c r="C147" s="1391">
        <f ca="1">'[2]Monthly Curve Calc.'!C150</f>
        <v>210.74202900040626</v>
      </c>
      <c r="D147" s="1512">
        <f ca="1">'[2]Monthly Curve Calc.'!F150</f>
        <v>2.4410612698405219</v>
      </c>
      <c r="E147" s="1304">
        <f t="shared" ref="E147:E210" ca="1" si="81">IF($A147&lt;=E$16,D147,(B147/B146)/(C147/C146)*E146)</f>
        <v>1.867567939307395</v>
      </c>
      <c r="F147" s="1473">
        <f ca="1">IF(Assm!$L$75=0,F146,IF(AND($A147&gt;F$16,MONTH($A147)=MONTH(F$16)),B146/B134,F146))</f>
        <v>1.0749999999999997</v>
      </c>
      <c r="G147" s="1474">
        <f ca="1">IF(Assm!$L$75=0,G146,IF(AND($A147&gt;G$16,MONTH($A147)=MONTH(G$16)),C146/C134,G146))</f>
        <v>1.0273446794171393</v>
      </c>
      <c r="H147" s="1474">
        <f ca="1">IF(Assm!$L$75=0,H146,IF(AND($A147&gt;H$16,MONTH($A147)=MONTH(H$16)),C146/C134-H$18,H146))</f>
        <v>1.0248446794171393</v>
      </c>
      <c r="I147" s="1474">
        <f ca="1">IF(Assm!$L$75=0,I146,IF($A147&gt;=I$16,IF(MONTH($A147)=MONTH(I$16),AVERAGE(D135:D146),I146),I146))</f>
        <v>2.3677358500106247</v>
      </c>
      <c r="J147" s="1475">
        <f ca="1">IF(Assm!$L$75=0,J146,IF($A147&gt;=J$16,IF(MONTH($A147)=MONTH(J$16),AVERAGE(E135:E146),J146),J146))</f>
        <v>1.7745187276387855</v>
      </c>
      <c r="K147" s="958">
        <f t="shared" si="72"/>
        <v>135</v>
      </c>
      <c r="L147" s="1476">
        <f t="shared" ca="1" si="73"/>
        <v>1.0273446794171393</v>
      </c>
      <c r="M147" s="1474">
        <f t="shared" si="51"/>
        <v>0</v>
      </c>
      <c r="N147" s="1475">
        <f t="shared" ca="1" si="64"/>
        <v>1.3038965761068158</v>
      </c>
      <c r="P147" s="1476">
        <f t="shared" ca="1" si="74"/>
        <v>1.0749999999999997</v>
      </c>
      <c r="Q147" s="1474">
        <f t="shared" si="52"/>
        <v>0</v>
      </c>
      <c r="R147" s="1475">
        <f t="shared" ca="1" si="65"/>
        <v>2.2550598503973429</v>
      </c>
      <c r="T147" s="1476">
        <f t="shared" ca="1" si="75"/>
        <v>1.0273446794171393</v>
      </c>
      <c r="U147" s="1474">
        <f t="shared" si="53"/>
        <v>1.0049999999999999</v>
      </c>
      <c r="V147" s="1475">
        <f t="shared" ca="1" si="66"/>
        <v>1.3038965761068158</v>
      </c>
      <c r="X147" s="1476">
        <f t="shared" ca="1" si="76"/>
        <v>1.0248446794171393</v>
      </c>
      <c r="Y147" s="1474">
        <f t="shared" si="54"/>
        <v>1.02</v>
      </c>
      <c r="Z147" s="1475">
        <f t="shared" ca="1" si="67"/>
        <v>1.2827383623400055</v>
      </c>
      <c r="AB147" s="1476">
        <f t="shared" ca="1" si="77"/>
        <v>1.0248446794171393</v>
      </c>
      <c r="AC147" s="1474">
        <f t="shared" si="55"/>
        <v>1.02</v>
      </c>
      <c r="AD147" s="1475">
        <f t="shared" ca="1" si="68"/>
        <v>1.2827383623400055</v>
      </c>
      <c r="AF147" s="1476">
        <f t="shared" ca="1" si="78"/>
        <v>1.0749999999999997</v>
      </c>
      <c r="AG147" s="1474">
        <f t="shared" si="56"/>
        <v>0</v>
      </c>
      <c r="AH147" s="1475">
        <f t="shared" ca="1" si="69"/>
        <v>2.2550598503973429</v>
      </c>
      <c r="AJ147" s="1476">
        <f t="shared" ca="1" si="79"/>
        <v>1.0248446794171393</v>
      </c>
      <c r="AK147" s="1474">
        <f t="shared" si="57"/>
        <v>1.02</v>
      </c>
      <c r="AL147" s="1475">
        <f t="shared" ca="1" si="70"/>
        <v>1.2827383623400055</v>
      </c>
      <c r="AN147" s="1476">
        <f t="shared" ca="1" si="80"/>
        <v>1.0273446794171393</v>
      </c>
      <c r="AO147" s="1474">
        <f t="shared" si="58"/>
        <v>1.0049999999999999</v>
      </c>
      <c r="AP147" s="1475">
        <f t="shared" ca="1" si="71"/>
        <v>1.3038965761068158</v>
      </c>
      <c r="AR147" s="701">
        <f t="shared" si="59"/>
        <v>39295</v>
      </c>
      <c r="AS147" s="1478">
        <f ca="1">IF(AND($A147&gt;=EDATE(AS$17,12),IF(Assm!$L$74=0,$D147,$E147)/AS146&gt;=1.05),IF(Assm!$L$74=0,$D147,$E147),AS146)</f>
        <v>2.3868082917392743</v>
      </c>
      <c r="AT147" s="1478">
        <f t="shared" ca="1" si="60"/>
        <v>1.0523909065114396</v>
      </c>
      <c r="AU147" s="1478">
        <f t="shared" ca="1" si="61"/>
        <v>1.0749999999999997</v>
      </c>
      <c r="AV147" s="1478">
        <f t="shared" ca="1" si="62"/>
        <v>1.0749999999999997</v>
      </c>
      <c r="AW147" s="1475">
        <f t="shared" ca="1" si="63"/>
        <v>2.6106553532859067</v>
      </c>
    </row>
    <row r="148" spans="1:49">
      <c r="A148" s="883">
        <f t="shared" ref="A148:A211" si="82">EDATE(A147,1)</f>
        <v>39326</v>
      </c>
      <c r="B148" s="1390">
        <f ca="1">'[2]Monthly Curve Calc.'!B151</f>
        <v>324.91805850621682</v>
      </c>
      <c r="C148" s="1391">
        <f ca="1">'[2]Monthly Curve Calc.'!C151</f>
        <v>211.20905439101895</v>
      </c>
      <c r="D148" s="1512">
        <f ca="1">'[2]Monthly Curve Calc.'!F151</f>
        <v>2.4465211042481605</v>
      </c>
      <c r="E148" s="1304">
        <f t="shared" ca="1" si="81"/>
        <v>1.8747027077787886</v>
      </c>
      <c r="F148" s="1473">
        <f ca="1">IF(Assm!$L$75=0,F147,IF(AND($A148&gt;F$16,MONTH($A148)=MONTH(F$16)),B147/B135,F147))</f>
        <v>1.0749999999999997</v>
      </c>
      <c r="G148" s="1474">
        <f ca="1">IF(Assm!$L$75=0,G147,IF(AND($A148&gt;G$16,MONTH($A148)=MONTH(G$16)),C147/C135,G147))</f>
        <v>1.0273446794171393</v>
      </c>
      <c r="H148" s="1474">
        <f ca="1">IF(Assm!$L$75=0,H147,IF(AND($A148&gt;H$16,MONTH($A148)=MONTH(H$16)),C147/C135-H$18,H147))</f>
        <v>1.0248446794171393</v>
      </c>
      <c r="I148" s="1474">
        <f ca="1">IF(Assm!$L$75=0,I147,IF($A148&gt;=I$16,IF(MONTH($A148)=MONTH(I$16),AVERAGE(D136:D147),I147),I147))</f>
        <v>2.3677358500106247</v>
      </c>
      <c r="J148" s="1475">
        <f ca="1">IF(Assm!$L$75=0,J147,IF($A148&gt;=J$16,IF(MONTH($A148)=MONTH(J$16),AVERAGE(E136:E147),J147),J147))</f>
        <v>1.7745187276387855</v>
      </c>
      <c r="K148" s="958">
        <f t="shared" si="72"/>
        <v>136</v>
      </c>
      <c r="L148" s="1476">
        <f t="shared" ca="1" si="73"/>
        <v>1.0273446794171393</v>
      </c>
      <c r="M148" s="1474">
        <f t="shared" ref="M148:M211" si="83">M147</f>
        <v>0</v>
      </c>
      <c r="N148" s="1475">
        <f t="shared" ca="1" si="64"/>
        <v>1.3038965761068158</v>
      </c>
      <c r="P148" s="1476">
        <f t="shared" ca="1" si="74"/>
        <v>1.0749999999999997</v>
      </c>
      <c r="Q148" s="1474">
        <f t="shared" ref="Q148:Q211" si="84">Q147</f>
        <v>0</v>
      </c>
      <c r="R148" s="1475">
        <f t="shared" ca="1" si="65"/>
        <v>2.2550598503973429</v>
      </c>
      <c r="T148" s="1476">
        <f t="shared" ca="1" si="75"/>
        <v>1.0273446794171393</v>
      </c>
      <c r="U148" s="1474">
        <f t="shared" ref="U148:U211" si="85">U147</f>
        <v>1.0049999999999999</v>
      </c>
      <c r="V148" s="1475">
        <f t="shared" ca="1" si="66"/>
        <v>1.3038965761068158</v>
      </c>
      <c r="X148" s="1476">
        <f t="shared" ca="1" si="76"/>
        <v>1.0248446794171393</v>
      </c>
      <c r="Y148" s="1474">
        <f t="shared" ref="Y148:Y211" si="86">Y147</f>
        <v>1.02</v>
      </c>
      <c r="Z148" s="1475">
        <f t="shared" ca="1" si="67"/>
        <v>1.2827383623400055</v>
      </c>
      <c r="AB148" s="1476">
        <f t="shared" ca="1" si="77"/>
        <v>1.0248446794171393</v>
      </c>
      <c r="AC148" s="1474">
        <f t="shared" ref="AC148:AC211" si="87">AC147</f>
        <v>1.02</v>
      </c>
      <c r="AD148" s="1475">
        <f t="shared" ca="1" si="68"/>
        <v>1.2827383623400055</v>
      </c>
      <c r="AF148" s="1476">
        <f t="shared" ca="1" si="78"/>
        <v>1.0749999999999997</v>
      </c>
      <c r="AG148" s="1474">
        <f t="shared" ref="AG148:AG211" si="88">AG147</f>
        <v>0</v>
      </c>
      <c r="AH148" s="1475">
        <f t="shared" ca="1" si="69"/>
        <v>2.2550598503973429</v>
      </c>
      <c r="AJ148" s="1476">
        <f t="shared" ca="1" si="79"/>
        <v>1.0248446794171393</v>
      </c>
      <c r="AK148" s="1474">
        <f t="shared" ref="AK148:AK211" si="89">AK147</f>
        <v>1.02</v>
      </c>
      <c r="AL148" s="1475">
        <f t="shared" ca="1" si="70"/>
        <v>1.2827383623400055</v>
      </c>
      <c r="AN148" s="1476">
        <f t="shared" ca="1" si="80"/>
        <v>1.0273446794171393</v>
      </c>
      <c r="AO148" s="1474">
        <f t="shared" ref="AO148:AO211" si="90">AO147</f>
        <v>1.0049999999999999</v>
      </c>
      <c r="AP148" s="1475">
        <f t="shared" ca="1" si="71"/>
        <v>1.3038965761068158</v>
      </c>
      <c r="AR148" s="701">
        <f t="shared" ref="AR148:AR211" si="91">$A148</f>
        <v>39326</v>
      </c>
      <c r="AS148" s="1478">
        <f ca="1">IF(AND($A148&gt;=EDATE(AS$17,12),IF(Assm!$L$74=0,$D148,$E148)/AS147&gt;=1.05),IF(Assm!$L$74=0,$D148,$E148),AS147)</f>
        <v>2.3868082917392743</v>
      </c>
      <c r="AT148" s="1478">
        <f t="shared" ref="AT148:AT211" ca="1" si="92">IF(AS148/AS147=1,AT147,AS148/AS147)</f>
        <v>1.0523909065114396</v>
      </c>
      <c r="AU148" s="1478">
        <f t="shared" ref="AU148:AU211" ca="1" si="93">F148</f>
        <v>1.0749999999999997</v>
      </c>
      <c r="AV148" s="1478">
        <f t="shared" ref="AV148:AV211" ca="1" si="94">MAX(AT148,AU148)</f>
        <v>1.0749999999999997</v>
      </c>
      <c r="AW148" s="1475">
        <f t="shared" ca="1" si="63"/>
        <v>2.6106553532859067</v>
      </c>
    </row>
    <row r="149" spans="1:49">
      <c r="A149" s="883">
        <f t="shared" si="82"/>
        <v>39356</v>
      </c>
      <c r="B149" s="1390">
        <f ca="1">'[2]Monthly Curve Calc.'!B152</f>
        <v>326.88216185941701</v>
      </c>
      <c r="C149" s="1391">
        <f ca="1">'[2]Monthly Curve Calc.'!C152</f>
        <v>211.67711475655577</v>
      </c>
      <c r="D149" s="1512">
        <f ca="1">'[2]Monthly Curve Calc.'!F152</f>
        <v>2.4519931504720804</v>
      </c>
      <c r="E149" s="1304">
        <f t="shared" ca="1" si="81"/>
        <v>1.8818647335831387</v>
      </c>
      <c r="F149" s="1473">
        <f ca="1">IF(Assm!$L$75=0,F148,IF(AND($A149&gt;F$16,MONTH($A149)=MONTH(F$16)),B148/B136,F148))</f>
        <v>1.0749999999999997</v>
      </c>
      <c r="G149" s="1474">
        <f ca="1">IF(Assm!$L$75=0,G148,IF(AND($A149&gt;G$16,MONTH($A149)=MONTH(G$16)),C148/C136,G148))</f>
        <v>1.0273446794171393</v>
      </c>
      <c r="H149" s="1474">
        <f ca="1">IF(Assm!$L$75=0,H148,IF(AND($A149&gt;H$16,MONTH($A149)=MONTH(H$16)),C148/C136-H$18,H148))</f>
        <v>1.0248446794171393</v>
      </c>
      <c r="I149" s="1474">
        <f ca="1">IF(Assm!$L$75=0,I148,IF($A149&gt;=I$16,IF(MONTH($A149)=MONTH(I$16),AVERAGE(D137:D148),I148),I148))</f>
        <v>2.3677358500106247</v>
      </c>
      <c r="J149" s="1475">
        <f ca="1">IF(Assm!$L$75=0,J148,IF($A149&gt;=J$16,IF(MONTH($A149)=MONTH(J$16),AVERAGE(E137:E148),J148),J148))</f>
        <v>1.7745187276387855</v>
      </c>
      <c r="K149" s="958">
        <f t="shared" si="72"/>
        <v>137</v>
      </c>
      <c r="L149" s="1476">
        <f t="shared" ca="1" si="73"/>
        <v>1.0273446794171393</v>
      </c>
      <c r="M149" s="1474">
        <f t="shared" si="83"/>
        <v>0</v>
      </c>
      <c r="N149" s="1475">
        <f t="shared" ca="1" si="64"/>
        <v>1.3038965761068158</v>
      </c>
      <c r="P149" s="1476">
        <f t="shared" ca="1" si="74"/>
        <v>1.0749999999999997</v>
      </c>
      <c r="Q149" s="1474">
        <f t="shared" si="84"/>
        <v>0</v>
      </c>
      <c r="R149" s="1475">
        <f t="shared" ca="1" si="65"/>
        <v>2.2550598503973429</v>
      </c>
      <c r="T149" s="1476">
        <f t="shared" ca="1" si="75"/>
        <v>1.0273446794171393</v>
      </c>
      <c r="U149" s="1474">
        <f t="shared" si="85"/>
        <v>1.0049999999999999</v>
      </c>
      <c r="V149" s="1475">
        <f t="shared" ca="1" si="66"/>
        <v>1.3038965761068158</v>
      </c>
      <c r="X149" s="1476">
        <f t="shared" ca="1" si="76"/>
        <v>1.0248446794171393</v>
      </c>
      <c r="Y149" s="1474">
        <f t="shared" si="86"/>
        <v>1.02</v>
      </c>
      <c r="Z149" s="1475">
        <f t="shared" ca="1" si="67"/>
        <v>1.2827383623400055</v>
      </c>
      <c r="AB149" s="1476">
        <f t="shared" ca="1" si="77"/>
        <v>1.0248446794171393</v>
      </c>
      <c r="AC149" s="1474">
        <f t="shared" si="87"/>
        <v>1.02</v>
      </c>
      <c r="AD149" s="1475">
        <f t="shared" ca="1" si="68"/>
        <v>1.2827383623400055</v>
      </c>
      <c r="AF149" s="1476">
        <f t="shared" ca="1" si="78"/>
        <v>1.0749999999999997</v>
      </c>
      <c r="AG149" s="1474">
        <f t="shared" si="88"/>
        <v>0</v>
      </c>
      <c r="AH149" s="1475">
        <f t="shared" ca="1" si="69"/>
        <v>2.2550598503973429</v>
      </c>
      <c r="AJ149" s="1476">
        <f t="shared" ca="1" si="79"/>
        <v>1.0248446794171393</v>
      </c>
      <c r="AK149" s="1474">
        <f t="shared" si="89"/>
        <v>1.02</v>
      </c>
      <c r="AL149" s="1475">
        <f t="shared" ca="1" si="70"/>
        <v>1.2827383623400055</v>
      </c>
      <c r="AN149" s="1476">
        <f t="shared" ca="1" si="80"/>
        <v>1.0273446794171393</v>
      </c>
      <c r="AO149" s="1474">
        <f t="shared" si="90"/>
        <v>1.0049999999999999</v>
      </c>
      <c r="AP149" s="1475">
        <f t="shared" ca="1" si="71"/>
        <v>1.3038965761068158</v>
      </c>
      <c r="AR149" s="701">
        <f t="shared" si="91"/>
        <v>39356</v>
      </c>
      <c r="AS149" s="1478">
        <f ca="1">IF(AND($A149&gt;=EDATE(AS$17,12),IF(Assm!$L$74=0,$D149,$E149)/AS148&gt;=1.05),IF(Assm!$L$74=0,$D149,$E149),AS148)</f>
        <v>2.3868082917392743</v>
      </c>
      <c r="AT149" s="1478">
        <f t="shared" ca="1" si="92"/>
        <v>1.0523909065114396</v>
      </c>
      <c r="AU149" s="1478">
        <f t="shared" ca="1" si="93"/>
        <v>1.0749999999999997</v>
      </c>
      <c r="AV149" s="1478">
        <f t="shared" ca="1" si="94"/>
        <v>1.0749999999999997</v>
      </c>
      <c r="AW149" s="1475">
        <f t="shared" ref="AW149:AW212" ca="1" si="95">IF(AV149=AV148,AW148,AV149*AW148)</f>
        <v>2.6106553532859067</v>
      </c>
    </row>
    <row r="150" spans="1:49">
      <c r="A150" s="883">
        <f t="shared" si="82"/>
        <v>39387</v>
      </c>
      <c r="B150" s="1390">
        <f ca="1">'[2]Monthly Curve Calc.'!B153</f>
        <v>328.8581380583426</v>
      </c>
      <c r="C150" s="1391">
        <f ca="1">'[2]Monthly Curve Calc.'!C153</f>
        <v>212.14621239062456</v>
      </c>
      <c r="D150" s="1512">
        <f ca="1">'[2]Monthly Curve Calc.'!F153</f>
        <v>2.4574774358260143</v>
      </c>
      <c r="E150" s="1304">
        <f t="shared" ca="1" si="81"/>
        <v>1.8890541208530742</v>
      </c>
      <c r="F150" s="1473">
        <f ca="1">IF(Assm!$L$75=0,F149,IF(AND($A150&gt;F$16,MONTH($A150)=MONTH(F$16)),B149/B137,F149))</f>
        <v>1.0749999999999997</v>
      </c>
      <c r="G150" s="1474">
        <f ca="1">IF(Assm!$L$75=0,G149,IF(AND($A150&gt;G$16,MONTH($A150)=MONTH(G$16)),C149/C137,G149))</f>
        <v>1.0273446794171393</v>
      </c>
      <c r="H150" s="1474">
        <f ca="1">IF(Assm!$L$75=0,H149,IF(AND($A150&gt;H$16,MONTH($A150)=MONTH(H$16)),C149/C137-H$18,H149))</f>
        <v>1.0248446794171393</v>
      </c>
      <c r="I150" s="1474">
        <f ca="1">IF(Assm!$L$75=0,I149,IF($A150&gt;=I$16,IF(MONTH($A150)=MONTH(I$16),AVERAGE(D138:D149),I149),I149))</f>
        <v>2.3677358500106247</v>
      </c>
      <c r="J150" s="1475">
        <f ca="1">IF(Assm!$L$75=0,J149,IF($A150&gt;=J$16,IF(MONTH($A150)=MONTH(J$16),AVERAGE(E138:E149),J149),J149))</f>
        <v>1.7745187276387855</v>
      </c>
      <c r="K150" s="958">
        <f t="shared" si="72"/>
        <v>138</v>
      </c>
      <c r="L150" s="1476">
        <f t="shared" ca="1" si="73"/>
        <v>1.0273446794171393</v>
      </c>
      <c r="M150" s="1474">
        <f t="shared" si="83"/>
        <v>0</v>
      </c>
      <c r="N150" s="1475">
        <f t="shared" ca="1" si="64"/>
        <v>1.3038965761068158</v>
      </c>
      <c r="P150" s="1476">
        <f t="shared" ca="1" si="74"/>
        <v>1.0749999999999997</v>
      </c>
      <c r="Q150" s="1474">
        <f t="shared" si="84"/>
        <v>0</v>
      </c>
      <c r="R150" s="1475">
        <f t="shared" ca="1" si="65"/>
        <v>2.2550598503973429</v>
      </c>
      <c r="T150" s="1476">
        <f t="shared" ca="1" si="75"/>
        <v>1.0273446794171393</v>
      </c>
      <c r="U150" s="1474">
        <f t="shared" si="85"/>
        <v>1.0049999999999999</v>
      </c>
      <c r="V150" s="1475">
        <f t="shared" ca="1" si="66"/>
        <v>1.3038965761068158</v>
      </c>
      <c r="X150" s="1476">
        <f t="shared" ca="1" si="76"/>
        <v>1.0248446794171393</v>
      </c>
      <c r="Y150" s="1474">
        <f t="shared" si="86"/>
        <v>1.02</v>
      </c>
      <c r="Z150" s="1475">
        <f t="shared" ca="1" si="67"/>
        <v>1.2827383623400055</v>
      </c>
      <c r="AB150" s="1476">
        <f t="shared" ca="1" si="77"/>
        <v>1.0248446794171393</v>
      </c>
      <c r="AC150" s="1474">
        <f t="shared" si="87"/>
        <v>1.02</v>
      </c>
      <c r="AD150" s="1475">
        <f t="shared" ca="1" si="68"/>
        <v>1.2827383623400055</v>
      </c>
      <c r="AF150" s="1476">
        <f t="shared" ca="1" si="78"/>
        <v>1.0749999999999997</v>
      </c>
      <c r="AG150" s="1474">
        <f t="shared" si="88"/>
        <v>0</v>
      </c>
      <c r="AH150" s="1475">
        <f t="shared" ca="1" si="69"/>
        <v>2.2550598503973429</v>
      </c>
      <c r="AJ150" s="1476">
        <f t="shared" ca="1" si="79"/>
        <v>1.0248446794171393</v>
      </c>
      <c r="AK150" s="1474">
        <f t="shared" si="89"/>
        <v>1.02</v>
      </c>
      <c r="AL150" s="1475">
        <f t="shared" ca="1" si="70"/>
        <v>1.2827383623400055</v>
      </c>
      <c r="AN150" s="1476">
        <f t="shared" ca="1" si="80"/>
        <v>1.0273446794171393</v>
      </c>
      <c r="AO150" s="1474">
        <f t="shared" si="90"/>
        <v>1.0049999999999999</v>
      </c>
      <c r="AP150" s="1475">
        <f t="shared" ca="1" si="71"/>
        <v>1.3038965761068158</v>
      </c>
      <c r="AR150" s="701">
        <f t="shared" si="91"/>
        <v>39387</v>
      </c>
      <c r="AS150" s="1478">
        <f ca="1">IF(AND($A150&gt;=EDATE(AS$17,12),IF(Assm!$L$74=0,$D150,$E150)/AS149&gt;=1.05),IF(Assm!$L$74=0,$D150,$E150),AS149)</f>
        <v>2.3868082917392743</v>
      </c>
      <c r="AT150" s="1478">
        <f t="shared" ca="1" si="92"/>
        <v>1.0523909065114396</v>
      </c>
      <c r="AU150" s="1478">
        <f t="shared" ca="1" si="93"/>
        <v>1.0749999999999997</v>
      </c>
      <c r="AV150" s="1478">
        <f t="shared" ca="1" si="94"/>
        <v>1.0749999999999997</v>
      </c>
      <c r="AW150" s="1475">
        <f t="shared" ca="1" si="95"/>
        <v>2.6106553532859067</v>
      </c>
    </row>
    <row r="151" spans="1:49">
      <c r="A151" s="883">
        <f t="shared" si="82"/>
        <v>39417</v>
      </c>
      <c r="B151" s="1390">
        <f ca="1">'[2]Monthly Curve Calc.'!B154</f>
        <v>330.84605887338461</v>
      </c>
      <c r="C151" s="1391">
        <f ca="1">'[2]Monthly Curve Calc.'!C154</f>
        <v>212.61634959191602</v>
      </c>
      <c r="D151" s="1512">
        <f ca="1">'[2]Monthly Curve Calc.'!F154</f>
        <v>2.4629739876847867</v>
      </c>
      <c r="E151" s="1304">
        <f t="shared" ca="1" si="81"/>
        <v>1.8962709741190482</v>
      </c>
      <c r="F151" s="1473">
        <f ca="1">IF(Assm!$L$75=0,F150,IF(AND($A151&gt;F$16,MONTH($A151)=MONTH(F$16)),B150/B138,F150))</f>
        <v>1.0749999999999997</v>
      </c>
      <c r="G151" s="1474">
        <f ca="1">IF(Assm!$L$75=0,G150,IF(AND($A151&gt;G$16,MONTH($A151)=MONTH(G$16)),C150/C138,G150))</f>
        <v>1.0273446794171393</v>
      </c>
      <c r="H151" s="1474">
        <f ca="1">IF(Assm!$L$75=0,H150,IF(AND($A151&gt;H$16,MONTH($A151)=MONTH(H$16)),C150/C138-H$18,H150))</f>
        <v>1.0248446794171393</v>
      </c>
      <c r="I151" s="1474">
        <f ca="1">IF(Assm!$L$75=0,I150,IF($A151&gt;=I$16,IF(MONTH($A151)=MONTH(I$16),AVERAGE(D139:D150),I150),I150))</f>
        <v>2.3677358500106247</v>
      </c>
      <c r="J151" s="1475">
        <f ca="1">IF(Assm!$L$75=0,J150,IF($A151&gt;=J$16,IF(MONTH($A151)=MONTH(J$16),AVERAGE(E139:E150),J150),J150))</f>
        <v>1.7745187276387855</v>
      </c>
      <c r="K151" s="958">
        <f t="shared" si="72"/>
        <v>139</v>
      </c>
      <c r="L151" s="1476">
        <f t="shared" ca="1" si="73"/>
        <v>1.0273446794171393</v>
      </c>
      <c r="M151" s="1474">
        <f t="shared" si="83"/>
        <v>0</v>
      </c>
      <c r="N151" s="1475">
        <f t="shared" ca="1" si="64"/>
        <v>1.3038965761068158</v>
      </c>
      <c r="P151" s="1476">
        <f t="shared" ca="1" si="74"/>
        <v>1.0749999999999997</v>
      </c>
      <c r="Q151" s="1474">
        <f t="shared" si="84"/>
        <v>0</v>
      </c>
      <c r="R151" s="1475">
        <f t="shared" ca="1" si="65"/>
        <v>2.2550598503973429</v>
      </c>
      <c r="T151" s="1476">
        <f t="shared" ca="1" si="75"/>
        <v>1.0273446794171393</v>
      </c>
      <c r="U151" s="1474">
        <f t="shared" si="85"/>
        <v>1.0049999999999999</v>
      </c>
      <c r="V151" s="1475">
        <f t="shared" ca="1" si="66"/>
        <v>1.3038965761068158</v>
      </c>
      <c r="X151" s="1476">
        <f t="shared" ca="1" si="76"/>
        <v>1.0248446794171393</v>
      </c>
      <c r="Y151" s="1474">
        <f t="shared" si="86"/>
        <v>1.02</v>
      </c>
      <c r="Z151" s="1475">
        <f t="shared" ca="1" si="67"/>
        <v>1.2827383623400055</v>
      </c>
      <c r="AB151" s="1476">
        <f t="shared" ca="1" si="77"/>
        <v>1.0248446794171393</v>
      </c>
      <c r="AC151" s="1474">
        <f t="shared" si="87"/>
        <v>1.02</v>
      </c>
      <c r="AD151" s="1475">
        <f t="shared" ca="1" si="68"/>
        <v>1.2827383623400055</v>
      </c>
      <c r="AF151" s="1476">
        <f t="shared" ca="1" si="78"/>
        <v>1.0749999999999997</v>
      </c>
      <c r="AG151" s="1474">
        <f t="shared" si="88"/>
        <v>0</v>
      </c>
      <c r="AH151" s="1475">
        <f t="shared" ca="1" si="69"/>
        <v>2.2550598503973429</v>
      </c>
      <c r="AJ151" s="1476">
        <f t="shared" ca="1" si="79"/>
        <v>1.0248446794171393</v>
      </c>
      <c r="AK151" s="1474">
        <f t="shared" si="89"/>
        <v>1.02</v>
      </c>
      <c r="AL151" s="1475">
        <f t="shared" ca="1" si="70"/>
        <v>1.2827383623400055</v>
      </c>
      <c r="AN151" s="1476">
        <f t="shared" ca="1" si="80"/>
        <v>1.0273446794171393</v>
      </c>
      <c r="AO151" s="1474">
        <f t="shared" si="90"/>
        <v>1.0049999999999999</v>
      </c>
      <c r="AP151" s="1475">
        <f t="shared" ca="1" si="71"/>
        <v>1.3038965761068158</v>
      </c>
      <c r="AR151" s="701">
        <f t="shared" si="91"/>
        <v>39417</v>
      </c>
      <c r="AS151" s="1478">
        <f ca="1">IF(AND($A151&gt;=EDATE(AS$17,12),IF(Assm!$L$74=0,$D151,$E151)/AS150&gt;=1.05),IF(Assm!$L$74=0,$D151,$E151),AS150)</f>
        <v>2.3868082917392743</v>
      </c>
      <c r="AT151" s="1478">
        <f t="shared" ca="1" si="92"/>
        <v>1.0523909065114396</v>
      </c>
      <c r="AU151" s="1478">
        <f t="shared" ca="1" si="93"/>
        <v>1.0749999999999997</v>
      </c>
      <c r="AV151" s="1478">
        <f t="shared" ca="1" si="94"/>
        <v>1.0749999999999997</v>
      </c>
      <c r="AW151" s="1475">
        <f t="shared" ca="1" si="95"/>
        <v>2.6106553532859067</v>
      </c>
    </row>
    <row r="152" spans="1:49">
      <c r="A152" s="883">
        <f t="shared" si="82"/>
        <v>39448</v>
      </c>
      <c r="B152" s="1390">
        <f ca="1">'[2]Monthly Curve Calc.'!B155</f>
        <v>332.84599650878027</v>
      </c>
      <c r="C152" s="1391">
        <f ca="1">'[2]Monthly Curve Calc.'!C155</f>
        <v>213.07888091182747</v>
      </c>
      <c r="D152" s="1512">
        <f ca="1">'[2]Monthly Curve Calc.'!F155</f>
        <v>2.4681826378384035</v>
      </c>
      <c r="E152" s="1304">
        <f t="shared" ca="1" si="81"/>
        <v>1.9035926520009447</v>
      </c>
      <c r="F152" s="1473">
        <f ca="1">IF(Assm!$L$75=0,F151,IF(AND($A152&gt;F$16,MONTH($A152)=MONTH(F$16)),B151/B139,F151))</f>
        <v>1.0749999999999997</v>
      </c>
      <c r="G152" s="1474">
        <f ca="1">IF(Assm!$L$75=0,G151,IF(AND($A152&gt;G$16,MONTH($A152)=MONTH(G$16)),C151/C139,G151))</f>
        <v>1.0273446794171393</v>
      </c>
      <c r="H152" s="1474">
        <f ca="1">IF(Assm!$L$75=0,H151,IF(AND($A152&gt;H$16,MONTH($A152)=MONTH(H$16)),C151/C139-H$18,H151))</f>
        <v>1.0248446794171393</v>
      </c>
      <c r="I152" s="1474">
        <f ca="1">IF(Assm!$L$75=0,I151,IF($A152&gt;=I$16,IF(MONTH($A152)=MONTH(I$16),AVERAGE(D140:D151),I151),I151))</f>
        <v>2.4329667131936445</v>
      </c>
      <c r="J152" s="1475">
        <f ca="1">IF(Assm!$L$75=0,J151,IF($A152&gt;=J$16,IF(MONTH($A152)=MONTH(J$16),AVERAGE(E140:E151),J151),J151))</f>
        <v>1.8570775386758642</v>
      </c>
      <c r="K152" s="958">
        <f t="shared" si="72"/>
        <v>140</v>
      </c>
      <c r="L152" s="1476">
        <f t="shared" ca="1" si="73"/>
        <v>1.0273446794171393</v>
      </c>
      <c r="M152" s="1474">
        <f t="shared" si="83"/>
        <v>0</v>
      </c>
      <c r="N152" s="1475">
        <f t="shared" ca="1" si="64"/>
        <v>1.3038965761068158</v>
      </c>
      <c r="P152" s="1476">
        <f t="shared" ca="1" si="74"/>
        <v>1.0749999999999997</v>
      </c>
      <c r="Q152" s="1474">
        <f t="shared" si="84"/>
        <v>0</v>
      </c>
      <c r="R152" s="1475">
        <f t="shared" ca="1" si="65"/>
        <v>2.2550598503973429</v>
      </c>
      <c r="T152" s="1476">
        <f t="shared" ca="1" si="75"/>
        <v>1.0273446794171393</v>
      </c>
      <c r="U152" s="1474">
        <f t="shared" si="85"/>
        <v>1.0049999999999999</v>
      </c>
      <c r="V152" s="1475">
        <f t="shared" ca="1" si="66"/>
        <v>1.3038965761068158</v>
      </c>
      <c r="X152" s="1476">
        <f t="shared" ca="1" si="76"/>
        <v>1.0248446794171393</v>
      </c>
      <c r="Y152" s="1474">
        <f t="shared" si="86"/>
        <v>1.02</v>
      </c>
      <c r="Z152" s="1475">
        <f t="shared" ca="1" si="67"/>
        <v>1.2827383623400055</v>
      </c>
      <c r="AB152" s="1476">
        <f t="shared" ca="1" si="77"/>
        <v>1.0248446794171393</v>
      </c>
      <c r="AC152" s="1474">
        <f t="shared" si="87"/>
        <v>1.02</v>
      </c>
      <c r="AD152" s="1475">
        <f t="shared" ca="1" si="68"/>
        <v>1.2827383623400055</v>
      </c>
      <c r="AF152" s="1476">
        <f t="shared" ca="1" si="78"/>
        <v>1.0749999999999997</v>
      </c>
      <c r="AG152" s="1474">
        <f t="shared" si="88"/>
        <v>0</v>
      </c>
      <c r="AH152" s="1475">
        <f t="shared" ca="1" si="69"/>
        <v>2.2550598503973429</v>
      </c>
      <c r="AJ152" s="1476">
        <f t="shared" ca="1" si="79"/>
        <v>1.0248446794171393</v>
      </c>
      <c r="AK152" s="1474">
        <f t="shared" si="89"/>
        <v>1.02</v>
      </c>
      <c r="AL152" s="1475">
        <f t="shared" ca="1" si="70"/>
        <v>1.2827383623400055</v>
      </c>
      <c r="AN152" s="1476">
        <f t="shared" ca="1" si="80"/>
        <v>1.0273446794171393</v>
      </c>
      <c r="AO152" s="1474">
        <f t="shared" si="90"/>
        <v>1.0049999999999999</v>
      </c>
      <c r="AP152" s="1475">
        <f t="shared" ca="1" si="71"/>
        <v>1.3038965761068158</v>
      </c>
      <c r="AR152" s="701">
        <f t="shared" si="91"/>
        <v>39448</v>
      </c>
      <c r="AS152" s="1478">
        <f ca="1">IF(AND($A152&gt;=EDATE(AS$17,12),IF(Assm!$L$74=0,$D152,$E152)/AS151&gt;=1.05),IF(Assm!$L$74=0,$D152,$E152),AS151)</f>
        <v>2.3868082917392743</v>
      </c>
      <c r="AT152" s="1478">
        <f t="shared" ca="1" si="92"/>
        <v>1.0523909065114396</v>
      </c>
      <c r="AU152" s="1478">
        <f t="shared" ca="1" si="93"/>
        <v>1.0749999999999997</v>
      </c>
      <c r="AV152" s="1478">
        <f t="shared" ca="1" si="94"/>
        <v>1.0749999999999997</v>
      </c>
      <c r="AW152" s="1475">
        <f t="shared" ca="1" si="95"/>
        <v>2.6106553532859067</v>
      </c>
    </row>
    <row r="153" spans="1:49">
      <c r="A153" s="883">
        <f t="shared" si="82"/>
        <v>39479</v>
      </c>
      <c r="B153" s="1390">
        <f ca="1">'[2]Monthly Curve Calc.'!B156</f>
        <v>334.85802360523553</v>
      </c>
      <c r="C153" s="1391">
        <f ca="1">'[2]Monthly Curve Calc.'!C156</f>
        <v>213.54241843480051</v>
      </c>
      <c r="D153" s="1512">
        <f ca="1">'[2]Monthly Curve Calc.'!F156</f>
        <v>2.4734023031454724</v>
      </c>
      <c r="E153" s="1304">
        <f t="shared" ca="1" si="81"/>
        <v>1.9109425995593474</v>
      </c>
      <c r="F153" s="1473">
        <f ca="1">IF(Assm!$L$75=0,F152,IF(AND($A153&gt;F$16,MONTH($A153)=MONTH(F$16)),B152/B140,F152))</f>
        <v>1.0749999999999997</v>
      </c>
      <c r="G153" s="1474">
        <f ca="1">IF(Assm!$L$75=0,G152,IF(AND($A153&gt;G$16,MONTH($A153)=MONTH(G$16)),C152/C140,G152))</f>
        <v>1.0273446794171393</v>
      </c>
      <c r="H153" s="1474">
        <f ca="1">IF(Assm!$L$75=0,H152,IF(AND($A153&gt;H$16,MONTH($A153)=MONTH(H$16)),C152/C140-H$18,H152))</f>
        <v>1.0248446794171393</v>
      </c>
      <c r="I153" s="1474">
        <f ca="1">IF(Assm!$L$75=0,I152,IF($A153&gt;=I$16,IF(MONTH($A153)=MONTH(I$16),AVERAGE(D141:D152),I152),I152))</f>
        <v>2.4329667131936445</v>
      </c>
      <c r="J153" s="1475">
        <f ca="1">IF(Assm!$L$75=0,J152,IF($A153&gt;=J$16,IF(MONTH($A153)=MONTH(J$16),AVERAGE(E141:E152),J152),J152))</f>
        <v>1.8570775386758642</v>
      </c>
      <c r="K153" s="958">
        <f t="shared" si="72"/>
        <v>141</v>
      </c>
      <c r="L153" s="1476">
        <f t="shared" ca="1" si="73"/>
        <v>1.0273446794171393</v>
      </c>
      <c r="M153" s="1474">
        <f t="shared" si="83"/>
        <v>0</v>
      </c>
      <c r="N153" s="1475">
        <f t="shared" ca="1" si="64"/>
        <v>1.3038965761068158</v>
      </c>
      <c r="P153" s="1476">
        <f t="shared" ca="1" si="74"/>
        <v>1.0749999999999997</v>
      </c>
      <c r="Q153" s="1474">
        <f t="shared" si="84"/>
        <v>0</v>
      </c>
      <c r="R153" s="1475">
        <f t="shared" ca="1" si="65"/>
        <v>2.2550598503973429</v>
      </c>
      <c r="T153" s="1476">
        <f t="shared" ca="1" si="75"/>
        <v>1.0273446794171393</v>
      </c>
      <c r="U153" s="1474">
        <f t="shared" si="85"/>
        <v>1.0049999999999999</v>
      </c>
      <c r="V153" s="1475">
        <f t="shared" ca="1" si="66"/>
        <v>1.3038965761068158</v>
      </c>
      <c r="X153" s="1476">
        <f t="shared" ca="1" si="76"/>
        <v>1.0248446794171393</v>
      </c>
      <c r="Y153" s="1474">
        <f t="shared" si="86"/>
        <v>1.02</v>
      </c>
      <c r="Z153" s="1475">
        <f t="shared" ca="1" si="67"/>
        <v>1.2827383623400055</v>
      </c>
      <c r="AB153" s="1476">
        <f t="shared" ca="1" si="77"/>
        <v>1.0248446794171393</v>
      </c>
      <c r="AC153" s="1474">
        <f t="shared" si="87"/>
        <v>1.02</v>
      </c>
      <c r="AD153" s="1475">
        <f t="shared" ca="1" si="68"/>
        <v>1.2827383623400055</v>
      </c>
      <c r="AF153" s="1476">
        <f t="shared" ca="1" si="78"/>
        <v>1.0749999999999997</v>
      </c>
      <c r="AG153" s="1474">
        <f t="shared" si="88"/>
        <v>0</v>
      </c>
      <c r="AH153" s="1475">
        <f t="shared" ca="1" si="69"/>
        <v>2.2550598503973429</v>
      </c>
      <c r="AJ153" s="1476">
        <f t="shared" ca="1" si="79"/>
        <v>1.0248446794171393</v>
      </c>
      <c r="AK153" s="1474">
        <f t="shared" si="89"/>
        <v>1.02</v>
      </c>
      <c r="AL153" s="1475">
        <f t="shared" ca="1" si="70"/>
        <v>1.2827383623400055</v>
      </c>
      <c r="AN153" s="1476">
        <f t="shared" ca="1" si="80"/>
        <v>1.0273446794171393</v>
      </c>
      <c r="AO153" s="1474">
        <f t="shared" si="90"/>
        <v>1.0049999999999999</v>
      </c>
      <c r="AP153" s="1475">
        <f t="shared" ca="1" si="71"/>
        <v>1.3038965761068158</v>
      </c>
      <c r="AR153" s="701">
        <f t="shared" si="91"/>
        <v>39479</v>
      </c>
      <c r="AS153" s="1478">
        <f ca="1">IF(AND($A153&gt;=EDATE(AS$17,12),IF(Assm!$L$74=0,$D153,$E153)/AS152&gt;=1.05),IF(Assm!$L$74=0,$D153,$E153),AS152)</f>
        <v>2.3868082917392743</v>
      </c>
      <c r="AT153" s="1478">
        <f t="shared" ca="1" si="92"/>
        <v>1.0523909065114396</v>
      </c>
      <c r="AU153" s="1478">
        <f t="shared" ca="1" si="93"/>
        <v>1.0749999999999997</v>
      </c>
      <c r="AV153" s="1478">
        <f t="shared" ca="1" si="94"/>
        <v>1.0749999999999997</v>
      </c>
      <c r="AW153" s="1475">
        <f t="shared" ca="1" si="95"/>
        <v>2.6106553532859067</v>
      </c>
    </row>
    <row r="154" spans="1:49">
      <c r="A154" s="883">
        <f t="shared" si="82"/>
        <v>39508</v>
      </c>
      <c r="B154" s="1390">
        <f ca="1">'[2]Monthly Curve Calc.'!B157</f>
        <v>336.88221324256352</v>
      </c>
      <c r="C154" s="1391">
        <f ca="1">'[2]Monthly Curve Calc.'!C157</f>
        <v>214.00696434975629</v>
      </c>
      <c r="D154" s="1512">
        <f ca="1">'[2]Monthly Curve Calc.'!F157</f>
        <v>2.4786330069006288</v>
      </c>
      <c r="E154" s="1304">
        <f t="shared" ca="1" si="81"/>
        <v>1.9183209259460958</v>
      </c>
      <c r="F154" s="1473">
        <f ca="1">IF(Assm!$L$75=0,F153,IF(AND($A154&gt;F$16,MONTH($A154)=MONTH(F$16)),B153/B141,F153))</f>
        <v>1.0749999999999997</v>
      </c>
      <c r="G154" s="1474">
        <f ca="1">IF(Assm!$L$75=0,G153,IF(AND($A154&gt;G$16,MONTH($A154)=MONTH(G$16)),C153/C141,G153))</f>
        <v>1.0273446794171393</v>
      </c>
      <c r="H154" s="1474">
        <f ca="1">IF(Assm!$L$75=0,H153,IF(AND($A154&gt;H$16,MONTH($A154)=MONTH(H$16)),C153/C141-H$18,H153))</f>
        <v>1.0248446794171393</v>
      </c>
      <c r="I154" s="1474">
        <f ca="1">IF(Assm!$L$75=0,I153,IF($A154&gt;=I$16,IF(MONTH($A154)=MONTH(I$16),AVERAGE(D142:D153),I153),I153))</f>
        <v>2.4329667131936445</v>
      </c>
      <c r="J154" s="1475">
        <f ca="1">IF(Assm!$L$75=0,J153,IF($A154&gt;=J$16,IF(MONTH($A154)=MONTH(J$16),AVERAGE(E142:E153),J153),J153))</f>
        <v>1.8570775386758642</v>
      </c>
      <c r="K154" s="958">
        <f t="shared" si="72"/>
        <v>142</v>
      </c>
      <c r="L154" s="1476">
        <f t="shared" ca="1" si="73"/>
        <v>1.0273446794171393</v>
      </c>
      <c r="M154" s="1474">
        <f t="shared" si="83"/>
        <v>0</v>
      </c>
      <c r="N154" s="1475">
        <f t="shared" ca="1" si="64"/>
        <v>1.3038965761068158</v>
      </c>
      <c r="P154" s="1476">
        <f t="shared" ca="1" si="74"/>
        <v>1.0749999999999997</v>
      </c>
      <c r="Q154" s="1474">
        <f t="shared" si="84"/>
        <v>0</v>
      </c>
      <c r="R154" s="1475">
        <f t="shared" ca="1" si="65"/>
        <v>2.2550598503973429</v>
      </c>
      <c r="T154" s="1476">
        <f t="shared" ca="1" si="75"/>
        <v>1.0273446794171393</v>
      </c>
      <c r="U154" s="1474">
        <f t="shared" si="85"/>
        <v>1.0049999999999999</v>
      </c>
      <c r="V154" s="1475">
        <f t="shared" ca="1" si="66"/>
        <v>1.3038965761068158</v>
      </c>
      <c r="X154" s="1476">
        <f t="shared" ca="1" si="76"/>
        <v>1.0248446794171393</v>
      </c>
      <c r="Y154" s="1474">
        <f t="shared" si="86"/>
        <v>1.02</v>
      </c>
      <c r="Z154" s="1475">
        <f t="shared" ca="1" si="67"/>
        <v>1.2827383623400055</v>
      </c>
      <c r="AB154" s="1476">
        <f t="shared" ca="1" si="77"/>
        <v>1.0248446794171393</v>
      </c>
      <c r="AC154" s="1474">
        <f t="shared" si="87"/>
        <v>1.02</v>
      </c>
      <c r="AD154" s="1475">
        <f t="shared" ca="1" si="68"/>
        <v>1.2827383623400055</v>
      </c>
      <c r="AF154" s="1476">
        <f t="shared" ca="1" si="78"/>
        <v>1.0749999999999997</v>
      </c>
      <c r="AG154" s="1474">
        <f t="shared" si="88"/>
        <v>0</v>
      </c>
      <c r="AH154" s="1475">
        <f t="shared" ca="1" si="69"/>
        <v>2.2550598503973429</v>
      </c>
      <c r="AJ154" s="1476">
        <f t="shared" ca="1" si="79"/>
        <v>1.0248446794171393</v>
      </c>
      <c r="AK154" s="1474">
        <f t="shared" si="89"/>
        <v>1.02</v>
      </c>
      <c r="AL154" s="1475">
        <f t="shared" ca="1" si="70"/>
        <v>1.2827383623400055</v>
      </c>
      <c r="AN154" s="1476">
        <f t="shared" ca="1" si="80"/>
        <v>1.0273446794171393</v>
      </c>
      <c r="AO154" s="1474">
        <f t="shared" si="90"/>
        <v>1.0049999999999999</v>
      </c>
      <c r="AP154" s="1475">
        <f t="shared" ca="1" si="71"/>
        <v>1.3038965761068158</v>
      </c>
      <c r="AR154" s="701">
        <f t="shared" si="91"/>
        <v>39508</v>
      </c>
      <c r="AS154" s="1478">
        <f ca="1">IF(AND($A154&gt;=EDATE(AS$17,12),IF(Assm!$L$74=0,$D154,$E154)/AS153&gt;=1.05),IF(Assm!$L$74=0,$D154,$E154),AS153)</f>
        <v>2.3868082917392743</v>
      </c>
      <c r="AT154" s="1478">
        <f t="shared" ca="1" si="92"/>
        <v>1.0523909065114396</v>
      </c>
      <c r="AU154" s="1478">
        <f t="shared" ca="1" si="93"/>
        <v>1.0749999999999997</v>
      </c>
      <c r="AV154" s="1478">
        <f t="shared" ca="1" si="94"/>
        <v>1.0749999999999997</v>
      </c>
      <c r="AW154" s="1475">
        <f t="shared" ca="1" si="95"/>
        <v>2.6106553532859067</v>
      </c>
    </row>
    <row r="155" spans="1:49">
      <c r="A155" s="883">
        <f t="shared" si="82"/>
        <v>39539</v>
      </c>
      <c r="B155" s="1390">
        <f ca="1">'[2]Monthly Curve Calc.'!B158</f>
        <v>338.91863894233899</v>
      </c>
      <c r="C155" s="1391">
        <f ca="1">'[2]Monthly Curve Calc.'!C158</f>
        <v>214.47252085037783</v>
      </c>
      <c r="D155" s="1512">
        <f ca="1">'[2]Monthly Curve Calc.'!F158</f>
        <v>2.4838747724477708</v>
      </c>
      <c r="E155" s="1304">
        <f t="shared" ca="1" si="81"/>
        <v>1.9257277407344748</v>
      </c>
      <c r="F155" s="1473">
        <f ca="1">IF(Assm!$L$75=0,F154,IF(AND($A155&gt;F$16,MONTH($A155)=MONTH(F$16)),B154/B142,F154))</f>
        <v>1.0749999999999997</v>
      </c>
      <c r="G155" s="1474">
        <f ca="1">IF(Assm!$L$75=0,G154,IF(AND($A155&gt;G$16,MONTH($A155)=MONTH(G$16)),C154/C142,G154))</f>
        <v>1.0273446794171393</v>
      </c>
      <c r="H155" s="1474">
        <f ca="1">IF(Assm!$L$75=0,H154,IF(AND($A155&gt;H$16,MONTH($A155)=MONTH(H$16)),C154/C142-H$18,H154))</f>
        <v>1.0248446794171393</v>
      </c>
      <c r="I155" s="1474">
        <f ca="1">IF(Assm!$L$75=0,I154,IF($A155&gt;=I$16,IF(MONTH($A155)=MONTH(I$16),AVERAGE(D143:D154),I154),I154))</f>
        <v>2.4329667131936445</v>
      </c>
      <c r="J155" s="1475">
        <f ca="1">IF(Assm!$L$75=0,J154,IF($A155&gt;=J$16,IF(MONTH($A155)=MONTH(J$16),AVERAGE(E143:E154),J154),J154))</f>
        <v>1.8570775386758642</v>
      </c>
      <c r="K155" s="958">
        <f t="shared" si="72"/>
        <v>143</v>
      </c>
      <c r="L155" s="1476">
        <f t="shared" ca="1" si="73"/>
        <v>1.0273446794171393</v>
      </c>
      <c r="M155" s="1474">
        <f t="shared" si="83"/>
        <v>0</v>
      </c>
      <c r="N155" s="1475">
        <f t="shared" ca="1" si="64"/>
        <v>1.3038965761068158</v>
      </c>
      <c r="P155" s="1476">
        <f t="shared" ca="1" si="74"/>
        <v>1.0749999999999997</v>
      </c>
      <c r="Q155" s="1474">
        <f t="shared" si="84"/>
        <v>0</v>
      </c>
      <c r="R155" s="1475">
        <f t="shared" ca="1" si="65"/>
        <v>2.2550598503973429</v>
      </c>
      <c r="T155" s="1476">
        <f t="shared" ca="1" si="75"/>
        <v>1.0273446794171393</v>
      </c>
      <c r="U155" s="1474">
        <f t="shared" si="85"/>
        <v>1.0049999999999999</v>
      </c>
      <c r="V155" s="1475">
        <f t="shared" ca="1" si="66"/>
        <v>1.3038965761068158</v>
      </c>
      <c r="X155" s="1476">
        <f t="shared" ca="1" si="76"/>
        <v>1.0248446794171393</v>
      </c>
      <c r="Y155" s="1474">
        <f t="shared" si="86"/>
        <v>1.02</v>
      </c>
      <c r="Z155" s="1475">
        <f t="shared" ca="1" si="67"/>
        <v>1.2827383623400055</v>
      </c>
      <c r="AB155" s="1476">
        <f t="shared" ca="1" si="77"/>
        <v>1.0248446794171393</v>
      </c>
      <c r="AC155" s="1474">
        <f t="shared" si="87"/>
        <v>1.02</v>
      </c>
      <c r="AD155" s="1475">
        <f t="shared" ca="1" si="68"/>
        <v>1.2827383623400055</v>
      </c>
      <c r="AF155" s="1476">
        <f t="shared" ca="1" si="78"/>
        <v>1.0749999999999997</v>
      </c>
      <c r="AG155" s="1474">
        <f t="shared" si="88"/>
        <v>0</v>
      </c>
      <c r="AH155" s="1475">
        <f t="shared" ca="1" si="69"/>
        <v>2.2550598503973429</v>
      </c>
      <c r="AJ155" s="1476">
        <f t="shared" ca="1" si="79"/>
        <v>1.0248446794171393</v>
      </c>
      <c r="AK155" s="1474">
        <f t="shared" si="89"/>
        <v>1.02</v>
      </c>
      <c r="AL155" s="1475">
        <f t="shared" ca="1" si="70"/>
        <v>1.2827383623400055</v>
      </c>
      <c r="AN155" s="1476">
        <f t="shared" ca="1" si="80"/>
        <v>1.0273446794171393</v>
      </c>
      <c r="AO155" s="1474">
        <f t="shared" si="90"/>
        <v>1.0049999999999999</v>
      </c>
      <c r="AP155" s="1475">
        <f t="shared" ca="1" si="71"/>
        <v>1.3038965761068158</v>
      </c>
      <c r="AR155" s="701">
        <f t="shared" si="91"/>
        <v>39539</v>
      </c>
      <c r="AS155" s="1478">
        <f ca="1">IF(AND($A155&gt;=EDATE(AS$17,12),IF(Assm!$L$74=0,$D155,$E155)/AS154&gt;=1.05),IF(Assm!$L$74=0,$D155,$E155),AS154)</f>
        <v>2.3868082917392743</v>
      </c>
      <c r="AT155" s="1478">
        <f t="shared" ca="1" si="92"/>
        <v>1.0523909065114396</v>
      </c>
      <c r="AU155" s="1478">
        <f t="shared" ca="1" si="93"/>
        <v>1.0749999999999997</v>
      </c>
      <c r="AV155" s="1478">
        <f t="shared" ca="1" si="94"/>
        <v>1.0749999999999997</v>
      </c>
      <c r="AW155" s="1475">
        <f t="shared" ca="1" si="95"/>
        <v>2.6106553532859067</v>
      </c>
    </row>
    <row r="156" spans="1:49">
      <c r="A156" s="883">
        <f t="shared" si="82"/>
        <v>39569</v>
      </c>
      <c r="B156" s="1390">
        <f ca="1">'[2]Monthly Curve Calc.'!B159</f>
        <v>340.96737467056857</v>
      </c>
      <c r="C156" s="1391">
        <f ca="1">'[2]Monthly Curve Calc.'!C159</f>
        <v>214.93909013512035</v>
      </c>
      <c r="D156" s="1512">
        <f ca="1">'[2]Monthly Curve Calc.'!F159</f>
        <v>2.4891276231801638</v>
      </c>
      <c r="E156" s="1304">
        <f t="shared" ca="1" si="81"/>
        <v>1.933163153920842</v>
      </c>
      <c r="F156" s="1473">
        <f ca="1">IF(Assm!$L$75=0,F155,IF(AND($A156&gt;F$16,MONTH($A156)=MONTH(F$16)),B155/B143,F155))</f>
        <v>1.075</v>
      </c>
      <c r="G156" s="1474">
        <f ca="1">IF(Assm!$L$75=0,G155,IF(AND($A156&gt;G$16,MONTH($A156)=MONTH(G$16)),C155/C143,G155))</f>
        <v>1.0267530455417444</v>
      </c>
      <c r="H156" s="1474">
        <f ca="1">IF(Assm!$L$75=0,H155,IF(AND($A156&gt;H$16,MONTH($A156)=MONTH(H$16)),C155/C143-H$18,H155))</f>
        <v>1.0242530455417445</v>
      </c>
      <c r="I156" s="1474">
        <f ca="1">IF(Assm!$L$75=0,I155,IF($A156&gt;=I$16,IF(MONTH($A156)=MONTH(I$16),AVERAGE(D144:D155),I155),I155))</f>
        <v>2.4329667131936445</v>
      </c>
      <c r="J156" s="1475">
        <f ca="1">IF(Assm!$L$75=0,J155,IF($A156&gt;=J$16,IF(MONTH($A156)=MONTH(J$16),AVERAGE(E144:E155),J155),J155))</f>
        <v>1.8570775386758642</v>
      </c>
      <c r="K156" s="958">
        <f t="shared" si="72"/>
        <v>144</v>
      </c>
      <c r="L156" s="1476">
        <f t="shared" ca="1" si="73"/>
        <v>1.0267530455417444</v>
      </c>
      <c r="M156" s="1474">
        <f t="shared" si="83"/>
        <v>0</v>
      </c>
      <c r="N156" s="1475">
        <f t="shared" ca="1" si="64"/>
        <v>1.3387797805891259</v>
      </c>
      <c r="P156" s="1476">
        <f t="shared" ca="1" si="74"/>
        <v>1.075</v>
      </c>
      <c r="Q156" s="1474">
        <f t="shared" si="84"/>
        <v>0</v>
      </c>
      <c r="R156" s="1475">
        <f t="shared" ca="1" si="65"/>
        <v>2.4241893391771434</v>
      </c>
      <c r="T156" s="1476">
        <f t="shared" ca="1" si="75"/>
        <v>1.0267530455417444</v>
      </c>
      <c r="U156" s="1474">
        <f t="shared" si="85"/>
        <v>1.0049999999999999</v>
      </c>
      <c r="V156" s="1475">
        <f t="shared" ca="1" si="66"/>
        <v>1.3387797805891259</v>
      </c>
      <c r="X156" s="1476">
        <f t="shared" ca="1" si="76"/>
        <v>1.0242530455417445</v>
      </c>
      <c r="Y156" s="1474">
        <f t="shared" si="86"/>
        <v>1.02</v>
      </c>
      <c r="Z156" s="1475">
        <f t="shared" ca="1" si="67"/>
        <v>1.3138486742599804</v>
      </c>
      <c r="AB156" s="1476">
        <f t="shared" ca="1" si="77"/>
        <v>1.0242530455417445</v>
      </c>
      <c r="AC156" s="1474">
        <f t="shared" si="87"/>
        <v>1.02</v>
      </c>
      <c r="AD156" s="1475">
        <f t="shared" ca="1" si="68"/>
        <v>1.3138486742599804</v>
      </c>
      <c r="AF156" s="1476">
        <f t="shared" ca="1" si="78"/>
        <v>1.075</v>
      </c>
      <c r="AG156" s="1474">
        <f t="shared" si="88"/>
        <v>0</v>
      </c>
      <c r="AH156" s="1475">
        <f t="shared" ca="1" si="69"/>
        <v>2.4241893391771434</v>
      </c>
      <c r="AJ156" s="1476">
        <f t="shared" ca="1" si="79"/>
        <v>1.0242530455417445</v>
      </c>
      <c r="AK156" s="1474">
        <f t="shared" si="89"/>
        <v>1.02</v>
      </c>
      <c r="AL156" s="1475">
        <f t="shared" ca="1" si="70"/>
        <v>1.3138486742599804</v>
      </c>
      <c r="AN156" s="1476">
        <f t="shared" ca="1" si="80"/>
        <v>1.0267530455417444</v>
      </c>
      <c r="AO156" s="1474">
        <f t="shared" si="90"/>
        <v>1.0049999999999999</v>
      </c>
      <c r="AP156" s="1475">
        <f t="shared" ca="1" si="71"/>
        <v>1.3387797805891259</v>
      </c>
      <c r="AR156" s="701">
        <f t="shared" si="91"/>
        <v>39569</v>
      </c>
      <c r="AS156" s="1478">
        <f ca="1">IF(AND($A156&gt;=EDATE(AS$17,12),IF(Assm!$L$74=0,$D156,$E156)/AS155&gt;=1.05),IF(Assm!$L$74=0,$D156,$E156),AS155)</f>
        <v>2.3868082917392743</v>
      </c>
      <c r="AT156" s="1478">
        <f t="shared" ca="1" si="92"/>
        <v>1.0523909065114396</v>
      </c>
      <c r="AU156" s="1478">
        <f t="shared" ca="1" si="93"/>
        <v>1.075</v>
      </c>
      <c r="AV156" s="1478">
        <f t="shared" ca="1" si="94"/>
        <v>1.075</v>
      </c>
      <c r="AW156" s="1475">
        <f t="shared" ca="1" si="95"/>
        <v>2.6106553532859067</v>
      </c>
    </row>
    <row r="157" spans="1:49">
      <c r="A157" s="883">
        <f t="shared" si="82"/>
        <v>39600</v>
      </c>
      <c r="B157" s="1390">
        <f ca="1">'[2]Monthly Curve Calc.'!B160</f>
        <v>343.0284948403775</v>
      </c>
      <c r="C157" s="1391">
        <f ca="1">'[2]Monthly Curve Calc.'!C160</f>
        <v>215.40667440722163</v>
      </c>
      <c r="D157" s="1512">
        <f ca="1">'[2]Monthly Curve Calc.'!F160</f>
        <v>2.4943915825405454</v>
      </c>
      <c r="E157" s="1304">
        <f t="shared" ca="1" si="81"/>
        <v>1.9406272759262611</v>
      </c>
      <c r="F157" s="1473">
        <f ca="1">IF(Assm!$L$75=0,F156,IF(AND($A157&gt;F$16,MONTH($A157)=MONTH(F$16)),B156/B144,F156))</f>
        <v>1.075</v>
      </c>
      <c r="G157" s="1474">
        <f ca="1">IF(Assm!$L$75=0,G156,IF(AND($A157&gt;G$16,MONTH($A157)=MONTH(G$16)),C156/C144,G156))</f>
        <v>1.0267530455417444</v>
      </c>
      <c r="H157" s="1474">
        <f ca="1">IF(Assm!$L$75=0,H156,IF(AND($A157&gt;H$16,MONTH($A157)=MONTH(H$16)),C156/C144-H$18,H156))</f>
        <v>1.0242530455417445</v>
      </c>
      <c r="I157" s="1474">
        <f ca="1">IF(Assm!$L$75=0,I156,IF($A157&gt;=I$16,IF(MONTH($A157)=MONTH(I$16),AVERAGE(D145:D156),I156),I156))</f>
        <v>2.4329667131936445</v>
      </c>
      <c r="J157" s="1475">
        <f ca="1">IF(Assm!$L$75=0,J156,IF($A157&gt;=J$16,IF(MONTH($A157)=MONTH(J$16),AVERAGE(E145:E156),J156),J156))</f>
        <v>1.8570775386758642</v>
      </c>
      <c r="K157" s="958">
        <f t="shared" si="72"/>
        <v>145</v>
      </c>
      <c r="L157" s="1476">
        <f t="shared" ca="1" si="73"/>
        <v>1.0267530455417444</v>
      </c>
      <c r="M157" s="1474">
        <f t="shared" si="83"/>
        <v>0</v>
      </c>
      <c r="N157" s="1475">
        <f t="shared" ca="1" si="64"/>
        <v>1.3387797805891259</v>
      </c>
      <c r="P157" s="1476">
        <f t="shared" ca="1" si="74"/>
        <v>1.075</v>
      </c>
      <c r="Q157" s="1474">
        <f t="shared" si="84"/>
        <v>0</v>
      </c>
      <c r="R157" s="1475">
        <f t="shared" ca="1" si="65"/>
        <v>2.4241893391771434</v>
      </c>
      <c r="T157" s="1476">
        <f t="shared" ca="1" si="75"/>
        <v>1.0267530455417444</v>
      </c>
      <c r="U157" s="1474">
        <f t="shared" si="85"/>
        <v>1.0049999999999999</v>
      </c>
      <c r="V157" s="1475">
        <f t="shared" ca="1" si="66"/>
        <v>1.3387797805891259</v>
      </c>
      <c r="X157" s="1476">
        <f t="shared" ca="1" si="76"/>
        <v>1.0242530455417445</v>
      </c>
      <c r="Y157" s="1474">
        <f t="shared" si="86"/>
        <v>1.02</v>
      </c>
      <c r="Z157" s="1475">
        <f t="shared" ca="1" si="67"/>
        <v>1.3138486742599804</v>
      </c>
      <c r="AB157" s="1476">
        <f t="shared" ca="1" si="77"/>
        <v>1.0242530455417445</v>
      </c>
      <c r="AC157" s="1474">
        <f t="shared" si="87"/>
        <v>1.02</v>
      </c>
      <c r="AD157" s="1475">
        <f t="shared" ca="1" si="68"/>
        <v>1.3138486742599804</v>
      </c>
      <c r="AF157" s="1476">
        <f t="shared" ca="1" si="78"/>
        <v>1.075</v>
      </c>
      <c r="AG157" s="1474">
        <f t="shared" si="88"/>
        <v>0</v>
      </c>
      <c r="AH157" s="1475">
        <f t="shared" ca="1" si="69"/>
        <v>2.4241893391771434</v>
      </c>
      <c r="AJ157" s="1476">
        <f t="shared" ca="1" si="79"/>
        <v>1.0242530455417445</v>
      </c>
      <c r="AK157" s="1474">
        <f t="shared" si="89"/>
        <v>1.02</v>
      </c>
      <c r="AL157" s="1475">
        <f t="shared" ca="1" si="70"/>
        <v>1.3138486742599804</v>
      </c>
      <c r="AN157" s="1476">
        <f t="shared" ca="1" si="80"/>
        <v>1.0267530455417444</v>
      </c>
      <c r="AO157" s="1474">
        <f t="shared" si="90"/>
        <v>1.0049999999999999</v>
      </c>
      <c r="AP157" s="1475">
        <f t="shared" ca="1" si="71"/>
        <v>1.3387797805891259</v>
      </c>
      <c r="AR157" s="701">
        <f t="shared" si="91"/>
        <v>39600</v>
      </c>
      <c r="AS157" s="1478">
        <f ca="1">IF(AND($A157&gt;=EDATE(AS$17,12),IF(Assm!$L$74=0,$D157,$E157)/AS156&gt;=1.05),IF(Assm!$L$74=0,$D157,$E157),AS156)</f>
        <v>2.3868082917392743</v>
      </c>
      <c r="AT157" s="1478">
        <f t="shared" ca="1" si="92"/>
        <v>1.0523909065114396</v>
      </c>
      <c r="AU157" s="1478">
        <f t="shared" ca="1" si="93"/>
        <v>1.075</v>
      </c>
      <c r="AV157" s="1478">
        <f t="shared" ca="1" si="94"/>
        <v>1.075</v>
      </c>
      <c r="AW157" s="1475">
        <f t="shared" ca="1" si="95"/>
        <v>2.6106553532859067</v>
      </c>
    </row>
    <row r="158" spans="1:49">
      <c r="A158" s="883">
        <f t="shared" si="82"/>
        <v>39630</v>
      </c>
      <c r="B158" s="1390">
        <f ca="1">'[2]Monthly Curve Calc.'!B161</f>
        <v>345.10207431471224</v>
      </c>
      <c r="C158" s="1391">
        <f ca="1">'[2]Monthly Curve Calc.'!C161</f>
        <v>215.87527587471243</v>
      </c>
      <c r="D158" s="1512">
        <f ca="1">'[2]Monthly Curve Calc.'!F161</f>
        <v>2.4996666740212286</v>
      </c>
      <c r="E158" s="1304">
        <f t="shared" ca="1" si="81"/>
        <v>1.9481202175981418</v>
      </c>
      <c r="F158" s="1473">
        <f ca="1">IF(Assm!$L$75=0,F157,IF(AND($A158&gt;F$16,MONTH($A158)=MONTH(F$16)),B157/B145,F157))</f>
        <v>1.075</v>
      </c>
      <c r="G158" s="1474">
        <f ca="1">IF(Assm!$L$75=0,G157,IF(AND($A158&gt;G$16,MONTH($A158)=MONTH(G$16)),C157/C145,G157))</f>
        <v>1.0267530455417444</v>
      </c>
      <c r="H158" s="1474">
        <f ca="1">IF(Assm!$L$75=0,H157,IF(AND($A158&gt;H$16,MONTH($A158)=MONTH(H$16)),C157/C145-H$18,H157))</f>
        <v>1.0242530455417445</v>
      </c>
      <c r="I158" s="1474">
        <f ca="1">IF(Assm!$L$75=0,I157,IF($A158&gt;=I$16,IF(MONTH($A158)=MONTH(I$16),AVERAGE(D146:D157),I157),I157))</f>
        <v>2.4329667131936445</v>
      </c>
      <c r="J158" s="1475">
        <f ca="1">IF(Assm!$L$75=0,J157,IF($A158&gt;=J$16,IF(MONTH($A158)=MONTH(J$16),AVERAGE(E146:E157),J157),J157))</f>
        <v>1.8570775386758642</v>
      </c>
      <c r="K158" s="958">
        <f t="shared" si="72"/>
        <v>146</v>
      </c>
      <c r="L158" s="1476">
        <f t="shared" ca="1" si="73"/>
        <v>1.0267530455417444</v>
      </c>
      <c r="M158" s="1474">
        <f t="shared" si="83"/>
        <v>0</v>
      </c>
      <c r="N158" s="1475">
        <f t="shared" ca="1" si="64"/>
        <v>1.3387797805891259</v>
      </c>
      <c r="P158" s="1476">
        <f t="shared" ca="1" si="74"/>
        <v>1.075</v>
      </c>
      <c r="Q158" s="1474">
        <f t="shared" si="84"/>
        <v>0</v>
      </c>
      <c r="R158" s="1475">
        <f t="shared" ca="1" si="65"/>
        <v>2.4241893391771434</v>
      </c>
      <c r="T158" s="1476">
        <f t="shared" ca="1" si="75"/>
        <v>1.0267530455417444</v>
      </c>
      <c r="U158" s="1474">
        <f t="shared" si="85"/>
        <v>1.0049999999999999</v>
      </c>
      <c r="V158" s="1475">
        <f t="shared" ca="1" si="66"/>
        <v>1.3387797805891259</v>
      </c>
      <c r="X158" s="1476">
        <f t="shared" ca="1" si="76"/>
        <v>1.0242530455417445</v>
      </c>
      <c r="Y158" s="1474">
        <f t="shared" si="86"/>
        <v>1.02</v>
      </c>
      <c r="Z158" s="1475">
        <f t="shared" ca="1" si="67"/>
        <v>1.3138486742599804</v>
      </c>
      <c r="AB158" s="1476">
        <f t="shared" ca="1" si="77"/>
        <v>1.0242530455417445</v>
      </c>
      <c r="AC158" s="1474">
        <f t="shared" si="87"/>
        <v>1.02</v>
      </c>
      <c r="AD158" s="1475">
        <f t="shared" ca="1" si="68"/>
        <v>1.3138486742599804</v>
      </c>
      <c r="AF158" s="1476">
        <f t="shared" ca="1" si="78"/>
        <v>1.075</v>
      </c>
      <c r="AG158" s="1474">
        <f t="shared" si="88"/>
        <v>0</v>
      </c>
      <c r="AH158" s="1475">
        <f t="shared" ca="1" si="69"/>
        <v>2.4241893391771434</v>
      </c>
      <c r="AJ158" s="1476">
        <f t="shared" ca="1" si="79"/>
        <v>1.0242530455417445</v>
      </c>
      <c r="AK158" s="1474">
        <f t="shared" si="89"/>
        <v>1.02</v>
      </c>
      <c r="AL158" s="1475">
        <f t="shared" ca="1" si="70"/>
        <v>1.3138486742599804</v>
      </c>
      <c r="AN158" s="1476">
        <f t="shared" ca="1" si="80"/>
        <v>1.0267530455417444</v>
      </c>
      <c r="AO158" s="1474">
        <f t="shared" si="90"/>
        <v>1.0049999999999999</v>
      </c>
      <c r="AP158" s="1475">
        <f t="shared" ca="1" si="71"/>
        <v>1.3387797805891259</v>
      </c>
      <c r="AR158" s="701">
        <f t="shared" si="91"/>
        <v>39630</v>
      </c>
      <c r="AS158" s="1478">
        <f ca="1">IF(AND($A158&gt;=EDATE(AS$17,12),IF(Assm!$L$74=0,$D158,$E158)/AS157&gt;=1.05),IF(Assm!$L$74=0,$D158,$E158),AS157)</f>
        <v>2.3868082917392743</v>
      </c>
      <c r="AT158" s="1478">
        <f t="shared" ca="1" si="92"/>
        <v>1.0523909065114396</v>
      </c>
      <c r="AU158" s="1478">
        <f t="shared" ca="1" si="93"/>
        <v>1.075</v>
      </c>
      <c r="AV158" s="1478">
        <f t="shared" ca="1" si="94"/>
        <v>1.075</v>
      </c>
      <c r="AW158" s="1475">
        <f t="shared" ca="1" si="95"/>
        <v>2.6106553532859067</v>
      </c>
    </row>
    <row r="159" spans="1:49">
      <c r="A159" s="883">
        <f t="shared" si="82"/>
        <v>39661</v>
      </c>
      <c r="B159" s="1390">
        <f ca="1">'[2]Monthly Curve Calc.'!B162</f>
        <v>347.18818840905976</v>
      </c>
      <c r="C159" s="1391">
        <f ca="1">'[2]Monthly Curve Calc.'!C162</f>
        <v>216.34489675042695</v>
      </c>
      <c r="D159" s="1512">
        <f ca="1">'[2]Monthly Curve Calc.'!F162</f>
        <v>2.5049529211642083</v>
      </c>
      <c r="E159" s="1304">
        <f t="shared" ca="1" si="81"/>
        <v>1.9556420902118858</v>
      </c>
      <c r="F159" s="1473">
        <f ca="1">IF(Assm!$L$75=0,F158,IF(AND($A159&gt;F$16,MONTH($A159)=MONTH(F$16)),B158/B146,F158))</f>
        <v>1.075</v>
      </c>
      <c r="G159" s="1474">
        <f ca="1">IF(Assm!$L$75=0,G158,IF(AND($A159&gt;G$16,MONTH($A159)=MONTH(G$16)),C158/C146,G158))</f>
        <v>1.0267530455417444</v>
      </c>
      <c r="H159" s="1474">
        <f ca="1">IF(Assm!$L$75=0,H158,IF(AND($A159&gt;H$16,MONTH($A159)=MONTH(H$16)),C158/C146-H$18,H158))</f>
        <v>1.0242530455417445</v>
      </c>
      <c r="I159" s="1474">
        <f ca="1">IF(Assm!$L$75=0,I158,IF($A159&gt;=I$16,IF(MONTH($A159)=MONTH(I$16),AVERAGE(D147:D158),I158),I158))</f>
        <v>2.4329667131936445</v>
      </c>
      <c r="J159" s="1475">
        <f ca="1">IF(Assm!$L$75=0,J158,IF($A159&gt;=J$16,IF(MONTH($A159)=MONTH(J$16),AVERAGE(E147:E158),J158),J158))</f>
        <v>1.8570775386758642</v>
      </c>
      <c r="K159" s="958">
        <f t="shared" si="72"/>
        <v>147</v>
      </c>
      <c r="L159" s="1476">
        <f t="shared" ca="1" si="73"/>
        <v>1.0267530455417444</v>
      </c>
      <c r="M159" s="1474">
        <f t="shared" si="83"/>
        <v>0</v>
      </c>
      <c r="N159" s="1475">
        <f t="shared" ca="1" si="64"/>
        <v>1.3387797805891259</v>
      </c>
      <c r="P159" s="1476">
        <f t="shared" ca="1" si="74"/>
        <v>1.075</v>
      </c>
      <c r="Q159" s="1474">
        <f t="shared" si="84"/>
        <v>0</v>
      </c>
      <c r="R159" s="1475">
        <f t="shared" ca="1" si="65"/>
        <v>2.4241893391771434</v>
      </c>
      <c r="T159" s="1476">
        <f t="shared" ca="1" si="75"/>
        <v>1.0267530455417444</v>
      </c>
      <c r="U159" s="1474">
        <f t="shared" si="85"/>
        <v>1.0049999999999999</v>
      </c>
      <c r="V159" s="1475">
        <f t="shared" ca="1" si="66"/>
        <v>1.3387797805891259</v>
      </c>
      <c r="X159" s="1476">
        <f t="shared" ca="1" si="76"/>
        <v>1.0242530455417445</v>
      </c>
      <c r="Y159" s="1474">
        <f t="shared" si="86"/>
        <v>1.02</v>
      </c>
      <c r="Z159" s="1475">
        <f t="shared" ca="1" si="67"/>
        <v>1.3138486742599804</v>
      </c>
      <c r="AB159" s="1476">
        <f t="shared" ca="1" si="77"/>
        <v>1.0242530455417445</v>
      </c>
      <c r="AC159" s="1474">
        <f t="shared" si="87"/>
        <v>1.02</v>
      </c>
      <c r="AD159" s="1475">
        <f t="shared" ca="1" si="68"/>
        <v>1.3138486742599804</v>
      </c>
      <c r="AF159" s="1476">
        <f t="shared" ca="1" si="78"/>
        <v>1.075</v>
      </c>
      <c r="AG159" s="1474">
        <f t="shared" si="88"/>
        <v>0</v>
      </c>
      <c r="AH159" s="1475">
        <f t="shared" ca="1" si="69"/>
        <v>2.4241893391771434</v>
      </c>
      <c r="AJ159" s="1476">
        <f t="shared" ca="1" si="79"/>
        <v>1.0242530455417445</v>
      </c>
      <c r="AK159" s="1474">
        <f t="shared" si="89"/>
        <v>1.02</v>
      </c>
      <c r="AL159" s="1475">
        <f t="shared" ca="1" si="70"/>
        <v>1.3138486742599804</v>
      </c>
      <c r="AN159" s="1476">
        <f t="shared" ca="1" si="80"/>
        <v>1.0267530455417444</v>
      </c>
      <c r="AO159" s="1474">
        <f t="shared" si="90"/>
        <v>1.0049999999999999</v>
      </c>
      <c r="AP159" s="1475">
        <f t="shared" ca="1" si="71"/>
        <v>1.3387797805891259</v>
      </c>
      <c r="AR159" s="701">
        <f t="shared" si="91"/>
        <v>39661</v>
      </c>
      <c r="AS159" s="1478">
        <f ca="1">IF(AND($A159&gt;=EDATE(AS$17,12),IF(Assm!$L$74=0,$D159,$E159)/AS158&gt;=1.05),IF(Assm!$L$74=0,$D159,$E159),AS158)</f>
        <v>2.3868082917392743</v>
      </c>
      <c r="AT159" s="1478">
        <f t="shared" ca="1" si="92"/>
        <v>1.0523909065114396</v>
      </c>
      <c r="AU159" s="1478">
        <f t="shared" ca="1" si="93"/>
        <v>1.075</v>
      </c>
      <c r="AV159" s="1478">
        <f t="shared" ca="1" si="94"/>
        <v>1.075</v>
      </c>
      <c r="AW159" s="1475">
        <f t="shared" ca="1" si="95"/>
        <v>2.6106553532859067</v>
      </c>
    </row>
    <row r="160" spans="1:49">
      <c r="A160" s="883">
        <f t="shared" si="82"/>
        <v>39692</v>
      </c>
      <c r="B160" s="1390">
        <f ca="1">'[2]Monthly Curve Calc.'!B163</f>
        <v>349.28691289418305</v>
      </c>
      <c r="C160" s="1391">
        <f ca="1">'[2]Monthly Curve Calc.'!C163</f>
        <v>216.81553925201325</v>
      </c>
      <c r="D160" s="1512">
        <f ca="1">'[2]Monthly Curve Calc.'!F163</f>
        <v>2.5102503475612647</v>
      </c>
      <c r="E160" s="1304">
        <f t="shared" ca="1" si="81"/>
        <v>1.9631930054725395</v>
      </c>
      <c r="F160" s="1473">
        <f ca="1">IF(Assm!$L$75=0,F159,IF(AND($A160&gt;F$16,MONTH($A160)=MONTH(F$16)),B159/B147,F159))</f>
        <v>1.075</v>
      </c>
      <c r="G160" s="1474">
        <f ca="1">IF(Assm!$L$75=0,G159,IF(AND($A160&gt;G$16,MONTH($A160)=MONTH(G$16)),C159/C147,G159))</f>
        <v>1.0267530455417444</v>
      </c>
      <c r="H160" s="1474">
        <f ca="1">IF(Assm!$L$75=0,H159,IF(AND($A160&gt;H$16,MONTH($A160)=MONTH(H$16)),C159/C147-H$18,H159))</f>
        <v>1.0242530455417445</v>
      </c>
      <c r="I160" s="1474">
        <f ca="1">IF(Assm!$L$75=0,I159,IF($A160&gt;=I$16,IF(MONTH($A160)=MONTH(I$16),AVERAGE(D148:D159),I159),I159))</f>
        <v>2.4329667131936445</v>
      </c>
      <c r="J160" s="1475">
        <f ca="1">IF(Assm!$L$75=0,J159,IF($A160&gt;=J$16,IF(MONTH($A160)=MONTH(J$16),AVERAGE(E148:E159),J159),J159))</f>
        <v>1.8570775386758642</v>
      </c>
      <c r="K160" s="958">
        <f t="shared" si="72"/>
        <v>148</v>
      </c>
      <c r="L160" s="1476">
        <f t="shared" ca="1" si="73"/>
        <v>1.0267530455417444</v>
      </c>
      <c r="M160" s="1474">
        <f t="shared" si="83"/>
        <v>0</v>
      </c>
      <c r="N160" s="1475">
        <f t="shared" ca="1" si="64"/>
        <v>1.3387797805891259</v>
      </c>
      <c r="P160" s="1476">
        <f t="shared" ca="1" si="74"/>
        <v>1.075</v>
      </c>
      <c r="Q160" s="1474">
        <f t="shared" si="84"/>
        <v>0</v>
      </c>
      <c r="R160" s="1475">
        <f t="shared" ca="1" si="65"/>
        <v>2.4241893391771434</v>
      </c>
      <c r="T160" s="1476">
        <f t="shared" ca="1" si="75"/>
        <v>1.0267530455417444</v>
      </c>
      <c r="U160" s="1474">
        <f t="shared" si="85"/>
        <v>1.0049999999999999</v>
      </c>
      <c r="V160" s="1475">
        <f t="shared" ca="1" si="66"/>
        <v>1.3387797805891259</v>
      </c>
      <c r="X160" s="1476">
        <f t="shared" ca="1" si="76"/>
        <v>1.0242530455417445</v>
      </c>
      <c r="Y160" s="1474">
        <f t="shared" si="86"/>
        <v>1.02</v>
      </c>
      <c r="Z160" s="1475">
        <f t="shared" ca="1" si="67"/>
        <v>1.3138486742599804</v>
      </c>
      <c r="AB160" s="1476">
        <f t="shared" ca="1" si="77"/>
        <v>1.0242530455417445</v>
      </c>
      <c r="AC160" s="1474">
        <f t="shared" si="87"/>
        <v>1.02</v>
      </c>
      <c r="AD160" s="1475">
        <f t="shared" ca="1" si="68"/>
        <v>1.3138486742599804</v>
      </c>
      <c r="AF160" s="1476">
        <f t="shared" ca="1" si="78"/>
        <v>1.075</v>
      </c>
      <c r="AG160" s="1474">
        <f t="shared" si="88"/>
        <v>0</v>
      </c>
      <c r="AH160" s="1475">
        <f t="shared" ca="1" si="69"/>
        <v>2.4241893391771434</v>
      </c>
      <c r="AJ160" s="1476">
        <f t="shared" ca="1" si="79"/>
        <v>1.0242530455417445</v>
      </c>
      <c r="AK160" s="1474">
        <f t="shared" si="89"/>
        <v>1.02</v>
      </c>
      <c r="AL160" s="1475">
        <f t="shared" ca="1" si="70"/>
        <v>1.3138486742599804</v>
      </c>
      <c r="AN160" s="1476">
        <f t="shared" ca="1" si="80"/>
        <v>1.0267530455417444</v>
      </c>
      <c r="AO160" s="1474">
        <f t="shared" si="90"/>
        <v>1.0049999999999999</v>
      </c>
      <c r="AP160" s="1475">
        <f t="shared" ca="1" si="71"/>
        <v>1.3387797805891259</v>
      </c>
      <c r="AR160" s="701">
        <f t="shared" si="91"/>
        <v>39692</v>
      </c>
      <c r="AS160" s="1478">
        <f ca="1">IF(AND($A160&gt;=EDATE(AS$17,12),IF(Assm!$L$74=0,$D160,$E160)/AS159&gt;=1.05),IF(Assm!$L$74=0,$D160,$E160),AS159)</f>
        <v>2.5102503475612647</v>
      </c>
      <c r="AT160" s="1478">
        <f t="shared" ca="1" si="92"/>
        <v>1.0517184627895011</v>
      </c>
      <c r="AU160" s="1478">
        <f t="shared" ca="1" si="93"/>
        <v>1.075</v>
      </c>
      <c r="AV160" s="1478">
        <f t="shared" ca="1" si="94"/>
        <v>1.075</v>
      </c>
      <c r="AW160" s="1475">
        <f t="shared" ca="1" si="95"/>
        <v>2.6106553532859067</v>
      </c>
    </row>
    <row r="161" spans="1:49">
      <c r="A161" s="883">
        <f t="shared" si="82"/>
        <v>39722</v>
      </c>
      <c r="B161" s="1390">
        <f ca="1">'[2]Monthly Curve Calc.'!B164</f>
        <v>351.3983239988732</v>
      </c>
      <c r="C161" s="1391">
        <f ca="1">'[2]Monthly Curve Calc.'!C164</f>
        <v>217.28720560194367</v>
      </c>
      <c r="D161" s="1512">
        <f ca="1">'[2]Monthly Curve Calc.'!F164</f>
        <v>2.5155589768540705</v>
      </c>
      <c r="E161" s="1304">
        <f t="shared" ca="1" si="81"/>
        <v>1.970773075516453</v>
      </c>
      <c r="F161" s="1473">
        <f ca="1">IF(Assm!$L$75=0,F160,IF(AND($A161&gt;F$16,MONTH($A161)=MONTH(F$16)),B160/B148,F160))</f>
        <v>1.075</v>
      </c>
      <c r="G161" s="1474">
        <f ca="1">IF(Assm!$L$75=0,G160,IF(AND($A161&gt;G$16,MONTH($A161)=MONTH(G$16)),C160/C148,G160))</f>
        <v>1.0267530455417444</v>
      </c>
      <c r="H161" s="1474">
        <f ca="1">IF(Assm!$L$75=0,H160,IF(AND($A161&gt;H$16,MONTH($A161)=MONTH(H$16)),C160/C148-H$18,H160))</f>
        <v>1.0242530455417445</v>
      </c>
      <c r="I161" s="1474">
        <f ca="1">IF(Assm!$L$75=0,I160,IF($A161&gt;=I$16,IF(MONTH($A161)=MONTH(I$16),AVERAGE(D149:D160),I160),I160))</f>
        <v>2.4329667131936445</v>
      </c>
      <c r="J161" s="1475">
        <f ca="1">IF(Assm!$L$75=0,J160,IF($A161&gt;=J$16,IF(MONTH($A161)=MONTH(J$16),AVERAGE(E149:E160),J160),J160))</f>
        <v>1.8570775386758642</v>
      </c>
      <c r="K161" s="958">
        <f t="shared" si="72"/>
        <v>149</v>
      </c>
      <c r="L161" s="1476">
        <f t="shared" ca="1" si="73"/>
        <v>1.0267530455417444</v>
      </c>
      <c r="M161" s="1474">
        <f t="shared" si="83"/>
        <v>0</v>
      </c>
      <c r="N161" s="1475">
        <f t="shared" ca="1" si="64"/>
        <v>1.3387797805891259</v>
      </c>
      <c r="P161" s="1476">
        <f t="shared" ca="1" si="74"/>
        <v>1.075</v>
      </c>
      <c r="Q161" s="1474">
        <f t="shared" si="84"/>
        <v>0</v>
      </c>
      <c r="R161" s="1475">
        <f t="shared" ca="1" si="65"/>
        <v>2.4241893391771434</v>
      </c>
      <c r="T161" s="1476">
        <f t="shared" ca="1" si="75"/>
        <v>1.0267530455417444</v>
      </c>
      <c r="U161" s="1474">
        <f t="shared" si="85"/>
        <v>1.0049999999999999</v>
      </c>
      <c r="V161" s="1475">
        <f t="shared" ca="1" si="66"/>
        <v>1.3387797805891259</v>
      </c>
      <c r="X161" s="1476">
        <f t="shared" ca="1" si="76"/>
        <v>1.0242530455417445</v>
      </c>
      <c r="Y161" s="1474">
        <f t="shared" si="86"/>
        <v>1.02</v>
      </c>
      <c r="Z161" s="1475">
        <f t="shared" ca="1" si="67"/>
        <v>1.3138486742599804</v>
      </c>
      <c r="AB161" s="1476">
        <f t="shared" ca="1" si="77"/>
        <v>1.0242530455417445</v>
      </c>
      <c r="AC161" s="1474">
        <f t="shared" si="87"/>
        <v>1.02</v>
      </c>
      <c r="AD161" s="1475">
        <f t="shared" ca="1" si="68"/>
        <v>1.3138486742599804</v>
      </c>
      <c r="AF161" s="1476">
        <f t="shared" ca="1" si="78"/>
        <v>1.075</v>
      </c>
      <c r="AG161" s="1474">
        <f t="shared" si="88"/>
        <v>0</v>
      </c>
      <c r="AH161" s="1475">
        <f t="shared" ca="1" si="69"/>
        <v>2.4241893391771434</v>
      </c>
      <c r="AJ161" s="1476">
        <f t="shared" ca="1" si="79"/>
        <v>1.0242530455417445</v>
      </c>
      <c r="AK161" s="1474">
        <f t="shared" si="89"/>
        <v>1.02</v>
      </c>
      <c r="AL161" s="1475">
        <f t="shared" ca="1" si="70"/>
        <v>1.3138486742599804</v>
      </c>
      <c r="AN161" s="1476">
        <f t="shared" ca="1" si="80"/>
        <v>1.0267530455417444</v>
      </c>
      <c r="AO161" s="1474">
        <f t="shared" si="90"/>
        <v>1.0049999999999999</v>
      </c>
      <c r="AP161" s="1475">
        <f t="shared" ca="1" si="71"/>
        <v>1.3387797805891259</v>
      </c>
      <c r="AR161" s="701">
        <f t="shared" si="91"/>
        <v>39722</v>
      </c>
      <c r="AS161" s="1478">
        <f ca="1">IF(AND($A161&gt;=EDATE(AS$17,12),IF(Assm!$L$74=0,$D161,$E161)/AS160&gt;=1.05),IF(Assm!$L$74=0,$D161,$E161),AS160)</f>
        <v>2.5102503475612647</v>
      </c>
      <c r="AT161" s="1478">
        <f t="shared" ca="1" si="92"/>
        <v>1.0517184627895011</v>
      </c>
      <c r="AU161" s="1478">
        <f t="shared" ca="1" si="93"/>
        <v>1.075</v>
      </c>
      <c r="AV161" s="1478">
        <f t="shared" ca="1" si="94"/>
        <v>1.075</v>
      </c>
      <c r="AW161" s="1475">
        <f t="shared" ca="1" si="95"/>
        <v>2.6106553532859067</v>
      </c>
    </row>
    <row r="162" spans="1:49">
      <c r="A162" s="883">
        <f t="shared" si="82"/>
        <v>39753</v>
      </c>
      <c r="B162" s="1390">
        <f ca="1">'[2]Monthly Curve Calc.'!B165</f>
        <v>353.52249841271822</v>
      </c>
      <c r="C162" s="1391">
        <f ca="1">'[2]Monthly Curve Calc.'!C165</f>
        <v>217.75989802752542</v>
      </c>
      <c r="D162" s="1512">
        <f ca="1">'[2]Monthly Curve Calc.'!F165</f>
        <v>2.5208788327342946</v>
      </c>
      <c r="E162" s="1304">
        <f t="shared" ca="1" si="81"/>
        <v>1.9783824129129448</v>
      </c>
      <c r="F162" s="1473">
        <f ca="1">IF(Assm!$L$75=0,F161,IF(AND($A162&gt;F$16,MONTH($A162)=MONTH(F$16)),B161/B149,F161))</f>
        <v>1.075</v>
      </c>
      <c r="G162" s="1474">
        <f ca="1">IF(Assm!$L$75=0,G161,IF(AND($A162&gt;G$16,MONTH($A162)=MONTH(G$16)),C161/C149,G161))</f>
        <v>1.0267530455417444</v>
      </c>
      <c r="H162" s="1474">
        <f ca="1">IF(Assm!$L$75=0,H161,IF(AND($A162&gt;H$16,MONTH($A162)=MONTH(H$16)),C161/C149-H$18,H161))</f>
        <v>1.0242530455417445</v>
      </c>
      <c r="I162" s="1474">
        <f ca="1">IF(Assm!$L$75=0,I161,IF($A162&gt;=I$16,IF(MONTH($A162)=MONTH(I$16),AVERAGE(D150:D161),I161),I161))</f>
        <v>2.4329667131936445</v>
      </c>
      <c r="J162" s="1475">
        <f ca="1">IF(Assm!$L$75=0,J161,IF($A162&gt;=J$16,IF(MONTH($A162)=MONTH(J$16),AVERAGE(E150:E161),J161),J161))</f>
        <v>1.8570775386758642</v>
      </c>
      <c r="K162" s="958">
        <f t="shared" si="72"/>
        <v>150</v>
      </c>
      <c r="L162" s="1476">
        <f t="shared" ca="1" si="73"/>
        <v>1.0267530455417444</v>
      </c>
      <c r="M162" s="1474">
        <f t="shared" si="83"/>
        <v>0</v>
      </c>
      <c r="N162" s="1475">
        <f t="shared" ca="1" si="64"/>
        <v>1.3387797805891259</v>
      </c>
      <c r="P162" s="1476">
        <f t="shared" ca="1" si="74"/>
        <v>1.075</v>
      </c>
      <c r="Q162" s="1474">
        <f t="shared" si="84"/>
        <v>0</v>
      </c>
      <c r="R162" s="1475">
        <f t="shared" ca="1" si="65"/>
        <v>2.4241893391771434</v>
      </c>
      <c r="T162" s="1476">
        <f t="shared" ca="1" si="75"/>
        <v>1.0267530455417444</v>
      </c>
      <c r="U162" s="1474">
        <f t="shared" si="85"/>
        <v>1.0049999999999999</v>
      </c>
      <c r="V162" s="1475">
        <f t="shared" ca="1" si="66"/>
        <v>1.3387797805891259</v>
      </c>
      <c r="X162" s="1476">
        <f t="shared" ca="1" si="76"/>
        <v>1.0242530455417445</v>
      </c>
      <c r="Y162" s="1474">
        <f t="shared" si="86"/>
        <v>1.02</v>
      </c>
      <c r="Z162" s="1475">
        <f t="shared" ca="1" si="67"/>
        <v>1.3138486742599804</v>
      </c>
      <c r="AB162" s="1476">
        <f t="shared" ca="1" si="77"/>
        <v>1.0242530455417445</v>
      </c>
      <c r="AC162" s="1474">
        <f t="shared" si="87"/>
        <v>1.02</v>
      </c>
      <c r="AD162" s="1475">
        <f t="shared" ca="1" si="68"/>
        <v>1.3138486742599804</v>
      </c>
      <c r="AF162" s="1476">
        <f t="shared" ca="1" si="78"/>
        <v>1.075</v>
      </c>
      <c r="AG162" s="1474">
        <f t="shared" si="88"/>
        <v>0</v>
      </c>
      <c r="AH162" s="1475">
        <f t="shared" ca="1" si="69"/>
        <v>2.4241893391771434</v>
      </c>
      <c r="AJ162" s="1476">
        <f t="shared" ca="1" si="79"/>
        <v>1.0242530455417445</v>
      </c>
      <c r="AK162" s="1474">
        <f t="shared" si="89"/>
        <v>1.02</v>
      </c>
      <c r="AL162" s="1475">
        <f t="shared" ca="1" si="70"/>
        <v>1.3138486742599804</v>
      </c>
      <c r="AN162" s="1476">
        <f t="shared" ca="1" si="80"/>
        <v>1.0267530455417444</v>
      </c>
      <c r="AO162" s="1474">
        <f t="shared" si="90"/>
        <v>1.0049999999999999</v>
      </c>
      <c r="AP162" s="1475">
        <f t="shared" ca="1" si="71"/>
        <v>1.3387797805891259</v>
      </c>
      <c r="AR162" s="701">
        <f t="shared" si="91"/>
        <v>39753</v>
      </c>
      <c r="AS162" s="1478">
        <f ca="1">IF(AND($A162&gt;=EDATE(AS$17,12),IF(Assm!$L$74=0,$D162,$E162)/AS161&gt;=1.05),IF(Assm!$L$74=0,$D162,$E162),AS161)</f>
        <v>2.5102503475612647</v>
      </c>
      <c r="AT162" s="1478">
        <f t="shared" ca="1" si="92"/>
        <v>1.0517184627895011</v>
      </c>
      <c r="AU162" s="1478">
        <f t="shared" ca="1" si="93"/>
        <v>1.075</v>
      </c>
      <c r="AV162" s="1478">
        <f t="shared" ca="1" si="94"/>
        <v>1.075</v>
      </c>
      <c r="AW162" s="1475">
        <f t="shared" ca="1" si="95"/>
        <v>2.6106553532859067</v>
      </c>
    </row>
    <row r="163" spans="1:49">
      <c r="A163" s="883">
        <f t="shared" si="82"/>
        <v>39783</v>
      </c>
      <c r="B163" s="1390">
        <f ca="1">'[2]Monthly Curve Calc.'!B166</f>
        <v>355.65951328888838</v>
      </c>
      <c r="C163" s="1391">
        <f ca="1">'[2]Monthly Curve Calc.'!C166</f>
        <v>218.23361876091104</v>
      </c>
      <c r="D163" s="1512">
        <f ca="1">'[2]Monthly Curve Calc.'!F166</f>
        <v>2.5262099389437069</v>
      </c>
      <c r="E163" s="1304">
        <f t="shared" ca="1" si="81"/>
        <v>1.9860211306659743</v>
      </c>
      <c r="F163" s="1473">
        <f ca="1">IF(Assm!$L$75=0,F162,IF(AND($A163&gt;F$16,MONTH($A163)=MONTH(F$16)),B162/B150,F162))</f>
        <v>1.075</v>
      </c>
      <c r="G163" s="1474">
        <f ca="1">IF(Assm!$L$75=0,G162,IF(AND($A163&gt;G$16,MONTH($A163)=MONTH(G$16)),C162/C150,G162))</f>
        <v>1.0267530455417444</v>
      </c>
      <c r="H163" s="1474">
        <f ca="1">IF(Assm!$L$75=0,H162,IF(AND($A163&gt;H$16,MONTH($A163)=MONTH(H$16)),C162/C150-H$18,H162))</f>
        <v>1.0242530455417445</v>
      </c>
      <c r="I163" s="1474">
        <f ca="1">IF(Assm!$L$75=0,I162,IF($A163&gt;=I$16,IF(MONTH($A163)=MONTH(I$16),AVERAGE(D151:D162),I162),I162))</f>
        <v>2.4329667131936445</v>
      </c>
      <c r="J163" s="1475">
        <f ca="1">IF(Assm!$L$75=0,J162,IF($A163&gt;=J$16,IF(MONTH($A163)=MONTH(J$16),AVERAGE(E151:E162),J162),J162))</f>
        <v>1.8570775386758642</v>
      </c>
      <c r="K163" s="958">
        <f t="shared" si="72"/>
        <v>151</v>
      </c>
      <c r="L163" s="1476">
        <f t="shared" ca="1" si="73"/>
        <v>1.0267530455417444</v>
      </c>
      <c r="M163" s="1474">
        <f t="shared" si="83"/>
        <v>0</v>
      </c>
      <c r="N163" s="1475">
        <f t="shared" ca="1" si="64"/>
        <v>1.3387797805891259</v>
      </c>
      <c r="P163" s="1476">
        <f t="shared" ca="1" si="74"/>
        <v>1.075</v>
      </c>
      <c r="Q163" s="1474">
        <f t="shared" si="84"/>
        <v>0</v>
      </c>
      <c r="R163" s="1475">
        <f t="shared" ca="1" si="65"/>
        <v>2.4241893391771434</v>
      </c>
      <c r="T163" s="1476">
        <f t="shared" ca="1" si="75"/>
        <v>1.0267530455417444</v>
      </c>
      <c r="U163" s="1474">
        <f t="shared" si="85"/>
        <v>1.0049999999999999</v>
      </c>
      <c r="V163" s="1475">
        <f t="shared" ca="1" si="66"/>
        <v>1.3387797805891259</v>
      </c>
      <c r="X163" s="1476">
        <f t="shared" ca="1" si="76"/>
        <v>1.0242530455417445</v>
      </c>
      <c r="Y163" s="1474">
        <f t="shared" si="86"/>
        <v>1.02</v>
      </c>
      <c r="Z163" s="1475">
        <f t="shared" ca="1" si="67"/>
        <v>1.3138486742599804</v>
      </c>
      <c r="AB163" s="1476">
        <f t="shared" ca="1" si="77"/>
        <v>1.0242530455417445</v>
      </c>
      <c r="AC163" s="1474">
        <f t="shared" si="87"/>
        <v>1.02</v>
      </c>
      <c r="AD163" s="1475">
        <f t="shared" ca="1" si="68"/>
        <v>1.3138486742599804</v>
      </c>
      <c r="AF163" s="1476">
        <f t="shared" ca="1" si="78"/>
        <v>1.075</v>
      </c>
      <c r="AG163" s="1474">
        <f t="shared" si="88"/>
        <v>0</v>
      </c>
      <c r="AH163" s="1475">
        <f t="shared" ca="1" si="69"/>
        <v>2.4241893391771434</v>
      </c>
      <c r="AJ163" s="1476">
        <f t="shared" ca="1" si="79"/>
        <v>1.0242530455417445</v>
      </c>
      <c r="AK163" s="1474">
        <f t="shared" si="89"/>
        <v>1.02</v>
      </c>
      <c r="AL163" s="1475">
        <f t="shared" ca="1" si="70"/>
        <v>1.3138486742599804</v>
      </c>
      <c r="AN163" s="1476">
        <f t="shared" ca="1" si="80"/>
        <v>1.0267530455417444</v>
      </c>
      <c r="AO163" s="1474">
        <f t="shared" si="90"/>
        <v>1.0049999999999999</v>
      </c>
      <c r="AP163" s="1475">
        <f t="shared" ca="1" si="71"/>
        <v>1.3387797805891259</v>
      </c>
      <c r="AR163" s="701">
        <f t="shared" si="91"/>
        <v>39783</v>
      </c>
      <c r="AS163" s="1478">
        <f ca="1">IF(AND($A163&gt;=EDATE(AS$17,12),IF(Assm!$L$74=0,$D163,$E163)/AS162&gt;=1.05),IF(Assm!$L$74=0,$D163,$E163),AS162)</f>
        <v>2.5102503475612647</v>
      </c>
      <c r="AT163" s="1478">
        <f t="shared" ca="1" si="92"/>
        <v>1.0517184627895011</v>
      </c>
      <c r="AU163" s="1478">
        <f t="shared" ca="1" si="93"/>
        <v>1.075</v>
      </c>
      <c r="AV163" s="1478">
        <f t="shared" ca="1" si="94"/>
        <v>1.075</v>
      </c>
      <c r="AW163" s="1475">
        <f t="shared" ca="1" si="95"/>
        <v>2.6106553532859067</v>
      </c>
    </row>
    <row r="164" spans="1:49">
      <c r="A164" s="883">
        <f t="shared" si="82"/>
        <v>39814</v>
      </c>
      <c r="B164" s="1390">
        <f ca="1">'[2]Monthly Curve Calc.'!B167</f>
        <v>357.72612812434687</v>
      </c>
      <c r="C164" s="1391">
        <f ca="1">'[2]Monthly Curve Calc.'!C167</f>
        <v>218.70045212737875</v>
      </c>
      <c r="D164" s="1512">
        <f ca="1">'[2]Monthly Curve Calc.'!F167</f>
        <v>2.5314135178011798</v>
      </c>
      <c r="E164" s="1304">
        <f t="shared" ca="1" si="81"/>
        <v>1.9932972628887882</v>
      </c>
      <c r="F164" s="1473">
        <f ca="1">IF(Assm!$L$75=0,F163,IF(AND($A164&gt;F$16,MONTH($A164)=MONTH(F$16)),B163/B151,F163))</f>
        <v>1.075</v>
      </c>
      <c r="G164" s="1474">
        <f ca="1">IF(Assm!$L$75=0,G163,IF(AND($A164&gt;G$16,MONTH($A164)=MONTH(G$16)),C163/C151,G163))</f>
        <v>1.0267530455417444</v>
      </c>
      <c r="H164" s="1474">
        <f ca="1">IF(Assm!$L$75=0,H163,IF(AND($A164&gt;H$16,MONTH($A164)=MONTH(H$16)),C163/C151-H$18,H163))</f>
        <v>1.0242530455417445</v>
      </c>
      <c r="I164" s="1474">
        <f ca="1">IF(Assm!$L$75=0,I163,IF($A164&gt;=I$16,IF(MONTH($A164)=MONTH(I$16),AVERAGE(D152:D163),I163),I163))</f>
        <v>2.4970941347776465</v>
      </c>
      <c r="J164" s="1475">
        <f ca="1">IF(Assm!$L$75=0,J163,IF($A164&gt;=J$16,IF(MONTH($A164)=MONTH(J$16),AVERAGE(E152:E163),J163),J163))</f>
        <v>1.9445421900388256</v>
      </c>
      <c r="K164" s="958">
        <f t="shared" si="72"/>
        <v>152</v>
      </c>
      <c r="L164" s="1476">
        <f t="shared" ca="1" si="73"/>
        <v>1.0267530455417444</v>
      </c>
      <c r="M164" s="1474">
        <f t="shared" si="83"/>
        <v>0</v>
      </c>
      <c r="N164" s="1475">
        <f t="shared" ca="1" si="64"/>
        <v>1.3387797805891259</v>
      </c>
      <c r="P164" s="1476">
        <f t="shared" ca="1" si="74"/>
        <v>1.075</v>
      </c>
      <c r="Q164" s="1474">
        <f t="shared" si="84"/>
        <v>0</v>
      </c>
      <c r="R164" s="1475">
        <f t="shared" ca="1" si="65"/>
        <v>2.4241893391771434</v>
      </c>
      <c r="T164" s="1476">
        <f t="shared" ca="1" si="75"/>
        <v>1.0267530455417444</v>
      </c>
      <c r="U164" s="1474">
        <f t="shared" si="85"/>
        <v>1.0049999999999999</v>
      </c>
      <c r="V164" s="1475">
        <f t="shared" ca="1" si="66"/>
        <v>1.3387797805891259</v>
      </c>
      <c r="X164" s="1476">
        <f t="shared" ca="1" si="76"/>
        <v>1.0242530455417445</v>
      </c>
      <c r="Y164" s="1474">
        <f t="shared" si="86"/>
        <v>1.02</v>
      </c>
      <c r="Z164" s="1475">
        <f t="shared" ca="1" si="67"/>
        <v>1.3138486742599804</v>
      </c>
      <c r="AB164" s="1476">
        <f t="shared" ca="1" si="77"/>
        <v>1.0242530455417445</v>
      </c>
      <c r="AC164" s="1474">
        <f t="shared" si="87"/>
        <v>1.02</v>
      </c>
      <c r="AD164" s="1475">
        <f t="shared" ca="1" si="68"/>
        <v>1.3138486742599804</v>
      </c>
      <c r="AF164" s="1476">
        <f t="shared" ca="1" si="78"/>
        <v>1.075</v>
      </c>
      <c r="AG164" s="1474">
        <f t="shared" si="88"/>
        <v>0</v>
      </c>
      <c r="AH164" s="1475">
        <f t="shared" ca="1" si="69"/>
        <v>2.4241893391771434</v>
      </c>
      <c r="AJ164" s="1476">
        <f t="shared" ca="1" si="79"/>
        <v>1.0242530455417445</v>
      </c>
      <c r="AK164" s="1474">
        <f t="shared" si="89"/>
        <v>1.02</v>
      </c>
      <c r="AL164" s="1475">
        <f t="shared" ca="1" si="70"/>
        <v>1.3138486742599804</v>
      </c>
      <c r="AN164" s="1476">
        <f t="shared" ca="1" si="80"/>
        <v>1.0267530455417444</v>
      </c>
      <c r="AO164" s="1474">
        <f t="shared" si="90"/>
        <v>1.0049999999999999</v>
      </c>
      <c r="AP164" s="1475">
        <f t="shared" ca="1" si="71"/>
        <v>1.3387797805891259</v>
      </c>
      <c r="AR164" s="701">
        <f t="shared" si="91"/>
        <v>39814</v>
      </c>
      <c r="AS164" s="1478">
        <f ca="1">IF(AND($A164&gt;=EDATE(AS$17,12),IF(Assm!$L$74=0,$D164,$E164)/AS163&gt;=1.05),IF(Assm!$L$74=0,$D164,$E164),AS163)</f>
        <v>2.5102503475612647</v>
      </c>
      <c r="AT164" s="1478">
        <f t="shared" ca="1" si="92"/>
        <v>1.0517184627895011</v>
      </c>
      <c r="AU164" s="1478">
        <f t="shared" ca="1" si="93"/>
        <v>1.075</v>
      </c>
      <c r="AV164" s="1478">
        <f t="shared" ca="1" si="94"/>
        <v>1.075</v>
      </c>
      <c r="AW164" s="1475">
        <f t="shared" ca="1" si="95"/>
        <v>2.6106553532859067</v>
      </c>
    </row>
    <row r="165" spans="1:49">
      <c r="A165" s="883">
        <f t="shared" si="82"/>
        <v>39845</v>
      </c>
      <c r="B165" s="1390">
        <f ca="1">'[2]Monthly Curve Calc.'!B168</f>
        <v>359.80475134624959</v>
      </c>
      <c r="C165" s="1391">
        <f ca="1">'[2]Monthly Curve Calc.'!C168</f>
        <v>219.16828411813398</v>
      </c>
      <c r="D165" s="1512">
        <f ca="1">'[2]Monthly Curve Calc.'!F168</f>
        <v>2.5366278151791164</v>
      </c>
      <c r="E165" s="1304">
        <f t="shared" ca="1" si="81"/>
        <v>2.0006000524816101</v>
      </c>
      <c r="F165" s="1473">
        <f ca="1">IF(Assm!$L$75=0,F164,IF(AND($A165&gt;F$16,MONTH($A165)=MONTH(F$16)),B164/B152,F164))</f>
        <v>1.075</v>
      </c>
      <c r="G165" s="1474">
        <f ca="1">IF(Assm!$L$75=0,G164,IF(AND($A165&gt;G$16,MONTH($A165)=MONTH(G$16)),C164/C152,G164))</f>
        <v>1.0267530455417444</v>
      </c>
      <c r="H165" s="1474">
        <f ca="1">IF(Assm!$L$75=0,H164,IF(AND($A165&gt;H$16,MONTH($A165)=MONTH(H$16)),C164/C152-H$18,H164))</f>
        <v>1.0242530455417445</v>
      </c>
      <c r="I165" s="1474">
        <f ca="1">IF(Assm!$L$75=0,I164,IF($A165&gt;=I$16,IF(MONTH($A165)=MONTH(I$16),AVERAGE(D153:D164),I164),I164))</f>
        <v>2.4970941347776465</v>
      </c>
      <c r="J165" s="1475">
        <f ca="1">IF(Assm!$L$75=0,J164,IF($A165&gt;=J$16,IF(MONTH($A165)=MONTH(J$16),AVERAGE(E153:E164),J164),J164))</f>
        <v>1.9445421900388256</v>
      </c>
      <c r="K165" s="958">
        <f t="shared" si="72"/>
        <v>153</v>
      </c>
      <c r="L165" s="1476">
        <f t="shared" ca="1" si="73"/>
        <v>1.0267530455417444</v>
      </c>
      <c r="M165" s="1474">
        <f t="shared" si="83"/>
        <v>0</v>
      </c>
      <c r="N165" s="1475">
        <f t="shared" ref="N165:N228" ca="1" si="96">IF(AND($A165&gt;=N$16,MONTH($A165)=MONTH(N$16)),MAX(L165,M165)*N164,N164)</f>
        <v>1.3387797805891259</v>
      </c>
      <c r="P165" s="1476">
        <f t="shared" ca="1" si="74"/>
        <v>1.075</v>
      </c>
      <c r="Q165" s="1474">
        <f t="shared" si="84"/>
        <v>0</v>
      </c>
      <c r="R165" s="1475">
        <f t="shared" ref="R165:R228" ca="1" si="97">IF(AND($A165&gt;=R$16,MONTH($A165)=MONTH(R$16)),MAX(P165,Q165)*R164,R164)</f>
        <v>2.4241893391771434</v>
      </c>
      <c r="T165" s="1476">
        <f t="shared" ca="1" si="75"/>
        <v>1.0267530455417444</v>
      </c>
      <c r="U165" s="1474">
        <f t="shared" si="85"/>
        <v>1.0049999999999999</v>
      </c>
      <c r="V165" s="1475">
        <f t="shared" ref="V165:V228" ca="1" si="98">IF(AND($A165&gt;=V$16,MONTH($A165)=MONTH(V$16)),MAX(T165,U165)*V164,V164)</f>
        <v>1.3387797805891259</v>
      </c>
      <c r="X165" s="1476">
        <f t="shared" ca="1" si="76"/>
        <v>1.0242530455417445</v>
      </c>
      <c r="Y165" s="1474">
        <f t="shared" si="86"/>
        <v>1.02</v>
      </c>
      <c r="Z165" s="1475">
        <f t="shared" ref="Z165:Z228" ca="1" si="99">IF(AND($A165&gt;=Z$16,MONTH($A165)=MONTH(Z$16)),MAX(X165,Y165)*Z164,Z164)</f>
        <v>1.3138486742599804</v>
      </c>
      <c r="AB165" s="1476">
        <f t="shared" ca="1" si="77"/>
        <v>1.0242530455417445</v>
      </c>
      <c r="AC165" s="1474">
        <f t="shared" si="87"/>
        <v>1.02</v>
      </c>
      <c r="AD165" s="1475">
        <f t="shared" ref="AD165:AD228" ca="1" si="100">IF(AND($A165&gt;=AD$16,MONTH($A165)=MONTH(AD$16)),MAX(AB165,AC165)*AD164,AD164)</f>
        <v>1.3138486742599804</v>
      </c>
      <c r="AF165" s="1476">
        <f t="shared" ca="1" si="78"/>
        <v>1.075</v>
      </c>
      <c r="AG165" s="1474">
        <f t="shared" si="88"/>
        <v>0</v>
      </c>
      <c r="AH165" s="1475">
        <f t="shared" ref="AH165:AH228" ca="1" si="101">IF(AND($A165&gt;=AH$16,MONTH($A165)=MONTH(AH$16)),MAX(AF165,AG165)*AH164,AH164)</f>
        <v>2.4241893391771434</v>
      </c>
      <c r="AJ165" s="1476">
        <f t="shared" ca="1" si="79"/>
        <v>1.0242530455417445</v>
      </c>
      <c r="AK165" s="1474">
        <f t="shared" si="89"/>
        <v>1.02</v>
      </c>
      <c r="AL165" s="1475">
        <f t="shared" ref="AL165:AL228" ca="1" si="102">IF(AND($A165&gt;=AL$16,MONTH($A165)=MONTH(AL$16)),MAX(AJ165,AK165)*AL164,AL164)</f>
        <v>1.3138486742599804</v>
      </c>
      <c r="AN165" s="1476">
        <f t="shared" ca="1" si="80"/>
        <v>1.0267530455417444</v>
      </c>
      <c r="AO165" s="1474">
        <f t="shared" si="90"/>
        <v>1.0049999999999999</v>
      </c>
      <c r="AP165" s="1475">
        <f t="shared" ref="AP165:AP228" ca="1" si="103">IF(AND($A165&gt;=AP$16,MONTH($A165)=MONTH(AP$16)),MAX(AN165,AO165)*AP164,AP164)</f>
        <v>1.3387797805891259</v>
      </c>
      <c r="AR165" s="701">
        <f t="shared" si="91"/>
        <v>39845</v>
      </c>
      <c r="AS165" s="1478">
        <f ca="1">IF(AND($A165&gt;=EDATE(AS$17,12),IF(Assm!$L$74=0,$D165,$E165)/AS164&gt;=1.05),IF(Assm!$L$74=0,$D165,$E165),AS164)</f>
        <v>2.5102503475612647</v>
      </c>
      <c r="AT165" s="1478">
        <f t="shared" ca="1" si="92"/>
        <v>1.0517184627895011</v>
      </c>
      <c r="AU165" s="1478">
        <f t="shared" ca="1" si="93"/>
        <v>1.075</v>
      </c>
      <c r="AV165" s="1478">
        <f t="shared" ca="1" si="94"/>
        <v>1.075</v>
      </c>
      <c r="AW165" s="1475">
        <f t="shared" ca="1" si="95"/>
        <v>2.6106553532859067</v>
      </c>
    </row>
    <row r="166" spans="1:49">
      <c r="A166" s="883">
        <f t="shared" si="82"/>
        <v>39873</v>
      </c>
      <c r="B166" s="1390">
        <f ca="1">'[2]Monthly Curve Calc.'!B169</f>
        <v>361.89545273119086</v>
      </c>
      <c r="C166" s="1391">
        <f ca="1">'[2]Monthly Curve Calc.'!C169</f>
        <v>219.63711686937893</v>
      </c>
      <c r="D166" s="1512">
        <f ca="1">'[2]Monthly Curve Calc.'!F169</f>
        <v>2.5418528531559139</v>
      </c>
      <c r="E166" s="1304">
        <f t="shared" ca="1" si="81"/>
        <v>2.0079295971083297</v>
      </c>
      <c r="F166" s="1473">
        <f ca="1">IF(Assm!$L$75=0,F165,IF(AND($A166&gt;F$16,MONTH($A166)=MONTH(F$16)),B165/B153,F165))</f>
        <v>1.075</v>
      </c>
      <c r="G166" s="1474">
        <f ca="1">IF(Assm!$L$75=0,G165,IF(AND($A166&gt;G$16,MONTH($A166)=MONTH(G$16)),C165/C153,G165))</f>
        <v>1.0267530455417444</v>
      </c>
      <c r="H166" s="1474">
        <f ca="1">IF(Assm!$L$75=0,H165,IF(AND($A166&gt;H$16,MONTH($A166)=MONTH(H$16)),C165/C153-H$18,H165))</f>
        <v>1.0242530455417445</v>
      </c>
      <c r="I166" s="1474">
        <f ca="1">IF(Assm!$L$75=0,I165,IF($A166&gt;=I$16,IF(MONTH($A166)=MONTH(I$16),AVERAGE(D154:D165),I165),I165))</f>
        <v>2.4970941347776465</v>
      </c>
      <c r="J166" s="1475">
        <f ca="1">IF(Assm!$L$75=0,J165,IF($A166&gt;=J$16,IF(MONTH($A166)=MONTH(J$16),AVERAGE(E154:E165),J165),J165))</f>
        <v>1.9445421900388256</v>
      </c>
      <c r="K166" s="958">
        <f t="shared" si="72"/>
        <v>154</v>
      </c>
      <c r="L166" s="1476">
        <f t="shared" ca="1" si="73"/>
        <v>1.0267530455417444</v>
      </c>
      <c r="M166" s="1474">
        <f t="shared" si="83"/>
        <v>0</v>
      </c>
      <c r="N166" s="1475">
        <f t="shared" ca="1" si="96"/>
        <v>1.3387797805891259</v>
      </c>
      <c r="P166" s="1476">
        <f t="shared" ca="1" si="74"/>
        <v>1.075</v>
      </c>
      <c r="Q166" s="1474">
        <f t="shared" si="84"/>
        <v>0</v>
      </c>
      <c r="R166" s="1475">
        <f t="shared" ca="1" si="97"/>
        <v>2.4241893391771434</v>
      </c>
      <c r="T166" s="1476">
        <f t="shared" ca="1" si="75"/>
        <v>1.0267530455417444</v>
      </c>
      <c r="U166" s="1474">
        <f t="shared" si="85"/>
        <v>1.0049999999999999</v>
      </c>
      <c r="V166" s="1475">
        <f t="shared" ca="1" si="98"/>
        <v>1.3387797805891259</v>
      </c>
      <c r="X166" s="1476">
        <f t="shared" ca="1" si="76"/>
        <v>1.0242530455417445</v>
      </c>
      <c r="Y166" s="1474">
        <f t="shared" si="86"/>
        <v>1.02</v>
      </c>
      <c r="Z166" s="1475">
        <f t="shared" ca="1" si="99"/>
        <v>1.3138486742599804</v>
      </c>
      <c r="AB166" s="1476">
        <f t="shared" ca="1" si="77"/>
        <v>1.0242530455417445</v>
      </c>
      <c r="AC166" s="1474">
        <f t="shared" si="87"/>
        <v>1.02</v>
      </c>
      <c r="AD166" s="1475">
        <f t="shared" ca="1" si="100"/>
        <v>1.3138486742599804</v>
      </c>
      <c r="AF166" s="1476">
        <f t="shared" ca="1" si="78"/>
        <v>1.075</v>
      </c>
      <c r="AG166" s="1474">
        <f t="shared" si="88"/>
        <v>0</v>
      </c>
      <c r="AH166" s="1475">
        <f t="shared" ca="1" si="101"/>
        <v>2.4241893391771434</v>
      </c>
      <c r="AJ166" s="1476">
        <f t="shared" ca="1" si="79"/>
        <v>1.0242530455417445</v>
      </c>
      <c r="AK166" s="1474">
        <f t="shared" si="89"/>
        <v>1.02</v>
      </c>
      <c r="AL166" s="1475">
        <f t="shared" ca="1" si="102"/>
        <v>1.3138486742599804</v>
      </c>
      <c r="AN166" s="1476">
        <f t="shared" ca="1" si="80"/>
        <v>1.0267530455417444</v>
      </c>
      <c r="AO166" s="1474">
        <f t="shared" si="90"/>
        <v>1.0049999999999999</v>
      </c>
      <c r="AP166" s="1475">
        <f t="shared" ca="1" si="103"/>
        <v>1.3387797805891259</v>
      </c>
      <c r="AR166" s="701">
        <f t="shared" si="91"/>
        <v>39873</v>
      </c>
      <c r="AS166" s="1478">
        <f ca="1">IF(AND($A166&gt;=EDATE(AS$17,12),IF(Assm!$L$74=0,$D166,$E166)/AS165&gt;=1.05),IF(Assm!$L$74=0,$D166,$E166),AS165)</f>
        <v>2.5102503475612647</v>
      </c>
      <c r="AT166" s="1478">
        <f t="shared" ca="1" si="92"/>
        <v>1.0517184627895011</v>
      </c>
      <c r="AU166" s="1478">
        <f t="shared" ca="1" si="93"/>
        <v>1.075</v>
      </c>
      <c r="AV166" s="1478">
        <f t="shared" ca="1" si="94"/>
        <v>1.075</v>
      </c>
      <c r="AW166" s="1475">
        <f t="shared" ca="1" si="95"/>
        <v>2.6106553532859067</v>
      </c>
    </row>
    <row r="167" spans="1:49">
      <c r="A167" s="883">
        <f t="shared" si="82"/>
        <v>39904</v>
      </c>
      <c r="B167" s="1390">
        <f ca="1">'[2]Monthly Curve Calc.'!B170</f>
        <v>363.99830246121275</v>
      </c>
      <c r="C167" s="1391">
        <f ca="1">'[2]Monthly Curve Calc.'!C170</f>
        <v>220.10695252188546</v>
      </c>
      <c r="D167" s="1512">
        <f ca="1">'[2]Monthly Curve Calc.'!F170</f>
        <v>2.5470886538554471</v>
      </c>
      <c r="E167" s="1304">
        <f t="shared" ca="1" si="81"/>
        <v>2.0152859947906454</v>
      </c>
      <c r="F167" s="1473">
        <f ca="1">IF(Assm!$L$75=0,F166,IF(AND($A167&gt;F$16,MONTH($A167)=MONTH(F$16)),B166/B154,F166))</f>
        <v>1.075</v>
      </c>
      <c r="G167" s="1474">
        <f ca="1">IF(Assm!$L$75=0,G166,IF(AND($A167&gt;G$16,MONTH($A167)=MONTH(G$16)),C166/C154,G166))</f>
        <v>1.0267530455417444</v>
      </c>
      <c r="H167" s="1474">
        <f ca="1">IF(Assm!$L$75=0,H166,IF(AND($A167&gt;H$16,MONTH($A167)=MONTH(H$16)),C166/C154-H$18,H166))</f>
        <v>1.0242530455417445</v>
      </c>
      <c r="I167" s="1474">
        <f ca="1">IF(Assm!$L$75=0,I166,IF($A167&gt;=I$16,IF(MONTH($A167)=MONTH(I$16),AVERAGE(D155:D166),I166),I166))</f>
        <v>2.4970941347776465</v>
      </c>
      <c r="J167" s="1475">
        <f ca="1">IF(Assm!$L$75=0,J166,IF($A167&gt;=J$16,IF(MONTH($A167)=MONTH(J$16),AVERAGE(E155:E166),J166),J166))</f>
        <v>1.9445421900388256</v>
      </c>
      <c r="K167" s="958">
        <f t="shared" si="72"/>
        <v>155</v>
      </c>
      <c r="L167" s="1476">
        <f t="shared" ca="1" si="73"/>
        <v>1.0267530455417444</v>
      </c>
      <c r="M167" s="1474">
        <f t="shared" si="83"/>
        <v>0</v>
      </c>
      <c r="N167" s="1475">
        <f t="shared" ca="1" si="96"/>
        <v>1.3387797805891259</v>
      </c>
      <c r="P167" s="1476">
        <f t="shared" ca="1" si="74"/>
        <v>1.075</v>
      </c>
      <c r="Q167" s="1474">
        <f t="shared" si="84"/>
        <v>0</v>
      </c>
      <c r="R167" s="1475">
        <f t="shared" ca="1" si="97"/>
        <v>2.4241893391771434</v>
      </c>
      <c r="T167" s="1476">
        <f t="shared" ca="1" si="75"/>
        <v>1.0267530455417444</v>
      </c>
      <c r="U167" s="1474">
        <f t="shared" si="85"/>
        <v>1.0049999999999999</v>
      </c>
      <c r="V167" s="1475">
        <f t="shared" ca="1" si="98"/>
        <v>1.3387797805891259</v>
      </c>
      <c r="X167" s="1476">
        <f t="shared" ca="1" si="76"/>
        <v>1.0242530455417445</v>
      </c>
      <c r="Y167" s="1474">
        <f t="shared" si="86"/>
        <v>1.02</v>
      </c>
      <c r="Z167" s="1475">
        <f t="shared" ca="1" si="99"/>
        <v>1.3138486742599804</v>
      </c>
      <c r="AB167" s="1476">
        <f t="shared" ca="1" si="77"/>
        <v>1.0242530455417445</v>
      </c>
      <c r="AC167" s="1474">
        <f t="shared" si="87"/>
        <v>1.02</v>
      </c>
      <c r="AD167" s="1475">
        <f t="shared" ca="1" si="100"/>
        <v>1.3138486742599804</v>
      </c>
      <c r="AF167" s="1476">
        <f t="shared" ca="1" si="78"/>
        <v>1.075</v>
      </c>
      <c r="AG167" s="1474">
        <f t="shared" si="88"/>
        <v>0</v>
      </c>
      <c r="AH167" s="1475">
        <f t="shared" ca="1" si="101"/>
        <v>2.4241893391771434</v>
      </c>
      <c r="AJ167" s="1476">
        <f t="shared" ca="1" si="79"/>
        <v>1.0242530455417445</v>
      </c>
      <c r="AK167" s="1474">
        <f t="shared" si="89"/>
        <v>1.02</v>
      </c>
      <c r="AL167" s="1475">
        <f t="shared" ca="1" si="102"/>
        <v>1.3138486742599804</v>
      </c>
      <c r="AN167" s="1476">
        <f t="shared" ca="1" si="80"/>
        <v>1.0267530455417444</v>
      </c>
      <c r="AO167" s="1474">
        <f t="shared" si="90"/>
        <v>1.0049999999999999</v>
      </c>
      <c r="AP167" s="1475">
        <f t="shared" ca="1" si="103"/>
        <v>1.3387797805891259</v>
      </c>
      <c r="AR167" s="701">
        <f t="shared" si="91"/>
        <v>39904</v>
      </c>
      <c r="AS167" s="1478">
        <f ca="1">IF(AND($A167&gt;=EDATE(AS$17,12),IF(Assm!$L$74=0,$D167,$E167)/AS166&gt;=1.05),IF(Assm!$L$74=0,$D167,$E167),AS166)</f>
        <v>2.5102503475612647</v>
      </c>
      <c r="AT167" s="1478">
        <f t="shared" ca="1" si="92"/>
        <v>1.0517184627895011</v>
      </c>
      <c r="AU167" s="1478">
        <f t="shared" ca="1" si="93"/>
        <v>1.075</v>
      </c>
      <c r="AV167" s="1478">
        <f t="shared" ca="1" si="94"/>
        <v>1.075</v>
      </c>
      <c r="AW167" s="1475">
        <f t="shared" ca="1" si="95"/>
        <v>2.6106553532859067</v>
      </c>
    </row>
    <row r="168" spans="1:49">
      <c r="A168" s="883">
        <f t="shared" si="82"/>
        <v>39934</v>
      </c>
      <c r="B168" s="1390">
        <f ca="1">'[2]Monthly Curve Calc.'!B171</f>
        <v>366.11337112616093</v>
      </c>
      <c r="C168" s="1391">
        <f ca="1">'[2]Monthly Curve Calc.'!C171</f>
        <v>220.57779322100484</v>
      </c>
      <c r="D168" s="1512">
        <f ca="1">'[2]Monthly Curve Calc.'!F171</f>
        <v>2.5523352394471628</v>
      </c>
      <c r="E168" s="1304">
        <f t="shared" ca="1" si="81"/>
        <v>2.0226693439093753</v>
      </c>
      <c r="F168" s="1473">
        <f ca="1">IF(Assm!$L$75=0,F167,IF(AND($A168&gt;F$16,MONTH($A168)=MONTH(F$16)),B167/B155,F167))</f>
        <v>1.0739990683225322</v>
      </c>
      <c r="G168" s="1474">
        <f ca="1">IF(Assm!$L$75=0,G167,IF(AND($A168&gt;G$16,MONTH($A168)=MONTH(G$16)),C167/C155,G167))</f>
        <v>1.0262711122579586</v>
      </c>
      <c r="H168" s="1474">
        <f ca="1">IF(Assm!$L$75=0,H167,IF(AND($A168&gt;H$16,MONTH($A168)=MONTH(H$16)),C167/C155-H$18,H167))</f>
        <v>1.0237711122579587</v>
      </c>
      <c r="I168" s="1474">
        <f ca="1">IF(Assm!$L$75=0,I167,IF($A168&gt;=I$16,IF(MONTH($A168)=MONTH(I$16),AVERAGE(D156:D167),I167),I167))</f>
        <v>2.4970941347776465</v>
      </c>
      <c r="J168" s="1475">
        <f ca="1">IF(Assm!$L$75=0,J167,IF($A168&gt;=J$16,IF(MONTH($A168)=MONTH(J$16),AVERAGE(E156:E167),J167),J167))</f>
        <v>1.9445421900388256</v>
      </c>
      <c r="K168" s="958">
        <f t="shared" si="72"/>
        <v>156</v>
      </c>
      <c r="L168" s="1476">
        <f t="shared" ca="1" si="73"/>
        <v>1.0262711122579586</v>
      </c>
      <c r="M168" s="1474">
        <f t="shared" si="83"/>
        <v>0</v>
      </c>
      <c r="N168" s="1475">
        <f t="shared" ca="1" si="96"/>
        <v>1.3739510144936682</v>
      </c>
      <c r="P168" s="1476">
        <f t="shared" ca="1" si="74"/>
        <v>1.0739990683225322</v>
      </c>
      <c r="Q168" s="1474">
        <f t="shared" si="84"/>
        <v>0</v>
      </c>
      <c r="R168" s="1475">
        <f t="shared" ca="1" si="97"/>
        <v>2.6035770917136669</v>
      </c>
      <c r="T168" s="1476">
        <f t="shared" ca="1" si="75"/>
        <v>1.0262711122579586</v>
      </c>
      <c r="U168" s="1474">
        <f t="shared" si="85"/>
        <v>1.0049999999999999</v>
      </c>
      <c r="V168" s="1475">
        <f t="shared" ca="1" si="98"/>
        <v>1.3739510144936682</v>
      </c>
      <c r="X168" s="1476">
        <f t="shared" ca="1" si="76"/>
        <v>1.0237711122579587</v>
      </c>
      <c r="Y168" s="1474">
        <f t="shared" si="86"/>
        <v>1.02</v>
      </c>
      <c r="Z168" s="1475">
        <f t="shared" ca="1" si="99"/>
        <v>1.3450803185857847</v>
      </c>
      <c r="AB168" s="1476">
        <f t="shared" ca="1" si="77"/>
        <v>1.0237711122579587</v>
      </c>
      <c r="AC168" s="1474">
        <f t="shared" si="87"/>
        <v>1.02</v>
      </c>
      <c r="AD168" s="1475">
        <f t="shared" ca="1" si="100"/>
        <v>1.3450803185857847</v>
      </c>
      <c r="AF168" s="1476">
        <f t="shared" ca="1" si="78"/>
        <v>1.0739990683225322</v>
      </c>
      <c r="AG168" s="1474">
        <f t="shared" si="88"/>
        <v>0</v>
      </c>
      <c r="AH168" s="1475">
        <f t="shared" ca="1" si="101"/>
        <v>2.6035770917136669</v>
      </c>
      <c r="AJ168" s="1476">
        <f t="shared" ca="1" si="79"/>
        <v>1.0237711122579587</v>
      </c>
      <c r="AK168" s="1474">
        <f t="shared" si="89"/>
        <v>1.02</v>
      </c>
      <c r="AL168" s="1475">
        <f t="shared" ca="1" si="102"/>
        <v>1.3450803185857847</v>
      </c>
      <c r="AN168" s="1476">
        <f t="shared" ca="1" si="80"/>
        <v>1.0262711122579586</v>
      </c>
      <c r="AO168" s="1474">
        <f t="shared" si="90"/>
        <v>1.0049999999999999</v>
      </c>
      <c r="AP168" s="1475">
        <f t="shared" ca="1" si="103"/>
        <v>1.3739510144936682</v>
      </c>
      <c r="AR168" s="701">
        <f t="shared" si="91"/>
        <v>39934</v>
      </c>
      <c r="AS168" s="1478">
        <f ca="1">IF(AND($A168&gt;=EDATE(AS$17,12),IF(Assm!$L$74=0,$D168,$E168)/AS167&gt;=1.05),IF(Assm!$L$74=0,$D168,$E168),AS167)</f>
        <v>2.5102503475612647</v>
      </c>
      <c r="AT168" s="1478">
        <f t="shared" ca="1" si="92"/>
        <v>1.0517184627895011</v>
      </c>
      <c r="AU168" s="1478">
        <f t="shared" ca="1" si="93"/>
        <v>1.0739990683225322</v>
      </c>
      <c r="AV168" s="1478">
        <f t="shared" ca="1" si="94"/>
        <v>1.0739990683225322</v>
      </c>
      <c r="AW168" s="1475">
        <f t="shared" ca="1" si="95"/>
        <v>2.803841417140295</v>
      </c>
    </row>
    <row r="169" spans="1:49">
      <c r="A169" s="883">
        <f t="shared" si="82"/>
        <v>39965</v>
      </c>
      <c r="B169" s="1390">
        <f ca="1">'[2]Monthly Curve Calc.'!B172</f>
        <v>368.24072972605438</v>
      </c>
      <c r="C169" s="1391">
        <f ca="1">'[2]Monthly Curve Calc.'!C172</f>
        <v>221.04964111667758</v>
      </c>
      <c r="D169" s="1512">
        <f ca="1">'[2]Monthly Curve Calc.'!F172</f>
        <v>2.5575926321461733</v>
      </c>
      <c r="E169" s="1304">
        <f t="shared" ca="1" si="81"/>
        <v>2.0300797432057722</v>
      </c>
      <c r="F169" s="1473">
        <f ca="1">IF(Assm!$L$75=0,F168,IF(AND($A169&gt;F$16,MONTH($A169)=MONTH(F$16)),B168/B156,F168))</f>
        <v>1.0739990683225322</v>
      </c>
      <c r="G169" s="1474">
        <f ca="1">IF(Assm!$L$75=0,G168,IF(AND($A169&gt;G$16,MONTH($A169)=MONTH(G$16)),C168/C156,G168))</f>
        <v>1.0262711122579586</v>
      </c>
      <c r="H169" s="1474">
        <f ca="1">IF(Assm!$L$75=0,H168,IF(AND($A169&gt;H$16,MONTH($A169)=MONTH(H$16)),C168/C156-H$18,H168))</f>
        <v>1.0237711122579587</v>
      </c>
      <c r="I169" s="1474">
        <f ca="1">IF(Assm!$L$75=0,I168,IF($A169&gt;=I$16,IF(MONTH($A169)=MONTH(I$16),AVERAGE(D157:D168),I168),I168))</f>
        <v>2.4970941347776465</v>
      </c>
      <c r="J169" s="1475">
        <f ca="1">IF(Assm!$L$75=0,J168,IF($A169&gt;=J$16,IF(MONTH($A169)=MONTH(J$16),AVERAGE(E157:E168),J168),J168))</f>
        <v>1.9445421900388256</v>
      </c>
      <c r="K169" s="958">
        <f t="shared" si="72"/>
        <v>157</v>
      </c>
      <c r="L169" s="1476">
        <f t="shared" ca="1" si="73"/>
        <v>1.0262711122579586</v>
      </c>
      <c r="M169" s="1474">
        <f t="shared" si="83"/>
        <v>0</v>
      </c>
      <c r="N169" s="1475">
        <f t="shared" ca="1" si="96"/>
        <v>1.3739510144936682</v>
      </c>
      <c r="P169" s="1476">
        <f t="shared" ca="1" si="74"/>
        <v>1.0739990683225322</v>
      </c>
      <c r="Q169" s="1474">
        <f t="shared" si="84"/>
        <v>0</v>
      </c>
      <c r="R169" s="1475">
        <f t="shared" ca="1" si="97"/>
        <v>2.6035770917136669</v>
      </c>
      <c r="T169" s="1476">
        <f t="shared" ca="1" si="75"/>
        <v>1.0262711122579586</v>
      </c>
      <c r="U169" s="1474">
        <f t="shared" si="85"/>
        <v>1.0049999999999999</v>
      </c>
      <c r="V169" s="1475">
        <f t="shared" ca="1" si="98"/>
        <v>1.3739510144936682</v>
      </c>
      <c r="X169" s="1476">
        <f t="shared" ca="1" si="76"/>
        <v>1.0237711122579587</v>
      </c>
      <c r="Y169" s="1474">
        <f t="shared" si="86"/>
        <v>1.02</v>
      </c>
      <c r="Z169" s="1475">
        <f t="shared" ca="1" si="99"/>
        <v>1.3450803185857847</v>
      </c>
      <c r="AB169" s="1476">
        <f t="shared" ca="1" si="77"/>
        <v>1.0237711122579587</v>
      </c>
      <c r="AC169" s="1474">
        <f t="shared" si="87"/>
        <v>1.02</v>
      </c>
      <c r="AD169" s="1475">
        <f t="shared" ca="1" si="100"/>
        <v>1.3450803185857847</v>
      </c>
      <c r="AF169" s="1476">
        <f t="shared" ca="1" si="78"/>
        <v>1.0739990683225322</v>
      </c>
      <c r="AG169" s="1474">
        <f t="shared" si="88"/>
        <v>0</v>
      </c>
      <c r="AH169" s="1475">
        <f t="shared" ca="1" si="101"/>
        <v>2.6035770917136669</v>
      </c>
      <c r="AJ169" s="1476">
        <f t="shared" ca="1" si="79"/>
        <v>1.0237711122579587</v>
      </c>
      <c r="AK169" s="1474">
        <f t="shared" si="89"/>
        <v>1.02</v>
      </c>
      <c r="AL169" s="1475">
        <f t="shared" ca="1" si="102"/>
        <v>1.3450803185857847</v>
      </c>
      <c r="AN169" s="1476">
        <f t="shared" ca="1" si="80"/>
        <v>1.0262711122579586</v>
      </c>
      <c r="AO169" s="1474">
        <f t="shared" si="90"/>
        <v>1.0049999999999999</v>
      </c>
      <c r="AP169" s="1475">
        <f t="shared" ca="1" si="103"/>
        <v>1.3739510144936682</v>
      </c>
      <c r="AR169" s="701">
        <f t="shared" si="91"/>
        <v>39965</v>
      </c>
      <c r="AS169" s="1478">
        <f ca="1">IF(AND($A169&gt;=EDATE(AS$17,12),IF(Assm!$L$74=0,$D169,$E169)/AS168&gt;=1.05),IF(Assm!$L$74=0,$D169,$E169),AS168)</f>
        <v>2.5102503475612647</v>
      </c>
      <c r="AT169" s="1478">
        <f t="shared" ca="1" si="92"/>
        <v>1.0517184627895011</v>
      </c>
      <c r="AU169" s="1478">
        <f t="shared" ca="1" si="93"/>
        <v>1.0739990683225322</v>
      </c>
      <c r="AV169" s="1478">
        <f t="shared" ca="1" si="94"/>
        <v>1.0739990683225322</v>
      </c>
      <c r="AW169" s="1475">
        <f t="shared" ca="1" si="95"/>
        <v>2.803841417140295</v>
      </c>
    </row>
    <row r="170" spans="1:49">
      <c r="A170" s="883">
        <f t="shared" si="82"/>
        <v>39995</v>
      </c>
      <c r="B170" s="1390">
        <f ca="1">'[2]Monthly Curve Calc.'!B173</f>
        <v>370.38044967346877</v>
      </c>
      <c r="C170" s="1391">
        <f ca="1">'[2]Monthly Curve Calc.'!C173</f>
        <v>221.52249836344316</v>
      </c>
      <c r="D170" s="1512">
        <f ca="1">'[2]Monthly Curve Calc.'!F173</f>
        <v>2.56286085421335</v>
      </c>
      <c r="E170" s="1304">
        <f t="shared" ca="1" si="81"/>
        <v>2.0375172917828448</v>
      </c>
      <c r="F170" s="1473">
        <f ca="1">IF(Assm!$L$75=0,F169,IF(AND($A170&gt;F$16,MONTH($A170)=MONTH(F$16)),B169/B157,F169))</f>
        <v>1.0739990683225322</v>
      </c>
      <c r="G170" s="1474">
        <f ca="1">IF(Assm!$L$75=0,G169,IF(AND($A170&gt;G$16,MONTH($A170)=MONTH(G$16)),C169/C157,G169))</f>
        <v>1.0262711122579586</v>
      </c>
      <c r="H170" s="1474">
        <f ca="1">IF(Assm!$L$75=0,H169,IF(AND($A170&gt;H$16,MONTH($A170)=MONTH(H$16)),C169/C157-H$18,H169))</f>
        <v>1.0237711122579587</v>
      </c>
      <c r="I170" s="1474">
        <f ca="1">IF(Assm!$L$75=0,I169,IF($A170&gt;=I$16,IF(MONTH($A170)=MONTH(I$16),AVERAGE(D158:D169),I169),I169))</f>
        <v>2.4970941347776465</v>
      </c>
      <c r="J170" s="1475">
        <f ca="1">IF(Assm!$L$75=0,J169,IF($A170&gt;=J$16,IF(MONTH($A170)=MONTH(J$16),AVERAGE(E158:E169),J169),J169))</f>
        <v>1.9445421900388256</v>
      </c>
      <c r="K170" s="958">
        <f t="shared" si="72"/>
        <v>158</v>
      </c>
      <c r="L170" s="1476">
        <f t="shared" ca="1" si="73"/>
        <v>1.0262711122579586</v>
      </c>
      <c r="M170" s="1474">
        <f t="shared" si="83"/>
        <v>0</v>
      </c>
      <c r="N170" s="1475">
        <f t="shared" ca="1" si="96"/>
        <v>1.3739510144936682</v>
      </c>
      <c r="P170" s="1476">
        <f t="shared" ca="1" si="74"/>
        <v>1.0739990683225322</v>
      </c>
      <c r="Q170" s="1474">
        <f t="shared" si="84"/>
        <v>0</v>
      </c>
      <c r="R170" s="1475">
        <f t="shared" ca="1" si="97"/>
        <v>2.6035770917136669</v>
      </c>
      <c r="T170" s="1476">
        <f t="shared" ca="1" si="75"/>
        <v>1.0262711122579586</v>
      </c>
      <c r="U170" s="1474">
        <f t="shared" si="85"/>
        <v>1.0049999999999999</v>
      </c>
      <c r="V170" s="1475">
        <f t="shared" ca="1" si="98"/>
        <v>1.3739510144936682</v>
      </c>
      <c r="X170" s="1476">
        <f t="shared" ca="1" si="76"/>
        <v>1.0237711122579587</v>
      </c>
      <c r="Y170" s="1474">
        <f t="shared" si="86"/>
        <v>1.02</v>
      </c>
      <c r="Z170" s="1475">
        <f t="shared" ca="1" si="99"/>
        <v>1.3450803185857847</v>
      </c>
      <c r="AB170" s="1476">
        <f t="shared" ca="1" si="77"/>
        <v>1.0237711122579587</v>
      </c>
      <c r="AC170" s="1474">
        <f t="shared" si="87"/>
        <v>1.02</v>
      </c>
      <c r="AD170" s="1475">
        <f t="shared" ca="1" si="100"/>
        <v>1.3450803185857847</v>
      </c>
      <c r="AF170" s="1476">
        <f t="shared" ca="1" si="78"/>
        <v>1.0739990683225322</v>
      </c>
      <c r="AG170" s="1474">
        <f t="shared" si="88"/>
        <v>0</v>
      </c>
      <c r="AH170" s="1475">
        <f t="shared" ca="1" si="101"/>
        <v>2.6035770917136669</v>
      </c>
      <c r="AJ170" s="1476">
        <f t="shared" ca="1" si="79"/>
        <v>1.0237711122579587</v>
      </c>
      <c r="AK170" s="1474">
        <f t="shared" si="89"/>
        <v>1.02</v>
      </c>
      <c r="AL170" s="1475">
        <f t="shared" ca="1" si="102"/>
        <v>1.3450803185857847</v>
      </c>
      <c r="AN170" s="1476">
        <f t="shared" ca="1" si="80"/>
        <v>1.0262711122579586</v>
      </c>
      <c r="AO170" s="1474">
        <f t="shared" si="90"/>
        <v>1.0049999999999999</v>
      </c>
      <c r="AP170" s="1475">
        <f t="shared" ca="1" si="103"/>
        <v>1.3739510144936682</v>
      </c>
      <c r="AR170" s="701">
        <f t="shared" si="91"/>
        <v>39995</v>
      </c>
      <c r="AS170" s="1478">
        <f ca="1">IF(AND($A170&gt;=EDATE(AS$17,12),IF(Assm!$L$74=0,$D170,$E170)/AS169&gt;=1.05),IF(Assm!$L$74=0,$D170,$E170),AS169)</f>
        <v>2.5102503475612647</v>
      </c>
      <c r="AT170" s="1478">
        <f t="shared" ca="1" si="92"/>
        <v>1.0517184627895011</v>
      </c>
      <c r="AU170" s="1478">
        <f t="shared" ca="1" si="93"/>
        <v>1.0739990683225322</v>
      </c>
      <c r="AV170" s="1478">
        <f t="shared" ca="1" si="94"/>
        <v>1.0739990683225322</v>
      </c>
      <c r="AW170" s="1475">
        <f t="shared" ca="1" si="95"/>
        <v>2.803841417140295</v>
      </c>
    </row>
    <row r="171" spans="1:49">
      <c r="A171" s="883">
        <f t="shared" si="82"/>
        <v>40026</v>
      </c>
      <c r="B171" s="1390">
        <f ca="1">'[2]Monthly Curve Calc.'!B174</f>
        <v>372.53260279593354</v>
      </c>
      <c r="C171" s="1391">
        <f ca="1">'[2]Monthly Curve Calc.'!C174</f>
        <v>221.99636712045003</v>
      </c>
      <c r="D171" s="1512">
        <f ca="1">'[2]Monthly Curve Calc.'!F174</f>
        <v>2.5681399279554182</v>
      </c>
      <c r="E171" s="1304">
        <f t="shared" ca="1" si="81"/>
        <v>2.044982089106683</v>
      </c>
      <c r="F171" s="1473">
        <f ca="1">IF(Assm!$L$75=0,F170,IF(AND($A171&gt;F$16,MONTH($A171)=MONTH(F$16)),B170/B158,F170))</f>
        <v>1.0739990683225322</v>
      </c>
      <c r="G171" s="1474">
        <f ca="1">IF(Assm!$L$75=0,G170,IF(AND($A171&gt;G$16,MONTH($A171)=MONTH(G$16)),C170/C158,G170))</f>
        <v>1.0262711122579586</v>
      </c>
      <c r="H171" s="1474">
        <f ca="1">IF(Assm!$L$75=0,H170,IF(AND($A171&gt;H$16,MONTH($A171)=MONTH(H$16)),C170/C158-H$18,H170))</f>
        <v>1.0237711122579587</v>
      </c>
      <c r="I171" s="1474">
        <f ca="1">IF(Assm!$L$75=0,I170,IF($A171&gt;=I$16,IF(MONTH($A171)=MONTH(I$16),AVERAGE(D159:D170),I170),I170))</f>
        <v>2.4970941347776465</v>
      </c>
      <c r="J171" s="1475">
        <f ca="1">IF(Assm!$L$75=0,J170,IF($A171&gt;=J$16,IF(MONTH($A171)=MONTH(J$16),AVERAGE(E159:E170),J170),J170))</f>
        <v>1.9445421900388256</v>
      </c>
      <c r="K171" s="958">
        <f t="shared" si="72"/>
        <v>159</v>
      </c>
      <c r="L171" s="1476">
        <f t="shared" ca="1" si="73"/>
        <v>1.0262711122579586</v>
      </c>
      <c r="M171" s="1474">
        <f t="shared" si="83"/>
        <v>0</v>
      </c>
      <c r="N171" s="1475">
        <f t="shared" ca="1" si="96"/>
        <v>1.3739510144936682</v>
      </c>
      <c r="P171" s="1476">
        <f t="shared" ca="1" si="74"/>
        <v>1.0739990683225322</v>
      </c>
      <c r="Q171" s="1474">
        <f t="shared" si="84"/>
        <v>0</v>
      </c>
      <c r="R171" s="1475">
        <f t="shared" ca="1" si="97"/>
        <v>2.6035770917136669</v>
      </c>
      <c r="T171" s="1476">
        <f t="shared" ca="1" si="75"/>
        <v>1.0262711122579586</v>
      </c>
      <c r="U171" s="1474">
        <f t="shared" si="85"/>
        <v>1.0049999999999999</v>
      </c>
      <c r="V171" s="1475">
        <f t="shared" ca="1" si="98"/>
        <v>1.3739510144936682</v>
      </c>
      <c r="X171" s="1476">
        <f t="shared" ca="1" si="76"/>
        <v>1.0237711122579587</v>
      </c>
      <c r="Y171" s="1474">
        <f t="shared" si="86"/>
        <v>1.02</v>
      </c>
      <c r="Z171" s="1475">
        <f t="shared" ca="1" si="99"/>
        <v>1.3450803185857847</v>
      </c>
      <c r="AB171" s="1476">
        <f t="shared" ca="1" si="77"/>
        <v>1.0237711122579587</v>
      </c>
      <c r="AC171" s="1474">
        <f t="shared" si="87"/>
        <v>1.02</v>
      </c>
      <c r="AD171" s="1475">
        <f t="shared" ca="1" si="100"/>
        <v>1.3450803185857847</v>
      </c>
      <c r="AF171" s="1476">
        <f t="shared" ca="1" si="78"/>
        <v>1.0739990683225322</v>
      </c>
      <c r="AG171" s="1474">
        <f t="shared" si="88"/>
        <v>0</v>
      </c>
      <c r="AH171" s="1475">
        <f t="shared" ca="1" si="101"/>
        <v>2.6035770917136669</v>
      </c>
      <c r="AJ171" s="1476">
        <f t="shared" ca="1" si="79"/>
        <v>1.0237711122579587</v>
      </c>
      <c r="AK171" s="1474">
        <f t="shared" si="89"/>
        <v>1.02</v>
      </c>
      <c r="AL171" s="1475">
        <f t="shared" ca="1" si="102"/>
        <v>1.3450803185857847</v>
      </c>
      <c r="AN171" s="1476">
        <f t="shared" ca="1" si="80"/>
        <v>1.0262711122579586</v>
      </c>
      <c r="AO171" s="1474">
        <f t="shared" si="90"/>
        <v>1.0049999999999999</v>
      </c>
      <c r="AP171" s="1475">
        <f t="shared" ca="1" si="103"/>
        <v>1.3739510144936682</v>
      </c>
      <c r="AR171" s="701">
        <f t="shared" si="91"/>
        <v>40026</v>
      </c>
      <c r="AS171" s="1478">
        <f ca="1">IF(AND($A171&gt;=EDATE(AS$17,12),IF(Assm!$L$74=0,$D171,$E171)/AS170&gt;=1.05),IF(Assm!$L$74=0,$D171,$E171),AS170)</f>
        <v>2.5102503475612647</v>
      </c>
      <c r="AT171" s="1478">
        <f t="shared" ca="1" si="92"/>
        <v>1.0517184627895011</v>
      </c>
      <c r="AU171" s="1478">
        <f t="shared" ca="1" si="93"/>
        <v>1.0739990683225322</v>
      </c>
      <c r="AV171" s="1478">
        <f t="shared" ca="1" si="94"/>
        <v>1.0739990683225322</v>
      </c>
      <c r="AW171" s="1475">
        <f t="shared" ca="1" si="95"/>
        <v>2.803841417140295</v>
      </c>
    </row>
    <row r="172" spans="1:49">
      <c r="A172" s="883">
        <f t="shared" si="82"/>
        <v>40057</v>
      </c>
      <c r="B172" s="1390">
        <f ca="1">'[2]Monthly Curve Calc.'!B175</f>
        <v>374.69726133834314</v>
      </c>
      <c r="C172" s="1391">
        <f ca="1">'[2]Monthly Curve Calc.'!C175</f>
        <v>222.47124955146529</v>
      </c>
      <c r="D172" s="1512">
        <f ca="1">'[2]Monthly Curve Calc.'!F175</f>
        <v>2.5734298757250516</v>
      </c>
      <c r="E172" s="1304">
        <f t="shared" ca="1" si="81"/>
        <v>2.0524742350077876</v>
      </c>
      <c r="F172" s="1473">
        <f ca="1">IF(Assm!$L$75=0,F171,IF(AND($A172&gt;F$16,MONTH($A172)=MONTH(F$16)),B171/B159,F171))</f>
        <v>1.0739990683225322</v>
      </c>
      <c r="G172" s="1474">
        <f ca="1">IF(Assm!$L$75=0,G171,IF(AND($A172&gt;G$16,MONTH($A172)=MONTH(G$16)),C171/C159,G171))</f>
        <v>1.0262711122579586</v>
      </c>
      <c r="H172" s="1474">
        <f ca="1">IF(Assm!$L$75=0,H171,IF(AND($A172&gt;H$16,MONTH($A172)=MONTH(H$16)),C171/C159-H$18,H171))</f>
        <v>1.0237711122579587</v>
      </c>
      <c r="I172" s="1474">
        <f ca="1">IF(Assm!$L$75=0,I171,IF($A172&gt;=I$16,IF(MONTH($A172)=MONTH(I$16),AVERAGE(D160:D171),I171),I171))</f>
        <v>2.4970941347776465</v>
      </c>
      <c r="J172" s="1475">
        <f ca="1">IF(Assm!$L$75=0,J171,IF($A172&gt;=J$16,IF(MONTH($A172)=MONTH(J$16),AVERAGE(E160:E171),J171),J171))</f>
        <v>1.9445421900388256</v>
      </c>
      <c r="K172" s="958">
        <f t="shared" si="72"/>
        <v>160</v>
      </c>
      <c r="L172" s="1476">
        <f t="shared" ca="1" si="73"/>
        <v>1.0262711122579586</v>
      </c>
      <c r="M172" s="1474">
        <f t="shared" si="83"/>
        <v>0</v>
      </c>
      <c r="N172" s="1475">
        <f t="shared" ca="1" si="96"/>
        <v>1.3739510144936682</v>
      </c>
      <c r="P172" s="1476">
        <f t="shared" ca="1" si="74"/>
        <v>1.0739990683225322</v>
      </c>
      <c r="Q172" s="1474">
        <f t="shared" si="84"/>
        <v>0</v>
      </c>
      <c r="R172" s="1475">
        <f t="shared" ca="1" si="97"/>
        <v>2.6035770917136669</v>
      </c>
      <c r="T172" s="1476">
        <f t="shared" ca="1" si="75"/>
        <v>1.0262711122579586</v>
      </c>
      <c r="U172" s="1474">
        <f t="shared" si="85"/>
        <v>1.0049999999999999</v>
      </c>
      <c r="V172" s="1475">
        <f t="shared" ca="1" si="98"/>
        <v>1.3739510144936682</v>
      </c>
      <c r="X172" s="1476">
        <f t="shared" ca="1" si="76"/>
        <v>1.0237711122579587</v>
      </c>
      <c r="Y172" s="1474">
        <f t="shared" si="86"/>
        <v>1.02</v>
      </c>
      <c r="Z172" s="1475">
        <f t="shared" ca="1" si="99"/>
        <v>1.3450803185857847</v>
      </c>
      <c r="AB172" s="1476">
        <f t="shared" ca="1" si="77"/>
        <v>1.0237711122579587</v>
      </c>
      <c r="AC172" s="1474">
        <f t="shared" si="87"/>
        <v>1.02</v>
      </c>
      <c r="AD172" s="1475">
        <f t="shared" ca="1" si="100"/>
        <v>1.3450803185857847</v>
      </c>
      <c r="AF172" s="1476">
        <f t="shared" ca="1" si="78"/>
        <v>1.0739990683225322</v>
      </c>
      <c r="AG172" s="1474">
        <f t="shared" si="88"/>
        <v>0</v>
      </c>
      <c r="AH172" s="1475">
        <f t="shared" ca="1" si="101"/>
        <v>2.6035770917136669</v>
      </c>
      <c r="AJ172" s="1476">
        <f t="shared" ca="1" si="79"/>
        <v>1.0237711122579587</v>
      </c>
      <c r="AK172" s="1474">
        <f t="shared" si="89"/>
        <v>1.02</v>
      </c>
      <c r="AL172" s="1475">
        <f t="shared" ca="1" si="102"/>
        <v>1.3450803185857847</v>
      </c>
      <c r="AN172" s="1476">
        <f t="shared" ca="1" si="80"/>
        <v>1.0262711122579586</v>
      </c>
      <c r="AO172" s="1474">
        <f t="shared" si="90"/>
        <v>1.0049999999999999</v>
      </c>
      <c r="AP172" s="1475">
        <f t="shared" ca="1" si="103"/>
        <v>1.3739510144936682</v>
      </c>
      <c r="AR172" s="701">
        <f t="shared" si="91"/>
        <v>40057</v>
      </c>
      <c r="AS172" s="1478">
        <f ca="1">IF(AND($A172&gt;=EDATE(AS$17,12),IF(Assm!$L$74=0,$D172,$E172)/AS171&gt;=1.05),IF(Assm!$L$74=0,$D172,$E172),AS171)</f>
        <v>2.5102503475612647</v>
      </c>
      <c r="AT172" s="1478">
        <f t="shared" ca="1" si="92"/>
        <v>1.0517184627895011</v>
      </c>
      <c r="AU172" s="1478">
        <f t="shared" ca="1" si="93"/>
        <v>1.0739990683225322</v>
      </c>
      <c r="AV172" s="1478">
        <f t="shared" ca="1" si="94"/>
        <v>1.0739990683225322</v>
      </c>
      <c r="AW172" s="1475">
        <f t="shared" ca="1" si="95"/>
        <v>2.803841417140295</v>
      </c>
    </row>
    <row r="173" spans="1:49">
      <c r="A173" s="883">
        <f t="shared" si="82"/>
        <v>40087</v>
      </c>
      <c r="B173" s="1390">
        <f ca="1">'[2]Monthly Curve Calc.'!B176</f>
        <v>376.87449796538232</v>
      </c>
      <c r="C173" s="1391">
        <f ca="1">'[2]Monthly Curve Calc.'!C176</f>
        <v>222.94714782488469</v>
      </c>
      <c r="D173" s="1512">
        <f ca="1">'[2]Monthly Curve Calc.'!F176</f>
        <v>2.5787307199209661</v>
      </c>
      <c r="E173" s="1304">
        <f t="shared" ca="1" si="81"/>
        <v>2.0599938296824059</v>
      </c>
      <c r="F173" s="1473">
        <f ca="1">IF(Assm!$L$75=0,F172,IF(AND($A173&gt;F$16,MONTH($A173)=MONTH(F$16)),B172/B160,F172))</f>
        <v>1.0739990683225322</v>
      </c>
      <c r="G173" s="1474">
        <f ca="1">IF(Assm!$L$75=0,G172,IF(AND($A173&gt;G$16,MONTH($A173)=MONTH(G$16)),C172/C160,G172))</f>
        <v>1.0262711122579586</v>
      </c>
      <c r="H173" s="1474">
        <f ca="1">IF(Assm!$L$75=0,H172,IF(AND($A173&gt;H$16,MONTH($A173)=MONTH(H$16)),C172/C160-H$18,H172))</f>
        <v>1.0237711122579587</v>
      </c>
      <c r="I173" s="1474">
        <f ca="1">IF(Assm!$L$75=0,I172,IF($A173&gt;=I$16,IF(MONTH($A173)=MONTH(I$16),AVERAGE(D161:D172),I172),I172))</f>
        <v>2.4970941347776465</v>
      </c>
      <c r="J173" s="1475">
        <f ca="1">IF(Assm!$L$75=0,J172,IF($A173&gt;=J$16,IF(MONTH($A173)=MONTH(J$16),AVERAGE(E161:E172),J172),J172))</f>
        <v>1.9445421900388256</v>
      </c>
      <c r="K173" s="958">
        <f t="shared" si="72"/>
        <v>161</v>
      </c>
      <c r="L173" s="1476">
        <f t="shared" ca="1" si="73"/>
        <v>1.0262711122579586</v>
      </c>
      <c r="M173" s="1474">
        <f t="shared" si="83"/>
        <v>0</v>
      </c>
      <c r="N173" s="1475">
        <f t="shared" ca="1" si="96"/>
        <v>1.3739510144936682</v>
      </c>
      <c r="P173" s="1476">
        <f t="shared" ca="1" si="74"/>
        <v>1.0739990683225322</v>
      </c>
      <c r="Q173" s="1474">
        <f t="shared" si="84"/>
        <v>0</v>
      </c>
      <c r="R173" s="1475">
        <f t="shared" ca="1" si="97"/>
        <v>2.6035770917136669</v>
      </c>
      <c r="T173" s="1476">
        <f t="shared" ca="1" si="75"/>
        <v>1.0262711122579586</v>
      </c>
      <c r="U173" s="1474">
        <f t="shared" si="85"/>
        <v>1.0049999999999999</v>
      </c>
      <c r="V173" s="1475">
        <f t="shared" ca="1" si="98"/>
        <v>1.3739510144936682</v>
      </c>
      <c r="X173" s="1476">
        <f t="shared" ca="1" si="76"/>
        <v>1.0237711122579587</v>
      </c>
      <c r="Y173" s="1474">
        <f t="shared" si="86"/>
        <v>1.02</v>
      </c>
      <c r="Z173" s="1475">
        <f t="shared" ca="1" si="99"/>
        <v>1.3450803185857847</v>
      </c>
      <c r="AB173" s="1476">
        <f t="shared" ca="1" si="77"/>
        <v>1.0237711122579587</v>
      </c>
      <c r="AC173" s="1474">
        <f t="shared" si="87"/>
        <v>1.02</v>
      </c>
      <c r="AD173" s="1475">
        <f t="shared" ca="1" si="100"/>
        <v>1.3450803185857847</v>
      </c>
      <c r="AF173" s="1476">
        <f t="shared" ca="1" si="78"/>
        <v>1.0739990683225322</v>
      </c>
      <c r="AG173" s="1474">
        <f t="shared" si="88"/>
        <v>0</v>
      </c>
      <c r="AH173" s="1475">
        <f t="shared" ca="1" si="101"/>
        <v>2.6035770917136669</v>
      </c>
      <c r="AJ173" s="1476">
        <f t="shared" ca="1" si="79"/>
        <v>1.0237711122579587</v>
      </c>
      <c r="AK173" s="1474">
        <f t="shared" si="89"/>
        <v>1.02</v>
      </c>
      <c r="AL173" s="1475">
        <f t="shared" ca="1" si="102"/>
        <v>1.3450803185857847</v>
      </c>
      <c r="AN173" s="1476">
        <f t="shared" ca="1" si="80"/>
        <v>1.0262711122579586</v>
      </c>
      <c r="AO173" s="1474">
        <f t="shared" si="90"/>
        <v>1.0049999999999999</v>
      </c>
      <c r="AP173" s="1475">
        <f t="shared" ca="1" si="103"/>
        <v>1.3739510144936682</v>
      </c>
      <c r="AR173" s="701">
        <f t="shared" si="91"/>
        <v>40087</v>
      </c>
      <c r="AS173" s="1478">
        <f ca="1">IF(AND($A173&gt;=EDATE(AS$17,12),IF(Assm!$L$74=0,$D173,$E173)/AS172&gt;=1.05),IF(Assm!$L$74=0,$D173,$E173),AS172)</f>
        <v>2.5102503475612647</v>
      </c>
      <c r="AT173" s="1478">
        <f t="shared" ca="1" si="92"/>
        <v>1.0517184627895011</v>
      </c>
      <c r="AU173" s="1478">
        <f t="shared" ca="1" si="93"/>
        <v>1.0739990683225322</v>
      </c>
      <c r="AV173" s="1478">
        <f t="shared" ca="1" si="94"/>
        <v>1.0739990683225322</v>
      </c>
      <c r="AW173" s="1475">
        <f t="shared" ca="1" si="95"/>
        <v>2.803841417140295</v>
      </c>
    </row>
    <row r="174" spans="1:49">
      <c r="A174" s="883">
        <f t="shared" si="82"/>
        <v>40118</v>
      </c>
      <c r="B174" s="1390">
        <f ca="1">'[2]Monthly Curve Calc.'!B177</f>
        <v>379.06438576396511</v>
      </c>
      <c r="C174" s="1391">
        <f ca="1">'[2]Monthly Curve Calc.'!C177</f>
        <v>223.4240641137425</v>
      </c>
      <c r="D174" s="1512">
        <f ca="1">'[2]Monthly Curve Calc.'!F177</f>
        <v>2.5840424829880164</v>
      </c>
      <c r="E174" s="1304">
        <f t="shared" ca="1" si="81"/>
        <v>2.0675409736938715</v>
      </c>
      <c r="F174" s="1473">
        <f ca="1">IF(Assm!$L$75=0,F173,IF(AND($A174&gt;F$16,MONTH($A174)=MONTH(F$16)),B173/B161,F173))</f>
        <v>1.0739990683225322</v>
      </c>
      <c r="G174" s="1474">
        <f ca="1">IF(Assm!$L$75=0,G173,IF(AND($A174&gt;G$16,MONTH($A174)=MONTH(G$16)),C173/C161,G173))</f>
        <v>1.0262711122579586</v>
      </c>
      <c r="H174" s="1474">
        <f ca="1">IF(Assm!$L$75=0,H173,IF(AND($A174&gt;H$16,MONTH($A174)=MONTH(H$16)),C173/C161-H$18,H173))</f>
        <v>1.0237711122579587</v>
      </c>
      <c r="I174" s="1474">
        <f ca="1">IF(Assm!$L$75=0,I173,IF($A174&gt;=I$16,IF(MONTH($A174)=MONTH(I$16),AVERAGE(D162:D173),I173),I173))</f>
        <v>2.4970941347776465</v>
      </c>
      <c r="J174" s="1475">
        <f ca="1">IF(Assm!$L$75=0,J173,IF($A174&gt;=J$16,IF(MONTH($A174)=MONTH(J$16),AVERAGE(E162:E173),J173),J173))</f>
        <v>1.9445421900388256</v>
      </c>
      <c r="K174" s="958">
        <f t="shared" si="72"/>
        <v>162</v>
      </c>
      <c r="L174" s="1476">
        <f t="shared" ca="1" si="73"/>
        <v>1.0262711122579586</v>
      </c>
      <c r="M174" s="1474">
        <f t="shared" si="83"/>
        <v>0</v>
      </c>
      <c r="N174" s="1475">
        <f t="shared" ca="1" si="96"/>
        <v>1.3739510144936682</v>
      </c>
      <c r="P174" s="1476">
        <f t="shared" ca="1" si="74"/>
        <v>1.0739990683225322</v>
      </c>
      <c r="Q174" s="1474">
        <f t="shared" si="84"/>
        <v>0</v>
      </c>
      <c r="R174" s="1475">
        <f t="shared" ca="1" si="97"/>
        <v>2.6035770917136669</v>
      </c>
      <c r="T174" s="1476">
        <f t="shared" ca="1" si="75"/>
        <v>1.0262711122579586</v>
      </c>
      <c r="U174" s="1474">
        <f t="shared" si="85"/>
        <v>1.0049999999999999</v>
      </c>
      <c r="V174" s="1475">
        <f t="shared" ca="1" si="98"/>
        <v>1.3739510144936682</v>
      </c>
      <c r="X174" s="1476">
        <f t="shared" ca="1" si="76"/>
        <v>1.0237711122579587</v>
      </c>
      <c r="Y174" s="1474">
        <f t="shared" si="86"/>
        <v>1.02</v>
      </c>
      <c r="Z174" s="1475">
        <f t="shared" ca="1" si="99"/>
        <v>1.3450803185857847</v>
      </c>
      <c r="AB174" s="1476">
        <f t="shared" ca="1" si="77"/>
        <v>1.0237711122579587</v>
      </c>
      <c r="AC174" s="1474">
        <f t="shared" si="87"/>
        <v>1.02</v>
      </c>
      <c r="AD174" s="1475">
        <f t="shared" ca="1" si="100"/>
        <v>1.3450803185857847</v>
      </c>
      <c r="AF174" s="1476">
        <f t="shared" ca="1" si="78"/>
        <v>1.0739990683225322</v>
      </c>
      <c r="AG174" s="1474">
        <f t="shared" si="88"/>
        <v>0</v>
      </c>
      <c r="AH174" s="1475">
        <f t="shared" ca="1" si="101"/>
        <v>2.6035770917136669</v>
      </c>
      <c r="AJ174" s="1476">
        <f t="shared" ca="1" si="79"/>
        <v>1.0237711122579587</v>
      </c>
      <c r="AK174" s="1474">
        <f t="shared" si="89"/>
        <v>1.02</v>
      </c>
      <c r="AL174" s="1475">
        <f t="shared" ca="1" si="102"/>
        <v>1.3450803185857847</v>
      </c>
      <c r="AN174" s="1476">
        <f t="shared" ca="1" si="80"/>
        <v>1.0262711122579586</v>
      </c>
      <c r="AO174" s="1474">
        <f t="shared" si="90"/>
        <v>1.0049999999999999</v>
      </c>
      <c r="AP174" s="1475">
        <f t="shared" ca="1" si="103"/>
        <v>1.3739510144936682</v>
      </c>
      <c r="AR174" s="701">
        <f t="shared" si="91"/>
        <v>40118</v>
      </c>
      <c r="AS174" s="1478">
        <f ca="1">IF(AND($A174&gt;=EDATE(AS$17,12),IF(Assm!$L$74=0,$D174,$E174)/AS173&gt;=1.05),IF(Assm!$L$74=0,$D174,$E174),AS173)</f>
        <v>2.5102503475612647</v>
      </c>
      <c r="AT174" s="1478">
        <f t="shared" ca="1" si="92"/>
        <v>1.0517184627895011</v>
      </c>
      <c r="AU174" s="1478">
        <f t="shared" ca="1" si="93"/>
        <v>1.0739990683225322</v>
      </c>
      <c r="AV174" s="1478">
        <f t="shared" ca="1" si="94"/>
        <v>1.0739990683225322</v>
      </c>
      <c r="AW174" s="1475">
        <f t="shared" ca="1" si="95"/>
        <v>2.803841417140295</v>
      </c>
    </row>
    <row r="175" spans="1:49">
      <c r="A175" s="883">
        <f t="shared" si="82"/>
        <v>40148</v>
      </c>
      <c r="B175" s="1390">
        <f ca="1">'[2]Monthly Curve Calc.'!B178</f>
        <v>381.26699824568851</v>
      </c>
      <c r="C175" s="1391">
        <f ca="1">'[2]Monthly Curve Calc.'!C178</f>
        <v>223.9020005957214</v>
      </c>
      <c r="D175" s="1512">
        <f ca="1">'[2]Monthly Curve Calc.'!F178</f>
        <v>2.5893651874172878</v>
      </c>
      <c r="E175" s="1304">
        <f t="shared" ca="1" si="81"/>
        <v>2.0751157679739491</v>
      </c>
      <c r="F175" s="1473">
        <f ca="1">IF(Assm!$L$75=0,F174,IF(AND($A175&gt;F$16,MONTH($A175)=MONTH(F$16)),B174/B162,F174))</f>
        <v>1.0739990683225322</v>
      </c>
      <c r="G175" s="1474">
        <f ca="1">IF(Assm!$L$75=0,G174,IF(AND($A175&gt;G$16,MONTH($A175)=MONTH(G$16)),C174/C162,G174))</f>
        <v>1.0262711122579586</v>
      </c>
      <c r="H175" s="1474">
        <f ca="1">IF(Assm!$L$75=0,H174,IF(AND($A175&gt;H$16,MONTH($A175)=MONTH(H$16)),C174/C162-H$18,H174))</f>
        <v>1.0237711122579587</v>
      </c>
      <c r="I175" s="1474">
        <f ca="1">IF(Assm!$L$75=0,I174,IF($A175&gt;=I$16,IF(MONTH($A175)=MONTH(I$16),AVERAGE(D163:D174),I174),I174))</f>
        <v>2.4970941347776465</v>
      </c>
      <c r="J175" s="1475">
        <f ca="1">IF(Assm!$L$75=0,J174,IF($A175&gt;=J$16,IF(MONTH($A175)=MONTH(J$16),AVERAGE(E163:E174),J174),J174))</f>
        <v>1.9445421900388256</v>
      </c>
      <c r="K175" s="958">
        <f t="shared" si="72"/>
        <v>163</v>
      </c>
      <c r="L175" s="1476">
        <f t="shared" ca="1" si="73"/>
        <v>1.0262711122579586</v>
      </c>
      <c r="M175" s="1474">
        <f t="shared" si="83"/>
        <v>0</v>
      </c>
      <c r="N175" s="1475">
        <f t="shared" ca="1" si="96"/>
        <v>1.3739510144936682</v>
      </c>
      <c r="P175" s="1476">
        <f t="shared" ca="1" si="74"/>
        <v>1.0739990683225322</v>
      </c>
      <c r="Q175" s="1474">
        <f t="shared" si="84"/>
        <v>0</v>
      </c>
      <c r="R175" s="1475">
        <f t="shared" ca="1" si="97"/>
        <v>2.6035770917136669</v>
      </c>
      <c r="T175" s="1476">
        <f t="shared" ca="1" si="75"/>
        <v>1.0262711122579586</v>
      </c>
      <c r="U175" s="1474">
        <f t="shared" si="85"/>
        <v>1.0049999999999999</v>
      </c>
      <c r="V175" s="1475">
        <f t="shared" ca="1" si="98"/>
        <v>1.3739510144936682</v>
      </c>
      <c r="X175" s="1476">
        <f t="shared" ca="1" si="76"/>
        <v>1.0237711122579587</v>
      </c>
      <c r="Y175" s="1474">
        <f t="shared" si="86"/>
        <v>1.02</v>
      </c>
      <c r="Z175" s="1475">
        <f t="shared" ca="1" si="99"/>
        <v>1.3450803185857847</v>
      </c>
      <c r="AB175" s="1476">
        <f t="shared" ca="1" si="77"/>
        <v>1.0237711122579587</v>
      </c>
      <c r="AC175" s="1474">
        <f t="shared" si="87"/>
        <v>1.02</v>
      </c>
      <c r="AD175" s="1475">
        <f t="shared" ca="1" si="100"/>
        <v>1.3450803185857847</v>
      </c>
      <c r="AF175" s="1476">
        <f t="shared" ca="1" si="78"/>
        <v>1.0739990683225322</v>
      </c>
      <c r="AG175" s="1474">
        <f t="shared" si="88"/>
        <v>0</v>
      </c>
      <c r="AH175" s="1475">
        <f t="shared" ca="1" si="101"/>
        <v>2.6035770917136669</v>
      </c>
      <c r="AJ175" s="1476">
        <f t="shared" ca="1" si="79"/>
        <v>1.0237711122579587</v>
      </c>
      <c r="AK175" s="1474">
        <f t="shared" si="89"/>
        <v>1.02</v>
      </c>
      <c r="AL175" s="1475">
        <f t="shared" ca="1" si="102"/>
        <v>1.3450803185857847</v>
      </c>
      <c r="AN175" s="1476">
        <f t="shared" ca="1" si="80"/>
        <v>1.0262711122579586</v>
      </c>
      <c r="AO175" s="1474">
        <f t="shared" si="90"/>
        <v>1.0049999999999999</v>
      </c>
      <c r="AP175" s="1475">
        <f t="shared" ca="1" si="103"/>
        <v>1.3739510144936682</v>
      </c>
      <c r="AR175" s="701">
        <f t="shared" si="91"/>
        <v>40148</v>
      </c>
      <c r="AS175" s="1478">
        <f ca="1">IF(AND($A175&gt;=EDATE(AS$17,12),IF(Assm!$L$74=0,$D175,$E175)/AS174&gt;=1.05),IF(Assm!$L$74=0,$D175,$E175),AS174)</f>
        <v>2.5102503475612647</v>
      </c>
      <c r="AT175" s="1478">
        <f t="shared" ca="1" si="92"/>
        <v>1.0517184627895011</v>
      </c>
      <c r="AU175" s="1478">
        <f t="shared" ca="1" si="93"/>
        <v>1.0739990683225322</v>
      </c>
      <c r="AV175" s="1478">
        <f t="shared" ca="1" si="94"/>
        <v>1.0739990683225322</v>
      </c>
      <c r="AW175" s="1475">
        <f t="shared" ca="1" si="95"/>
        <v>2.803841417140295</v>
      </c>
    </row>
    <row r="176" spans="1:49">
      <c r="A176" s="883">
        <f t="shared" si="82"/>
        <v>40179</v>
      </c>
      <c r="B176" s="1390">
        <f ca="1">'[2]Monthly Curve Calc.'!B179</f>
        <v>383.48240934930004</v>
      </c>
      <c r="C176" s="1391">
        <f ca="1">'[2]Monthly Curve Calc.'!C179</f>
        <v>224.37366820194069</v>
      </c>
      <c r="D176" s="1512">
        <f ca="1">'[2]Monthly Curve Calc.'!F179</f>
        <v>2.5944082870946334</v>
      </c>
      <c r="E176" s="1304">
        <f t="shared" ca="1" si="81"/>
        <v>2.0827859938802802</v>
      </c>
      <c r="F176" s="1473">
        <f ca="1">IF(Assm!$L$75=0,F175,IF(AND($A176&gt;F$16,MONTH($A176)=MONTH(F$16)),B175/B163,F175))</f>
        <v>1.0739990683225322</v>
      </c>
      <c r="G176" s="1474">
        <f ca="1">IF(Assm!$L$75=0,G175,IF(AND($A176&gt;G$16,MONTH($A176)=MONTH(G$16)),C175/C163,G175))</f>
        <v>1.0262711122579586</v>
      </c>
      <c r="H176" s="1474">
        <f ca="1">IF(Assm!$L$75=0,H175,IF(AND($A176&gt;H$16,MONTH($A176)=MONTH(H$16)),C175/C163-H$18,H175))</f>
        <v>1.0237711122579587</v>
      </c>
      <c r="I176" s="1474">
        <f ca="1">IF(Assm!$L$75=0,I175,IF($A176&gt;=I$16,IF(MONTH($A176)=MONTH(I$16),AVERAGE(D164:D175),I175),I175))</f>
        <v>2.5602899799837568</v>
      </c>
      <c r="J176" s="1475">
        <f ca="1">IF(Assm!$L$75=0,J175,IF($A176&gt;=J$16,IF(MONTH($A176)=MONTH(J$16),AVERAGE(E164:E175),J175),J175))</f>
        <v>2.0339571818026716</v>
      </c>
      <c r="K176" s="958">
        <f t="shared" si="72"/>
        <v>164</v>
      </c>
      <c r="L176" s="1476">
        <f t="shared" ca="1" si="73"/>
        <v>1.0262711122579586</v>
      </c>
      <c r="M176" s="1474">
        <f t="shared" si="83"/>
        <v>0</v>
      </c>
      <c r="N176" s="1475">
        <f t="shared" ca="1" si="96"/>
        <v>1.3739510144936682</v>
      </c>
      <c r="P176" s="1476">
        <f t="shared" ca="1" si="74"/>
        <v>1.0739990683225322</v>
      </c>
      <c r="Q176" s="1474">
        <f t="shared" si="84"/>
        <v>0</v>
      </c>
      <c r="R176" s="1475">
        <f t="shared" ca="1" si="97"/>
        <v>2.6035770917136669</v>
      </c>
      <c r="T176" s="1476">
        <f t="shared" ca="1" si="75"/>
        <v>1.0262711122579586</v>
      </c>
      <c r="U176" s="1474">
        <f t="shared" si="85"/>
        <v>1.0049999999999999</v>
      </c>
      <c r="V176" s="1475">
        <f t="shared" ca="1" si="98"/>
        <v>1.3739510144936682</v>
      </c>
      <c r="X176" s="1476">
        <f t="shared" ca="1" si="76"/>
        <v>1.0237711122579587</v>
      </c>
      <c r="Y176" s="1474">
        <f t="shared" si="86"/>
        <v>1.02</v>
      </c>
      <c r="Z176" s="1475">
        <f t="shared" ca="1" si="99"/>
        <v>1.3450803185857847</v>
      </c>
      <c r="AB176" s="1476">
        <f t="shared" ca="1" si="77"/>
        <v>1.0237711122579587</v>
      </c>
      <c r="AC176" s="1474">
        <f t="shared" si="87"/>
        <v>1.02</v>
      </c>
      <c r="AD176" s="1475">
        <f t="shared" ca="1" si="100"/>
        <v>1.3450803185857847</v>
      </c>
      <c r="AF176" s="1476">
        <f t="shared" ca="1" si="78"/>
        <v>1.0739990683225322</v>
      </c>
      <c r="AG176" s="1474">
        <f t="shared" si="88"/>
        <v>0</v>
      </c>
      <c r="AH176" s="1475">
        <f t="shared" ca="1" si="101"/>
        <v>2.6035770917136669</v>
      </c>
      <c r="AJ176" s="1476">
        <f t="shared" ca="1" si="79"/>
        <v>1.0237711122579587</v>
      </c>
      <c r="AK176" s="1474">
        <f t="shared" si="89"/>
        <v>1.02</v>
      </c>
      <c r="AL176" s="1475">
        <f t="shared" ca="1" si="102"/>
        <v>1.3450803185857847</v>
      </c>
      <c r="AN176" s="1476">
        <f t="shared" ca="1" si="80"/>
        <v>1.0262711122579586</v>
      </c>
      <c r="AO176" s="1474">
        <f t="shared" si="90"/>
        <v>1.0049999999999999</v>
      </c>
      <c r="AP176" s="1475">
        <f t="shared" ca="1" si="103"/>
        <v>1.3739510144936682</v>
      </c>
      <c r="AR176" s="701">
        <f t="shared" si="91"/>
        <v>40179</v>
      </c>
      <c r="AS176" s="1478">
        <f ca="1">IF(AND($A176&gt;=EDATE(AS$17,12),IF(Assm!$L$74=0,$D176,$E176)/AS175&gt;=1.05),IF(Assm!$L$74=0,$D176,$E176),AS175)</f>
        <v>2.5102503475612647</v>
      </c>
      <c r="AT176" s="1478">
        <f t="shared" ca="1" si="92"/>
        <v>1.0517184627895011</v>
      </c>
      <c r="AU176" s="1478">
        <f t="shared" ca="1" si="93"/>
        <v>1.0739990683225322</v>
      </c>
      <c r="AV176" s="1478">
        <f t="shared" ca="1" si="94"/>
        <v>1.0739990683225322</v>
      </c>
      <c r="AW176" s="1475">
        <f t="shared" ca="1" si="95"/>
        <v>2.803841417140295</v>
      </c>
    </row>
    <row r="177" spans="1:49">
      <c r="A177" s="883">
        <f t="shared" si="82"/>
        <v>40210</v>
      </c>
      <c r="B177" s="1390">
        <f ca="1">'[2]Monthly Curve Calc.'!B180</f>
        <v>385.71069344317976</v>
      </c>
      <c r="C177" s="1391">
        <f ca="1">'[2]Monthly Curve Calc.'!C180</f>
        <v>224.84632941397933</v>
      </c>
      <c r="D177" s="1512">
        <f ca="1">'[2]Monthly Curve Calc.'!F180</f>
        <v>2.5994612088142612</v>
      </c>
      <c r="E177" s="1304">
        <f t="shared" ca="1" si="81"/>
        <v>2.0904845711520443</v>
      </c>
      <c r="F177" s="1473">
        <f ca="1">IF(Assm!$L$75=0,F176,IF(AND($A177&gt;F$16,MONTH($A177)=MONTH(F$16)),B176/B164,F176))</f>
        <v>1.0739990683225322</v>
      </c>
      <c r="G177" s="1474">
        <f ca="1">IF(Assm!$L$75=0,G176,IF(AND($A177&gt;G$16,MONTH($A177)=MONTH(G$16)),C176/C164,G176))</f>
        <v>1.0262711122579586</v>
      </c>
      <c r="H177" s="1474">
        <f ca="1">IF(Assm!$L$75=0,H176,IF(AND($A177&gt;H$16,MONTH($A177)=MONTH(H$16)),C176/C164-H$18,H176))</f>
        <v>1.0237711122579587</v>
      </c>
      <c r="I177" s="1474">
        <f ca="1">IF(Assm!$L$75=0,I176,IF($A177&gt;=I$16,IF(MONTH($A177)=MONTH(I$16),AVERAGE(D165:D176),I176),I176))</f>
        <v>2.5602899799837568</v>
      </c>
      <c r="J177" s="1475">
        <f ca="1">IF(Assm!$L$75=0,J176,IF($A177&gt;=J$16,IF(MONTH($A177)=MONTH(J$16),AVERAGE(E165:E176),J176),J176))</f>
        <v>2.0339571818026716</v>
      </c>
      <c r="K177" s="958">
        <f t="shared" si="72"/>
        <v>165</v>
      </c>
      <c r="L177" s="1476">
        <f t="shared" ca="1" si="73"/>
        <v>1.0262711122579586</v>
      </c>
      <c r="M177" s="1474">
        <f t="shared" si="83"/>
        <v>0</v>
      </c>
      <c r="N177" s="1475">
        <f t="shared" ca="1" si="96"/>
        <v>1.3739510144936682</v>
      </c>
      <c r="P177" s="1476">
        <f t="shared" ca="1" si="74"/>
        <v>1.0739990683225322</v>
      </c>
      <c r="Q177" s="1474">
        <f t="shared" si="84"/>
        <v>0</v>
      </c>
      <c r="R177" s="1475">
        <f t="shared" ca="1" si="97"/>
        <v>2.6035770917136669</v>
      </c>
      <c r="T177" s="1476">
        <f t="shared" ca="1" si="75"/>
        <v>1.0262711122579586</v>
      </c>
      <c r="U177" s="1474">
        <f t="shared" si="85"/>
        <v>1.0049999999999999</v>
      </c>
      <c r="V177" s="1475">
        <f t="shared" ca="1" si="98"/>
        <v>1.3739510144936682</v>
      </c>
      <c r="X177" s="1476">
        <f t="shared" ca="1" si="76"/>
        <v>1.0237711122579587</v>
      </c>
      <c r="Y177" s="1474">
        <f t="shared" si="86"/>
        <v>1.02</v>
      </c>
      <c r="Z177" s="1475">
        <f t="shared" ca="1" si="99"/>
        <v>1.3450803185857847</v>
      </c>
      <c r="AB177" s="1476">
        <f t="shared" ca="1" si="77"/>
        <v>1.0237711122579587</v>
      </c>
      <c r="AC177" s="1474">
        <f t="shared" si="87"/>
        <v>1.02</v>
      </c>
      <c r="AD177" s="1475">
        <f t="shared" ca="1" si="100"/>
        <v>1.3450803185857847</v>
      </c>
      <c r="AF177" s="1476">
        <f t="shared" ca="1" si="78"/>
        <v>1.0739990683225322</v>
      </c>
      <c r="AG177" s="1474">
        <f t="shared" si="88"/>
        <v>0</v>
      </c>
      <c r="AH177" s="1475">
        <f t="shared" ca="1" si="101"/>
        <v>2.6035770917136669</v>
      </c>
      <c r="AJ177" s="1476">
        <f t="shared" ca="1" si="79"/>
        <v>1.0237711122579587</v>
      </c>
      <c r="AK177" s="1474">
        <f t="shared" si="89"/>
        <v>1.02</v>
      </c>
      <c r="AL177" s="1475">
        <f t="shared" ca="1" si="102"/>
        <v>1.3450803185857847</v>
      </c>
      <c r="AN177" s="1476">
        <f t="shared" ca="1" si="80"/>
        <v>1.0262711122579586</v>
      </c>
      <c r="AO177" s="1474">
        <f t="shared" si="90"/>
        <v>1.0049999999999999</v>
      </c>
      <c r="AP177" s="1475">
        <f t="shared" ca="1" si="103"/>
        <v>1.3739510144936682</v>
      </c>
      <c r="AR177" s="701">
        <f t="shared" si="91"/>
        <v>40210</v>
      </c>
      <c r="AS177" s="1478">
        <f ca="1">IF(AND($A177&gt;=EDATE(AS$17,12),IF(Assm!$L$74=0,$D177,$E177)/AS176&gt;=1.05),IF(Assm!$L$74=0,$D177,$E177),AS176)</f>
        <v>2.5102503475612647</v>
      </c>
      <c r="AT177" s="1478">
        <f t="shared" ca="1" si="92"/>
        <v>1.0517184627895011</v>
      </c>
      <c r="AU177" s="1478">
        <f t="shared" ca="1" si="93"/>
        <v>1.0739990683225322</v>
      </c>
      <c r="AV177" s="1478">
        <f t="shared" ca="1" si="94"/>
        <v>1.0739990683225322</v>
      </c>
      <c r="AW177" s="1475">
        <f t="shared" ca="1" si="95"/>
        <v>2.803841417140295</v>
      </c>
    </row>
    <row r="178" spans="1:49">
      <c r="A178" s="883">
        <f t="shared" si="82"/>
        <v>40238</v>
      </c>
      <c r="B178" s="1390">
        <f ca="1">'[2]Monthly Curve Calc.'!B181</f>
        <v>387.95192532783682</v>
      </c>
      <c r="C178" s="1391">
        <f ca="1">'[2]Monthly Curve Calc.'!C181</f>
        <v>225.31998632494805</v>
      </c>
      <c r="D178" s="1512">
        <f ca="1">'[2]Monthly Curve Calc.'!F181</f>
        <v>2.6045239717057789</v>
      </c>
      <c r="E178" s="1304">
        <f t="shared" ca="1" si="81"/>
        <v>2.0982116045840593</v>
      </c>
      <c r="F178" s="1473">
        <f ca="1">IF(Assm!$L$75=0,F177,IF(AND($A178&gt;F$16,MONTH($A178)=MONTH(F$16)),B177/B165,F177))</f>
        <v>1.0739990683225322</v>
      </c>
      <c r="G178" s="1474">
        <f ca="1">IF(Assm!$L$75=0,G177,IF(AND($A178&gt;G$16,MONTH($A178)=MONTH(G$16)),C177/C165,G177))</f>
        <v>1.0262711122579586</v>
      </c>
      <c r="H178" s="1474">
        <f ca="1">IF(Assm!$L$75=0,H177,IF(AND($A178&gt;H$16,MONTH($A178)=MONTH(H$16)),C177/C165-H$18,H177))</f>
        <v>1.0237711122579587</v>
      </c>
      <c r="I178" s="1474">
        <f ca="1">IF(Assm!$L$75=0,I177,IF($A178&gt;=I$16,IF(MONTH($A178)=MONTH(I$16),AVERAGE(D166:D177),I177),I177))</f>
        <v>2.5602899799837568</v>
      </c>
      <c r="J178" s="1475">
        <f ca="1">IF(Assm!$L$75=0,J177,IF($A178&gt;=J$16,IF(MONTH($A178)=MONTH(J$16),AVERAGE(E166:E177),J177),J177))</f>
        <v>2.0339571818026716</v>
      </c>
      <c r="K178" s="958">
        <f t="shared" si="72"/>
        <v>166</v>
      </c>
      <c r="L178" s="1476">
        <f t="shared" ca="1" si="73"/>
        <v>1.0262711122579586</v>
      </c>
      <c r="M178" s="1474">
        <f t="shared" si="83"/>
        <v>0</v>
      </c>
      <c r="N178" s="1475">
        <f t="shared" ca="1" si="96"/>
        <v>1.3739510144936682</v>
      </c>
      <c r="P178" s="1476">
        <f t="shared" ca="1" si="74"/>
        <v>1.0739990683225322</v>
      </c>
      <c r="Q178" s="1474">
        <f t="shared" si="84"/>
        <v>0</v>
      </c>
      <c r="R178" s="1475">
        <f t="shared" ca="1" si="97"/>
        <v>2.6035770917136669</v>
      </c>
      <c r="T178" s="1476">
        <f t="shared" ca="1" si="75"/>
        <v>1.0262711122579586</v>
      </c>
      <c r="U178" s="1474">
        <f t="shared" si="85"/>
        <v>1.0049999999999999</v>
      </c>
      <c r="V178" s="1475">
        <f t="shared" ca="1" si="98"/>
        <v>1.3739510144936682</v>
      </c>
      <c r="X178" s="1476">
        <f t="shared" ca="1" si="76"/>
        <v>1.0237711122579587</v>
      </c>
      <c r="Y178" s="1474">
        <f t="shared" si="86"/>
        <v>1.02</v>
      </c>
      <c r="Z178" s="1475">
        <f t="shared" ca="1" si="99"/>
        <v>1.3450803185857847</v>
      </c>
      <c r="AB178" s="1476">
        <f t="shared" ca="1" si="77"/>
        <v>1.0237711122579587</v>
      </c>
      <c r="AC178" s="1474">
        <f t="shared" si="87"/>
        <v>1.02</v>
      </c>
      <c r="AD178" s="1475">
        <f t="shared" ca="1" si="100"/>
        <v>1.3450803185857847</v>
      </c>
      <c r="AF178" s="1476">
        <f t="shared" ca="1" si="78"/>
        <v>1.0739990683225322</v>
      </c>
      <c r="AG178" s="1474">
        <f t="shared" si="88"/>
        <v>0</v>
      </c>
      <c r="AH178" s="1475">
        <f t="shared" ca="1" si="101"/>
        <v>2.6035770917136669</v>
      </c>
      <c r="AJ178" s="1476">
        <f t="shared" ca="1" si="79"/>
        <v>1.0237711122579587</v>
      </c>
      <c r="AK178" s="1474">
        <f t="shared" si="89"/>
        <v>1.02</v>
      </c>
      <c r="AL178" s="1475">
        <f t="shared" ca="1" si="102"/>
        <v>1.3450803185857847</v>
      </c>
      <c r="AN178" s="1476">
        <f t="shared" ca="1" si="80"/>
        <v>1.0262711122579586</v>
      </c>
      <c r="AO178" s="1474">
        <f t="shared" si="90"/>
        <v>1.0049999999999999</v>
      </c>
      <c r="AP178" s="1475">
        <f t="shared" ca="1" si="103"/>
        <v>1.3739510144936682</v>
      </c>
      <c r="AR178" s="701">
        <f t="shared" si="91"/>
        <v>40238</v>
      </c>
      <c r="AS178" s="1478">
        <f ca="1">IF(AND($A178&gt;=EDATE(AS$17,12),IF(Assm!$L$74=0,$D178,$E178)/AS177&gt;=1.05),IF(Assm!$L$74=0,$D178,$E178),AS177)</f>
        <v>2.5102503475612647</v>
      </c>
      <c r="AT178" s="1478">
        <f t="shared" ca="1" si="92"/>
        <v>1.0517184627895011</v>
      </c>
      <c r="AU178" s="1478">
        <f t="shared" ca="1" si="93"/>
        <v>1.0739990683225322</v>
      </c>
      <c r="AV178" s="1478">
        <f t="shared" ca="1" si="94"/>
        <v>1.0739990683225322</v>
      </c>
      <c r="AW178" s="1475">
        <f t="shared" ca="1" si="95"/>
        <v>2.803841417140295</v>
      </c>
    </row>
    <row r="179" spans="1:49">
      <c r="A179" s="883">
        <f t="shared" si="82"/>
        <v>40269</v>
      </c>
      <c r="B179" s="1390">
        <f ca="1">'[2]Monthly Curve Calc.'!B182</f>
        <v>390.20618023842025</v>
      </c>
      <c r="C179" s="1391">
        <f ca="1">'[2]Monthly Curve Calc.'!C182</f>
        <v>225.79464103236685</v>
      </c>
      <c r="D179" s="1512">
        <f ca="1">'[2]Monthly Curve Calc.'!F182</f>
        <v>2.60959659493605</v>
      </c>
      <c r="E179" s="1304">
        <f t="shared" ca="1" si="81"/>
        <v>2.1059671993584939</v>
      </c>
      <c r="F179" s="1473">
        <f ca="1">IF(Assm!$L$75=0,F178,IF(AND($A179&gt;F$16,MONTH($A179)=MONTH(F$16)),B178/B166,F178))</f>
        <v>1.0739990683225322</v>
      </c>
      <c r="G179" s="1474">
        <f ca="1">IF(Assm!$L$75=0,G178,IF(AND($A179&gt;G$16,MONTH($A179)=MONTH(G$16)),C178/C166,G178))</f>
        <v>1.0262711122579586</v>
      </c>
      <c r="H179" s="1474">
        <f ca="1">IF(Assm!$L$75=0,H178,IF(AND($A179&gt;H$16,MONTH($A179)=MONTH(H$16)),C178/C166-H$18,H178))</f>
        <v>1.0237711122579587</v>
      </c>
      <c r="I179" s="1474">
        <f ca="1">IF(Assm!$L$75=0,I178,IF($A179&gt;=I$16,IF(MONTH($A179)=MONTH(I$16),AVERAGE(D167:D178),I178),I178))</f>
        <v>2.5602899799837568</v>
      </c>
      <c r="J179" s="1475">
        <f ca="1">IF(Assm!$L$75=0,J178,IF($A179&gt;=J$16,IF(MONTH($A179)=MONTH(J$16),AVERAGE(E167:E178),J178),J178))</f>
        <v>2.0339571818026716</v>
      </c>
      <c r="K179" s="958">
        <f t="shared" si="72"/>
        <v>167</v>
      </c>
      <c r="L179" s="1476">
        <f t="shared" ca="1" si="73"/>
        <v>1.0262711122579586</v>
      </c>
      <c r="M179" s="1474">
        <f t="shared" si="83"/>
        <v>0</v>
      </c>
      <c r="N179" s="1475">
        <f t="shared" ca="1" si="96"/>
        <v>1.3739510144936682</v>
      </c>
      <c r="P179" s="1476">
        <f t="shared" ca="1" si="74"/>
        <v>1.0739990683225322</v>
      </c>
      <c r="Q179" s="1474">
        <f t="shared" si="84"/>
        <v>0</v>
      </c>
      <c r="R179" s="1475">
        <f t="shared" ca="1" si="97"/>
        <v>2.6035770917136669</v>
      </c>
      <c r="T179" s="1476">
        <f t="shared" ca="1" si="75"/>
        <v>1.0262711122579586</v>
      </c>
      <c r="U179" s="1474">
        <f t="shared" si="85"/>
        <v>1.0049999999999999</v>
      </c>
      <c r="V179" s="1475">
        <f t="shared" ca="1" si="98"/>
        <v>1.3739510144936682</v>
      </c>
      <c r="X179" s="1476">
        <f t="shared" ca="1" si="76"/>
        <v>1.0237711122579587</v>
      </c>
      <c r="Y179" s="1474">
        <f t="shared" si="86"/>
        <v>1.02</v>
      </c>
      <c r="Z179" s="1475">
        <f t="shared" ca="1" si="99"/>
        <v>1.3450803185857847</v>
      </c>
      <c r="AB179" s="1476">
        <f t="shared" ca="1" si="77"/>
        <v>1.0237711122579587</v>
      </c>
      <c r="AC179" s="1474">
        <f t="shared" si="87"/>
        <v>1.02</v>
      </c>
      <c r="AD179" s="1475">
        <f t="shared" ca="1" si="100"/>
        <v>1.3450803185857847</v>
      </c>
      <c r="AF179" s="1476">
        <f t="shared" ca="1" si="78"/>
        <v>1.0739990683225322</v>
      </c>
      <c r="AG179" s="1474">
        <f t="shared" si="88"/>
        <v>0</v>
      </c>
      <c r="AH179" s="1475">
        <f t="shared" ca="1" si="101"/>
        <v>2.6035770917136669</v>
      </c>
      <c r="AJ179" s="1476">
        <f t="shared" ca="1" si="79"/>
        <v>1.0237711122579587</v>
      </c>
      <c r="AK179" s="1474">
        <f t="shared" si="89"/>
        <v>1.02</v>
      </c>
      <c r="AL179" s="1475">
        <f t="shared" ca="1" si="102"/>
        <v>1.3450803185857847</v>
      </c>
      <c r="AN179" s="1476">
        <f t="shared" ca="1" si="80"/>
        <v>1.0262711122579586</v>
      </c>
      <c r="AO179" s="1474">
        <f t="shared" si="90"/>
        <v>1.0049999999999999</v>
      </c>
      <c r="AP179" s="1475">
        <f t="shared" ca="1" si="103"/>
        <v>1.3739510144936682</v>
      </c>
      <c r="AR179" s="701">
        <f t="shared" si="91"/>
        <v>40269</v>
      </c>
      <c r="AS179" s="1478">
        <f ca="1">IF(AND($A179&gt;=EDATE(AS$17,12),IF(Assm!$L$74=0,$D179,$E179)/AS178&gt;=1.05),IF(Assm!$L$74=0,$D179,$E179),AS178)</f>
        <v>2.5102503475612647</v>
      </c>
      <c r="AT179" s="1478">
        <f t="shared" ca="1" si="92"/>
        <v>1.0517184627895011</v>
      </c>
      <c r="AU179" s="1478">
        <f t="shared" ca="1" si="93"/>
        <v>1.0739990683225322</v>
      </c>
      <c r="AV179" s="1478">
        <f t="shared" ca="1" si="94"/>
        <v>1.0739990683225322</v>
      </c>
      <c r="AW179" s="1475">
        <f t="shared" ca="1" si="95"/>
        <v>2.803841417140295</v>
      </c>
    </row>
    <row r="180" spans="1:49">
      <c r="A180" s="883">
        <f t="shared" si="82"/>
        <v>40299</v>
      </c>
      <c r="B180" s="1390">
        <f ca="1">'[2]Monthly Curve Calc.'!B183</f>
        <v>392.47353384724471</v>
      </c>
      <c r="C180" s="1391">
        <f ca="1">'[2]Monthly Curve Calc.'!C183</f>
        <v>226.27029563817439</v>
      </c>
      <c r="D180" s="1512">
        <f ca="1">'[2]Monthly Curve Calc.'!F183</f>
        <v>2.6146790977092684</v>
      </c>
      <c r="E180" s="1304">
        <f t="shared" ca="1" si="81"/>
        <v>2.1137514610463004</v>
      </c>
      <c r="F180" s="1473">
        <f ca="1">IF(Assm!$L$75=0,F179,IF(AND($A180&gt;F$16,MONTH($A180)=MONTH(F$16)),B179/B167,F179))</f>
        <v>1.0720000000000005</v>
      </c>
      <c r="G180" s="1474">
        <f ca="1">IF(Assm!$L$75=0,G179,IF(AND($A180&gt;G$16,MONTH($A180)=MONTH(G$16)),C179/C167,G179))</f>
        <v>1.0258405672574831</v>
      </c>
      <c r="H180" s="1474">
        <f ca="1">IF(Assm!$L$75=0,H179,IF(AND($A180&gt;H$16,MONTH($A180)=MONTH(H$16)),C179/C167-H$18,H179))</f>
        <v>1.0233405672574831</v>
      </c>
      <c r="I180" s="1474">
        <f ca="1">IF(Assm!$L$75=0,I179,IF($A180&gt;=I$16,IF(MONTH($A180)=MONTH(I$16),AVERAGE(D168:D179),I179),I179))</f>
        <v>2.5602899799837568</v>
      </c>
      <c r="J180" s="1475">
        <f ca="1">IF(Assm!$L$75=0,J179,IF($A180&gt;=J$16,IF(MONTH($A180)=MONTH(J$16),AVERAGE(E168:E179),J179),J179))</f>
        <v>2.0339571818026716</v>
      </c>
      <c r="K180" s="958">
        <f t="shared" si="72"/>
        <v>168</v>
      </c>
      <c r="L180" s="1476">
        <f t="shared" ca="1" si="73"/>
        <v>1.0258405672574831</v>
      </c>
      <c r="M180" s="1474">
        <f t="shared" si="83"/>
        <v>0</v>
      </c>
      <c r="N180" s="1475">
        <f t="shared" ca="1" si="96"/>
        <v>1.409454688092179</v>
      </c>
      <c r="P180" s="1476">
        <f t="shared" ca="1" si="74"/>
        <v>1.0720000000000005</v>
      </c>
      <c r="Q180" s="1474">
        <f t="shared" si="84"/>
        <v>0</v>
      </c>
      <c r="R180" s="1475">
        <f t="shared" ca="1" si="97"/>
        <v>2.7910346423170522</v>
      </c>
      <c r="T180" s="1476">
        <f t="shared" ca="1" si="75"/>
        <v>1.0258405672574831</v>
      </c>
      <c r="U180" s="1474">
        <f t="shared" si="85"/>
        <v>1.0049999999999999</v>
      </c>
      <c r="V180" s="1475">
        <f t="shared" ca="1" si="98"/>
        <v>1.409454688092179</v>
      </c>
      <c r="X180" s="1476">
        <f t="shared" ca="1" si="76"/>
        <v>1.0233405672574831</v>
      </c>
      <c r="Y180" s="1474">
        <f t="shared" si="86"/>
        <v>1.02</v>
      </c>
      <c r="Z180" s="1475">
        <f t="shared" ca="1" si="99"/>
        <v>1.376475256228453</v>
      </c>
      <c r="AB180" s="1476">
        <f t="shared" ca="1" si="77"/>
        <v>1.0233405672574831</v>
      </c>
      <c r="AC180" s="1474">
        <f t="shared" si="87"/>
        <v>1.02</v>
      </c>
      <c r="AD180" s="1475">
        <f t="shared" ca="1" si="100"/>
        <v>1.376475256228453</v>
      </c>
      <c r="AF180" s="1476">
        <f t="shared" ca="1" si="78"/>
        <v>1.0720000000000005</v>
      </c>
      <c r="AG180" s="1474">
        <f t="shared" si="88"/>
        <v>0</v>
      </c>
      <c r="AH180" s="1475">
        <f t="shared" ca="1" si="101"/>
        <v>2.7910346423170522</v>
      </c>
      <c r="AJ180" s="1476">
        <f t="shared" ca="1" si="79"/>
        <v>1.0233405672574831</v>
      </c>
      <c r="AK180" s="1474">
        <f t="shared" si="89"/>
        <v>1.02</v>
      </c>
      <c r="AL180" s="1475">
        <f t="shared" ca="1" si="102"/>
        <v>1.376475256228453</v>
      </c>
      <c r="AN180" s="1476">
        <f t="shared" ca="1" si="80"/>
        <v>1.0258405672574831</v>
      </c>
      <c r="AO180" s="1474">
        <f t="shared" si="90"/>
        <v>1.0049999999999999</v>
      </c>
      <c r="AP180" s="1475">
        <f t="shared" ca="1" si="103"/>
        <v>1.409454688092179</v>
      </c>
      <c r="AR180" s="701">
        <f t="shared" si="91"/>
        <v>40299</v>
      </c>
      <c r="AS180" s="1478">
        <f ca="1">IF(AND($A180&gt;=EDATE(AS$17,12),IF(Assm!$L$74=0,$D180,$E180)/AS179&gt;=1.05),IF(Assm!$L$74=0,$D180,$E180),AS179)</f>
        <v>2.5102503475612647</v>
      </c>
      <c r="AT180" s="1478">
        <f t="shared" ca="1" si="92"/>
        <v>1.0517184627895011</v>
      </c>
      <c r="AU180" s="1478">
        <f t="shared" ca="1" si="93"/>
        <v>1.0720000000000005</v>
      </c>
      <c r="AV180" s="1478">
        <f t="shared" ca="1" si="94"/>
        <v>1.0720000000000005</v>
      </c>
      <c r="AW180" s="1475">
        <f t="shared" ca="1" si="95"/>
        <v>3.0057179991743976</v>
      </c>
    </row>
    <row r="181" spans="1:49">
      <c r="A181" s="883">
        <f t="shared" si="82"/>
        <v>40330</v>
      </c>
      <c r="B181" s="1390">
        <f ca="1">'[2]Monthly Curve Calc.'!B184</f>
        <v>394.75406226633049</v>
      </c>
      <c r="C181" s="1391">
        <f ca="1">'[2]Monthly Curve Calc.'!C184</f>
        <v>226.74695224873719</v>
      </c>
      <c r="D181" s="1512">
        <f ca="1">'[2]Monthly Curve Calc.'!F184</f>
        <v>2.6197714992670309</v>
      </c>
      <c r="E181" s="1304">
        <f t="shared" ca="1" si="81"/>
        <v>2.1215644956086526</v>
      </c>
      <c r="F181" s="1473">
        <f ca="1">IF(Assm!$L$75=0,F180,IF(AND($A181&gt;F$16,MONTH($A181)=MONTH(F$16)),B180/B168,F180))</f>
        <v>1.0720000000000005</v>
      </c>
      <c r="G181" s="1474">
        <f ca="1">IF(Assm!$L$75=0,G180,IF(AND($A181&gt;G$16,MONTH($A181)=MONTH(G$16)),C180/C168,G180))</f>
        <v>1.0258405672574831</v>
      </c>
      <c r="H181" s="1474">
        <f ca="1">IF(Assm!$L$75=0,H180,IF(AND($A181&gt;H$16,MONTH($A181)=MONTH(H$16)),C180/C168-H$18,H180))</f>
        <v>1.0233405672574831</v>
      </c>
      <c r="I181" s="1474">
        <f ca="1">IF(Assm!$L$75=0,I180,IF($A181&gt;=I$16,IF(MONTH($A181)=MONTH(I$16),AVERAGE(D169:D180),I180),I180))</f>
        <v>2.5602899799837568</v>
      </c>
      <c r="J181" s="1475">
        <f ca="1">IF(Assm!$L$75=0,J180,IF($A181&gt;=J$16,IF(MONTH($A181)=MONTH(J$16),AVERAGE(E169:E180),J180),J180))</f>
        <v>2.0339571818026716</v>
      </c>
      <c r="K181" s="958">
        <f t="shared" si="72"/>
        <v>169</v>
      </c>
      <c r="L181" s="1476">
        <f t="shared" ca="1" si="73"/>
        <v>1.0258405672574831</v>
      </c>
      <c r="M181" s="1474">
        <f t="shared" si="83"/>
        <v>0</v>
      </c>
      <c r="N181" s="1475">
        <f t="shared" ca="1" si="96"/>
        <v>1.409454688092179</v>
      </c>
      <c r="P181" s="1476">
        <f t="shared" ca="1" si="74"/>
        <v>1.0720000000000005</v>
      </c>
      <c r="Q181" s="1474">
        <f t="shared" si="84"/>
        <v>0</v>
      </c>
      <c r="R181" s="1475">
        <f t="shared" ca="1" si="97"/>
        <v>2.7910346423170522</v>
      </c>
      <c r="T181" s="1476">
        <f t="shared" ca="1" si="75"/>
        <v>1.0258405672574831</v>
      </c>
      <c r="U181" s="1474">
        <f t="shared" si="85"/>
        <v>1.0049999999999999</v>
      </c>
      <c r="V181" s="1475">
        <f t="shared" ca="1" si="98"/>
        <v>1.409454688092179</v>
      </c>
      <c r="X181" s="1476">
        <f t="shared" ca="1" si="76"/>
        <v>1.0233405672574831</v>
      </c>
      <c r="Y181" s="1474">
        <f t="shared" si="86"/>
        <v>1.02</v>
      </c>
      <c r="Z181" s="1475">
        <f t="shared" ca="1" si="99"/>
        <v>1.376475256228453</v>
      </c>
      <c r="AB181" s="1476">
        <f t="shared" ca="1" si="77"/>
        <v>1.0233405672574831</v>
      </c>
      <c r="AC181" s="1474">
        <f t="shared" si="87"/>
        <v>1.02</v>
      </c>
      <c r="AD181" s="1475">
        <f t="shared" ca="1" si="100"/>
        <v>1.376475256228453</v>
      </c>
      <c r="AF181" s="1476">
        <f t="shared" ca="1" si="78"/>
        <v>1.0720000000000005</v>
      </c>
      <c r="AG181" s="1474">
        <f t="shared" si="88"/>
        <v>0</v>
      </c>
      <c r="AH181" s="1475">
        <f t="shared" ca="1" si="101"/>
        <v>2.7910346423170522</v>
      </c>
      <c r="AJ181" s="1476">
        <f t="shared" ca="1" si="79"/>
        <v>1.0233405672574831</v>
      </c>
      <c r="AK181" s="1474">
        <f t="shared" si="89"/>
        <v>1.02</v>
      </c>
      <c r="AL181" s="1475">
        <f t="shared" ca="1" si="102"/>
        <v>1.376475256228453</v>
      </c>
      <c r="AN181" s="1476">
        <f t="shared" ca="1" si="80"/>
        <v>1.0258405672574831</v>
      </c>
      <c r="AO181" s="1474">
        <f t="shared" si="90"/>
        <v>1.0049999999999999</v>
      </c>
      <c r="AP181" s="1475">
        <f t="shared" ca="1" si="103"/>
        <v>1.409454688092179</v>
      </c>
      <c r="AR181" s="701">
        <f t="shared" si="91"/>
        <v>40330</v>
      </c>
      <c r="AS181" s="1478">
        <f ca="1">IF(AND($A181&gt;=EDATE(AS$17,12),IF(Assm!$L$74=0,$D181,$E181)/AS180&gt;=1.05),IF(Assm!$L$74=0,$D181,$E181),AS180)</f>
        <v>2.5102503475612647</v>
      </c>
      <c r="AT181" s="1478">
        <f t="shared" ca="1" si="92"/>
        <v>1.0517184627895011</v>
      </c>
      <c r="AU181" s="1478">
        <f t="shared" ca="1" si="93"/>
        <v>1.0720000000000005</v>
      </c>
      <c r="AV181" s="1478">
        <f t="shared" ca="1" si="94"/>
        <v>1.0720000000000005</v>
      </c>
      <c r="AW181" s="1475">
        <f t="shared" ca="1" si="95"/>
        <v>3.0057179991743976</v>
      </c>
    </row>
    <row r="182" spans="1:49">
      <c r="A182" s="883">
        <f t="shared" si="82"/>
        <v>40360</v>
      </c>
      <c r="B182" s="1390">
        <f ca="1">'[2]Monthly Curve Calc.'!B185</f>
        <v>397.04784204995872</v>
      </c>
      <c r="C182" s="1391">
        <f ca="1">'[2]Monthly Curve Calc.'!C185</f>
        <v>227.22461297485901</v>
      </c>
      <c r="D182" s="1512">
        <f ca="1">'[2]Monthly Curve Calc.'!F185</f>
        <v>2.6248738188884091</v>
      </c>
      <c r="E182" s="1304">
        <f t="shared" ca="1" si="81"/>
        <v>2.1294064093983867</v>
      </c>
      <c r="F182" s="1473">
        <f ca="1">IF(Assm!$L$75=0,F181,IF(AND($A182&gt;F$16,MONTH($A182)=MONTH(F$16)),B181/B169,F181))</f>
        <v>1.0720000000000005</v>
      </c>
      <c r="G182" s="1474">
        <f ca="1">IF(Assm!$L$75=0,G181,IF(AND($A182&gt;G$16,MONTH($A182)=MONTH(G$16)),C181/C169,G181))</f>
        <v>1.0258405672574831</v>
      </c>
      <c r="H182" s="1474">
        <f ca="1">IF(Assm!$L$75=0,H181,IF(AND($A182&gt;H$16,MONTH($A182)=MONTH(H$16)),C181/C169-H$18,H181))</f>
        <v>1.0233405672574831</v>
      </c>
      <c r="I182" s="1474">
        <f ca="1">IF(Assm!$L$75=0,I181,IF($A182&gt;=I$16,IF(MONTH($A182)=MONTH(I$16),AVERAGE(D170:D181),I181),I181))</f>
        <v>2.5602899799837568</v>
      </c>
      <c r="J182" s="1475">
        <f ca="1">IF(Assm!$L$75=0,J181,IF($A182&gt;=J$16,IF(MONTH($A182)=MONTH(J$16),AVERAGE(E170:E181),J181),J181))</f>
        <v>2.0339571818026716</v>
      </c>
      <c r="K182" s="958">
        <f t="shared" si="72"/>
        <v>170</v>
      </c>
      <c r="L182" s="1476">
        <f t="shared" ca="1" si="73"/>
        <v>1.0258405672574831</v>
      </c>
      <c r="M182" s="1474">
        <f t="shared" si="83"/>
        <v>0</v>
      </c>
      <c r="N182" s="1475">
        <f t="shared" ca="1" si="96"/>
        <v>1.409454688092179</v>
      </c>
      <c r="P182" s="1476">
        <f t="shared" ca="1" si="74"/>
        <v>1.0720000000000005</v>
      </c>
      <c r="Q182" s="1474">
        <f t="shared" si="84"/>
        <v>0</v>
      </c>
      <c r="R182" s="1475">
        <f t="shared" ca="1" si="97"/>
        <v>2.7910346423170522</v>
      </c>
      <c r="T182" s="1476">
        <f t="shared" ca="1" si="75"/>
        <v>1.0258405672574831</v>
      </c>
      <c r="U182" s="1474">
        <f t="shared" si="85"/>
        <v>1.0049999999999999</v>
      </c>
      <c r="V182" s="1475">
        <f t="shared" ca="1" si="98"/>
        <v>1.409454688092179</v>
      </c>
      <c r="X182" s="1476">
        <f t="shared" ca="1" si="76"/>
        <v>1.0233405672574831</v>
      </c>
      <c r="Y182" s="1474">
        <f t="shared" si="86"/>
        <v>1.02</v>
      </c>
      <c r="Z182" s="1475">
        <f t="shared" ca="1" si="99"/>
        <v>1.376475256228453</v>
      </c>
      <c r="AB182" s="1476">
        <f t="shared" ca="1" si="77"/>
        <v>1.0233405672574831</v>
      </c>
      <c r="AC182" s="1474">
        <f t="shared" si="87"/>
        <v>1.02</v>
      </c>
      <c r="AD182" s="1475">
        <f t="shared" ca="1" si="100"/>
        <v>1.376475256228453</v>
      </c>
      <c r="AF182" s="1476">
        <f t="shared" ca="1" si="78"/>
        <v>1.0720000000000005</v>
      </c>
      <c r="AG182" s="1474">
        <f t="shared" si="88"/>
        <v>0</v>
      </c>
      <c r="AH182" s="1475">
        <f t="shared" ca="1" si="101"/>
        <v>2.7910346423170522</v>
      </c>
      <c r="AJ182" s="1476">
        <f t="shared" ca="1" si="79"/>
        <v>1.0233405672574831</v>
      </c>
      <c r="AK182" s="1474">
        <f t="shared" si="89"/>
        <v>1.02</v>
      </c>
      <c r="AL182" s="1475">
        <f t="shared" ca="1" si="102"/>
        <v>1.376475256228453</v>
      </c>
      <c r="AN182" s="1476">
        <f t="shared" ca="1" si="80"/>
        <v>1.0258405672574831</v>
      </c>
      <c r="AO182" s="1474">
        <f t="shared" si="90"/>
        <v>1.0049999999999999</v>
      </c>
      <c r="AP182" s="1475">
        <f t="shared" ca="1" si="103"/>
        <v>1.409454688092179</v>
      </c>
      <c r="AR182" s="701">
        <f t="shared" si="91"/>
        <v>40360</v>
      </c>
      <c r="AS182" s="1478">
        <f ca="1">IF(AND($A182&gt;=EDATE(AS$17,12),IF(Assm!$L$74=0,$D182,$E182)/AS181&gt;=1.05),IF(Assm!$L$74=0,$D182,$E182),AS181)</f>
        <v>2.5102503475612647</v>
      </c>
      <c r="AT182" s="1478">
        <f t="shared" ca="1" si="92"/>
        <v>1.0517184627895011</v>
      </c>
      <c r="AU182" s="1478">
        <f t="shared" ca="1" si="93"/>
        <v>1.0720000000000005</v>
      </c>
      <c r="AV182" s="1478">
        <f t="shared" ca="1" si="94"/>
        <v>1.0720000000000005</v>
      </c>
      <c r="AW182" s="1475">
        <f t="shared" ca="1" si="95"/>
        <v>3.0057179991743976</v>
      </c>
    </row>
    <row r="183" spans="1:49">
      <c r="A183" s="883">
        <f t="shared" si="82"/>
        <v>40391</v>
      </c>
      <c r="B183" s="1390">
        <f ca="1">'[2]Monthly Curve Calc.'!B186</f>
        <v>399.35495019724095</v>
      </c>
      <c r="C183" s="1391">
        <f ca="1">'[2]Monthly Curve Calc.'!C186</f>
        <v>227.70327993179018</v>
      </c>
      <c r="D183" s="1512">
        <f ca="1">'[2]Monthly Curve Calc.'!F186</f>
        <v>2.6299860758900229</v>
      </c>
      <c r="E183" s="1304">
        <f t="shared" ca="1" si="81"/>
        <v>2.1372773091614499</v>
      </c>
      <c r="F183" s="1473">
        <f ca="1">IF(Assm!$L$75=0,F182,IF(AND($A183&gt;F$16,MONTH($A183)=MONTH(F$16)),B182/B170,F182))</f>
        <v>1.0720000000000005</v>
      </c>
      <c r="G183" s="1474">
        <f ca="1">IF(Assm!$L$75=0,G182,IF(AND($A183&gt;G$16,MONTH($A183)=MONTH(G$16)),C182/C170,G182))</f>
        <v>1.0258405672574831</v>
      </c>
      <c r="H183" s="1474">
        <f ca="1">IF(Assm!$L$75=0,H182,IF(AND($A183&gt;H$16,MONTH($A183)=MONTH(H$16)),C182/C170-H$18,H182))</f>
        <v>1.0233405672574831</v>
      </c>
      <c r="I183" s="1474">
        <f ca="1">IF(Assm!$L$75=0,I182,IF($A183&gt;=I$16,IF(MONTH($A183)=MONTH(I$16),AVERAGE(D171:D182),I182),I182))</f>
        <v>2.5602899799837568</v>
      </c>
      <c r="J183" s="1475">
        <f ca="1">IF(Assm!$L$75=0,J182,IF($A183&gt;=J$16,IF(MONTH($A183)=MONTH(J$16),AVERAGE(E171:E182),J182),J182))</f>
        <v>2.0339571818026716</v>
      </c>
      <c r="K183" s="958">
        <f t="shared" si="72"/>
        <v>171</v>
      </c>
      <c r="L183" s="1476">
        <f t="shared" ca="1" si="73"/>
        <v>1.0258405672574831</v>
      </c>
      <c r="M183" s="1474">
        <f t="shared" si="83"/>
        <v>0</v>
      </c>
      <c r="N183" s="1475">
        <f t="shared" ca="1" si="96"/>
        <v>1.409454688092179</v>
      </c>
      <c r="P183" s="1476">
        <f t="shared" ca="1" si="74"/>
        <v>1.0720000000000005</v>
      </c>
      <c r="Q183" s="1474">
        <f t="shared" si="84"/>
        <v>0</v>
      </c>
      <c r="R183" s="1475">
        <f t="shared" ca="1" si="97"/>
        <v>2.7910346423170522</v>
      </c>
      <c r="T183" s="1476">
        <f t="shared" ca="1" si="75"/>
        <v>1.0258405672574831</v>
      </c>
      <c r="U183" s="1474">
        <f t="shared" si="85"/>
        <v>1.0049999999999999</v>
      </c>
      <c r="V183" s="1475">
        <f t="shared" ca="1" si="98"/>
        <v>1.409454688092179</v>
      </c>
      <c r="X183" s="1476">
        <f t="shared" ca="1" si="76"/>
        <v>1.0233405672574831</v>
      </c>
      <c r="Y183" s="1474">
        <f t="shared" si="86"/>
        <v>1.02</v>
      </c>
      <c r="Z183" s="1475">
        <f t="shared" ca="1" si="99"/>
        <v>1.376475256228453</v>
      </c>
      <c r="AB183" s="1476">
        <f t="shared" ca="1" si="77"/>
        <v>1.0233405672574831</v>
      </c>
      <c r="AC183" s="1474">
        <f t="shared" si="87"/>
        <v>1.02</v>
      </c>
      <c r="AD183" s="1475">
        <f t="shared" ca="1" si="100"/>
        <v>1.376475256228453</v>
      </c>
      <c r="AF183" s="1476">
        <f t="shared" ca="1" si="78"/>
        <v>1.0720000000000005</v>
      </c>
      <c r="AG183" s="1474">
        <f t="shared" si="88"/>
        <v>0</v>
      </c>
      <c r="AH183" s="1475">
        <f t="shared" ca="1" si="101"/>
        <v>2.7910346423170522</v>
      </c>
      <c r="AJ183" s="1476">
        <f t="shared" ca="1" si="79"/>
        <v>1.0233405672574831</v>
      </c>
      <c r="AK183" s="1474">
        <f t="shared" si="89"/>
        <v>1.02</v>
      </c>
      <c r="AL183" s="1475">
        <f t="shared" ca="1" si="102"/>
        <v>1.376475256228453</v>
      </c>
      <c r="AN183" s="1476">
        <f t="shared" ca="1" si="80"/>
        <v>1.0258405672574831</v>
      </c>
      <c r="AO183" s="1474">
        <f t="shared" si="90"/>
        <v>1.0049999999999999</v>
      </c>
      <c r="AP183" s="1475">
        <f t="shared" ca="1" si="103"/>
        <v>1.409454688092179</v>
      </c>
      <c r="AR183" s="701">
        <f t="shared" si="91"/>
        <v>40391</v>
      </c>
      <c r="AS183" s="1478">
        <f ca="1">IF(AND($A183&gt;=EDATE(AS$17,12),IF(Assm!$L$74=0,$D183,$E183)/AS182&gt;=1.05),IF(Assm!$L$74=0,$D183,$E183),AS182)</f>
        <v>2.5102503475612647</v>
      </c>
      <c r="AT183" s="1478">
        <f t="shared" ca="1" si="92"/>
        <v>1.0517184627895011</v>
      </c>
      <c r="AU183" s="1478">
        <f t="shared" ca="1" si="93"/>
        <v>1.0720000000000005</v>
      </c>
      <c r="AV183" s="1478">
        <f t="shared" ca="1" si="94"/>
        <v>1.0720000000000005</v>
      </c>
      <c r="AW183" s="1475">
        <f t="shared" ca="1" si="95"/>
        <v>3.0057179991743976</v>
      </c>
    </row>
    <row r="184" spans="1:49">
      <c r="A184" s="883">
        <f t="shared" si="82"/>
        <v>40422</v>
      </c>
      <c r="B184" s="1390">
        <f ca="1">'[2]Monthly Curve Calc.'!B187</f>
        <v>401.67546415470406</v>
      </c>
      <c r="C184" s="1391">
        <f ca="1">'[2]Monthly Curve Calc.'!C187</f>
        <v>228.18295523923697</v>
      </c>
      <c r="D184" s="1512">
        <f ca="1">'[2]Monthly Curve Calc.'!F187</f>
        <v>2.6351082896261135</v>
      </c>
      <c r="E184" s="1304">
        <f t="shared" ca="1" si="81"/>
        <v>2.1451773020383529</v>
      </c>
      <c r="F184" s="1473">
        <f ca="1">IF(Assm!$L$75=0,F183,IF(AND($A184&gt;F$16,MONTH($A184)=MONTH(F$16)),B183/B171,F183))</f>
        <v>1.0720000000000005</v>
      </c>
      <c r="G184" s="1474">
        <f ca="1">IF(Assm!$L$75=0,G183,IF(AND($A184&gt;G$16,MONTH($A184)=MONTH(G$16)),C183/C171,G183))</f>
        <v>1.0258405672574831</v>
      </c>
      <c r="H184" s="1474">
        <f ca="1">IF(Assm!$L$75=0,H183,IF(AND($A184&gt;H$16,MONTH($A184)=MONTH(H$16)),C183/C171-H$18,H183))</f>
        <v>1.0233405672574831</v>
      </c>
      <c r="I184" s="1474">
        <f ca="1">IF(Assm!$L$75=0,I183,IF($A184&gt;=I$16,IF(MONTH($A184)=MONTH(I$16),AVERAGE(D172:D183),I183),I183))</f>
        <v>2.5602899799837568</v>
      </c>
      <c r="J184" s="1475">
        <f ca="1">IF(Assm!$L$75=0,J183,IF($A184&gt;=J$16,IF(MONTH($A184)=MONTH(J$16),AVERAGE(E172:E183),J183),J183))</f>
        <v>2.0339571818026716</v>
      </c>
      <c r="K184" s="958">
        <f t="shared" si="72"/>
        <v>172</v>
      </c>
      <c r="L184" s="1476">
        <f t="shared" ca="1" si="73"/>
        <v>1.0258405672574831</v>
      </c>
      <c r="M184" s="1474">
        <f t="shared" si="83"/>
        <v>0</v>
      </c>
      <c r="N184" s="1475">
        <f t="shared" ca="1" si="96"/>
        <v>1.409454688092179</v>
      </c>
      <c r="P184" s="1476">
        <f t="shared" ca="1" si="74"/>
        <v>1.0720000000000005</v>
      </c>
      <c r="Q184" s="1474">
        <f t="shared" si="84"/>
        <v>0</v>
      </c>
      <c r="R184" s="1475">
        <f t="shared" ca="1" si="97"/>
        <v>2.7910346423170522</v>
      </c>
      <c r="T184" s="1476">
        <f t="shared" ca="1" si="75"/>
        <v>1.0258405672574831</v>
      </c>
      <c r="U184" s="1474">
        <f t="shared" si="85"/>
        <v>1.0049999999999999</v>
      </c>
      <c r="V184" s="1475">
        <f t="shared" ca="1" si="98"/>
        <v>1.409454688092179</v>
      </c>
      <c r="X184" s="1476">
        <f t="shared" ca="1" si="76"/>
        <v>1.0233405672574831</v>
      </c>
      <c r="Y184" s="1474">
        <f t="shared" si="86"/>
        <v>1.02</v>
      </c>
      <c r="Z184" s="1475">
        <f t="shared" ca="1" si="99"/>
        <v>1.376475256228453</v>
      </c>
      <c r="AB184" s="1476">
        <f t="shared" ca="1" si="77"/>
        <v>1.0233405672574831</v>
      </c>
      <c r="AC184" s="1474">
        <f t="shared" si="87"/>
        <v>1.02</v>
      </c>
      <c r="AD184" s="1475">
        <f t="shared" ca="1" si="100"/>
        <v>1.376475256228453</v>
      </c>
      <c r="AF184" s="1476">
        <f t="shared" ca="1" si="78"/>
        <v>1.0720000000000005</v>
      </c>
      <c r="AG184" s="1474">
        <f t="shared" si="88"/>
        <v>0</v>
      </c>
      <c r="AH184" s="1475">
        <f t="shared" ca="1" si="101"/>
        <v>2.7910346423170522</v>
      </c>
      <c r="AJ184" s="1476">
        <f t="shared" ca="1" si="79"/>
        <v>1.0233405672574831</v>
      </c>
      <c r="AK184" s="1474">
        <f t="shared" si="89"/>
        <v>1.02</v>
      </c>
      <c r="AL184" s="1475">
        <f t="shared" ca="1" si="102"/>
        <v>1.376475256228453</v>
      </c>
      <c r="AN184" s="1476">
        <f t="shared" ca="1" si="80"/>
        <v>1.0258405672574831</v>
      </c>
      <c r="AO184" s="1474">
        <f t="shared" si="90"/>
        <v>1.0049999999999999</v>
      </c>
      <c r="AP184" s="1475">
        <f t="shared" ca="1" si="103"/>
        <v>1.409454688092179</v>
      </c>
      <c r="AR184" s="701">
        <f t="shared" si="91"/>
        <v>40422</v>
      </c>
      <c r="AS184" s="1478">
        <f ca="1">IF(AND($A184&gt;=EDATE(AS$17,12),IF(Assm!$L$74=0,$D184,$E184)/AS183&gt;=1.05),IF(Assm!$L$74=0,$D184,$E184),AS183)</f>
        <v>2.5102503475612647</v>
      </c>
      <c r="AT184" s="1478">
        <f t="shared" ca="1" si="92"/>
        <v>1.0517184627895011</v>
      </c>
      <c r="AU184" s="1478">
        <f t="shared" ca="1" si="93"/>
        <v>1.0720000000000005</v>
      </c>
      <c r="AV184" s="1478">
        <f t="shared" ca="1" si="94"/>
        <v>1.0720000000000005</v>
      </c>
      <c r="AW184" s="1475">
        <f t="shared" ca="1" si="95"/>
        <v>3.0057179991743976</v>
      </c>
    </row>
    <row r="185" spans="1:49">
      <c r="A185" s="883">
        <f t="shared" si="82"/>
        <v>40452</v>
      </c>
      <c r="B185" s="1390">
        <f ca="1">'[2]Monthly Curve Calc.'!B188</f>
        <v>404.00946181889003</v>
      </c>
      <c r="C185" s="1391">
        <f ca="1">'[2]Monthly Curve Calc.'!C188</f>
        <v>228.66364102137103</v>
      </c>
      <c r="D185" s="1512">
        <f ca="1">'[2]Monthly Curve Calc.'!F188</f>
        <v>2.6402404794886176</v>
      </c>
      <c r="E185" s="1304">
        <f t="shared" ca="1" si="81"/>
        <v>2.1531064955656292</v>
      </c>
      <c r="F185" s="1473">
        <f ca="1">IF(Assm!$L$75=0,F184,IF(AND($A185&gt;F$16,MONTH($A185)=MONTH(F$16)),B184/B172,F184))</f>
        <v>1.0720000000000005</v>
      </c>
      <c r="G185" s="1474">
        <f ca="1">IF(Assm!$L$75=0,G184,IF(AND($A185&gt;G$16,MONTH($A185)=MONTH(G$16)),C184/C172,G184))</f>
        <v>1.0258405672574831</v>
      </c>
      <c r="H185" s="1474">
        <f ca="1">IF(Assm!$L$75=0,H184,IF(AND($A185&gt;H$16,MONTH($A185)=MONTH(H$16)),C184/C172-H$18,H184))</f>
        <v>1.0233405672574831</v>
      </c>
      <c r="I185" s="1474">
        <f ca="1">IF(Assm!$L$75=0,I184,IF($A185&gt;=I$16,IF(MONTH($A185)=MONTH(I$16),AVERAGE(D173:D184),I184),I184))</f>
        <v>2.5602899799837568</v>
      </c>
      <c r="J185" s="1475">
        <f ca="1">IF(Assm!$L$75=0,J184,IF($A185&gt;=J$16,IF(MONTH($A185)=MONTH(J$16),AVERAGE(E173:E184),J184),J184))</f>
        <v>2.0339571818026716</v>
      </c>
      <c r="K185" s="958">
        <f t="shared" si="72"/>
        <v>173</v>
      </c>
      <c r="L185" s="1476">
        <f t="shared" ca="1" si="73"/>
        <v>1.0258405672574831</v>
      </c>
      <c r="M185" s="1474">
        <f t="shared" si="83"/>
        <v>0</v>
      </c>
      <c r="N185" s="1475">
        <f t="shared" ca="1" si="96"/>
        <v>1.409454688092179</v>
      </c>
      <c r="P185" s="1476">
        <f t="shared" ca="1" si="74"/>
        <v>1.0720000000000005</v>
      </c>
      <c r="Q185" s="1474">
        <f t="shared" si="84"/>
        <v>0</v>
      </c>
      <c r="R185" s="1475">
        <f t="shared" ca="1" si="97"/>
        <v>2.7910346423170522</v>
      </c>
      <c r="T185" s="1476">
        <f t="shared" ca="1" si="75"/>
        <v>1.0258405672574831</v>
      </c>
      <c r="U185" s="1474">
        <f t="shared" si="85"/>
        <v>1.0049999999999999</v>
      </c>
      <c r="V185" s="1475">
        <f t="shared" ca="1" si="98"/>
        <v>1.409454688092179</v>
      </c>
      <c r="X185" s="1476">
        <f t="shared" ca="1" si="76"/>
        <v>1.0233405672574831</v>
      </c>
      <c r="Y185" s="1474">
        <f t="shared" si="86"/>
        <v>1.02</v>
      </c>
      <c r="Z185" s="1475">
        <f t="shared" ca="1" si="99"/>
        <v>1.376475256228453</v>
      </c>
      <c r="AB185" s="1476">
        <f t="shared" ca="1" si="77"/>
        <v>1.0233405672574831</v>
      </c>
      <c r="AC185" s="1474">
        <f t="shared" si="87"/>
        <v>1.02</v>
      </c>
      <c r="AD185" s="1475">
        <f t="shared" ca="1" si="100"/>
        <v>1.376475256228453</v>
      </c>
      <c r="AF185" s="1476">
        <f t="shared" ca="1" si="78"/>
        <v>1.0720000000000005</v>
      </c>
      <c r="AG185" s="1474">
        <f t="shared" si="88"/>
        <v>0</v>
      </c>
      <c r="AH185" s="1475">
        <f t="shared" ca="1" si="101"/>
        <v>2.7910346423170522</v>
      </c>
      <c r="AJ185" s="1476">
        <f t="shared" ca="1" si="79"/>
        <v>1.0233405672574831</v>
      </c>
      <c r="AK185" s="1474">
        <f t="shared" si="89"/>
        <v>1.02</v>
      </c>
      <c r="AL185" s="1475">
        <f t="shared" ca="1" si="102"/>
        <v>1.376475256228453</v>
      </c>
      <c r="AN185" s="1476">
        <f t="shared" ca="1" si="80"/>
        <v>1.0258405672574831</v>
      </c>
      <c r="AO185" s="1474">
        <f t="shared" si="90"/>
        <v>1.0049999999999999</v>
      </c>
      <c r="AP185" s="1475">
        <f t="shared" ca="1" si="103"/>
        <v>1.409454688092179</v>
      </c>
      <c r="AR185" s="701">
        <f t="shared" si="91"/>
        <v>40452</v>
      </c>
      <c r="AS185" s="1478">
        <f ca="1">IF(AND($A185&gt;=EDATE(AS$17,12),IF(Assm!$L$74=0,$D185,$E185)/AS184&gt;=1.05),IF(Assm!$L$74=0,$D185,$E185),AS184)</f>
        <v>2.6402404794886176</v>
      </c>
      <c r="AT185" s="1478">
        <f t="shared" ca="1" si="92"/>
        <v>1.0517837322694288</v>
      </c>
      <c r="AU185" s="1478">
        <f t="shared" ca="1" si="93"/>
        <v>1.0720000000000005</v>
      </c>
      <c r="AV185" s="1478">
        <f t="shared" ca="1" si="94"/>
        <v>1.0720000000000005</v>
      </c>
      <c r="AW185" s="1475">
        <f t="shared" ca="1" si="95"/>
        <v>3.0057179991743976</v>
      </c>
    </row>
    <row r="186" spans="1:49">
      <c r="A186" s="883">
        <f t="shared" si="82"/>
        <v>40483</v>
      </c>
      <c r="B186" s="1390">
        <f ca="1">'[2]Monthly Curve Calc.'!B189</f>
        <v>406.3570215389708</v>
      </c>
      <c r="C186" s="1391">
        <f ca="1">'[2]Monthly Curve Calc.'!C189</f>
        <v>229.14533940683867</v>
      </c>
      <c r="D186" s="1512">
        <f ca="1">'[2]Monthly Curve Calc.'!F189</f>
        <v>2.6453826649072392</v>
      </c>
      <c r="E186" s="1304">
        <f t="shared" ca="1" si="81"/>
        <v>2.1610649976772978</v>
      </c>
      <c r="F186" s="1473">
        <f ca="1">IF(Assm!$L$75=0,F185,IF(AND($A186&gt;F$16,MONTH($A186)=MONTH(F$16)),B185/B173,F185))</f>
        <v>1.0720000000000005</v>
      </c>
      <c r="G186" s="1474">
        <f ca="1">IF(Assm!$L$75=0,G185,IF(AND($A186&gt;G$16,MONTH($A186)=MONTH(G$16)),C185/C173,G185))</f>
        <v>1.0258405672574831</v>
      </c>
      <c r="H186" s="1474">
        <f ca="1">IF(Assm!$L$75=0,H185,IF(AND($A186&gt;H$16,MONTH($A186)=MONTH(H$16)),C185/C173-H$18,H185))</f>
        <v>1.0233405672574831</v>
      </c>
      <c r="I186" s="1474">
        <f ca="1">IF(Assm!$L$75=0,I185,IF($A186&gt;=I$16,IF(MONTH($A186)=MONTH(I$16),AVERAGE(D174:D185),I185),I185))</f>
        <v>2.5602899799837568</v>
      </c>
      <c r="J186" s="1475">
        <f ca="1">IF(Assm!$L$75=0,J185,IF($A186&gt;=J$16,IF(MONTH($A186)=MONTH(J$16),AVERAGE(E174:E185),J185),J185))</f>
        <v>2.0339571818026716</v>
      </c>
      <c r="K186" s="958">
        <f t="shared" si="72"/>
        <v>174</v>
      </c>
      <c r="L186" s="1476">
        <f t="shared" ca="1" si="73"/>
        <v>1.0258405672574831</v>
      </c>
      <c r="M186" s="1474">
        <f t="shared" si="83"/>
        <v>0</v>
      </c>
      <c r="N186" s="1475">
        <f t="shared" ca="1" si="96"/>
        <v>1.409454688092179</v>
      </c>
      <c r="P186" s="1476">
        <f t="shared" ca="1" si="74"/>
        <v>1.0720000000000005</v>
      </c>
      <c r="Q186" s="1474">
        <f t="shared" si="84"/>
        <v>0</v>
      </c>
      <c r="R186" s="1475">
        <f t="shared" ca="1" si="97"/>
        <v>2.7910346423170522</v>
      </c>
      <c r="T186" s="1476">
        <f t="shared" ca="1" si="75"/>
        <v>1.0258405672574831</v>
      </c>
      <c r="U186" s="1474">
        <f t="shared" si="85"/>
        <v>1.0049999999999999</v>
      </c>
      <c r="V186" s="1475">
        <f t="shared" ca="1" si="98"/>
        <v>1.409454688092179</v>
      </c>
      <c r="X186" s="1476">
        <f t="shared" ca="1" si="76"/>
        <v>1.0233405672574831</v>
      </c>
      <c r="Y186" s="1474">
        <f t="shared" si="86"/>
        <v>1.02</v>
      </c>
      <c r="Z186" s="1475">
        <f t="shared" ca="1" si="99"/>
        <v>1.376475256228453</v>
      </c>
      <c r="AB186" s="1476">
        <f t="shared" ca="1" si="77"/>
        <v>1.0233405672574831</v>
      </c>
      <c r="AC186" s="1474">
        <f t="shared" si="87"/>
        <v>1.02</v>
      </c>
      <c r="AD186" s="1475">
        <f t="shared" ca="1" si="100"/>
        <v>1.376475256228453</v>
      </c>
      <c r="AF186" s="1476">
        <f t="shared" ca="1" si="78"/>
        <v>1.0720000000000005</v>
      </c>
      <c r="AG186" s="1474">
        <f t="shared" si="88"/>
        <v>0</v>
      </c>
      <c r="AH186" s="1475">
        <f t="shared" ca="1" si="101"/>
        <v>2.7910346423170522</v>
      </c>
      <c r="AJ186" s="1476">
        <f t="shared" ca="1" si="79"/>
        <v>1.0233405672574831</v>
      </c>
      <c r="AK186" s="1474">
        <f t="shared" si="89"/>
        <v>1.02</v>
      </c>
      <c r="AL186" s="1475">
        <f t="shared" ca="1" si="102"/>
        <v>1.376475256228453</v>
      </c>
      <c r="AN186" s="1476">
        <f t="shared" ca="1" si="80"/>
        <v>1.0258405672574831</v>
      </c>
      <c r="AO186" s="1474">
        <f t="shared" si="90"/>
        <v>1.0049999999999999</v>
      </c>
      <c r="AP186" s="1475">
        <f t="shared" ca="1" si="103"/>
        <v>1.409454688092179</v>
      </c>
      <c r="AR186" s="701">
        <f t="shared" si="91"/>
        <v>40483</v>
      </c>
      <c r="AS186" s="1478">
        <f ca="1">IF(AND($A186&gt;=EDATE(AS$17,12),IF(Assm!$L$74=0,$D186,$E186)/AS185&gt;=1.05),IF(Assm!$L$74=0,$D186,$E186),AS185)</f>
        <v>2.6402404794886176</v>
      </c>
      <c r="AT186" s="1478">
        <f t="shared" ca="1" si="92"/>
        <v>1.0517837322694288</v>
      </c>
      <c r="AU186" s="1478">
        <f t="shared" ca="1" si="93"/>
        <v>1.0720000000000005</v>
      </c>
      <c r="AV186" s="1478">
        <f t="shared" ca="1" si="94"/>
        <v>1.0720000000000005</v>
      </c>
      <c r="AW186" s="1475">
        <f t="shared" ca="1" si="95"/>
        <v>3.0057179991743976</v>
      </c>
    </row>
    <row r="187" spans="1:49">
      <c r="A187" s="883">
        <f t="shared" si="82"/>
        <v>40513</v>
      </c>
      <c r="B187" s="1390">
        <f ca="1">'[2]Monthly Curve Calc.'!B190</f>
        <v>408.71822211937825</v>
      </c>
      <c r="C187" s="1391">
        <f ca="1">'[2]Monthly Curve Calc.'!C190</f>
        <v>229.62805252877044</v>
      </c>
      <c r="D187" s="1512">
        <f ca="1">'[2]Monthly Curve Calc.'!F190</f>
        <v>2.6505348653495227</v>
      </c>
      <c r="E187" s="1304">
        <f t="shared" ca="1" si="81"/>
        <v>2.1690529167063328</v>
      </c>
      <c r="F187" s="1473">
        <f ca="1">IF(Assm!$L$75=0,F186,IF(AND($A187&gt;F$16,MONTH($A187)=MONTH(F$16)),B186/B174,F186))</f>
        <v>1.0720000000000005</v>
      </c>
      <c r="G187" s="1474">
        <f ca="1">IF(Assm!$L$75=0,G186,IF(AND($A187&gt;G$16,MONTH($A187)=MONTH(G$16)),C186/C174,G186))</f>
        <v>1.0258405672574831</v>
      </c>
      <c r="H187" s="1474">
        <f ca="1">IF(Assm!$L$75=0,H186,IF(AND($A187&gt;H$16,MONTH($A187)=MONTH(H$16)),C186/C174-H$18,H186))</f>
        <v>1.0233405672574831</v>
      </c>
      <c r="I187" s="1474">
        <f ca="1">IF(Assm!$L$75=0,I186,IF($A187&gt;=I$16,IF(MONTH($A187)=MONTH(I$16),AVERAGE(D175:D186),I186),I186))</f>
        <v>2.5602899799837568</v>
      </c>
      <c r="J187" s="1475">
        <f ca="1">IF(Assm!$L$75=0,J186,IF($A187&gt;=J$16,IF(MONTH($A187)=MONTH(J$16),AVERAGE(E175:E186),J186),J186))</f>
        <v>2.0339571818026716</v>
      </c>
      <c r="K187" s="958">
        <f t="shared" si="72"/>
        <v>175</v>
      </c>
      <c r="L187" s="1476">
        <f t="shared" ca="1" si="73"/>
        <v>1.0258405672574831</v>
      </c>
      <c r="M187" s="1474">
        <f t="shared" si="83"/>
        <v>0</v>
      </c>
      <c r="N187" s="1475">
        <f t="shared" ca="1" si="96"/>
        <v>1.409454688092179</v>
      </c>
      <c r="P187" s="1476">
        <f t="shared" ca="1" si="74"/>
        <v>1.0720000000000005</v>
      </c>
      <c r="Q187" s="1474">
        <f t="shared" si="84"/>
        <v>0</v>
      </c>
      <c r="R187" s="1475">
        <f t="shared" ca="1" si="97"/>
        <v>2.7910346423170522</v>
      </c>
      <c r="T187" s="1476">
        <f t="shared" ca="1" si="75"/>
        <v>1.0258405672574831</v>
      </c>
      <c r="U187" s="1474">
        <f t="shared" si="85"/>
        <v>1.0049999999999999</v>
      </c>
      <c r="V187" s="1475">
        <f t="shared" ca="1" si="98"/>
        <v>1.409454688092179</v>
      </c>
      <c r="X187" s="1476">
        <f t="shared" ca="1" si="76"/>
        <v>1.0233405672574831</v>
      </c>
      <c r="Y187" s="1474">
        <f t="shared" si="86"/>
        <v>1.02</v>
      </c>
      <c r="Z187" s="1475">
        <f t="shared" ca="1" si="99"/>
        <v>1.376475256228453</v>
      </c>
      <c r="AB187" s="1476">
        <f t="shared" ca="1" si="77"/>
        <v>1.0233405672574831</v>
      </c>
      <c r="AC187" s="1474">
        <f t="shared" si="87"/>
        <v>1.02</v>
      </c>
      <c r="AD187" s="1475">
        <f t="shared" ca="1" si="100"/>
        <v>1.376475256228453</v>
      </c>
      <c r="AF187" s="1476">
        <f t="shared" ca="1" si="78"/>
        <v>1.0720000000000005</v>
      </c>
      <c r="AG187" s="1474">
        <f t="shared" si="88"/>
        <v>0</v>
      </c>
      <c r="AH187" s="1475">
        <f t="shared" ca="1" si="101"/>
        <v>2.7910346423170522</v>
      </c>
      <c r="AJ187" s="1476">
        <f t="shared" ca="1" si="79"/>
        <v>1.0233405672574831</v>
      </c>
      <c r="AK187" s="1474">
        <f t="shared" si="89"/>
        <v>1.02</v>
      </c>
      <c r="AL187" s="1475">
        <f t="shared" ca="1" si="102"/>
        <v>1.376475256228453</v>
      </c>
      <c r="AN187" s="1476">
        <f t="shared" ca="1" si="80"/>
        <v>1.0258405672574831</v>
      </c>
      <c r="AO187" s="1474">
        <f t="shared" si="90"/>
        <v>1.0049999999999999</v>
      </c>
      <c r="AP187" s="1475">
        <f t="shared" ca="1" si="103"/>
        <v>1.409454688092179</v>
      </c>
      <c r="AR187" s="701">
        <f t="shared" si="91"/>
        <v>40513</v>
      </c>
      <c r="AS187" s="1478">
        <f ca="1">IF(AND($A187&gt;=EDATE(AS$17,12),IF(Assm!$L$74=0,$D187,$E187)/AS186&gt;=1.05),IF(Assm!$L$74=0,$D187,$E187),AS186)</f>
        <v>2.6402404794886176</v>
      </c>
      <c r="AT187" s="1478">
        <f t="shared" ca="1" si="92"/>
        <v>1.0517837322694288</v>
      </c>
      <c r="AU187" s="1478">
        <f t="shared" ca="1" si="93"/>
        <v>1.0720000000000005</v>
      </c>
      <c r="AV187" s="1478">
        <f t="shared" ca="1" si="94"/>
        <v>1.0720000000000005</v>
      </c>
      <c r="AW187" s="1475">
        <f t="shared" ca="1" si="95"/>
        <v>3.0057179991743976</v>
      </c>
    </row>
    <row r="188" spans="1:49">
      <c r="A188" s="883">
        <f t="shared" si="82"/>
        <v>40544</v>
      </c>
      <c r="B188" s="1390">
        <f ca="1">'[2]Monthly Curve Calc.'!B191</f>
        <v>411.09314282244981</v>
      </c>
      <c r="C188" s="1391">
        <f ca="1">'[2]Monthly Curve Calc.'!C191</f>
        <v>230.10632842772247</v>
      </c>
      <c r="D188" s="1512">
        <f ca="1">'[2]Monthly Curve Calc.'!F191</f>
        <v>2.6551333521534075</v>
      </c>
      <c r="E188" s="1304">
        <f t="shared" ca="1" si="81"/>
        <v>2.1771219634135837</v>
      </c>
      <c r="F188" s="1473">
        <f ca="1">IF(Assm!$L$75=0,F187,IF(AND($A188&gt;F$16,MONTH($A188)=MONTH(F$16)),B187/B175,F187))</f>
        <v>1.0720000000000005</v>
      </c>
      <c r="G188" s="1474">
        <f ca="1">IF(Assm!$L$75=0,G187,IF(AND($A188&gt;G$16,MONTH($A188)=MONTH(G$16)),C187/C175,G187))</f>
        <v>1.0258405672574831</v>
      </c>
      <c r="H188" s="1474">
        <f ca="1">IF(Assm!$L$75=0,H187,IF(AND($A188&gt;H$16,MONTH($A188)=MONTH(H$16)),C187/C175-H$18,H187))</f>
        <v>1.0233405672574831</v>
      </c>
      <c r="I188" s="1474">
        <f ca="1">IF(Assm!$L$75=0,I187,IF($A188&gt;=I$16,IF(MONTH($A188)=MONTH(I$16),AVERAGE(D176:D187),I187),I187))</f>
        <v>2.6223805711397459</v>
      </c>
      <c r="J188" s="1475">
        <f ca="1">IF(Assm!$L$75=0,J187,IF($A188&gt;=J$16,IF(MONTH($A188)=MONTH(J$16),AVERAGE(E176:E187),J187),J187))</f>
        <v>2.1256542296814396</v>
      </c>
      <c r="K188" s="958">
        <f t="shared" si="72"/>
        <v>176</v>
      </c>
      <c r="L188" s="1476">
        <f t="shared" ca="1" si="73"/>
        <v>1.0258405672574831</v>
      </c>
      <c r="M188" s="1474">
        <f t="shared" si="83"/>
        <v>0</v>
      </c>
      <c r="N188" s="1475">
        <f t="shared" ca="1" si="96"/>
        <v>1.409454688092179</v>
      </c>
      <c r="P188" s="1476">
        <f t="shared" ca="1" si="74"/>
        <v>1.0720000000000005</v>
      </c>
      <c r="Q188" s="1474">
        <f t="shared" si="84"/>
        <v>0</v>
      </c>
      <c r="R188" s="1475">
        <f t="shared" ca="1" si="97"/>
        <v>2.7910346423170522</v>
      </c>
      <c r="T188" s="1476">
        <f t="shared" ca="1" si="75"/>
        <v>1.0258405672574831</v>
      </c>
      <c r="U188" s="1474">
        <f t="shared" si="85"/>
        <v>1.0049999999999999</v>
      </c>
      <c r="V188" s="1475">
        <f t="shared" ca="1" si="98"/>
        <v>1.409454688092179</v>
      </c>
      <c r="X188" s="1476">
        <f t="shared" ca="1" si="76"/>
        <v>1.0233405672574831</v>
      </c>
      <c r="Y188" s="1474">
        <f t="shared" si="86"/>
        <v>1.02</v>
      </c>
      <c r="Z188" s="1475">
        <f t="shared" ca="1" si="99"/>
        <v>1.376475256228453</v>
      </c>
      <c r="AB188" s="1476">
        <f t="shared" ca="1" si="77"/>
        <v>1.0233405672574831</v>
      </c>
      <c r="AC188" s="1474">
        <f t="shared" si="87"/>
        <v>1.02</v>
      </c>
      <c r="AD188" s="1475">
        <f t="shared" ca="1" si="100"/>
        <v>1.376475256228453</v>
      </c>
      <c r="AF188" s="1476">
        <f t="shared" ca="1" si="78"/>
        <v>1.0720000000000005</v>
      </c>
      <c r="AG188" s="1474">
        <f t="shared" si="88"/>
        <v>0</v>
      </c>
      <c r="AH188" s="1475">
        <f t="shared" ca="1" si="101"/>
        <v>2.7910346423170522</v>
      </c>
      <c r="AJ188" s="1476">
        <f t="shared" ca="1" si="79"/>
        <v>1.0233405672574831</v>
      </c>
      <c r="AK188" s="1474">
        <f t="shared" si="89"/>
        <v>1.02</v>
      </c>
      <c r="AL188" s="1475">
        <f t="shared" ca="1" si="102"/>
        <v>1.376475256228453</v>
      </c>
      <c r="AN188" s="1476">
        <f t="shared" ca="1" si="80"/>
        <v>1.0258405672574831</v>
      </c>
      <c r="AO188" s="1474">
        <f t="shared" si="90"/>
        <v>1.0049999999999999</v>
      </c>
      <c r="AP188" s="1475">
        <f t="shared" ca="1" si="103"/>
        <v>1.409454688092179</v>
      </c>
      <c r="AR188" s="701">
        <f t="shared" si="91"/>
        <v>40544</v>
      </c>
      <c r="AS188" s="1478">
        <f ca="1">IF(AND($A188&gt;=EDATE(AS$17,12),IF(Assm!$L$74=0,$D188,$E188)/AS187&gt;=1.05),IF(Assm!$L$74=0,$D188,$E188),AS187)</f>
        <v>2.6402404794886176</v>
      </c>
      <c r="AT188" s="1478">
        <f t="shared" ca="1" si="92"/>
        <v>1.0517837322694288</v>
      </c>
      <c r="AU188" s="1478">
        <f t="shared" ca="1" si="93"/>
        <v>1.0720000000000005</v>
      </c>
      <c r="AV188" s="1478">
        <f t="shared" ca="1" si="94"/>
        <v>1.0720000000000005</v>
      </c>
      <c r="AW188" s="1475">
        <f t="shared" ca="1" si="95"/>
        <v>3.0057179991743976</v>
      </c>
    </row>
    <row r="189" spans="1:49">
      <c r="A189" s="883">
        <f t="shared" si="82"/>
        <v>40575</v>
      </c>
      <c r="B189" s="1390">
        <f ca="1">'[2]Monthly Curve Calc.'!B192</f>
        <v>413.48186337108888</v>
      </c>
      <c r="C189" s="1391">
        <f ca="1">'[2]Monthly Curve Calc.'!C192</f>
        <v>230.58560049344507</v>
      </c>
      <c r="D189" s="1512">
        <f ca="1">'[2]Monthly Curve Calc.'!F192</f>
        <v>2.6597398170002005</v>
      </c>
      <c r="E189" s="1304">
        <f t="shared" ca="1" si="81"/>
        <v>2.1852210276064672</v>
      </c>
      <c r="F189" s="1473">
        <f ca="1">IF(Assm!$L$75=0,F188,IF(AND($A189&gt;F$16,MONTH($A189)=MONTH(F$16)),B188/B176,F188))</f>
        <v>1.0720000000000005</v>
      </c>
      <c r="G189" s="1474">
        <f ca="1">IF(Assm!$L$75=0,G188,IF(AND($A189&gt;G$16,MONTH($A189)=MONTH(G$16)),C188/C176,G188))</f>
        <v>1.0258405672574831</v>
      </c>
      <c r="H189" s="1474">
        <f ca="1">IF(Assm!$L$75=0,H188,IF(AND($A189&gt;H$16,MONTH($A189)=MONTH(H$16)),C188/C176-H$18,H188))</f>
        <v>1.0233405672574831</v>
      </c>
      <c r="I189" s="1474">
        <f ca="1">IF(Assm!$L$75=0,I188,IF($A189&gt;=I$16,IF(MONTH($A189)=MONTH(I$16),AVERAGE(D177:D188),I188),I188))</f>
        <v>2.6223805711397459</v>
      </c>
      <c r="J189" s="1475">
        <f ca="1">IF(Assm!$L$75=0,J188,IF($A189&gt;=J$16,IF(MONTH($A189)=MONTH(J$16),AVERAGE(E177:E188),J188),J188))</f>
        <v>2.1256542296814396</v>
      </c>
      <c r="K189" s="958">
        <f t="shared" si="72"/>
        <v>177</v>
      </c>
      <c r="L189" s="1476">
        <f t="shared" ca="1" si="73"/>
        <v>1.0258405672574831</v>
      </c>
      <c r="M189" s="1474">
        <f t="shared" si="83"/>
        <v>0</v>
      </c>
      <c r="N189" s="1475">
        <f t="shared" ca="1" si="96"/>
        <v>1.409454688092179</v>
      </c>
      <c r="P189" s="1476">
        <f t="shared" ca="1" si="74"/>
        <v>1.0720000000000005</v>
      </c>
      <c r="Q189" s="1474">
        <f t="shared" si="84"/>
        <v>0</v>
      </c>
      <c r="R189" s="1475">
        <f t="shared" ca="1" si="97"/>
        <v>2.7910346423170522</v>
      </c>
      <c r="T189" s="1476">
        <f t="shared" ca="1" si="75"/>
        <v>1.0258405672574831</v>
      </c>
      <c r="U189" s="1474">
        <f t="shared" si="85"/>
        <v>1.0049999999999999</v>
      </c>
      <c r="V189" s="1475">
        <f t="shared" ca="1" si="98"/>
        <v>1.409454688092179</v>
      </c>
      <c r="X189" s="1476">
        <f t="shared" ca="1" si="76"/>
        <v>1.0233405672574831</v>
      </c>
      <c r="Y189" s="1474">
        <f t="shared" si="86"/>
        <v>1.02</v>
      </c>
      <c r="Z189" s="1475">
        <f t="shared" ca="1" si="99"/>
        <v>1.376475256228453</v>
      </c>
      <c r="AB189" s="1476">
        <f t="shared" ca="1" si="77"/>
        <v>1.0233405672574831</v>
      </c>
      <c r="AC189" s="1474">
        <f t="shared" si="87"/>
        <v>1.02</v>
      </c>
      <c r="AD189" s="1475">
        <f t="shared" ca="1" si="100"/>
        <v>1.376475256228453</v>
      </c>
      <c r="AF189" s="1476">
        <f t="shared" ca="1" si="78"/>
        <v>1.0720000000000005</v>
      </c>
      <c r="AG189" s="1474">
        <f t="shared" si="88"/>
        <v>0</v>
      </c>
      <c r="AH189" s="1475">
        <f t="shared" ca="1" si="101"/>
        <v>2.7910346423170522</v>
      </c>
      <c r="AJ189" s="1476">
        <f t="shared" ca="1" si="79"/>
        <v>1.0233405672574831</v>
      </c>
      <c r="AK189" s="1474">
        <f t="shared" si="89"/>
        <v>1.02</v>
      </c>
      <c r="AL189" s="1475">
        <f t="shared" ca="1" si="102"/>
        <v>1.376475256228453</v>
      </c>
      <c r="AN189" s="1476">
        <f t="shared" ca="1" si="80"/>
        <v>1.0258405672574831</v>
      </c>
      <c r="AO189" s="1474">
        <f t="shared" si="90"/>
        <v>1.0049999999999999</v>
      </c>
      <c r="AP189" s="1475">
        <f t="shared" ca="1" si="103"/>
        <v>1.409454688092179</v>
      </c>
      <c r="AR189" s="701">
        <f t="shared" si="91"/>
        <v>40575</v>
      </c>
      <c r="AS189" s="1478">
        <f ca="1">IF(AND($A189&gt;=EDATE(AS$17,12),IF(Assm!$L$74=0,$D189,$E189)/AS188&gt;=1.05),IF(Assm!$L$74=0,$D189,$E189),AS188)</f>
        <v>2.6402404794886176</v>
      </c>
      <c r="AT189" s="1478">
        <f t="shared" ca="1" si="92"/>
        <v>1.0517837322694288</v>
      </c>
      <c r="AU189" s="1478">
        <f t="shared" ca="1" si="93"/>
        <v>1.0720000000000005</v>
      </c>
      <c r="AV189" s="1478">
        <f t="shared" ca="1" si="94"/>
        <v>1.0720000000000005</v>
      </c>
      <c r="AW189" s="1475">
        <f t="shared" ca="1" si="95"/>
        <v>3.0057179991743976</v>
      </c>
    </row>
    <row r="190" spans="1:49">
      <c r="A190" s="883">
        <f t="shared" si="82"/>
        <v>40603</v>
      </c>
      <c r="B190" s="1390">
        <f ca="1">'[2]Monthly Curve Calc.'!B193</f>
        <v>415.88446395144121</v>
      </c>
      <c r="C190" s="1391">
        <f ca="1">'[2]Monthly Curve Calc.'!C193</f>
        <v>231.06587080078299</v>
      </c>
      <c r="D190" s="1512">
        <f ca="1">'[2]Monthly Curve Calc.'!F193</f>
        <v>2.6643542737312305</v>
      </c>
      <c r="E190" s="1304">
        <f t="shared" ca="1" si="81"/>
        <v>2.193350220952381</v>
      </c>
      <c r="F190" s="1473">
        <f ca="1">IF(Assm!$L$75=0,F189,IF(AND($A190&gt;F$16,MONTH($A190)=MONTH(F$16)),B189/B177,F189))</f>
        <v>1.0720000000000005</v>
      </c>
      <c r="G190" s="1474">
        <f ca="1">IF(Assm!$L$75=0,G189,IF(AND($A190&gt;G$16,MONTH($A190)=MONTH(G$16)),C189/C177,G189))</f>
        <v>1.0258405672574831</v>
      </c>
      <c r="H190" s="1474">
        <f ca="1">IF(Assm!$L$75=0,H189,IF(AND($A190&gt;H$16,MONTH($A190)=MONTH(H$16)),C189/C177-H$18,H189))</f>
        <v>1.0233405672574831</v>
      </c>
      <c r="I190" s="1474">
        <f ca="1">IF(Assm!$L$75=0,I189,IF($A190&gt;=I$16,IF(MONTH($A190)=MONTH(I$16),AVERAGE(D178:D189),I189),I189))</f>
        <v>2.6223805711397459</v>
      </c>
      <c r="J190" s="1475">
        <f ca="1">IF(Assm!$L$75=0,J189,IF($A190&gt;=J$16,IF(MONTH($A190)=MONTH(J$16),AVERAGE(E178:E189),J189),J189))</f>
        <v>2.1256542296814396</v>
      </c>
      <c r="K190" s="958">
        <f t="shared" si="72"/>
        <v>178</v>
      </c>
      <c r="L190" s="1476">
        <f t="shared" ca="1" si="73"/>
        <v>1.0258405672574831</v>
      </c>
      <c r="M190" s="1474">
        <f t="shared" si="83"/>
        <v>0</v>
      </c>
      <c r="N190" s="1475">
        <f t="shared" ca="1" si="96"/>
        <v>1.409454688092179</v>
      </c>
      <c r="P190" s="1476">
        <f t="shared" ca="1" si="74"/>
        <v>1.0720000000000005</v>
      </c>
      <c r="Q190" s="1474">
        <f t="shared" si="84"/>
        <v>0</v>
      </c>
      <c r="R190" s="1475">
        <f t="shared" ca="1" si="97"/>
        <v>2.7910346423170522</v>
      </c>
      <c r="T190" s="1476">
        <f t="shared" ca="1" si="75"/>
        <v>1.0258405672574831</v>
      </c>
      <c r="U190" s="1474">
        <f t="shared" si="85"/>
        <v>1.0049999999999999</v>
      </c>
      <c r="V190" s="1475">
        <f t="shared" ca="1" si="98"/>
        <v>1.409454688092179</v>
      </c>
      <c r="X190" s="1476">
        <f t="shared" ca="1" si="76"/>
        <v>1.0233405672574831</v>
      </c>
      <c r="Y190" s="1474">
        <f t="shared" si="86"/>
        <v>1.02</v>
      </c>
      <c r="Z190" s="1475">
        <f t="shared" ca="1" si="99"/>
        <v>1.376475256228453</v>
      </c>
      <c r="AB190" s="1476">
        <f t="shared" ca="1" si="77"/>
        <v>1.0233405672574831</v>
      </c>
      <c r="AC190" s="1474">
        <f t="shared" si="87"/>
        <v>1.02</v>
      </c>
      <c r="AD190" s="1475">
        <f t="shared" ca="1" si="100"/>
        <v>1.376475256228453</v>
      </c>
      <c r="AF190" s="1476">
        <f t="shared" ca="1" si="78"/>
        <v>1.0720000000000005</v>
      </c>
      <c r="AG190" s="1474">
        <f t="shared" si="88"/>
        <v>0</v>
      </c>
      <c r="AH190" s="1475">
        <f t="shared" ca="1" si="101"/>
        <v>2.7910346423170522</v>
      </c>
      <c r="AJ190" s="1476">
        <f t="shared" ca="1" si="79"/>
        <v>1.0233405672574831</v>
      </c>
      <c r="AK190" s="1474">
        <f t="shared" si="89"/>
        <v>1.02</v>
      </c>
      <c r="AL190" s="1475">
        <f t="shared" ca="1" si="102"/>
        <v>1.376475256228453</v>
      </c>
      <c r="AN190" s="1476">
        <f t="shared" ca="1" si="80"/>
        <v>1.0258405672574831</v>
      </c>
      <c r="AO190" s="1474">
        <f t="shared" si="90"/>
        <v>1.0049999999999999</v>
      </c>
      <c r="AP190" s="1475">
        <f t="shared" ca="1" si="103"/>
        <v>1.409454688092179</v>
      </c>
      <c r="AR190" s="701">
        <f t="shared" si="91"/>
        <v>40603</v>
      </c>
      <c r="AS190" s="1478">
        <f ca="1">IF(AND($A190&gt;=EDATE(AS$17,12),IF(Assm!$L$74=0,$D190,$E190)/AS189&gt;=1.05),IF(Assm!$L$74=0,$D190,$E190),AS189)</f>
        <v>2.6402404794886176</v>
      </c>
      <c r="AT190" s="1478">
        <f t="shared" ca="1" si="92"/>
        <v>1.0517837322694288</v>
      </c>
      <c r="AU190" s="1478">
        <f t="shared" ca="1" si="93"/>
        <v>1.0720000000000005</v>
      </c>
      <c r="AV190" s="1478">
        <f t="shared" ca="1" si="94"/>
        <v>1.0720000000000005</v>
      </c>
      <c r="AW190" s="1475">
        <f t="shared" ca="1" si="95"/>
        <v>3.0057179991743976</v>
      </c>
    </row>
    <row r="191" spans="1:49">
      <c r="A191" s="883">
        <f t="shared" si="82"/>
        <v>40634</v>
      </c>
      <c r="B191" s="1390">
        <f ca="1">'[2]Monthly Curve Calc.'!B194</f>
        <v>418.30102521558666</v>
      </c>
      <c r="C191" s="1391">
        <f ca="1">'[2]Monthly Curve Calc.'!C194</f>
        <v>231.54714142890248</v>
      </c>
      <c r="D191" s="1512">
        <f ca="1">'[2]Monthly Curve Calc.'!F194</f>
        <v>2.6689767362118406</v>
      </c>
      <c r="E191" s="1304">
        <f t="shared" ca="1" si="81"/>
        <v>2.2015096555341334</v>
      </c>
      <c r="F191" s="1473">
        <f ca="1">IF(Assm!$L$75=0,F190,IF(AND($A191&gt;F$16,MONTH($A191)=MONTH(F$16)),B190/B178,F190))</f>
        <v>1.0720000000000005</v>
      </c>
      <c r="G191" s="1474">
        <f ca="1">IF(Assm!$L$75=0,G190,IF(AND($A191&gt;G$16,MONTH($A191)=MONTH(G$16)),C190/C178,G190))</f>
        <v>1.0258405672574831</v>
      </c>
      <c r="H191" s="1474">
        <f ca="1">IF(Assm!$L$75=0,H190,IF(AND($A191&gt;H$16,MONTH($A191)=MONTH(H$16)),C190/C178-H$18,H190))</f>
        <v>1.0233405672574831</v>
      </c>
      <c r="I191" s="1474">
        <f ca="1">IF(Assm!$L$75=0,I190,IF($A191&gt;=I$16,IF(MONTH($A191)=MONTH(I$16),AVERAGE(D179:D190),I190),I190))</f>
        <v>2.6223805711397459</v>
      </c>
      <c r="J191" s="1475">
        <f ca="1">IF(Assm!$L$75=0,J190,IF($A191&gt;=J$16,IF(MONTH($A191)=MONTH(J$16),AVERAGE(E179:E190),J190),J190))</f>
        <v>2.1256542296814396</v>
      </c>
      <c r="K191" s="958">
        <f t="shared" si="72"/>
        <v>179</v>
      </c>
      <c r="L191" s="1476">
        <f t="shared" ca="1" si="73"/>
        <v>1.0258405672574831</v>
      </c>
      <c r="M191" s="1474">
        <f t="shared" si="83"/>
        <v>0</v>
      </c>
      <c r="N191" s="1475">
        <f t="shared" ca="1" si="96"/>
        <v>1.409454688092179</v>
      </c>
      <c r="P191" s="1476">
        <f t="shared" ca="1" si="74"/>
        <v>1.0720000000000005</v>
      </c>
      <c r="Q191" s="1474">
        <f t="shared" si="84"/>
        <v>0</v>
      </c>
      <c r="R191" s="1475">
        <f t="shared" ca="1" si="97"/>
        <v>2.7910346423170522</v>
      </c>
      <c r="T191" s="1476">
        <f t="shared" ca="1" si="75"/>
        <v>1.0258405672574831</v>
      </c>
      <c r="U191" s="1474">
        <f t="shared" si="85"/>
        <v>1.0049999999999999</v>
      </c>
      <c r="V191" s="1475">
        <f t="shared" ca="1" si="98"/>
        <v>1.409454688092179</v>
      </c>
      <c r="X191" s="1476">
        <f t="shared" ca="1" si="76"/>
        <v>1.0233405672574831</v>
      </c>
      <c r="Y191" s="1474">
        <f t="shared" si="86"/>
        <v>1.02</v>
      </c>
      <c r="Z191" s="1475">
        <f t="shared" ca="1" si="99"/>
        <v>1.376475256228453</v>
      </c>
      <c r="AB191" s="1476">
        <f t="shared" ca="1" si="77"/>
        <v>1.0233405672574831</v>
      </c>
      <c r="AC191" s="1474">
        <f t="shared" si="87"/>
        <v>1.02</v>
      </c>
      <c r="AD191" s="1475">
        <f t="shared" ca="1" si="100"/>
        <v>1.376475256228453</v>
      </c>
      <c r="AF191" s="1476">
        <f t="shared" ca="1" si="78"/>
        <v>1.0720000000000005</v>
      </c>
      <c r="AG191" s="1474">
        <f t="shared" si="88"/>
        <v>0</v>
      </c>
      <c r="AH191" s="1475">
        <f t="shared" ca="1" si="101"/>
        <v>2.7910346423170522</v>
      </c>
      <c r="AJ191" s="1476">
        <f t="shared" ca="1" si="79"/>
        <v>1.0233405672574831</v>
      </c>
      <c r="AK191" s="1474">
        <f t="shared" si="89"/>
        <v>1.02</v>
      </c>
      <c r="AL191" s="1475">
        <f t="shared" ca="1" si="102"/>
        <v>1.376475256228453</v>
      </c>
      <c r="AN191" s="1476">
        <f t="shared" ca="1" si="80"/>
        <v>1.0258405672574831</v>
      </c>
      <c r="AO191" s="1474">
        <f t="shared" si="90"/>
        <v>1.0049999999999999</v>
      </c>
      <c r="AP191" s="1475">
        <f t="shared" ca="1" si="103"/>
        <v>1.409454688092179</v>
      </c>
      <c r="AR191" s="701">
        <f t="shared" si="91"/>
        <v>40634</v>
      </c>
      <c r="AS191" s="1478">
        <f ca="1">IF(AND($A191&gt;=EDATE(AS$17,12),IF(Assm!$L$74=0,$D191,$E191)/AS190&gt;=1.05),IF(Assm!$L$74=0,$D191,$E191),AS190)</f>
        <v>2.6402404794886176</v>
      </c>
      <c r="AT191" s="1478">
        <f t="shared" ca="1" si="92"/>
        <v>1.0517837322694288</v>
      </c>
      <c r="AU191" s="1478">
        <f t="shared" ca="1" si="93"/>
        <v>1.0720000000000005</v>
      </c>
      <c r="AV191" s="1478">
        <f t="shared" ca="1" si="94"/>
        <v>1.0720000000000005</v>
      </c>
      <c r="AW191" s="1475">
        <f t="shared" ca="1" si="95"/>
        <v>3.0057179991743976</v>
      </c>
    </row>
    <row r="192" spans="1:49">
      <c r="A192" s="883">
        <f t="shared" si="82"/>
        <v>40664</v>
      </c>
      <c r="B192" s="1390">
        <f ca="1">'[2]Monthly Curve Calc.'!B195</f>
        <v>420.73162828424648</v>
      </c>
      <c r="C192" s="1391">
        <f ca="1">'[2]Monthly Curve Calc.'!C195</f>
        <v>232.02941446130041</v>
      </c>
      <c r="D192" s="1512">
        <f ca="1">'[2]Monthly Curve Calc.'!F195</f>
        <v>2.6736072183314286</v>
      </c>
      <c r="E192" s="1304">
        <f t="shared" ca="1" si="81"/>
        <v>2.2096994438514894</v>
      </c>
      <c r="F192" s="1473">
        <f ca="1">IF(Assm!$L$75=0,F191,IF(AND($A192&gt;F$16,MONTH($A192)=MONTH(F$16)),B191/B179,F191))</f>
        <v>1.0720000000000005</v>
      </c>
      <c r="G192" s="1474">
        <f ca="1">IF(Assm!$L$75=0,G191,IF(AND($A192&gt;G$16,MONTH($A192)=MONTH(G$16)),C191/C179,G191))</f>
        <v>1.0254766914317999</v>
      </c>
      <c r="H192" s="1474">
        <f ca="1">IF(Assm!$L$75=0,H191,IF(AND($A192&gt;H$16,MONTH($A192)=MONTH(H$16)),C191/C179-H$18,H191))</f>
        <v>1.0229766914317999</v>
      </c>
      <c r="I192" s="1474">
        <f ca="1">IF(Assm!$L$75=0,I191,IF($A192&gt;=I$16,IF(MONTH($A192)=MONTH(I$16),AVERAGE(D180:D191),I191),I191))</f>
        <v>2.6223805711397459</v>
      </c>
      <c r="J192" s="1475">
        <f ca="1">IF(Assm!$L$75=0,J191,IF($A192&gt;=J$16,IF(MONTH($A192)=MONTH(J$16),AVERAGE(E180:E191),J191),J191))</f>
        <v>2.1256542296814396</v>
      </c>
      <c r="K192" s="958">
        <f t="shared" si="72"/>
        <v>180</v>
      </c>
      <c r="L192" s="1476">
        <f t="shared" ca="1" si="73"/>
        <v>1.0254766914317999</v>
      </c>
      <c r="M192" s="1474">
        <f t="shared" si="83"/>
        <v>0</v>
      </c>
      <c r="N192" s="1475">
        <f t="shared" ca="1" si="96"/>
        <v>1.4453629302678073</v>
      </c>
      <c r="P192" s="1476">
        <f t="shared" ca="1" si="74"/>
        <v>1.0720000000000005</v>
      </c>
      <c r="Q192" s="1474">
        <f t="shared" si="84"/>
        <v>0</v>
      </c>
      <c r="R192" s="1475">
        <f t="shared" ca="1" si="97"/>
        <v>2.9919891365638813</v>
      </c>
      <c r="T192" s="1476">
        <f t="shared" ca="1" si="75"/>
        <v>1.0254766914317999</v>
      </c>
      <c r="U192" s="1474">
        <f t="shared" si="85"/>
        <v>1.0049999999999999</v>
      </c>
      <c r="V192" s="1475">
        <f t="shared" ca="1" si="98"/>
        <v>1.4453629302678073</v>
      </c>
      <c r="X192" s="1476">
        <f t="shared" ca="1" si="76"/>
        <v>1.0229766914317999</v>
      </c>
      <c r="Y192" s="1474">
        <f t="shared" si="86"/>
        <v>1.02</v>
      </c>
      <c r="Z192" s="1475">
        <f t="shared" ca="1" si="99"/>
        <v>1.408102103454322</v>
      </c>
      <c r="AB192" s="1476">
        <f t="shared" ca="1" si="77"/>
        <v>1.0229766914317999</v>
      </c>
      <c r="AC192" s="1474">
        <f t="shared" si="87"/>
        <v>1.02</v>
      </c>
      <c r="AD192" s="1475">
        <f t="shared" ca="1" si="100"/>
        <v>1.408102103454322</v>
      </c>
      <c r="AF192" s="1476">
        <f t="shared" ca="1" si="78"/>
        <v>1.0720000000000005</v>
      </c>
      <c r="AG192" s="1474">
        <f t="shared" si="88"/>
        <v>0</v>
      </c>
      <c r="AH192" s="1475">
        <f t="shared" ca="1" si="101"/>
        <v>2.9919891365638813</v>
      </c>
      <c r="AJ192" s="1476">
        <f t="shared" ca="1" si="79"/>
        <v>1.0229766914317999</v>
      </c>
      <c r="AK192" s="1474">
        <f t="shared" si="89"/>
        <v>1.02</v>
      </c>
      <c r="AL192" s="1475">
        <f t="shared" ca="1" si="102"/>
        <v>1.408102103454322</v>
      </c>
      <c r="AN192" s="1476">
        <f t="shared" ca="1" si="80"/>
        <v>1.0254766914317999</v>
      </c>
      <c r="AO192" s="1474">
        <f t="shared" si="90"/>
        <v>1.0049999999999999</v>
      </c>
      <c r="AP192" s="1475">
        <f t="shared" ca="1" si="103"/>
        <v>1.4453629302678073</v>
      </c>
      <c r="AR192" s="701">
        <f t="shared" si="91"/>
        <v>40664</v>
      </c>
      <c r="AS192" s="1478">
        <f ca="1">IF(AND($A192&gt;=EDATE(AS$17,12),IF(Assm!$L$74=0,$D192,$E192)/AS191&gt;=1.05),IF(Assm!$L$74=0,$D192,$E192),AS191)</f>
        <v>2.6402404794886176</v>
      </c>
      <c r="AT192" s="1478">
        <f t="shared" ca="1" si="92"/>
        <v>1.0517837322694288</v>
      </c>
      <c r="AU192" s="1478">
        <f t="shared" ca="1" si="93"/>
        <v>1.0720000000000005</v>
      </c>
      <c r="AV192" s="1478">
        <f t="shared" ca="1" si="94"/>
        <v>1.0720000000000005</v>
      </c>
      <c r="AW192" s="1475">
        <f t="shared" ca="1" si="95"/>
        <v>3.0057179991743976</v>
      </c>
    </row>
    <row r="193" spans="1:49">
      <c r="A193" s="883">
        <f t="shared" si="82"/>
        <v>40695</v>
      </c>
      <c r="B193" s="1390">
        <f ca="1">'[2]Monthly Curve Calc.'!B196</f>
        <v>423.17635474950646</v>
      </c>
      <c r="C193" s="1391">
        <f ca="1">'[2]Monthly Curve Calc.'!C196</f>
        <v>232.51269198581318</v>
      </c>
      <c r="D193" s="1512">
        <f ca="1">'[2]Monthly Curve Calc.'!F196</f>
        <v>2.6782457340034895</v>
      </c>
      <c r="E193" s="1304">
        <f t="shared" ca="1" si="81"/>
        <v>2.217919698822723</v>
      </c>
      <c r="F193" s="1473">
        <f ca="1">IF(Assm!$L$75=0,F192,IF(AND($A193&gt;F$16,MONTH($A193)=MONTH(F$16)),B192/B180,F192))</f>
        <v>1.0720000000000005</v>
      </c>
      <c r="G193" s="1474">
        <f ca="1">IF(Assm!$L$75=0,G192,IF(AND($A193&gt;G$16,MONTH($A193)=MONTH(G$16)),C192/C180,G192))</f>
        <v>1.0254766914317999</v>
      </c>
      <c r="H193" s="1474">
        <f ca="1">IF(Assm!$L$75=0,H192,IF(AND($A193&gt;H$16,MONTH($A193)=MONTH(H$16)),C192/C180-H$18,H192))</f>
        <v>1.0229766914317999</v>
      </c>
      <c r="I193" s="1474">
        <f ca="1">IF(Assm!$L$75=0,I192,IF($A193&gt;=I$16,IF(MONTH($A193)=MONTH(I$16),AVERAGE(D181:D192),I192),I192))</f>
        <v>2.6223805711397459</v>
      </c>
      <c r="J193" s="1475">
        <f ca="1">IF(Assm!$L$75=0,J192,IF($A193&gt;=J$16,IF(MONTH($A193)=MONTH(J$16),AVERAGE(E181:E192),J192),J192))</f>
        <v>2.1256542296814396</v>
      </c>
      <c r="K193" s="958">
        <f t="shared" si="72"/>
        <v>181</v>
      </c>
      <c r="L193" s="1476">
        <f t="shared" ca="1" si="73"/>
        <v>1.0254766914317999</v>
      </c>
      <c r="M193" s="1474">
        <f t="shared" si="83"/>
        <v>0</v>
      </c>
      <c r="N193" s="1475">
        <f t="shared" ca="1" si="96"/>
        <v>1.4453629302678073</v>
      </c>
      <c r="P193" s="1476">
        <f t="shared" ca="1" si="74"/>
        <v>1.0720000000000005</v>
      </c>
      <c r="Q193" s="1474">
        <f t="shared" si="84"/>
        <v>0</v>
      </c>
      <c r="R193" s="1475">
        <f t="shared" ca="1" si="97"/>
        <v>2.9919891365638813</v>
      </c>
      <c r="T193" s="1476">
        <f t="shared" ca="1" si="75"/>
        <v>1.0254766914317999</v>
      </c>
      <c r="U193" s="1474">
        <f t="shared" si="85"/>
        <v>1.0049999999999999</v>
      </c>
      <c r="V193" s="1475">
        <f t="shared" ca="1" si="98"/>
        <v>1.4453629302678073</v>
      </c>
      <c r="X193" s="1476">
        <f t="shared" ca="1" si="76"/>
        <v>1.0229766914317999</v>
      </c>
      <c r="Y193" s="1474">
        <f t="shared" si="86"/>
        <v>1.02</v>
      </c>
      <c r="Z193" s="1475">
        <f t="shared" ca="1" si="99"/>
        <v>1.408102103454322</v>
      </c>
      <c r="AB193" s="1476">
        <f t="shared" ca="1" si="77"/>
        <v>1.0229766914317999</v>
      </c>
      <c r="AC193" s="1474">
        <f t="shared" si="87"/>
        <v>1.02</v>
      </c>
      <c r="AD193" s="1475">
        <f t="shared" ca="1" si="100"/>
        <v>1.408102103454322</v>
      </c>
      <c r="AF193" s="1476">
        <f t="shared" ca="1" si="78"/>
        <v>1.0720000000000005</v>
      </c>
      <c r="AG193" s="1474">
        <f t="shared" si="88"/>
        <v>0</v>
      </c>
      <c r="AH193" s="1475">
        <f t="shared" ca="1" si="101"/>
        <v>2.9919891365638813</v>
      </c>
      <c r="AJ193" s="1476">
        <f t="shared" ca="1" si="79"/>
        <v>1.0229766914317999</v>
      </c>
      <c r="AK193" s="1474">
        <f t="shared" si="89"/>
        <v>1.02</v>
      </c>
      <c r="AL193" s="1475">
        <f t="shared" ca="1" si="102"/>
        <v>1.408102103454322</v>
      </c>
      <c r="AN193" s="1476">
        <f t="shared" ca="1" si="80"/>
        <v>1.0254766914317999</v>
      </c>
      <c r="AO193" s="1474">
        <f t="shared" si="90"/>
        <v>1.0049999999999999</v>
      </c>
      <c r="AP193" s="1475">
        <f t="shared" ca="1" si="103"/>
        <v>1.4453629302678073</v>
      </c>
      <c r="AR193" s="701">
        <f t="shared" si="91"/>
        <v>40695</v>
      </c>
      <c r="AS193" s="1478">
        <f ca="1">IF(AND($A193&gt;=EDATE(AS$17,12),IF(Assm!$L$74=0,$D193,$E193)/AS192&gt;=1.05),IF(Assm!$L$74=0,$D193,$E193),AS192)</f>
        <v>2.6402404794886176</v>
      </c>
      <c r="AT193" s="1478">
        <f t="shared" ca="1" si="92"/>
        <v>1.0517837322694288</v>
      </c>
      <c r="AU193" s="1478">
        <f t="shared" ca="1" si="93"/>
        <v>1.0720000000000005</v>
      </c>
      <c r="AV193" s="1478">
        <f t="shared" ca="1" si="94"/>
        <v>1.0720000000000005</v>
      </c>
      <c r="AW193" s="1475">
        <f t="shared" ca="1" si="95"/>
        <v>3.0057179991743976</v>
      </c>
    </row>
    <row r="194" spans="1:49">
      <c r="A194" s="883">
        <f t="shared" si="82"/>
        <v>40725</v>
      </c>
      <c r="B194" s="1390">
        <f ca="1">'[2]Monthly Curve Calc.'!B197</f>
        <v>425.63528667755588</v>
      </c>
      <c r="C194" s="1391">
        <f ca="1">'[2]Monthly Curve Calc.'!C197</f>
        <v>232.99697609462581</v>
      </c>
      <c r="D194" s="1512">
        <f ca="1">'[2]Monthly Curve Calc.'!F197</f>
        <v>2.6828922971656577</v>
      </c>
      <c r="E194" s="1304">
        <f t="shared" ca="1" si="81"/>
        <v>2.2261705337861724</v>
      </c>
      <c r="F194" s="1473">
        <f ca="1">IF(Assm!$L$75=0,F193,IF(AND($A194&gt;F$16,MONTH($A194)=MONTH(F$16)),B193/B181,F193))</f>
        <v>1.0720000000000005</v>
      </c>
      <c r="G194" s="1474">
        <f ca="1">IF(Assm!$L$75=0,G193,IF(AND($A194&gt;G$16,MONTH($A194)=MONTH(G$16)),C193/C181,G193))</f>
        <v>1.0254766914317999</v>
      </c>
      <c r="H194" s="1474">
        <f ca="1">IF(Assm!$L$75=0,H193,IF(AND($A194&gt;H$16,MONTH($A194)=MONTH(H$16)),C193/C181-H$18,H193))</f>
        <v>1.0229766914317999</v>
      </c>
      <c r="I194" s="1474">
        <f ca="1">IF(Assm!$L$75=0,I193,IF($A194&gt;=I$16,IF(MONTH($A194)=MONTH(I$16),AVERAGE(D182:D193),I193),I193))</f>
        <v>2.6223805711397459</v>
      </c>
      <c r="J194" s="1475">
        <f ca="1">IF(Assm!$L$75=0,J193,IF($A194&gt;=J$16,IF(MONTH($A194)=MONTH(J$16),AVERAGE(E182:E193),J193),J193))</f>
        <v>2.1256542296814396</v>
      </c>
      <c r="K194" s="958">
        <f t="shared" si="72"/>
        <v>182</v>
      </c>
      <c r="L194" s="1476">
        <f t="shared" ca="1" si="73"/>
        <v>1.0254766914317999</v>
      </c>
      <c r="M194" s="1474">
        <f t="shared" si="83"/>
        <v>0</v>
      </c>
      <c r="N194" s="1475">
        <f t="shared" ca="1" si="96"/>
        <v>1.4453629302678073</v>
      </c>
      <c r="P194" s="1476">
        <f t="shared" ca="1" si="74"/>
        <v>1.0720000000000005</v>
      </c>
      <c r="Q194" s="1474">
        <f t="shared" si="84"/>
        <v>0</v>
      </c>
      <c r="R194" s="1475">
        <f t="shared" ca="1" si="97"/>
        <v>2.9919891365638813</v>
      </c>
      <c r="T194" s="1476">
        <f t="shared" ca="1" si="75"/>
        <v>1.0254766914317999</v>
      </c>
      <c r="U194" s="1474">
        <f t="shared" si="85"/>
        <v>1.0049999999999999</v>
      </c>
      <c r="V194" s="1475">
        <f t="shared" ca="1" si="98"/>
        <v>1.4453629302678073</v>
      </c>
      <c r="X194" s="1476">
        <f t="shared" ca="1" si="76"/>
        <v>1.0229766914317999</v>
      </c>
      <c r="Y194" s="1474">
        <f t="shared" si="86"/>
        <v>1.02</v>
      </c>
      <c r="Z194" s="1475">
        <f t="shared" ca="1" si="99"/>
        <v>1.408102103454322</v>
      </c>
      <c r="AB194" s="1476">
        <f t="shared" ca="1" si="77"/>
        <v>1.0229766914317999</v>
      </c>
      <c r="AC194" s="1474">
        <f t="shared" si="87"/>
        <v>1.02</v>
      </c>
      <c r="AD194" s="1475">
        <f t="shared" ca="1" si="100"/>
        <v>1.408102103454322</v>
      </c>
      <c r="AF194" s="1476">
        <f t="shared" ca="1" si="78"/>
        <v>1.0720000000000005</v>
      </c>
      <c r="AG194" s="1474">
        <f t="shared" si="88"/>
        <v>0</v>
      </c>
      <c r="AH194" s="1475">
        <f t="shared" ca="1" si="101"/>
        <v>2.9919891365638813</v>
      </c>
      <c r="AJ194" s="1476">
        <f t="shared" ca="1" si="79"/>
        <v>1.0229766914317999</v>
      </c>
      <c r="AK194" s="1474">
        <f t="shared" si="89"/>
        <v>1.02</v>
      </c>
      <c r="AL194" s="1475">
        <f t="shared" ca="1" si="102"/>
        <v>1.408102103454322</v>
      </c>
      <c r="AN194" s="1476">
        <f t="shared" ca="1" si="80"/>
        <v>1.0254766914317999</v>
      </c>
      <c r="AO194" s="1474">
        <f t="shared" si="90"/>
        <v>1.0049999999999999</v>
      </c>
      <c r="AP194" s="1475">
        <f t="shared" ca="1" si="103"/>
        <v>1.4453629302678073</v>
      </c>
      <c r="AR194" s="701">
        <f t="shared" si="91"/>
        <v>40725</v>
      </c>
      <c r="AS194" s="1478">
        <f ca="1">IF(AND($A194&gt;=EDATE(AS$17,12),IF(Assm!$L$74=0,$D194,$E194)/AS193&gt;=1.05),IF(Assm!$L$74=0,$D194,$E194),AS193)</f>
        <v>2.6402404794886176</v>
      </c>
      <c r="AT194" s="1478">
        <f t="shared" ca="1" si="92"/>
        <v>1.0517837322694288</v>
      </c>
      <c r="AU194" s="1478">
        <f t="shared" ca="1" si="93"/>
        <v>1.0720000000000005</v>
      </c>
      <c r="AV194" s="1478">
        <f t="shared" ca="1" si="94"/>
        <v>1.0720000000000005</v>
      </c>
      <c r="AW194" s="1475">
        <f t="shared" ca="1" si="95"/>
        <v>3.0057179991743976</v>
      </c>
    </row>
    <row r="195" spans="1:49">
      <c r="A195" s="883">
        <f t="shared" si="82"/>
        <v>40756</v>
      </c>
      <c r="B195" s="1390">
        <f ca="1">'[2]Monthly Curve Calc.'!B198</f>
        <v>428.10850661144241</v>
      </c>
      <c r="C195" s="1391">
        <f ca="1">'[2]Monthly Curve Calc.'!C198</f>
        <v>233.48226888428096</v>
      </c>
      <c r="D195" s="1512">
        <f ca="1">'[2]Monthly Curve Calc.'!F198</f>
        <v>2.6875469217797479</v>
      </c>
      <c r="E195" s="1304">
        <f t="shared" ca="1" si="81"/>
        <v>2.2344520625018034</v>
      </c>
      <c r="F195" s="1473">
        <f ca="1">IF(Assm!$L$75=0,F194,IF(AND($A195&gt;F$16,MONTH($A195)=MONTH(F$16)),B194/B182,F194))</f>
        <v>1.0720000000000005</v>
      </c>
      <c r="G195" s="1474">
        <f ca="1">IF(Assm!$L$75=0,G194,IF(AND($A195&gt;G$16,MONTH($A195)=MONTH(G$16)),C194/C182,G194))</f>
        <v>1.0254766914317999</v>
      </c>
      <c r="H195" s="1474">
        <f ca="1">IF(Assm!$L$75=0,H194,IF(AND($A195&gt;H$16,MONTH($A195)=MONTH(H$16)),C194/C182-H$18,H194))</f>
        <v>1.0229766914317999</v>
      </c>
      <c r="I195" s="1474">
        <f ca="1">IF(Assm!$L$75=0,I194,IF($A195&gt;=I$16,IF(MONTH($A195)=MONTH(I$16),AVERAGE(D183:D194),I194),I194))</f>
        <v>2.6223805711397459</v>
      </c>
      <c r="J195" s="1475">
        <f ca="1">IF(Assm!$L$75=0,J194,IF($A195&gt;=J$16,IF(MONTH($A195)=MONTH(J$16),AVERAGE(E183:E194),J194),J194))</f>
        <v>2.1256542296814396</v>
      </c>
      <c r="K195" s="958">
        <f t="shared" si="72"/>
        <v>183</v>
      </c>
      <c r="L195" s="1476">
        <f t="shared" ca="1" si="73"/>
        <v>1.0254766914317999</v>
      </c>
      <c r="M195" s="1474">
        <f t="shared" si="83"/>
        <v>0</v>
      </c>
      <c r="N195" s="1475">
        <f t="shared" ca="1" si="96"/>
        <v>1.4453629302678073</v>
      </c>
      <c r="P195" s="1476">
        <f t="shared" ca="1" si="74"/>
        <v>1.0720000000000005</v>
      </c>
      <c r="Q195" s="1474">
        <f t="shared" si="84"/>
        <v>0</v>
      </c>
      <c r="R195" s="1475">
        <f t="shared" ca="1" si="97"/>
        <v>2.9919891365638813</v>
      </c>
      <c r="T195" s="1476">
        <f t="shared" ca="1" si="75"/>
        <v>1.0254766914317999</v>
      </c>
      <c r="U195" s="1474">
        <f t="shared" si="85"/>
        <v>1.0049999999999999</v>
      </c>
      <c r="V195" s="1475">
        <f t="shared" ca="1" si="98"/>
        <v>1.4453629302678073</v>
      </c>
      <c r="X195" s="1476">
        <f t="shared" ca="1" si="76"/>
        <v>1.0229766914317999</v>
      </c>
      <c r="Y195" s="1474">
        <f t="shared" si="86"/>
        <v>1.02</v>
      </c>
      <c r="Z195" s="1475">
        <f t="shared" ca="1" si="99"/>
        <v>1.408102103454322</v>
      </c>
      <c r="AB195" s="1476">
        <f t="shared" ca="1" si="77"/>
        <v>1.0229766914317999</v>
      </c>
      <c r="AC195" s="1474">
        <f t="shared" si="87"/>
        <v>1.02</v>
      </c>
      <c r="AD195" s="1475">
        <f t="shared" ca="1" si="100"/>
        <v>1.408102103454322</v>
      </c>
      <c r="AF195" s="1476">
        <f t="shared" ca="1" si="78"/>
        <v>1.0720000000000005</v>
      </c>
      <c r="AG195" s="1474">
        <f t="shared" si="88"/>
        <v>0</v>
      </c>
      <c r="AH195" s="1475">
        <f t="shared" ca="1" si="101"/>
        <v>2.9919891365638813</v>
      </c>
      <c r="AJ195" s="1476">
        <f t="shared" ca="1" si="79"/>
        <v>1.0229766914317999</v>
      </c>
      <c r="AK195" s="1474">
        <f t="shared" si="89"/>
        <v>1.02</v>
      </c>
      <c r="AL195" s="1475">
        <f t="shared" ca="1" si="102"/>
        <v>1.408102103454322</v>
      </c>
      <c r="AN195" s="1476">
        <f t="shared" ca="1" si="80"/>
        <v>1.0254766914317999</v>
      </c>
      <c r="AO195" s="1474">
        <f t="shared" si="90"/>
        <v>1.0049999999999999</v>
      </c>
      <c r="AP195" s="1475">
        <f t="shared" ca="1" si="103"/>
        <v>1.4453629302678073</v>
      </c>
      <c r="AR195" s="701">
        <f t="shared" si="91"/>
        <v>40756</v>
      </c>
      <c r="AS195" s="1478">
        <f ca="1">IF(AND($A195&gt;=EDATE(AS$17,12),IF(Assm!$L$74=0,$D195,$E195)/AS194&gt;=1.05),IF(Assm!$L$74=0,$D195,$E195),AS194)</f>
        <v>2.6402404794886176</v>
      </c>
      <c r="AT195" s="1478">
        <f t="shared" ca="1" si="92"/>
        <v>1.0517837322694288</v>
      </c>
      <c r="AU195" s="1478">
        <f t="shared" ca="1" si="93"/>
        <v>1.0720000000000005</v>
      </c>
      <c r="AV195" s="1478">
        <f t="shared" ca="1" si="94"/>
        <v>1.0720000000000005</v>
      </c>
      <c r="AW195" s="1475">
        <f t="shared" ca="1" si="95"/>
        <v>3.0057179991743976</v>
      </c>
    </row>
    <row r="196" spans="1:49">
      <c r="A196" s="883">
        <f t="shared" si="82"/>
        <v>40787</v>
      </c>
      <c r="B196" s="1390">
        <f ca="1">'[2]Monthly Curve Calc.'!B199</f>
        <v>430.59609757384288</v>
      </c>
      <c r="C196" s="1391">
        <f ca="1">'[2]Monthly Curve Calc.'!C199</f>
        <v>233.96857245568802</v>
      </c>
      <c r="D196" s="1512">
        <f ca="1">'[2]Monthly Curve Calc.'!F199</f>
        <v>2.6922096218317977</v>
      </c>
      <c r="E196" s="1304">
        <f t="shared" ca="1" si="81"/>
        <v>2.2427643991527777</v>
      </c>
      <c r="F196" s="1473">
        <f ca="1">IF(Assm!$L$75=0,F195,IF(AND($A196&gt;F$16,MONTH($A196)=MONTH(F$16)),B195/B183,F195))</f>
        <v>1.0720000000000005</v>
      </c>
      <c r="G196" s="1474">
        <f ca="1">IF(Assm!$L$75=0,G195,IF(AND($A196&gt;G$16,MONTH($A196)=MONTH(G$16)),C195/C183,G195))</f>
        <v>1.0254766914317999</v>
      </c>
      <c r="H196" s="1474">
        <f ca="1">IF(Assm!$L$75=0,H195,IF(AND($A196&gt;H$16,MONTH($A196)=MONTH(H$16)),C195/C183-H$18,H195))</f>
        <v>1.0229766914317999</v>
      </c>
      <c r="I196" s="1474">
        <f ca="1">IF(Assm!$L$75=0,I195,IF($A196&gt;=I$16,IF(MONTH($A196)=MONTH(I$16),AVERAGE(D184:D195),I195),I195))</f>
        <v>2.6223805711397459</v>
      </c>
      <c r="J196" s="1475">
        <f ca="1">IF(Assm!$L$75=0,J195,IF($A196&gt;=J$16,IF(MONTH($A196)=MONTH(J$16),AVERAGE(E184:E195),J195),J195))</f>
        <v>2.1256542296814396</v>
      </c>
      <c r="K196" s="958">
        <f t="shared" si="72"/>
        <v>184</v>
      </c>
      <c r="L196" s="1476">
        <f t="shared" ca="1" si="73"/>
        <v>1.0254766914317999</v>
      </c>
      <c r="M196" s="1474">
        <f t="shared" si="83"/>
        <v>0</v>
      </c>
      <c r="N196" s="1475">
        <f t="shared" ca="1" si="96"/>
        <v>1.4453629302678073</v>
      </c>
      <c r="P196" s="1476">
        <f t="shared" ca="1" si="74"/>
        <v>1.0720000000000005</v>
      </c>
      <c r="Q196" s="1474">
        <f t="shared" si="84"/>
        <v>0</v>
      </c>
      <c r="R196" s="1475">
        <f t="shared" ca="1" si="97"/>
        <v>2.9919891365638813</v>
      </c>
      <c r="T196" s="1476">
        <f t="shared" ca="1" si="75"/>
        <v>1.0254766914317999</v>
      </c>
      <c r="U196" s="1474">
        <f t="shared" si="85"/>
        <v>1.0049999999999999</v>
      </c>
      <c r="V196" s="1475">
        <f t="shared" ca="1" si="98"/>
        <v>1.4453629302678073</v>
      </c>
      <c r="X196" s="1476">
        <f t="shared" ca="1" si="76"/>
        <v>1.0229766914317999</v>
      </c>
      <c r="Y196" s="1474">
        <f t="shared" si="86"/>
        <v>1.02</v>
      </c>
      <c r="Z196" s="1475">
        <f t="shared" ca="1" si="99"/>
        <v>1.408102103454322</v>
      </c>
      <c r="AB196" s="1476">
        <f t="shared" ca="1" si="77"/>
        <v>1.0229766914317999</v>
      </c>
      <c r="AC196" s="1474">
        <f t="shared" si="87"/>
        <v>1.02</v>
      </c>
      <c r="AD196" s="1475">
        <f t="shared" ca="1" si="100"/>
        <v>1.408102103454322</v>
      </c>
      <c r="AF196" s="1476">
        <f t="shared" ca="1" si="78"/>
        <v>1.0720000000000005</v>
      </c>
      <c r="AG196" s="1474">
        <f t="shared" si="88"/>
        <v>0</v>
      </c>
      <c r="AH196" s="1475">
        <f t="shared" ca="1" si="101"/>
        <v>2.9919891365638813</v>
      </c>
      <c r="AJ196" s="1476">
        <f t="shared" ca="1" si="79"/>
        <v>1.0229766914317999</v>
      </c>
      <c r="AK196" s="1474">
        <f t="shared" si="89"/>
        <v>1.02</v>
      </c>
      <c r="AL196" s="1475">
        <f t="shared" ca="1" si="102"/>
        <v>1.408102103454322</v>
      </c>
      <c r="AN196" s="1476">
        <f t="shared" ca="1" si="80"/>
        <v>1.0254766914317999</v>
      </c>
      <c r="AO196" s="1474">
        <f t="shared" si="90"/>
        <v>1.0049999999999999</v>
      </c>
      <c r="AP196" s="1475">
        <f t="shared" ca="1" si="103"/>
        <v>1.4453629302678073</v>
      </c>
      <c r="AR196" s="701">
        <f t="shared" si="91"/>
        <v>40787</v>
      </c>
      <c r="AS196" s="1478">
        <f ca="1">IF(AND($A196&gt;=EDATE(AS$17,12),IF(Assm!$L$74=0,$D196,$E196)/AS195&gt;=1.05),IF(Assm!$L$74=0,$D196,$E196),AS195)</f>
        <v>2.6402404794886176</v>
      </c>
      <c r="AT196" s="1478">
        <f t="shared" ca="1" si="92"/>
        <v>1.0517837322694288</v>
      </c>
      <c r="AU196" s="1478">
        <f t="shared" ca="1" si="93"/>
        <v>1.0720000000000005</v>
      </c>
      <c r="AV196" s="1478">
        <f t="shared" ca="1" si="94"/>
        <v>1.0720000000000005</v>
      </c>
      <c r="AW196" s="1475">
        <f t="shared" ca="1" si="95"/>
        <v>3.0057179991743976</v>
      </c>
    </row>
    <row r="197" spans="1:49">
      <c r="A197" s="883">
        <f t="shared" si="82"/>
        <v>40817</v>
      </c>
      <c r="B197" s="1390">
        <f ca="1">'[2]Monthly Curve Calc.'!B200</f>
        <v>433.09814306985027</v>
      </c>
      <c r="C197" s="1391">
        <f ca="1">'[2]Monthly Curve Calc.'!C200</f>
        <v>234.45588891413226</v>
      </c>
      <c r="D197" s="1512">
        <f ca="1">'[2]Monthly Curve Calc.'!F200</f>
        <v>2.6968804113321094</v>
      </c>
      <c r="E197" s="1304">
        <f t="shared" ca="1" si="81"/>
        <v>2.2511076583470269</v>
      </c>
      <c r="F197" s="1473">
        <f ca="1">IF(Assm!$L$75=0,F196,IF(AND($A197&gt;F$16,MONTH($A197)=MONTH(F$16)),B196/B184,F196))</f>
        <v>1.0720000000000005</v>
      </c>
      <c r="G197" s="1474">
        <f ca="1">IF(Assm!$L$75=0,G196,IF(AND($A197&gt;G$16,MONTH($A197)=MONTH(G$16)),C196/C184,G196))</f>
        <v>1.0254766914317999</v>
      </c>
      <c r="H197" s="1474">
        <f ca="1">IF(Assm!$L$75=0,H196,IF(AND($A197&gt;H$16,MONTH($A197)=MONTH(H$16)),C196/C184-H$18,H196))</f>
        <v>1.0229766914317999</v>
      </c>
      <c r="I197" s="1474">
        <f ca="1">IF(Assm!$L$75=0,I196,IF($A197&gt;=I$16,IF(MONTH($A197)=MONTH(I$16),AVERAGE(D185:D196),I196),I196))</f>
        <v>2.6223805711397459</v>
      </c>
      <c r="J197" s="1475">
        <f ca="1">IF(Assm!$L$75=0,J196,IF($A197&gt;=J$16,IF(MONTH($A197)=MONTH(J$16),AVERAGE(E185:E196),J196),J196))</f>
        <v>2.1256542296814396</v>
      </c>
      <c r="K197" s="958">
        <f t="shared" si="72"/>
        <v>185</v>
      </c>
      <c r="L197" s="1476">
        <f t="shared" ca="1" si="73"/>
        <v>1.0254766914317999</v>
      </c>
      <c r="M197" s="1474">
        <f t="shared" si="83"/>
        <v>0</v>
      </c>
      <c r="N197" s="1475">
        <f t="shared" ca="1" si="96"/>
        <v>1.4453629302678073</v>
      </c>
      <c r="P197" s="1476">
        <f t="shared" ca="1" si="74"/>
        <v>1.0720000000000005</v>
      </c>
      <c r="Q197" s="1474">
        <f t="shared" si="84"/>
        <v>0</v>
      </c>
      <c r="R197" s="1475">
        <f t="shared" ca="1" si="97"/>
        <v>2.9919891365638813</v>
      </c>
      <c r="T197" s="1476">
        <f t="shared" ca="1" si="75"/>
        <v>1.0254766914317999</v>
      </c>
      <c r="U197" s="1474">
        <f t="shared" si="85"/>
        <v>1.0049999999999999</v>
      </c>
      <c r="V197" s="1475">
        <f t="shared" ca="1" si="98"/>
        <v>1.4453629302678073</v>
      </c>
      <c r="X197" s="1476">
        <f t="shared" ca="1" si="76"/>
        <v>1.0229766914317999</v>
      </c>
      <c r="Y197" s="1474">
        <f t="shared" si="86"/>
        <v>1.02</v>
      </c>
      <c r="Z197" s="1475">
        <f t="shared" ca="1" si="99"/>
        <v>1.408102103454322</v>
      </c>
      <c r="AB197" s="1476">
        <f t="shared" ca="1" si="77"/>
        <v>1.0229766914317999</v>
      </c>
      <c r="AC197" s="1474">
        <f t="shared" si="87"/>
        <v>1.02</v>
      </c>
      <c r="AD197" s="1475">
        <f t="shared" ca="1" si="100"/>
        <v>1.408102103454322</v>
      </c>
      <c r="AF197" s="1476">
        <f t="shared" ca="1" si="78"/>
        <v>1.0720000000000005</v>
      </c>
      <c r="AG197" s="1474">
        <f t="shared" si="88"/>
        <v>0</v>
      </c>
      <c r="AH197" s="1475">
        <f t="shared" ca="1" si="101"/>
        <v>2.9919891365638813</v>
      </c>
      <c r="AJ197" s="1476">
        <f t="shared" ca="1" si="79"/>
        <v>1.0229766914317999</v>
      </c>
      <c r="AK197" s="1474">
        <f t="shared" si="89"/>
        <v>1.02</v>
      </c>
      <c r="AL197" s="1475">
        <f t="shared" ca="1" si="102"/>
        <v>1.408102103454322</v>
      </c>
      <c r="AN197" s="1476">
        <f t="shared" ca="1" si="80"/>
        <v>1.0254766914317999</v>
      </c>
      <c r="AO197" s="1474">
        <f t="shared" si="90"/>
        <v>1.0049999999999999</v>
      </c>
      <c r="AP197" s="1475">
        <f t="shared" ca="1" si="103"/>
        <v>1.4453629302678073</v>
      </c>
      <c r="AR197" s="701">
        <f t="shared" si="91"/>
        <v>40817</v>
      </c>
      <c r="AS197" s="1478">
        <f ca="1">IF(AND($A197&gt;=EDATE(AS$17,12),IF(Assm!$L$74=0,$D197,$E197)/AS196&gt;=1.05),IF(Assm!$L$74=0,$D197,$E197),AS196)</f>
        <v>2.6402404794886176</v>
      </c>
      <c r="AT197" s="1478">
        <f t="shared" ca="1" si="92"/>
        <v>1.0517837322694288</v>
      </c>
      <c r="AU197" s="1478">
        <f t="shared" ca="1" si="93"/>
        <v>1.0720000000000005</v>
      </c>
      <c r="AV197" s="1478">
        <f t="shared" ca="1" si="94"/>
        <v>1.0720000000000005</v>
      </c>
      <c r="AW197" s="1475">
        <f t="shared" ca="1" si="95"/>
        <v>3.0057179991743976</v>
      </c>
    </row>
    <row r="198" spans="1:49">
      <c r="A198" s="883">
        <f t="shared" si="82"/>
        <v>40848</v>
      </c>
      <c r="B198" s="1390">
        <f ca="1">'[2]Monthly Curve Calc.'!B201</f>
        <v>435.61472708977681</v>
      </c>
      <c r="C198" s="1391">
        <f ca="1">'[2]Monthly Curve Calc.'!C201</f>
        <v>234.94422036928387</v>
      </c>
      <c r="D198" s="1512">
        <f ca="1">'[2]Monthly Curve Calc.'!F201</f>
        <v>2.7015593043152926</v>
      </c>
      <c r="E198" s="1304">
        <f t="shared" ca="1" si="81"/>
        <v>2.2594819551188339</v>
      </c>
      <c r="F198" s="1473">
        <f ca="1">IF(Assm!$L$75=0,F197,IF(AND($A198&gt;F$16,MONTH($A198)=MONTH(F$16)),B197/B185,F197))</f>
        <v>1.0720000000000005</v>
      </c>
      <c r="G198" s="1474">
        <f ca="1">IF(Assm!$L$75=0,G197,IF(AND($A198&gt;G$16,MONTH($A198)=MONTH(G$16)),C197/C185,G197))</f>
        <v>1.0254766914317999</v>
      </c>
      <c r="H198" s="1474">
        <f ca="1">IF(Assm!$L$75=0,H197,IF(AND($A198&gt;H$16,MONTH($A198)=MONTH(H$16)),C197/C185-H$18,H197))</f>
        <v>1.0229766914317999</v>
      </c>
      <c r="I198" s="1474">
        <f ca="1">IF(Assm!$L$75=0,I197,IF($A198&gt;=I$16,IF(MONTH($A198)=MONTH(I$16),AVERAGE(D186:D197),I197),I197))</f>
        <v>2.6223805711397459</v>
      </c>
      <c r="J198" s="1475">
        <f ca="1">IF(Assm!$L$75=0,J197,IF($A198&gt;=J$16,IF(MONTH($A198)=MONTH(J$16),AVERAGE(E186:E197),J197),J197))</f>
        <v>2.1256542296814396</v>
      </c>
      <c r="K198" s="958">
        <f t="shared" si="72"/>
        <v>186</v>
      </c>
      <c r="L198" s="1476">
        <f t="shared" ca="1" si="73"/>
        <v>1.0254766914317999</v>
      </c>
      <c r="M198" s="1474">
        <f t="shared" si="83"/>
        <v>0</v>
      </c>
      <c r="N198" s="1475">
        <f t="shared" ca="1" si="96"/>
        <v>1.4453629302678073</v>
      </c>
      <c r="P198" s="1476">
        <f t="shared" ca="1" si="74"/>
        <v>1.0720000000000005</v>
      </c>
      <c r="Q198" s="1474">
        <f t="shared" si="84"/>
        <v>0</v>
      </c>
      <c r="R198" s="1475">
        <f t="shared" ca="1" si="97"/>
        <v>2.9919891365638813</v>
      </c>
      <c r="T198" s="1476">
        <f t="shared" ca="1" si="75"/>
        <v>1.0254766914317999</v>
      </c>
      <c r="U198" s="1474">
        <f t="shared" si="85"/>
        <v>1.0049999999999999</v>
      </c>
      <c r="V198" s="1475">
        <f t="shared" ca="1" si="98"/>
        <v>1.4453629302678073</v>
      </c>
      <c r="X198" s="1476">
        <f t="shared" ca="1" si="76"/>
        <v>1.0229766914317999</v>
      </c>
      <c r="Y198" s="1474">
        <f t="shared" si="86"/>
        <v>1.02</v>
      </c>
      <c r="Z198" s="1475">
        <f t="shared" ca="1" si="99"/>
        <v>1.408102103454322</v>
      </c>
      <c r="AB198" s="1476">
        <f t="shared" ca="1" si="77"/>
        <v>1.0229766914317999</v>
      </c>
      <c r="AC198" s="1474">
        <f t="shared" si="87"/>
        <v>1.02</v>
      </c>
      <c r="AD198" s="1475">
        <f t="shared" ca="1" si="100"/>
        <v>1.408102103454322</v>
      </c>
      <c r="AF198" s="1476">
        <f t="shared" ca="1" si="78"/>
        <v>1.0720000000000005</v>
      </c>
      <c r="AG198" s="1474">
        <f t="shared" si="88"/>
        <v>0</v>
      </c>
      <c r="AH198" s="1475">
        <f t="shared" ca="1" si="101"/>
        <v>2.9919891365638813</v>
      </c>
      <c r="AJ198" s="1476">
        <f t="shared" ca="1" si="79"/>
        <v>1.0229766914317999</v>
      </c>
      <c r="AK198" s="1474">
        <f t="shared" si="89"/>
        <v>1.02</v>
      </c>
      <c r="AL198" s="1475">
        <f t="shared" ca="1" si="102"/>
        <v>1.408102103454322</v>
      </c>
      <c r="AN198" s="1476">
        <f t="shared" ca="1" si="80"/>
        <v>1.0254766914317999</v>
      </c>
      <c r="AO198" s="1474">
        <f t="shared" si="90"/>
        <v>1.0049999999999999</v>
      </c>
      <c r="AP198" s="1475">
        <f t="shared" ca="1" si="103"/>
        <v>1.4453629302678073</v>
      </c>
      <c r="AR198" s="701">
        <f t="shared" si="91"/>
        <v>40848</v>
      </c>
      <c r="AS198" s="1478">
        <f ca="1">IF(AND($A198&gt;=EDATE(AS$17,12),IF(Assm!$L$74=0,$D198,$E198)/AS197&gt;=1.05),IF(Assm!$L$74=0,$D198,$E198),AS197)</f>
        <v>2.6402404794886176</v>
      </c>
      <c r="AT198" s="1478">
        <f t="shared" ca="1" si="92"/>
        <v>1.0517837322694288</v>
      </c>
      <c r="AU198" s="1478">
        <f t="shared" ca="1" si="93"/>
        <v>1.0720000000000005</v>
      </c>
      <c r="AV198" s="1478">
        <f t="shared" ca="1" si="94"/>
        <v>1.0720000000000005</v>
      </c>
      <c r="AW198" s="1475">
        <f t="shared" ca="1" si="95"/>
        <v>3.0057179991743976</v>
      </c>
    </row>
    <row r="199" spans="1:49">
      <c r="A199" s="883">
        <f t="shared" si="82"/>
        <v>40878</v>
      </c>
      <c r="B199" s="1390">
        <f ca="1">'[2]Monthly Curve Calc.'!B202</f>
        <v>438.14593411197365</v>
      </c>
      <c r="C199" s="1391">
        <f ca="1">'[2]Monthly Curve Calc.'!C202</f>
        <v>235.43356893520712</v>
      </c>
      <c r="D199" s="1512">
        <f ca="1">'[2]Monthly Curve Calc.'!F202</f>
        <v>2.7062463148403069</v>
      </c>
      <c r="E199" s="1304">
        <f t="shared" ca="1" si="81"/>
        <v>2.2678874049304176</v>
      </c>
      <c r="F199" s="1473">
        <f ca="1">IF(Assm!$L$75=0,F198,IF(AND($A199&gt;F$16,MONTH($A199)=MONTH(F$16)),B198/B186,F198))</f>
        <v>1.0720000000000005</v>
      </c>
      <c r="G199" s="1474">
        <f ca="1">IF(Assm!$L$75=0,G198,IF(AND($A199&gt;G$16,MONTH($A199)=MONTH(G$16)),C198/C186,G198))</f>
        <v>1.0254766914317999</v>
      </c>
      <c r="H199" s="1474">
        <f ca="1">IF(Assm!$L$75=0,H198,IF(AND($A199&gt;H$16,MONTH($A199)=MONTH(H$16)),C198/C186-H$18,H198))</f>
        <v>1.0229766914317999</v>
      </c>
      <c r="I199" s="1474">
        <f ca="1">IF(Assm!$L$75=0,I198,IF($A199&gt;=I$16,IF(MONTH($A199)=MONTH(I$16),AVERAGE(D187:D198),I198),I198))</f>
        <v>2.6223805711397459</v>
      </c>
      <c r="J199" s="1475">
        <f ca="1">IF(Assm!$L$75=0,J198,IF($A199&gt;=J$16,IF(MONTH($A199)=MONTH(J$16),AVERAGE(E187:E198),J198),J198))</f>
        <v>2.1256542296814396</v>
      </c>
      <c r="K199" s="958">
        <f t="shared" si="72"/>
        <v>187</v>
      </c>
      <c r="L199" s="1476">
        <f t="shared" ca="1" si="73"/>
        <v>1.0254766914317999</v>
      </c>
      <c r="M199" s="1474">
        <f t="shared" si="83"/>
        <v>0</v>
      </c>
      <c r="N199" s="1475">
        <f t="shared" ca="1" si="96"/>
        <v>1.4453629302678073</v>
      </c>
      <c r="P199" s="1476">
        <f t="shared" ca="1" si="74"/>
        <v>1.0720000000000005</v>
      </c>
      <c r="Q199" s="1474">
        <f t="shared" si="84"/>
        <v>0</v>
      </c>
      <c r="R199" s="1475">
        <f t="shared" ca="1" si="97"/>
        <v>2.9919891365638813</v>
      </c>
      <c r="T199" s="1476">
        <f t="shared" ca="1" si="75"/>
        <v>1.0254766914317999</v>
      </c>
      <c r="U199" s="1474">
        <f t="shared" si="85"/>
        <v>1.0049999999999999</v>
      </c>
      <c r="V199" s="1475">
        <f t="shared" ca="1" si="98"/>
        <v>1.4453629302678073</v>
      </c>
      <c r="X199" s="1476">
        <f t="shared" ca="1" si="76"/>
        <v>1.0229766914317999</v>
      </c>
      <c r="Y199" s="1474">
        <f t="shared" si="86"/>
        <v>1.02</v>
      </c>
      <c r="Z199" s="1475">
        <f t="shared" ca="1" si="99"/>
        <v>1.408102103454322</v>
      </c>
      <c r="AB199" s="1476">
        <f t="shared" ca="1" si="77"/>
        <v>1.0229766914317999</v>
      </c>
      <c r="AC199" s="1474">
        <f t="shared" si="87"/>
        <v>1.02</v>
      </c>
      <c r="AD199" s="1475">
        <f t="shared" ca="1" si="100"/>
        <v>1.408102103454322</v>
      </c>
      <c r="AF199" s="1476">
        <f t="shared" ca="1" si="78"/>
        <v>1.0720000000000005</v>
      </c>
      <c r="AG199" s="1474">
        <f t="shared" si="88"/>
        <v>0</v>
      </c>
      <c r="AH199" s="1475">
        <f t="shared" ca="1" si="101"/>
        <v>2.9919891365638813</v>
      </c>
      <c r="AJ199" s="1476">
        <f t="shared" ca="1" si="79"/>
        <v>1.0229766914317999</v>
      </c>
      <c r="AK199" s="1474">
        <f t="shared" si="89"/>
        <v>1.02</v>
      </c>
      <c r="AL199" s="1475">
        <f t="shared" ca="1" si="102"/>
        <v>1.408102103454322</v>
      </c>
      <c r="AN199" s="1476">
        <f t="shared" ca="1" si="80"/>
        <v>1.0254766914317999</v>
      </c>
      <c r="AO199" s="1474">
        <f t="shared" si="90"/>
        <v>1.0049999999999999</v>
      </c>
      <c r="AP199" s="1475">
        <f t="shared" ca="1" si="103"/>
        <v>1.4453629302678073</v>
      </c>
      <c r="AR199" s="701">
        <f t="shared" si="91"/>
        <v>40878</v>
      </c>
      <c r="AS199" s="1478">
        <f ca="1">IF(AND($A199&gt;=EDATE(AS$17,12),IF(Assm!$L$74=0,$D199,$E199)/AS198&gt;=1.05),IF(Assm!$L$74=0,$D199,$E199),AS198)</f>
        <v>2.6402404794886176</v>
      </c>
      <c r="AT199" s="1478">
        <f t="shared" ca="1" si="92"/>
        <v>1.0517837322694288</v>
      </c>
      <c r="AU199" s="1478">
        <f t="shared" ca="1" si="93"/>
        <v>1.0720000000000005</v>
      </c>
      <c r="AV199" s="1478">
        <f t="shared" ca="1" si="94"/>
        <v>1.0720000000000005</v>
      </c>
      <c r="AW199" s="1475">
        <f t="shared" ca="1" si="95"/>
        <v>3.0057179991743976</v>
      </c>
    </row>
    <row r="200" spans="1:49">
      <c r="A200" s="883">
        <f t="shared" si="82"/>
        <v>40909</v>
      </c>
      <c r="B200" s="1390">
        <f ca="1">'[2]Monthly Curve Calc.'!B203</f>
        <v>440.69184910566634</v>
      </c>
      <c r="C200" s="1391">
        <f ca="1">'[2]Monthly Curve Calc.'!C203</f>
        <v>235.92010131714585</v>
      </c>
      <c r="D200" s="1512">
        <f ca="1">'[2]Monthly Curve Calc.'!F203</f>
        <v>2.7107133756643873</v>
      </c>
      <c r="E200" s="1304">
        <f t="shared" ca="1" si="81"/>
        <v>2.2763611304550446</v>
      </c>
      <c r="F200" s="1473">
        <f ca="1">IF(Assm!$L$75=0,F199,IF(AND($A200&gt;F$16,MONTH($A200)=MONTH(F$16)),B199/B187,F199))</f>
        <v>1.0720000000000005</v>
      </c>
      <c r="G200" s="1474">
        <f ca="1">IF(Assm!$L$75=0,G199,IF(AND($A200&gt;G$16,MONTH($A200)=MONTH(G$16)),C199/C187,G199))</f>
        <v>1.0254766914317999</v>
      </c>
      <c r="H200" s="1474">
        <f ca="1">IF(Assm!$L$75=0,H199,IF(AND($A200&gt;H$16,MONTH($A200)=MONTH(H$16)),C199/C187-H$18,H199))</f>
        <v>1.0229766914317999</v>
      </c>
      <c r="I200" s="1474">
        <f ca="1">IF(Assm!$L$75=0,I199,IF($A200&gt;=I$16,IF(MONTH($A200)=MONTH(I$16),AVERAGE(D188:D199),I199),I199))</f>
        <v>2.6806160002247092</v>
      </c>
      <c r="J200" s="1475">
        <f ca="1">IF(Assm!$L$75=0,J199,IF($A200&gt;=J$16,IF(MONTH($A200)=MONTH(J$16),AVERAGE(E188:E199),J199),J199))</f>
        <v>2.2222238353348174</v>
      </c>
      <c r="K200" s="958">
        <f t="shared" si="72"/>
        <v>188</v>
      </c>
      <c r="L200" s="1476">
        <f t="shared" ca="1" si="73"/>
        <v>1.0254766914317999</v>
      </c>
      <c r="M200" s="1474">
        <f t="shared" si="83"/>
        <v>0</v>
      </c>
      <c r="N200" s="1475">
        <f t="shared" ca="1" si="96"/>
        <v>1.4453629302678073</v>
      </c>
      <c r="P200" s="1476">
        <f t="shared" ca="1" si="74"/>
        <v>1.0720000000000005</v>
      </c>
      <c r="Q200" s="1474">
        <f t="shared" si="84"/>
        <v>0</v>
      </c>
      <c r="R200" s="1475">
        <f t="shared" ca="1" si="97"/>
        <v>2.9919891365638813</v>
      </c>
      <c r="T200" s="1476">
        <f t="shared" ca="1" si="75"/>
        <v>1.0254766914317999</v>
      </c>
      <c r="U200" s="1474">
        <f t="shared" si="85"/>
        <v>1.0049999999999999</v>
      </c>
      <c r="V200" s="1475">
        <f t="shared" ca="1" si="98"/>
        <v>1.4453629302678073</v>
      </c>
      <c r="X200" s="1476">
        <f t="shared" ca="1" si="76"/>
        <v>1.0229766914317999</v>
      </c>
      <c r="Y200" s="1474">
        <f t="shared" si="86"/>
        <v>1.02</v>
      </c>
      <c r="Z200" s="1475">
        <f t="shared" ca="1" si="99"/>
        <v>1.408102103454322</v>
      </c>
      <c r="AB200" s="1476">
        <f t="shared" ca="1" si="77"/>
        <v>1.0229766914317999</v>
      </c>
      <c r="AC200" s="1474">
        <f t="shared" si="87"/>
        <v>1.02</v>
      </c>
      <c r="AD200" s="1475">
        <f t="shared" ca="1" si="100"/>
        <v>1.408102103454322</v>
      </c>
      <c r="AF200" s="1476">
        <f t="shared" ca="1" si="78"/>
        <v>1.0720000000000005</v>
      </c>
      <c r="AG200" s="1474">
        <f t="shared" si="88"/>
        <v>0</v>
      </c>
      <c r="AH200" s="1475">
        <f t="shared" ca="1" si="101"/>
        <v>2.9919891365638813</v>
      </c>
      <c r="AJ200" s="1476">
        <f t="shared" ca="1" si="79"/>
        <v>1.0229766914317999</v>
      </c>
      <c r="AK200" s="1474">
        <f t="shared" si="89"/>
        <v>1.02</v>
      </c>
      <c r="AL200" s="1475">
        <f t="shared" ca="1" si="102"/>
        <v>1.408102103454322</v>
      </c>
      <c r="AN200" s="1476">
        <f t="shared" ca="1" si="80"/>
        <v>1.0254766914317999</v>
      </c>
      <c r="AO200" s="1474">
        <f t="shared" si="90"/>
        <v>1.0049999999999999</v>
      </c>
      <c r="AP200" s="1475">
        <f t="shared" ca="1" si="103"/>
        <v>1.4453629302678073</v>
      </c>
      <c r="AR200" s="701">
        <f t="shared" si="91"/>
        <v>40909</v>
      </c>
      <c r="AS200" s="1478">
        <f ca="1">IF(AND($A200&gt;=EDATE(AS$17,12),IF(Assm!$L$74=0,$D200,$E200)/AS199&gt;=1.05),IF(Assm!$L$74=0,$D200,$E200),AS199)</f>
        <v>2.6402404794886176</v>
      </c>
      <c r="AT200" s="1478">
        <f t="shared" ca="1" si="92"/>
        <v>1.0517837322694288</v>
      </c>
      <c r="AU200" s="1478">
        <f t="shared" ca="1" si="93"/>
        <v>1.0720000000000005</v>
      </c>
      <c r="AV200" s="1478">
        <f t="shared" ca="1" si="94"/>
        <v>1.0720000000000005</v>
      </c>
      <c r="AW200" s="1475">
        <f t="shared" ca="1" si="95"/>
        <v>3.0057179991743976</v>
      </c>
    </row>
    <row r="201" spans="1:49">
      <c r="A201" s="883">
        <f t="shared" si="82"/>
        <v>40940</v>
      </c>
      <c r="B201" s="1390">
        <f ca="1">'[2]Monthly Curve Calc.'!B204</f>
        <v>443.25255753380742</v>
      </c>
      <c r="C201" s="1391">
        <f ca="1">'[2]Monthly Curve Calc.'!C204</f>
        <v>236.40763913666828</v>
      </c>
      <c r="D201" s="1512">
        <f ca="1">'[2]Monthly Curve Calc.'!F204</f>
        <v>2.7151878100347324</v>
      </c>
      <c r="E201" s="1304">
        <f t="shared" ca="1" si="81"/>
        <v>2.2848665171741871</v>
      </c>
      <c r="F201" s="1473">
        <f ca="1">IF(Assm!$L$75=0,F200,IF(AND($A201&gt;F$16,MONTH($A201)=MONTH(F$16)),B200/B188,F200))</f>
        <v>1.0720000000000005</v>
      </c>
      <c r="G201" s="1474">
        <f ca="1">IF(Assm!$L$75=0,G200,IF(AND($A201&gt;G$16,MONTH($A201)=MONTH(G$16)),C200/C188,G200))</f>
        <v>1.0254766914317999</v>
      </c>
      <c r="H201" s="1474">
        <f ca="1">IF(Assm!$L$75=0,H200,IF(AND($A201&gt;H$16,MONTH($A201)=MONTH(H$16)),C200/C188-H$18,H200))</f>
        <v>1.0229766914317999</v>
      </c>
      <c r="I201" s="1474">
        <f ca="1">IF(Assm!$L$75=0,I200,IF($A201&gt;=I$16,IF(MONTH($A201)=MONTH(I$16),AVERAGE(D189:D200),I200),I200))</f>
        <v>2.6806160002247092</v>
      </c>
      <c r="J201" s="1475">
        <f ca="1">IF(Assm!$L$75=0,J200,IF($A201&gt;=J$16,IF(MONTH($A201)=MONTH(J$16),AVERAGE(E189:E200),J200),J200))</f>
        <v>2.2222238353348174</v>
      </c>
      <c r="K201" s="958">
        <f t="shared" si="72"/>
        <v>189</v>
      </c>
      <c r="L201" s="1476">
        <f t="shared" ca="1" si="73"/>
        <v>1.0254766914317999</v>
      </c>
      <c r="M201" s="1474">
        <f t="shared" si="83"/>
        <v>0</v>
      </c>
      <c r="N201" s="1475">
        <f t="shared" ca="1" si="96"/>
        <v>1.4453629302678073</v>
      </c>
      <c r="P201" s="1476">
        <f t="shared" ca="1" si="74"/>
        <v>1.0720000000000005</v>
      </c>
      <c r="Q201" s="1474">
        <f t="shared" si="84"/>
        <v>0</v>
      </c>
      <c r="R201" s="1475">
        <f t="shared" ca="1" si="97"/>
        <v>2.9919891365638813</v>
      </c>
      <c r="T201" s="1476">
        <f t="shared" ca="1" si="75"/>
        <v>1.0254766914317999</v>
      </c>
      <c r="U201" s="1474">
        <f t="shared" si="85"/>
        <v>1.0049999999999999</v>
      </c>
      <c r="V201" s="1475">
        <f t="shared" ca="1" si="98"/>
        <v>1.4453629302678073</v>
      </c>
      <c r="X201" s="1476">
        <f t="shared" ca="1" si="76"/>
        <v>1.0229766914317999</v>
      </c>
      <c r="Y201" s="1474">
        <f t="shared" si="86"/>
        <v>1.02</v>
      </c>
      <c r="Z201" s="1475">
        <f t="shared" ca="1" si="99"/>
        <v>1.408102103454322</v>
      </c>
      <c r="AB201" s="1476">
        <f t="shared" ca="1" si="77"/>
        <v>1.0229766914317999</v>
      </c>
      <c r="AC201" s="1474">
        <f t="shared" si="87"/>
        <v>1.02</v>
      </c>
      <c r="AD201" s="1475">
        <f t="shared" ca="1" si="100"/>
        <v>1.408102103454322</v>
      </c>
      <c r="AF201" s="1476">
        <f t="shared" ca="1" si="78"/>
        <v>1.0720000000000005</v>
      </c>
      <c r="AG201" s="1474">
        <f t="shared" si="88"/>
        <v>0</v>
      </c>
      <c r="AH201" s="1475">
        <f t="shared" ca="1" si="101"/>
        <v>2.9919891365638813</v>
      </c>
      <c r="AJ201" s="1476">
        <f t="shared" ca="1" si="79"/>
        <v>1.0229766914317999</v>
      </c>
      <c r="AK201" s="1474">
        <f t="shared" si="89"/>
        <v>1.02</v>
      </c>
      <c r="AL201" s="1475">
        <f t="shared" ca="1" si="102"/>
        <v>1.408102103454322</v>
      </c>
      <c r="AN201" s="1476">
        <f t="shared" ca="1" si="80"/>
        <v>1.0254766914317999</v>
      </c>
      <c r="AO201" s="1474">
        <f t="shared" si="90"/>
        <v>1.0049999999999999</v>
      </c>
      <c r="AP201" s="1475">
        <f t="shared" ca="1" si="103"/>
        <v>1.4453629302678073</v>
      </c>
      <c r="AR201" s="701">
        <f t="shared" si="91"/>
        <v>40940</v>
      </c>
      <c r="AS201" s="1478">
        <f ca="1">IF(AND($A201&gt;=EDATE(AS$17,12),IF(Assm!$L$74=0,$D201,$E201)/AS200&gt;=1.05),IF(Assm!$L$74=0,$D201,$E201),AS200)</f>
        <v>2.6402404794886176</v>
      </c>
      <c r="AT201" s="1478">
        <f t="shared" ca="1" si="92"/>
        <v>1.0517837322694288</v>
      </c>
      <c r="AU201" s="1478">
        <f t="shared" ca="1" si="93"/>
        <v>1.0720000000000005</v>
      </c>
      <c r="AV201" s="1478">
        <f t="shared" ca="1" si="94"/>
        <v>1.0720000000000005</v>
      </c>
      <c r="AW201" s="1475">
        <f t="shared" ca="1" si="95"/>
        <v>3.0057179991743976</v>
      </c>
    </row>
    <row r="202" spans="1:49">
      <c r="A202" s="883">
        <f t="shared" si="82"/>
        <v>40969</v>
      </c>
      <c r="B202" s="1390">
        <f ca="1">'[2]Monthly Curve Calc.'!B205</f>
        <v>445.82814535594514</v>
      </c>
      <c r="C202" s="1391">
        <f ca="1">'[2]Monthly Curve Calc.'!C205</f>
        <v>236.89618447154925</v>
      </c>
      <c r="D202" s="1512">
        <f ca="1">'[2]Monthly Curve Calc.'!F205</f>
        <v>2.7196696301224734</v>
      </c>
      <c r="E202" s="1304">
        <f t="shared" ca="1" si="81"/>
        <v>2.2934036833866069</v>
      </c>
      <c r="F202" s="1473">
        <f ca="1">IF(Assm!$L$75=0,F201,IF(AND($A202&gt;F$16,MONTH($A202)=MONTH(F$16)),B201/B189,F201))</f>
        <v>1.0720000000000005</v>
      </c>
      <c r="G202" s="1474">
        <f ca="1">IF(Assm!$L$75=0,G201,IF(AND($A202&gt;G$16,MONTH($A202)=MONTH(G$16)),C201/C189,G201))</f>
        <v>1.0254766914317999</v>
      </c>
      <c r="H202" s="1474">
        <f ca="1">IF(Assm!$L$75=0,H201,IF(AND($A202&gt;H$16,MONTH($A202)=MONTH(H$16)),C201/C189-H$18,H201))</f>
        <v>1.0229766914317999</v>
      </c>
      <c r="I202" s="1474">
        <f ca="1">IF(Assm!$L$75=0,I201,IF($A202&gt;=I$16,IF(MONTH($A202)=MONTH(I$16),AVERAGE(D190:D201),I201),I201))</f>
        <v>2.6806160002247092</v>
      </c>
      <c r="J202" s="1475">
        <f ca="1">IF(Assm!$L$75=0,J201,IF($A202&gt;=J$16,IF(MONTH($A202)=MONTH(J$16),AVERAGE(E190:E201),J201),J201))</f>
        <v>2.2222238353348174</v>
      </c>
      <c r="K202" s="958">
        <f t="shared" si="72"/>
        <v>190</v>
      </c>
      <c r="L202" s="1476">
        <f t="shared" ca="1" si="73"/>
        <v>1.0254766914317999</v>
      </c>
      <c r="M202" s="1474">
        <f t="shared" si="83"/>
        <v>0</v>
      </c>
      <c r="N202" s="1475">
        <f t="shared" ca="1" si="96"/>
        <v>1.4453629302678073</v>
      </c>
      <c r="P202" s="1476">
        <f t="shared" ca="1" si="74"/>
        <v>1.0720000000000005</v>
      </c>
      <c r="Q202" s="1474">
        <f t="shared" si="84"/>
        <v>0</v>
      </c>
      <c r="R202" s="1475">
        <f t="shared" ca="1" si="97"/>
        <v>2.9919891365638813</v>
      </c>
      <c r="T202" s="1476">
        <f t="shared" ca="1" si="75"/>
        <v>1.0254766914317999</v>
      </c>
      <c r="U202" s="1474">
        <f t="shared" si="85"/>
        <v>1.0049999999999999</v>
      </c>
      <c r="V202" s="1475">
        <f t="shared" ca="1" si="98"/>
        <v>1.4453629302678073</v>
      </c>
      <c r="X202" s="1476">
        <f t="shared" ca="1" si="76"/>
        <v>1.0229766914317999</v>
      </c>
      <c r="Y202" s="1474">
        <f t="shared" si="86"/>
        <v>1.02</v>
      </c>
      <c r="Z202" s="1475">
        <f t="shared" ca="1" si="99"/>
        <v>1.408102103454322</v>
      </c>
      <c r="AB202" s="1476">
        <f t="shared" ca="1" si="77"/>
        <v>1.0229766914317999</v>
      </c>
      <c r="AC202" s="1474">
        <f t="shared" si="87"/>
        <v>1.02</v>
      </c>
      <c r="AD202" s="1475">
        <f t="shared" ca="1" si="100"/>
        <v>1.408102103454322</v>
      </c>
      <c r="AF202" s="1476">
        <f t="shared" ca="1" si="78"/>
        <v>1.0720000000000005</v>
      </c>
      <c r="AG202" s="1474">
        <f t="shared" si="88"/>
        <v>0</v>
      </c>
      <c r="AH202" s="1475">
        <f t="shared" ca="1" si="101"/>
        <v>2.9919891365638813</v>
      </c>
      <c r="AJ202" s="1476">
        <f t="shared" ca="1" si="79"/>
        <v>1.0229766914317999</v>
      </c>
      <c r="AK202" s="1474">
        <f t="shared" si="89"/>
        <v>1.02</v>
      </c>
      <c r="AL202" s="1475">
        <f t="shared" ca="1" si="102"/>
        <v>1.408102103454322</v>
      </c>
      <c r="AN202" s="1476">
        <f t="shared" ca="1" si="80"/>
        <v>1.0254766914317999</v>
      </c>
      <c r="AO202" s="1474">
        <f t="shared" si="90"/>
        <v>1.0049999999999999</v>
      </c>
      <c r="AP202" s="1475">
        <f t="shared" ca="1" si="103"/>
        <v>1.4453629302678073</v>
      </c>
      <c r="AR202" s="701">
        <f t="shared" si="91"/>
        <v>40969</v>
      </c>
      <c r="AS202" s="1478">
        <f ca="1">IF(AND($A202&gt;=EDATE(AS$17,12),IF(Assm!$L$74=0,$D202,$E202)/AS201&gt;=1.05),IF(Assm!$L$74=0,$D202,$E202),AS201)</f>
        <v>2.6402404794886176</v>
      </c>
      <c r="AT202" s="1478">
        <f t="shared" ca="1" si="92"/>
        <v>1.0517837322694288</v>
      </c>
      <c r="AU202" s="1478">
        <f t="shared" ca="1" si="93"/>
        <v>1.0720000000000005</v>
      </c>
      <c r="AV202" s="1478">
        <f t="shared" ca="1" si="94"/>
        <v>1.0720000000000005</v>
      </c>
      <c r="AW202" s="1475">
        <f t="shared" ca="1" si="95"/>
        <v>3.0057179991743976</v>
      </c>
    </row>
    <row r="203" spans="1:49">
      <c r="A203" s="883">
        <f t="shared" si="82"/>
        <v>41000</v>
      </c>
      <c r="B203" s="1390">
        <f ca="1">'[2]Monthly Curve Calc.'!B206</f>
        <v>448.41869903110904</v>
      </c>
      <c r="C203" s="1391">
        <f ca="1">'[2]Monthly Curve Calc.'!C206</f>
        <v>237.38573940385737</v>
      </c>
      <c r="D203" s="1512">
        <f ca="1">'[2]Monthly Curve Calc.'!F206</f>
        <v>2.7241588481188321</v>
      </c>
      <c r="E203" s="1304">
        <f t="shared" ca="1" si="81"/>
        <v>2.3019727478330769</v>
      </c>
      <c r="F203" s="1473">
        <f ca="1">IF(Assm!$L$75=0,F202,IF(AND($A203&gt;F$16,MONTH($A203)=MONTH(F$16)),B202/B190,F202))</f>
        <v>1.0720000000000005</v>
      </c>
      <c r="G203" s="1474">
        <f ca="1">IF(Assm!$L$75=0,G202,IF(AND($A203&gt;G$16,MONTH($A203)=MONTH(G$16)),C202/C190,G202))</f>
        <v>1.0254766914317999</v>
      </c>
      <c r="H203" s="1474">
        <f ca="1">IF(Assm!$L$75=0,H202,IF(AND($A203&gt;H$16,MONTH($A203)=MONTH(H$16)),C202/C190-H$18,H202))</f>
        <v>1.0229766914317999</v>
      </c>
      <c r="I203" s="1474">
        <f ca="1">IF(Assm!$L$75=0,I202,IF($A203&gt;=I$16,IF(MONTH($A203)=MONTH(I$16),AVERAGE(D191:D202),I202),I202))</f>
        <v>2.6806160002247092</v>
      </c>
      <c r="J203" s="1475">
        <f ca="1">IF(Assm!$L$75=0,J202,IF($A203&gt;=J$16,IF(MONTH($A203)=MONTH(J$16),AVERAGE(E191:E202),J202),J202))</f>
        <v>2.2222238353348174</v>
      </c>
      <c r="K203" s="958">
        <f t="shared" si="72"/>
        <v>191</v>
      </c>
      <c r="L203" s="1476">
        <f t="shared" ca="1" si="73"/>
        <v>1.0254766914317999</v>
      </c>
      <c r="M203" s="1474">
        <f t="shared" si="83"/>
        <v>0</v>
      </c>
      <c r="N203" s="1475">
        <f t="shared" ca="1" si="96"/>
        <v>1.4453629302678073</v>
      </c>
      <c r="P203" s="1476">
        <f t="shared" ca="1" si="74"/>
        <v>1.0720000000000005</v>
      </c>
      <c r="Q203" s="1474">
        <f t="shared" si="84"/>
        <v>0</v>
      </c>
      <c r="R203" s="1475">
        <f t="shared" ca="1" si="97"/>
        <v>2.9919891365638813</v>
      </c>
      <c r="T203" s="1476">
        <f t="shared" ca="1" si="75"/>
        <v>1.0254766914317999</v>
      </c>
      <c r="U203" s="1474">
        <f t="shared" si="85"/>
        <v>1.0049999999999999</v>
      </c>
      <c r="V203" s="1475">
        <f t="shared" ca="1" si="98"/>
        <v>1.4453629302678073</v>
      </c>
      <c r="X203" s="1476">
        <f t="shared" ca="1" si="76"/>
        <v>1.0229766914317999</v>
      </c>
      <c r="Y203" s="1474">
        <f t="shared" si="86"/>
        <v>1.02</v>
      </c>
      <c r="Z203" s="1475">
        <f t="shared" ca="1" si="99"/>
        <v>1.408102103454322</v>
      </c>
      <c r="AB203" s="1476">
        <f t="shared" ca="1" si="77"/>
        <v>1.0229766914317999</v>
      </c>
      <c r="AC203" s="1474">
        <f t="shared" si="87"/>
        <v>1.02</v>
      </c>
      <c r="AD203" s="1475">
        <f t="shared" ca="1" si="100"/>
        <v>1.408102103454322</v>
      </c>
      <c r="AF203" s="1476">
        <f t="shared" ca="1" si="78"/>
        <v>1.0720000000000005</v>
      </c>
      <c r="AG203" s="1474">
        <f t="shared" si="88"/>
        <v>0</v>
      </c>
      <c r="AH203" s="1475">
        <f t="shared" ca="1" si="101"/>
        <v>2.9919891365638813</v>
      </c>
      <c r="AJ203" s="1476">
        <f t="shared" ca="1" si="79"/>
        <v>1.0229766914317999</v>
      </c>
      <c r="AK203" s="1474">
        <f t="shared" si="89"/>
        <v>1.02</v>
      </c>
      <c r="AL203" s="1475">
        <f t="shared" ca="1" si="102"/>
        <v>1.408102103454322</v>
      </c>
      <c r="AN203" s="1476">
        <f t="shared" ca="1" si="80"/>
        <v>1.0254766914317999</v>
      </c>
      <c r="AO203" s="1474">
        <f t="shared" si="90"/>
        <v>1.0049999999999999</v>
      </c>
      <c r="AP203" s="1475">
        <f t="shared" ca="1" si="103"/>
        <v>1.4453629302678073</v>
      </c>
      <c r="AR203" s="701">
        <f t="shared" si="91"/>
        <v>41000</v>
      </c>
      <c r="AS203" s="1478">
        <f ca="1">IF(AND($A203&gt;=EDATE(AS$17,12),IF(Assm!$L$74=0,$D203,$E203)/AS202&gt;=1.05),IF(Assm!$L$74=0,$D203,$E203),AS202)</f>
        <v>2.6402404794886176</v>
      </c>
      <c r="AT203" s="1478">
        <f t="shared" ca="1" si="92"/>
        <v>1.0517837322694288</v>
      </c>
      <c r="AU203" s="1478">
        <f t="shared" ca="1" si="93"/>
        <v>1.0720000000000005</v>
      </c>
      <c r="AV203" s="1478">
        <f t="shared" ca="1" si="94"/>
        <v>1.0720000000000005</v>
      </c>
      <c r="AW203" s="1475">
        <f t="shared" ca="1" si="95"/>
        <v>3.0057179991743976</v>
      </c>
    </row>
    <row r="204" spans="1:49">
      <c r="A204" s="883">
        <f t="shared" si="82"/>
        <v>41030</v>
      </c>
      <c r="B204" s="1390">
        <f ca="1">'[2]Monthly Curve Calc.'!B207</f>
        <v>451.02430552071235</v>
      </c>
      <c r="C204" s="1391">
        <f ca="1">'[2]Monthly Curve Calc.'!C207</f>
        <v>237.87630601996395</v>
      </c>
      <c r="D204" s="1512">
        <f ca="1">'[2]Monthly Curve Calc.'!F207</f>
        <v>2.7286554762351538</v>
      </c>
      <c r="E204" s="1304">
        <f t="shared" ca="1" si="81"/>
        <v>2.3105738296980327</v>
      </c>
      <c r="F204" s="1473">
        <f ca="1">IF(Assm!$L$75=0,F203,IF(AND($A204&gt;F$16,MONTH($A204)=MONTH(F$16)),B203/B191,F203))</f>
        <v>1.0720000000000003</v>
      </c>
      <c r="G204" s="1474">
        <f ca="1">IF(Assm!$L$75=0,G203,IF(AND($A204&gt;G$16,MONTH($A204)=MONTH(G$16)),C203/C191,G203))</f>
        <v>1.0252155908249365</v>
      </c>
      <c r="H204" s="1474">
        <f ca="1">IF(Assm!$L$75=0,H203,IF(AND($A204&gt;H$16,MONTH($A204)=MONTH(H$16)),C203/C191-H$18,H203))</f>
        <v>1.0227155908249366</v>
      </c>
      <c r="I204" s="1474">
        <f ca="1">IF(Assm!$L$75=0,I203,IF($A204&gt;=I$16,IF(MONTH($A204)=MONTH(I$16),AVERAGE(D192:D203),I203),I203))</f>
        <v>2.6806160002247092</v>
      </c>
      <c r="J204" s="1475">
        <f ca="1">IF(Assm!$L$75=0,J203,IF($A204&gt;=J$16,IF(MONTH($A204)=MONTH(J$16),AVERAGE(E192:E203),J203),J203))</f>
        <v>2.2222238353348174</v>
      </c>
      <c r="K204" s="958">
        <f t="shared" si="72"/>
        <v>192</v>
      </c>
      <c r="L204" s="1476">
        <f t="shared" ca="1" si="73"/>
        <v>1.0252155908249365</v>
      </c>
      <c r="M204" s="1474">
        <f t="shared" si="83"/>
        <v>0</v>
      </c>
      <c r="N204" s="1475">
        <f t="shared" ca="1" si="96"/>
        <v>1.4818086105109716</v>
      </c>
      <c r="P204" s="1476">
        <f t="shared" ca="1" si="74"/>
        <v>1.0720000000000003</v>
      </c>
      <c r="Q204" s="1474">
        <f t="shared" si="84"/>
        <v>0</v>
      </c>
      <c r="R204" s="1475">
        <f t="shared" ca="1" si="97"/>
        <v>3.2074123543964816</v>
      </c>
      <c r="T204" s="1476">
        <f t="shared" ca="1" si="75"/>
        <v>1.0252155908249365</v>
      </c>
      <c r="U204" s="1474">
        <f t="shared" si="85"/>
        <v>1.0049999999999999</v>
      </c>
      <c r="V204" s="1475">
        <f t="shared" ca="1" si="98"/>
        <v>1.4818086105109716</v>
      </c>
      <c r="X204" s="1476">
        <f t="shared" ca="1" si="76"/>
        <v>1.0227155908249366</v>
      </c>
      <c r="Y204" s="1474">
        <f t="shared" si="86"/>
        <v>1.02</v>
      </c>
      <c r="Z204" s="1475">
        <f t="shared" ca="1" si="99"/>
        <v>1.4400879746761228</v>
      </c>
      <c r="AB204" s="1476">
        <f t="shared" ca="1" si="77"/>
        <v>1.0227155908249366</v>
      </c>
      <c r="AC204" s="1474">
        <f t="shared" si="87"/>
        <v>1.02</v>
      </c>
      <c r="AD204" s="1475">
        <f t="shared" ca="1" si="100"/>
        <v>1.4400879746761228</v>
      </c>
      <c r="AF204" s="1476">
        <f t="shared" ca="1" si="78"/>
        <v>1.0720000000000003</v>
      </c>
      <c r="AG204" s="1474">
        <f t="shared" si="88"/>
        <v>0</v>
      </c>
      <c r="AH204" s="1475">
        <f t="shared" ca="1" si="101"/>
        <v>3.2074123543964816</v>
      </c>
      <c r="AJ204" s="1476">
        <f t="shared" ca="1" si="79"/>
        <v>1.0227155908249366</v>
      </c>
      <c r="AK204" s="1474">
        <f t="shared" si="89"/>
        <v>1.02</v>
      </c>
      <c r="AL204" s="1475">
        <f t="shared" ca="1" si="102"/>
        <v>1.4400879746761228</v>
      </c>
      <c r="AN204" s="1476">
        <f t="shared" ca="1" si="80"/>
        <v>1.0252155908249365</v>
      </c>
      <c r="AO204" s="1474">
        <f t="shared" si="90"/>
        <v>1.0049999999999999</v>
      </c>
      <c r="AP204" s="1475">
        <f t="shared" ca="1" si="103"/>
        <v>1.4818086105109716</v>
      </c>
      <c r="AR204" s="701">
        <f t="shared" si="91"/>
        <v>41030</v>
      </c>
      <c r="AS204" s="1478">
        <f ca="1">IF(AND($A204&gt;=EDATE(AS$17,12),IF(Assm!$L$74=0,$D204,$E204)/AS203&gt;=1.05),IF(Assm!$L$74=0,$D204,$E204),AS203)</f>
        <v>2.6402404794886176</v>
      </c>
      <c r="AT204" s="1478">
        <f t="shared" ca="1" si="92"/>
        <v>1.0517837322694288</v>
      </c>
      <c r="AU204" s="1478">
        <f t="shared" ca="1" si="93"/>
        <v>1.0720000000000003</v>
      </c>
      <c r="AV204" s="1478">
        <f t="shared" ca="1" si="94"/>
        <v>1.0720000000000003</v>
      </c>
      <c r="AW204" s="1475">
        <f t="shared" ca="1" si="95"/>
        <v>3.0057179991743976</v>
      </c>
    </row>
    <row r="205" spans="1:49">
      <c r="A205" s="883">
        <f t="shared" si="82"/>
        <v>41061</v>
      </c>
      <c r="B205" s="1390">
        <f ca="1">'[2]Monthly Curve Calc.'!B208</f>
        <v>453.64505229147107</v>
      </c>
      <c r="C205" s="1391">
        <f ca="1">'[2]Monthly Curve Calc.'!C208</f>
        <v>238.36788641055188</v>
      </c>
      <c r="D205" s="1512">
        <f ca="1">'[2]Monthly Curve Calc.'!F208</f>
        <v>2.7331595267029405</v>
      </c>
      <c r="E205" s="1304">
        <f t="shared" ca="1" si="81"/>
        <v>2.3192070486112302</v>
      </c>
      <c r="F205" s="1473">
        <f ca="1">IF(Assm!$L$75=0,F204,IF(AND($A205&gt;F$16,MONTH($A205)=MONTH(F$16)),B204/B192,F204))</f>
        <v>1.0720000000000003</v>
      </c>
      <c r="G205" s="1474">
        <f ca="1">IF(Assm!$L$75=0,G204,IF(AND($A205&gt;G$16,MONTH($A205)=MONTH(G$16)),C204/C192,G204))</f>
        <v>1.0252155908249365</v>
      </c>
      <c r="H205" s="1474">
        <f ca="1">IF(Assm!$L$75=0,H204,IF(AND($A205&gt;H$16,MONTH($A205)=MONTH(H$16)),C204/C192-H$18,H204))</f>
        <v>1.0227155908249366</v>
      </c>
      <c r="I205" s="1474">
        <f ca="1">IF(Assm!$L$75=0,I204,IF($A205&gt;=I$16,IF(MONTH($A205)=MONTH(I$16),AVERAGE(D193:D204),I204),I204))</f>
        <v>2.6806160002247092</v>
      </c>
      <c r="J205" s="1475">
        <f ca="1">IF(Assm!$L$75=0,J204,IF($A205&gt;=J$16,IF(MONTH($A205)=MONTH(J$16),AVERAGE(E193:E204),J204),J204))</f>
        <v>2.2222238353348174</v>
      </c>
      <c r="K205" s="958">
        <f t="shared" ref="K205:K268" si="104">K204+1</f>
        <v>193</v>
      </c>
      <c r="L205" s="1476">
        <f t="shared" ca="1" si="73"/>
        <v>1.0252155908249365</v>
      </c>
      <c r="M205" s="1474">
        <f t="shared" si="83"/>
        <v>0</v>
      </c>
      <c r="N205" s="1475">
        <f t="shared" ca="1" si="96"/>
        <v>1.4818086105109716</v>
      </c>
      <c r="P205" s="1476">
        <f t="shared" ca="1" si="74"/>
        <v>1.0720000000000003</v>
      </c>
      <c r="Q205" s="1474">
        <f t="shared" si="84"/>
        <v>0</v>
      </c>
      <c r="R205" s="1475">
        <f t="shared" ca="1" si="97"/>
        <v>3.2074123543964816</v>
      </c>
      <c r="T205" s="1476">
        <f t="shared" ca="1" si="75"/>
        <v>1.0252155908249365</v>
      </c>
      <c r="U205" s="1474">
        <f t="shared" si="85"/>
        <v>1.0049999999999999</v>
      </c>
      <c r="V205" s="1475">
        <f t="shared" ca="1" si="98"/>
        <v>1.4818086105109716</v>
      </c>
      <c r="X205" s="1476">
        <f t="shared" ca="1" si="76"/>
        <v>1.0227155908249366</v>
      </c>
      <c r="Y205" s="1474">
        <f t="shared" si="86"/>
        <v>1.02</v>
      </c>
      <c r="Z205" s="1475">
        <f t="shared" ca="1" si="99"/>
        <v>1.4400879746761228</v>
      </c>
      <c r="AB205" s="1476">
        <f t="shared" ca="1" si="77"/>
        <v>1.0227155908249366</v>
      </c>
      <c r="AC205" s="1474">
        <f t="shared" si="87"/>
        <v>1.02</v>
      </c>
      <c r="AD205" s="1475">
        <f t="shared" ca="1" si="100"/>
        <v>1.4400879746761228</v>
      </c>
      <c r="AF205" s="1476">
        <f t="shared" ca="1" si="78"/>
        <v>1.0720000000000003</v>
      </c>
      <c r="AG205" s="1474">
        <f t="shared" si="88"/>
        <v>0</v>
      </c>
      <c r="AH205" s="1475">
        <f t="shared" ca="1" si="101"/>
        <v>3.2074123543964816</v>
      </c>
      <c r="AJ205" s="1476">
        <f t="shared" ca="1" si="79"/>
        <v>1.0227155908249366</v>
      </c>
      <c r="AK205" s="1474">
        <f t="shared" si="89"/>
        <v>1.02</v>
      </c>
      <c r="AL205" s="1475">
        <f t="shared" ca="1" si="102"/>
        <v>1.4400879746761228</v>
      </c>
      <c r="AN205" s="1476">
        <f t="shared" ca="1" si="80"/>
        <v>1.0252155908249365</v>
      </c>
      <c r="AO205" s="1474">
        <f t="shared" si="90"/>
        <v>1.0049999999999999</v>
      </c>
      <c r="AP205" s="1475">
        <f t="shared" ca="1" si="103"/>
        <v>1.4818086105109716</v>
      </c>
      <c r="AR205" s="701">
        <f t="shared" si="91"/>
        <v>41061</v>
      </c>
      <c r="AS205" s="1478">
        <f ca="1">IF(AND($A205&gt;=EDATE(AS$17,12),IF(Assm!$L$74=0,$D205,$E205)/AS204&gt;=1.05),IF(Assm!$L$74=0,$D205,$E205),AS204)</f>
        <v>2.6402404794886176</v>
      </c>
      <c r="AT205" s="1478">
        <f t="shared" ca="1" si="92"/>
        <v>1.0517837322694288</v>
      </c>
      <c r="AU205" s="1478">
        <f t="shared" ca="1" si="93"/>
        <v>1.0720000000000003</v>
      </c>
      <c r="AV205" s="1478">
        <f t="shared" ca="1" si="94"/>
        <v>1.0720000000000003</v>
      </c>
      <c r="AW205" s="1475">
        <f t="shared" ca="1" si="95"/>
        <v>3.0057179991743976</v>
      </c>
    </row>
    <row r="206" spans="1:49">
      <c r="A206" s="883">
        <f t="shared" si="82"/>
        <v>41091</v>
      </c>
      <c r="B206" s="1390">
        <f ca="1">'[2]Monthly Curve Calc.'!B209</f>
        <v>456.28102731834008</v>
      </c>
      <c r="C206" s="1391">
        <f ca="1">'[2]Monthly Curve Calc.'!C209</f>
        <v>238.86048267062446</v>
      </c>
      <c r="D206" s="1512">
        <f ca="1">'[2]Monthly Curve Calc.'!F209</f>
        <v>2.7376710117738834</v>
      </c>
      <c r="E206" s="1304">
        <f t="shared" ca="1" si="81"/>
        <v>2.327872524649409</v>
      </c>
      <c r="F206" s="1473">
        <f ca="1">IF(Assm!$L$75=0,F205,IF(AND($A206&gt;F$16,MONTH($A206)=MONTH(F$16)),B205/B193,F205))</f>
        <v>1.0720000000000003</v>
      </c>
      <c r="G206" s="1474">
        <f ca="1">IF(Assm!$L$75=0,G205,IF(AND($A206&gt;G$16,MONTH($A206)=MONTH(G$16)),C205/C193,G205))</f>
        <v>1.0252155908249365</v>
      </c>
      <c r="H206" s="1474">
        <f ca="1">IF(Assm!$L$75=0,H205,IF(AND($A206&gt;H$16,MONTH($A206)=MONTH(H$16)),C205/C193-H$18,H205))</f>
        <v>1.0227155908249366</v>
      </c>
      <c r="I206" s="1474">
        <f ca="1">IF(Assm!$L$75=0,I205,IF($A206&gt;=I$16,IF(MONTH($A206)=MONTH(I$16),AVERAGE(D194:D205),I205),I205))</f>
        <v>2.6806160002247092</v>
      </c>
      <c r="J206" s="1475">
        <f ca="1">IF(Assm!$L$75=0,J205,IF($A206&gt;=J$16,IF(MONTH($A206)=MONTH(J$16),AVERAGE(E194:E205),J205),J205))</f>
        <v>2.2222238353348174</v>
      </c>
      <c r="K206" s="958">
        <f t="shared" si="104"/>
        <v>194</v>
      </c>
      <c r="L206" s="1476">
        <f t="shared" ca="1" si="73"/>
        <v>1.0252155908249365</v>
      </c>
      <c r="M206" s="1474">
        <f t="shared" si="83"/>
        <v>0</v>
      </c>
      <c r="N206" s="1475">
        <f t="shared" ca="1" si="96"/>
        <v>1.4818086105109716</v>
      </c>
      <c r="P206" s="1476">
        <f t="shared" ca="1" si="74"/>
        <v>1.0720000000000003</v>
      </c>
      <c r="Q206" s="1474">
        <f t="shared" si="84"/>
        <v>0</v>
      </c>
      <c r="R206" s="1475">
        <f t="shared" ca="1" si="97"/>
        <v>3.2074123543964816</v>
      </c>
      <c r="T206" s="1476">
        <f t="shared" ca="1" si="75"/>
        <v>1.0252155908249365</v>
      </c>
      <c r="U206" s="1474">
        <f t="shared" si="85"/>
        <v>1.0049999999999999</v>
      </c>
      <c r="V206" s="1475">
        <f t="shared" ca="1" si="98"/>
        <v>1.4818086105109716</v>
      </c>
      <c r="X206" s="1476">
        <f t="shared" ca="1" si="76"/>
        <v>1.0227155908249366</v>
      </c>
      <c r="Y206" s="1474">
        <f t="shared" si="86"/>
        <v>1.02</v>
      </c>
      <c r="Z206" s="1475">
        <f t="shared" ca="1" si="99"/>
        <v>1.4400879746761228</v>
      </c>
      <c r="AB206" s="1476">
        <f t="shared" ca="1" si="77"/>
        <v>1.0227155908249366</v>
      </c>
      <c r="AC206" s="1474">
        <f t="shared" si="87"/>
        <v>1.02</v>
      </c>
      <c r="AD206" s="1475">
        <f t="shared" ca="1" si="100"/>
        <v>1.4400879746761228</v>
      </c>
      <c r="AF206" s="1476">
        <f t="shared" ca="1" si="78"/>
        <v>1.0720000000000003</v>
      </c>
      <c r="AG206" s="1474">
        <f t="shared" si="88"/>
        <v>0</v>
      </c>
      <c r="AH206" s="1475">
        <f t="shared" ca="1" si="101"/>
        <v>3.2074123543964816</v>
      </c>
      <c r="AJ206" s="1476">
        <f t="shared" ca="1" si="79"/>
        <v>1.0227155908249366</v>
      </c>
      <c r="AK206" s="1474">
        <f t="shared" si="89"/>
        <v>1.02</v>
      </c>
      <c r="AL206" s="1475">
        <f t="shared" ca="1" si="102"/>
        <v>1.4400879746761228</v>
      </c>
      <c r="AN206" s="1476">
        <f t="shared" ca="1" si="80"/>
        <v>1.0252155908249365</v>
      </c>
      <c r="AO206" s="1474">
        <f t="shared" si="90"/>
        <v>1.0049999999999999</v>
      </c>
      <c r="AP206" s="1475">
        <f t="shared" ca="1" si="103"/>
        <v>1.4818086105109716</v>
      </c>
      <c r="AR206" s="701">
        <f t="shared" si="91"/>
        <v>41091</v>
      </c>
      <c r="AS206" s="1478">
        <f ca="1">IF(AND($A206&gt;=EDATE(AS$17,12),IF(Assm!$L$74=0,$D206,$E206)/AS205&gt;=1.05),IF(Assm!$L$74=0,$D206,$E206),AS205)</f>
        <v>2.6402404794886176</v>
      </c>
      <c r="AT206" s="1478">
        <f t="shared" ca="1" si="92"/>
        <v>1.0517837322694288</v>
      </c>
      <c r="AU206" s="1478">
        <f t="shared" ca="1" si="93"/>
        <v>1.0720000000000003</v>
      </c>
      <c r="AV206" s="1478">
        <f t="shared" ca="1" si="94"/>
        <v>1.0720000000000003</v>
      </c>
      <c r="AW206" s="1475">
        <f t="shared" ca="1" si="95"/>
        <v>3.0057179991743976</v>
      </c>
    </row>
    <row r="207" spans="1:49">
      <c r="A207" s="883">
        <f t="shared" si="82"/>
        <v>41122</v>
      </c>
      <c r="B207" s="1390">
        <f ca="1">'[2]Monthly Curve Calc.'!B210</f>
        <v>458.93231908746645</v>
      </c>
      <c r="C207" s="1391">
        <f ca="1">'[2]Monthly Curve Calc.'!C210</f>
        <v>239.35409689951445</v>
      </c>
      <c r="D207" s="1512">
        <f ca="1">'[2]Monthly Curve Calc.'!F210</f>
        <v>2.7421899437198975</v>
      </c>
      <c r="E207" s="1304">
        <f t="shared" ca="1" si="81"/>
        <v>2.3365703783379632</v>
      </c>
      <c r="F207" s="1473">
        <f ca="1">IF(Assm!$L$75=0,F206,IF(AND($A207&gt;F$16,MONTH($A207)=MONTH(F$16)),B206/B194,F206))</f>
        <v>1.0720000000000003</v>
      </c>
      <c r="G207" s="1474">
        <f ca="1">IF(Assm!$L$75=0,G206,IF(AND($A207&gt;G$16,MONTH($A207)=MONTH(G$16)),C206/C194,G206))</f>
        <v>1.0252155908249365</v>
      </c>
      <c r="H207" s="1474">
        <f ca="1">IF(Assm!$L$75=0,H206,IF(AND($A207&gt;H$16,MONTH($A207)=MONTH(H$16)),C206/C194-H$18,H206))</f>
        <v>1.0227155908249366</v>
      </c>
      <c r="I207" s="1474">
        <f ca="1">IF(Assm!$L$75=0,I206,IF($A207&gt;=I$16,IF(MONTH($A207)=MONTH(I$16),AVERAGE(D195:D206),I206),I206))</f>
        <v>2.6806160002247092</v>
      </c>
      <c r="J207" s="1475">
        <f ca="1">IF(Assm!$L$75=0,J206,IF($A207&gt;=J$16,IF(MONTH($A207)=MONTH(J$16),AVERAGE(E195:E206),J206),J206))</f>
        <v>2.2222238353348174</v>
      </c>
      <c r="K207" s="958">
        <f t="shared" si="104"/>
        <v>195</v>
      </c>
      <c r="L207" s="1476">
        <f t="shared" ca="1" si="73"/>
        <v>1.0252155908249365</v>
      </c>
      <c r="M207" s="1474">
        <f t="shared" si="83"/>
        <v>0</v>
      </c>
      <c r="N207" s="1475">
        <f t="shared" ca="1" si="96"/>
        <v>1.4818086105109716</v>
      </c>
      <c r="P207" s="1476">
        <f t="shared" ca="1" si="74"/>
        <v>1.0720000000000003</v>
      </c>
      <c r="Q207" s="1474">
        <f t="shared" si="84"/>
        <v>0</v>
      </c>
      <c r="R207" s="1475">
        <f t="shared" ca="1" si="97"/>
        <v>3.2074123543964816</v>
      </c>
      <c r="T207" s="1476">
        <f t="shared" ca="1" si="75"/>
        <v>1.0252155908249365</v>
      </c>
      <c r="U207" s="1474">
        <f t="shared" si="85"/>
        <v>1.0049999999999999</v>
      </c>
      <c r="V207" s="1475">
        <f t="shared" ca="1" si="98"/>
        <v>1.4818086105109716</v>
      </c>
      <c r="X207" s="1476">
        <f t="shared" ca="1" si="76"/>
        <v>1.0227155908249366</v>
      </c>
      <c r="Y207" s="1474">
        <f t="shared" si="86"/>
        <v>1.02</v>
      </c>
      <c r="Z207" s="1475">
        <f t="shared" ca="1" si="99"/>
        <v>1.4400879746761228</v>
      </c>
      <c r="AB207" s="1476">
        <f t="shared" ca="1" si="77"/>
        <v>1.0227155908249366</v>
      </c>
      <c r="AC207" s="1474">
        <f t="shared" si="87"/>
        <v>1.02</v>
      </c>
      <c r="AD207" s="1475">
        <f t="shared" ca="1" si="100"/>
        <v>1.4400879746761228</v>
      </c>
      <c r="AF207" s="1476">
        <f t="shared" ca="1" si="78"/>
        <v>1.0720000000000003</v>
      </c>
      <c r="AG207" s="1474">
        <f t="shared" si="88"/>
        <v>0</v>
      </c>
      <c r="AH207" s="1475">
        <f t="shared" ca="1" si="101"/>
        <v>3.2074123543964816</v>
      </c>
      <c r="AJ207" s="1476">
        <f t="shared" ca="1" si="79"/>
        <v>1.0227155908249366</v>
      </c>
      <c r="AK207" s="1474">
        <f t="shared" si="89"/>
        <v>1.02</v>
      </c>
      <c r="AL207" s="1475">
        <f t="shared" ca="1" si="102"/>
        <v>1.4400879746761228</v>
      </c>
      <c r="AN207" s="1476">
        <f t="shared" ca="1" si="80"/>
        <v>1.0252155908249365</v>
      </c>
      <c r="AO207" s="1474">
        <f t="shared" si="90"/>
        <v>1.0049999999999999</v>
      </c>
      <c r="AP207" s="1475">
        <f t="shared" ca="1" si="103"/>
        <v>1.4818086105109716</v>
      </c>
      <c r="AR207" s="701">
        <f t="shared" si="91"/>
        <v>41122</v>
      </c>
      <c r="AS207" s="1478">
        <f ca="1">IF(AND($A207&gt;=EDATE(AS$17,12),IF(Assm!$L$74=0,$D207,$E207)/AS206&gt;=1.05),IF(Assm!$L$74=0,$D207,$E207),AS206)</f>
        <v>2.6402404794886176</v>
      </c>
      <c r="AT207" s="1478">
        <f t="shared" ca="1" si="92"/>
        <v>1.0517837322694288</v>
      </c>
      <c r="AU207" s="1478">
        <f t="shared" ca="1" si="93"/>
        <v>1.0720000000000003</v>
      </c>
      <c r="AV207" s="1478">
        <f t="shared" ca="1" si="94"/>
        <v>1.0720000000000003</v>
      </c>
      <c r="AW207" s="1475">
        <f t="shared" ca="1" si="95"/>
        <v>3.0057179991743976</v>
      </c>
    </row>
    <row r="208" spans="1:49">
      <c r="A208" s="883">
        <f t="shared" si="82"/>
        <v>41153</v>
      </c>
      <c r="B208" s="1390">
        <f ca="1">'[2]Monthly Curve Calc.'!B211</f>
        <v>461.59901659915977</v>
      </c>
      <c r="C208" s="1391">
        <f ca="1">'[2]Monthly Curve Calc.'!C211</f>
        <v>239.84873120089293</v>
      </c>
      <c r="D208" s="1512">
        <f ca="1">'[2]Monthly Curve Calc.'!F211</f>
        <v>2.7467163348331547</v>
      </c>
      <c r="E208" s="1304">
        <f t="shared" ca="1" si="81"/>
        <v>2.3453007306526175</v>
      </c>
      <c r="F208" s="1473">
        <f ca="1">IF(Assm!$L$75=0,F207,IF(AND($A208&gt;F$16,MONTH($A208)=MONTH(F$16)),B207/B195,F207))</f>
        <v>1.0720000000000003</v>
      </c>
      <c r="G208" s="1474">
        <f ca="1">IF(Assm!$L$75=0,G207,IF(AND($A208&gt;G$16,MONTH($A208)=MONTH(G$16)),C207/C195,G207))</f>
        <v>1.0252155908249365</v>
      </c>
      <c r="H208" s="1474">
        <f ca="1">IF(Assm!$L$75=0,H207,IF(AND($A208&gt;H$16,MONTH($A208)=MONTH(H$16)),C207/C195-H$18,H207))</f>
        <v>1.0227155908249366</v>
      </c>
      <c r="I208" s="1474">
        <f ca="1">IF(Assm!$L$75=0,I207,IF($A208&gt;=I$16,IF(MONTH($A208)=MONTH(I$16),AVERAGE(D196:D207),I207),I207))</f>
        <v>2.6806160002247092</v>
      </c>
      <c r="J208" s="1475">
        <f ca="1">IF(Assm!$L$75=0,J207,IF($A208&gt;=J$16,IF(MONTH($A208)=MONTH(J$16),AVERAGE(E196:E207),J207),J207))</f>
        <v>2.2222238353348174</v>
      </c>
      <c r="K208" s="958">
        <f t="shared" si="104"/>
        <v>196</v>
      </c>
      <c r="L208" s="1476">
        <f t="shared" ca="1" si="73"/>
        <v>1.0252155908249365</v>
      </c>
      <c r="M208" s="1474">
        <f t="shared" si="83"/>
        <v>0</v>
      </c>
      <c r="N208" s="1475">
        <f t="shared" ca="1" si="96"/>
        <v>1.4818086105109716</v>
      </c>
      <c r="P208" s="1476">
        <f t="shared" ca="1" si="74"/>
        <v>1.0720000000000003</v>
      </c>
      <c r="Q208" s="1474">
        <f t="shared" si="84"/>
        <v>0</v>
      </c>
      <c r="R208" s="1475">
        <f t="shared" ca="1" si="97"/>
        <v>3.2074123543964816</v>
      </c>
      <c r="T208" s="1476">
        <f t="shared" ca="1" si="75"/>
        <v>1.0252155908249365</v>
      </c>
      <c r="U208" s="1474">
        <f t="shared" si="85"/>
        <v>1.0049999999999999</v>
      </c>
      <c r="V208" s="1475">
        <f t="shared" ca="1" si="98"/>
        <v>1.4818086105109716</v>
      </c>
      <c r="X208" s="1476">
        <f t="shared" ca="1" si="76"/>
        <v>1.0227155908249366</v>
      </c>
      <c r="Y208" s="1474">
        <f t="shared" si="86"/>
        <v>1.02</v>
      </c>
      <c r="Z208" s="1475">
        <f t="shared" ca="1" si="99"/>
        <v>1.4400879746761228</v>
      </c>
      <c r="AB208" s="1476">
        <f t="shared" ca="1" si="77"/>
        <v>1.0227155908249366</v>
      </c>
      <c r="AC208" s="1474">
        <f t="shared" si="87"/>
        <v>1.02</v>
      </c>
      <c r="AD208" s="1475">
        <f t="shared" ca="1" si="100"/>
        <v>1.4400879746761228</v>
      </c>
      <c r="AF208" s="1476">
        <f t="shared" ca="1" si="78"/>
        <v>1.0720000000000003</v>
      </c>
      <c r="AG208" s="1474">
        <f t="shared" si="88"/>
        <v>0</v>
      </c>
      <c r="AH208" s="1475">
        <f t="shared" ca="1" si="101"/>
        <v>3.2074123543964816</v>
      </c>
      <c r="AJ208" s="1476">
        <f t="shared" ca="1" si="79"/>
        <v>1.0227155908249366</v>
      </c>
      <c r="AK208" s="1474">
        <f t="shared" si="89"/>
        <v>1.02</v>
      </c>
      <c r="AL208" s="1475">
        <f t="shared" ca="1" si="102"/>
        <v>1.4400879746761228</v>
      </c>
      <c r="AN208" s="1476">
        <f t="shared" ca="1" si="80"/>
        <v>1.0252155908249365</v>
      </c>
      <c r="AO208" s="1474">
        <f t="shared" si="90"/>
        <v>1.0049999999999999</v>
      </c>
      <c r="AP208" s="1475">
        <f t="shared" ca="1" si="103"/>
        <v>1.4818086105109716</v>
      </c>
      <c r="AR208" s="701">
        <f t="shared" si="91"/>
        <v>41153</v>
      </c>
      <c r="AS208" s="1478">
        <f ca="1">IF(AND($A208&gt;=EDATE(AS$17,12),IF(Assm!$L$74=0,$D208,$E208)/AS207&gt;=1.05),IF(Assm!$L$74=0,$D208,$E208),AS207)</f>
        <v>2.6402404794886176</v>
      </c>
      <c r="AT208" s="1478">
        <f t="shared" ca="1" si="92"/>
        <v>1.0517837322694288</v>
      </c>
      <c r="AU208" s="1478">
        <f t="shared" ca="1" si="93"/>
        <v>1.0720000000000003</v>
      </c>
      <c r="AV208" s="1478">
        <f t="shared" ca="1" si="94"/>
        <v>1.0720000000000003</v>
      </c>
      <c r="AW208" s="1475">
        <f t="shared" ca="1" si="95"/>
        <v>3.0057179991743976</v>
      </c>
    </row>
    <row r="209" spans="1:49">
      <c r="A209" s="883">
        <f t="shared" si="82"/>
        <v>41183</v>
      </c>
      <c r="B209" s="1390">
        <f ca="1">'[2]Monthly Curve Calc.'!B212</f>
        <v>464.28120937087965</v>
      </c>
      <c r="C209" s="1391">
        <f ca="1">'[2]Monthly Curve Calc.'!C212</f>
        <v>240.34438768277832</v>
      </c>
      <c r="D209" s="1512">
        <f ca="1">'[2]Monthly Curve Calc.'!F212</f>
        <v>2.7512501974261161</v>
      </c>
      <c r="E209" s="1304">
        <f t="shared" ca="1" si="81"/>
        <v>2.3540637030211098</v>
      </c>
      <c r="F209" s="1473">
        <f ca="1">IF(Assm!$L$75=0,F208,IF(AND($A209&gt;F$16,MONTH($A209)=MONTH(F$16)),B208/B196,F208))</f>
        <v>1.0720000000000003</v>
      </c>
      <c r="G209" s="1474">
        <f ca="1">IF(Assm!$L$75=0,G208,IF(AND($A209&gt;G$16,MONTH($A209)=MONTH(G$16)),C208/C196,G208))</f>
        <v>1.0252155908249365</v>
      </c>
      <c r="H209" s="1474">
        <f ca="1">IF(Assm!$L$75=0,H208,IF(AND($A209&gt;H$16,MONTH($A209)=MONTH(H$16)),C208/C196-H$18,H208))</f>
        <v>1.0227155908249366</v>
      </c>
      <c r="I209" s="1474">
        <f ca="1">IF(Assm!$L$75=0,I208,IF($A209&gt;=I$16,IF(MONTH($A209)=MONTH(I$16),AVERAGE(D197:D208),I208),I208))</f>
        <v>2.6806160002247092</v>
      </c>
      <c r="J209" s="1475">
        <f ca="1">IF(Assm!$L$75=0,J208,IF($A209&gt;=J$16,IF(MONTH($A209)=MONTH(J$16),AVERAGE(E197:E208),J208),J208))</f>
        <v>2.2222238353348174</v>
      </c>
      <c r="K209" s="958">
        <f t="shared" si="104"/>
        <v>197</v>
      </c>
      <c r="L209" s="1476">
        <f t="shared" ref="L209:L272" ca="1" si="105">HLOOKUP(L$14,Dec_Change,$K209)</f>
        <v>1.0252155908249365</v>
      </c>
      <c r="M209" s="1474">
        <f t="shared" si="83"/>
        <v>0</v>
      </c>
      <c r="N209" s="1475">
        <f t="shared" ca="1" si="96"/>
        <v>1.4818086105109716</v>
      </c>
      <c r="P209" s="1476">
        <f t="shared" ref="P209:P272" ca="1" si="106">HLOOKUP(P$14,Dec_Change,$K209)</f>
        <v>1.0720000000000003</v>
      </c>
      <c r="Q209" s="1474">
        <f t="shared" si="84"/>
        <v>0</v>
      </c>
      <c r="R209" s="1475">
        <f t="shared" ca="1" si="97"/>
        <v>3.2074123543964816</v>
      </c>
      <c r="T209" s="1476">
        <f t="shared" ref="T209:T272" ca="1" si="107">HLOOKUP(T$14,Dec_Change,$K209)</f>
        <v>1.0252155908249365</v>
      </c>
      <c r="U209" s="1474">
        <f t="shared" si="85"/>
        <v>1.0049999999999999</v>
      </c>
      <c r="V209" s="1475">
        <f t="shared" ca="1" si="98"/>
        <v>1.4818086105109716</v>
      </c>
      <c r="X209" s="1476">
        <f t="shared" ref="X209:X272" ca="1" si="108">HLOOKUP(X$14,Dec_Change,$K209)</f>
        <v>1.0227155908249366</v>
      </c>
      <c r="Y209" s="1474">
        <f t="shared" si="86"/>
        <v>1.02</v>
      </c>
      <c r="Z209" s="1475">
        <f t="shared" ca="1" si="99"/>
        <v>1.4400879746761228</v>
      </c>
      <c r="AB209" s="1476">
        <f t="shared" ref="AB209:AB272" ca="1" si="109">HLOOKUP(AB$14,Dec_Change,$K209)</f>
        <v>1.0227155908249366</v>
      </c>
      <c r="AC209" s="1474">
        <f t="shared" si="87"/>
        <v>1.02</v>
      </c>
      <c r="AD209" s="1475">
        <f t="shared" ca="1" si="100"/>
        <v>1.4400879746761228</v>
      </c>
      <c r="AF209" s="1476">
        <f t="shared" ref="AF209:AF272" ca="1" si="110">HLOOKUP(AF$14,Dec_Change,$K209)</f>
        <v>1.0720000000000003</v>
      </c>
      <c r="AG209" s="1474">
        <f t="shared" si="88"/>
        <v>0</v>
      </c>
      <c r="AH209" s="1475">
        <f t="shared" ca="1" si="101"/>
        <v>3.2074123543964816</v>
      </c>
      <c r="AJ209" s="1476">
        <f t="shared" ref="AJ209:AJ272" ca="1" si="111">HLOOKUP(AJ$14,Dec_Change,$K209)</f>
        <v>1.0227155908249366</v>
      </c>
      <c r="AK209" s="1474">
        <f t="shared" si="89"/>
        <v>1.02</v>
      </c>
      <c r="AL209" s="1475">
        <f t="shared" ca="1" si="102"/>
        <v>1.4400879746761228</v>
      </c>
      <c r="AN209" s="1476">
        <f t="shared" ref="AN209:AN272" ca="1" si="112">HLOOKUP(AN$14,Dec_Change,$K209)</f>
        <v>1.0252155908249365</v>
      </c>
      <c r="AO209" s="1474">
        <f t="shared" si="90"/>
        <v>1.0049999999999999</v>
      </c>
      <c r="AP209" s="1475">
        <f t="shared" ca="1" si="103"/>
        <v>1.4818086105109716</v>
      </c>
      <c r="AR209" s="701">
        <f t="shared" si="91"/>
        <v>41183</v>
      </c>
      <c r="AS209" s="1478">
        <f ca="1">IF(AND($A209&gt;=EDATE(AS$17,12),IF(Assm!$L$74=0,$D209,$E209)/AS208&gt;=1.05),IF(Assm!$L$74=0,$D209,$E209),AS208)</f>
        <v>2.6402404794886176</v>
      </c>
      <c r="AT209" s="1478">
        <f t="shared" ca="1" si="92"/>
        <v>1.0517837322694288</v>
      </c>
      <c r="AU209" s="1478">
        <f t="shared" ca="1" si="93"/>
        <v>1.0720000000000003</v>
      </c>
      <c r="AV209" s="1478">
        <f t="shared" ca="1" si="94"/>
        <v>1.0720000000000003</v>
      </c>
      <c r="AW209" s="1475">
        <f t="shared" ca="1" si="95"/>
        <v>3.0057179991743976</v>
      </c>
    </row>
    <row r="210" spans="1:49">
      <c r="A210" s="883">
        <f t="shared" si="82"/>
        <v>41214</v>
      </c>
      <c r="B210" s="1390">
        <f ca="1">'[2]Monthly Curve Calc.'!B213</f>
        <v>466.97898744024093</v>
      </c>
      <c r="C210" s="1391">
        <f ca="1">'[2]Monthly Curve Calc.'!C213</f>
        <v>240.84106845754533</v>
      </c>
      <c r="D210" s="1512">
        <f ca="1">'[2]Monthly Curve Calc.'!F213</f>
        <v>2.7557915438315672</v>
      </c>
      <c r="E210" s="1304">
        <f t="shared" ca="1" si="81"/>
        <v>2.3628594173248803</v>
      </c>
      <c r="F210" s="1473">
        <f ca="1">IF(Assm!$L$75=0,F209,IF(AND($A210&gt;F$16,MONTH($A210)=MONTH(F$16)),B209/B197,F209))</f>
        <v>1.0720000000000003</v>
      </c>
      <c r="G210" s="1474">
        <f ca="1">IF(Assm!$L$75=0,G209,IF(AND($A210&gt;G$16,MONTH($A210)=MONTH(G$16)),C209/C197,G209))</f>
        <v>1.0252155908249365</v>
      </c>
      <c r="H210" s="1474">
        <f ca="1">IF(Assm!$L$75=0,H209,IF(AND($A210&gt;H$16,MONTH($A210)=MONTH(H$16)),C209/C197-H$18,H209))</f>
        <v>1.0227155908249366</v>
      </c>
      <c r="I210" s="1474">
        <f ca="1">IF(Assm!$L$75=0,I209,IF($A210&gt;=I$16,IF(MONTH($A210)=MONTH(I$16),AVERAGE(D198:D209),I209),I209))</f>
        <v>2.6806160002247092</v>
      </c>
      <c r="J210" s="1475">
        <f ca="1">IF(Assm!$L$75=0,J209,IF($A210&gt;=J$16,IF(MONTH($A210)=MONTH(J$16),AVERAGE(E198:E209),J209),J209))</f>
        <v>2.2222238353348174</v>
      </c>
      <c r="K210" s="958">
        <f t="shared" si="104"/>
        <v>198</v>
      </c>
      <c r="L210" s="1476">
        <f t="shared" ca="1" si="105"/>
        <v>1.0252155908249365</v>
      </c>
      <c r="M210" s="1474">
        <f t="shared" si="83"/>
        <v>0</v>
      </c>
      <c r="N210" s="1475">
        <f t="shared" ca="1" si="96"/>
        <v>1.4818086105109716</v>
      </c>
      <c r="P210" s="1476">
        <f t="shared" ca="1" si="106"/>
        <v>1.0720000000000003</v>
      </c>
      <c r="Q210" s="1474">
        <f t="shared" si="84"/>
        <v>0</v>
      </c>
      <c r="R210" s="1475">
        <f t="shared" ca="1" si="97"/>
        <v>3.2074123543964816</v>
      </c>
      <c r="T210" s="1476">
        <f t="shared" ca="1" si="107"/>
        <v>1.0252155908249365</v>
      </c>
      <c r="U210" s="1474">
        <f t="shared" si="85"/>
        <v>1.0049999999999999</v>
      </c>
      <c r="V210" s="1475">
        <f t="shared" ca="1" si="98"/>
        <v>1.4818086105109716</v>
      </c>
      <c r="X210" s="1476">
        <f t="shared" ca="1" si="108"/>
        <v>1.0227155908249366</v>
      </c>
      <c r="Y210" s="1474">
        <f t="shared" si="86"/>
        <v>1.02</v>
      </c>
      <c r="Z210" s="1475">
        <f t="shared" ca="1" si="99"/>
        <v>1.4400879746761228</v>
      </c>
      <c r="AB210" s="1476">
        <f t="shared" ca="1" si="109"/>
        <v>1.0227155908249366</v>
      </c>
      <c r="AC210" s="1474">
        <f t="shared" si="87"/>
        <v>1.02</v>
      </c>
      <c r="AD210" s="1475">
        <f t="shared" ca="1" si="100"/>
        <v>1.4400879746761228</v>
      </c>
      <c r="AF210" s="1476">
        <f t="shared" ca="1" si="110"/>
        <v>1.0720000000000003</v>
      </c>
      <c r="AG210" s="1474">
        <f t="shared" si="88"/>
        <v>0</v>
      </c>
      <c r="AH210" s="1475">
        <f t="shared" ca="1" si="101"/>
        <v>3.2074123543964816</v>
      </c>
      <c r="AJ210" s="1476">
        <f t="shared" ca="1" si="111"/>
        <v>1.0227155908249366</v>
      </c>
      <c r="AK210" s="1474">
        <f t="shared" si="89"/>
        <v>1.02</v>
      </c>
      <c r="AL210" s="1475">
        <f t="shared" ca="1" si="102"/>
        <v>1.4400879746761228</v>
      </c>
      <c r="AN210" s="1476">
        <f t="shared" ca="1" si="112"/>
        <v>1.0252155908249365</v>
      </c>
      <c r="AO210" s="1474">
        <f t="shared" si="90"/>
        <v>1.0049999999999999</v>
      </c>
      <c r="AP210" s="1475">
        <f t="shared" ca="1" si="103"/>
        <v>1.4818086105109716</v>
      </c>
      <c r="AR210" s="701">
        <f t="shared" si="91"/>
        <v>41214</v>
      </c>
      <c r="AS210" s="1478">
        <f ca="1">IF(AND($A210&gt;=EDATE(AS$17,12),IF(Assm!$L$74=0,$D210,$E210)/AS209&gt;=1.05),IF(Assm!$L$74=0,$D210,$E210),AS209)</f>
        <v>2.6402404794886176</v>
      </c>
      <c r="AT210" s="1478">
        <f t="shared" ca="1" si="92"/>
        <v>1.0517837322694288</v>
      </c>
      <c r="AU210" s="1478">
        <f t="shared" ca="1" si="93"/>
        <v>1.0720000000000003</v>
      </c>
      <c r="AV210" s="1478">
        <f t="shared" ca="1" si="94"/>
        <v>1.0720000000000003</v>
      </c>
      <c r="AW210" s="1475">
        <f t="shared" ca="1" si="95"/>
        <v>3.0057179991743976</v>
      </c>
    </row>
    <row r="211" spans="1:49">
      <c r="A211" s="883">
        <f t="shared" si="82"/>
        <v>41244</v>
      </c>
      <c r="B211" s="1390">
        <f ca="1">'[2]Monthly Curve Calc.'!B214</f>
        <v>469.69244136803593</v>
      </c>
      <c r="C211" s="1391">
        <f ca="1">'[2]Monthly Curve Calc.'!C214</f>
        <v>241.33877564193398</v>
      </c>
      <c r="D211" s="1512">
        <f ca="1">'[2]Monthly Curve Calc.'!F214</f>
        <v>2.7603403864026497</v>
      </c>
      <c r="E211" s="1304">
        <f t="shared" ref="E211:E274" ca="1" si="113">IF($A211&lt;=E$16,D211,(B211/B210)/(C211/C210)*E210)</f>
        <v>2.3716879959007664</v>
      </c>
      <c r="F211" s="1473">
        <f ca="1">IF(Assm!$L$75=0,F210,IF(AND($A211&gt;F$16,MONTH($A211)=MONTH(F$16)),B210/B198,F210))</f>
        <v>1.0720000000000003</v>
      </c>
      <c r="G211" s="1474">
        <f ca="1">IF(Assm!$L$75=0,G210,IF(AND($A211&gt;G$16,MONTH($A211)=MONTH(G$16)),C210/C198,G210))</f>
        <v>1.0252155908249365</v>
      </c>
      <c r="H211" s="1474">
        <f ca="1">IF(Assm!$L$75=0,H210,IF(AND($A211&gt;H$16,MONTH($A211)=MONTH(H$16)),C210/C198-H$18,H210))</f>
        <v>1.0227155908249366</v>
      </c>
      <c r="I211" s="1474">
        <f ca="1">IF(Assm!$L$75=0,I210,IF($A211&gt;=I$16,IF(MONTH($A211)=MONTH(I$16),AVERAGE(D199:D210),I210),I210))</f>
        <v>2.6806160002247092</v>
      </c>
      <c r="J211" s="1475">
        <f ca="1">IF(Assm!$L$75=0,J210,IF($A211&gt;=J$16,IF(MONTH($A211)=MONTH(J$16),AVERAGE(E199:E210),J210),J210))</f>
        <v>2.2222238353348174</v>
      </c>
      <c r="K211" s="958">
        <f t="shared" si="104"/>
        <v>199</v>
      </c>
      <c r="L211" s="1476">
        <f t="shared" ca="1" si="105"/>
        <v>1.0252155908249365</v>
      </c>
      <c r="M211" s="1474">
        <f t="shared" si="83"/>
        <v>0</v>
      </c>
      <c r="N211" s="1475">
        <f t="shared" ca="1" si="96"/>
        <v>1.4818086105109716</v>
      </c>
      <c r="P211" s="1476">
        <f t="shared" ca="1" si="106"/>
        <v>1.0720000000000003</v>
      </c>
      <c r="Q211" s="1474">
        <f t="shared" si="84"/>
        <v>0</v>
      </c>
      <c r="R211" s="1475">
        <f t="shared" ca="1" si="97"/>
        <v>3.2074123543964816</v>
      </c>
      <c r="T211" s="1476">
        <f t="shared" ca="1" si="107"/>
        <v>1.0252155908249365</v>
      </c>
      <c r="U211" s="1474">
        <f t="shared" si="85"/>
        <v>1.0049999999999999</v>
      </c>
      <c r="V211" s="1475">
        <f t="shared" ca="1" si="98"/>
        <v>1.4818086105109716</v>
      </c>
      <c r="X211" s="1476">
        <f t="shared" ca="1" si="108"/>
        <v>1.0227155908249366</v>
      </c>
      <c r="Y211" s="1474">
        <f t="shared" si="86"/>
        <v>1.02</v>
      </c>
      <c r="Z211" s="1475">
        <f t="shared" ca="1" si="99"/>
        <v>1.4400879746761228</v>
      </c>
      <c r="AB211" s="1476">
        <f t="shared" ca="1" si="109"/>
        <v>1.0227155908249366</v>
      </c>
      <c r="AC211" s="1474">
        <f t="shared" si="87"/>
        <v>1.02</v>
      </c>
      <c r="AD211" s="1475">
        <f t="shared" ca="1" si="100"/>
        <v>1.4400879746761228</v>
      </c>
      <c r="AF211" s="1476">
        <f t="shared" ca="1" si="110"/>
        <v>1.0720000000000003</v>
      </c>
      <c r="AG211" s="1474">
        <f t="shared" si="88"/>
        <v>0</v>
      </c>
      <c r="AH211" s="1475">
        <f t="shared" ca="1" si="101"/>
        <v>3.2074123543964816</v>
      </c>
      <c r="AJ211" s="1476">
        <f t="shared" ca="1" si="111"/>
        <v>1.0227155908249366</v>
      </c>
      <c r="AK211" s="1474">
        <f t="shared" si="89"/>
        <v>1.02</v>
      </c>
      <c r="AL211" s="1475">
        <f t="shared" ca="1" si="102"/>
        <v>1.4400879746761228</v>
      </c>
      <c r="AN211" s="1476">
        <f t="shared" ca="1" si="112"/>
        <v>1.0252155908249365</v>
      </c>
      <c r="AO211" s="1474">
        <f t="shared" si="90"/>
        <v>1.0049999999999999</v>
      </c>
      <c r="AP211" s="1475">
        <f t="shared" ca="1" si="103"/>
        <v>1.4818086105109716</v>
      </c>
      <c r="AR211" s="701">
        <f t="shared" si="91"/>
        <v>41244</v>
      </c>
      <c r="AS211" s="1478">
        <f ca="1">IF(AND($A211&gt;=EDATE(AS$17,12),IF(Assm!$L$74=0,$D211,$E211)/AS210&gt;=1.05),IF(Assm!$L$74=0,$D211,$E211),AS210)</f>
        <v>2.6402404794886176</v>
      </c>
      <c r="AT211" s="1478">
        <f t="shared" ca="1" si="92"/>
        <v>1.0517837322694288</v>
      </c>
      <c r="AU211" s="1478">
        <f t="shared" ca="1" si="93"/>
        <v>1.0720000000000003</v>
      </c>
      <c r="AV211" s="1478">
        <f t="shared" ca="1" si="94"/>
        <v>1.0720000000000003</v>
      </c>
      <c r="AW211" s="1475">
        <f t="shared" ca="1" si="95"/>
        <v>3.0057179991743976</v>
      </c>
    </row>
    <row r="212" spans="1:49">
      <c r="A212" s="883">
        <f t="shared" ref="A212:A275" si="114">EDATE(A211,1)</f>
        <v>41275</v>
      </c>
      <c r="B212" s="1390">
        <f ca="1">'[2]Monthly Curve Calc.'!B215</f>
        <v>472.34815071889614</v>
      </c>
      <c r="C212" s="1391">
        <f ca="1">'[2]Monthly Curve Calc.'!C215</f>
        <v>241.83890384444527</v>
      </c>
      <c r="D212" s="1512">
        <f ca="1">'[2]Monthly Curve Calc.'!F215</f>
        <v>2.7649282340797861</v>
      </c>
      <c r="E212" s="1304">
        <f t="shared" ca="1" si="113"/>
        <v>2.3801654295018464</v>
      </c>
      <c r="F212" s="1473">
        <f ca="1">IF(Assm!$L$75=0,F211,IF(AND($A212&gt;F$16,MONTH($A212)=MONTH(F$16)),B211/B199,F211))</f>
        <v>1.0720000000000003</v>
      </c>
      <c r="G212" s="1474">
        <f ca="1">IF(Assm!$L$75=0,G211,IF(AND($A212&gt;G$16,MONTH($A212)=MONTH(G$16)),C211/C199,G211))</f>
        <v>1.0252155908249365</v>
      </c>
      <c r="H212" s="1474">
        <f ca="1">IF(Assm!$L$75=0,H211,IF(AND($A212&gt;H$16,MONTH($A212)=MONTH(H$16)),C211/C199-H$18,H211))</f>
        <v>1.0227155908249366</v>
      </c>
      <c r="I212" s="1474">
        <f ca="1">IF(Assm!$L$75=0,I211,IF($A212&gt;=I$16,IF(MONTH($A212)=MONTH(I$16),AVERAGE(D200:D211),I211),I211))</f>
        <v>2.7354586737388158</v>
      </c>
      <c r="J212" s="1475">
        <f ca="1">IF(Assm!$L$75=0,J211,IF($A212&gt;=J$16,IF(MONTH($A212)=MONTH(J$16),AVERAGE(E200:E211),J211),J211))</f>
        <v>2.3237283089204102</v>
      </c>
      <c r="K212" s="958">
        <f t="shared" si="104"/>
        <v>200</v>
      </c>
      <c r="L212" s="1476">
        <f t="shared" ca="1" si="105"/>
        <v>1.0252155908249365</v>
      </c>
      <c r="M212" s="1474">
        <f t="shared" ref="M212:M275" si="115">M211</f>
        <v>0</v>
      </c>
      <c r="N212" s="1475">
        <f t="shared" ca="1" si="96"/>
        <v>1.4818086105109716</v>
      </c>
      <c r="P212" s="1476">
        <f t="shared" ca="1" si="106"/>
        <v>1.0720000000000003</v>
      </c>
      <c r="Q212" s="1474">
        <f t="shared" ref="Q212:Q275" si="116">Q211</f>
        <v>0</v>
      </c>
      <c r="R212" s="1475">
        <f t="shared" ca="1" si="97"/>
        <v>3.2074123543964816</v>
      </c>
      <c r="T212" s="1476">
        <f t="shared" ca="1" si="107"/>
        <v>1.0252155908249365</v>
      </c>
      <c r="U212" s="1474">
        <f t="shared" ref="U212:U275" si="117">U211</f>
        <v>1.0049999999999999</v>
      </c>
      <c r="V212" s="1475">
        <f t="shared" ca="1" si="98"/>
        <v>1.4818086105109716</v>
      </c>
      <c r="X212" s="1476">
        <f t="shared" ca="1" si="108"/>
        <v>1.0227155908249366</v>
      </c>
      <c r="Y212" s="1474">
        <f t="shared" ref="Y212:Y275" si="118">Y211</f>
        <v>1.02</v>
      </c>
      <c r="Z212" s="1475">
        <f t="shared" ca="1" si="99"/>
        <v>1.4400879746761228</v>
      </c>
      <c r="AB212" s="1476">
        <f t="shared" ca="1" si="109"/>
        <v>1.0227155908249366</v>
      </c>
      <c r="AC212" s="1474">
        <f t="shared" ref="AC212:AC275" si="119">AC211</f>
        <v>1.02</v>
      </c>
      <c r="AD212" s="1475">
        <f t="shared" ca="1" si="100"/>
        <v>1.4400879746761228</v>
      </c>
      <c r="AF212" s="1476">
        <f t="shared" ca="1" si="110"/>
        <v>1.0720000000000003</v>
      </c>
      <c r="AG212" s="1474">
        <f t="shared" ref="AG212:AG275" si="120">AG211</f>
        <v>0</v>
      </c>
      <c r="AH212" s="1475">
        <f t="shared" ca="1" si="101"/>
        <v>3.2074123543964816</v>
      </c>
      <c r="AJ212" s="1476">
        <f t="shared" ca="1" si="111"/>
        <v>1.0227155908249366</v>
      </c>
      <c r="AK212" s="1474">
        <f t="shared" ref="AK212:AK275" si="121">AK211</f>
        <v>1.02</v>
      </c>
      <c r="AL212" s="1475">
        <f t="shared" ca="1" si="102"/>
        <v>1.4400879746761228</v>
      </c>
      <c r="AN212" s="1476">
        <f t="shared" ca="1" si="112"/>
        <v>1.0252155908249365</v>
      </c>
      <c r="AO212" s="1474">
        <f t="shared" ref="AO212:AO275" si="122">AO211</f>
        <v>1.0049999999999999</v>
      </c>
      <c r="AP212" s="1475">
        <f t="shared" ca="1" si="103"/>
        <v>1.4818086105109716</v>
      </c>
      <c r="AR212" s="701">
        <f t="shared" ref="AR212:AR275" si="123">$A212</f>
        <v>41275</v>
      </c>
      <c r="AS212" s="1478">
        <f ca="1">IF(AND($A212&gt;=EDATE(AS$17,12),IF(Assm!$L$74=0,$D212,$E212)/AS211&gt;=1.05),IF(Assm!$L$74=0,$D212,$E212),AS211)</f>
        <v>2.6402404794886176</v>
      </c>
      <c r="AT212" s="1478">
        <f t="shared" ref="AT212:AT273" ca="1" si="124">IF(AS212/AS211=1,AT211,AS212/AS211)</f>
        <v>1.0517837322694288</v>
      </c>
      <c r="AU212" s="1478">
        <f t="shared" ref="AU212:AU275" ca="1" si="125">F212</f>
        <v>1.0720000000000003</v>
      </c>
      <c r="AV212" s="1478">
        <f t="shared" ref="AV212:AV275" ca="1" si="126">MAX(AT212,AU212)</f>
        <v>1.0720000000000003</v>
      </c>
      <c r="AW212" s="1475">
        <f t="shared" ca="1" si="95"/>
        <v>3.0057179991743976</v>
      </c>
    </row>
    <row r="213" spans="1:49">
      <c r="A213" s="883">
        <f t="shared" si="114"/>
        <v>41306</v>
      </c>
      <c r="B213" s="1390">
        <f ca="1">'[2]Monthly Curve Calc.'!B216</f>
        <v>475.0188758365328</v>
      </c>
      <c r="C213" s="1391">
        <f ca="1">'[2]Monthly Curve Calc.'!C216</f>
        <v>242.34006846648046</v>
      </c>
      <c r="D213" s="1512">
        <f ca="1">'[2]Monthly Curve Calc.'!F216</f>
        <v>2.7695237070289402</v>
      </c>
      <c r="E213" s="1304">
        <f t="shared" ca="1" si="113"/>
        <v>2.3886731650990507</v>
      </c>
      <c r="F213" s="1473">
        <f ca="1">IF(Assm!$L$75=0,F212,IF(AND($A213&gt;F$16,MONTH($A213)=MONTH(F$16)),B212/B200,F212))</f>
        <v>1.0720000000000003</v>
      </c>
      <c r="G213" s="1474">
        <f ca="1">IF(Assm!$L$75=0,G212,IF(AND($A213&gt;G$16,MONTH($A213)=MONTH(G$16)),C212/C200,G212))</f>
        <v>1.0252155908249365</v>
      </c>
      <c r="H213" s="1474">
        <f ca="1">IF(Assm!$L$75=0,H212,IF(AND($A213&gt;H$16,MONTH($A213)=MONTH(H$16)),C212/C200-H$18,H212))</f>
        <v>1.0227155908249366</v>
      </c>
      <c r="I213" s="1474">
        <f ca="1">IF(Assm!$L$75=0,I212,IF($A213&gt;=I$16,IF(MONTH($A213)=MONTH(I$16),AVERAGE(D201:D212),I212),I212))</f>
        <v>2.7354586737388158</v>
      </c>
      <c r="J213" s="1475">
        <f ca="1">IF(Assm!$L$75=0,J212,IF($A213&gt;=J$16,IF(MONTH($A213)=MONTH(J$16),AVERAGE(E201:E212),J212),J212))</f>
        <v>2.3237283089204102</v>
      </c>
      <c r="K213" s="958">
        <f t="shared" si="104"/>
        <v>201</v>
      </c>
      <c r="L213" s="1476">
        <f t="shared" ca="1" si="105"/>
        <v>1.0252155908249365</v>
      </c>
      <c r="M213" s="1474">
        <f t="shared" si="115"/>
        <v>0</v>
      </c>
      <c r="N213" s="1475">
        <f t="shared" ca="1" si="96"/>
        <v>1.4818086105109716</v>
      </c>
      <c r="P213" s="1476">
        <f t="shared" ca="1" si="106"/>
        <v>1.0720000000000003</v>
      </c>
      <c r="Q213" s="1474">
        <f t="shared" si="116"/>
        <v>0</v>
      </c>
      <c r="R213" s="1475">
        <f t="shared" ca="1" si="97"/>
        <v>3.2074123543964816</v>
      </c>
      <c r="T213" s="1476">
        <f t="shared" ca="1" si="107"/>
        <v>1.0252155908249365</v>
      </c>
      <c r="U213" s="1474">
        <f t="shared" si="117"/>
        <v>1.0049999999999999</v>
      </c>
      <c r="V213" s="1475">
        <f t="shared" ca="1" si="98"/>
        <v>1.4818086105109716</v>
      </c>
      <c r="X213" s="1476">
        <f t="shared" ca="1" si="108"/>
        <v>1.0227155908249366</v>
      </c>
      <c r="Y213" s="1474">
        <f t="shared" si="118"/>
        <v>1.02</v>
      </c>
      <c r="Z213" s="1475">
        <f t="shared" ca="1" si="99"/>
        <v>1.4400879746761228</v>
      </c>
      <c r="AB213" s="1476">
        <f t="shared" ca="1" si="109"/>
        <v>1.0227155908249366</v>
      </c>
      <c r="AC213" s="1474">
        <f t="shared" si="119"/>
        <v>1.02</v>
      </c>
      <c r="AD213" s="1475">
        <f t="shared" ca="1" si="100"/>
        <v>1.4400879746761228</v>
      </c>
      <c r="AF213" s="1476">
        <f t="shared" ca="1" si="110"/>
        <v>1.0720000000000003</v>
      </c>
      <c r="AG213" s="1474">
        <f t="shared" si="120"/>
        <v>0</v>
      </c>
      <c r="AH213" s="1475">
        <f t="shared" ca="1" si="101"/>
        <v>3.2074123543964816</v>
      </c>
      <c r="AJ213" s="1476">
        <f t="shared" ca="1" si="111"/>
        <v>1.0227155908249366</v>
      </c>
      <c r="AK213" s="1474">
        <f t="shared" si="121"/>
        <v>1.02</v>
      </c>
      <c r="AL213" s="1475">
        <f t="shared" ca="1" si="102"/>
        <v>1.4400879746761228</v>
      </c>
      <c r="AN213" s="1476">
        <f t="shared" ca="1" si="112"/>
        <v>1.0252155908249365</v>
      </c>
      <c r="AO213" s="1474">
        <f t="shared" si="122"/>
        <v>1.0049999999999999</v>
      </c>
      <c r="AP213" s="1475">
        <f t="shared" ca="1" si="103"/>
        <v>1.4818086105109716</v>
      </c>
      <c r="AR213" s="701">
        <f t="shared" si="123"/>
        <v>41306</v>
      </c>
      <c r="AS213" s="1478">
        <f ca="1">IF(AND($A213&gt;=EDATE(AS$17,12),IF(Assm!$L$74=0,$D213,$E213)/AS212&gt;=1.05),IF(Assm!$L$74=0,$D213,$E213),AS212)</f>
        <v>2.6402404794886176</v>
      </c>
      <c r="AT213" s="1478">
        <f t="shared" ca="1" si="124"/>
        <v>1.0517837322694288</v>
      </c>
      <c r="AU213" s="1478">
        <f t="shared" ca="1" si="125"/>
        <v>1.0720000000000003</v>
      </c>
      <c r="AV213" s="1478">
        <f t="shared" ca="1" si="126"/>
        <v>1.0720000000000003</v>
      </c>
      <c r="AW213" s="1475">
        <f t="shared" ref="AW213:AW276" ca="1" si="127">IF(AV213=AV212,AW212,AV213*AW212)</f>
        <v>3.0057179991743976</v>
      </c>
    </row>
    <row r="214" spans="1:49">
      <c r="A214" s="883">
        <f t="shared" si="114"/>
        <v>41334</v>
      </c>
      <c r="B214" s="1390">
        <f ca="1">'[2]Monthly Curve Calc.'!B217</f>
        <v>477.70470162227434</v>
      </c>
      <c r="C214" s="1391">
        <f ca="1">'[2]Monthly Curve Calc.'!C217</f>
        <v>242.8422716558197</v>
      </c>
      <c r="D214" s="1512">
        <f ca="1">'[2]Monthly Curve Calc.'!F217</f>
        <v>2.7741268179237619</v>
      </c>
      <c r="E214" s="1304">
        <f t="shared" ca="1" si="113"/>
        <v>2.3972113110047553</v>
      </c>
      <c r="F214" s="1473">
        <f ca="1">IF(Assm!$L$75=0,F213,IF(AND($A214&gt;F$16,MONTH($A214)=MONTH(F$16)),B213/B201,F213))</f>
        <v>1.0720000000000003</v>
      </c>
      <c r="G214" s="1474">
        <f ca="1">IF(Assm!$L$75=0,G213,IF(AND($A214&gt;G$16,MONTH($A214)=MONTH(G$16)),C213/C201,G213))</f>
        <v>1.0252155908249365</v>
      </c>
      <c r="H214" s="1474">
        <f ca="1">IF(Assm!$L$75=0,H213,IF(AND($A214&gt;H$16,MONTH($A214)=MONTH(H$16)),C213/C201-H$18,H213))</f>
        <v>1.0227155908249366</v>
      </c>
      <c r="I214" s="1474">
        <f ca="1">IF(Assm!$L$75=0,I213,IF($A214&gt;=I$16,IF(MONTH($A214)=MONTH(I$16),AVERAGE(D202:D213),I213),I213))</f>
        <v>2.7354586737388158</v>
      </c>
      <c r="J214" s="1475">
        <f ca="1">IF(Assm!$L$75=0,J213,IF($A214&gt;=J$16,IF(MONTH($A214)=MONTH(J$16),AVERAGE(E202:E213),J213),J213))</f>
        <v>2.3237283089204102</v>
      </c>
      <c r="K214" s="958">
        <f t="shared" si="104"/>
        <v>202</v>
      </c>
      <c r="L214" s="1476">
        <f t="shared" ca="1" si="105"/>
        <v>1.0252155908249365</v>
      </c>
      <c r="M214" s="1474">
        <f t="shared" si="115"/>
        <v>0</v>
      </c>
      <c r="N214" s="1475">
        <f t="shared" ca="1" si="96"/>
        <v>1.4818086105109716</v>
      </c>
      <c r="P214" s="1476">
        <f t="shared" ca="1" si="106"/>
        <v>1.0720000000000003</v>
      </c>
      <c r="Q214" s="1474">
        <f t="shared" si="116"/>
        <v>0</v>
      </c>
      <c r="R214" s="1475">
        <f t="shared" ca="1" si="97"/>
        <v>3.2074123543964816</v>
      </c>
      <c r="T214" s="1476">
        <f t="shared" ca="1" si="107"/>
        <v>1.0252155908249365</v>
      </c>
      <c r="U214" s="1474">
        <f t="shared" si="117"/>
        <v>1.0049999999999999</v>
      </c>
      <c r="V214" s="1475">
        <f t="shared" ca="1" si="98"/>
        <v>1.4818086105109716</v>
      </c>
      <c r="X214" s="1476">
        <f t="shared" ca="1" si="108"/>
        <v>1.0227155908249366</v>
      </c>
      <c r="Y214" s="1474">
        <f t="shared" si="118"/>
        <v>1.02</v>
      </c>
      <c r="Z214" s="1475">
        <f t="shared" ca="1" si="99"/>
        <v>1.4400879746761228</v>
      </c>
      <c r="AB214" s="1476">
        <f t="shared" ca="1" si="109"/>
        <v>1.0227155908249366</v>
      </c>
      <c r="AC214" s="1474">
        <f t="shared" si="119"/>
        <v>1.02</v>
      </c>
      <c r="AD214" s="1475">
        <f t="shared" ca="1" si="100"/>
        <v>1.4400879746761228</v>
      </c>
      <c r="AF214" s="1476">
        <f t="shared" ca="1" si="110"/>
        <v>1.0720000000000003</v>
      </c>
      <c r="AG214" s="1474">
        <f t="shared" si="120"/>
        <v>0</v>
      </c>
      <c r="AH214" s="1475">
        <f t="shared" ca="1" si="101"/>
        <v>3.2074123543964816</v>
      </c>
      <c r="AJ214" s="1476">
        <f t="shared" ca="1" si="111"/>
        <v>1.0227155908249366</v>
      </c>
      <c r="AK214" s="1474">
        <f t="shared" si="121"/>
        <v>1.02</v>
      </c>
      <c r="AL214" s="1475">
        <f t="shared" ca="1" si="102"/>
        <v>1.4400879746761228</v>
      </c>
      <c r="AN214" s="1476">
        <f t="shared" ca="1" si="112"/>
        <v>1.0252155908249365</v>
      </c>
      <c r="AO214" s="1474">
        <f t="shared" si="122"/>
        <v>1.0049999999999999</v>
      </c>
      <c r="AP214" s="1475">
        <f t="shared" ca="1" si="103"/>
        <v>1.4818086105109716</v>
      </c>
      <c r="AR214" s="701">
        <f t="shared" si="123"/>
        <v>41334</v>
      </c>
      <c r="AS214" s="1478">
        <f ca="1">IF(AND($A214&gt;=EDATE(AS$17,12),IF(Assm!$L$74=0,$D214,$E214)/AS213&gt;=1.05),IF(Assm!$L$74=0,$D214,$E214),AS213)</f>
        <v>2.7741268179237619</v>
      </c>
      <c r="AT214" s="1478">
        <f t="shared" ca="1" si="124"/>
        <v>1.050709902933189</v>
      </c>
      <c r="AU214" s="1478">
        <f t="shared" ca="1" si="125"/>
        <v>1.0720000000000003</v>
      </c>
      <c r="AV214" s="1478">
        <f t="shared" ca="1" si="126"/>
        <v>1.0720000000000003</v>
      </c>
      <c r="AW214" s="1475">
        <f t="shared" ca="1" si="127"/>
        <v>3.0057179991743976</v>
      </c>
    </row>
    <row r="215" spans="1:49">
      <c r="A215" s="883">
        <f t="shared" si="114"/>
        <v>41365</v>
      </c>
      <c r="B215" s="1390">
        <f ca="1">'[2]Monthly Curve Calc.'!B218</f>
        <v>480.40571345749373</v>
      </c>
      <c r="C215" s="1391">
        <f ca="1">'[2]Monthly Curve Calc.'!C218</f>
        <v>243.34551556469401</v>
      </c>
      <c r="D215" s="1512">
        <f ca="1">'[2]Monthly Curve Calc.'!F218</f>
        <v>2.7787375794589648</v>
      </c>
      <c r="E215" s="1304">
        <f t="shared" ca="1" si="113"/>
        <v>2.4057799759184899</v>
      </c>
      <c r="F215" s="1473">
        <f ca="1">IF(Assm!$L$75=0,F214,IF(AND($A215&gt;F$16,MONTH($A215)=MONTH(F$16)),B214/B202,F214))</f>
        <v>1.0720000000000003</v>
      </c>
      <c r="G215" s="1474">
        <f ca="1">IF(Assm!$L$75=0,G214,IF(AND($A215&gt;G$16,MONTH($A215)=MONTH(G$16)),C214/C202,G214))</f>
        <v>1.0252155908249365</v>
      </c>
      <c r="H215" s="1474">
        <f ca="1">IF(Assm!$L$75=0,H214,IF(AND($A215&gt;H$16,MONTH($A215)=MONTH(H$16)),C214/C202-H$18,H214))</f>
        <v>1.0227155908249366</v>
      </c>
      <c r="I215" s="1474">
        <f ca="1">IF(Assm!$L$75=0,I214,IF($A215&gt;=I$16,IF(MONTH($A215)=MONTH(I$16),AVERAGE(D203:D214),I214),I214))</f>
        <v>2.7354586737388158</v>
      </c>
      <c r="J215" s="1475">
        <f ca="1">IF(Assm!$L$75=0,J214,IF($A215&gt;=J$16,IF(MONTH($A215)=MONTH(J$16),AVERAGE(E203:E214),J214),J214))</f>
        <v>2.3237283089204102</v>
      </c>
      <c r="K215" s="958">
        <f t="shared" si="104"/>
        <v>203</v>
      </c>
      <c r="L215" s="1476">
        <f t="shared" ca="1" si="105"/>
        <v>1.0252155908249365</v>
      </c>
      <c r="M215" s="1474">
        <f t="shared" si="115"/>
        <v>0</v>
      </c>
      <c r="N215" s="1475">
        <f t="shared" ca="1" si="96"/>
        <v>1.4818086105109716</v>
      </c>
      <c r="P215" s="1476">
        <f t="shared" ca="1" si="106"/>
        <v>1.0720000000000003</v>
      </c>
      <c r="Q215" s="1474">
        <f t="shared" si="116"/>
        <v>0</v>
      </c>
      <c r="R215" s="1475">
        <f t="shared" ca="1" si="97"/>
        <v>3.2074123543964816</v>
      </c>
      <c r="T215" s="1476">
        <f t="shared" ca="1" si="107"/>
        <v>1.0252155908249365</v>
      </c>
      <c r="U215" s="1474">
        <f t="shared" si="117"/>
        <v>1.0049999999999999</v>
      </c>
      <c r="V215" s="1475">
        <f t="shared" ca="1" si="98"/>
        <v>1.4818086105109716</v>
      </c>
      <c r="X215" s="1476">
        <f t="shared" ca="1" si="108"/>
        <v>1.0227155908249366</v>
      </c>
      <c r="Y215" s="1474">
        <f t="shared" si="118"/>
        <v>1.02</v>
      </c>
      <c r="Z215" s="1475">
        <f t="shared" ca="1" si="99"/>
        <v>1.4400879746761228</v>
      </c>
      <c r="AB215" s="1476">
        <f t="shared" ca="1" si="109"/>
        <v>1.0227155908249366</v>
      </c>
      <c r="AC215" s="1474">
        <f t="shared" si="119"/>
        <v>1.02</v>
      </c>
      <c r="AD215" s="1475">
        <f t="shared" ca="1" si="100"/>
        <v>1.4400879746761228</v>
      </c>
      <c r="AF215" s="1476">
        <f t="shared" ca="1" si="110"/>
        <v>1.0720000000000003</v>
      </c>
      <c r="AG215" s="1474">
        <f t="shared" si="120"/>
        <v>0</v>
      </c>
      <c r="AH215" s="1475">
        <f t="shared" ca="1" si="101"/>
        <v>3.2074123543964816</v>
      </c>
      <c r="AJ215" s="1476">
        <f t="shared" ca="1" si="111"/>
        <v>1.0227155908249366</v>
      </c>
      <c r="AK215" s="1474">
        <f t="shared" si="121"/>
        <v>1.02</v>
      </c>
      <c r="AL215" s="1475">
        <f t="shared" ca="1" si="102"/>
        <v>1.4400879746761228</v>
      </c>
      <c r="AN215" s="1476">
        <f t="shared" ca="1" si="112"/>
        <v>1.0252155908249365</v>
      </c>
      <c r="AO215" s="1474">
        <f t="shared" si="122"/>
        <v>1.0049999999999999</v>
      </c>
      <c r="AP215" s="1475">
        <f t="shared" ca="1" si="103"/>
        <v>1.4818086105109716</v>
      </c>
      <c r="AR215" s="701">
        <f t="shared" si="123"/>
        <v>41365</v>
      </c>
      <c r="AS215" s="1478">
        <f ca="1">IF(AND($A215&gt;=EDATE(AS$17,12),IF(Assm!$L$74=0,$D215,$E215)/AS214&gt;=1.05),IF(Assm!$L$74=0,$D215,$E215),AS214)</f>
        <v>2.7741268179237619</v>
      </c>
      <c r="AT215" s="1478">
        <f t="shared" ca="1" si="124"/>
        <v>1.050709902933189</v>
      </c>
      <c r="AU215" s="1478">
        <f t="shared" ca="1" si="125"/>
        <v>1.0720000000000003</v>
      </c>
      <c r="AV215" s="1478">
        <f t="shared" ca="1" si="126"/>
        <v>1.0720000000000003</v>
      </c>
      <c r="AW215" s="1475">
        <f t="shared" ca="1" si="127"/>
        <v>3.0057179991743976</v>
      </c>
    </row>
    <row r="216" spans="1:49">
      <c r="A216" s="883">
        <f t="shared" si="114"/>
        <v>41395</v>
      </c>
      <c r="B216" s="1390">
        <f ca="1">'[2]Monthly Curve Calc.'!B219</f>
        <v>483.12199720632253</v>
      </c>
      <c r="C216" s="1391">
        <f ca="1">'[2]Monthly Curve Calc.'!C219</f>
        <v>243.84980234979449</v>
      </c>
      <c r="D216" s="1512">
        <f ca="1">'[2]Monthly Curve Calc.'!F219</f>
        <v>2.7833560043503622</v>
      </c>
      <c r="E216" s="1304">
        <f t="shared" ca="1" si="113"/>
        <v>2.4143792689283239</v>
      </c>
      <c r="F216" s="1473">
        <f ca="1">IF(Assm!$L$75=0,F215,IF(AND($A216&gt;F$16,MONTH($A216)=MONTH(F$16)),B215/B203,F215))</f>
        <v>1.0713329183093803</v>
      </c>
      <c r="G216" s="1474">
        <f ca="1">IF(Assm!$L$75=0,G215,IF(AND($A216&gt;G$16,MONTH($A216)=MONTH(G$16)),C215/C203,G215))</f>
        <v>1.0251058727276681</v>
      </c>
      <c r="H216" s="1474">
        <f ca="1">IF(Assm!$L$75=0,H215,IF(AND($A216&gt;H$16,MONTH($A216)=MONTH(H$16)),C215/C203-H$18,H215))</f>
        <v>1.0226058727276681</v>
      </c>
      <c r="I216" s="1474">
        <f ca="1">IF(Assm!$L$75=0,I215,IF($A216&gt;=I$16,IF(MONTH($A216)=MONTH(I$16),AVERAGE(D204:D215),I215),I215))</f>
        <v>2.7354586737388158</v>
      </c>
      <c r="J216" s="1475">
        <f ca="1">IF(Assm!$L$75=0,J215,IF($A216&gt;=J$16,IF(MONTH($A216)=MONTH(J$16),AVERAGE(E204:E215),J215),J215))</f>
        <v>2.3237283089204102</v>
      </c>
      <c r="K216" s="958">
        <f t="shared" si="104"/>
        <v>204</v>
      </c>
      <c r="L216" s="1476">
        <f t="shared" ca="1" si="105"/>
        <v>1.0251058727276681</v>
      </c>
      <c r="M216" s="1474">
        <f t="shared" si="115"/>
        <v>0</v>
      </c>
      <c r="N216" s="1475">
        <f t="shared" ca="1" si="96"/>
        <v>1.5190107088932228</v>
      </c>
      <c r="P216" s="1476">
        <f t="shared" ca="1" si="106"/>
        <v>1.0713329183093803</v>
      </c>
      <c r="Q216" s="1474">
        <f t="shared" si="116"/>
        <v>0</v>
      </c>
      <c r="R216" s="1475">
        <f t="shared" ca="1" si="97"/>
        <v>3.4362064378571429</v>
      </c>
      <c r="T216" s="1476">
        <f t="shared" ca="1" si="107"/>
        <v>1.0251058727276681</v>
      </c>
      <c r="U216" s="1474">
        <f t="shared" si="117"/>
        <v>1.0049999999999999</v>
      </c>
      <c r="V216" s="1475">
        <f t="shared" ca="1" si="98"/>
        <v>1.5190107088932228</v>
      </c>
      <c r="X216" s="1476">
        <f t="shared" ca="1" si="108"/>
        <v>1.0226058727276681</v>
      </c>
      <c r="Y216" s="1474">
        <f t="shared" si="118"/>
        <v>1.02</v>
      </c>
      <c r="Z216" s="1475">
        <f t="shared" ca="1" si="99"/>
        <v>1.4726424201482966</v>
      </c>
      <c r="AB216" s="1476">
        <f t="shared" ca="1" si="109"/>
        <v>1.0226058727276681</v>
      </c>
      <c r="AC216" s="1474">
        <f t="shared" si="119"/>
        <v>1.02</v>
      </c>
      <c r="AD216" s="1475">
        <f t="shared" ca="1" si="100"/>
        <v>1.4726424201482966</v>
      </c>
      <c r="AF216" s="1476">
        <f t="shared" ca="1" si="110"/>
        <v>1.0713329183093803</v>
      </c>
      <c r="AG216" s="1474">
        <f t="shared" si="120"/>
        <v>0</v>
      </c>
      <c r="AH216" s="1475">
        <f t="shared" ca="1" si="101"/>
        <v>3.4362064378571429</v>
      </c>
      <c r="AJ216" s="1476">
        <f t="shared" ca="1" si="111"/>
        <v>1.0226058727276681</v>
      </c>
      <c r="AK216" s="1474">
        <f t="shared" si="121"/>
        <v>1.02</v>
      </c>
      <c r="AL216" s="1475">
        <f t="shared" ca="1" si="102"/>
        <v>1.4726424201482966</v>
      </c>
      <c r="AN216" s="1476">
        <f t="shared" ca="1" si="112"/>
        <v>1.0251058727276681</v>
      </c>
      <c r="AO216" s="1474">
        <f t="shared" si="122"/>
        <v>1.0049999999999999</v>
      </c>
      <c r="AP216" s="1475">
        <f t="shared" ca="1" si="103"/>
        <v>1.5190107088932228</v>
      </c>
      <c r="AR216" s="701">
        <f t="shared" si="123"/>
        <v>41395</v>
      </c>
      <c r="AS216" s="1478">
        <f ca="1">IF(AND($A216&gt;=EDATE(AS$17,12),IF(Assm!$L$74=0,$D216,$E216)/AS215&gt;=1.05),IF(Assm!$L$74=0,$D216,$E216),AS215)</f>
        <v>2.7741268179237619</v>
      </c>
      <c r="AT216" s="1478">
        <f t="shared" ca="1" si="124"/>
        <v>1.050709902933189</v>
      </c>
      <c r="AU216" s="1478">
        <f t="shared" ca="1" si="125"/>
        <v>1.0713329183093803</v>
      </c>
      <c r="AV216" s="1478">
        <f t="shared" ca="1" si="126"/>
        <v>1.0713329183093803</v>
      </c>
      <c r="AW216" s="1475">
        <f t="shared" ca="1" si="127"/>
        <v>3.2201246356705386</v>
      </c>
    </row>
    <row r="217" spans="1:49">
      <c r="A217" s="883">
        <f t="shared" si="114"/>
        <v>41426</v>
      </c>
      <c r="B217" s="1390">
        <f ca="1">'[2]Monthly Curve Calc.'!B220</f>
        <v>485.85363921838069</v>
      </c>
      <c r="C217" s="1391">
        <f ca="1">'[2]Monthly Curve Calc.'!C220</f>
        <v>244.35513417228157</v>
      </c>
      <c r="D217" s="1512">
        <f ca="1">'[2]Monthly Curve Calc.'!F220</f>
        <v>2.7879821053349021</v>
      </c>
      <c r="E217" s="1304">
        <f t="shared" ca="1" si="113"/>
        <v>2.4230092995122541</v>
      </c>
      <c r="F217" s="1473">
        <f ca="1">IF(Assm!$L$75=0,F216,IF(AND($A217&gt;F$16,MONTH($A217)=MONTH(F$16)),B216/B204,F216))</f>
        <v>1.0713329183093803</v>
      </c>
      <c r="G217" s="1474">
        <f ca="1">IF(Assm!$L$75=0,G216,IF(AND($A217&gt;G$16,MONTH($A217)=MONTH(G$16)),C216/C204,G216))</f>
        <v>1.0251058727276681</v>
      </c>
      <c r="H217" s="1474">
        <f ca="1">IF(Assm!$L$75=0,H216,IF(AND($A217&gt;H$16,MONTH($A217)=MONTH(H$16)),C216/C204-H$18,H216))</f>
        <v>1.0226058727276681</v>
      </c>
      <c r="I217" s="1474">
        <f ca="1">IF(Assm!$L$75=0,I216,IF($A217&gt;=I$16,IF(MONTH($A217)=MONTH(I$16),AVERAGE(D205:D216),I216),I216))</f>
        <v>2.7354586737388158</v>
      </c>
      <c r="J217" s="1475">
        <f ca="1">IF(Assm!$L$75=0,J216,IF($A217&gt;=J$16,IF(MONTH($A217)=MONTH(J$16),AVERAGE(E205:E216),J216),J216))</f>
        <v>2.3237283089204102</v>
      </c>
      <c r="K217" s="958">
        <f t="shared" si="104"/>
        <v>205</v>
      </c>
      <c r="L217" s="1476">
        <f t="shared" ca="1" si="105"/>
        <v>1.0251058727276681</v>
      </c>
      <c r="M217" s="1474">
        <f t="shared" si="115"/>
        <v>0</v>
      </c>
      <c r="N217" s="1475">
        <f t="shared" ca="1" si="96"/>
        <v>1.5190107088932228</v>
      </c>
      <c r="P217" s="1476">
        <f t="shared" ca="1" si="106"/>
        <v>1.0713329183093803</v>
      </c>
      <c r="Q217" s="1474">
        <f t="shared" si="116"/>
        <v>0</v>
      </c>
      <c r="R217" s="1475">
        <f t="shared" ca="1" si="97"/>
        <v>3.4362064378571429</v>
      </c>
      <c r="T217" s="1476">
        <f t="shared" ca="1" si="107"/>
        <v>1.0251058727276681</v>
      </c>
      <c r="U217" s="1474">
        <f t="shared" si="117"/>
        <v>1.0049999999999999</v>
      </c>
      <c r="V217" s="1475">
        <f t="shared" ca="1" si="98"/>
        <v>1.5190107088932228</v>
      </c>
      <c r="X217" s="1476">
        <f t="shared" ca="1" si="108"/>
        <v>1.0226058727276681</v>
      </c>
      <c r="Y217" s="1474">
        <f t="shared" si="118"/>
        <v>1.02</v>
      </c>
      <c r="Z217" s="1475">
        <f t="shared" ca="1" si="99"/>
        <v>1.4726424201482966</v>
      </c>
      <c r="AB217" s="1476">
        <f t="shared" ca="1" si="109"/>
        <v>1.0226058727276681</v>
      </c>
      <c r="AC217" s="1474">
        <f t="shared" si="119"/>
        <v>1.02</v>
      </c>
      <c r="AD217" s="1475">
        <f t="shared" ca="1" si="100"/>
        <v>1.4726424201482966</v>
      </c>
      <c r="AF217" s="1476">
        <f t="shared" ca="1" si="110"/>
        <v>1.0713329183093803</v>
      </c>
      <c r="AG217" s="1474">
        <f t="shared" si="120"/>
        <v>0</v>
      </c>
      <c r="AH217" s="1475">
        <f t="shared" ca="1" si="101"/>
        <v>3.4362064378571429</v>
      </c>
      <c r="AJ217" s="1476">
        <f t="shared" ca="1" si="111"/>
        <v>1.0226058727276681</v>
      </c>
      <c r="AK217" s="1474">
        <f t="shared" si="121"/>
        <v>1.02</v>
      </c>
      <c r="AL217" s="1475">
        <f t="shared" ca="1" si="102"/>
        <v>1.4726424201482966</v>
      </c>
      <c r="AN217" s="1476">
        <f t="shared" ca="1" si="112"/>
        <v>1.0251058727276681</v>
      </c>
      <c r="AO217" s="1474">
        <f t="shared" si="122"/>
        <v>1.0049999999999999</v>
      </c>
      <c r="AP217" s="1475">
        <f t="shared" ca="1" si="103"/>
        <v>1.5190107088932228</v>
      </c>
      <c r="AR217" s="701">
        <f t="shared" si="123"/>
        <v>41426</v>
      </c>
      <c r="AS217" s="1478">
        <f ca="1">IF(AND($A217&gt;=EDATE(AS$17,12),IF(Assm!$L$74=0,$D217,$E217)/AS216&gt;=1.05),IF(Assm!$L$74=0,$D217,$E217),AS216)</f>
        <v>2.7741268179237619</v>
      </c>
      <c r="AT217" s="1478">
        <f t="shared" ca="1" si="124"/>
        <v>1.050709902933189</v>
      </c>
      <c r="AU217" s="1478">
        <f t="shared" ca="1" si="125"/>
        <v>1.0713329183093803</v>
      </c>
      <c r="AV217" s="1478">
        <f t="shared" ca="1" si="126"/>
        <v>1.0713329183093803</v>
      </c>
      <c r="AW217" s="1475">
        <f t="shared" ca="1" si="127"/>
        <v>3.2201246356705386</v>
      </c>
    </row>
    <row r="218" spans="1:49">
      <c r="A218" s="883">
        <f t="shared" si="114"/>
        <v>41456</v>
      </c>
      <c r="B218" s="1390">
        <f ca="1">'[2]Monthly Curve Calc.'!B221</f>
        <v>488.60072633152134</v>
      </c>
      <c r="C218" s="1391">
        <f ca="1">'[2]Monthly Curve Calc.'!C221</f>
        <v>244.86151319779427</v>
      </c>
      <c r="D218" s="1512">
        <f ca="1">'[2]Monthly Curve Calc.'!F221</f>
        <v>2.7926158951707012</v>
      </c>
      <c r="E218" s="1304">
        <f t="shared" ca="1" si="113"/>
        <v>2.4316701775395986</v>
      </c>
      <c r="F218" s="1473">
        <f ca="1">IF(Assm!$L$75=0,F217,IF(AND($A218&gt;F$16,MONTH($A218)=MONTH(F$16)),B217/B205,F217))</f>
        <v>1.0713329183093803</v>
      </c>
      <c r="G218" s="1474">
        <f ca="1">IF(Assm!$L$75=0,G217,IF(AND($A218&gt;G$16,MONTH($A218)=MONTH(G$16)),C217/C205,G217))</f>
        <v>1.0251058727276681</v>
      </c>
      <c r="H218" s="1474">
        <f ca="1">IF(Assm!$L$75=0,H217,IF(AND($A218&gt;H$16,MONTH($A218)=MONTH(H$16)),C217/C205-H$18,H217))</f>
        <v>1.0226058727276681</v>
      </c>
      <c r="I218" s="1474">
        <f ca="1">IF(Assm!$L$75=0,I217,IF($A218&gt;=I$16,IF(MONTH($A218)=MONTH(I$16),AVERAGE(D206:D217),I217),I217))</f>
        <v>2.7354586737388158</v>
      </c>
      <c r="J218" s="1475">
        <f ca="1">IF(Assm!$L$75=0,J217,IF($A218&gt;=J$16,IF(MONTH($A218)=MONTH(J$16),AVERAGE(E206:E217),J217),J217))</f>
        <v>2.3237283089204102</v>
      </c>
      <c r="K218" s="958">
        <f t="shared" si="104"/>
        <v>206</v>
      </c>
      <c r="L218" s="1476">
        <f t="shared" ca="1" si="105"/>
        <v>1.0251058727276681</v>
      </c>
      <c r="M218" s="1474">
        <f t="shared" si="115"/>
        <v>0</v>
      </c>
      <c r="N218" s="1475">
        <f t="shared" ca="1" si="96"/>
        <v>1.5190107088932228</v>
      </c>
      <c r="P218" s="1476">
        <f t="shared" ca="1" si="106"/>
        <v>1.0713329183093803</v>
      </c>
      <c r="Q218" s="1474">
        <f t="shared" si="116"/>
        <v>0</v>
      </c>
      <c r="R218" s="1475">
        <f t="shared" ca="1" si="97"/>
        <v>3.4362064378571429</v>
      </c>
      <c r="T218" s="1476">
        <f t="shared" ca="1" si="107"/>
        <v>1.0251058727276681</v>
      </c>
      <c r="U218" s="1474">
        <f t="shared" si="117"/>
        <v>1.0049999999999999</v>
      </c>
      <c r="V218" s="1475">
        <f t="shared" ca="1" si="98"/>
        <v>1.5190107088932228</v>
      </c>
      <c r="X218" s="1476">
        <f t="shared" ca="1" si="108"/>
        <v>1.0226058727276681</v>
      </c>
      <c r="Y218" s="1474">
        <f t="shared" si="118"/>
        <v>1.02</v>
      </c>
      <c r="Z218" s="1475">
        <f t="shared" ca="1" si="99"/>
        <v>1.4726424201482966</v>
      </c>
      <c r="AB218" s="1476">
        <f t="shared" ca="1" si="109"/>
        <v>1.0226058727276681</v>
      </c>
      <c r="AC218" s="1474">
        <f t="shared" si="119"/>
        <v>1.02</v>
      </c>
      <c r="AD218" s="1475">
        <f t="shared" ca="1" si="100"/>
        <v>1.4726424201482966</v>
      </c>
      <c r="AF218" s="1476">
        <f t="shared" ca="1" si="110"/>
        <v>1.0713329183093803</v>
      </c>
      <c r="AG218" s="1474">
        <f t="shared" si="120"/>
        <v>0</v>
      </c>
      <c r="AH218" s="1475">
        <f t="shared" ca="1" si="101"/>
        <v>3.4362064378571429</v>
      </c>
      <c r="AJ218" s="1476">
        <f t="shared" ca="1" si="111"/>
        <v>1.0226058727276681</v>
      </c>
      <c r="AK218" s="1474">
        <f t="shared" si="121"/>
        <v>1.02</v>
      </c>
      <c r="AL218" s="1475">
        <f t="shared" ca="1" si="102"/>
        <v>1.4726424201482966</v>
      </c>
      <c r="AN218" s="1476">
        <f t="shared" ca="1" si="112"/>
        <v>1.0251058727276681</v>
      </c>
      <c r="AO218" s="1474">
        <f t="shared" si="122"/>
        <v>1.0049999999999999</v>
      </c>
      <c r="AP218" s="1475">
        <f t="shared" ca="1" si="103"/>
        <v>1.5190107088932228</v>
      </c>
      <c r="AR218" s="701">
        <f t="shared" si="123"/>
        <v>41456</v>
      </c>
      <c r="AS218" s="1478">
        <f ca="1">IF(AND($A218&gt;=EDATE(AS$17,12),IF(Assm!$L$74=0,$D218,$E218)/AS217&gt;=1.05),IF(Assm!$L$74=0,$D218,$E218),AS217)</f>
        <v>2.7741268179237619</v>
      </c>
      <c r="AT218" s="1478">
        <f t="shared" ca="1" si="124"/>
        <v>1.050709902933189</v>
      </c>
      <c r="AU218" s="1478">
        <f t="shared" ca="1" si="125"/>
        <v>1.0713329183093803</v>
      </c>
      <c r="AV218" s="1478">
        <f t="shared" ca="1" si="126"/>
        <v>1.0713329183093803</v>
      </c>
      <c r="AW218" s="1475">
        <f t="shared" ca="1" si="127"/>
        <v>3.2201246356705386</v>
      </c>
    </row>
    <row r="219" spans="1:49">
      <c r="A219" s="883">
        <f t="shared" si="114"/>
        <v>41487</v>
      </c>
      <c r="B219" s="1390">
        <f ca="1">'[2]Monthly Curve Calc.'!B222</f>
        <v>491.36334587459157</v>
      </c>
      <c r="C219" s="1391">
        <f ca="1">'[2]Monthly Curve Calc.'!C222</f>
        <v>245.36894159645948</v>
      </c>
      <c r="D219" s="1512">
        <f ca="1">'[2]Monthly Curve Calc.'!F222</f>
        <v>2.7972573866370816</v>
      </c>
      <c r="E219" s="1304">
        <f t="shared" ca="1" si="113"/>
        <v>2.4403620132723964</v>
      </c>
      <c r="F219" s="1473">
        <f ca="1">IF(Assm!$L$75=0,F218,IF(AND($A219&gt;F$16,MONTH($A219)=MONTH(F$16)),B218/B206,F218))</f>
        <v>1.0713329183093803</v>
      </c>
      <c r="G219" s="1474">
        <f ca="1">IF(Assm!$L$75=0,G218,IF(AND($A219&gt;G$16,MONTH($A219)=MONTH(G$16)),C218/C206,G218))</f>
        <v>1.0251058727276681</v>
      </c>
      <c r="H219" s="1474">
        <f ca="1">IF(Assm!$L$75=0,H218,IF(AND($A219&gt;H$16,MONTH($A219)=MONTH(H$16)),C218/C206-H$18,H218))</f>
        <v>1.0226058727276681</v>
      </c>
      <c r="I219" s="1474">
        <f ca="1">IF(Assm!$L$75=0,I218,IF($A219&gt;=I$16,IF(MONTH($A219)=MONTH(I$16),AVERAGE(D207:D218),I218),I218))</f>
        <v>2.7354586737388158</v>
      </c>
      <c r="J219" s="1475">
        <f ca="1">IF(Assm!$L$75=0,J218,IF($A219&gt;=J$16,IF(MONTH($A219)=MONTH(J$16),AVERAGE(E207:E218),J218),J218))</f>
        <v>2.3237283089204102</v>
      </c>
      <c r="K219" s="958">
        <f t="shared" si="104"/>
        <v>207</v>
      </c>
      <c r="L219" s="1476">
        <f t="shared" ca="1" si="105"/>
        <v>1.0251058727276681</v>
      </c>
      <c r="M219" s="1474">
        <f t="shared" si="115"/>
        <v>0</v>
      </c>
      <c r="N219" s="1475">
        <f t="shared" ca="1" si="96"/>
        <v>1.5190107088932228</v>
      </c>
      <c r="P219" s="1476">
        <f t="shared" ca="1" si="106"/>
        <v>1.0713329183093803</v>
      </c>
      <c r="Q219" s="1474">
        <f t="shared" si="116"/>
        <v>0</v>
      </c>
      <c r="R219" s="1475">
        <f t="shared" ca="1" si="97"/>
        <v>3.4362064378571429</v>
      </c>
      <c r="T219" s="1476">
        <f t="shared" ca="1" si="107"/>
        <v>1.0251058727276681</v>
      </c>
      <c r="U219" s="1474">
        <f t="shared" si="117"/>
        <v>1.0049999999999999</v>
      </c>
      <c r="V219" s="1475">
        <f t="shared" ca="1" si="98"/>
        <v>1.5190107088932228</v>
      </c>
      <c r="X219" s="1476">
        <f t="shared" ca="1" si="108"/>
        <v>1.0226058727276681</v>
      </c>
      <c r="Y219" s="1474">
        <f t="shared" si="118"/>
        <v>1.02</v>
      </c>
      <c r="Z219" s="1475">
        <f t="shared" ca="1" si="99"/>
        <v>1.4726424201482966</v>
      </c>
      <c r="AB219" s="1476">
        <f t="shared" ca="1" si="109"/>
        <v>1.0226058727276681</v>
      </c>
      <c r="AC219" s="1474">
        <f t="shared" si="119"/>
        <v>1.02</v>
      </c>
      <c r="AD219" s="1475">
        <f t="shared" ca="1" si="100"/>
        <v>1.4726424201482966</v>
      </c>
      <c r="AF219" s="1476">
        <f t="shared" ca="1" si="110"/>
        <v>1.0713329183093803</v>
      </c>
      <c r="AG219" s="1474">
        <f t="shared" si="120"/>
        <v>0</v>
      </c>
      <c r="AH219" s="1475">
        <f t="shared" ca="1" si="101"/>
        <v>3.4362064378571429</v>
      </c>
      <c r="AJ219" s="1476">
        <f t="shared" ca="1" si="111"/>
        <v>1.0226058727276681</v>
      </c>
      <c r="AK219" s="1474">
        <f t="shared" si="121"/>
        <v>1.02</v>
      </c>
      <c r="AL219" s="1475">
        <f t="shared" ca="1" si="102"/>
        <v>1.4726424201482966</v>
      </c>
      <c r="AN219" s="1476">
        <f t="shared" ca="1" si="112"/>
        <v>1.0251058727276681</v>
      </c>
      <c r="AO219" s="1474">
        <f t="shared" si="122"/>
        <v>1.0049999999999999</v>
      </c>
      <c r="AP219" s="1475">
        <f t="shared" ca="1" si="103"/>
        <v>1.5190107088932228</v>
      </c>
      <c r="AR219" s="701">
        <f t="shared" si="123"/>
        <v>41487</v>
      </c>
      <c r="AS219" s="1478">
        <f ca="1">IF(AND($A219&gt;=EDATE(AS$17,12),IF(Assm!$L$74=0,$D219,$E219)/AS218&gt;=1.05),IF(Assm!$L$74=0,$D219,$E219),AS218)</f>
        <v>2.7741268179237619</v>
      </c>
      <c r="AT219" s="1478">
        <f t="shared" ca="1" si="124"/>
        <v>1.050709902933189</v>
      </c>
      <c r="AU219" s="1478">
        <f t="shared" ca="1" si="125"/>
        <v>1.0713329183093803</v>
      </c>
      <c r="AV219" s="1478">
        <f t="shared" ca="1" si="126"/>
        <v>1.0713329183093803</v>
      </c>
      <c r="AW219" s="1475">
        <f t="shared" ca="1" si="127"/>
        <v>3.2201246356705386</v>
      </c>
    </row>
    <row r="220" spans="1:49">
      <c r="A220" s="883">
        <f t="shared" si="114"/>
        <v>41518</v>
      </c>
      <c r="B220" s="1390">
        <f ca="1">'[2]Monthly Curve Calc.'!B223</f>
        <v>494.14158567020843</v>
      </c>
      <c r="C220" s="1391">
        <f ca="1">'[2]Monthly Curve Calc.'!C223</f>
        <v>245.87742154290126</v>
      </c>
      <c r="D220" s="1512">
        <f ca="1">'[2]Monthly Curve Calc.'!F223</f>
        <v>2.8019065925346047</v>
      </c>
      <c r="E220" s="1304">
        <f t="shared" ca="1" si="113"/>
        <v>2.4490849173668101</v>
      </c>
      <c r="F220" s="1473">
        <f ca="1">IF(Assm!$L$75=0,F219,IF(AND($A220&gt;F$16,MONTH($A220)=MONTH(F$16)),B219/B207,F219))</f>
        <v>1.0713329183093803</v>
      </c>
      <c r="G220" s="1474">
        <f ca="1">IF(Assm!$L$75=0,G219,IF(AND($A220&gt;G$16,MONTH($A220)=MONTH(G$16)),C219/C207,G219))</f>
        <v>1.0251058727276681</v>
      </c>
      <c r="H220" s="1474">
        <f ca="1">IF(Assm!$L$75=0,H219,IF(AND($A220&gt;H$16,MONTH($A220)=MONTH(H$16)),C219/C207-H$18,H219))</f>
        <v>1.0226058727276681</v>
      </c>
      <c r="I220" s="1474">
        <f ca="1">IF(Assm!$L$75=0,I219,IF($A220&gt;=I$16,IF(MONTH($A220)=MONTH(I$16),AVERAGE(D208:D219),I219),I219))</f>
        <v>2.7354586737388158</v>
      </c>
      <c r="J220" s="1475">
        <f ca="1">IF(Assm!$L$75=0,J219,IF($A220&gt;=J$16,IF(MONTH($A220)=MONTH(J$16),AVERAGE(E208:E219),J219),J219))</f>
        <v>2.3237283089204102</v>
      </c>
      <c r="K220" s="958">
        <f t="shared" si="104"/>
        <v>208</v>
      </c>
      <c r="L220" s="1476">
        <f t="shared" ca="1" si="105"/>
        <v>1.0251058727276681</v>
      </c>
      <c r="M220" s="1474">
        <f t="shared" si="115"/>
        <v>0</v>
      </c>
      <c r="N220" s="1475">
        <f t="shared" ca="1" si="96"/>
        <v>1.5190107088932228</v>
      </c>
      <c r="P220" s="1476">
        <f t="shared" ca="1" si="106"/>
        <v>1.0713329183093803</v>
      </c>
      <c r="Q220" s="1474">
        <f t="shared" si="116"/>
        <v>0</v>
      </c>
      <c r="R220" s="1475">
        <f t="shared" ca="1" si="97"/>
        <v>3.4362064378571429</v>
      </c>
      <c r="T220" s="1476">
        <f t="shared" ca="1" si="107"/>
        <v>1.0251058727276681</v>
      </c>
      <c r="U220" s="1474">
        <f t="shared" si="117"/>
        <v>1.0049999999999999</v>
      </c>
      <c r="V220" s="1475">
        <f t="shared" ca="1" si="98"/>
        <v>1.5190107088932228</v>
      </c>
      <c r="X220" s="1476">
        <f t="shared" ca="1" si="108"/>
        <v>1.0226058727276681</v>
      </c>
      <c r="Y220" s="1474">
        <f t="shared" si="118"/>
        <v>1.02</v>
      </c>
      <c r="Z220" s="1475">
        <f t="shared" ca="1" si="99"/>
        <v>1.4726424201482966</v>
      </c>
      <c r="AB220" s="1476">
        <f t="shared" ca="1" si="109"/>
        <v>1.0226058727276681</v>
      </c>
      <c r="AC220" s="1474">
        <f t="shared" si="119"/>
        <v>1.02</v>
      </c>
      <c r="AD220" s="1475">
        <f t="shared" ca="1" si="100"/>
        <v>1.4726424201482966</v>
      </c>
      <c r="AF220" s="1476">
        <f t="shared" ca="1" si="110"/>
        <v>1.0713329183093803</v>
      </c>
      <c r="AG220" s="1474">
        <f t="shared" si="120"/>
        <v>0</v>
      </c>
      <c r="AH220" s="1475">
        <f t="shared" ca="1" si="101"/>
        <v>3.4362064378571429</v>
      </c>
      <c r="AJ220" s="1476">
        <f t="shared" ca="1" si="111"/>
        <v>1.0226058727276681</v>
      </c>
      <c r="AK220" s="1474">
        <f t="shared" si="121"/>
        <v>1.02</v>
      </c>
      <c r="AL220" s="1475">
        <f t="shared" ca="1" si="102"/>
        <v>1.4726424201482966</v>
      </c>
      <c r="AN220" s="1476">
        <f t="shared" ca="1" si="112"/>
        <v>1.0251058727276681</v>
      </c>
      <c r="AO220" s="1474">
        <f t="shared" si="122"/>
        <v>1.0049999999999999</v>
      </c>
      <c r="AP220" s="1475">
        <f t="shared" ca="1" si="103"/>
        <v>1.5190107088932228</v>
      </c>
      <c r="AR220" s="701">
        <f t="shared" si="123"/>
        <v>41518</v>
      </c>
      <c r="AS220" s="1478">
        <f ca="1">IF(AND($A220&gt;=EDATE(AS$17,12),IF(Assm!$L$74=0,$D220,$E220)/AS219&gt;=1.05),IF(Assm!$L$74=0,$D220,$E220),AS219)</f>
        <v>2.7741268179237619</v>
      </c>
      <c r="AT220" s="1478">
        <f t="shared" ca="1" si="124"/>
        <v>1.050709902933189</v>
      </c>
      <c r="AU220" s="1478">
        <f t="shared" ca="1" si="125"/>
        <v>1.0713329183093803</v>
      </c>
      <c r="AV220" s="1478">
        <f t="shared" ca="1" si="126"/>
        <v>1.0713329183093803</v>
      </c>
      <c r="AW220" s="1475">
        <f t="shared" ca="1" si="127"/>
        <v>3.2201246356705386</v>
      </c>
    </row>
    <row r="221" spans="1:49">
      <c r="A221" s="883">
        <f t="shared" si="114"/>
        <v>41548</v>
      </c>
      <c r="B221" s="1390">
        <f ca="1">'[2]Monthly Curve Calc.'!B224</f>
        <v>496.93553403755078</v>
      </c>
      <c r="C221" s="1391">
        <f ca="1">'[2]Monthly Curve Calc.'!C224</f>
        <v>246.38695521625019</v>
      </c>
      <c r="D221" s="1512">
        <f ca="1">'[2]Monthly Curve Calc.'!F224</f>
        <v>2.8065635256851085</v>
      </c>
      <c r="E221" s="1304">
        <f t="shared" ca="1" si="113"/>
        <v>2.4578390008745346</v>
      </c>
      <c r="F221" s="1473">
        <f ca="1">IF(Assm!$L$75=0,F220,IF(AND($A221&gt;F$16,MONTH($A221)=MONTH(F$16)),B220/B208,F220))</f>
        <v>1.0713329183093803</v>
      </c>
      <c r="G221" s="1474">
        <f ca="1">IF(Assm!$L$75=0,G220,IF(AND($A221&gt;G$16,MONTH($A221)=MONTH(G$16)),C220/C208,G220))</f>
        <v>1.0251058727276681</v>
      </c>
      <c r="H221" s="1474">
        <f ca="1">IF(Assm!$L$75=0,H220,IF(AND($A221&gt;H$16,MONTH($A221)=MONTH(H$16)),C220/C208-H$18,H220))</f>
        <v>1.0226058727276681</v>
      </c>
      <c r="I221" s="1474">
        <f ca="1">IF(Assm!$L$75=0,I220,IF($A221&gt;=I$16,IF(MONTH($A221)=MONTH(I$16),AVERAGE(D209:D220),I220),I220))</f>
        <v>2.7354586737388158</v>
      </c>
      <c r="J221" s="1475">
        <f ca="1">IF(Assm!$L$75=0,J220,IF($A221&gt;=J$16,IF(MONTH($A221)=MONTH(J$16),AVERAGE(E209:E220),J220),J220))</f>
        <v>2.3237283089204102</v>
      </c>
      <c r="K221" s="958">
        <f t="shared" si="104"/>
        <v>209</v>
      </c>
      <c r="L221" s="1476">
        <f t="shared" ca="1" si="105"/>
        <v>1.0251058727276681</v>
      </c>
      <c r="M221" s="1474">
        <f t="shared" si="115"/>
        <v>0</v>
      </c>
      <c r="N221" s="1475">
        <f t="shared" ca="1" si="96"/>
        <v>1.5190107088932228</v>
      </c>
      <c r="P221" s="1476">
        <f t="shared" ca="1" si="106"/>
        <v>1.0713329183093803</v>
      </c>
      <c r="Q221" s="1474">
        <f t="shared" si="116"/>
        <v>0</v>
      </c>
      <c r="R221" s="1475">
        <f t="shared" ca="1" si="97"/>
        <v>3.4362064378571429</v>
      </c>
      <c r="T221" s="1476">
        <f t="shared" ca="1" si="107"/>
        <v>1.0251058727276681</v>
      </c>
      <c r="U221" s="1474">
        <f t="shared" si="117"/>
        <v>1.0049999999999999</v>
      </c>
      <c r="V221" s="1475">
        <f t="shared" ca="1" si="98"/>
        <v>1.5190107088932228</v>
      </c>
      <c r="X221" s="1476">
        <f t="shared" ca="1" si="108"/>
        <v>1.0226058727276681</v>
      </c>
      <c r="Y221" s="1474">
        <f t="shared" si="118"/>
        <v>1.02</v>
      </c>
      <c r="Z221" s="1475">
        <f t="shared" ca="1" si="99"/>
        <v>1.4726424201482966</v>
      </c>
      <c r="AB221" s="1476">
        <f t="shared" ca="1" si="109"/>
        <v>1.0226058727276681</v>
      </c>
      <c r="AC221" s="1474">
        <f t="shared" si="119"/>
        <v>1.02</v>
      </c>
      <c r="AD221" s="1475">
        <f t="shared" ca="1" si="100"/>
        <v>1.4726424201482966</v>
      </c>
      <c r="AF221" s="1476">
        <f t="shared" ca="1" si="110"/>
        <v>1.0713329183093803</v>
      </c>
      <c r="AG221" s="1474">
        <f t="shared" si="120"/>
        <v>0</v>
      </c>
      <c r="AH221" s="1475">
        <f t="shared" ca="1" si="101"/>
        <v>3.4362064378571429</v>
      </c>
      <c r="AJ221" s="1476">
        <f t="shared" ca="1" si="111"/>
        <v>1.0226058727276681</v>
      </c>
      <c r="AK221" s="1474">
        <f t="shared" si="121"/>
        <v>1.02</v>
      </c>
      <c r="AL221" s="1475">
        <f t="shared" ca="1" si="102"/>
        <v>1.4726424201482966</v>
      </c>
      <c r="AN221" s="1476">
        <f t="shared" ca="1" si="112"/>
        <v>1.0251058727276681</v>
      </c>
      <c r="AO221" s="1474">
        <f t="shared" si="122"/>
        <v>1.0049999999999999</v>
      </c>
      <c r="AP221" s="1475">
        <f t="shared" ca="1" si="103"/>
        <v>1.5190107088932228</v>
      </c>
      <c r="AR221" s="701">
        <f t="shared" si="123"/>
        <v>41548</v>
      </c>
      <c r="AS221" s="1478">
        <f ca="1">IF(AND($A221&gt;=EDATE(AS$17,12),IF(Assm!$L$74=0,$D221,$E221)/AS220&gt;=1.05),IF(Assm!$L$74=0,$D221,$E221),AS220)</f>
        <v>2.7741268179237619</v>
      </c>
      <c r="AT221" s="1478">
        <f t="shared" ca="1" si="124"/>
        <v>1.050709902933189</v>
      </c>
      <c r="AU221" s="1478">
        <f t="shared" ca="1" si="125"/>
        <v>1.0713329183093803</v>
      </c>
      <c r="AV221" s="1478">
        <f t="shared" ca="1" si="126"/>
        <v>1.0713329183093803</v>
      </c>
      <c r="AW221" s="1475">
        <f t="shared" ca="1" si="127"/>
        <v>3.2201246356705386</v>
      </c>
    </row>
    <row r="222" spans="1:49">
      <c r="A222" s="883">
        <f t="shared" si="114"/>
        <v>41579</v>
      </c>
      <c r="B222" s="1390">
        <f ca="1">'[2]Monthly Curve Calc.'!B225</f>
        <v>499.74527979516699</v>
      </c>
      <c r="C222" s="1391">
        <f ca="1">'[2]Monthly Curve Calc.'!C225</f>
        <v>246.89754480015262</v>
      </c>
      <c r="D222" s="1512">
        <f ca="1">'[2]Monthly Curve Calc.'!F225</f>
        <v>2.8112281989317403</v>
      </c>
      <c r="E222" s="1304">
        <f t="shared" ca="1" si="113"/>
        <v>2.4666243752442121</v>
      </c>
      <c r="F222" s="1473">
        <f ca="1">IF(Assm!$L$75=0,F221,IF(AND($A222&gt;F$16,MONTH($A222)=MONTH(F$16)),B221/B209,F221))</f>
        <v>1.0713329183093803</v>
      </c>
      <c r="G222" s="1474">
        <f ca="1">IF(Assm!$L$75=0,G221,IF(AND($A222&gt;G$16,MONTH($A222)=MONTH(G$16)),C221/C209,G221))</f>
        <v>1.0251058727276681</v>
      </c>
      <c r="H222" s="1474">
        <f ca="1">IF(Assm!$L$75=0,H221,IF(AND($A222&gt;H$16,MONTH($A222)=MONTH(H$16)),C221/C209-H$18,H221))</f>
        <v>1.0226058727276681</v>
      </c>
      <c r="I222" s="1474">
        <f ca="1">IF(Assm!$L$75=0,I221,IF($A222&gt;=I$16,IF(MONTH($A222)=MONTH(I$16),AVERAGE(D210:D221),I221),I221))</f>
        <v>2.7354586737388158</v>
      </c>
      <c r="J222" s="1475">
        <f ca="1">IF(Assm!$L$75=0,J221,IF($A222&gt;=J$16,IF(MONTH($A222)=MONTH(J$16),AVERAGE(E210:E221),J221),J221))</f>
        <v>2.3237283089204102</v>
      </c>
      <c r="K222" s="958">
        <f t="shared" si="104"/>
        <v>210</v>
      </c>
      <c r="L222" s="1476">
        <f t="shared" ca="1" si="105"/>
        <v>1.0251058727276681</v>
      </c>
      <c r="M222" s="1474">
        <f t="shared" si="115"/>
        <v>0</v>
      </c>
      <c r="N222" s="1475">
        <f t="shared" ca="1" si="96"/>
        <v>1.5190107088932228</v>
      </c>
      <c r="P222" s="1476">
        <f t="shared" ca="1" si="106"/>
        <v>1.0713329183093803</v>
      </c>
      <c r="Q222" s="1474">
        <f t="shared" si="116"/>
        <v>0</v>
      </c>
      <c r="R222" s="1475">
        <f t="shared" ca="1" si="97"/>
        <v>3.4362064378571429</v>
      </c>
      <c r="T222" s="1476">
        <f t="shared" ca="1" si="107"/>
        <v>1.0251058727276681</v>
      </c>
      <c r="U222" s="1474">
        <f t="shared" si="117"/>
        <v>1.0049999999999999</v>
      </c>
      <c r="V222" s="1475">
        <f t="shared" ca="1" si="98"/>
        <v>1.5190107088932228</v>
      </c>
      <c r="X222" s="1476">
        <f t="shared" ca="1" si="108"/>
        <v>1.0226058727276681</v>
      </c>
      <c r="Y222" s="1474">
        <f t="shared" si="118"/>
        <v>1.02</v>
      </c>
      <c r="Z222" s="1475">
        <f t="shared" ca="1" si="99"/>
        <v>1.4726424201482966</v>
      </c>
      <c r="AB222" s="1476">
        <f t="shared" ca="1" si="109"/>
        <v>1.0226058727276681</v>
      </c>
      <c r="AC222" s="1474">
        <f t="shared" si="119"/>
        <v>1.02</v>
      </c>
      <c r="AD222" s="1475">
        <f t="shared" ca="1" si="100"/>
        <v>1.4726424201482966</v>
      </c>
      <c r="AF222" s="1476">
        <f t="shared" ca="1" si="110"/>
        <v>1.0713329183093803</v>
      </c>
      <c r="AG222" s="1474">
        <f t="shared" si="120"/>
        <v>0</v>
      </c>
      <c r="AH222" s="1475">
        <f t="shared" ca="1" si="101"/>
        <v>3.4362064378571429</v>
      </c>
      <c r="AJ222" s="1476">
        <f t="shared" ca="1" si="111"/>
        <v>1.0226058727276681</v>
      </c>
      <c r="AK222" s="1474">
        <f t="shared" si="121"/>
        <v>1.02</v>
      </c>
      <c r="AL222" s="1475">
        <f t="shared" ca="1" si="102"/>
        <v>1.4726424201482966</v>
      </c>
      <c r="AN222" s="1476">
        <f t="shared" ca="1" si="112"/>
        <v>1.0251058727276681</v>
      </c>
      <c r="AO222" s="1474">
        <f t="shared" si="122"/>
        <v>1.0049999999999999</v>
      </c>
      <c r="AP222" s="1475">
        <f t="shared" ca="1" si="103"/>
        <v>1.5190107088932228</v>
      </c>
      <c r="AR222" s="701">
        <f t="shared" si="123"/>
        <v>41579</v>
      </c>
      <c r="AS222" s="1478">
        <f ca="1">IF(AND($A222&gt;=EDATE(AS$17,12),IF(Assm!$L$74=0,$D222,$E222)/AS221&gt;=1.05),IF(Assm!$L$74=0,$D222,$E222),AS221)</f>
        <v>2.7741268179237619</v>
      </c>
      <c r="AT222" s="1478">
        <f t="shared" ca="1" si="124"/>
        <v>1.050709902933189</v>
      </c>
      <c r="AU222" s="1478">
        <f t="shared" ca="1" si="125"/>
        <v>1.0713329183093803</v>
      </c>
      <c r="AV222" s="1478">
        <f t="shared" ca="1" si="126"/>
        <v>1.0713329183093803</v>
      </c>
      <c r="AW222" s="1475">
        <f t="shared" ca="1" si="127"/>
        <v>3.2201246356705386</v>
      </c>
    </row>
    <row r="223" spans="1:49">
      <c r="A223" s="883">
        <f t="shared" si="114"/>
        <v>41609</v>
      </c>
      <c r="B223" s="1390">
        <f ca="1">'[2]Monthly Curve Calc.'!B226</f>
        <v>502.57091226379839</v>
      </c>
      <c r="C223" s="1391">
        <f ca="1">'[2]Monthly Curve Calc.'!C226</f>
        <v>247.40919248278013</v>
      </c>
      <c r="D223" s="1512">
        <f ca="1">'[2]Monthly Curve Calc.'!F226</f>
        <v>2.8159006251389909</v>
      </c>
      <c r="E223" s="1304">
        <f t="shared" ca="1" si="113"/>
        <v>2.4754411523228499</v>
      </c>
      <c r="F223" s="1473">
        <f ca="1">IF(Assm!$L$75=0,F222,IF(AND($A223&gt;F$16,MONTH($A223)=MONTH(F$16)),B222/B210,F222))</f>
        <v>1.0713329183093803</v>
      </c>
      <c r="G223" s="1474">
        <f ca="1">IF(Assm!$L$75=0,G222,IF(AND($A223&gt;G$16,MONTH($A223)=MONTH(G$16)),C222/C210,G222))</f>
        <v>1.0251058727276681</v>
      </c>
      <c r="H223" s="1474">
        <f ca="1">IF(Assm!$L$75=0,H222,IF(AND($A223&gt;H$16,MONTH($A223)=MONTH(H$16)),C222/C210-H$18,H222))</f>
        <v>1.0226058727276681</v>
      </c>
      <c r="I223" s="1474">
        <f ca="1">IF(Assm!$L$75=0,I222,IF($A223&gt;=I$16,IF(MONTH($A223)=MONTH(I$16),AVERAGE(D211:D222),I222),I222))</f>
        <v>2.7354586737388158</v>
      </c>
      <c r="J223" s="1475">
        <f ca="1">IF(Assm!$L$75=0,J222,IF($A223&gt;=J$16,IF(MONTH($A223)=MONTH(J$16),AVERAGE(E211:E222),J222),J222))</f>
        <v>2.3237283089204102</v>
      </c>
      <c r="K223" s="958">
        <f t="shared" si="104"/>
        <v>211</v>
      </c>
      <c r="L223" s="1476">
        <f t="shared" ca="1" si="105"/>
        <v>1.0251058727276681</v>
      </c>
      <c r="M223" s="1474">
        <f t="shared" si="115"/>
        <v>0</v>
      </c>
      <c r="N223" s="1475">
        <f t="shared" ca="1" si="96"/>
        <v>1.5190107088932228</v>
      </c>
      <c r="P223" s="1476">
        <f t="shared" ca="1" si="106"/>
        <v>1.0713329183093803</v>
      </c>
      <c r="Q223" s="1474">
        <f t="shared" si="116"/>
        <v>0</v>
      </c>
      <c r="R223" s="1475">
        <f t="shared" ca="1" si="97"/>
        <v>3.4362064378571429</v>
      </c>
      <c r="T223" s="1476">
        <f t="shared" ca="1" si="107"/>
        <v>1.0251058727276681</v>
      </c>
      <c r="U223" s="1474">
        <f t="shared" si="117"/>
        <v>1.0049999999999999</v>
      </c>
      <c r="V223" s="1475">
        <f t="shared" ca="1" si="98"/>
        <v>1.5190107088932228</v>
      </c>
      <c r="X223" s="1476">
        <f t="shared" ca="1" si="108"/>
        <v>1.0226058727276681</v>
      </c>
      <c r="Y223" s="1474">
        <f t="shared" si="118"/>
        <v>1.02</v>
      </c>
      <c r="Z223" s="1475">
        <f t="shared" ca="1" si="99"/>
        <v>1.4726424201482966</v>
      </c>
      <c r="AB223" s="1476">
        <f t="shared" ca="1" si="109"/>
        <v>1.0226058727276681</v>
      </c>
      <c r="AC223" s="1474">
        <f t="shared" si="119"/>
        <v>1.02</v>
      </c>
      <c r="AD223" s="1475">
        <f t="shared" ca="1" si="100"/>
        <v>1.4726424201482966</v>
      </c>
      <c r="AF223" s="1476">
        <f t="shared" ca="1" si="110"/>
        <v>1.0713329183093803</v>
      </c>
      <c r="AG223" s="1474">
        <f t="shared" si="120"/>
        <v>0</v>
      </c>
      <c r="AH223" s="1475">
        <f t="shared" ca="1" si="101"/>
        <v>3.4362064378571429</v>
      </c>
      <c r="AJ223" s="1476">
        <f t="shared" ca="1" si="111"/>
        <v>1.0226058727276681</v>
      </c>
      <c r="AK223" s="1474">
        <f t="shared" si="121"/>
        <v>1.02</v>
      </c>
      <c r="AL223" s="1475">
        <f t="shared" ca="1" si="102"/>
        <v>1.4726424201482966</v>
      </c>
      <c r="AN223" s="1476">
        <f t="shared" ca="1" si="112"/>
        <v>1.0251058727276681</v>
      </c>
      <c r="AO223" s="1474">
        <f t="shared" si="122"/>
        <v>1.0049999999999999</v>
      </c>
      <c r="AP223" s="1475">
        <f t="shared" ca="1" si="103"/>
        <v>1.5190107088932228</v>
      </c>
      <c r="AR223" s="701">
        <f t="shared" si="123"/>
        <v>41609</v>
      </c>
      <c r="AS223" s="1478">
        <f ca="1">IF(AND($A223&gt;=EDATE(AS$17,12),IF(Assm!$L$74=0,$D223,$E223)/AS222&gt;=1.05),IF(Assm!$L$74=0,$D223,$E223),AS222)</f>
        <v>2.7741268179237619</v>
      </c>
      <c r="AT223" s="1478">
        <f t="shared" ca="1" si="124"/>
        <v>1.050709902933189</v>
      </c>
      <c r="AU223" s="1478">
        <f t="shared" ca="1" si="125"/>
        <v>1.0713329183093803</v>
      </c>
      <c r="AV223" s="1478">
        <f t="shared" ca="1" si="126"/>
        <v>1.0713329183093803</v>
      </c>
      <c r="AW223" s="1475">
        <f t="shared" ca="1" si="127"/>
        <v>3.2201246356705386</v>
      </c>
    </row>
    <row r="224" spans="1:49">
      <c r="A224" s="883">
        <f t="shared" si="114"/>
        <v>41640</v>
      </c>
      <c r="B224" s="1390">
        <f ca="1">'[2]Monthly Curve Calc.'!B227</f>
        <v>505.41252126921881</v>
      </c>
      <c r="C224" s="1391">
        <f ca="1">'[2]Monthly Curve Calc.'!C227</f>
        <v>247.92903681111099</v>
      </c>
      <c r="D224" s="1512">
        <f ca="1">'[2]Monthly Curve Calc.'!F227</f>
        <v>2.8205502274907825</v>
      </c>
      <c r="E224" s="1304">
        <f t="shared" ca="1" si="113"/>
        <v>2.4842179369218202</v>
      </c>
      <c r="F224" s="1473">
        <f ca="1">IF(Assm!$L$75=0,F223,IF(AND($A224&gt;F$16,MONTH($A224)=MONTH(F$16)),B223/B211,F223))</f>
        <v>1.0713329183093803</v>
      </c>
      <c r="G224" s="1474">
        <f ca="1">IF(Assm!$L$75=0,G223,IF(AND($A224&gt;G$16,MONTH($A224)=MONTH(G$16)),C223/C211,G223))</f>
        <v>1.0251058727276681</v>
      </c>
      <c r="H224" s="1474">
        <f ca="1">IF(Assm!$L$75=0,H223,IF(AND($A224&gt;H$16,MONTH($A224)=MONTH(H$16)),C223/C211-H$18,H223))</f>
        <v>1.0226058727276681</v>
      </c>
      <c r="I224" s="1474">
        <f ca="1">IF(Assm!$L$75=0,I223,IF($A224&gt;=I$16,IF(MONTH($A224)=MONTH(I$16),AVERAGE(D212:D223),I223),I223))</f>
        <v>2.7903438893562451</v>
      </c>
      <c r="J224" s="1475">
        <f ca="1">IF(Assm!$L$75=0,J223,IF($A224&gt;=J$16,IF(MONTH($A224)=MONTH(J$16),AVERAGE(E212:E223),J223),J223))</f>
        <v>2.4275200072154268</v>
      </c>
      <c r="K224" s="958">
        <f t="shared" si="104"/>
        <v>212</v>
      </c>
      <c r="L224" s="1476">
        <f t="shared" ca="1" si="105"/>
        <v>1.0251058727276681</v>
      </c>
      <c r="M224" s="1474">
        <f t="shared" si="115"/>
        <v>0</v>
      </c>
      <c r="N224" s="1475">
        <f t="shared" ca="1" si="96"/>
        <v>1.5190107088932228</v>
      </c>
      <c r="P224" s="1476">
        <f t="shared" ca="1" si="106"/>
        <v>1.0713329183093803</v>
      </c>
      <c r="Q224" s="1474">
        <f t="shared" si="116"/>
        <v>0</v>
      </c>
      <c r="R224" s="1475">
        <f t="shared" ca="1" si="97"/>
        <v>3.4362064378571429</v>
      </c>
      <c r="T224" s="1476">
        <f t="shared" ca="1" si="107"/>
        <v>1.0251058727276681</v>
      </c>
      <c r="U224" s="1474">
        <f t="shared" si="117"/>
        <v>1.0049999999999999</v>
      </c>
      <c r="V224" s="1475">
        <f t="shared" ca="1" si="98"/>
        <v>1.5190107088932228</v>
      </c>
      <c r="X224" s="1476">
        <f t="shared" ca="1" si="108"/>
        <v>1.0226058727276681</v>
      </c>
      <c r="Y224" s="1474">
        <f t="shared" si="118"/>
        <v>1.02</v>
      </c>
      <c r="Z224" s="1475">
        <f t="shared" ca="1" si="99"/>
        <v>1.4726424201482966</v>
      </c>
      <c r="AB224" s="1476">
        <f t="shared" ca="1" si="109"/>
        <v>1.0226058727276681</v>
      </c>
      <c r="AC224" s="1474">
        <f t="shared" si="119"/>
        <v>1.02</v>
      </c>
      <c r="AD224" s="1475">
        <f t="shared" ca="1" si="100"/>
        <v>1.4726424201482966</v>
      </c>
      <c r="AF224" s="1476">
        <f t="shared" ca="1" si="110"/>
        <v>1.0713329183093803</v>
      </c>
      <c r="AG224" s="1474">
        <f t="shared" si="120"/>
        <v>0</v>
      </c>
      <c r="AH224" s="1475">
        <f t="shared" ca="1" si="101"/>
        <v>3.4362064378571429</v>
      </c>
      <c r="AJ224" s="1476">
        <f t="shared" ca="1" si="111"/>
        <v>1.0226058727276681</v>
      </c>
      <c r="AK224" s="1474">
        <f t="shared" si="121"/>
        <v>1.02</v>
      </c>
      <c r="AL224" s="1475">
        <f t="shared" ca="1" si="102"/>
        <v>1.4726424201482966</v>
      </c>
      <c r="AN224" s="1476">
        <f t="shared" ca="1" si="112"/>
        <v>1.0251058727276681</v>
      </c>
      <c r="AO224" s="1474">
        <f t="shared" si="122"/>
        <v>1.0049999999999999</v>
      </c>
      <c r="AP224" s="1475">
        <f t="shared" ca="1" si="103"/>
        <v>1.5190107088932228</v>
      </c>
      <c r="AR224" s="701">
        <f t="shared" si="123"/>
        <v>41640</v>
      </c>
      <c r="AS224" s="1478">
        <f ca="1">IF(AND($A224&gt;=EDATE(AS$17,12),IF(Assm!$L$74=0,$D224,$E224)/AS223&gt;=1.05),IF(Assm!$L$74=0,$D224,$E224),AS223)</f>
        <v>2.7741268179237619</v>
      </c>
      <c r="AT224" s="1478">
        <f t="shared" ca="1" si="124"/>
        <v>1.050709902933189</v>
      </c>
      <c r="AU224" s="1478">
        <f t="shared" ca="1" si="125"/>
        <v>1.0713329183093803</v>
      </c>
      <c r="AV224" s="1478">
        <f t="shared" ca="1" si="126"/>
        <v>1.0713329183093803</v>
      </c>
      <c r="AW224" s="1475">
        <f t="shared" ca="1" si="127"/>
        <v>3.2201246356705386</v>
      </c>
    </row>
    <row r="225" spans="1:49">
      <c r="A225" s="883">
        <f t="shared" si="114"/>
        <v>41671</v>
      </c>
      <c r="B225" s="1390">
        <f ca="1">'[2]Monthly Curve Calc.'!B228</f>
        <v>508.27019714509004</v>
      </c>
      <c r="C225" s="1391">
        <f ca="1">'[2]Monthly Curve Calc.'!C228</f>
        <v>248.44997341141035</v>
      </c>
      <c r="D225" s="1512">
        <f ca="1">'[2]Monthly Curve Calc.'!F228</f>
        <v>2.8252075072449077</v>
      </c>
      <c r="E225" s="1304">
        <f t="shared" ca="1" si="113"/>
        <v>2.4930258399934817</v>
      </c>
      <c r="F225" s="1473">
        <f ca="1">IF(Assm!$L$75=0,F224,IF(AND($A225&gt;F$16,MONTH($A225)=MONTH(F$16)),B224/B212,F224))</f>
        <v>1.0713329183093803</v>
      </c>
      <c r="G225" s="1474">
        <f ca="1">IF(Assm!$L$75=0,G224,IF(AND($A225&gt;G$16,MONTH($A225)=MONTH(G$16)),C224/C212,G224))</f>
        <v>1.0251058727276681</v>
      </c>
      <c r="H225" s="1474">
        <f ca="1">IF(Assm!$L$75=0,H224,IF(AND($A225&gt;H$16,MONTH($A225)=MONTH(H$16)),C224/C212-H$18,H224))</f>
        <v>1.0226058727276681</v>
      </c>
      <c r="I225" s="1474">
        <f ca="1">IF(Assm!$L$75=0,I224,IF($A225&gt;=I$16,IF(MONTH($A225)=MONTH(I$16),AVERAGE(D213:D224),I224),I224))</f>
        <v>2.7903438893562451</v>
      </c>
      <c r="J225" s="1475">
        <f ca="1">IF(Assm!$L$75=0,J224,IF($A225&gt;=J$16,IF(MONTH($A225)=MONTH(J$16),AVERAGE(E213:E224),J224),J224))</f>
        <v>2.4275200072154268</v>
      </c>
      <c r="K225" s="958">
        <f t="shared" si="104"/>
        <v>213</v>
      </c>
      <c r="L225" s="1476">
        <f t="shared" ca="1" si="105"/>
        <v>1.0251058727276681</v>
      </c>
      <c r="M225" s="1474">
        <f t="shared" si="115"/>
        <v>0</v>
      </c>
      <c r="N225" s="1475">
        <f t="shared" ca="1" si="96"/>
        <v>1.5190107088932228</v>
      </c>
      <c r="P225" s="1476">
        <f t="shared" ca="1" si="106"/>
        <v>1.0713329183093803</v>
      </c>
      <c r="Q225" s="1474">
        <f t="shared" si="116"/>
        <v>0</v>
      </c>
      <c r="R225" s="1475">
        <f t="shared" ca="1" si="97"/>
        <v>3.4362064378571429</v>
      </c>
      <c r="T225" s="1476">
        <f t="shared" ca="1" si="107"/>
        <v>1.0251058727276681</v>
      </c>
      <c r="U225" s="1474">
        <f t="shared" si="117"/>
        <v>1.0049999999999999</v>
      </c>
      <c r="V225" s="1475">
        <f t="shared" ca="1" si="98"/>
        <v>1.5190107088932228</v>
      </c>
      <c r="X225" s="1476">
        <f t="shared" ca="1" si="108"/>
        <v>1.0226058727276681</v>
      </c>
      <c r="Y225" s="1474">
        <f t="shared" si="118"/>
        <v>1.02</v>
      </c>
      <c r="Z225" s="1475">
        <f t="shared" ca="1" si="99"/>
        <v>1.4726424201482966</v>
      </c>
      <c r="AB225" s="1476">
        <f t="shared" ca="1" si="109"/>
        <v>1.0226058727276681</v>
      </c>
      <c r="AC225" s="1474">
        <f t="shared" si="119"/>
        <v>1.02</v>
      </c>
      <c r="AD225" s="1475">
        <f t="shared" ca="1" si="100"/>
        <v>1.4726424201482966</v>
      </c>
      <c r="AF225" s="1476">
        <f t="shared" ca="1" si="110"/>
        <v>1.0713329183093803</v>
      </c>
      <c r="AG225" s="1474">
        <f t="shared" si="120"/>
        <v>0</v>
      </c>
      <c r="AH225" s="1475">
        <f t="shared" ca="1" si="101"/>
        <v>3.4362064378571429</v>
      </c>
      <c r="AJ225" s="1476">
        <f t="shared" ca="1" si="111"/>
        <v>1.0226058727276681</v>
      </c>
      <c r="AK225" s="1474">
        <f t="shared" si="121"/>
        <v>1.02</v>
      </c>
      <c r="AL225" s="1475">
        <f t="shared" ca="1" si="102"/>
        <v>1.4726424201482966</v>
      </c>
      <c r="AN225" s="1476">
        <f t="shared" ca="1" si="112"/>
        <v>1.0251058727276681</v>
      </c>
      <c r="AO225" s="1474">
        <f t="shared" si="122"/>
        <v>1.0049999999999999</v>
      </c>
      <c r="AP225" s="1475">
        <f t="shared" ca="1" si="103"/>
        <v>1.5190107088932228</v>
      </c>
      <c r="AR225" s="701">
        <f t="shared" si="123"/>
        <v>41671</v>
      </c>
      <c r="AS225" s="1478">
        <f ca="1">IF(AND($A225&gt;=EDATE(AS$17,12),IF(Assm!$L$74=0,$D225,$E225)/AS224&gt;=1.05),IF(Assm!$L$74=0,$D225,$E225),AS224)</f>
        <v>2.7741268179237619</v>
      </c>
      <c r="AT225" s="1478">
        <f t="shared" ca="1" si="124"/>
        <v>1.050709902933189</v>
      </c>
      <c r="AU225" s="1478">
        <f t="shared" ca="1" si="125"/>
        <v>1.0713329183093803</v>
      </c>
      <c r="AV225" s="1478">
        <f t="shared" ca="1" si="126"/>
        <v>1.0713329183093803</v>
      </c>
      <c r="AW225" s="1475">
        <f t="shared" ca="1" si="127"/>
        <v>3.2201246356705386</v>
      </c>
    </row>
    <row r="226" spans="1:49">
      <c r="A226" s="883">
        <f t="shared" si="114"/>
        <v>41699</v>
      </c>
      <c r="B226" s="1390">
        <f ca="1">'[2]Monthly Curve Calc.'!B229</f>
        <v>511.1440307358335</v>
      </c>
      <c r="C226" s="1391">
        <f ca="1">'[2]Monthly Curve Calc.'!C229</f>
        <v>248.9720045787077</v>
      </c>
      <c r="D226" s="1512">
        <f ca="1">'[2]Monthly Curve Calc.'!F229</f>
        <v>2.8298724770782577</v>
      </c>
      <c r="E226" s="1304">
        <f t="shared" ca="1" si="113"/>
        <v>2.5018649718697366</v>
      </c>
      <c r="F226" s="1473">
        <f ca="1">IF(Assm!$L$75=0,F225,IF(AND($A226&gt;F$16,MONTH($A226)=MONTH(F$16)),B225/B213,F225))</f>
        <v>1.0713329183093803</v>
      </c>
      <c r="G226" s="1474">
        <f ca="1">IF(Assm!$L$75=0,G225,IF(AND($A226&gt;G$16,MONTH($A226)=MONTH(G$16)),C225/C213,G225))</f>
        <v>1.0251058727276681</v>
      </c>
      <c r="H226" s="1474">
        <f ca="1">IF(Assm!$L$75=0,H225,IF(AND($A226&gt;H$16,MONTH($A226)=MONTH(H$16)),C225/C213-H$18,H225))</f>
        <v>1.0226058727276681</v>
      </c>
      <c r="I226" s="1474">
        <f ca="1">IF(Assm!$L$75=0,I225,IF($A226&gt;=I$16,IF(MONTH($A226)=MONTH(I$16),AVERAGE(D214:D225),I225),I225))</f>
        <v>2.7903438893562451</v>
      </c>
      <c r="J226" s="1475">
        <f ca="1">IF(Assm!$L$75=0,J225,IF($A226&gt;=J$16,IF(MONTH($A226)=MONTH(J$16),AVERAGE(E214:E225),J225),J225))</f>
        <v>2.4275200072154268</v>
      </c>
      <c r="K226" s="958">
        <f t="shared" si="104"/>
        <v>214</v>
      </c>
      <c r="L226" s="1476">
        <f t="shared" ca="1" si="105"/>
        <v>1.0251058727276681</v>
      </c>
      <c r="M226" s="1474">
        <f t="shared" si="115"/>
        <v>0</v>
      </c>
      <c r="N226" s="1475">
        <f t="shared" ca="1" si="96"/>
        <v>1.5190107088932228</v>
      </c>
      <c r="P226" s="1476">
        <f t="shared" ca="1" si="106"/>
        <v>1.0713329183093803</v>
      </c>
      <c r="Q226" s="1474">
        <f t="shared" si="116"/>
        <v>0</v>
      </c>
      <c r="R226" s="1475">
        <f t="shared" ca="1" si="97"/>
        <v>3.4362064378571429</v>
      </c>
      <c r="T226" s="1476">
        <f t="shared" ca="1" si="107"/>
        <v>1.0251058727276681</v>
      </c>
      <c r="U226" s="1474">
        <f t="shared" si="117"/>
        <v>1.0049999999999999</v>
      </c>
      <c r="V226" s="1475">
        <f t="shared" ca="1" si="98"/>
        <v>1.5190107088932228</v>
      </c>
      <c r="X226" s="1476">
        <f t="shared" ca="1" si="108"/>
        <v>1.0226058727276681</v>
      </c>
      <c r="Y226" s="1474">
        <f t="shared" si="118"/>
        <v>1.02</v>
      </c>
      <c r="Z226" s="1475">
        <f t="shared" ca="1" si="99"/>
        <v>1.4726424201482966</v>
      </c>
      <c r="AB226" s="1476">
        <f t="shared" ca="1" si="109"/>
        <v>1.0226058727276681</v>
      </c>
      <c r="AC226" s="1474">
        <f t="shared" si="119"/>
        <v>1.02</v>
      </c>
      <c r="AD226" s="1475">
        <f t="shared" ca="1" si="100"/>
        <v>1.4726424201482966</v>
      </c>
      <c r="AF226" s="1476">
        <f t="shared" ca="1" si="110"/>
        <v>1.0713329183093803</v>
      </c>
      <c r="AG226" s="1474">
        <f t="shared" si="120"/>
        <v>0</v>
      </c>
      <c r="AH226" s="1475">
        <f t="shared" ca="1" si="101"/>
        <v>3.4362064378571429</v>
      </c>
      <c r="AJ226" s="1476">
        <f t="shared" ca="1" si="111"/>
        <v>1.0226058727276681</v>
      </c>
      <c r="AK226" s="1474">
        <f t="shared" si="121"/>
        <v>1.02</v>
      </c>
      <c r="AL226" s="1475">
        <f t="shared" ca="1" si="102"/>
        <v>1.4726424201482966</v>
      </c>
      <c r="AN226" s="1476">
        <f t="shared" ca="1" si="112"/>
        <v>1.0251058727276681</v>
      </c>
      <c r="AO226" s="1474">
        <f t="shared" si="122"/>
        <v>1.0049999999999999</v>
      </c>
      <c r="AP226" s="1475">
        <f t="shared" ca="1" si="103"/>
        <v>1.5190107088932228</v>
      </c>
      <c r="AR226" s="701">
        <f t="shared" si="123"/>
        <v>41699</v>
      </c>
      <c r="AS226" s="1478">
        <f ca="1">IF(AND($A226&gt;=EDATE(AS$17,12),IF(Assm!$L$74=0,$D226,$E226)/AS225&gt;=1.05),IF(Assm!$L$74=0,$D226,$E226),AS225)</f>
        <v>2.7741268179237619</v>
      </c>
      <c r="AT226" s="1478">
        <f t="shared" ca="1" si="124"/>
        <v>1.050709902933189</v>
      </c>
      <c r="AU226" s="1478">
        <f t="shared" ca="1" si="125"/>
        <v>1.0713329183093803</v>
      </c>
      <c r="AV226" s="1478">
        <f t="shared" ca="1" si="126"/>
        <v>1.0713329183093803</v>
      </c>
      <c r="AW226" s="1475">
        <f t="shared" ca="1" si="127"/>
        <v>3.2201246356705386</v>
      </c>
    </row>
    <row r="227" spans="1:49">
      <c r="A227" s="883">
        <f t="shared" si="114"/>
        <v>41730</v>
      </c>
      <c r="B227" s="1390">
        <f ca="1">'[2]Monthly Curve Calc.'!B230</f>
        <v>514.03411339951822</v>
      </c>
      <c r="C227" s="1391">
        <f ca="1">'[2]Monthly Curve Calc.'!C230</f>
        <v>249.49513261285469</v>
      </c>
      <c r="D227" s="1512">
        <f ca="1">'[2]Monthly Curve Calc.'!F230</f>
        <v>2.8345451496886573</v>
      </c>
      <c r="E227" s="1304">
        <f t="shared" ca="1" si="113"/>
        <v>2.5107354432736742</v>
      </c>
      <c r="F227" s="1473">
        <f ca="1">IF(Assm!$L$75=0,F226,IF(AND($A227&gt;F$16,MONTH($A227)=MONTH(F$16)),B226/B214,F226))</f>
        <v>1.0713329183093803</v>
      </c>
      <c r="G227" s="1474">
        <f ca="1">IF(Assm!$L$75=0,G226,IF(AND($A227&gt;G$16,MONTH($A227)=MONTH(G$16)),C226/C214,G226))</f>
        <v>1.0251058727276681</v>
      </c>
      <c r="H227" s="1474">
        <f ca="1">IF(Assm!$L$75=0,H226,IF(AND($A227&gt;H$16,MONTH($A227)=MONTH(H$16)),C226/C214-H$18,H226))</f>
        <v>1.0226058727276681</v>
      </c>
      <c r="I227" s="1474">
        <f ca="1">IF(Assm!$L$75=0,I226,IF($A227&gt;=I$16,IF(MONTH($A227)=MONTH(I$16),AVERAGE(D215:D226),I226),I226))</f>
        <v>2.7903438893562451</v>
      </c>
      <c r="J227" s="1475">
        <f ca="1">IF(Assm!$L$75=0,J226,IF($A227&gt;=J$16,IF(MONTH($A227)=MONTH(J$16),AVERAGE(E215:E226),J226),J226))</f>
        <v>2.4275200072154268</v>
      </c>
      <c r="K227" s="958">
        <f t="shared" si="104"/>
        <v>215</v>
      </c>
      <c r="L227" s="1476">
        <f t="shared" ca="1" si="105"/>
        <v>1.0251058727276681</v>
      </c>
      <c r="M227" s="1474">
        <f t="shared" si="115"/>
        <v>0</v>
      </c>
      <c r="N227" s="1475">
        <f t="shared" ca="1" si="96"/>
        <v>1.5190107088932228</v>
      </c>
      <c r="P227" s="1476">
        <f t="shared" ca="1" si="106"/>
        <v>1.0713329183093803</v>
      </c>
      <c r="Q227" s="1474">
        <f t="shared" si="116"/>
        <v>0</v>
      </c>
      <c r="R227" s="1475">
        <f t="shared" ca="1" si="97"/>
        <v>3.4362064378571429</v>
      </c>
      <c r="T227" s="1476">
        <f t="shared" ca="1" si="107"/>
        <v>1.0251058727276681</v>
      </c>
      <c r="U227" s="1474">
        <f t="shared" si="117"/>
        <v>1.0049999999999999</v>
      </c>
      <c r="V227" s="1475">
        <f t="shared" ca="1" si="98"/>
        <v>1.5190107088932228</v>
      </c>
      <c r="X227" s="1476">
        <f t="shared" ca="1" si="108"/>
        <v>1.0226058727276681</v>
      </c>
      <c r="Y227" s="1474">
        <f t="shared" si="118"/>
        <v>1.02</v>
      </c>
      <c r="Z227" s="1475">
        <f t="shared" ca="1" si="99"/>
        <v>1.4726424201482966</v>
      </c>
      <c r="AB227" s="1476">
        <f t="shared" ca="1" si="109"/>
        <v>1.0226058727276681</v>
      </c>
      <c r="AC227" s="1474">
        <f t="shared" si="119"/>
        <v>1.02</v>
      </c>
      <c r="AD227" s="1475">
        <f t="shared" ca="1" si="100"/>
        <v>1.4726424201482966</v>
      </c>
      <c r="AF227" s="1476">
        <f t="shared" ca="1" si="110"/>
        <v>1.0713329183093803</v>
      </c>
      <c r="AG227" s="1474">
        <f t="shared" si="120"/>
        <v>0</v>
      </c>
      <c r="AH227" s="1475">
        <f t="shared" ca="1" si="101"/>
        <v>3.4362064378571429</v>
      </c>
      <c r="AJ227" s="1476">
        <f t="shared" ca="1" si="111"/>
        <v>1.0226058727276681</v>
      </c>
      <c r="AK227" s="1474">
        <f t="shared" si="121"/>
        <v>1.02</v>
      </c>
      <c r="AL227" s="1475">
        <f t="shared" ca="1" si="102"/>
        <v>1.4726424201482966</v>
      </c>
      <c r="AN227" s="1476">
        <f t="shared" ca="1" si="112"/>
        <v>1.0251058727276681</v>
      </c>
      <c r="AO227" s="1474">
        <f t="shared" si="122"/>
        <v>1.0049999999999999</v>
      </c>
      <c r="AP227" s="1475">
        <f t="shared" ca="1" si="103"/>
        <v>1.5190107088932228</v>
      </c>
      <c r="AR227" s="701">
        <f t="shared" si="123"/>
        <v>41730</v>
      </c>
      <c r="AS227" s="1478">
        <f ca="1">IF(AND($A227&gt;=EDATE(AS$17,12),IF(Assm!$L$74=0,$D227,$E227)/AS226&gt;=1.05),IF(Assm!$L$74=0,$D227,$E227),AS226)</f>
        <v>2.7741268179237619</v>
      </c>
      <c r="AT227" s="1478">
        <f t="shared" ca="1" si="124"/>
        <v>1.050709902933189</v>
      </c>
      <c r="AU227" s="1478">
        <f t="shared" ca="1" si="125"/>
        <v>1.0713329183093803</v>
      </c>
      <c r="AV227" s="1478">
        <f t="shared" ca="1" si="126"/>
        <v>1.0713329183093803</v>
      </c>
      <c r="AW227" s="1475">
        <f t="shared" ca="1" si="127"/>
        <v>3.2201246356705386</v>
      </c>
    </row>
    <row r="228" spans="1:49">
      <c r="A228" s="883">
        <f t="shared" si="114"/>
        <v>41760</v>
      </c>
      <c r="B228" s="1390">
        <f ca="1">'[2]Monthly Curve Calc.'!B231</f>
        <v>516.94053701076507</v>
      </c>
      <c r="C228" s="1391">
        <f ca="1">'[2]Monthly Curve Calc.'!C231</f>
        <v>250.01935981853532</v>
      </c>
      <c r="D228" s="1512">
        <f ca="1">'[2]Monthly Curve Calc.'!F231</f>
        <v>2.8392255377948965</v>
      </c>
      <c r="E228" s="1304">
        <f t="shared" ca="1" si="113"/>
        <v>2.5196373653209569</v>
      </c>
      <c r="F228" s="1473">
        <f ca="1">IF(Assm!$L$75=0,F227,IF(AND($A228&gt;F$16,MONTH($A228)=MONTH(F$16)),B227/B215,F227))</f>
        <v>1.0699999999999998</v>
      </c>
      <c r="G228" s="1474">
        <f ca="1">IF(Assm!$L$75=0,G227,IF(AND($A228&gt;G$16,MONTH($A228)=MONTH(G$16)),C227/C215,G227))</f>
        <v>1.0252711336549196</v>
      </c>
      <c r="H228" s="1474">
        <f ca="1">IF(Assm!$L$75=0,H227,IF(AND($A228&gt;H$16,MONTH($A228)=MONTH(H$16)),C227/C215-H$18,H227))</f>
        <v>1.0227711336549197</v>
      </c>
      <c r="I228" s="1474">
        <f ca="1">IF(Assm!$L$75=0,I227,IF($A228&gt;=I$16,IF(MONTH($A228)=MONTH(I$16),AVERAGE(D216:D227),I227),I227))</f>
        <v>2.7903438893562451</v>
      </c>
      <c r="J228" s="1475">
        <f ca="1">IF(Assm!$L$75=0,J227,IF($A228&gt;=J$16,IF(MONTH($A228)=MONTH(J$16),AVERAGE(E216:E227),J227),J227))</f>
        <v>2.4275200072154268</v>
      </c>
      <c r="K228" s="958">
        <f t="shared" si="104"/>
        <v>216</v>
      </c>
      <c r="L228" s="1476">
        <f t="shared" ca="1" si="105"/>
        <v>1.0252711336549196</v>
      </c>
      <c r="M228" s="1474">
        <f t="shared" si="115"/>
        <v>0</v>
      </c>
      <c r="N228" s="1475">
        <f t="shared" ca="1" si="96"/>
        <v>1.5573978315409176</v>
      </c>
      <c r="P228" s="1476">
        <f t="shared" ca="1" si="106"/>
        <v>1.0699999999999998</v>
      </c>
      <c r="Q228" s="1474">
        <f t="shared" si="116"/>
        <v>0</v>
      </c>
      <c r="R228" s="1475">
        <f t="shared" ca="1" si="97"/>
        <v>3.6767408885071422</v>
      </c>
      <c r="T228" s="1476">
        <f t="shared" ca="1" si="107"/>
        <v>1.0252711336549196</v>
      </c>
      <c r="U228" s="1474">
        <f t="shared" si="117"/>
        <v>1.0049999999999999</v>
      </c>
      <c r="V228" s="1475">
        <f t="shared" ca="1" si="98"/>
        <v>1.5573978315409176</v>
      </c>
      <c r="X228" s="1476">
        <f t="shared" ca="1" si="108"/>
        <v>1.0227711336549197</v>
      </c>
      <c r="Y228" s="1474">
        <f t="shared" si="118"/>
        <v>1.02</v>
      </c>
      <c r="Z228" s="1475">
        <f t="shared" ca="1" si="99"/>
        <v>1.5061761575233978</v>
      </c>
      <c r="AB228" s="1476">
        <f t="shared" ca="1" si="109"/>
        <v>1.0227711336549197</v>
      </c>
      <c r="AC228" s="1474">
        <f t="shared" si="119"/>
        <v>1.02</v>
      </c>
      <c r="AD228" s="1475">
        <f t="shared" ca="1" si="100"/>
        <v>1.5061761575233978</v>
      </c>
      <c r="AF228" s="1476">
        <f t="shared" ca="1" si="110"/>
        <v>1.0699999999999998</v>
      </c>
      <c r="AG228" s="1474">
        <f t="shared" si="120"/>
        <v>0</v>
      </c>
      <c r="AH228" s="1475">
        <f t="shared" ca="1" si="101"/>
        <v>3.6767408885071422</v>
      </c>
      <c r="AJ228" s="1476">
        <f t="shared" ca="1" si="111"/>
        <v>1.0227711336549197</v>
      </c>
      <c r="AK228" s="1474">
        <f t="shared" si="121"/>
        <v>1.02</v>
      </c>
      <c r="AL228" s="1475">
        <f t="shared" ca="1" si="102"/>
        <v>1.5061761575233978</v>
      </c>
      <c r="AN228" s="1476">
        <f t="shared" ca="1" si="112"/>
        <v>1.0252711336549196</v>
      </c>
      <c r="AO228" s="1474">
        <f t="shared" si="122"/>
        <v>1.0049999999999999</v>
      </c>
      <c r="AP228" s="1475">
        <f t="shared" ca="1" si="103"/>
        <v>1.5573978315409176</v>
      </c>
      <c r="AR228" s="701">
        <f t="shared" si="123"/>
        <v>41760</v>
      </c>
      <c r="AS228" s="1478">
        <f ca="1">IF(AND($A228&gt;=EDATE(AS$17,12),IF(Assm!$L$74=0,$D228,$E228)/AS227&gt;=1.05),IF(Assm!$L$74=0,$D228,$E228),AS227)</f>
        <v>2.7741268179237619</v>
      </c>
      <c r="AT228" s="1478">
        <f t="shared" ca="1" si="124"/>
        <v>1.050709902933189</v>
      </c>
      <c r="AU228" s="1478">
        <f t="shared" ca="1" si="125"/>
        <v>1.0699999999999998</v>
      </c>
      <c r="AV228" s="1478">
        <f t="shared" ca="1" si="126"/>
        <v>1.0699999999999998</v>
      </c>
      <c r="AW228" s="1475">
        <f t="shared" ca="1" si="127"/>
        <v>3.445533360167476</v>
      </c>
    </row>
    <row r="229" spans="1:49">
      <c r="A229" s="883">
        <f t="shared" si="114"/>
        <v>41791</v>
      </c>
      <c r="B229" s="1390">
        <f ca="1">'[2]Monthly Curve Calc.'!B232</f>
        <v>519.86339396366725</v>
      </c>
      <c r="C229" s="1391">
        <f ca="1">'[2]Monthly Curve Calc.'!C232</f>
        <v>250.54468850527613</v>
      </c>
      <c r="D229" s="1512">
        <f ca="1">'[2]Monthly Curve Calc.'!F232</f>
        <v>2.8439136541367671</v>
      </c>
      <c r="E229" s="1304">
        <f t="shared" ca="1" si="113"/>
        <v>2.5285708495212127</v>
      </c>
      <c r="F229" s="1473">
        <f ca="1">IF(Assm!$L$75=0,F228,IF(AND($A229&gt;F$16,MONTH($A229)=MONTH(F$16)),B228/B216,F228))</f>
        <v>1.0699999999999998</v>
      </c>
      <c r="G229" s="1474">
        <f ca="1">IF(Assm!$L$75=0,G228,IF(AND($A229&gt;G$16,MONTH($A229)=MONTH(G$16)),C228/C216,G228))</f>
        <v>1.0252711336549196</v>
      </c>
      <c r="H229" s="1474">
        <f ca="1">IF(Assm!$L$75=0,H228,IF(AND($A229&gt;H$16,MONTH($A229)=MONTH(H$16)),C228/C216-H$18,H228))</f>
        <v>1.0227711336549197</v>
      </c>
      <c r="I229" s="1474">
        <f ca="1">IF(Assm!$L$75=0,I228,IF($A229&gt;=I$16,IF(MONTH($A229)=MONTH(I$16),AVERAGE(D217:D228),I228),I228))</f>
        <v>2.7903438893562451</v>
      </c>
      <c r="J229" s="1475">
        <f ca="1">IF(Assm!$L$75=0,J228,IF($A229&gt;=J$16,IF(MONTH($A229)=MONTH(J$16),AVERAGE(E217:E228),J228),J228))</f>
        <v>2.4275200072154268</v>
      </c>
      <c r="K229" s="958">
        <f t="shared" si="104"/>
        <v>217</v>
      </c>
      <c r="L229" s="1476">
        <f t="shared" ca="1" si="105"/>
        <v>1.0252711336549196</v>
      </c>
      <c r="M229" s="1474">
        <f t="shared" si="115"/>
        <v>0</v>
      </c>
      <c r="N229" s="1475">
        <f t="shared" ref="N229:N288" ca="1" si="128">IF(AND($A229&gt;=N$16,MONTH($A229)=MONTH(N$16)),MAX(L229,M229)*N228,N228)</f>
        <v>1.5573978315409176</v>
      </c>
      <c r="P229" s="1476">
        <f t="shared" ca="1" si="106"/>
        <v>1.0699999999999998</v>
      </c>
      <c r="Q229" s="1474">
        <f t="shared" si="116"/>
        <v>0</v>
      </c>
      <c r="R229" s="1475">
        <f t="shared" ref="R229:R288" ca="1" si="129">IF(AND($A229&gt;=R$16,MONTH($A229)=MONTH(R$16)),MAX(P229,Q229)*R228,R228)</f>
        <v>3.6767408885071422</v>
      </c>
      <c r="T229" s="1476">
        <f t="shared" ca="1" si="107"/>
        <v>1.0252711336549196</v>
      </c>
      <c r="U229" s="1474">
        <f t="shared" si="117"/>
        <v>1.0049999999999999</v>
      </c>
      <c r="V229" s="1475">
        <f t="shared" ref="V229:V288" ca="1" si="130">IF(AND($A229&gt;=V$16,MONTH($A229)=MONTH(V$16)),MAX(T229,U229)*V228,V228)</f>
        <v>1.5573978315409176</v>
      </c>
      <c r="X229" s="1476">
        <f t="shared" ca="1" si="108"/>
        <v>1.0227711336549197</v>
      </c>
      <c r="Y229" s="1474">
        <f t="shared" si="118"/>
        <v>1.02</v>
      </c>
      <c r="Z229" s="1475">
        <f t="shared" ref="Z229:Z288" ca="1" si="131">IF(AND($A229&gt;=Z$16,MONTH($A229)=MONTH(Z$16)),MAX(X229,Y229)*Z228,Z228)</f>
        <v>1.5061761575233978</v>
      </c>
      <c r="AB229" s="1476">
        <f t="shared" ca="1" si="109"/>
        <v>1.0227711336549197</v>
      </c>
      <c r="AC229" s="1474">
        <f t="shared" si="119"/>
        <v>1.02</v>
      </c>
      <c r="AD229" s="1475">
        <f t="shared" ref="AD229:AD288" ca="1" si="132">IF(AND($A229&gt;=AD$16,MONTH($A229)=MONTH(AD$16)),MAX(AB229,AC229)*AD228,AD228)</f>
        <v>1.5061761575233978</v>
      </c>
      <c r="AF229" s="1476">
        <f t="shared" ca="1" si="110"/>
        <v>1.0699999999999998</v>
      </c>
      <c r="AG229" s="1474">
        <f t="shared" si="120"/>
        <v>0</v>
      </c>
      <c r="AH229" s="1475">
        <f t="shared" ref="AH229:AH288" ca="1" si="133">IF(AND($A229&gt;=AH$16,MONTH($A229)=MONTH(AH$16)),MAX(AF229,AG229)*AH228,AH228)</f>
        <v>3.6767408885071422</v>
      </c>
      <c r="AJ229" s="1476">
        <f t="shared" ca="1" si="111"/>
        <v>1.0227711336549197</v>
      </c>
      <c r="AK229" s="1474">
        <f t="shared" si="121"/>
        <v>1.02</v>
      </c>
      <c r="AL229" s="1475">
        <f t="shared" ref="AL229:AL288" ca="1" si="134">IF(AND($A229&gt;=AL$16,MONTH($A229)=MONTH(AL$16)),MAX(AJ229,AK229)*AL228,AL228)</f>
        <v>1.5061761575233978</v>
      </c>
      <c r="AN229" s="1476">
        <f t="shared" ca="1" si="112"/>
        <v>1.0252711336549196</v>
      </c>
      <c r="AO229" s="1474">
        <f t="shared" si="122"/>
        <v>1.0049999999999999</v>
      </c>
      <c r="AP229" s="1475">
        <f t="shared" ref="AP229:AP288" ca="1" si="135">IF(AND($A229&gt;=AP$16,MONTH($A229)=MONTH(AP$16)),MAX(AN229,AO229)*AP228,AP228)</f>
        <v>1.5573978315409176</v>
      </c>
      <c r="AR229" s="701">
        <f t="shared" si="123"/>
        <v>41791</v>
      </c>
      <c r="AS229" s="1478">
        <f ca="1">IF(AND($A229&gt;=EDATE(AS$17,12),IF(Assm!$L$74=0,$D229,$E229)/AS228&gt;=1.05),IF(Assm!$L$74=0,$D229,$E229),AS228)</f>
        <v>2.7741268179237619</v>
      </c>
      <c r="AT229" s="1478">
        <f t="shared" ca="1" si="124"/>
        <v>1.050709902933189</v>
      </c>
      <c r="AU229" s="1478">
        <f t="shared" ca="1" si="125"/>
        <v>1.0699999999999998</v>
      </c>
      <c r="AV229" s="1478">
        <f t="shared" ca="1" si="126"/>
        <v>1.0699999999999998</v>
      </c>
      <c r="AW229" s="1475">
        <f t="shared" ca="1" si="127"/>
        <v>3.445533360167476</v>
      </c>
    </row>
    <row r="230" spans="1:49">
      <c r="A230" s="883">
        <f t="shared" si="114"/>
        <v>41821</v>
      </c>
      <c r="B230" s="1390">
        <f ca="1">'[2]Monthly Curve Calc.'!B233</f>
        <v>522.80277717472779</v>
      </c>
      <c r="C230" s="1391">
        <f ca="1">'[2]Monthly Curve Calc.'!C233</f>
        <v>251.07112098745625</v>
      </c>
      <c r="D230" s="1512">
        <f ca="1">'[2]Monthly Curve Calc.'!F233</f>
        <v>2.8486095114750971</v>
      </c>
      <c r="E230" s="1304">
        <f t="shared" ca="1" si="113"/>
        <v>2.537536007779432</v>
      </c>
      <c r="F230" s="1473">
        <f ca="1">IF(Assm!$L$75=0,F229,IF(AND($A230&gt;F$16,MONTH($A230)=MONTH(F$16)),B229/B217,F229))</f>
        <v>1.0699999999999998</v>
      </c>
      <c r="G230" s="1474">
        <f ca="1">IF(Assm!$L$75=0,G229,IF(AND($A230&gt;G$16,MONTH($A230)=MONTH(G$16)),C229/C217,G229))</f>
        <v>1.0252711336549196</v>
      </c>
      <c r="H230" s="1474">
        <f ca="1">IF(Assm!$L$75=0,H229,IF(AND($A230&gt;H$16,MONTH($A230)=MONTH(H$16)),C229/C217-H$18,H229))</f>
        <v>1.0227711336549197</v>
      </c>
      <c r="I230" s="1474">
        <f ca="1">IF(Assm!$L$75=0,I229,IF($A230&gt;=I$16,IF(MONTH($A230)=MONTH(I$16),AVERAGE(D218:D229),I229),I229))</f>
        <v>2.7903438893562451</v>
      </c>
      <c r="J230" s="1475">
        <f ca="1">IF(Assm!$L$75=0,J229,IF($A230&gt;=J$16,IF(MONTH($A230)=MONTH(J$16),AVERAGE(E218:E229),J229),J229))</f>
        <v>2.4275200072154268</v>
      </c>
      <c r="K230" s="958">
        <f t="shared" si="104"/>
        <v>218</v>
      </c>
      <c r="L230" s="1476">
        <f t="shared" ca="1" si="105"/>
        <v>1.0252711336549196</v>
      </c>
      <c r="M230" s="1474">
        <f t="shared" si="115"/>
        <v>0</v>
      </c>
      <c r="N230" s="1475">
        <f t="shared" ca="1" si="128"/>
        <v>1.5573978315409176</v>
      </c>
      <c r="P230" s="1476">
        <f t="shared" ca="1" si="106"/>
        <v>1.0699999999999998</v>
      </c>
      <c r="Q230" s="1474">
        <f t="shared" si="116"/>
        <v>0</v>
      </c>
      <c r="R230" s="1475">
        <f t="shared" ca="1" si="129"/>
        <v>3.6767408885071422</v>
      </c>
      <c r="T230" s="1476">
        <f t="shared" ca="1" si="107"/>
        <v>1.0252711336549196</v>
      </c>
      <c r="U230" s="1474">
        <f t="shared" si="117"/>
        <v>1.0049999999999999</v>
      </c>
      <c r="V230" s="1475">
        <f t="shared" ca="1" si="130"/>
        <v>1.5573978315409176</v>
      </c>
      <c r="X230" s="1476">
        <f t="shared" ca="1" si="108"/>
        <v>1.0227711336549197</v>
      </c>
      <c r="Y230" s="1474">
        <f t="shared" si="118"/>
        <v>1.02</v>
      </c>
      <c r="Z230" s="1475">
        <f t="shared" ca="1" si="131"/>
        <v>1.5061761575233978</v>
      </c>
      <c r="AB230" s="1476">
        <f t="shared" ca="1" si="109"/>
        <v>1.0227711336549197</v>
      </c>
      <c r="AC230" s="1474">
        <f t="shared" si="119"/>
        <v>1.02</v>
      </c>
      <c r="AD230" s="1475">
        <f t="shared" ca="1" si="132"/>
        <v>1.5061761575233978</v>
      </c>
      <c r="AF230" s="1476">
        <f t="shared" ca="1" si="110"/>
        <v>1.0699999999999998</v>
      </c>
      <c r="AG230" s="1474">
        <f t="shared" si="120"/>
        <v>0</v>
      </c>
      <c r="AH230" s="1475">
        <f t="shared" ca="1" si="133"/>
        <v>3.6767408885071422</v>
      </c>
      <c r="AJ230" s="1476">
        <f t="shared" ca="1" si="111"/>
        <v>1.0227711336549197</v>
      </c>
      <c r="AK230" s="1474">
        <f t="shared" si="121"/>
        <v>1.02</v>
      </c>
      <c r="AL230" s="1475">
        <f t="shared" ca="1" si="134"/>
        <v>1.5061761575233978</v>
      </c>
      <c r="AN230" s="1476">
        <f t="shared" ca="1" si="112"/>
        <v>1.0252711336549196</v>
      </c>
      <c r="AO230" s="1474">
        <f t="shared" si="122"/>
        <v>1.0049999999999999</v>
      </c>
      <c r="AP230" s="1475">
        <f t="shared" ca="1" si="135"/>
        <v>1.5573978315409176</v>
      </c>
      <c r="AR230" s="701">
        <f t="shared" si="123"/>
        <v>41821</v>
      </c>
      <c r="AS230" s="1478">
        <f ca="1">IF(AND($A230&gt;=EDATE(AS$17,12),IF(Assm!$L$74=0,$D230,$E230)/AS229&gt;=1.05),IF(Assm!$L$74=0,$D230,$E230),AS229)</f>
        <v>2.7741268179237619</v>
      </c>
      <c r="AT230" s="1478">
        <f t="shared" ca="1" si="124"/>
        <v>1.050709902933189</v>
      </c>
      <c r="AU230" s="1478">
        <f t="shared" ca="1" si="125"/>
        <v>1.0699999999999998</v>
      </c>
      <c r="AV230" s="1478">
        <f t="shared" ca="1" si="126"/>
        <v>1.0699999999999998</v>
      </c>
      <c r="AW230" s="1475">
        <f t="shared" ca="1" si="127"/>
        <v>3.445533360167476</v>
      </c>
    </row>
    <row r="231" spans="1:49">
      <c r="A231" s="883">
        <f t="shared" si="114"/>
        <v>41852</v>
      </c>
      <c r="B231" s="1390">
        <f ca="1">'[2]Monthly Curve Calc.'!B234</f>
        <v>525.75878008581299</v>
      </c>
      <c r="C231" s="1391">
        <f ca="1">'[2]Monthly Curve Calc.'!C234</f>
        <v>251.59865958431774</v>
      </c>
      <c r="D231" s="1512">
        <f ca="1">'[2]Monthly Curve Calc.'!F234</f>
        <v>2.8533131225917847</v>
      </c>
      <c r="E231" s="1304">
        <f t="shared" ca="1" si="113"/>
        <v>2.546532952397369</v>
      </c>
      <c r="F231" s="1473">
        <f ca="1">IF(Assm!$L$75=0,F230,IF(AND($A231&gt;F$16,MONTH($A231)=MONTH(F$16)),B230/B218,F230))</f>
        <v>1.0699999999999998</v>
      </c>
      <c r="G231" s="1474">
        <f ca="1">IF(Assm!$L$75=0,G230,IF(AND($A231&gt;G$16,MONTH($A231)=MONTH(G$16)),C230/C218,G230))</f>
        <v>1.0252711336549196</v>
      </c>
      <c r="H231" s="1474">
        <f ca="1">IF(Assm!$L$75=0,H230,IF(AND($A231&gt;H$16,MONTH($A231)=MONTH(H$16)),C230/C218-H$18,H230))</f>
        <v>1.0227711336549197</v>
      </c>
      <c r="I231" s="1474">
        <f ca="1">IF(Assm!$L$75=0,I230,IF($A231&gt;=I$16,IF(MONTH($A231)=MONTH(I$16),AVERAGE(D219:D230),I230),I230))</f>
        <v>2.7903438893562451</v>
      </c>
      <c r="J231" s="1475">
        <f ca="1">IF(Assm!$L$75=0,J230,IF($A231&gt;=J$16,IF(MONTH($A231)=MONTH(J$16),AVERAGE(E219:E230),J230),J230))</f>
        <v>2.4275200072154268</v>
      </c>
      <c r="K231" s="958">
        <f t="shared" si="104"/>
        <v>219</v>
      </c>
      <c r="L231" s="1476">
        <f t="shared" ca="1" si="105"/>
        <v>1.0252711336549196</v>
      </c>
      <c r="M231" s="1474">
        <f t="shared" si="115"/>
        <v>0</v>
      </c>
      <c r="N231" s="1475">
        <f t="shared" ca="1" si="128"/>
        <v>1.5573978315409176</v>
      </c>
      <c r="P231" s="1476">
        <f t="shared" ca="1" si="106"/>
        <v>1.0699999999999998</v>
      </c>
      <c r="Q231" s="1474">
        <f t="shared" si="116"/>
        <v>0</v>
      </c>
      <c r="R231" s="1475">
        <f t="shared" ca="1" si="129"/>
        <v>3.6767408885071422</v>
      </c>
      <c r="T231" s="1476">
        <f t="shared" ca="1" si="107"/>
        <v>1.0252711336549196</v>
      </c>
      <c r="U231" s="1474">
        <f t="shared" si="117"/>
        <v>1.0049999999999999</v>
      </c>
      <c r="V231" s="1475">
        <f t="shared" ca="1" si="130"/>
        <v>1.5573978315409176</v>
      </c>
      <c r="X231" s="1476">
        <f t="shared" ca="1" si="108"/>
        <v>1.0227711336549197</v>
      </c>
      <c r="Y231" s="1474">
        <f t="shared" si="118"/>
        <v>1.02</v>
      </c>
      <c r="Z231" s="1475">
        <f t="shared" ca="1" si="131"/>
        <v>1.5061761575233978</v>
      </c>
      <c r="AB231" s="1476">
        <f t="shared" ca="1" si="109"/>
        <v>1.0227711336549197</v>
      </c>
      <c r="AC231" s="1474">
        <f t="shared" si="119"/>
        <v>1.02</v>
      </c>
      <c r="AD231" s="1475">
        <f t="shared" ca="1" si="132"/>
        <v>1.5061761575233978</v>
      </c>
      <c r="AF231" s="1476">
        <f t="shared" ca="1" si="110"/>
        <v>1.0699999999999998</v>
      </c>
      <c r="AG231" s="1474">
        <f t="shared" si="120"/>
        <v>0</v>
      </c>
      <c r="AH231" s="1475">
        <f t="shared" ca="1" si="133"/>
        <v>3.6767408885071422</v>
      </c>
      <c r="AJ231" s="1476">
        <f t="shared" ca="1" si="111"/>
        <v>1.0227711336549197</v>
      </c>
      <c r="AK231" s="1474">
        <f t="shared" si="121"/>
        <v>1.02</v>
      </c>
      <c r="AL231" s="1475">
        <f t="shared" ca="1" si="134"/>
        <v>1.5061761575233978</v>
      </c>
      <c r="AN231" s="1476">
        <f t="shared" ca="1" si="112"/>
        <v>1.0252711336549196</v>
      </c>
      <c r="AO231" s="1474">
        <f t="shared" si="122"/>
        <v>1.0049999999999999</v>
      </c>
      <c r="AP231" s="1475">
        <f t="shared" ca="1" si="135"/>
        <v>1.5573978315409176</v>
      </c>
      <c r="AR231" s="701">
        <f t="shared" si="123"/>
        <v>41852</v>
      </c>
      <c r="AS231" s="1478">
        <f ca="1">IF(AND($A231&gt;=EDATE(AS$17,12),IF(Assm!$L$74=0,$D231,$E231)/AS230&gt;=1.05),IF(Assm!$L$74=0,$D231,$E231),AS230)</f>
        <v>2.7741268179237619</v>
      </c>
      <c r="AT231" s="1478">
        <f t="shared" ca="1" si="124"/>
        <v>1.050709902933189</v>
      </c>
      <c r="AU231" s="1478">
        <f t="shared" ca="1" si="125"/>
        <v>1.0699999999999998</v>
      </c>
      <c r="AV231" s="1478">
        <f t="shared" ca="1" si="126"/>
        <v>1.0699999999999998</v>
      </c>
      <c r="AW231" s="1475">
        <f t="shared" ca="1" si="127"/>
        <v>3.445533360167476</v>
      </c>
    </row>
    <row r="232" spans="1:49">
      <c r="A232" s="883">
        <f t="shared" si="114"/>
        <v>41883</v>
      </c>
      <c r="B232" s="1390">
        <f ca="1">'[2]Monthly Curve Calc.'!B235</f>
        <v>528.731496667123</v>
      </c>
      <c r="C232" s="1391">
        <f ca="1">'[2]Monthly Curve Calc.'!C235</f>
        <v>252.12730661997571</v>
      </c>
      <c r="D232" s="1512">
        <f ca="1">'[2]Monthly Curve Calc.'!F235</f>
        <v>2.8580245002898335</v>
      </c>
      <c r="E232" s="1304">
        <f t="shared" ca="1" si="113"/>
        <v>2.555561796074949</v>
      </c>
      <c r="F232" s="1473">
        <f ca="1">IF(Assm!$L$75=0,F231,IF(AND($A232&gt;F$16,MONTH($A232)=MONTH(F$16)),B231/B219,F231))</f>
        <v>1.0699999999999998</v>
      </c>
      <c r="G232" s="1474">
        <f ca="1">IF(Assm!$L$75=0,G231,IF(AND($A232&gt;G$16,MONTH($A232)=MONTH(G$16)),C231/C219,G231))</f>
        <v>1.0252711336549196</v>
      </c>
      <c r="H232" s="1474">
        <f ca="1">IF(Assm!$L$75=0,H231,IF(AND($A232&gt;H$16,MONTH($A232)=MONTH(H$16)),C231/C219-H$18,H231))</f>
        <v>1.0227711336549197</v>
      </c>
      <c r="I232" s="1474">
        <f ca="1">IF(Assm!$L$75=0,I231,IF($A232&gt;=I$16,IF(MONTH($A232)=MONTH(I$16),AVERAGE(D220:D231),I231),I231))</f>
        <v>2.7903438893562451</v>
      </c>
      <c r="J232" s="1475">
        <f ca="1">IF(Assm!$L$75=0,J231,IF($A232&gt;=J$16,IF(MONTH($A232)=MONTH(J$16),AVERAGE(E220:E231),J231),J231))</f>
        <v>2.4275200072154268</v>
      </c>
      <c r="K232" s="958">
        <f t="shared" si="104"/>
        <v>220</v>
      </c>
      <c r="L232" s="1476">
        <f t="shared" ca="1" si="105"/>
        <v>1.0252711336549196</v>
      </c>
      <c r="M232" s="1474">
        <f t="shared" si="115"/>
        <v>0</v>
      </c>
      <c r="N232" s="1475">
        <f t="shared" ca="1" si="128"/>
        <v>1.5573978315409176</v>
      </c>
      <c r="P232" s="1476">
        <f t="shared" ca="1" si="106"/>
        <v>1.0699999999999998</v>
      </c>
      <c r="Q232" s="1474">
        <f t="shared" si="116"/>
        <v>0</v>
      </c>
      <c r="R232" s="1475">
        <f t="shared" ca="1" si="129"/>
        <v>3.6767408885071422</v>
      </c>
      <c r="T232" s="1476">
        <f t="shared" ca="1" si="107"/>
        <v>1.0252711336549196</v>
      </c>
      <c r="U232" s="1474">
        <f t="shared" si="117"/>
        <v>1.0049999999999999</v>
      </c>
      <c r="V232" s="1475">
        <f t="shared" ca="1" si="130"/>
        <v>1.5573978315409176</v>
      </c>
      <c r="X232" s="1476">
        <f t="shared" ca="1" si="108"/>
        <v>1.0227711336549197</v>
      </c>
      <c r="Y232" s="1474">
        <f t="shared" si="118"/>
        <v>1.02</v>
      </c>
      <c r="Z232" s="1475">
        <f t="shared" ca="1" si="131"/>
        <v>1.5061761575233978</v>
      </c>
      <c r="AB232" s="1476">
        <f t="shared" ca="1" si="109"/>
        <v>1.0227711336549197</v>
      </c>
      <c r="AC232" s="1474">
        <f t="shared" si="119"/>
        <v>1.02</v>
      </c>
      <c r="AD232" s="1475">
        <f t="shared" ca="1" si="132"/>
        <v>1.5061761575233978</v>
      </c>
      <c r="AF232" s="1476">
        <f t="shared" ca="1" si="110"/>
        <v>1.0699999999999998</v>
      </c>
      <c r="AG232" s="1474">
        <f t="shared" si="120"/>
        <v>0</v>
      </c>
      <c r="AH232" s="1475">
        <f t="shared" ca="1" si="133"/>
        <v>3.6767408885071422</v>
      </c>
      <c r="AJ232" s="1476">
        <f t="shared" ca="1" si="111"/>
        <v>1.0227711336549197</v>
      </c>
      <c r="AK232" s="1474">
        <f t="shared" si="121"/>
        <v>1.02</v>
      </c>
      <c r="AL232" s="1475">
        <f t="shared" ca="1" si="134"/>
        <v>1.5061761575233978</v>
      </c>
      <c r="AN232" s="1476">
        <f t="shared" ca="1" si="112"/>
        <v>1.0252711336549196</v>
      </c>
      <c r="AO232" s="1474">
        <f t="shared" si="122"/>
        <v>1.0049999999999999</v>
      </c>
      <c r="AP232" s="1475">
        <f t="shared" ca="1" si="135"/>
        <v>1.5573978315409176</v>
      </c>
      <c r="AR232" s="701">
        <f t="shared" si="123"/>
        <v>41883</v>
      </c>
      <c r="AS232" s="1478">
        <f ca="1">IF(AND($A232&gt;=EDATE(AS$17,12),IF(Assm!$L$74=0,$D232,$E232)/AS231&gt;=1.05),IF(Assm!$L$74=0,$D232,$E232),AS231)</f>
        <v>2.7741268179237619</v>
      </c>
      <c r="AT232" s="1478">
        <f t="shared" ca="1" si="124"/>
        <v>1.050709902933189</v>
      </c>
      <c r="AU232" s="1478">
        <f t="shared" ca="1" si="125"/>
        <v>1.0699999999999998</v>
      </c>
      <c r="AV232" s="1478">
        <f t="shared" ca="1" si="126"/>
        <v>1.0699999999999998</v>
      </c>
      <c r="AW232" s="1475">
        <f t="shared" ca="1" si="127"/>
        <v>3.445533360167476</v>
      </c>
    </row>
    <row r="233" spans="1:49">
      <c r="A233" s="883">
        <f t="shared" si="114"/>
        <v>41913</v>
      </c>
      <c r="B233" s="1390">
        <f ca="1">'[2]Monthly Curve Calc.'!B236</f>
        <v>531.72102142017934</v>
      </c>
      <c r="C233" s="1391">
        <f ca="1">'[2]Monthly Curve Calc.'!C236</f>
        <v>252.65706442342861</v>
      </c>
      <c r="D233" s="1512">
        <f ca="1">'[2]Monthly Curve Calc.'!F236</f>
        <v>2.8627436573933873</v>
      </c>
      <c r="E233" s="1304">
        <f t="shared" ca="1" si="113"/>
        <v>2.5646226519116797</v>
      </c>
      <c r="F233" s="1473">
        <f ca="1">IF(Assm!$L$75=0,F232,IF(AND($A233&gt;F$16,MONTH($A233)=MONTH(F$16)),B232/B220,F232))</f>
        <v>1.0699999999999998</v>
      </c>
      <c r="G233" s="1474">
        <f ca="1">IF(Assm!$L$75=0,G232,IF(AND($A233&gt;G$16,MONTH($A233)=MONTH(G$16)),C232/C220,G232))</f>
        <v>1.0252711336549196</v>
      </c>
      <c r="H233" s="1474">
        <f ca="1">IF(Assm!$L$75=0,H232,IF(AND($A233&gt;H$16,MONTH($A233)=MONTH(H$16)),C232/C220-H$18,H232))</f>
        <v>1.0227711336549197</v>
      </c>
      <c r="I233" s="1474">
        <f ca="1">IF(Assm!$L$75=0,I232,IF($A233&gt;=I$16,IF(MONTH($A233)=MONTH(I$16),AVERAGE(D221:D232),I232),I232))</f>
        <v>2.7903438893562451</v>
      </c>
      <c r="J233" s="1475">
        <f ca="1">IF(Assm!$L$75=0,J232,IF($A233&gt;=J$16,IF(MONTH($A233)=MONTH(J$16),AVERAGE(E221:E232),J232),J232))</f>
        <v>2.4275200072154268</v>
      </c>
      <c r="K233" s="958">
        <f t="shared" si="104"/>
        <v>221</v>
      </c>
      <c r="L233" s="1476">
        <f t="shared" ca="1" si="105"/>
        <v>1.0252711336549196</v>
      </c>
      <c r="M233" s="1474">
        <f t="shared" si="115"/>
        <v>0</v>
      </c>
      <c r="N233" s="1475">
        <f t="shared" ca="1" si="128"/>
        <v>1.5573978315409176</v>
      </c>
      <c r="P233" s="1476">
        <f t="shared" ca="1" si="106"/>
        <v>1.0699999999999998</v>
      </c>
      <c r="Q233" s="1474">
        <f t="shared" si="116"/>
        <v>0</v>
      </c>
      <c r="R233" s="1475">
        <f t="shared" ca="1" si="129"/>
        <v>3.6767408885071422</v>
      </c>
      <c r="T233" s="1476">
        <f t="shared" ca="1" si="107"/>
        <v>1.0252711336549196</v>
      </c>
      <c r="U233" s="1474">
        <f t="shared" si="117"/>
        <v>1.0049999999999999</v>
      </c>
      <c r="V233" s="1475">
        <f t="shared" ca="1" si="130"/>
        <v>1.5573978315409176</v>
      </c>
      <c r="X233" s="1476">
        <f t="shared" ca="1" si="108"/>
        <v>1.0227711336549197</v>
      </c>
      <c r="Y233" s="1474">
        <f t="shared" si="118"/>
        <v>1.02</v>
      </c>
      <c r="Z233" s="1475">
        <f t="shared" ca="1" si="131"/>
        <v>1.5061761575233978</v>
      </c>
      <c r="AB233" s="1476">
        <f t="shared" ca="1" si="109"/>
        <v>1.0227711336549197</v>
      </c>
      <c r="AC233" s="1474">
        <f t="shared" si="119"/>
        <v>1.02</v>
      </c>
      <c r="AD233" s="1475">
        <f t="shared" ca="1" si="132"/>
        <v>1.5061761575233978</v>
      </c>
      <c r="AF233" s="1476">
        <f t="shared" ca="1" si="110"/>
        <v>1.0699999999999998</v>
      </c>
      <c r="AG233" s="1474">
        <f t="shared" si="120"/>
        <v>0</v>
      </c>
      <c r="AH233" s="1475">
        <f t="shared" ca="1" si="133"/>
        <v>3.6767408885071422</v>
      </c>
      <c r="AJ233" s="1476">
        <f t="shared" ca="1" si="111"/>
        <v>1.0227711336549197</v>
      </c>
      <c r="AK233" s="1474">
        <f t="shared" si="121"/>
        <v>1.02</v>
      </c>
      <c r="AL233" s="1475">
        <f t="shared" ca="1" si="134"/>
        <v>1.5061761575233978</v>
      </c>
      <c r="AN233" s="1476">
        <f t="shared" ca="1" si="112"/>
        <v>1.0252711336549196</v>
      </c>
      <c r="AO233" s="1474">
        <f t="shared" si="122"/>
        <v>1.0049999999999999</v>
      </c>
      <c r="AP233" s="1475">
        <f t="shared" ca="1" si="135"/>
        <v>1.5573978315409176</v>
      </c>
      <c r="AR233" s="701">
        <f t="shared" si="123"/>
        <v>41913</v>
      </c>
      <c r="AS233" s="1478">
        <f ca="1">IF(AND($A233&gt;=EDATE(AS$17,12),IF(Assm!$L$74=0,$D233,$E233)/AS232&gt;=1.05),IF(Assm!$L$74=0,$D233,$E233),AS232)</f>
        <v>2.7741268179237619</v>
      </c>
      <c r="AT233" s="1478">
        <f t="shared" ca="1" si="124"/>
        <v>1.050709902933189</v>
      </c>
      <c r="AU233" s="1478">
        <f t="shared" ca="1" si="125"/>
        <v>1.0699999999999998</v>
      </c>
      <c r="AV233" s="1478">
        <f t="shared" ca="1" si="126"/>
        <v>1.0699999999999998</v>
      </c>
      <c r="AW233" s="1475">
        <f t="shared" ca="1" si="127"/>
        <v>3.445533360167476</v>
      </c>
    </row>
    <row r="234" spans="1:49">
      <c r="A234" s="883">
        <f t="shared" si="114"/>
        <v>41944</v>
      </c>
      <c r="B234" s="1390">
        <f ca="1">'[2]Monthly Curve Calc.'!B237</f>
        <v>534.72744938082872</v>
      </c>
      <c r="C234" s="1391">
        <f ca="1">'[2]Monthly Curve Calc.'!C237</f>
        <v>253.18793532856844</v>
      </c>
      <c r="D234" s="1512">
        <f ca="1">'[2]Monthly Curve Calc.'!F237</f>
        <v>2.8674706067477653</v>
      </c>
      <c r="E234" s="1304">
        <f t="shared" ca="1" si="113"/>
        <v>2.5737156334080677</v>
      </c>
      <c r="F234" s="1473">
        <f ca="1">IF(Assm!$L$75=0,F233,IF(AND($A234&gt;F$16,MONTH($A234)=MONTH(F$16)),B233/B221,F233))</f>
        <v>1.0699999999999998</v>
      </c>
      <c r="G234" s="1474">
        <f ca="1">IF(Assm!$L$75=0,G233,IF(AND($A234&gt;G$16,MONTH($A234)=MONTH(G$16)),C233/C221,G233))</f>
        <v>1.0252711336549196</v>
      </c>
      <c r="H234" s="1474">
        <f ca="1">IF(Assm!$L$75=0,H233,IF(AND($A234&gt;H$16,MONTH($A234)=MONTH(H$16)),C233/C221-H$18,H233))</f>
        <v>1.0227711336549197</v>
      </c>
      <c r="I234" s="1474">
        <f ca="1">IF(Assm!$L$75=0,I233,IF($A234&gt;=I$16,IF(MONTH($A234)=MONTH(I$16),AVERAGE(D222:D233),I233),I233))</f>
        <v>2.7903438893562451</v>
      </c>
      <c r="J234" s="1475">
        <f ca="1">IF(Assm!$L$75=0,J233,IF($A234&gt;=J$16,IF(MONTH($A234)=MONTH(J$16),AVERAGE(E222:E233),J233),J233))</f>
        <v>2.4275200072154268</v>
      </c>
      <c r="K234" s="958">
        <f t="shared" si="104"/>
        <v>222</v>
      </c>
      <c r="L234" s="1476">
        <f t="shared" ca="1" si="105"/>
        <v>1.0252711336549196</v>
      </c>
      <c r="M234" s="1474">
        <f t="shared" si="115"/>
        <v>0</v>
      </c>
      <c r="N234" s="1475">
        <f t="shared" ca="1" si="128"/>
        <v>1.5573978315409176</v>
      </c>
      <c r="P234" s="1476">
        <f t="shared" ca="1" si="106"/>
        <v>1.0699999999999998</v>
      </c>
      <c r="Q234" s="1474">
        <f t="shared" si="116"/>
        <v>0</v>
      </c>
      <c r="R234" s="1475">
        <f t="shared" ca="1" si="129"/>
        <v>3.6767408885071422</v>
      </c>
      <c r="T234" s="1476">
        <f t="shared" ca="1" si="107"/>
        <v>1.0252711336549196</v>
      </c>
      <c r="U234" s="1474">
        <f t="shared" si="117"/>
        <v>1.0049999999999999</v>
      </c>
      <c r="V234" s="1475">
        <f t="shared" ca="1" si="130"/>
        <v>1.5573978315409176</v>
      </c>
      <c r="X234" s="1476">
        <f t="shared" ca="1" si="108"/>
        <v>1.0227711336549197</v>
      </c>
      <c r="Y234" s="1474">
        <f t="shared" si="118"/>
        <v>1.02</v>
      </c>
      <c r="Z234" s="1475">
        <f t="shared" ca="1" si="131"/>
        <v>1.5061761575233978</v>
      </c>
      <c r="AB234" s="1476">
        <f t="shared" ca="1" si="109"/>
        <v>1.0227711336549197</v>
      </c>
      <c r="AC234" s="1474">
        <f t="shared" si="119"/>
        <v>1.02</v>
      </c>
      <c r="AD234" s="1475">
        <f t="shared" ca="1" si="132"/>
        <v>1.5061761575233978</v>
      </c>
      <c r="AF234" s="1476">
        <f t="shared" ca="1" si="110"/>
        <v>1.0699999999999998</v>
      </c>
      <c r="AG234" s="1474">
        <f t="shared" si="120"/>
        <v>0</v>
      </c>
      <c r="AH234" s="1475">
        <f t="shared" ca="1" si="133"/>
        <v>3.6767408885071422</v>
      </c>
      <c r="AJ234" s="1476">
        <f t="shared" ca="1" si="111"/>
        <v>1.0227711336549197</v>
      </c>
      <c r="AK234" s="1474">
        <f t="shared" si="121"/>
        <v>1.02</v>
      </c>
      <c r="AL234" s="1475">
        <f t="shared" ca="1" si="134"/>
        <v>1.5061761575233978</v>
      </c>
      <c r="AN234" s="1476">
        <f t="shared" ca="1" si="112"/>
        <v>1.0252711336549196</v>
      </c>
      <c r="AO234" s="1474">
        <f t="shared" si="122"/>
        <v>1.0049999999999999</v>
      </c>
      <c r="AP234" s="1475">
        <f t="shared" ca="1" si="135"/>
        <v>1.5573978315409176</v>
      </c>
      <c r="AR234" s="701">
        <f t="shared" si="123"/>
        <v>41944</v>
      </c>
      <c r="AS234" s="1478">
        <f ca="1">IF(AND($A234&gt;=EDATE(AS$17,12),IF(Assm!$L$74=0,$D234,$E234)/AS233&gt;=1.05),IF(Assm!$L$74=0,$D234,$E234),AS233)</f>
        <v>2.7741268179237619</v>
      </c>
      <c r="AT234" s="1478">
        <f t="shared" ca="1" si="124"/>
        <v>1.050709902933189</v>
      </c>
      <c r="AU234" s="1478">
        <f t="shared" ca="1" si="125"/>
        <v>1.0699999999999998</v>
      </c>
      <c r="AV234" s="1478">
        <f t="shared" ca="1" si="126"/>
        <v>1.0699999999999998</v>
      </c>
      <c r="AW234" s="1475">
        <f t="shared" ca="1" si="127"/>
        <v>3.445533360167476</v>
      </c>
    </row>
    <row r="235" spans="1:49">
      <c r="A235" s="883">
        <f t="shared" si="114"/>
        <v>41974</v>
      </c>
      <c r="B235" s="1390">
        <f ca="1">'[2]Monthly Curve Calc.'!B238</f>
        <v>537.75087612226434</v>
      </c>
      <c r="C235" s="1391">
        <f ca="1">'[2]Monthly Curve Calc.'!C238</f>
        <v>253.71992167419106</v>
      </c>
      <c r="D235" s="1512">
        <f ca="1">'[2]Monthly Curve Calc.'!F238</f>
        <v>2.8722053612194949</v>
      </c>
      <c r="E235" s="1304">
        <f t="shared" ca="1" si="113"/>
        <v>2.5828408544670407</v>
      </c>
      <c r="F235" s="1473">
        <f ca="1">IF(Assm!$L$75=0,F234,IF(AND($A235&gt;F$16,MONTH($A235)=MONTH(F$16)),B234/B222,F234))</f>
        <v>1.0699999999999998</v>
      </c>
      <c r="G235" s="1474">
        <f ca="1">IF(Assm!$L$75=0,G234,IF(AND($A235&gt;G$16,MONTH($A235)=MONTH(G$16)),C234/C222,G234))</f>
        <v>1.0252711336549196</v>
      </c>
      <c r="H235" s="1474">
        <f ca="1">IF(Assm!$L$75=0,H234,IF(AND($A235&gt;H$16,MONTH($A235)=MONTH(H$16)),C234/C222-H$18,H234))</f>
        <v>1.0227711336549197</v>
      </c>
      <c r="I235" s="1474">
        <f ca="1">IF(Assm!$L$75=0,I234,IF($A235&gt;=I$16,IF(MONTH($A235)=MONTH(I$16),AVERAGE(D223:D234),I234),I234))</f>
        <v>2.7903438893562451</v>
      </c>
      <c r="J235" s="1475">
        <f ca="1">IF(Assm!$L$75=0,J234,IF($A235&gt;=J$16,IF(MONTH($A235)=MONTH(J$16),AVERAGE(E223:E234),J234),J234))</f>
        <v>2.4275200072154268</v>
      </c>
      <c r="K235" s="958">
        <f t="shared" si="104"/>
        <v>223</v>
      </c>
      <c r="L235" s="1476">
        <f t="shared" ca="1" si="105"/>
        <v>1.0252711336549196</v>
      </c>
      <c r="M235" s="1474">
        <f t="shared" si="115"/>
        <v>0</v>
      </c>
      <c r="N235" s="1475">
        <f t="shared" ca="1" si="128"/>
        <v>1.5573978315409176</v>
      </c>
      <c r="P235" s="1476">
        <f t="shared" ca="1" si="106"/>
        <v>1.0699999999999998</v>
      </c>
      <c r="Q235" s="1474">
        <f t="shared" si="116"/>
        <v>0</v>
      </c>
      <c r="R235" s="1475">
        <f t="shared" ca="1" si="129"/>
        <v>3.6767408885071422</v>
      </c>
      <c r="T235" s="1476">
        <f t="shared" ca="1" si="107"/>
        <v>1.0252711336549196</v>
      </c>
      <c r="U235" s="1474">
        <f t="shared" si="117"/>
        <v>1.0049999999999999</v>
      </c>
      <c r="V235" s="1475">
        <f t="shared" ca="1" si="130"/>
        <v>1.5573978315409176</v>
      </c>
      <c r="X235" s="1476">
        <f t="shared" ca="1" si="108"/>
        <v>1.0227711336549197</v>
      </c>
      <c r="Y235" s="1474">
        <f t="shared" si="118"/>
        <v>1.02</v>
      </c>
      <c r="Z235" s="1475">
        <f t="shared" ca="1" si="131"/>
        <v>1.5061761575233978</v>
      </c>
      <c r="AB235" s="1476">
        <f t="shared" ca="1" si="109"/>
        <v>1.0227711336549197</v>
      </c>
      <c r="AC235" s="1474">
        <f t="shared" si="119"/>
        <v>1.02</v>
      </c>
      <c r="AD235" s="1475">
        <f t="shared" ca="1" si="132"/>
        <v>1.5061761575233978</v>
      </c>
      <c r="AF235" s="1476">
        <f t="shared" ca="1" si="110"/>
        <v>1.0699999999999998</v>
      </c>
      <c r="AG235" s="1474">
        <f t="shared" si="120"/>
        <v>0</v>
      </c>
      <c r="AH235" s="1475">
        <f t="shared" ca="1" si="133"/>
        <v>3.6767408885071422</v>
      </c>
      <c r="AJ235" s="1476">
        <f t="shared" ca="1" si="111"/>
        <v>1.0227711336549197</v>
      </c>
      <c r="AK235" s="1474">
        <f t="shared" si="121"/>
        <v>1.02</v>
      </c>
      <c r="AL235" s="1475">
        <f t="shared" ca="1" si="134"/>
        <v>1.5061761575233978</v>
      </c>
      <c r="AN235" s="1476">
        <f t="shared" ca="1" si="112"/>
        <v>1.0252711336549196</v>
      </c>
      <c r="AO235" s="1474">
        <f t="shared" si="122"/>
        <v>1.0049999999999999</v>
      </c>
      <c r="AP235" s="1475">
        <f t="shared" ca="1" si="135"/>
        <v>1.5573978315409176</v>
      </c>
      <c r="AR235" s="701">
        <f t="shared" si="123"/>
        <v>41974</v>
      </c>
      <c r="AS235" s="1478">
        <f ca="1">IF(AND($A235&gt;=EDATE(AS$17,12),IF(Assm!$L$74=0,$D235,$E235)/AS234&gt;=1.05),IF(Assm!$L$74=0,$D235,$E235),AS234)</f>
        <v>2.7741268179237619</v>
      </c>
      <c r="AT235" s="1478">
        <f t="shared" ca="1" si="124"/>
        <v>1.050709902933189</v>
      </c>
      <c r="AU235" s="1478">
        <f t="shared" ca="1" si="125"/>
        <v>1.0699999999999998</v>
      </c>
      <c r="AV235" s="1478">
        <f t="shared" ca="1" si="126"/>
        <v>1.0699999999999998</v>
      </c>
      <c r="AW235" s="1475">
        <f t="shared" ca="1" si="127"/>
        <v>3.445533360167476</v>
      </c>
    </row>
    <row r="236" spans="1:49">
      <c r="A236" s="883">
        <f t="shared" si="114"/>
        <v>42005</v>
      </c>
      <c r="B236" s="1390">
        <f ca="1">'[2]Monthly Curve Calc.'!B239</f>
        <v>540.74926199610366</v>
      </c>
      <c r="C236" s="1391">
        <f ca="1">'[2]Monthly Curve Calc.'!C239</f>
        <v>254.26128855244508</v>
      </c>
      <c r="D236" s="1512">
        <f ca="1">'[2]Monthly Curve Calc.'!F239</f>
        <v>2.8769423701861823</v>
      </c>
      <c r="E236" s="1304">
        <f t="shared" ca="1" si="113"/>
        <v>2.5917122480295718</v>
      </c>
      <c r="F236" s="1473">
        <f ca="1">IF(Assm!$L$75=0,F235,IF(AND($A236&gt;F$16,MONTH($A236)=MONTH(F$16)),B235/B223,F235))</f>
        <v>1.0699999999999998</v>
      </c>
      <c r="G236" s="1474">
        <f ca="1">IF(Assm!$L$75=0,G235,IF(AND($A236&gt;G$16,MONTH($A236)=MONTH(G$16)),C235/C223,G235))</f>
        <v>1.0252711336549196</v>
      </c>
      <c r="H236" s="1474">
        <f ca="1">IF(Assm!$L$75=0,H235,IF(AND($A236&gt;H$16,MONTH($A236)=MONTH(H$16)),C235/C223-H$18,H235))</f>
        <v>1.0227711336549197</v>
      </c>
      <c r="I236" s="1474">
        <f ca="1">IF(Assm!$L$75=0,I235,IF($A236&gt;=I$16,IF(MONTH($A236)=MONTH(I$16),AVERAGE(D224:D235),I235),I235))</f>
        <v>2.8463067760959695</v>
      </c>
      <c r="J236" s="1475">
        <f ca="1">IF(Assm!$L$75=0,J235,IF($A236&gt;=J$16,IF(MONTH($A236)=MONTH(J$16),AVERAGE(E224:E235),J235),J235))</f>
        <v>2.5332385252449514</v>
      </c>
      <c r="K236" s="958">
        <f t="shared" si="104"/>
        <v>224</v>
      </c>
      <c r="L236" s="1476">
        <f t="shared" ca="1" si="105"/>
        <v>1.0252711336549196</v>
      </c>
      <c r="M236" s="1474">
        <f t="shared" si="115"/>
        <v>0</v>
      </c>
      <c r="N236" s="1475">
        <f t="shared" ca="1" si="128"/>
        <v>1.5573978315409176</v>
      </c>
      <c r="P236" s="1476">
        <f t="shared" ca="1" si="106"/>
        <v>1.0699999999999998</v>
      </c>
      <c r="Q236" s="1474">
        <f t="shared" si="116"/>
        <v>0</v>
      </c>
      <c r="R236" s="1475">
        <f t="shared" ca="1" si="129"/>
        <v>3.6767408885071422</v>
      </c>
      <c r="T236" s="1476">
        <f t="shared" ca="1" si="107"/>
        <v>1.0252711336549196</v>
      </c>
      <c r="U236" s="1474">
        <f t="shared" si="117"/>
        <v>1.0049999999999999</v>
      </c>
      <c r="V236" s="1475">
        <f t="shared" ca="1" si="130"/>
        <v>1.5573978315409176</v>
      </c>
      <c r="X236" s="1476">
        <f t="shared" ca="1" si="108"/>
        <v>1.0227711336549197</v>
      </c>
      <c r="Y236" s="1474">
        <f t="shared" si="118"/>
        <v>1.02</v>
      </c>
      <c r="Z236" s="1475">
        <f t="shared" ca="1" si="131"/>
        <v>1.5061761575233978</v>
      </c>
      <c r="AB236" s="1476">
        <f t="shared" ca="1" si="109"/>
        <v>1.0227711336549197</v>
      </c>
      <c r="AC236" s="1474">
        <f t="shared" si="119"/>
        <v>1.02</v>
      </c>
      <c r="AD236" s="1475">
        <f t="shared" ca="1" si="132"/>
        <v>1.5061761575233978</v>
      </c>
      <c r="AF236" s="1476">
        <f t="shared" ca="1" si="110"/>
        <v>1.0699999999999998</v>
      </c>
      <c r="AG236" s="1474">
        <f t="shared" si="120"/>
        <v>0</v>
      </c>
      <c r="AH236" s="1475">
        <f t="shared" ca="1" si="133"/>
        <v>3.6767408885071422</v>
      </c>
      <c r="AJ236" s="1476">
        <f t="shared" ca="1" si="111"/>
        <v>1.0227711336549197</v>
      </c>
      <c r="AK236" s="1474">
        <f t="shared" si="121"/>
        <v>1.02</v>
      </c>
      <c r="AL236" s="1475">
        <f t="shared" ca="1" si="134"/>
        <v>1.5061761575233978</v>
      </c>
      <c r="AN236" s="1476">
        <f t="shared" ca="1" si="112"/>
        <v>1.0252711336549196</v>
      </c>
      <c r="AO236" s="1474">
        <f t="shared" si="122"/>
        <v>1.0049999999999999</v>
      </c>
      <c r="AP236" s="1475">
        <f t="shared" ca="1" si="135"/>
        <v>1.5573978315409176</v>
      </c>
      <c r="AR236" s="701">
        <f t="shared" si="123"/>
        <v>42005</v>
      </c>
      <c r="AS236" s="1478">
        <f ca="1">IF(AND($A236&gt;=EDATE(AS$17,12),IF(Assm!$L$74=0,$D236,$E236)/AS235&gt;=1.05),IF(Assm!$L$74=0,$D236,$E236),AS235)</f>
        <v>2.7741268179237619</v>
      </c>
      <c r="AT236" s="1478">
        <f t="shared" ca="1" si="124"/>
        <v>1.050709902933189</v>
      </c>
      <c r="AU236" s="1478">
        <f t="shared" ca="1" si="125"/>
        <v>1.0699999999999998</v>
      </c>
      <c r="AV236" s="1478">
        <f t="shared" ca="1" si="126"/>
        <v>1.0699999999999998</v>
      </c>
      <c r="AW236" s="1475">
        <f t="shared" ca="1" si="127"/>
        <v>3.445533360167476</v>
      </c>
    </row>
    <row r="237" spans="1:49">
      <c r="A237" s="883">
        <f t="shared" si="114"/>
        <v>42036</v>
      </c>
      <c r="B237" s="1390">
        <f ca="1">'[2]Monthly Curve Calc.'!B240</f>
        <v>543.76436623944755</v>
      </c>
      <c r="C237" s="1391">
        <f ca="1">'[2]Monthly Curve Calc.'!C240</f>
        <v>254.80381055519598</v>
      </c>
      <c r="D237" s="1512">
        <f ca="1">'[2]Monthly Curve Calc.'!F240</f>
        <v>2.8816871917049434</v>
      </c>
      <c r="E237" s="1304">
        <f t="shared" ca="1" si="113"/>
        <v>2.6006141125456677</v>
      </c>
      <c r="F237" s="1473">
        <f ca="1">IF(Assm!$L$75=0,F236,IF(AND($A237&gt;F$16,MONTH($A237)=MONTH(F$16)),B236/B224,F236))</f>
        <v>1.0699999999999998</v>
      </c>
      <c r="G237" s="1474">
        <f ca="1">IF(Assm!$L$75=0,G236,IF(AND($A237&gt;G$16,MONTH($A237)=MONTH(G$16)),C236/C224,G236))</f>
        <v>1.0252711336549196</v>
      </c>
      <c r="H237" s="1474">
        <f ca="1">IF(Assm!$L$75=0,H236,IF(AND($A237&gt;H$16,MONTH($A237)=MONTH(H$16)),C236/C224-H$18,H236))</f>
        <v>1.0227711336549197</v>
      </c>
      <c r="I237" s="1474">
        <f ca="1">IF(Assm!$L$75=0,I236,IF($A237&gt;=I$16,IF(MONTH($A237)=MONTH(I$16),AVERAGE(D225:D236),I236),I236))</f>
        <v>2.8463067760959695</v>
      </c>
      <c r="J237" s="1475">
        <f ca="1">IF(Assm!$L$75=0,J236,IF($A237&gt;=J$16,IF(MONTH($A237)=MONTH(J$16),AVERAGE(E225:E236),J236),J236))</f>
        <v>2.5332385252449514</v>
      </c>
      <c r="K237" s="958">
        <f t="shared" si="104"/>
        <v>225</v>
      </c>
      <c r="L237" s="1476">
        <f t="shared" ca="1" si="105"/>
        <v>1.0252711336549196</v>
      </c>
      <c r="M237" s="1474">
        <f t="shared" si="115"/>
        <v>0</v>
      </c>
      <c r="N237" s="1475">
        <f t="shared" ca="1" si="128"/>
        <v>1.5573978315409176</v>
      </c>
      <c r="P237" s="1476">
        <f t="shared" ca="1" si="106"/>
        <v>1.0699999999999998</v>
      </c>
      <c r="Q237" s="1474">
        <f t="shared" si="116"/>
        <v>0</v>
      </c>
      <c r="R237" s="1475">
        <f t="shared" ca="1" si="129"/>
        <v>3.6767408885071422</v>
      </c>
      <c r="T237" s="1476">
        <f t="shared" ca="1" si="107"/>
        <v>1.0252711336549196</v>
      </c>
      <c r="U237" s="1474">
        <f t="shared" si="117"/>
        <v>1.0049999999999999</v>
      </c>
      <c r="V237" s="1475">
        <f t="shared" ca="1" si="130"/>
        <v>1.5573978315409176</v>
      </c>
      <c r="X237" s="1476">
        <f t="shared" ca="1" si="108"/>
        <v>1.0227711336549197</v>
      </c>
      <c r="Y237" s="1474">
        <f t="shared" si="118"/>
        <v>1.02</v>
      </c>
      <c r="Z237" s="1475">
        <f t="shared" ca="1" si="131"/>
        <v>1.5061761575233978</v>
      </c>
      <c r="AB237" s="1476">
        <f t="shared" ca="1" si="109"/>
        <v>1.0227711336549197</v>
      </c>
      <c r="AC237" s="1474">
        <f t="shared" si="119"/>
        <v>1.02</v>
      </c>
      <c r="AD237" s="1475">
        <f t="shared" ca="1" si="132"/>
        <v>1.5061761575233978</v>
      </c>
      <c r="AF237" s="1476">
        <f t="shared" ca="1" si="110"/>
        <v>1.0699999999999998</v>
      </c>
      <c r="AG237" s="1474">
        <f t="shared" si="120"/>
        <v>0</v>
      </c>
      <c r="AH237" s="1475">
        <f t="shared" ca="1" si="133"/>
        <v>3.6767408885071422</v>
      </c>
      <c r="AJ237" s="1476">
        <f t="shared" ca="1" si="111"/>
        <v>1.0227711336549197</v>
      </c>
      <c r="AK237" s="1474">
        <f t="shared" si="121"/>
        <v>1.02</v>
      </c>
      <c r="AL237" s="1475">
        <f t="shared" ca="1" si="134"/>
        <v>1.5061761575233978</v>
      </c>
      <c r="AN237" s="1476">
        <f t="shared" ca="1" si="112"/>
        <v>1.0252711336549196</v>
      </c>
      <c r="AO237" s="1474">
        <f t="shared" si="122"/>
        <v>1.0049999999999999</v>
      </c>
      <c r="AP237" s="1475">
        <f t="shared" ca="1" si="135"/>
        <v>1.5573978315409176</v>
      </c>
      <c r="AR237" s="701">
        <f t="shared" si="123"/>
        <v>42036</v>
      </c>
      <c r="AS237" s="1478">
        <f ca="1">IF(AND($A237&gt;=EDATE(AS$17,12),IF(Assm!$L$74=0,$D237,$E237)/AS236&gt;=1.05),IF(Assm!$L$74=0,$D237,$E237),AS236)</f>
        <v>2.7741268179237619</v>
      </c>
      <c r="AT237" s="1478">
        <f t="shared" ca="1" si="124"/>
        <v>1.050709902933189</v>
      </c>
      <c r="AU237" s="1478">
        <f t="shared" ca="1" si="125"/>
        <v>1.0699999999999998</v>
      </c>
      <c r="AV237" s="1478">
        <f t="shared" ca="1" si="126"/>
        <v>1.0699999999999998</v>
      </c>
      <c r="AW237" s="1475">
        <f t="shared" ca="1" si="127"/>
        <v>3.445533360167476</v>
      </c>
    </row>
    <row r="238" spans="1:49">
      <c r="A238" s="883">
        <f t="shared" si="114"/>
        <v>42064</v>
      </c>
      <c r="B238" s="1390">
        <f ca="1">'[2]Monthly Curve Calc.'!B241</f>
        <v>546.79628207041094</v>
      </c>
      <c r="C238" s="1391">
        <f ca="1">'[2]Monthly Curve Calc.'!C241</f>
        <v>255.34749014715422</v>
      </c>
      <c r="D238" s="1512">
        <f ca="1">'[2]Monthly Curve Calc.'!F241</f>
        <v>2.8864398386606953</v>
      </c>
      <c r="E238" s="1304">
        <f t="shared" ca="1" si="113"/>
        <v>2.6095465526752113</v>
      </c>
      <c r="F238" s="1473">
        <f ca="1">IF(Assm!$L$75=0,F237,IF(AND($A238&gt;F$16,MONTH($A238)=MONTH(F$16)),B237/B225,F237))</f>
        <v>1.0699999999999998</v>
      </c>
      <c r="G238" s="1474">
        <f ca="1">IF(Assm!$L$75=0,G237,IF(AND($A238&gt;G$16,MONTH($A238)=MONTH(G$16)),C237/C225,G237))</f>
        <v>1.0252711336549196</v>
      </c>
      <c r="H238" s="1474">
        <f ca="1">IF(Assm!$L$75=0,H237,IF(AND($A238&gt;H$16,MONTH($A238)=MONTH(H$16)),C237/C225-H$18,H237))</f>
        <v>1.0227711336549197</v>
      </c>
      <c r="I238" s="1474">
        <f ca="1">IF(Assm!$L$75=0,I237,IF($A238&gt;=I$16,IF(MONTH($A238)=MONTH(I$16),AVERAGE(D226:D237),I237),I237))</f>
        <v>2.8463067760959695</v>
      </c>
      <c r="J238" s="1475">
        <f ca="1">IF(Assm!$L$75=0,J237,IF($A238&gt;=J$16,IF(MONTH($A238)=MONTH(J$16),AVERAGE(E226:E237),J237),J237))</f>
        <v>2.5332385252449514</v>
      </c>
      <c r="K238" s="958">
        <f t="shared" si="104"/>
        <v>226</v>
      </c>
      <c r="L238" s="1476">
        <f t="shared" ca="1" si="105"/>
        <v>1.0252711336549196</v>
      </c>
      <c r="M238" s="1474">
        <f t="shared" si="115"/>
        <v>0</v>
      </c>
      <c r="N238" s="1475">
        <f t="shared" ca="1" si="128"/>
        <v>1.5573978315409176</v>
      </c>
      <c r="P238" s="1476">
        <f t="shared" ca="1" si="106"/>
        <v>1.0699999999999998</v>
      </c>
      <c r="Q238" s="1474">
        <f t="shared" si="116"/>
        <v>0</v>
      </c>
      <c r="R238" s="1475">
        <f t="shared" ca="1" si="129"/>
        <v>3.6767408885071422</v>
      </c>
      <c r="T238" s="1476">
        <f t="shared" ca="1" si="107"/>
        <v>1.0252711336549196</v>
      </c>
      <c r="U238" s="1474">
        <f t="shared" si="117"/>
        <v>1.0049999999999999</v>
      </c>
      <c r="V238" s="1475">
        <f t="shared" ca="1" si="130"/>
        <v>1.5573978315409176</v>
      </c>
      <c r="X238" s="1476">
        <f t="shared" ca="1" si="108"/>
        <v>1.0227711336549197</v>
      </c>
      <c r="Y238" s="1474">
        <f t="shared" si="118"/>
        <v>1.02</v>
      </c>
      <c r="Z238" s="1475">
        <f t="shared" ca="1" si="131"/>
        <v>1.5061761575233978</v>
      </c>
      <c r="AB238" s="1476">
        <f t="shared" ca="1" si="109"/>
        <v>1.0227711336549197</v>
      </c>
      <c r="AC238" s="1474">
        <f t="shared" si="119"/>
        <v>1.02</v>
      </c>
      <c r="AD238" s="1475">
        <f t="shared" ca="1" si="132"/>
        <v>1.5061761575233978</v>
      </c>
      <c r="AF238" s="1476">
        <f t="shared" ca="1" si="110"/>
        <v>1.0699999999999998</v>
      </c>
      <c r="AG238" s="1474">
        <f t="shared" si="120"/>
        <v>0</v>
      </c>
      <c r="AH238" s="1475">
        <f t="shared" ca="1" si="133"/>
        <v>3.6767408885071422</v>
      </c>
      <c r="AJ238" s="1476">
        <f t="shared" ca="1" si="111"/>
        <v>1.0227711336549197</v>
      </c>
      <c r="AK238" s="1474">
        <f t="shared" si="121"/>
        <v>1.02</v>
      </c>
      <c r="AL238" s="1475">
        <f t="shared" ca="1" si="134"/>
        <v>1.5061761575233978</v>
      </c>
      <c r="AN238" s="1476">
        <f t="shared" ca="1" si="112"/>
        <v>1.0252711336549196</v>
      </c>
      <c r="AO238" s="1474">
        <f t="shared" si="122"/>
        <v>1.0049999999999999</v>
      </c>
      <c r="AP238" s="1475">
        <f t="shared" ca="1" si="135"/>
        <v>1.5573978315409176</v>
      </c>
      <c r="AR238" s="701">
        <f t="shared" si="123"/>
        <v>42064</v>
      </c>
      <c r="AS238" s="1478">
        <f ca="1">IF(AND($A238&gt;=EDATE(AS$17,12),IF(Assm!$L$74=0,$D238,$E238)/AS237&gt;=1.05),IF(Assm!$L$74=0,$D238,$E238),AS237)</f>
        <v>2.7741268179237619</v>
      </c>
      <c r="AT238" s="1478">
        <f t="shared" ca="1" si="124"/>
        <v>1.050709902933189</v>
      </c>
      <c r="AU238" s="1478">
        <f t="shared" ca="1" si="125"/>
        <v>1.0699999999999998</v>
      </c>
      <c r="AV238" s="1478">
        <f t="shared" ca="1" si="126"/>
        <v>1.0699999999999998</v>
      </c>
      <c r="AW238" s="1475">
        <f t="shared" ca="1" si="127"/>
        <v>3.445533360167476</v>
      </c>
    </row>
    <row r="239" spans="1:49">
      <c r="A239" s="883">
        <f t="shared" si="114"/>
        <v>42095</v>
      </c>
      <c r="B239" s="1390">
        <f ca="1">'[2]Monthly Curve Calc.'!B242</f>
        <v>549.84510322687333</v>
      </c>
      <c r="C239" s="1391">
        <f ca="1">'[2]Monthly Curve Calc.'!C242</f>
        <v>255.89232979828924</v>
      </c>
      <c r="D239" s="1512">
        <f ca="1">'[2]Monthly Curve Calc.'!F242</f>
        <v>2.8912003239596067</v>
      </c>
      <c r="E239" s="1304">
        <f t="shared" ca="1" si="113"/>
        <v>2.6185096734375648</v>
      </c>
      <c r="F239" s="1473">
        <f ca="1">IF(Assm!$L$75=0,F238,IF(AND($A239&gt;F$16,MONTH($A239)=MONTH(F$16)),B238/B226,F238))</f>
        <v>1.0699999999999998</v>
      </c>
      <c r="G239" s="1474">
        <f ca="1">IF(Assm!$L$75=0,G238,IF(AND($A239&gt;G$16,MONTH($A239)=MONTH(G$16)),C238/C226,G238))</f>
        <v>1.0252711336549196</v>
      </c>
      <c r="H239" s="1474">
        <f ca="1">IF(Assm!$L$75=0,H238,IF(AND($A239&gt;H$16,MONTH($A239)=MONTH(H$16)),C238/C226-H$18,H238))</f>
        <v>1.0227711336549197</v>
      </c>
      <c r="I239" s="1474">
        <f ca="1">IF(Assm!$L$75=0,I238,IF($A239&gt;=I$16,IF(MONTH($A239)=MONTH(I$16),AVERAGE(D227:D238),I238),I238))</f>
        <v>2.8463067760959695</v>
      </c>
      <c r="J239" s="1475">
        <f ca="1">IF(Assm!$L$75=0,J238,IF($A239&gt;=J$16,IF(MONTH($A239)=MONTH(J$16),AVERAGE(E227:E238),J238),J238))</f>
        <v>2.5332385252449514</v>
      </c>
      <c r="K239" s="958">
        <f t="shared" si="104"/>
        <v>227</v>
      </c>
      <c r="L239" s="1476">
        <f t="shared" ca="1" si="105"/>
        <v>1.0252711336549196</v>
      </c>
      <c r="M239" s="1474">
        <f t="shared" si="115"/>
        <v>0</v>
      </c>
      <c r="N239" s="1475">
        <f t="shared" ca="1" si="128"/>
        <v>1.5573978315409176</v>
      </c>
      <c r="P239" s="1476">
        <f t="shared" ca="1" si="106"/>
        <v>1.0699999999999998</v>
      </c>
      <c r="Q239" s="1474">
        <f t="shared" si="116"/>
        <v>0</v>
      </c>
      <c r="R239" s="1475">
        <f t="shared" ca="1" si="129"/>
        <v>3.6767408885071422</v>
      </c>
      <c r="T239" s="1476">
        <f t="shared" ca="1" si="107"/>
        <v>1.0252711336549196</v>
      </c>
      <c r="U239" s="1474">
        <f t="shared" si="117"/>
        <v>1.0049999999999999</v>
      </c>
      <c r="V239" s="1475">
        <f t="shared" ca="1" si="130"/>
        <v>1.5573978315409176</v>
      </c>
      <c r="X239" s="1476">
        <f t="shared" ca="1" si="108"/>
        <v>1.0227711336549197</v>
      </c>
      <c r="Y239" s="1474">
        <f t="shared" si="118"/>
        <v>1.02</v>
      </c>
      <c r="Z239" s="1475">
        <f t="shared" ca="1" si="131"/>
        <v>1.5061761575233978</v>
      </c>
      <c r="AB239" s="1476">
        <f t="shared" ca="1" si="109"/>
        <v>1.0227711336549197</v>
      </c>
      <c r="AC239" s="1474">
        <f t="shared" si="119"/>
        <v>1.02</v>
      </c>
      <c r="AD239" s="1475">
        <f t="shared" ca="1" si="132"/>
        <v>1.5061761575233978</v>
      </c>
      <c r="AF239" s="1476">
        <f t="shared" ca="1" si="110"/>
        <v>1.0699999999999998</v>
      </c>
      <c r="AG239" s="1474">
        <f t="shared" si="120"/>
        <v>0</v>
      </c>
      <c r="AH239" s="1475">
        <f t="shared" ca="1" si="133"/>
        <v>3.6767408885071422</v>
      </c>
      <c r="AJ239" s="1476">
        <f t="shared" ca="1" si="111"/>
        <v>1.0227711336549197</v>
      </c>
      <c r="AK239" s="1474">
        <f t="shared" si="121"/>
        <v>1.02</v>
      </c>
      <c r="AL239" s="1475">
        <f t="shared" ca="1" si="134"/>
        <v>1.5061761575233978</v>
      </c>
      <c r="AN239" s="1476">
        <f t="shared" ca="1" si="112"/>
        <v>1.0252711336549196</v>
      </c>
      <c r="AO239" s="1474">
        <f t="shared" si="122"/>
        <v>1.0049999999999999</v>
      </c>
      <c r="AP239" s="1475">
        <f t="shared" ca="1" si="135"/>
        <v>1.5573978315409176</v>
      </c>
      <c r="AR239" s="701">
        <f t="shared" si="123"/>
        <v>42095</v>
      </c>
      <c r="AS239" s="1478">
        <f ca="1">IF(AND($A239&gt;=EDATE(AS$17,12),IF(Assm!$L$74=0,$D239,$E239)/AS238&gt;=1.05),IF(Assm!$L$74=0,$D239,$E239),AS238)</f>
        <v>2.7741268179237619</v>
      </c>
      <c r="AT239" s="1478">
        <f t="shared" ca="1" si="124"/>
        <v>1.050709902933189</v>
      </c>
      <c r="AU239" s="1478">
        <f t="shared" ca="1" si="125"/>
        <v>1.0699999999999998</v>
      </c>
      <c r="AV239" s="1478">
        <f t="shared" ca="1" si="126"/>
        <v>1.0699999999999998</v>
      </c>
      <c r="AW239" s="1475">
        <f t="shared" ca="1" si="127"/>
        <v>3.445533360167476</v>
      </c>
    </row>
    <row r="240" spans="1:49">
      <c r="A240" s="883">
        <f t="shared" si="114"/>
        <v>42125</v>
      </c>
      <c r="B240" s="1390">
        <f ca="1">'[2]Monthly Curve Calc.'!B243</f>
        <v>552.910923969377</v>
      </c>
      <c r="C240" s="1391">
        <f ca="1">'[2]Monthly Curve Calc.'!C243</f>
        <v>256.43833198384067</v>
      </c>
      <c r="D240" s="1512">
        <f ca="1">'[2]Monthly Curve Calc.'!F243</f>
        <v>2.8959686605291308</v>
      </c>
      <c r="E240" s="1304">
        <f t="shared" ca="1" si="113"/>
        <v>2.6275035802128057</v>
      </c>
      <c r="F240" s="1473">
        <f ca="1">IF(Assm!$L$75=0,F239,IF(AND($A240&gt;F$16,MONTH($A240)=MONTH(F$16)),B239/B227,F239))</f>
        <v>1.0696665627705568</v>
      </c>
      <c r="G240" s="1474">
        <f ca="1">IF(Assm!$L$75=0,G239,IF(AND($A240&gt;G$16,MONTH($A240)=MONTH(G$16)),C239/C227,G239))</f>
        <v>1.0256405690902242</v>
      </c>
      <c r="H240" s="1474">
        <f ca="1">IF(Assm!$L$75=0,H239,IF(AND($A240&gt;H$16,MONTH($A240)=MONTH(H$16)),C239/C227-H$18,H239))</f>
        <v>1.0231405690902242</v>
      </c>
      <c r="I240" s="1474">
        <f ca="1">IF(Assm!$L$75=0,I239,IF($A240&gt;=I$16,IF(MONTH($A240)=MONTH(I$16),AVERAGE(D228:D239),I239),I239))</f>
        <v>2.8463067760959695</v>
      </c>
      <c r="J240" s="1475">
        <f ca="1">IF(Assm!$L$75=0,J239,IF($A240&gt;=J$16,IF(MONTH($A240)=MONTH(J$16),AVERAGE(E228:E239),J239),J239))</f>
        <v>2.5332385252449514</v>
      </c>
      <c r="K240" s="958">
        <f t="shared" si="104"/>
        <v>228</v>
      </c>
      <c r="L240" s="1476">
        <f t="shared" ca="1" si="105"/>
        <v>1.0256405690902242</v>
      </c>
      <c r="M240" s="1474">
        <f t="shared" si="115"/>
        <v>0</v>
      </c>
      <c r="N240" s="1475">
        <f t="shared" ca="1" si="128"/>
        <v>1.5973303982415077</v>
      </c>
      <c r="P240" s="1476">
        <f t="shared" ca="1" si="106"/>
        <v>1.0696665627705568</v>
      </c>
      <c r="Q240" s="1474">
        <f t="shared" si="116"/>
        <v>0</v>
      </c>
      <c r="R240" s="1475">
        <f t="shared" ca="1" si="129"/>
        <v>3.9328867884073979</v>
      </c>
      <c r="T240" s="1476">
        <f t="shared" ca="1" si="107"/>
        <v>1.0256405690902242</v>
      </c>
      <c r="U240" s="1474">
        <f t="shared" si="117"/>
        <v>1.0049999999999999</v>
      </c>
      <c r="V240" s="1475">
        <f t="shared" ca="1" si="130"/>
        <v>1.5973303982415077</v>
      </c>
      <c r="X240" s="1476">
        <f t="shared" ca="1" si="108"/>
        <v>1.0231405690902242</v>
      </c>
      <c r="Y240" s="1474">
        <f t="shared" si="118"/>
        <v>1.02</v>
      </c>
      <c r="Z240" s="1475">
        <f t="shared" ca="1" si="131"/>
        <v>1.5410299309586164</v>
      </c>
      <c r="AB240" s="1476">
        <f t="shared" ca="1" si="109"/>
        <v>1.0231405690902242</v>
      </c>
      <c r="AC240" s="1474">
        <f t="shared" si="119"/>
        <v>1.02</v>
      </c>
      <c r="AD240" s="1475">
        <f t="shared" ca="1" si="132"/>
        <v>1.5410299309586164</v>
      </c>
      <c r="AF240" s="1476">
        <f t="shared" ca="1" si="110"/>
        <v>1.0696665627705568</v>
      </c>
      <c r="AG240" s="1474">
        <f t="shared" si="120"/>
        <v>0</v>
      </c>
      <c r="AH240" s="1475">
        <f t="shared" ca="1" si="133"/>
        <v>3.9328867884073979</v>
      </c>
      <c r="AJ240" s="1476">
        <f t="shared" ca="1" si="111"/>
        <v>1.0231405690902242</v>
      </c>
      <c r="AK240" s="1474">
        <f t="shared" si="121"/>
        <v>1.02</v>
      </c>
      <c r="AL240" s="1475">
        <f t="shared" ca="1" si="134"/>
        <v>1.5410299309586164</v>
      </c>
      <c r="AN240" s="1476">
        <f t="shared" ca="1" si="112"/>
        <v>1.0256405690902242</v>
      </c>
      <c r="AO240" s="1474">
        <f t="shared" si="122"/>
        <v>1.0049999999999999</v>
      </c>
      <c r="AP240" s="1475">
        <f t="shared" ca="1" si="135"/>
        <v>1.5973303982415077</v>
      </c>
      <c r="AR240" s="701">
        <f t="shared" si="123"/>
        <v>42125</v>
      </c>
      <c r="AS240" s="1478">
        <f ca="1">IF(AND($A240&gt;=EDATE(AS$17,12),IF(Assm!$L$74=0,$D240,$E240)/AS239&gt;=1.05),IF(Assm!$L$74=0,$D240,$E240),AS239)</f>
        <v>2.7741268179237619</v>
      </c>
      <c r="AT240" s="1478">
        <f t="shared" ca="1" si="124"/>
        <v>1.050709902933189</v>
      </c>
      <c r="AU240" s="1478">
        <f t="shared" ca="1" si="125"/>
        <v>1.0696665627705568</v>
      </c>
      <c r="AV240" s="1478">
        <f t="shared" ca="1" si="126"/>
        <v>1.0696665627705568</v>
      </c>
      <c r="AW240" s="1475">
        <f t="shared" ca="1" si="127"/>
        <v>3.685571826281631</v>
      </c>
    </row>
    <row r="241" spans="1:49">
      <c r="A241" s="883">
        <f t="shared" si="114"/>
        <v>42156</v>
      </c>
      <c r="B241" s="1390">
        <f ca="1">'[2]Monthly Curve Calc.'!B244</f>
        <v>555.99383908404116</v>
      </c>
      <c r="C241" s="1391">
        <f ca="1">'[2]Monthly Curve Calc.'!C244</f>
        <v>256.98549918432968</v>
      </c>
      <c r="D241" s="1512">
        <f ca="1">'[2]Monthly Curve Calc.'!F244</f>
        <v>2.9007448613180422</v>
      </c>
      <c r="E241" s="1304">
        <f t="shared" ca="1" si="113"/>
        <v>2.6365283787429643</v>
      </c>
      <c r="F241" s="1473">
        <f ca="1">IF(Assm!$L$75=0,F240,IF(AND($A241&gt;F$16,MONTH($A241)=MONTH(F$16)),B240/B228,F240))</f>
        <v>1.0696665627705568</v>
      </c>
      <c r="G241" s="1474">
        <f ca="1">IF(Assm!$L$75=0,G240,IF(AND($A241&gt;G$16,MONTH($A241)=MONTH(G$16)),C240/C228,G240))</f>
        <v>1.0256405690902242</v>
      </c>
      <c r="H241" s="1474">
        <f ca="1">IF(Assm!$L$75=0,H240,IF(AND($A241&gt;H$16,MONTH($A241)=MONTH(H$16)),C240/C228-H$18,H240))</f>
        <v>1.0231405690902242</v>
      </c>
      <c r="I241" s="1474">
        <f ca="1">IF(Assm!$L$75=0,I240,IF($A241&gt;=I$16,IF(MONTH($A241)=MONTH(I$16),AVERAGE(D229:D240),I240),I240))</f>
        <v>2.8463067760959695</v>
      </c>
      <c r="J241" s="1475">
        <f ca="1">IF(Assm!$L$75=0,J240,IF($A241&gt;=J$16,IF(MONTH($A241)=MONTH(J$16),AVERAGE(E229:E240),J240),J240))</f>
        <v>2.5332385252449514</v>
      </c>
      <c r="K241" s="958">
        <f t="shared" si="104"/>
        <v>229</v>
      </c>
      <c r="L241" s="1476">
        <f t="shared" ca="1" si="105"/>
        <v>1.0256405690902242</v>
      </c>
      <c r="M241" s="1474">
        <f t="shared" si="115"/>
        <v>0</v>
      </c>
      <c r="N241" s="1475">
        <f t="shared" ca="1" si="128"/>
        <v>1.5973303982415077</v>
      </c>
      <c r="P241" s="1476">
        <f t="shared" ca="1" si="106"/>
        <v>1.0696665627705568</v>
      </c>
      <c r="Q241" s="1474">
        <f t="shared" si="116"/>
        <v>0</v>
      </c>
      <c r="R241" s="1475">
        <f t="shared" ca="1" si="129"/>
        <v>3.9328867884073979</v>
      </c>
      <c r="T241" s="1476">
        <f t="shared" ca="1" si="107"/>
        <v>1.0256405690902242</v>
      </c>
      <c r="U241" s="1474">
        <f t="shared" si="117"/>
        <v>1.0049999999999999</v>
      </c>
      <c r="V241" s="1475">
        <f t="shared" ca="1" si="130"/>
        <v>1.5973303982415077</v>
      </c>
      <c r="X241" s="1476">
        <f t="shared" ca="1" si="108"/>
        <v>1.0231405690902242</v>
      </c>
      <c r="Y241" s="1474">
        <f t="shared" si="118"/>
        <v>1.02</v>
      </c>
      <c r="Z241" s="1475">
        <f t="shared" ca="1" si="131"/>
        <v>1.5410299309586164</v>
      </c>
      <c r="AB241" s="1476">
        <f t="shared" ca="1" si="109"/>
        <v>1.0231405690902242</v>
      </c>
      <c r="AC241" s="1474">
        <f t="shared" si="119"/>
        <v>1.02</v>
      </c>
      <c r="AD241" s="1475">
        <f t="shared" ca="1" si="132"/>
        <v>1.5410299309586164</v>
      </c>
      <c r="AF241" s="1476">
        <f t="shared" ca="1" si="110"/>
        <v>1.0696665627705568</v>
      </c>
      <c r="AG241" s="1474">
        <f t="shared" si="120"/>
        <v>0</v>
      </c>
      <c r="AH241" s="1475">
        <f t="shared" ca="1" si="133"/>
        <v>3.9328867884073979</v>
      </c>
      <c r="AJ241" s="1476">
        <f t="shared" ca="1" si="111"/>
        <v>1.0231405690902242</v>
      </c>
      <c r="AK241" s="1474">
        <f t="shared" si="121"/>
        <v>1.02</v>
      </c>
      <c r="AL241" s="1475">
        <f t="shared" ca="1" si="134"/>
        <v>1.5410299309586164</v>
      </c>
      <c r="AN241" s="1476">
        <f t="shared" ca="1" si="112"/>
        <v>1.0256405690902242</v>
      </c>
      <c r="AO241" s="1474">
        <f t="shared" si="122"/>
        <v>1.0049999999999999</v>
      </c>
      <c r="AP241" s="1475">
        <f t="shared" ca="1" si="135"/>
        <v>1.5973303982415077</v>
      </c>
      <c r="AR241" s="701">
        <f t="shared" si="123"/>
        <v>42156</v>
      </c>
      <c r="AS241" s="1478">
        <f ca="1">IF(AND($A241&gt;=EDATE(AS$17,12),IF(Assm!$L$74=0,$D241,$E241)/AS240&gt;=1.05),IF(Assm!$L$74=0,$D241,$E241),AS240)</f>
        <v>2.7741268179237619</v>
      </c>
      <c r="AT241" s="1478">
        <f t="shared" ca="1" si="124"/>
        <v>1.050709902933189</v>
      </c>
      <c r="AU241" s="1478">
        <f t="shared" ca="1" si="125"/>
        <v>1.0696665627705568</v>
      </c>
      <c r="AV241" s="1478">
        <f t="shared" ca="1" si="126"/>
        <v>1.0696665627705568</v>
      </c>
      <c r="AW241" s="1475">
        <f t="shared" ca="1" si="127"/>
        <v>3.685571826281631</v>
      </c>
    </row>
    <row r="242" spans="1:49">
      <c r="A242" s="883">
        <f t="shared" si="114"/>
        <v>42186</v>
      </c>
      <c r="B242" s="1390">
        <f ca="1">'[2]Monthly Curve Calc.'!B245</f>
        <v>559.09394388549242</v>
      </c>
      <c r="C242" s="1391">
        <f ca="1">'[2]Monthly Curve Calc.'!C245</f>
        <v>257.53383388557017</v>
      </c>
      <c r="D242" s="1512">
        <f ca="1">'[2]Monthly Curve Calc.'!F245</f>
        <v>2.9055289392964712</v>
      </c>
      <c r="E242" s="1304">
        <f t="shared" ca="1" si="113"/>
        <v>2.6455841751332678</v>
      </c>
      <c r="F242" s="1473">
        <f ca="1">IF(Assm!$L$75=0,F241,IF(AND($A242&gt;F$16,MONTH($A242)=MONTH(F$16)),B241/B229,F241))</f>
        <v>1.0696665627705568</v>
      </c>
      <c r="G242" s="1474">
        <f ca="1">IF(Assm!$L$75=0,G241,IF(AND($A242&gt;G$16,MONTH($A242)=MONTH(G$16)),C241/C229,G241))</f>
        <v>1.0256405690902242</v>
      </c>
      <c r="H242" s="1474">
        <f ca="1">IF(Assm!$L$75=0,H241,IF(AND($A242&gt;H$16,MONTH($A242)=MONTH(H$16)),C241/C229-H$18,H241))</f>
        <v>1.0231405690902242</v>
      </c>
      <c r="I242" s="1474">
        <f ca="1">IF(Assm!$L$75=0,I241,IF($A242&gt;=I$16,IF(MONTH($A242)=MONTH(I$16),AVERAGE(D230:D241),I241),I241))</f>
        <v>2.8463067760959695</v>
      </c>
      <c r="J242" s="1475">
        <f ca="1">IF(Assm!$L$75=0,J241,IF($A242&gt;=J$16,IF(MONTH($A242)=MONTH(J$16),AVERAGE(E230:E241),J241),J241))</f>
        <v>2.5332385252449514</v>
      </c>
      <c r="K242" s="958">
        <f t="shared" si="104"/>
        <v>230</v>
      </c>
      <c r="L242" s="1476">
        <f t="shared" ca="1" si="105"/>
        <v>1.0256405690902242</v>
      </c>
      <c r="M242" s="1474">
        <f t="shared" si="115"/>
        <v>0</v>
      </c>
      <c r="N242" s="1475">
        <f t="shared" ca="1" si="128"/>
        <v>1.5973303982415077</v>
      </c>
      <c r="P242" s="1476">
        <f t="shared" ca="1" si="106"/>
        <v>1.0696665627705568</v>
      </c>
      <c r="Q242" s="1474">
        <f t="shared" si="116"/>
        <v>0</v>
      </c>
      <c r="R242" s="1475">
        <f t="shared" ca="1" si="129"/>
        <v>3.9328867884073979</v>
      </c>
      <c r="T242" s="1476">
        <f t="shared" ca="1" si="107"/>
        <v>1.0256405690902242</v>
      </c>
      <c r="U242" s="1474">
        <f t="shared" si="117"/>
        <v>1.0049999999999999</v>
      </c>
      <c r="V242" s="1475">
        <f t="shared" ca="1" si="130"/>
        <v>1.5973303982415077</v>
      </c>
      <c r="X242" s="1476">
        <f t="shared" ca="1" si="108"/>
        <v>1.0231405690902242</v>
      </c>
      <c r="Y242" s="1474">
        <f t="shared" si="118"/>
        <v>1.02</v>
      </c>
      <c r="Z242" s="1475">
        <f t="shared" ca="1" si="131"/>
        <v>1.5410299309586164</v>
      </c>
      <c r="AB242" s="1476">
        <f t="shared" ca="1" si="109"/>
        <v>1.0231405690902242</v>
      </c>
      <c r="AC242" s="1474">
        <f t="shared" si="119"/>
        <v>1.02</v>
      </c>
      <c r="AD242" s="1475">
        <f t="shared" ca="1" si="132"/>
        <v>1.5410299309586164</v>
      </c>
      <c r="AF242" s="1476">
        <f t="shared" ca="1" si="110"/>
        <v>1.0696665627705568</v>
      </c>
      <c r="AG242" s="1474">
        <f t="shared" si="120"/>
        <v>0</v>
      </c>
      <c r="AH242" s="1475">
        <f t="shared" ca="1" si="133"/>
        <v>3.9328867884073979</v>
      </c>
      <c r="AJ242" s="1476">
        <f t="shared" ca="1" si="111"/>
        <v>1.0231405690902242</v>
      </c>
      <c r="AK242" s="1474">
        <f t="shared" si="121"/>
        <v>1.02</v>
      </c>
      <c r="AL242" s="1475">
        <f t="shared" ca="1" si="134"/>
        <v>1.5410299309586164</v>
      </c>
      <c r="AN242" s="1476">
        <f t="shared" ca="1" si="112"/>
        <v>1.0256405690902242</v>
      </c>
      <c r="AO242" s="1474">
        <f t="shared" si="122"/>
        <v>1.0049999999999999</v>
      </c>
      <c r="AP242" s="1475">
        <f t="shared" ca="1" si="135"/>
        <v>1.5973303982415077</v>
      </c>
      <c r="AR242" s="701">
        <f t="shared" si="123"/>
        <v>42186</v>
      </c>
      <c r="AS242" s="1478">
        <f ca="1">IF(AND($A242&gt;=EDATE(AS$17,12),IF(Assm!$L$74=0,$D242,$E242)/AS241&gt;=1.05),IF(Assm!$L$74=0,$D242,$E242),AS241)</f>
        <v>2.7741268179237619</v>
      </c>
      <c r="AT242" s="1478">
        <f t="shared" ca="1" si="124"/>
        <v>1.050709902933189</v>
      </c>
      <c r="AU242" s="1478">
        <f t="shared" ca="1" si="125"/>
        <v>1.0696665627705568</v>
      </c>
      <c r="AV242" s="1478">
        <f t="shared" ca="1" si="126"/>
        <v>1.0696665627705568</v>
      </c>
      <c r="AW242" s="1475">
        <f t="shared" ca="1" si="127"/>
        <v>3.685571826281631</v>
      </c>
    </row>
    <row r="243" spans="1:49">
      <c r="A243" s="883">
        <f t="shared" si="114"/>
        <v>42217</v>
      </c>
      <c r="B243" s="1390">
        <f ca="1">'[2]Monthly Curve Calc.'!B246</f>
        <v>562.21133421981187</v>
      </c>
      <c r="C243" s="1391">
        <f ca="1">'[2]Monthly Curve Calc.'!C246</f>
        <v>258.08333857868001</v>
      </c>
      <c r="D243" s="1512">
        <f ca="1">'[2]Monthly Curve Calc.'!F246</f>
        <v>2.9103209074559393</v>
      </c>
      <c r="E243" s="1304">
        <f t="shared" ca="1" si="113"/>
        <v>2.654671075853388</v>
      </c>
      <c r="F243" s="1473">
        <f ca="1">IF(Assm!$L$75=0,F242,IF(AND($A243&gt;F$16,MONTH($A243)=MONTH(F$16)),B242/B230,F242))</f>
        <v>1.0696665627705568</v>
      </c>
      <c r="G243" s="1474">
        <f ca="1">IF(Assm!$L$75=0,G242,IF(AND($A243&gt;G$16,MONTH($A243)=MONTH(G$16)),C242/C230,G242))</f>
        <v>1.0256405690902242</v>
      </c>
      <c r="H243" s="1474">
        <f ca="1">IF(Assm!$L$75=0,H242,IF(AND($A243&gt;H$16,MONTH($A243)=MONTH(H$16)),C242/C230-H$18,H242))</f>
        <v>1.0231405690902242</v>
      </c>
      <c r="I243" s="1474">
        <f ca="1">IF(Assm!$L$75=0,I242,IF($A243&gt;=I$16,IF(MONTH($A243)=MONTH(I$16),AVERAGE(D231:D242),I242),I242))</f>
        <v>2.8463067760959695</v>
      </c>
      <c r="J243" s="1475">
        <f ca="1">IF(Assm!$L$75=0,J242,IF($A243&gt;=J$16,IF(MONTH($A243)=MONTH(J$16),AVERAGE(E231:E242),J242),J242))</f>
        <v>2.5332385252449514</v>
      </c>
      <c r="K243" s="958">
        <f t="shared" si="104"/>
        <v>231</v>
      </c>
      <c r="L243" s="1476">
        <f t="shared" ca="1" si="105"/>
        <v>1.0256405690902242</v>
      </c>
      <c r="M243" s="1474">
        <f t="shared" si="115"/>
        <v>0</v>
      </c>
      <c r="N243" s="1475">
        <f t="shared" ca="1" si="128"/>
        <v>1.5973303982415077</v>
      </c>
      <c r="P243" s="1476">
        <f t="shared" ca="1" si="106"/>
        <v>1.0696665627705568</v>
      </c>
      <c r="Q243" s="1474">
        <f t="shared" si="116"/>
        <v>0</v>
      </c>
      <c r="R243" s="1475">
        <f t="shared" ca="1" si="129"/>
        <v>3.9328867884073979</v>
      </c>
      <c r="T243" s="1476">
        <f t="shared" ca="1" si="107"/>
        <v>1.0256405690902242</v>
      </c>
      <c r="U243" s="1474">
        <f t="shared" si="117"/>
        <v>1.0049999999999999</v>
      </c>
      <c r="V243" s="1475">
        <f t="shared" ca="1" si="130"/>
        <v>1.5973303982415077</v>
      </c>
      <c r="X243" s="1476">
        <f t="shared" ca="1" si="108"/>
        <v>1.0231405690902242</v>
      </c>
      <c r="Y243" s="1474">
        <f t="shared" si="118"/>
        <v>1.02</v>
      </c>
      <c r="Z243" s="1475">
        <f t="shared" ca="1" si="131"/>
        <v>1.5410299309586164</v>
      </c>
      <c r="AB243" s="1476">
        <f t="shared" ca="1" si="109"/>
        <v>1.0231405690902242</v>
      </c>
      <c r="AC243" s="1474">
        <f t="shared" si="119"/>
        <v>1.02</v>
      </c>
      <c r="AD243" s="1475">
        <f t="shared" ca="1" si="132"/>
        <v>1.5410299309586164</v>
      </c>
      <c r="AF243" s="1476">
        <f t="shared" ca="1" si="110"/>
        <v>1.0696665627705568</v>
      </c>
      <c r="AG243" s="1474">
        <f t="shared" si="120"/>
        <v>0</v>
      </c>
      <c r="AH243" s="1475">
        <f t="shared" ca="1" si="133"/>
        <v>3.9328867884073979</v>
      </c>
      <c r="AJ243" s="1476">
        <f t="shared" ca="1" si="111"/>
        <v>1.0231405690902242</v>
      </c>
      <c r="AK243" s="1474">
        <f t="shared" si="121"/>
        <v>1.02</v>
      </c>
      <c r="AL243" s="1475">
        <f t="shared" ca="1" si="134"/>
        <v>1.5410299309586164</v>
      </c>
      <c r="AN243" s="1476">
        <f t="shared" ca="1" si="112"/>
        <v>1.0256405690902242</v>
      </c>
      <c r="AO243" s="1474">
        <f t="shared" si="122"/>
        <v>1.0049999999999999</v>
      </c>
      <c r="AP243" s="1475">
        <f t="shared" ca="1" si="135"/>
        <v>1.5973303982415077</v>
      </c>
      <c r="AR243" s="701">
        <f t="shared" si="123"/>
        <v>42217</v>
      </c>
      <c r="AS243" s="1478">
        <f ca="1">IF(AND($A243&gt;=EDATE(AS$17,12),IF(Assm!$L$74=0,$D243,$E243)/AS242&gt;=1.05),IF(Assm!$L$74=0,$D243,$E243),AS242)</f>
        <v>2.7741268179237619</v>
      </c>
      <c r="AT243" s="1478">
        <f t="shared" ca="1" si="124"/>
        <v>1.050709902933189</v>
      </c>
      <c r="AU243" s="1478">
        <f t="shared" ca="1" si="125"/>
        <v>1.0696665627705568</v>
      </c>
      <c r="AV243" s="1478">
        <f t="shared" ca="1" si="126"/>
        <v>1.0696665627705568</v>
      </c>
      <c r="AW243" s="1475">
        <f t="shared" ca="1" si="127"/>
        <v>3.685571826281631</v>
      </c>
    </row>
    <row r="244" spans="1:49">
      <c r="A244" s="883">
        <f t="shared" si="114"/>
        <v>42248</v>
      </c>
      <c r="B244" s="1390">
        <f ca="1">'[2]Monthly Curve Calc.'!B247</f>
        <v>565.34610646749809</v>
      </c>
      <c r="C244" s="1391">
        <f ca="1">'[2]Monthly Curve Calc.'!C247</f>
        <v>258.63401576009244</v>
      </c>
      <c r="D244" s="1512">
        <f ca="1">'[2]Monthly Curve Calc.'!F247</f>
        <v>2.9151207788093942</v>
      </c>
      <c r="E244" s="1304">
        <f t="shared" ca="1" si="113"/>
        <v>2.6637891877386917</v>
      </c>
      <c r="F244" s="1473">
        <f ca="1">IF(Assm!$L$75=0,F243,IF(AND($A244&gt;F$16,MONTH($A244)=MONTH(F$16)),B243/B231,F243))</f>
        <v>1.0696665627705568</v>
      </c>
      <c r="G244" s="1474">
        <f ca="1">IF(Assm!$L$75=0,G243,IF(AND($A244&gt;G$16,MONTH($A244)=MONTH(G$16)),C243/C231,G243))</f>
        <v>1.0256405690902242</v>
      </c>
      <c r="H244" s="1474">
        <f ca="1">IF(Assm!$L$75=0,H243,IF(AND($A244&gt;H$16,MONTH($A244)=MONTH(H$16)),C243/C231-H$18,H243))</f>
        <v>1.0231405690902242</v>
      </c>
      <c r="I244" s="1474">
        <f ca="1">IF(Assm!$L$75=0,I243,IF($A244&gt;=I$16,IF(MONTH($A244)=MONTH(I$16),AVERAGE(D232:D243),I243),I243))</f>
        <v>2.8463067760959695</v>
      </c>
      <c r="J244" s="1475">
        <f ca="1">IF(Assm!$L$75=0,J243,IF($A244&gt;=J$16,IF(MONTH($A244)=MONTH(J$16),AVERAGE(E232:E243),J243),J243))</f>
        <v>2.5332385252449514</v>
      </c>
      <c r="K244" s="958">
        <f t="shared" si="104"/>
        <v>232</v>
      </c>
      <c r="L244" s="1476">
        <f t="shared" ca="1" si="105"/>
        <v>1.0256405690902242</v>
      </c>
      <c r="M244" s="1474">
        <f t="shared" si="115"/>
        <v>0</v>
      </c>
      <c r="N244" s="1475">
        <f t="shared" ca="1" si="128"/>
        <v>1.5973303982415077</v>
      </c>
      <c r="P244" s="1476">
        <f t="shared" ca="1" si="106"/>
        <v>1.0696665627705568</v>
      </c>
      <c r="Q244" s="1474">
        <f t="shared" si="116"/>
        <v>0</v>
      </c>
      <c r="R244" s="1475">
        <f t="shared" ca="1" si="129"/>
        <v>3.9328867884073979</v>
      </c>
      <c r="T244" s="1476">
        <f t="shared" ca="1" si="107"/>
        <v>1.0256405690902242</v>
      </c>
      <c r="U244" s="1474">
        <f t="shared" si="117"/>
        <v>1.0049999999999999</v>
      </c>
      <c r="V244" s="1475">
        <f t="shared" ca="1" si="130"/>
        <v>1.5973303982415077</v>
      </c>
      <c r="X244" s="1476">
        <f t="shared" ca="1" si="108"/>
        <v>1.0231405690902242</v>
      </c>
      <c r="Y244" s="1474">
        <f t="shared" si="118"/>
        <v>1.02</v>
      </c>
      <c r="Z244" s="1475">
        <f t="shared" ca="1" si="131"/>
        <v>1.5410299309586164</v>
      </c>
      <c r="AB244" s="1476">
        <f t="shared" ca="1" si="109"/>
        <v>1.0231405690902242</v>
      </c>
      <c r="AC244" s="1474">
        <f t="shared" si="119"/>
        <v>1.02</v>
      </c>
      <c r="AD244" s="1475">
        <f t="shared" ca="1" si="132"/>
        <v>1.5410299309586164</v>
      </c>
      <c r="AF244" s="1476">
        <f t="shared" ca="1" si="110"/>
        <v>1.0696665627705568</v>
      </c>
      <c r="AG244" s="1474">
        <f t="shared" si="120"/>
        <v>0</v>
      </c>
      <c r="AH244" s="1475">
        <f t="shared" ca="1" si="133"/>
        <v>3.9328867884073979</v>
      </c>
      <c r="AJ244" s="1476">
        <f t="shared" ca="1" si="111"/>
        <v>1.0231405690902242</v>
      </c>
      <c r="AK244" s="1474">
        <f t="shared" si="121"/>
        <v>1.02</v>
      </c>
      <c r="AL244" s="1475">
        <f t="shared" ca="1" si="134"/>
        <v>1.5410299309586164</v>
      </c>
      <c r="AN244" s="1476">
        <f t="shared" ca="1" si="112"/>
        <v>1.0256405690902242</v>
      </c>
      <c r="AO244" s="1474">
        <f t="shared" si="122"/>
        <v>1.0049999999999999</v>
      </c>
      <c r="AP244" s="1475">
        <f t="shared" ca="1" si="135"/>
        <v>1.5973303982415077</v>
      </c>
      <c r="AR244" s="701">
        <f t="shared" si="123"/>
        <v>42248</v>
      </c>
      <c r="AS244" s="1478">
        <f ca="1">IF(AND($A244&gt;=EDATE(AS$17,12),IF(Assm!$L$74=0,$D244,$E244)/AS243&gt;=1.05),IF(Assm!$L$74=0,$D244,$E244),AS243)</f>
        <v>2.9151207788093942</v>
      </c>
      <c r="AT244" s="1478">
        <f t="shared" ca="1" si="124"/>
        <v>1.0508246270410797</v>
      </c>
      <c r="AU244" s="1478">
        <f t="shared" ca="1" si="125"/>
        <v>1.0696665627705568</v>
      </c>
      <c r="AV244" s="1478">
        <f t="shared" ca="1" si="126"/>
        <v>1.0696665627705568</v>
      </c>
      <c r="AW244" s="1475">
        <f t="shared" ca="1" si="127"/>
        <v>3.685571826281631</v>
      </c>
    </row>
    <row r="245" spans="1:49">
      <c r="A245" s="883">
        <f t="shared" si="114"/>
        <v>42278</v>
      </c>
      <c r="B245" s="1390">
        <f ca="1">'[2]Monthly Curve Calc.'!B248</f>
        <v>568.4983575464471</v>
      </c>
      <c r="C245" s="1391">
        <f ca="1">'[2]Monthly Curve Calc.'!C248</f>
        <v>259.18586793156737</v>
      </c>
      <c r="D245" s="1512">
        <f ca="1">'[2]Monthly Curve Calc.'!F248</f>
        <v>2.9199285663912451</v>
      </c>
      <c r="E245" s="1304">
        <f t="shared" ca="1" si="113"/>
        <v>2.6729386179914982</v>
      </c>
      <c r="F245" s="1473">
        <f ca="1">IF(Assm!$L$75=0,F244,IF(AND($A245&gt;F$16,MONTH($A245)=MONTH(F$16)),B244/B232,F244))</f>
        <v>1.0696665627705568</v>
      </c>
      <c r="G245" s="1474">
        <f ca="1">IF(Assm!$L$75=0,G244,IF(AND($A245&gt;G$16,MONTH($A245)=MONTH(G$16)),C244/C232,G244))</f>
        <v>1.0256405690902242</v>
      </c>
      <c r="H245" s="1474">
        <f ca="1">IF(Assm!$L$75=0,H244,IF(AND($A245&gt;H$16,MONTH($A245)=MONTH(H$16)),C244/C232-H$18,H244))</f>
        <v>1.0231405690902242</v>
      </c>
      <c r="I245" s="1474">
        <f ca="1">IF(Assm!$L$75=0,I244,IF($A245&gt;=I$16,IF(MONTH($A245)=MONTH(I$16),AVERAGE(D233:D244),I244),I244))</f>
        <v>2.8463067760959695</v>
      </c>
      <c r="J245" s="1475">
        <f ca="1">IF(Assm!$L$75=0,J244,IF($A245&gt;=J$16,IF(MONTH($A245)=MONTH(J$16),AVERAGE(E233:E244),J244),J244))</f>
        <v>2.5332385252449514</v>
      </c>
      <c r="K245" s="958">
        <f t="shared" si="104"/>
        <v>233</v>
      </c>
      <c r="L245" s="1476">
        <f t="shared" ca="1" si="105"/>
        <v>1.0256405690902242</v>
      </c>
      <c r="M245" s="1474">
        <f t="shared" si="115"/>
        <v>0</v>
      </c>
      <c r="N245" s="1475">
        <f t="shared" ca="1" si="128"/>
        <v>1.5973303982415077</v>
      </c>
      <c r="P245" s="1476">
        <f t="shared" ca="1" si="106"/>
        <v>1.0696665627705568</v>
      </c>
      <c r="Q245" s="1474">
        <f t="shared" si="116"/>
        <v>0</v>
      </c>
      <c r="R245" s="1475">
        <f t="shared" ca="1" si="129"/>
        <v>3.9328867884073979</v>
      </c>
      <c r="T245" s="1476">
        <f t="shared" ca="1" si="107"/>
        <v>1.0256405690902242</v>
      </c>
      <c r="U245" s="1474">
        <f t="shared" si="117"/>
        <v>1.0049999999999999</v>
      </c>
      <c r="V245" s="1475">
        <f t="shared" ca="1" si="130"/>
        <v>1.5973303982415077</v>
      </c>
      <c r="X245" s="1476">
        <f t="shared" ca="1" si="108"/>
        <v>1.0231405690902242</v>
      </c>
      <c r="Y245" s="1474">
        <f t="shared" si="118"/>
        <v>1.02</v>
      </c>
      <c r="Z245" s="1475">
        <f t="shared" ca="1" si="131"/>
        <v>1.5410299309586164</v>
      </c>
      <c r="AB245" s="1476">
        <f t="shared" ca="1" si="109"/>
        <v>1.0231405690902242</v>
      </c>
      <c r="AC245" s="1474">
        <f t="shared" si="119"/>
        <v>1.02</v>
      </c>
      <c r="AD245" s="1475">
        <f t="shared" ca="1" si="132"/>
        <v>1.5410299309586164</v>
      </c>
      <c r="AF245" s="1476">
        <f t="shared" ca="1" si="110"/>
        <v>1.0696665627705568</v>
      </c>
      <c r="AG245" s="1474">
        <f t="shared" si="120"/>
        <v>0</v>
      </c>
      <c r="AH245" s="1475">
        <f t="shared" ca="1" si="133"/>
        <v>3.9328867884073979</v>
      </c>
      <c r="AJ245" s="1476">
        <f t="shared" ca="1" si="111"/>
        <v>1.0231405690902242</v>
      </c>
      <c r="AK245" s="1474">
        <f t="shared" si="121"/>
        <v>1.02</v>
      </c>
      <c r="AL245" s="1475">
        <f t="shared" ca="1" si="134"/>
        <v>1.5410299309586164</v>
      </c>
      <c r="AN245" s="1476">
        <f t="shared" ca="1" si="112"/>
        <v>1.0256405690902242</v>
      </c>
      <c r="AO245" s="1474">
        <f t="shared" si="122"/>
        <v>1.0049999999999999</v>
      </c>
      <c r="AP245" s="1475">
        <f t="shared" ca="1" si="135"/>
        <v>1.5973303982415077</v>
      </c>
      <c r="AR245" s="701">
        <f t="shared" si="123"/>
        <v>42278</v>
      </c>
      <c r="AS245" s="1478">
        <f ca="1">IF(AND($A245&gt;=EDATE(AS$17,12),IF(Assm!$L$74=0,$D245,$E245)/AS244&gt;=1.05),IF(Assm!$L$74=0,$D245,$E245),AS244)</f>
        <v>2.9151207788093942</v>
      </c>
      <c r="AT245" s="1478">
        <f t="shared" ca="1" si="124"/>
        <v>1.0508246270410797</v>
      </c>
      <c r="AU245" s="1478">
        <f t="shared" ca="1" si="125"/>
        <v>1.0696665627705568</v>
      </c>
      <c r="AV245" s="1478">
        <f t="shared" ca="1" si="126"/>
        <v>1.0696665627705568</v>
      </c>
      <c r="AW245" s="1475">
        <f t="shared" ca="1" si="127"/>
        <v>3.685571826281631</v>
      </c>
    </row>
    <row r="246" spans="1:49">
      <c r="A246" s="883">
        <f t="shared" si="114"/>
        <v>42309</v>
      </c>
      <c r="B246" s="1390">
        <f ca="1">'[2]Monthly Curve Calc.'!B249</f>
        <v>571.66818491494882</v>
      </c>
      <c r="C246" s="1391">
        <f ca="1">'[2]Monthly Curve Calc.'!C249</f>
        <v>259.73889760020279</v>
      </c>
      <c r="D246" s="1512">
        <f ca="1">'[2]Monthly Curve Calc.'!F249</f>
        <v>2.9247442832573989</v>
      </c>
      <c r="E246" s="1304">
        <f t="shared" ca="1" si="113"/>
        <v>2.6821194741823393</v>
      </c>
      <c r="F246" s="1473">
        <f ca="1">IF(Assm!$L$75=0,F245,IF(AND($A246&gt;F$16,MONTH($A246)=MONTH(F$16)),B245/B233,F245))</f>
        <v>1.0696665627705568</v>
      </c>
      <c r="G246" s="1474">
        <f ca="1">IF(Assm!$L$75=0,G245,IF(AND($A246&gt;G$16,MONTH($A246)=MONTH(G$16)),C245/C233,G245))</f>
        <v>1.0256405690902242</v>
      </c>
      <c r="H246" s="1474">
        <f ca="1">IF(Assm!$L$75=0,H245,IF(AND($A246&gt;H$16,MONTH($A246)=MONTH(H$16)),C245/C233-H$18,H245))</f>
        <v>1.0231405690902242</v>
      </c>
      <c r="I246" s="1474">
        <f ca="1">IF(Assm!$L$75=0,I245,IF($A246&gt;=I$16,IF(MONTH($A246)=MONTH(I$16),AVERAGE(D234:D245),I245),I245))</f>
        <v>2.8463067760959695</v>
      </c>
      <c r="J246" s="1475">
        <f ca="1">IF(Assm!$L$75=0,J245,IF($A246&gt;=J$16,IF(MONTH($A246)=MONTH(J$16),AVERAGE(E234:E245),J245),J245))</f>
        <v>2.5332385252449514</v>
      </c>
      <c r="K246" s="958">
        <f t="shared" si="104"/>
        <v>234</v>
      </c>
      <c r="L246" s="1476">
        <f t="shared" ca="1" si="105"/>
        <v>1.0256405690902242</v>
      </c>
      <c r="M246" s="1474">
        <f t="shared" si="115"/>
        <v>0</v>
      </c>
      <c r="N246" s="1475">
        <f t="shared" ca="1" si="128"/>
        <v>1.5973303982415077</v>
      </c>
      <c r="P246" s="1476">
        <f t="shared" ca="1" si="106"/>
        <v>1.0696665627705568</v>
      </c>
      <c r="Q246" s="1474">
        <f t="shared" si="116"/>
        <v>0</v>
      </c>
      <c r="R246" s="1475">
        <f t="shared" ca="1" si="129"/>
        <v>3.9328867884073979</v>
      </c>
      <c r="T246" s="1476">
        <f t="shared" ca="1" si="107"/>
        <v>1.0256405690902242</v>
      </c>
      <c r="U246" s="1474">
        <f t="shared" si="117"/>
        <v>1.0049999999999999</v>
      </c>
      <c r="V246" s="1475">
        <f t="shared" ca="1" si="130"/>
        <v>1.5973303982415077</v>
      </c>
      <c r="X246" s="1476">
        <f t="shared" ca="1" si="108"/>
        <v>1.0231405690902242</v>
      </c>
      <c r="Y246" s="1474">
        <f t="shared" si="118"/>
        <v>1.02</v>
      </c>
      <c r="Z246" s="1475">
        <f t="shared" ca="1" si="131"/>
        <v>1.5410299309586164</v>
      </c>
      <c r="AB246" s="1476">
        <f t="shared" ca="1" si="109"/>
        <v>1.0231405690902242</v>
      </c>
      <c r="AC246" s="1474">
        <f t="shared" si="119"/>
        <v>1.02</v>
      </c>
      <c r="AD246" s="1475">
        <f t="shared" ca="1" si="132"/>
        <v>1.5410299309586164</v>
      </c>
      <c r="AF246" s="1476">
        <f t="shared" ca="1" si="110"/>
        <v>1.0696665627705568</v>
      </c>
      <c r="AG246" s="1474">
        <f t="shared" si="120"/>
        <v>0</v>
      </c>
      <c r="AH246" s="1475">
        <f t="shared" ca="1" si="133"/>
        <v>3.9328867884073979</v>
      </c>
      <c r="AJ246" s="1476">
        <f t="shared" ca="1" si="111"/>
        <v>1.0231405690902242</v>
      </c>
      <c r="AK246" s="1474">
        <f t="shared" si="121"/>
        <v>1.02</v>
      </c>
      <c r="AL246" s="1475">
        <f t="shared" ca="1" si="134"/>
        <v>1.5410299309586164</v>
      </c>
      <c r="AN246" s="1476">
        <f t="shared" ca="1" si="112"/>
        <v>1.0256405690902242</v>
      </c>
      <c r="AO246" s="1474">
        <f t="shared" si="122"/>
        <v>1.0049999999999999</v>
      </c>
      <c r="AP246" s="1475">
        <f t="shared" ca="1" si="135"/>
        <v>1.5973303982415077</v>
      </c>
      <c r="AR246" s="701">
        <f t="shared" si="123"/>
        <v>42309</v>
      </c>
      <c r="AS246" s="1478">
        <f ca="1">IF(AND($A246&gt;=EDATE(AS$17,12),IF(Assm!$L$74=0,$D246,$E246)/AS245&gt;=1.05),IF(Assm!$L$74=0,$D246,$E246),AS245)</f>
        <v>2.9151207788093942</v>
      </c>
      <c r="AT246" s="1478">
        <f t="shared" ca="1" si="124"/>
        <v>1.0508246270410797</v>
      </c>
      <c r="AU246" s="1478">
        <f t="shared" ca="1" si="125"/>
        <v>1.0696665627705568</v>
      </c>
      <c r="AV246" s="1478">
        <f t="shared" ca="1" si="126"/>
        <v>1.0696665627705568</v>
      </c>
      <c r="AW246" s="1475">
        <f t="shared" ca="1" si="127"/>
        <v>3.685571826281631</v>
      </c>
    </row>
    <row r="247" spans="1:49">
      <c r="A247" s="883">
        <f t="shared" si="114"/>
        <v>42339</v>
      </c>
      <c r="B247" s="1390">
        <f ca="1">'[2]Monthly Curve Calc.'!B250</f>
        <v>574.85568657469992</v>
      </c>
      <c r="C247" s="1391">
        <f ca="1">'[2]Monthly Curve Calc.'!C250</f>
        <v>260.29310727844609</v>
      </c>
      <c r="D247" s="1512">
        <f ca="1">'[2]Monthly Curve Calc.'!F250</f>
        <v>2.9295679424852956</v>
      </c>
      <c r="E247" s="1304">
        <f t="shared" ca="1" si="113"/>
        <v>2.6913318642512238</v>
      </c>
      <c r="F247" s="1473">
        <f ca="1">IF(Assm!$L$75=0,F246,IF(AND($A247&gt;F$16,MONTH($A247)=MONTH(F$16)),B246/B234,F246))</f>
        <v>1.0696665627705568</v>
      </c>
      <c r="G247" s="1474">
        <f ca="1">IF(Assm!$L$75=0,G246,IF(AND($A247&gt;G$16,MONTH($A247)=MONTH(G$16)),C246/C234,G246))</f>
        <v>1.0256405690902242</v>
      </c>
      <c r="H247" s="1474">
        <f ca="1">IF(Assm!$L$75=0,H246,IF(AND($A247&gt;H$16,MONTH($A247)=MONTH(H$16)),C246/C234-H$18,H246))</f>
        <v>1.0231405690902242</v>
      </c>
      <c r="I247" s="1474">
        <f ca="1">IF(Assm!$L$75=0,I246,IF($A247&gt;=I$16,IF(MONTH($A247)=MONTH(I$16),AVERAGE(D235:D246),I246),I246))</f>
        <v>2.8463067760959695</v>
      </c>
      <c r="J247" s="1475">
        <f ca="1">IF(Assm!$L$75=0,J246,IF($A247&gt;=J$16,IF(MONTH($A247)=MONTH(J$16),AVERAGE(E235:E246),J246),J246))</f>
        <v>2.5332385252449514</v>
      </c>
      <c r="K247" s="958">
        <f t="shared" si="104"/>
        <v>235</v>
      </c>
      <c r="L247" s="1476">
        <f t="shared" ca="1" si="105"/>
        <v>1.0256405690902242</v>
      </c>
      <c r="M247" s="1474">
        <f t="shared" si="115"/>
        <v>0</v>
      </c>
      <c r="N247" s="1475">
        <f t="shared" ca="1" si="128"/>
        <v>1.5973303982415077</v>
      </c>
      <c r="P247" s="1476">
        <f t="shared" ca="1" si="106"/>
        <v>1.0696665627705568</v>
      </c>
      <c r="Q247" s="1474">
        <f t="shared" si="116"/>
        <v>0</v>
      </c>
      <c r="R247" s="1475">
        <f t="shared" ca="1" si="129"/>
        <v>3.9328867884073979</v>
      </c>
      <c r="T247" s="1476">
        <f t="shared" ca="1" si="107"/>
        <v>1.0256405690902242</v>
      </c>
      <c r="U247" s="1474">
        <f t="shared" si="117"/>
        <v>1.0049999999999999</v>
      </c>
      <c r="V247" s="1475">
        <f t="shared" ca="1" si="130"/>
        <v>1.5973303982415077</v>
      </c>
      <c r="X247" s="1476">
        <f t="shared" ca="1" si="108"/>
        <v>1.0231405690902242</v>
      </c>
      <c r="Y247" s="1474">
        <f t="shared" si="118"/>
        <v>1.02</v>
      </c>
      <c r="Z247" s="1475">
        <f t="shared" ca="1" si="131"/>
        <v>1.5410299309586164</v>
      </c>
      <c r="AB247" s="1476">
        <f t="shared" ca="1" si="109"/>
        <v>1.0231405690902242</v>
      </c>
      <c r="AC247" s="1474">
        <f t="shared" si="119"/>
        <v>1.02</v>
      </c>
      <c r="AD247" s="1475">
        <f t="shared" ca="1" si="132"/>
        <v>1.5410299309586164</v>
      </c>
      <c r="AF247" s="1476">
        <f t="shared" ca="1" si="110"/>
        <v>1.0696665627705568</v>
      </c>
      <c r="AG247" s="1474">
        <f t="shared" si="120"/>
        <v>0</v>
      </c>
      <c r="AH247" s="1475">
        <f t="shared" ca="1" si="133"/>
        <v>3.9328867884073979</v>
      </c>
      <c r="AJ247" s="1476">
        <f t="shared" ca="1" si="111"/>
        <v>1.0231405690902242</v>
      </c>
      <c r="AK247" s="1474">
        <f t="shared" si="121"/>
        <v>1.02</v>
      </c>
      <c r="AL247" s="1475">
        <f t="shared" ca="1" si="134"/>
        <v>1.5410299309586164</v>
      </c>
      <c r="AN247" s="1476">
        <f t="shared" ca="1" si="112"/>
        <v>1.0256405690902242</v>
      </c>
      <c r="AO247" s="1474">
        <f t="shared" si="122"/>
        <v>1.0049999999999999</v>
      </c>
      <c r="AP247" s="1475">
        <f t="shared" ca="1" si="135"/>
        <v>1.5973303982415077</v>
      </c>
      <c r="AR247" s="701">
        <f t="shared" si="123"/>
        <v>42339</v>
      </c>
      <c r="AS247" s="1478">
        <f ca="1">IF(AND($A247&gt;=EDATE(AS$17,12),IF(Assm!$L$74=0,$D247,$E247)/AS246&gt;=1.05),IF(Assm!$L$74=0,$D247,$E247),AS246)</f>
        <v>2.9151207788093942</v>
      </c>
      <c r="AT247" s="1478">
        <f t="shared" ca="1" si="124"/>
        <v>1.0508246270410797</v>
      </c>
      <c r="AU247" s="1478">
        <f t="shared" ca="1" si="125"/>
        <v>1.0696665627705568</v>
      </c>
      <c r="AV247" s="1478">
        <f t="shared" ca="1" si="126"/>
        <v>1.0696665627705568</v>
      </c>
      <c r="AW247" s="1475">
        <f t="shared" ca="1" si="127"/>
        <v>3.685571826281631</v>
      </c>
    </row>
    <row r="248" spans="1:49">
      <c r="A248" s="883">
        <f t="shared" si="114"/>
        <v>42370</v>
      </c>
      <c r="B248" s="1390">
        <f ca="1">'[2]Monthly Curve Calc.'!B251</f>
        <v>578.06096107383416</v>
      </c>
      <c r="C248" s="1391">
        <f ca="1">'[2]Monthly Curve Calc.'!C251</f>
        <v>260.85926756007507</v>
      </c>
      <c r="D248" s="1512">
        <f ca="1">'[2]Monthly Curve Calc.'!F251</f>
        <v>2.9344084151188023</v>
      </c>
      <c r="E248" s="1304">
        <f t="shared" ca="1" si="113"/>
        <v>2.7004644187504696</v>
      </c>
      <c r="F248" s="1473">
        <f ca="1">IF(Assm!$L$75=0,F247,IF(AND($A248&gt;F$16,MONTH($A248)=MONTH(F$16)),B247/B235,F247))</f>
        <v>1.0696665627705568</v>
      </c>
      <c r="G248" s="1474">
        <f ca="1">IF(Assm!$L$75=0,G247,IF(AND($A248&gt;G$16,MONTH($A248)=MONTH(G$16)),C247/C235,G247))</f>
        <v>1.0256405690902242</v>
      </c>
      <c r="H248" s="1474">
        <f ca="1">IF(Assm!$L$75=0,H247,IF(AND($A248&gt;H$16,MONTH($A248)=MONTH(H$16)),C247/C235-H$18,H247))</f>
        <v>1.0231405690902242</v>
      </c>
      <c r="I248" s="1474">
        <f ca="1">IF(Assm!$L$75=0,I247,IF($A248&gt;=I$16,IF(MONTH($A248)=MONTH(I$16),AVERAGE(D236:D247),I247),I247))</f>
        <v>2.9031828886711959</v>
      </c>
      <c r="J248" s="1475">
        <f ca="1">IF(Assm!$L$75=0,J247,IF($A248&gt;=J$16,IF(MONTH($A248)=MONTH(J$16),AVERAGE(E236:E247),J247),J247))</f>
        <v>2.6412374117328499</v>
      </c>
      <c r="K248" s="958">
        <f t="shared" si="104"/>
        <v>236</v>
      </c>
      <c r="L248" s="1476">
        <f t="shared" ca="1" si="105"/>
        <v>1.0256405690902242</v>
      </c>
      <c r="M248" s="1474">
        <f t="shared" si="115"/>
        <v>0</v>
      </c>
      <c r="N248" s="1475">
        <f t="shared" ca="1" si="128"/>
        <v>1.5973303982415077</v>
      </c>
      <c r="P248" s="1476">
        <f t="shared" ca="1" si="106"/>
        <v>1.0696665627705568</v>
      </c>
      <c r="Q248" s="1474">
        <f t="shared" si="116"/>
        <v>0</v>
      </c>
      <c r="R248" s="1475">
        <f t="shared" ca="1" si="129"/>
        <v>3.9328867884073979</v>
      </c>
      <c r="T248" s="1476">
        <f t="shared" ca="1" si="107"/>
        <v>1.0256405690902242</v>
      </c>
      <c r="U248" s="1474">
        <f t="shared" si="117"/>
        <v>1.0049999999999999</v>
      </c>
      <c r="V248" s="1475">
        <f t="shared" ca="1" si="130"/>
        <v>1.5973303982415077</v>
      </c>
      <c r="X248" s="1476">
        <f t="shared" ca="1" si="108"/>
        <v>1.0231405690902242</v>
      </c>
      <c r="Y248" s="1474">
        <f t="shared" si="118"/>
        <v>1.02</v>
      </c>
      <c r="Z248" s="1475">
        <f t="shared" ca="1" si="131"/>
        <v>1.5410299309586164</v>
      </c>
      <c r="AB248" s="1476">
        <f t="shared" ca="1" si="109"/>
        <v>1.0231405690902242</v>
      </c>
      <c r="AC248" s="1474">
        <f t="shared" si="119"/>
        <v>1.02</v>
      </c>
      <c r="AD248" s="1475">
        <f t="shared" ca="1" si="132"/>
        <v>1.5410299309586164</v>
      </c>
      <c r="AF248" s="1476">
        <f t="shared" ca="1" si="110"/>
        <v>1.0696665627705568</v>
      </c>
      <c r="AG248" s="1474">
        <f t="shared" si="120"/>
        <v>0</v>
      </c>
      <c r="AH248" s="1475">
        <f t="shared" ca="1" si="133"/>
        <v>3.9328867884073979</v>
      </c>
      <c r="AJ248" s="1476">
        <f t="shared" ca="1" si="111"/>
        <v>1.0231405690902242</v>
      </c>
      <c r="AK248" s="1474">
        <f t="shared" si="121"/>
        <v>1.02</v>
      </c>
      <c r="AL248" s="1475">
        <f t="shared" ca="1" si="134"/>
        <v>1.5410299309586164</v>
      </c>
      <c r="AN248" s="1476">
        <f t="shared" ca="1" si="112"/>
        <v>1.0256405690902242</v>
      </c>
      <c r="AO248" s="1474">
        <f t="shared" si="122"/>
        <v>1.0049999999999999</v>
      </c>
      <c r="AP248" s="1475">
        <f t="shared" ca="1" si="135"/>
        <v>1.5973303982415077</v>
      </c>
      <c r="AR248" s="701">
        <f t="shared" si="123"/>
        <v>42370</v>
      </c>
      <c r="AS248" s="1478">
        <f ca="1">IF(AND($A248&gt;=EDATE(AS$17,12),IF(Assm!$L$74=0,$D248,$E248)/AS247&gt;=1.05),IF(Assm!$L$74=0,$D248,$E248),AS247)</f>
        <v>2.9151207788093942</v>
      </c>
      <c r="AT248" s="1478">
        <f t="shared" ca="1" si="124"/>
        <v>1.0508246270410797</v>
      </c>
      <c r="AU248" s="1478">
        <f t="shared" ca="1" si="125"/>
        <v>1.0696665627705568</v>
      </c>
      <c r="AV248" s="1478">
        <f t="shared" ca="1" si="126"/>
        <v>1.0696665627705568</v>
      </c>
      <c r="AW248" s="1475">
        <f t="shared" ca="1" si="127"/>
        <v>3.685571826281631</v>
      </c>
    </row>
    <row r="249" spans="1:49">
      <c r="A249" s="883">
        <f t="shared" si="114"/>
        <v>42401</v>
      </c>
      <c r="B249" s="1390">
        <f ca="1">'[2]Monthly Curve Calc.'!B252</f>
        <v>581.28410750996875</v>
      </c>
      <c r="C249" s="1391">
        <f ca="1">'[2]Monthly Curve Calc.'!C252</f>
        <v>261.42665928985053</v>
      </c>
      <c r="D249" s="1512">
        <f ca="1">'[2]Monthly Curve Calc.'!F252</f>
        <v>2.939256885578533</v>
      </c>
      <c r="E249" s="1304">
        <f t="shared" ca="1" si="113"/>
        <v>2.7096279629439963</v>
      </c>
      <c r="F249" s="1473">
        <f ca="1">IF(Assm!$L$75=0,F248,IF(AND($A249&gt;F$16,MONTH($A249)=MONTH(F$16)),B248/B236,F248))</f>
        <v>1.0696665627705568</v>
      </c>
      <c r="G249" s="1474">
        <f ca="1">IF(Assm!$L$75=0,G248,IF(AND($A249&gt;G$16,MONTH($A249)=MONTH(G$16)),C248/C236,G248))</f>
        <v>1.0256405690902242</v>
      </c>
      <c r="H249" s="1474">
        <f ca="1">IF(Assm!$L$75=0,H248,IF(AND($A249&gt;H$16,MONTH($A249)=MONTH(H$16)),C248/C236-H$18,H248))</f>
        <v>1.0231405690902242</v>
      </c>
      <c r="I249" s="1474">
        <f ca="1">IF(Assm!$L$75=0,I248,IF($A249&gt;=I$16,IF(MONTH($A249)=MONTH(I$16),AVERAGE(D237:D248),I248),I248))</f>
        <v>2.9031828886711959</v>
      </c>
      <c r="J249" s="1475">
        <f ca="1">IF(Assm!$L$75=0,J248,IF($A249&gt;=J$16,IF(MONTH($A249)=MONTH(J$16),AVERAGE(E237:E248),J248),J248))</f>
        <v>2.6412374117328499</v>
      </c>
      <c r="K249" s="958">
        <f t="shared" si="104"/>
        <v>237</v>
      </c>
      <c r="L249" s="1476">
        <f t="shared" ca="1" si="105"/>
        <v>1.0256405690902242</v>
      </c>
      <c r="M249" s="1474">
        <f t="shared" si="115"/>
        <v>0</v>
      </c>
      <c r="N249" s="1475">
        <f t="shared" ca="1" si="128"/>
        <v>1.5973303982415077</v>
      </c>
      <c r="P249" s="1476">
        <f t="shared" ca="1" si="106"/>
        <v>1.0696665627705568</v>
      </c>
      <c r="Q249" s="1474">
        <f t="shared" si="116"/>
        <v>0</v>
      </c>
      <c r="R249" s="1475">
        <f t="shared" ca="1" si="129"/>
        <v>3.9328867884073979</v>
      </c>
      <c r="T249" s="1476">
        <f t="shared" ca="1" si="107"/>
        <v>1.0256405690902242</v>
      </c>
      <c r="U249" s="1474">
        <f t="shared" si="117"/>
        <v>1.0049999999999999</v>
      </c>
      <c r="V249" s="1475">
        <f t="shared" ca="1" si="130"/>
        <v>1.5973303982415077</v>
      </c>
      <c r="X249" s="1476">
        <f t="shared" ca="1" si="108"/>
        <v>1.0231405690902242</v>
      </c>
      <c r="Y249" s="1474">
        <f t="shared" si="118"/>
        <v>1.02</v>
      </c>
      <c r="Z249" s="1475">
        <f t="shared" ca="1" si="131"/>
        <v>1.5410299309586164</v>
      </c>
      <c r="AB249" s="1476">
        <f t="shared" ca="1" si="109"/>
        <v>1.0231405690902242</v>
      </c>
      <c r="AC249" s="1474">
        <f t="shared" si="119"/>
        <v>1.02</v>
      </c>
      <c r="AD249" s="1475">
        <f t="shared" ca="1" si="132"/>
        <v>1.5410299309586164</v>
      </c>
      <c r="AF249" s="1476">
        <f t="shared" ca="1" si="110"/>
        <v>1.0696665627705568</v>
      </c>
      <c r="AG249" s="1474">
        <f t="shared" si="120"/>
        <v>0</v>
      </c>
      <c r="AH249" s="1475">
        <f t="shared" ca="1" si="133"/>
        <v>3.9328867884073979</v>
      </c>
      <c r="AJ249" s="1476">
        <f t="shared" ca="1" si="111"/>
        <v>1.0231405690902242</v>
      </c>
      <c r="AK249" s="1474">
        <f t="shared" si="121"/>
        <v>1.02</v>
      </c>
      <c r="AL249" s="1475">
        <f t="shared" ca="1" si="134"/>
        <v>1.5410299309586164</v>
      </c>
      <c r="AN249" s="1476">
        <f t="shared" ca="1" si="112"/>
        <v>1.0256405690902242</v>
      </c>
      <c r="AO249" s="1474">
        <f t="shared" si="122"/>
        <v>1.0049999999999999</v>
      </c>
      <c r="AP249" s="1475">
        <f t="shared" ca="1" si="135"/>
        <v>1.5973303982415077</v>
      </c>
      <c r="AR249" s="701">
        <f t="shared" si="123"/>
        <v>42401</v>
      </c>
      <c r="AS249" s="1478">
        <f ca="1">IF(AND($A249&gt;=EDATE(AS$17,12),IF(Assm!$L$74=0,$D249,$E249)/AS248&gt;=1.05),IF(Assm!$L$74=0,$D249,$E249),AS248)</f>
        <v>2.9151207788093942</v>
      </c>
      <c r="AT249" s="1478">
        <f t="shared" ca="1" si="124"/>
        <v>1.0508246270410797</v>
      </c>
      <c r="AU249" s="1478">
        <f t="shared" ca="1" si="125"/>
        <v>1.0696665627705568</v>
      </c>
      <c r="AV249" s="1478">
        <f t="shared" ca="1" si="126"/>
        <v>1.0696665627705568</v>
      </c>
      <c r="AW249" s="1475">
        <f t="shared" ca="1" si="127"/>
        <v>3.685571826281631</v>
      </c>
    </row>
    <row r="250" spans="1:49">
      <c r="A250" s="883">
        <f t="shared" si="114"/>
        <v>42430</v>
      </c>
      <c r="B250" s="1390">
        <f ca="1">'[2]Monthly Curve Calc.'!B253</f>
        <v>584.52522553326867</v>
      </c>
      <c r="C250" s="1391">
        <f ca="1">'[2]Monthly Curve Calc.'!C253</f>
        <v>261.99528514627991</v>
      </c>
      <c r="D250" s="1512">
        <f ca="1">'[2]Monthly Curve Calc.'!F253</f>
        <v>2.9441133670791526</v>
      </c>
      <c r="E250" s="1304">
        <f t="shared" ca="1" si="113"/>
        <v>2.7188226019898023</v>
      </c>
      <c r="F250" s="1473">
        <f ca="1">IF(Assm!$L$75=0,F249,IF(AND($A250&gt;F$16,MONTH($A250)=MONTH(F$16)),B249/B237,F249))</f>
        <v>1.0696665627705568</v>
      </c>
      <c r="G250" s="1474">
        <f ca="1">IF(Assm!$L$75=0,G249,IF(AND($A250&gt;G$16,MONTH($A250)=MONTH(G$16)),C249/C237,G249))</f>
        <v>1.0256405690902242</v>
      </c>
      <c r="H250" s="1474">
        <f ca="1">IF(Assm!$L$75=0,H249,IF(AND($A250&gt;H$16,MONTH($A250)=MONTH(H$16)),C249/C237-H$18,H249))</f>
        <v>1.0231405690902242</v>
      </c>
      <c r="I250" s="1474">
        <f ca="1">IF(Assm!$L$75=0,I249,IF($A250&gt;=I$16,IF(MONTH($A250)=MONTH(I$16),AVERAGE(D238:D249),I249),I249))</f>
        <v>2.9031828886711959</v>
      </c>
      <c r="J250" s="1475">
        <f ca="1">IF(Assm!$L$75=0,J249,IF($A250&gt;=J$16,IF(MONTH($A250)=MONTH(J$16),AVERAGE(E238:E249),J249),J249))</f>
        <v>2.6412374117328499</v>
      </c>
      <c r="K250" s="958">
        <f t="shared" si="104"/>
        <v>238</v>
      </c>
      <c r="L250" s="1476">
        <f t="shared" ca="1" si="105"/>
        <v>1.0256405690902242</v>
      </c>
      <c r="M250" s="1474">
        <f t="shared" si="115"/>
        <v>0</v>
      </c>
      <c r="N250" s="1475">
        <f t="shared" ca="1" si="128"/>
        <v>1.5973303982415077</v>
      </c>
      <c r="P250" s="1476">
        <f t="shared" ca="1" si="106"/>
        <v>1.0696665627705568</v>
      </c>
      <c r="Q250" s="1474">
        <f t="shared" si="116"/>
        <v>0</v>
      </c>
      <c r="R250" s="1475">
        <f t="shared" ca="1" si="129"/>
        <v>3.9328867884073979</v>
      </c>
      <c r="T250" s="1476">
        <f t="shared" ca="1" si="107"/>
        <v>1.0256405690902242</v>
      </c>
      <c r="U250" s="1474">
        <f t="shared" si="117"/>
        <v>1.0049999999999999</v>
      </c>
      <c r="V250" s="1475">
        <f t="shared" ca="1" si="130"/>
        <v>1.5973303982415077</v>
      </c>
      <c r="X250" s="1476">
        <f t="shared" ca="1" si="108"/>
        <v>1.0231405690902242</v>
      </c>
      <c r="Y250" s="1474">
        <f t="shared" si="118"/>
        <v>1.02</v>
      </c>
      <c r="Z250" s="1475">
        <f t="shared" ca="1" si="131"/>
        <v>1.5410299309586164</v>
      </c>
      <c r="AB250" s="1476">
        <f t="shared" ca="1" si="109"/>
        <v>1.0231405690902242</v>
      </c>
      <c r="AC250" s="1474">
        <f t="shared" si="119"/>
        <v>1.02</v>
      </c>
      <c r="AD250" s="1475">
        <f t="shared" ca="1" si="132"/>
        <v>1.5410299309586164</v>
      </c>
      <c r="AF250" s="1476">
        <f t="shared" ca="1" si="110"/>
        <v>1.0696665627705568</v>
      </c>
      <c r="AG250" s="1474">
        <f t="shared" si="120"/>
        <v>0</v>
      </c>
      <c r="AH250" s="1475">
        <f t="shared" ca="1" si="133"/>
        <v>3.9328867884073979</v>
      </c>
      <c r="AJ250" s="1476">
        <f t="shared" ca="1" si="111"/>
        <v>1.0231405690902242</v>
      </c>
      <c r="AK250" s="1474">
        <f t="shared" si="121"/>
        <v>1.02</v>
      </c>
      <c r="AL250" s="1475">
        <f t="shared" ca="1" si="134"/>
        <v>1.5410299309586164</v>
      </c>
      <c r="AN250" s="1476">
        <f t="shared" ca="1" si="112"/>
        <v>1.0256405690902242</v>
      </c>
      <c r="AO250" s="1474">
        <f t="shared" si="122"/>
        <v>1.0049999999999999</v>
      </c>
      <c r="AP250" s="1475">
        <f t="shared" ca="1" si="135"/>
        <v>1.5973303982415077</v>
      </c>
      <c r="AR250" s="701">
        <f t="shared" si="123"/>
        <v>42430</v>
      </c>
      <c r="AS250" s="1478">
        <f ca="1">IF(AND($A250&gt;=EDATE(AS$17,12),IF(Assm!$L$74=0,$D250,$E250)/AS249&gt;=1.05),IF(Assm!$L$74=0,$D250,$E250),AS249)</f>
        <v>2.9151207788093942</v>
      </c>
      <c r="AT250" s="1478">
        <f t="shared" ca="1" si="124"/>
        <v>1.0508246270410797</v>
      </c>
      <c r="AU250" s="1478">
        <f t="shared" ca="1" si="125"/>
        <v>1.0696665627705568</v>
      </c>
      <c r="AV250" s="1478">
        <f t="shared" ca="1" si="126"/>
        <v>1.0696665627705568</v>
      </c>
      <c r="AW250" s="1475">
        <f t="shared" ca="1" si="127"/>
        <v>3.685571826281631</v>
      </c>
    </row>
    <row r="251" spans="1:49">
      <c r="A251" s="883">
        <f t="shared" si="114"/>
        <v>42461</v>
      </c>
      <c r="B251" s="1390">
        <f ca="1">'[2]Monthly Curve Calc.'!B254</f>
        <v>587.78441534952697</v>
      </c>
      <c r="C251" s="1391">
        <f ca="1">'[2]Monthly Curve Calc.'!C254</f>
        <v>262.56514781369663</v>
      </c>
      <c r="D251" s="1512">
        <f ca="1">'[2]Monthly Curve Calc.'!F254</f>
        <v>2.948977872857161</v>
      </c>
      <c r="E251" s="1304">
        <f t="shared" ca="1" si="113"/>
        <v>2.7280484414027213</v>
      </c>
      <c r="F251" s="1473">
        <f ca="1">IF(Assm!$L$75=0,F250,IF(AND($A251&gt;F$16,MONTH($A251)=MONTH(F$16)),B250/B238,F250))</f>
        <v>1.0696665627705568</v>
      </c>
      <c r="G251" s="1474">
        <f ca="1">IF(Assm!$L$75=0,G250,IF(AND($A251&gt;G$16,MONTH($A251)=MONTH(G$16)),C250/C238,G250))</f>
        <v>1.0256405690902242</v>
      </c>
      <c r="H251" s="1474">
        <f ca="1">IF(Assm!$L$75=0,H250,IF(AND($A251&gt;H$16,MONTH($A251)=MONTH(H$16)),C250/C238-H$18,H250))</f>
        <v>1.0231405690902242</v>
      </c>
      <c r="I251" s="1474">
        <f ca="1">IF(Assm!$L$75=0,I250,IF($A251&gt;=I$16,IF(MONTH($A251)=MONTH(I$16),AVERAGE(D239:D250),I250),I250))</f>
        <v>2.9031828886711959</v>
      </c>
      <c r="J251" s="1475">
        <f ca="1">IF(Assm!$L$75=0,J250,IF($A251&gt;=J$16,IF(MONTH($A251)=MONTH(J$16),AVERAGE(E239:E250),J250),J250))</f>
        <v>2.6412374117328499</v>
      </c>
      <c r="K251" s="958">
        <f t="shared" si="104"/>
        <v>239</v>
      </c>
      <c r="L251" s="1476">
        <f t="shared" ca="1" si="105"/>
        <v>1.0256405690902242</v>
      </c>
      <c r="M251" s="1474">
        <f t="shared" si="115"/>
        <v>0</v>
      </c>
      <c r="N251" s="1475">
        <f t="shared" ca="1" si="128"/>
        <v>1.5973303982415077</v>
      </c>
      <c r="P251" s="1476">
        <f t="shared" ca="1" si="106"/>
        <v>1.0696665627705568</v>
      </c>
      <c r="Q251" s="1474">
        <f t="shared" si="116"/>
        <v>0</v>
      </c>
      <c r="R251" s="1475">
        <f t="shared" ca="1" si="129"/>
        <v>3.9328867884073979</v>
      </c>
      <c r="T251" s="1476">
        <f t="shared" ca="1" si="107"/>
        <v>1.0256405690902242</v>
      </c>
      <c r="U251" s="1474">
        <f t="shared" si="117"/>
        <v>1.0049999999999999</v>
      </c>
      <c r="V251" s="1475">
        <f t="shared" ca="1" si="130"/>
        <v>1.5973303982415077</v>
      </c>
      <c r="X251" s="1476">
        <f t="shared" ca="1" si="108"/>
        <v>1.0231405690902242</v>
      </c>
      <c r="Y251" s="1474">
        <f t="shared" si="118"/>
        <v>1.02</v>
      </c>
      <c r="Z251" s="1475">
        <f t="shared" ca="1" si="131"/>
        <v>1.5410299309586164</v>
      </c>
      <c r="AB251" s="1476">
        <f t="shared" ca="1" si="109"/>
        <v>1.0231405690902242</v>
      </c>
      <c r="AC251" s="1474">
        <f t="shared" si="119"/>
        <v>1.02</v>
      </c>
      <c r="AD251" s="1475">
        <f t="shared" ca="1" si="132"/>
        <v>1.5410299309586164</v>
      </c>
      <c r="AF251" s="1476">
        <f t="shared" ca="1" si="110"/>
        <v>1.0696665627705568</v>
      </c>
      <c r="AG251" s="1474">
        <f t="shared" si="120"/>
        <v>0</v>
      </c>
      <c r="AH251" s="1475">
        <f t="shared" ca="1" si="133"/>
        <v>3.9328867884073979</v>
      </c>
      <c r="AJ251" s="1476">
        <f t="shared" ca="1" si="111"/>
        <v>1.0231405690902242</v>
      </c>
      <c r="AK251" s="1474">
        <f t="shared" si="121"/>
        <v>1.02</v>
      </c>
      <c r="AL251" s="1475">
        <f t="shared" ca="1" si="134"/>
        <v>1.5410299309586164</v>
      </c>
      <c r="AN251" s="1476">
        <f t="shared" ca="1" si="112"/>
        <v>1.0256405690902242</v>
      </c>
      <c r="AO251" s="1474">
        <f t="shared" si="122"/>
        <v>1.0049999999999999</v>
      </c>
      <c r="AP251" s="1475">
        <f t="shared" ca="1" si="135"/>
        <v>1.5973303982415077</v>
      </c>
      <c r="AR251" s="701">
        <f t="shared" si="123"/>
        <v>42461</v>
      </c>
      <c r="AS251" s="1478">
        <f ca="1">IF(AND($A251&gt;=EDATE(AS$17,12),IF(Assm!$L$74=0,$D251,$E251)/AS250&gt;=1.05),IF(Assm!$L$74=0,$D251,$E251),AS250)</f>
        <v>2.9151207788093942</v>
      </c>
      <c r="AT251" s="1478">
        <f t="shared" ca="1" si="124"/>
        <v>1.0508246270410797</v>
      </c>
      <c r="AU251" s="1478">
        <f t="shared" ca="1" si="125"/>
        <v>1.0696665627705568</v>
      </c>
      <c r="AV251" s="1478">
        <f t="shared" ca="1" si="126"/>
        <v>1.0696665627705568</v>
      </c>
      <c r="AW251" s="1475">
        <f t="shared" ca="1" si="127"/>
        <v>3.685571826281631</v>
      </c>
    </row>
    <row r="252" spans="1:49">
      <c r="A252" s="883">
        <f t="shared" si="114"/>
        <v>42491</v>
      </c>
      <c r="B252" s="1390">
        <f ca="1">'[2]Monthly Curve Calc.'!B255</f>
        <v>591.06177772326339</v>
      </c>
      <c r="C252" s="1391">
        <f ca="1">'[2]Monthly Curve Calc.'!C255</f>
        <v>263.13624998227283</v>
      </c>
      <c r="D252" s="1512">
        <f ca="1">'[2]Monthly Curve Calc.'!F255</f>
        <v>2.9538504161709276</v>
      </c>
      <c r="E252" s="1304">
        <f t="shared" ca="1" si="113"/>
        <v>2.7373055870556318</v>
      </c>
      <c r="F252" s="1473">
        <f ca="1">IF(Assm!$L$75=0,F251,IF(AND($A252&gt;F$16,MONTH($A252)=MONTH(F$16)),B251/B239,F251))</f>
        <v>1.0689999999999988</v>
      </c>
      <c r="G252" s="1474">
        <f ca="1">IF(Assm!$L$75=0,G251,IF(AND($A252&gt;G$16,MONTH($A252)=MONTH(G$16)),C251/C239,G251))</f>
        <v>1.0260766628709321</v>
      </c>
      <c r="H252" s="1474">
        <f ca="1">IF(Assm!$L$75=0,H251,IF(AND($A252&gt;H$16,MONTH($A252)=MONTH(H$16)),C251/C239-H$18,H251))</f>
        <v>1.0235766628709322</v>
      </c>
      <c r="I252" s="1474">
        <f ca="1">IF(Assm!$L$75=0,I251,IF($A252&gt;=I$16,IF(MONTH($A252)=MONTH(I$16),AVERAGE(D240:D251),I251),I251))</f>
        <v>2.9031828886711959</v>
      </c>
      <c r="J252" s="1475">
        <f ca="1">IF(Assm!$L$75=0,J251,IF($A252&gt;=J$16,IF(MONTH($A252)=MONTH(J$16),AVERAGE(E240:E251),J251),J251))</f>
        <v>2.6412374117328499</v>
      </c>
      <c r="K252" s="958">
        <f t="shared" si="104"/>
        <v>240</v>
      </c>
      <c r="L252" s="1476">
        <f t="shared" ca="1" si="105"/>
        <v>1.0260766628709321</v>
      </c>
      <c r="M252" s="1474">
        <f t="shared" si="115"/>
        <v>0</v>
      </c>
      <c r="N252" s="1475">
        <f t="shared" ca="1" si="128"/>
        <v>1.6389834445299432</v>
      </c>
      <c r="P252" s="1476">
        <f t="shared" ca="1" si="106"/>
        <v>1.0689999999999988</v>
      </c>
      <c r="Q252" s="1474">
        <f t="shared" si="116"/>
        <v>0</v>
      </c>
      <c r="R252" s="1475">
        <f t="shared" ca="1" si="129"/>
        <v>4.2042559768075041</v>
      </c>
      <c r="T252" s="1476">
        <f t="shared" ca="1" si="107"/>
        <v>1.0260766628709321</v>
      </c>
      <c r="U252" s="1474">
        <f t="shared" si="117"/>
        <v>1.0049999999999999</v>
      </c>
      <c r="V252" s="1475">
        <f t="shared" ca="1" si="130"/>
        <v>1.6389834445299432</v>
      </c>
      <c r="X252" s="1476">
        <f t="shared" ca="1" si="108"/>
        <v>1.0235766628709322</v>
      </c>
      <c r="Y252" s="1474">
        <f t="shared" si="118"/>
        <v>1.02</v>
      </c>
      <c r="Z252" s="1475">
        <f t="shared" ca="1" si="131"/>
        <v>1.5773622741148436</v>
      </c>
      <c r="AB252" s="1476">
        <f t="shared" ca="1" si="109"/>
        <v>1.0235766628709322</v>
      </c>
      <c r="AC252" s="1474">
        <f t="shared" si="119"/>
        <v>1.02</v>
      </c>
      <c r="AD252" s="1475">
        <f t="shared" ca="1" si="132"/>
        <v>1.5773622741148436</v>
      </c>
      <c r="AF252" s="1476">
        <f t="shared" ca="1" si="110"/>
        <v>1.0689999999999988</v>
      </c>
      <c r="AG252" s="1474">
        <f t="shared" si="120"/>
        <v>0</v>
      </c>
      <c r="AH252" s="1475">
        <f t="shared" ca="1" si="133"/>
        <v>4.2042559768075041</v>
      </c>
      <c r="AJ252" s="1476">
        <f t="shared" ca="1" si="111"/>
        <v>1.0235766628709322</v>
      </c>
      <c r="AK252" s="1474">
        <f t="shared" si="121"/>
        <v>1.02</v>
      </c>
      <c r="AL252" s="1475">
        <f t="shared" ca="1" si="134"/>
        <v>1.5773622741148436</v>
      </c>
      <c r="AN252" s="1476">
        <f t="shared" ca="1" si="112"/>
        <v>1.0260766628709321</v>
      </c>
      <c r="AO252" s="1474">
        <f t="shared" si="122"/>
        <v>1.0049999999999999</v>
      </c>
      <c r="AP252" s="1475">
        <f t="shared" ca="1" si="135"/>
        <v>1.6389834445299432</v>
      </c>
      <c r="AR252" s="701">
        <f t="shared" si="123"/>
        <v>42491</v>
      </c>
      <c r="AS252" s="1478">
        <f ca="1">IF(AND($A252&gt;=EDATE(AS$17,12),IF(Assm!$L$74=0,$D252,$E252)/AS251&gt;=1.05),IF(Assm!$L$74=0,$D252,$E252),AS251)</f>
        <v>2.9151207788093942</v>
      </c>
      <c r="AT252" s="1478">
        <f t="shared" ca="1" si="124"/>
        <v>1.0508246270410797</v>
      </c>
      <c r="AU252" s="1478">
        <f t="shared" ca="1" si="125"/>
        <v>1.0689999999999988</v>
      </c>
      <c r="AV252" s="1478">
        <f t="shared" ca="1" si="126"/>
        <v>1.0689999999999988</v>
      </c>
      <c r="AW252" s="1475">
        <f t="shared" ca="1" si="127"/>
        <v>3.9398762822950593</v>
      </c>
    </row>
    <row r="253" spans="1:49">
      <c r="A253" s="883">
        <f t="shared" si="114"/>
        <v>42522</v>
      </c>
      <c r="B253" s="1390">
        <f ca="1">'[2]Monthly Curve Calc.'!B256</f>
        <v>594.3574139808394</v>
      </c>
      <c r="C253" s="1391">
        <f ca="1">'[2]Monthly Curve Calc.'!C256</f>
        <v>263.70859434803197</v>
      </c>
      <c r="D253" s="1512">
        <f ca="1">'[2]Monthly Curve Calc.'!F256</f>
        <v>2.9587310103007285</v>
      </c>
      <c r="E253" s="1304">
        <f t="shared" ca="1" si="113"/>
        <v>2.7465941451806741</v>
      </c>
      <c r="F253" s="1473">
        <f ca="1">IF(Assm!$L$75=0,F252,IF(AND($A253&gt;F$16,MONTH($A253)=MONTH(F$16)),B252/B240,F252))</f>
        <v>1.0689999999999988</v>
      </c>
      <c r="G253" s="1474">
        <f ca="1">IF(Assm!$L$75=0,G252,IF(AND($A253&gt;G$16,MONTH($A253)=MONTH(G$16)),C252/C240,G252))</f>
        <v>1.0260766628709321</v>
      </c>
      <c r="H253" s="1474">
        <f ca="1">IF(Assm!$L$75=0,H252,IF(AND($A253&gt;H$16,MONTH($A253)=MONTH(H$16)),C252/C240-H$18,H252))</f>
        <v>1.0235766628709322</v>
      </c>
      <c r="I253" s="1474">
        <f ca="1">IF(Assm!$L$75=0,I252,IF($A253&gt;=I$16,IF(MONTH($A253)=MONTH(I$16),AVERAGE(D241:D252),I252),I252))</f>
        <v>2.9031828886711959</v>
      </c>
      <c r="J253" s="1475">
        <f ca="1">IF(Assm!$L$75=0,J252,IF($A253&gt;=J$16,IF(MONTH($A253)=MONTH(J$16),AVERAGE(E241:E252),J252),J252))</f>
        <v>2.6412374117328499</v>
      </c>
      <c r="K253" s="958">
        <f t="shared" si="104"/>
        <v>241</v>
      </c>
      <c r="L253" s="1476">
        <f t="shared" ca="1" si="105"/>
        <v>1.0260766628709321</v>
      </c>
      <c r="M253" s="1474">
        <f t="shared" si="115"/>
        <v>0</v>
      </c>
      <c r="N253" s="1475">
        <f t="shared" ca="1" si="128"/>
        <v>1.6389834445299432</v>
      </c>
      <c r="P253" s="1476">
        <f t="shared" ca="1" si="106"/>
        <v>1.0689999999999988</v>
      </c>
      <c r="Q253" s="1474">
        <f t="shared" si="116"/>
        <v>0</v>
      </c>
      <c r="R253" s="1475">
        <f t="shared" ca="1" si="129"/>
        <v>4.2042559768075041</v>
      </c>
      <c r="T253" s="1476">
        <f t="shared" ca="1" si="107"/>
        <v>1.0260766628709321</v>
      </c>
      <c r="U253" s="1474">
        <f t="shared" si="117"/>
        <v>1.0049999999999999</v>
      </c>
      <c r="V253" s="1475">
        <f t="shared" ca="1" si="130"/>
        <v>1.6389834445299432</v>
      </c>
      <c r="X253" s="1476">
        <f t="shared" ca="1" si="108"/>
        <v>1.0235766628709322</v>
      </c>
      <c r="Y253" s="1474">
        <f t="shared" si="118"/>
        <v>1.02</v>
      </c>
      <c r="Z253" s="1475">
        <f t="shared" ca="1" si="131"/>
        <v>1.5773622741148436</v>
      </c>
      <c r="AB253" s="1476">
        <f t="shared" ca="1" si="109"/>
        <v>1.0235766628709322</v>
      </c>
      <c r="AC253" s="1474">
        <f t="shared" si="119"/>
        <v>1.02</v>
      </c>
      <c r="AD253" s="1475">
        <f t="shared" ca="1" si="132"/>
        <v>1.5773622741148436</v>
      </c>
      <c r="AF253" s="1476">
        <f t="shared" ca="1" si="110"/>
        <v>1.0689999999999988</v>
      </c>
      <c r="AG253" s="1474">
        <f t="shared" si="120"/>
        <v>0</v>
      </c>
      <c r="AH253" s="1475">
        <f t="shared" ca="1" si="133"/>
        <v>4.2042559768075041</v>
      </c>
      <c r="AJ253" s="1476">
        <f t="shared" ca="1" si="111"/>
        <v>1.0235766628709322</v>
      </c>
      <c r="AK253" s="1474">
        <f t="shared" si="121"/>
        <v>1.02</v>
      </c>
      <c r="AL253" s="1475">
        <f t="shared" ca="1" si="134"/>
        <v>1.5773622741148436</v>
      </c>
      <c r="AN253" s="1476">
        <f t="shared" ca="1" si="112"/>
        <v>1.0260766628709321</v>
      </c>
      <c r="AO253" s="1474">
        <f t="shared" si="122"/>
        <v>1.0049999999999999</v>
      </c>
      <c r="AP253" s="1475">
        <f t="shared" ca="1" si="135"/>
        <v>1.6389834445299432</v>
      </c>
      <c r="AR253" s="701">
        <f t="shared" si="123"/>
        <v>42522</v>
      </c>
      <c r="AS253" s="1478">
        <f ca="1">IF(AND($A253&gt;=EDATE(AS$17,12),IF(Assm!$L$74=0,$D253,$E253)/AS252&gt;=1.05),IF(Assm!$L$74=0,$D253,$E253),AS252)</f>
        <v>2.9151207788093942</v>
      </c>
      <c r="AT253" s="1478">
        <f t="shared" ca="1" si="124"/>
        <v>1.0508246270410797</v>
      </c>
      <c r="AU253" s="1478">
        <f t="shared" ca="1" si="125"/>
        <v>1.0689999999999988</v>
      </c>
      <c r="AV253" s="1478">
        <f t="shared" ca="1" si="126"/>
        <v>1.0689999999999988</v>
      </c>
      <c r="AW253" s="1475">
        <f t="shared" ca="1" si="127"/>
        <v>3.9398762822950593</v>
      </c>
    </row>
    <row r="254" spans="1:49">
      <c r="A254" s="883">
        <f t="shared" si="114"/>
        <v>42552</v>
      </c>
      <c r="B254" s="1390">
        <f ca="1">'[2]Monthly Curve Calc.'!B257</f>
        <v>597.6714260135908</v>
      </c>
      <c r="C254" s="1391">
        <f ca="1">'[2]Monthly Curve Calc.'!C257</f>
        <v>264.28218361286162</v>
      </c>
      <c r="D254" s="1512">
        <f ca="1">'[2]Monthly Curve Calc.'!F257</f>
        <v>2.9636196685487834</v>
      </c>
      <c r="E254" s="1304">
        <f t="shared" ca="1" si="113"/>
        <v>2.7559142223704676</v>
      </c>
      <c r="F254" s="1473">
        <f ca="1">IF(Assm!$L$75=0,F253,IF(AND($A254&gt;F$16,MONTH($A254)=MONTH(F$16)),B253/B241,F253))</f>
        <v>1.0689999999999988</v>
      </c>
      <c r="G254" s="1474">
        <f ca="1">IF(Assm!$L$75=0,G253,IF(AND($A254&gt;G$16,MONTH($A254)=MONTH(G$16)),C253/C241,G253))</f>
        <v>1.0260766628709321</v>
      </c>
      <c r="H254" s="1474">
        <f ca="1">IF(Assm!$L$75=0,H253,IF(AND($A254&gt;H$16,MONTH($A254)=MONTH(H$16)),C253/C241-H$18,H253))</f>
        <v>1.0235766628709322</v>
      </c>
      <c r="I254" s="1474">
        <f ca="1">IF(Assm!$L$75=0,I253,IF($A254&gt;=I$16,IF(MONTH($A254)=MONTH(I$16),AVERAGE(D242:D253),I253),I253))</f>
        <v>2.9031828886711959</v>
      </c>
      <c r="J254" s="1475">
        <f ca="1">IF(Assm!$L$75=0,J253,IF($A254&gt;=J$16,IF(MONTH($A254)=MONTH(J$16),AVERAGE(E242:E253),J253),J253))</f>
        <v>2.6412374117328499</v>
      </c>
      <c r="K254" s="958">
        <f t="shared" si="104"/>
        <v>242</v>
      </c>
      <c r="L254" s="1476">
        <f t="shared" ca="1" si="105"/>
        <v>1.0260766628709321</v>
      </c>
      <c r="M254" s="1474">
        <f t="shared" si="115"/>
        <v>0</v>
      </c>
      <c r="N254" s="1475">
        <f t="shared" ca="1" si="128"/>
        <v>1.6389834445299432</v>
      </c>
      <c r="P254" s="1476">
        <f t="shared" ca="1" si="106"/>
        <v>1.0689999999999988</v>
      </c>
      <c r="Q254" s="1474">
        <f t="shared" si="116"/>
        <v>0</v>
      </c>
      <c r="R254" s="1475">
        <f t="shared" ca="1" si="129"/>
        <v>4.2042559768075041</v>
      </c>
      <c r="T254" s="1476">
        <f t="shared" ca="1" si="107"/>
        <v>1.0260766628709321</v>
      </c>
      <c r="U254" s="1474">
        <f t="shared" si="117"/>
        <v>1.0049999999999999</v>
      </c>
      <c r="V254" s="1475">
        <f t="shared" ca="1" si="130"/>
        <v>1.6389834445299432</v>
      </c>
      <c r="X254" s="1476">
        <f t="shared" ca="1" si="108"/>
        <v>1.0235766628709322</v>
      </c>
      <c r="Y254" s="1474">
        <f t="shared" si="118"/>
        <v>1.02</v>
      </c>
      <c r="Z254" s="1475">
        <f t="shared" ca="1" si="131"/>
        <v>1.5773622741148436</v>
      </c>
      <c r="AB254" s="1476">
        <f t="shared" ca="1" si="109"/>
        <v>1.0235766628709322</v>
      </c>
      <c r="AC254" s="1474">
        <f t="shared" si="119"/>
        <v>1.02</v>
      </c>
      <c r="AD254" s="1475">
        <f t="shared" ca="1" si="132"/>
        <v>1.5773622741148436</v>
      </c>
      <c r="AF254" s="1476">
        <f t="shared" ca="1" si="110"/>
        <v>1.0689999999999988</v>
      </c>
      <c r="AG254" s="1474">
        <f t="shared" si="120"/>
        <v>0</v>
      </c>
      <c r="AH254" s="1475">
        <f t="shared" ca="1" si="133"/>
        <v>4.2042559768075041</v>
      </c>
      <c r="AJ254" s="1476">
        <f t="shared" ca="1" si="111"/>
        <v>1.0235766628709322</v>
      </c>
      <c r="AK254" s="1474">
        <f t="shared" si="121"/>
        <v>1.02</v>
      </c>
      <c r="AL254" s="1475">
        <f t="shared" ca="1" si="134"/>
        <v>1.5773622741148436</v>
      </c>
      <c r="AN254" s="1476">
        <f t="shared" ca="1" si="112"/>
        <v>1.0260766628709321</v>
      </c>
      <c r="AO254" s="1474">
        <f t="shared" si="122"/>
        <v>1.0049999999999999</v>
      </c>
      <c r="AP254" s="1475">
        <f t="shared" ca="1" si="135"/>
        <v>1.6389834445299432</v>
      </c>
      <c r="AR254" s="701">
        <f t="shared" si="123"/>
        <v>42552</v>
      </c>
      <c r="AS254" s="1478">
        <f ca="1">IF(AND($A254&gt;=EDATE(AS$17,12),IF(Assm!$L$74=0,$D254,$E254)/AS253&gt;=1.05),IF(Assm!$L$74=0,$D254,$E254),AS253)</f>
        <v>2.9151207788093942</v>
      </c>
      <c r="AT254" s="1478">
        <f t="shared" ca="1" si="124"/>
        <v>1.0508246270410797</v>
      </c>
      <c r="AU254" s="1478">
        <f t="shared" ca="1" si="125"/>
        <v>1.0689999999999988</v>
      </c>
      <c r="AV254" s="1478">
        <f t="shared" ca="1" si="126"/>
        <v>1.0689999999999988</v>
      </c>
      <c r="AW254" s="1475">
        <f t="shared" ca="1" si="127"/>
        <v>3.9398762822950593</v>
      </c>
    </row>
    <row r="255" spans="1:49">
      <c r="A255" s="883">
        <f t="shared" si="114"/>
        <v>42583</v>
      </c>
      <c r="B255" s="1390">
        <f ca="1">'[2]Monthly Curve Calc.'!B258</f>
        <v>601.00391628097827</v>
      </c>
      <c r="C255" s="1391">
        <f ca="1">'[2]Monthly Curve Calc.'!C258</f>
        <v>264.85702048452612</v>
      </c>
      <c r="D255" s="1512">
        <f ca="1">'[2]Monthly Curve Calc.'!F258</f>
        <v>2.9685164042392902</v>
      </c>
      <c r="E255" s="1304">
        <f t="shared" ca="1" si="113"/>
        <v>2.7652659255793348</v>
      </c>
      <c r="F255" s="1473">
        <f ca="1">IF(Assm!$L$75=0,F254,IF(AND($A255&gt;F$16,MONTH($A255)=MONTH(F$16)),B254/B242,F254))</f>
        <v>1.0689999999999988</v>
      </c>
      <c r="G255" s="1474">
        <f ca="1">IF(Assm!$L$75=0,G254,IF(AND($A255&gt;G$16,MONTH($A255)=MONTH(G$16)),C254/C242,G254))</f>
        <v>1.0260766628709321</v>
      </c>
      <c r="H255" s="1474">
        <f ca="1">IF(Assm!$L$75=0,H254,IF(AND($A255&gt;H$16,MONTH($A255)=MONTH(H$16)),C254/C242-H$18,H254))</f>
        <v>1.0235766628709322</v>
      </c>
      <c r="I255" s="1474">
        <f ca="1">IF(Assm!$L$75=0,I254,IF($A255&gt;=I$16,IF(MONTH($A255)=MONTH(I$16),AVERAGE(D243:D254),I254),I254))</f>
        <v>2.9031828886711959</v>
      </c>
      <c r="J255" s="1475">
        <f ca="1">IF(Assm!$L$75=0,J254,IF($A255&gt;=J$16,IF(MONTH($A255)=MONTH(J$16),AVERAGE(E243:E254),J254),J254))</f>
        <v>2.6412374117328499</v>
      </c>
      <c r="K255" s="958">
        <f t="shared" si="104"/>
        <v>243</v>
      </c>
      <c r="L255" s="1476">
        <f t="shared" ca="1" si="105"/>
        <v>1.0260766628709321</v>
      </c>
      <c r="M255" s="1474">
        <f t="shared" si="115"/>
        <v>0</v>
      </c>
      <c r="N255" s="1475">
        <f t="shared" ca="1" si="128"/>
        <v>1.6389834445299432</v>
      </c>
      <c r="P255" s="1476">
        <f t="shared" ca="1" si="106"/>
        <v>1.0689999999999988</v>
      </c>
      <c r="Q255" s="1474">
        <f t="shared" si="116"/>
        <v>0</v>
      </c>
      <c r="R255" s="1475">
        <f t="shared" ca="1" si="129"/>
        <v>4.2042559768075041</v>
      </c>
      <c r="T255" s="1476">
        <f t="shared" ca="1" si="107"/>
        <v>1.0260766628709321</v>
      </c>
      <c r="U255" s="1474">
        <f t="shared" si="117"/>
        <v>1.0049999999999999</v>
      </c>
      <c r="V255" s="1475">
        <f t="shared" ca="1" si="130"/>
        <v>1.6389834445299432</v>
      </c>
      <c r="X255" s="1476">
        <f t="shared" ca="1" si="108"/>
        <v>1.0235766628709322</v>
      </c>
      <c r="Y255" s="1474">
        <f t="shared" si="118"/>
        <v>1.02</v>
      </c>
      <c r="Z255" s="1475">
        <f t="shared" ca="1" si="131"/>
        <v>1.5773622741148436</v>
      </c>
      <c r="AB255" s="1476">
        <f t="shared" ca="1" si="109"/>
        <v>1.0235766628709322</v>
      </c>
      <c r="AC255" s="1474">
        <f t="shared" si="119"/>
        <v>1.02</v>
      </c>
      <c r="AD255" s="1475">
        <f t="shared" ca="1" si="132"/>
        <v>1.5773622741148436</v>
      </c>
      <c r="AF255" s="1476">
        <f t="shared" ca="1" si="110"/>
        <v>1.0689999999999988</v>
      </c>
      <c r="AG255" s="1474">
        <f t="shared" si="120"/>
        <v>0</v>
      </c>
      <c r="AH255" s="1475">
        <f t="shared" ca="1" si="133"/>
        <v>4.2042559768075041</v>
      </c>
      <c r="AJ255" s="1476">
        <f t="shared" ca="1" si="111"/>
        <v>1.0235766628709322</v>
      </c>
      <c r="AK255" s="1474">
        <f t="shared" si="121"/>
        <v>1.02</v>
      </c>
      <c r="AL255" s="1475">
        <f t="shared" ca="1" si="134"/>
        <v>1.5773622741148436</v>
      </c>
      <c r="AN255" s="1476">
        <f t="shared" ca="1" si="112"/>
        <v>1.0260766628709321</v>
      </c>
      <c r="AO255" s="1474">
        <f t="shared" si="122"/>
        <v>1.0049999999999999</v>
      </c>
      <c r="AP255" s="1475">
        <f t="shared" ca="1" si="135"/>
        <v>1.6389834445299432</v>
      </c>
      <c r="AR255" s="701">
        <f t="shared" si="123"/>
        <v>42583</v>
      </c>
      <c r="AS255" s="1478">
        <f ca="1">IF(AND($A255&gt;=EDATE(AS$17,12),IF(Assm!$L$74=0,$D255,$E255)/AS254&gt;=1.05),IF(Assm!$L$74=0,$D255,$E255),AS254)</f>
        <v>2.9151207788093942</v>
      </c>
      <c r="AT255" s="1478">
        <f t="shared" ca="1" si="124"/>
        <v>1.0508246270410797</v>
      </c>
      <c r="AU255" s="1478">
        <f t="shared" ca="1" si="125"/>
        <v>1.0689999999999988</v>
      </c>
      <c r="AV255" s="1478">
        <f t="shared" ca="1" si="126"/>
        <v>1.0689999999999988</v>
      </c>
      <c r="AW255" s="1475">
        <f t="shared" ca="1" si="127"/>
        <v>3.9398762822950593</v>
      </c>
    </row>
    <row r="256" spans="1:49">
      <c r="A256" s="883">
        <f t="shared" si="114"/>
        <v>42614</v>
      </c>
      <c r="B256" s="1390">
        <f ca="1">'[2]Monthly Curve Calc.'!B259</f>
        <v>604.35498781375486</v>
      </c>
      <c r="C256" s="1391">
        <f ca="1">'[2]Monthly Curve Calc.'!C259</f>
        <v>265.43310767667953</v>
      </c>
      <c r="D256" s="1512">
        <f ca="1">'[2]Monthly Curve Calc.'!F259</f>
        <v>2.9734212307184622</v>
      </c>
      <c r="E256" s="1304">
        <f t="shared" ca="1" si="113"/>
        <v>2.7746493621245292</v>
      </c>
      <c r="F256" s="1473">
        <f ca="1">IF(Assm!$L$75=0,F255,IF(AND($A256&gt;F$16,MONTH($A256)=MONTH(F$16)),B255/B243,F255))</f>
        <v>1.0689999999999988</v>
      </c>
      <c r="G256" s="1474">
        <f ca="1">IF(Assm!$L$75=0,G255,IF(AND($A256&gt;G$16,MONTH($A256)=MONTH(G$16)),C255/C243,G255))</f>
        <v>1.0260766628709321</v>
      </c>
      <c r="H256" s="1474">
        <f ca="1">IF(Assm!$L$75=0,H255,IF(AND($A256&gt;H$16,MONTH($A256)=MONTH(H$16)),C255/C243-H$18,H255))</f>
        <v>1.0235766628709322</v>
      </c>
      <c r="I256" s="1474">
        <f ca="1">IF(Assm!$L$75=0,I255,IF($A256&gt;=I$16,IF(MONTH($A256)=MONTH(I$16),AVERAGE(D244:D255),I255),I255))</f>
        <v>2.9031828886711959</v>
      </c>
      <c r="J256" s="1475">
        <f ca="1">IF(Assm!$L$75=0,J255,IF($A256&gt;=J$16,IF(MONTH($A256)=MONTH(J$16),AVERAGE(E244:E255),J255),J255))</f>
        <v>2.6412374117328499</v>
      </c>
      <c r="K256" s="958">
        <f t="shared" si="104"/>
        <v>244</v>
      </c>
      <c r="L256" s="1476">
        <f t="shared" ca="1" si="105"/>
        <v>1.0260766628709321</v>
      </c>
      <c r="M256" s="1474">
        <f t="shared" si="115"/>
        <v>0</v>
      </c>
      <c r="N256" s="1475">
        <f t="shared" ca="1" si="128"/>
        <v>1.6389834445299432</v>
      </c>
      <c r="P256" s="1476">
        <f t="shared" ca="1" si="106"/>
        <v>1.0689999999999988</v>
      </c>
      <c r="Q256" s="1474">
        <f t="shared" si="116"/>
        <v>0</v>
      </c>
      <c r="R256" s="1475">
        <f t="shared" ca="1" si="129"/>
        <v>4.2042559768075041</v>
      </c>
      <c r="T256" s="1476">
        <f t="shared" ca="1" si="107"/>
        <v>1.0260766628709321</v>
      </c>
      <c r="U256" s="1474">
        <f t="shared" si="117"/>
        <v>1.0049999999999999</v>
      </c>
      <c r="V256" s="1475">
        <f t="shared" ca="1" si="130"/>
        <v>1.6389834445299432</v>
      </c>
      <c r="X256" s="1476">
        <f t="shared" ca="1" si="108"/>
        <v>1.0235766628709322</v>
      </c>
      <c r="Y256" s="1474">
        <f t="shared" si="118"/>
        <v>1.02</v>
      </c>
      <c r="Z256" s="1475">
        <f t="shared" ca="1" si="131"/>
        <v>1.5773622741148436</v>
      </c>
      <c r="AB256" s="1476">
        <f t="shared" ca="1" si="109"/>
        <v>1.0235766628709322</v>
      </c>
      <c r="AC256" s="1474">
        <f t="shared" si="119"/>
        <v>1.02</v>
      </c>
      <c r="AD256" s="1475">
        <f t="shared" ca="1" si="132"/>
        <v>1.5773622741148436</v>
      </c>
      <c r="AF256" s="1476">
        <f t="shared" ca="1" si="110"/>
        <v>1.0689999999999988</v>
      </c>
      <c r="AG256" s="1474">
        <f t="shared" si="120"/>
        <v>0</v>
      </c>
      <c r="AH256" s="1475">
        <f t="shared" ca="1" si="133"/>
        <v>4.2042559768075041</v>
      </c>
      <c r="AJ256" s="1476">
        <f t="shared" ca="1" si="111"/>
        <v>1.0235766628709322</v>
      </c>
      <c r="AK256" s="1474">
        <f t="shared" si="121"/>
        <v>1.02</v>
      </c>
      <c r="AL256" s="1475">
        <f t="shared" ca="1" si="134"/>
        <v>1.5773622741148436</v>
      </c>
      <c r="AN256" s="1476">
        <f t="shared" ca="1" si="112"/>
        <v>1.0260766628709321</v>
      </c>
      <c r="AO256" s="1474">
        <f t="shared" si="122"/>
        <v>1.0049999999999999</v>
      </c>
      <c r="AP256" s="1475">
        <f t="shared" ca="1" si="135"/>
        <v>1.6389834445299432</v>
      </c>
      <c r="AR256" s="701">
        <f t="shared" si="123"/>
        <v>42614</v>
      </c>
      <c r="AS256" s="1478">
        <f ca="1">IF(AND($A256&gt;=EDATE(AS$17,12),IF(Assm!$L$74=0,$D256,$E256)/AS255&gt;=1.05),IF(Assm!$L$74=0,$D256,$E256),AS255)</f>
        <v>2.9151207788093942</v>
      </c>
      <c r="AT256" s="1478">
        <f t="shared" ca="1" si="124"/>
        <v>1.0508246270410797</v>
      </c>
      <c r="AU256" s="1478">
        <f t="shared" ca="1" si="125"/>
        <v>1.0689999999999988</v>
      </c>
      <c r="AV256" s="1478">
        <f t="shared" ca="1" si="126"/>
        <v>1.0689999999999988</v>
      </c>
      <c r="AW256" s="1475">
        <f t="shared" ca="1" si="127"/>
        <v>3.9398762822950593</v>
      </c>
    </row>
    <row r="257" spans="1:49">
      <c r="A257" s="883">
        <f t="shared" si="114"/>
        <v>42644</v>
      </c>
      <c r="B257" s="1390">
        <f ca="1">'[2]Monthly Curve Calc.'!B260</f>
        <v>607.7247442171514</v>
      </c>
      <c r="C257" s="1391">
        <f ca="1">'[2]Monthly Curve Calc.'!C260</f>
        <v>266.01044790887835</v>
      </c>
      <c r="D257" s="1512">
        <f ca="1">'[2]Monthly Curve Calc.'!F260</f>
        <v>2.9783341613545646</v>
      </c>
      <c r="E257" s="1304">
        <f t="shared" ca="1" si="113"/>
        <v>2.7840646396874655</v>
      </c>
      <c r="F257" s="1473">
        <f ca="1">IF(Assm!$L$75=0,F256,IF(AND($A257&gt;F$16,MONTH($A257)=MONTH(F$16)),B256/B244,F256))</f>
        <v>1.0689999999999988</v>
      </c>
      <c r="G257" s="1474">
        <f ca="1">IF(Assm!$L$75=0,G256,IF(AND($A257&gt;G$16,MONTH($A257)=MONTH(G$16)),C256/C244,G256))</f>
        <v>1.0260766628709321</v>
      </c>
      <c r="H257" s="1474">
        <f ca="1">IF(Assm!$L$75=0,H256,IF(AND($A257&gt;H$16,MONTH($A257)=MONTH(H$16)),C256/C244-H$18,H256))</f>
        <v>1.0235766628709322</v>
      </c>
      <c r="I257" s="1474">
        <f ca="1">IF(Assm!$L$75=0,I256,IF($A257&gt;=I$16,IF(MONTH($A257)=MONTH(I$16),AVERAGE(D245:D256),I256),I256))</f>
        <v>2.9031828886711959</v>
      </c>
      <c r="J257" s="1475">
        <f ca="1">IF(Assm!$L$75=0,J256,IF($A257&gt;=J$16,IF(MONTH($A257)=MONTH(J$16),AVERAGE(E245:E256),J256),J256))</f>
        <v>2.6412374117328499</v>
      </c>
      <c r="K257" s="958">
        <f t="shared" si="104"/>
        <v>245</v>
      </c>
      <c r="L257" s="1476">
        <f t="shared" ca="1" si="105"/>
        <v>1.0260766628709321</v>
      </c>
      <c r="M257" s="1474">
        <f t="shared" si="115"/>
        <v>0</v>
      </c>
      <c r="N257" s="1475">
        <f t="shared" ca="1" si="128"/>
        <v>1.6389834445299432</v>
      </c>
      <c r="P257" s="1476">
        <f t="shared" ca="1" si="106"/>
        <v>1.0689999999999988</v>
      </c>
      <c r="Q257" s="1474">
        <f t="shared" si="116"/>
        <v>0</v>
      </c>
      <c r="R257" s="1475">
        <f t="shared" ca="1" si="129"/>
        <v>4.2042559768075041</v>
      </c>
      <c r="T257" s="1476">
        <f t="shared" ca="1" si="107"/>
        <v>1.0260766628709321</v>
      </c>
      <c r="U257" s="1474">
        <f t="shared" si="117"/>
        <v>1.0049999999999999</v>
      </c>
      <c r="V257" s="1475">
        <f t="shared" ca="1" si="130"/>
        <v>1.6389834445299432</v>
      </c>
      <c r="X257" s="1476">
        <f t="shared" ca="1" si="108"/>
        <v>1.0235766628709322</v>
      </c>
      <c r="Y257" s="1474">
        <f t="shared" si="118"/>
        <v>1.02</v>
      </c>
      <c r="Z257" s="1475">
        <f t="shared" ca="1" si="131"/>
        <v>1.5773622741148436</v>
      </c>
      <c r="AB257" s="1476">
        <f t="shared" ca="1" si="109"/>
        <v>1.0235766628709322</v>
      </c>
      <c r="AC257" s="1474">
        <f t="shared" si="119"/>
        <v>1.02</v>
      </c>
      <c r="AD257" s="1475">
        <f t="shared" ca="1" si="132"/>
        <v>1.5773622741148436</v>
      </c>
      <c r="AF257" s="1476">
        <f t="shared" ca="1" si="110"/>
        <v>1.0689999999999988</v>
      </c>
      <c r="AG257" s="1474">
        <f t="shared" si="120"/>
        <v>0</v>
      </c>
      <c r="AH257" s="1475">
        <f t="shared" ca="1" si="133"/>
        <v>4.2042559768075041</v>
      </c>
      <c r="AJ257" s="1476">
        <f t="shared" ca="1" si="111"/>
        <v>1.0235766628709322</v>
      </c>
      <c r="AK257" s="1474">
        <f t="shared" si="121"/>
        <v>1.02</v>
      </c>
      <c r="AL257" s="1475">
        <f t="shared" ca="1" si="134"/>
        <v>1.5773622741148436</v>
      </c>
      <c r="AN257" s="1476">
        <f t="shared" ca="1" si="112"/>
        <v>1.0260766628709321</v>
      </c>
      <c r="AO257" s="1474">
        <f t="shared" si="122"/>
        <v>1.0049999999999999</v>
      </c>
      <c r="AP257" s="1475">
        <f t="shared" ca="1" si="135"/>
        <v>1.6389834445299432</v>
      </c>
      <c r="AR257" s="701">
        <f t="shared" si="123"/>
        <v>42644</v>
      </c>
      <c r="AS257" s="1478">
        <f ca="1">IF(AND($A257&gt;=EDATE(AS$17,12),IF(Assm!$L$74=0,$D257,$E257)/AS256&gt;=1.05),IF(Assm!$L$74=0,$D257,$E257),AS256)</f>
        <v>2.9151207788093942</v>
      </c>
      <c r="AT257" s="1478">
        <f t="shared" ca="1" si="124"/>
        <v>1.0508246270410797</v>
      </c>
      <c r="AU257" s="1478">
        <f t="shared" ca="1" si="125"/>
        <v>1.0689999999999988</v>
      </c>
      <c r="AV257" s="1478">
        <f t="shared" ca="1" si="126"/>
        <v>1.0689999999999988</v>
      </c>
      <c r="AW257" s="1475">
        <f t="shared" ca="1" si="127"/>
        <v>3.9398762822950593</v>
      </c>
    </row>
    <row r="258" spans="1:49">
      <c r="A258" s="883">
        <f t="shared" si="114"/>
        <v>42675</v>
      </c>
      <c r="B258" s="1390">
        <f ca="1">'[2]Monthly Curve Calc.'!B261</f>
        <v>611.11328967407974</v>
      </c>
      <c r="C258" s="1391">
        <f ca="1">'[2]Monthly Curve Calc.'!C261</f>
        <v>266.58904390659427</v>
      </c>
      <c r="D258" s="1512">
        <f ca="1">'[2]Monthly Curve Calc.'!F261</f>
        <v>2.9832552095379512</v>
      </c>
      <c r="E258" s="1304">
        <f t="shared" ca="1" si="113"/>
        <v>2.7935118663149563</v>
      </c>
      <c r="F258" s="1473">
        <f ca="1">IF(Assm!$L$75=0,F257,IF(AND($A258&gt;F$16,MONTH($A258)=MONTH(F$16)),B257/B245,F257))</f>
        <v>1.0689999999999988</v>
      </c>
      <c r="G258" s="1474">
        <f ca="1">IF(Assm!$L$75=0,G257,IF(AND($A258&gt;G$16,MONTH($A258)=MONTH(G$16)),C257/C245,G257))</f>
        <v>1.0260766628709321</v>
      </c>
      <c r="H258" s="1474">
        <f ca="1">IF(Assm!$L$75=0,H257,IF(AND($A258&gt;H$16,MONTH($A258)=MONTH(H$16)),C257/C245-H$18,H257))</f>
        <v>1.0235766628709322</v>
      </c>
      <c r="I258" s="1474">
        <f ca="1">IF(Assm!$L$75=0,I257,IF($A258&gt;=I$16,IF(MONTH($A258)=MONTH(I$16),AVERAGE(D246:D257),I257),I257))</f>
        <v>2.9031828886711959</v>
      </c>
      <c r="J258" s="1475">
        <f ca="1">IF(Assm!$L$75=0,J257,IF($A258&gt;=J$16,IF(MONTH($A258)=MONTH(J$16),AVERAGE(E246:E257),J257),J257))</f>
        <v>2.6412374117328499</v>
      </c>
      <c r="K258" s="958">
        <f t="shared" si="104"/>
        <v>246</v>
      </c>
      <c r="L258" s="1476">
        <f t="shared" ca="1" si="105"/>
        <v>1.0260766628709321</v>
      </c>
      <c r="M258" s="1474">
        <f t="shared" si="115"/>
        <v>0</v>
      </c>
      <c r="N258" s="1475">
        <f t="shared" ca="1" si="128"/>
        <v>1.6389834445299432</v>
      </c>
      <c r="P258" s="1476">
        <f t="shared" ca="1" si="106"/>
        <v>1.0689999999999988</v>
      </c>
      <c r="Q258" s="1474">
        <f t="shared" si="116"/>
        <v>0</v>
      </c>
      <c r="R258" s="1475">
        <f t="shared" ca="1" si="129"/>
        <v>4.2042559768075041</v>
      </c>
      <c r="T258" s="1476">
        <f t="shared" ca="1" si="107"/>
        <v>1.0260766628709321</v>
      </c>
      <c r="U258" s="1474">
        <f t="shared" si="117"/>
        <v>1.0049999999999999</v>
      </c>
      <c r="V258" s="1475">
        <f t="shared" ca="1" si="130"/>
        <v>1.6389834445299432</v>
      </c>
      <c r="X258" s="1476">
        <f t="shared" ca="1" si="108"/>
        <v>1.0235766628709322</v>
      </c>
      <c r="Y258" s="1474">
        <f t="shared" si="118"/>
        <v>1.02</v>
      </c>
      <c r="Z258" s="1475">
        <f t="shared" ca="1" si="131"/>
        <v>1.5773622741148436</v>
      </c>
      <c r="AB258" s="1476">
        <f t="shared" ca="1" si="109"/>
        <v>1.0235766628709322</v>
      </c>
      <c r="AC258" s="1474">
        <f t="shared" si="119"/>
        <v>1.02</v>
      </c>
      <c r="AD258" s="1475">
        <f t="shared" ca="1" si="132"/>
        <v>1.5773622741148436</v>
      </c>
      <c r="AF258" s="1476">
        <f t="shared" ca="1" si="110"/>
        <v>1.0689999999999988</v>
      </c>
      <c r="AG258" s="1474">
        <f t="shared" si="120"/>
        <v>0</v>
      </c>
      <c r="AH258" s="1475">
        <f t="shared" ca="1" si="133"/>
        <v>4.2042559768075041</v>
      </c>
      <c r="AJ258" s="1476">
        <f t="shared" ca="1" si="111"/>
        <v>1.0235766628709322</v>
      </c>
      <c r="AK258" s="1474">
        <f t="shared" si="121"/>
        <v>1.02</v>
      </c>
      <c r="AL258" s="1475">
        <f t="shared" ca="1" si="134"/>
        <v>1.5773622741148436</v>
      </c>
      <c r="AN258" s="1476">
        <f t="shared" ca="1" si="112"/>
        <v>1.0260766628709321</v>
      </c>
      <c r="AO258" s="1474">
        <f t="shared" si="122"/>
        <v>1.0049999999999999</v>
      </c>
      <c r="AP258" s="1475">
        <f t="shared" ca="1" si="135"/>
        <v>1.6389834445299432</v>
      </c>
      <c r="AR258" s="701">
        <f t="shared" si="123"/>
        <v>42675</v>
      </c>
      <c r="AS258" s="1478">
        <f ca="1">IF(AND($A258&gt;=EDATE(AS$17,12),IF(Assm!$L$74=0,$D258,$E258)/AS257&gt;=1.05),IF(Assm!$L$74=0,$D258,$E258),AS257)</f>
        <v>2.9151207788093942</v>
      </c>
      <c r="AT258" s="1478">
        <f t="shared" ca="1" si="124"/>
        <v>1.0508246270410797</v>
      </c>
      <c r="AU258" s="1478">
        <f t="shared" ca="1" si="125"/>
        <v>1.0689999999999988</v>
      </c>
      <c r="AV258" s="1478">
        <f t="shared" ca="1" si="126"/>
        <v>1.0689999999999988</v>
      </c>
      <c r="AW258" s="1475">
        <f t="shared" ca="1" si="127"/>
        <v>3.9398762822950593</v>
      </c>
    </row>
    <row r="259" spans="1:49">
      <c r="A259" s="883">
        <f t="shared" si="114"/>
        <v>42705</v>
      </c>
      <c r="B259" s="1390">
        <f ca="1">'[2]Monthly Curve Calc.'!B262</f>
        <v>614.52072894835374</v>
      </c>
      <c r="C259" s="1391">
        <f ca="1">'[2]Monthly Curve Calc.'!C262</f>
        <v>267.16889840122712</v>
      </c>
      <c r="D259" s="1512">
        <f ca="1">'[2]Monthly Curve Calc.'!F262</f>
        <v>2.9881843886810961</v>
      </c>
      <c r="E259" s="1304">
        <f t="shared" ca="1" si="113"/>
        <v>2.8029911504204521</v>
      </c>
      <c r="F259" s="1473">
        <f ca="1">IF(Assm!$L$75=0,F258,IF(AND($A259&gt;F$16,MONTH($A259)=MONTH(F$16)),B258/B246,F258))</f>
        <v>1.0689999999999988</v>
      </c>
      <c r="G259" s="1474">
        <f ca="1">IF(Assm!$L$75=0,G258,IF(AND($A259&gt;G$16,MONTH($A259)=MONTH(G$16)),C258/C246,G258))</f>
        <v>1.0260766628709321</v>
      </c>
      <c r="H259" s="1474">
        <f ca="1">IF(Assm!$L$75=0,H258,IF(AND($A259&gt;H$16,MONTH($A259)=MONTH(H$16)),C258/C246-H$18,H258))</f>
        <v>1.0235766628709322</v>
      </c>
      <c r="I259" s="1474">
        <f ca="1">IF(Assm!$L$75=0,I258,IF($A259&gt;=I$16,IF(MONTH($A259)=MONTH(I$16),AVERAGE(D247:D258),I258),I258))</f>
        <v>2.9031828886711959</v>
      </c>
      <c r="J259" s="1475">
        <f ca="1">IF(Assm!$L$75=0,J258,IF($A259&gt;=J$16,IF(MONTH($A259)=MONTH(J$16),AVERAGE(E247:E258),J258),J258))</f>
        <v>2.6412374117328499</v>
      </c>
      <c r="K259" s="958">
        <f t="shared" si="104"/>
        <v>247</v>
      </c>
      <c r="L259" s="1476">
        <f t="shared" ca="1" si="105"/>
        <v>1.0260766628709321</v>
      </c>
      <c r="M259" s="1474">
        <f t="shared" si="115"/>
        <v>0</v>
      </c>
      <c r="N259" s="1475">
        <f t="shared" ca="1" si="128"/>
        <v>1.6389834445299432</v>
      </c>
      <c r="P259" s="1476">
        <f t="shared" ca="1" si="106"/>
        <v>1.0689999999999988</v>
      </c>
      <c r="Q259" s="1474">
        <f t="shared" si="116"/>
        <v>0</v>
      </c>
      <c r="R259" s="1475">
        <f t="shared" ca="1" si="129"/>
        <v>4.2042559768075041</v>
      </c>
      <c r="T259" s="1476">
        <f t="shared" ca="1" si="107"/>
        <v>1.0260766628709321</v>
      </c>
      <c r="U259" s="1474">
        <f t="shared" si="117"/>
        <v>1.0049999999999999</v>
      </c>
      <c r="V259" s="1475">
        <f t="shared" ca="1" si="130"/>
        <v>1.6389834445299432</v>
      </c>
      <c r="X259" s="1476">
        <f t="shared" ca="1" si="108"/>
        <v>1.0235766628709322</v>
      </c>
      <c r="Y259" s="1474">
        <f t="shared" si="118"/>
        <v>1.02</v>
      </c>
      <c r="Z259" s="1475">
        <f t="shared" ca="1" si="131"/>
        <v>1.5773622741148436</v>
      </c>
      <c r="AB259" s="1476">
        <f t="shared" ca="1" si="109"/>
        <v>1.0235766628709322</v>
      </c>
      <c r="AC259" s="1474">
        <f t="shared" si="119"/>
        <v>1.02</v>
      </c>
      <c r="AD259" s="1475">
        <f t="shared" ca="1" si="132"/>
        <v>1.5773622741148436</v>
      </c>
      <c r="AF259" s="1476">
        <f t="shared" ca="1" si="110"/>
        <v>1.0689999999999988</v>
      </c>
      <c r="AG259" s="1474">
        <f t="shared" si="120"/>
        <v>0</v>
      </c>
      <c r="AH259" s="1475">
        <f t="shared" ca="1" si="133"/>
        <v>4.2042559768075041</v>
      </c>
      <c r="AJ259" s="1476">
        <f t="shared" ca="1" si="111"/>
        <v>1.0235766628709322</v>
      </c>
      <c r="AK259" s="1474">
        <f t="shared" si="121"/>
        <v>1.02</v>
      </c>
      <c r="AL259" s="1475">
        <f t="shared" ca="1" si="134"/>
        <v>1.5773622741148436</v>
      </c>
      <c r="AN259" s="1476">
        <f t="shared" ca="1" si="112"/>
        <v>1.0260766628709321</v>
      </c>
      <c r="AO259" s="1474">
        <f t="shared" si="122"/>
        <v>1.0049999999999999</v>
      </c>
      <c r="AP259" s="1475">
        <f t="shared" ca="1" si="135"/>
        <v>1.6389834445299432</v>
      </c>
      <c r="AR259" s="701">
        <f t="shared" si="123"/>
        <v>42705</v>
      </c>
      <c r="AS259" s="1478">
        <f ca="1">IF(AND($A259&gt;=EDATE(AS$17,12),IF(Assm!$L$74=0,$D259,$E259)/AS258&gt;=1.05),IF(Assm!$L$74=0,$D259,$E259),AS258)</f>
        <v>2.9151207788093942</v>
      </c>
      <c r="AT259" s="1478">
        <f t="shared" ca="1" si="124"/>
        <v>1.0508246270410797</v>
      </c>
      <c r="AU259" s="1478">
        <f t="shared" ca="1" si="125"/>
        <v>1.0689999999999988</v>
      </c>
      <c r="AV259" s="1478">
        <f t="shared" ca="1" si="126"/>
        <v>1.0689999999999988</v>
      </c>
      <c r="AW259" s="1475">
        <f t="shared" ca="1" si="127"/>
        <v>3.9398762822950593</v>
      </c>
    </row>
    <row r="260" spans="1:49">
      <c r="A260" s="883">
        <f t="shared" si="114"/>
        <v>42736</v>
      </c>
      <c r="B260" s="1390">
        <f ca="1">'[2]Monthly Curve Calc.'!B263</f>
        <v>617.89897497520235</v>
      </c>
      <c r="C260" s="1391">
        <f ca="1">'[2]Monthly Curve Calc.'!C263</f>
        <v>267.76069984545796</v>
      </c>
      <c r="D260" s="1512">
        <f ca="1">'[2]Monthly Curve Calc.'!F263</f>
        <v>2.9931091016997291</v>
      </c>
      <c r="E260" s="1304">
        <f t="shared" ca="1" si="113"/>
        <v>2.812171027790352</v>
      </c>
      <c r="F260" s="1473">
        <f ca="1">IF(Assm!$L$75=0,F259,IF(AND($A260&gt;F$16,MONTH($A260)=MONTH(F$16)),B259/B247,F259))</f>
        <v>1.0689999999999988</v>
      </c>
      <c r="G260" s="1474">
        <f ca="1">IF(Assm!$L$75=0,G259,IF(AND($A260&gt;G$16,MONTH($A260)=MONTH(G$16)),C259/C247,G259))</f>
        <v>1.0260766628709321</v>
      </c>
      <c r="H260" s="1474">
        <f ca="1">IF(Assm!$L$75=0,H259,IF(AND($A260&gt;H$16,MONTH($A260)=MONTH(H$16)),C259/C247-H$18,H259))</f>
        <v>1.0235766628709322</v>
      </c>
      <c r="I260" s="1474">
        <f ca="1">IF(Assm!$L$75=0,I259,IF($A260&gt;=I$16,IF(MONTH($A260)=MONTH(I$16),AVERAGE(D248:D259),I259),I259))</f>
        <v>2.9612224191821213</v>
      </c>
      <c r="J260" s="1475">
        <f ca="1">IF(Assm!$L$75=0,J259,IF($A260&gt;=J$16,IF(MONTH($A260)=MONTH(J$16),AVERAGE(E248:E259),J259),J259))</f>
        <v>2.751438360318375</v>
      </c>
      <c r="K260" s="958">
        <f t="shared" si="104"/>
        <v>248</v>
      </c>
      <c r="L260" s="1476">
        <f t="shared" ca="1" si="105"/>
        <v>1.0260766628709321</v>
      </c>
      <c r="M260" s="1474">
        <f t="shared" si="115"/>
        <v>0</v>
      </c>
      <c r="N260" s="1475">
        <f t="shared" ca="1" si="128"/>
        <v>1.6389834445299432</v>
      </c>
      <c r="P260" s="1476">
        <f t="shared" ca="1" si="106"/>
        <v>1.0689999999999988</v>
      </c>
      <c r="Q260" s="1474">
        <f t="shared" si="116"/>
        <v>0</v>
      </c>
      <c r="R260" s="1475">
        <f t="shared" ca="1" si="129"/>
        <v>4.2042559768075041</v>
      </c>
      <c r="T260" s="1476">
        <f t="shared" ca="1" si="107"/>
        <v>1.0260766628709321</v>
      </c>
      <c r="U260" s="1474">
        <f t="shared" si="117"/>
        <v>1.0049999999999999</v>
      </c>
      <c r="V260" s="1475">
        <f t="shared" ca="1" si="130"/>
        <v>1.6389834445299432</v>
      </c>
      <c r="X260" s="1476">
        <f t="shared" ca="1" si="108"/>
        <v>1.0235766628709322</v>
      </c>
      <c r="Y260" s="1474">
        <f t="shared" si="118"/>
        <v>1.02</v>
      </c>
      <c r="Z260" s="1475">
        <f t="shared" ca="1" si="131"/>
        <v>1.5773622741148436</v>
      </c>
      <c r="AB260" s="1476">
        <f t="shared" ca="1" si="109"/>
        <v>1.0235766628709322</v>
      </c>
      <c r="AC260" s="1474">
        <f t="shared" si="119"/>
        <v>1.02</v>
      </c>
      <c r="AD260" s="1475">
        <f t="shared" ca="1" si="132"/>
        <v>1.5773622741148436</v>
      </c>
      <c r="AF260" s="1476">
        <f t="shared" ca="1" si="110"/>
        <v>1.0689999999999988</v>
      </c>
      <c r="AG260" s="1474">
        <f t="shared" si="120"/>
        <v>0</v>
      </c>
      <c r="AH260" s="1475">
        <f t="shared" ca="1" si="133"/>
        <v>4.2042559768075041</v>
      </c>
      <c r="AJ260" s="1476">
        <f t="shared" ca="1" si="111"/>
        <v>1.0235766628709322</v>
      </c>
      <c r="AK260" s="1474">
        <f t="shared" si="121"/>
        <v>1.02</v>
      </c>
      <c r="AL260" s="1475">
        <f t="shared" ca="1" si="134"/>
        <v>1.5773622741148436</v>
      </c>
      <c r="AN260" s="1476">
        <f t="shared" ca="1" si="112"/>
        <v>1.0260766628709321</v>
      </c>
      <c r="AO260" s="1474">
        <f t="shared" si="122"/>
        <v>1.0049999999999999</v>
      </c>
      <c r="AP260" s="1475">
        <f t="shared" ca="1" si="135"/>
        <v>1.6389834445299432</v>
      </c>
      <c r="AR260" s="701">
        <f t="shared" si="123"/>
        <v>42736</v>
      </c>
      <c r="AS260" s="1478">
        <f ca="1">IF(AND($A260&gt;=EDATE(AS$17,12),IF(Assm!$L$74=0,$D260,$E260)/AS259&gt;=1.05),IF(Assm!$L$74=0,$D260,$E260),AS259)</f>
        <v>2.9151207788093942</v>
      </c>
      <c r="AT260" s="1478">
        <f t="shared" ca="1" si="124"/>
        <v>1.0508246270410797</v>
      </c>
      <c r="AU260" s="1478">
        <f t="shared" ca="1" si="125"/>
        <v>1.0689999999999988</v>
      </c>
      <c r="AV260" s="1478">
        <f t="shared" ca="1" si="126"/>
        <v>1.0689999999999988</v>
      </c>
      <c r="AW260" s="1475">
        <f t="shared" ca="1" si="127"/>
        <v>3.9398762822950593</v>
      </c>
    </row>
    <row r="261" spans="1:49">
      <c r="A261" s="883">
        <f t="shared" si="114"/>
        <v>42767</v>
      </c>
      <c r="B261" s="1390">
        <f ca="1">'[2]Monthly Curve Calc.'!B264</f>
        <v>621.29579246055562</v>
      </c>
      <c r="C261" s="1391">
        <f ca="1">'[2]Monthly Curve Calc.'!C264</f>
        <v>268.35381217936003</v>
      </c>
      <c r="D261" s="1512">
        <f ca="1">'[2]Monthly Curve Calc.'!F264</f>
        <v>2.9980419309505488</v>
      </c>
      <c r="E261" s="1304">
        <f t="shared" ca="1" si="113"/>
        <v>2.8213809695250696</v>
      </c>
      <c r="F261" s="1473">
        <f ca="1">IF(Assm!$L$75=0,F260,IF(AND($A261&gt;F$16,MONTH($A261)=MONTH(F$16)),B260/B248,F260))</f>
        <v>1.0689999999999988</v>
      </c>
      <c r="G261" s="1474">
        <f ca="1">IF(Assm!$L$75=0,G260,IF(AND($A261&gt;G$16,MONTH($A261)=MONTH(G$16)),C260/C248,G260))</f>
        <v>1.0260766628709321</v>
      </c>
      <c r="H261" s="1474">
        <f ca="1">IF(Assm!$L$75=0,H260,IF(AND($A261&gt;H$16,MONTH($A261)=MONTH(H$16)),C260/C248-H$18,H260))</f>
        <v>1.0235766628709322</v>
      </c>
      <c r="I261" s="1474">
        <f ca="1">IF(Assm!$L$75=0,I260,IF($A261&gt;=I$16,IF(MONTH($A261)=MONTH(I$16),AVERAGE(D249:D260),I260),I260))</f>
        <v>2.9612224191821213</v>
      </c>
      <c r="J261" s="1475">
        <f ca="1">IF(Assm!$L$75=0,J260,IF($A261&gt;=J$16,IF(MONTH($A261)=MONTH(J$16),AVERAGE(E249:E260),J260),J260))</f>
        <v>2.751438360318375</v>
      </c>
      <c r="K261" s="958">
        <f t="shared" si="104"/>
        <v>249</v>
      </c>
      <c r="L261" s="1476">
        <f t="shared" ca="1" si="105"/>
        <v>1.0260766628709321</v>
      </c>
      <c r="M261" s="1474">
        <f t="shared" si="115"/>
        <v>0</v>
      </c>
      <c r="N261" s="1475">
        <f t="shared" ca="1" si="128"/>
        <v>1.6389834445299432</v>
      </c>
      <c r="P261" s="1476">
        <f t="shared" ca="1" si="106"/>
        <v>1.0689999999999988</v>
      </c>
      <c r="Q261" s="1474">
        <f t="shared" si="116"/>
        <v>0</v>
      </c>
      <c r="R261" s="1475">
        <f t="shared" ca="1" si="129"/>
        <v>4.2042559768075041</v>
      </c>
      <c r="T261" s="1476">
        <f t="shared" ca="1" si="107"/>
        <v>1.0260766628709321</v>
      </c>
      <c r="U261" s="1474">
        <f t="shared" si="117"/>
        <v>1.0049999999999999</v>
      </c>
      <c r="V261" s="1475">
        <f t="shared" ca="1" si="130"/>
        <v>1.6389834445299432</v>
      </c>
      <c r="X261" s="1476">
        <f t="shared" ca="1" si="108"/>
        <v>1.0235766628709322</v>
      </c>
      <c r="Y261" s="1474">
        <f t="shared" si="118"/>
        <v>1.02</v>
      </c>
      <c r="Z261" s="1475">
        <f t="shared" ca="1" si="131"/>
        <v>1.5773622741148436</v>
      </c>
      <c r="AB261" s="1476">
        <f t="shared" ca="1" si="109"/>
        <v>1.0235766628709322</v>
      </c>
      <c r="AC261" s="1474">
        <f t="shared" si="119"/>
        <v>1.02</v>
      </c>
      <c r="AD261" s="1475">
        <f t="shared" ca="1" si="132"/>
        <v>1.5773622741148436</v>
      </c>
      <c r="AF261" s="1476">
        <f t="shared" ca="1" si="110"/>
        <v>1.0689999999999988</v>
      </c>
      <c r="AG261" s="1474">
        <f t="shared" si="120"/>
        <v>0</v>
      </c>
      <c r="AH261" s="1475">
        <f t="shared" ca="1" si="133"/>
        <v>4.2042559768075041</v>
      </c>
      <c r="AJ261" s="1476">
        <f t="shared" ca="1" si="111"/>
        <v>1.0235766628709322</v>
      </c>
      <c r="AK261" s="1474">
        <f t="shared" si="121"/>
        <v>1.02</v>
      </c>
      <c r="AL261" s="1475">
        <f t="shared" ca="1" si="134"/>
        <v>1.5773622741148436</v>
      </c>
      <c r="AN261" s="1476">
        <f t="shared" ca="1" si="112"/>
        <v>1.0260766628709321</v>
      </c>
      <c r="AO261" s="1474">
        <f t="shared" si="122"/>
        <v>1.0049999999999999</v>
      </c>
      <c r="AP261" s="1475">
        <f t="shared" ca="1" si="135"/>
        <v>1.6389834445299432</v>
      </c>
      <c r="AR261" s="701">
        <f t="shared" si="123"/>
        <v>42767</v>
      </c>
      <c r="AS261" s="1478">
        <f ca="1">IF(AND($A261&gt;=EDATE(AS$17,12),IF(Assm!$L$74=0,$D261,$E261)/AS260&gt;=1.05),IF(Assm!$L$74=0,$D261,$E261),AS260)</f>
        <v>2.9151207788093942</v>
      </c>
      <c r="AT261" s="1478">
        <f t="shared" ca="1" si="124"/>
        <v>1.0508246270410797</v>
      </c>
      <c r="AU261" s="1478">
        <f t="shared" ca="1" si="125"/>
        <v>1.0689999999999988</v>
      </c>
      <c r="AV261" s="1478">
        <f t="shared" ca="1" si="126"/>
        <v>1.0689999999999988</v>
      </c>
      <c r="AW261" s="1475">
        <f t="shared" ca="1" si="127"/>
        <v>3.9398762822950593</v>
      </c>
    </row>
    <row r="262" spans="1:49">
      <c r="A262" s="883">
        <f t="shared" si="114"/>
        <v>42795</v>
      </c>
      <c r="B262" s="1390">
        <f ca="1">'[2]Monthly Curve Calc.'!B265</f>
        <v>624.71128349853825</v>
      </c>
      <c r="C262" s="1391">
        <f ca="1">'[2]Monthly Curve Calc.'!C265</f>
        <v>268.94823830666354</v>
      </c>
      <c r="D262" s="1512">
        <f ca="1">'[2]Monthly Curve Calc.'!F265</f>
        <v>3.0029828898096089</v>
      </c>
      <c r="E262" s="1304">
        <f t="shared" ca="1" si="113"/>
        <v>2.8306210740862721</v>
      </c>
      <c r="F262" s="1473">
        <f ca="1">IF(Assm!$L$75=0,F261,IF(AND($A262&gt;F$16,MONTH($A262)=MONTH(F$16)),B261/B249,F261))</f>
        <v>1.0689999999999988</v>
      </c>
      <c r="G262" s="1474">
        <f ca="1">IF(Assm!$L$75=0,G261,IF(AND($A262&gt;G$16,MONTH($A262)=MONTH(G$16)),C261/C249,G261))</f>
        <v>1.0260766628709321</v>
      </c>
      <c r="H262" s="1474">
        <f ca="1">IF(Assm!$L$75=0,H261,IF(AND($A262&gt;H$16,MONTH($A262)=MONTH(H$16)),C261/C249-H$18,H261))</f>
        <v>1.0235766628709322</v>
      </c>
      <c r="I262" s="1474">
        <f ca="1">IF(Assm!$L$75=0,I261,IF($A262&gt;=I$16,IF(MONTH($A262)=MONTH(I$16),AVERAGE(D250:D261),I261),I261))</f>
        <v>2.9612224191821213</v>
      </c>
      <c r="J262" s="1475">
        <f ca="1">IF(Assm!$L$75=0,J261,IF($A262&gt;=J$16,IF(MONTH($A262)=MONTH(J$16),AVERAGE(E250:E261),J261),J261))</f>
        <v>2.751438360318375</v>
      </c>
      <c r="K262" s="958">
        <f t="shared" si="104"/>
        <v>250</v>
      </c>
      <c r="L262" s="1476">
        <f t="shared" ca="1" si="105"/>
        <v>1.0260766628709321</v>
      </c>
      <c r="M262" s="1474">
        <f t="shared" si="115"/>
        <v>0</v>
      </c>
      <c r="N262" s="1475">
        <f t="shared" ca="1" si="128"/>
        <v>1.6389834445299432</v>
      </c>
      <c r="P262" s="1476">
        <f t="shared" ca="1" si="106"/>
        <v>1.0689999999999988</v>
      </c>
      <c r="Q262" s="1474">
        <f t="shared" si="116"/>
        <v>0</v>
      </c>
      <c r="R262" s="1475">
        <f t="shared" ca="1" si="129"/>
        <v>4.2042559768075041</v>
      </c>
      <c r="T262" s="1476">
        <f t="shared" ca="1" si="107"/>
        <v>1.0260766628709321</v>
      </c>
      <c r="U262" s="1474">
        <f t="shared" si="117"/>
        <v>1.0049999999999999</v>
      </c>
      <c r="V262" s="1475">
        <f t="shared" ca="1" si="130"/>
        <v>1.6389834445299432</v>
      </c>
      <c r="X262" s="1476">
        <f t="shared" ca="1" si="108"/>
        <v>1.0235766628709322</v>
      </c>
      <c r="Y262" s="1474">
        <f t="shared" si="118"/>
        <v>1.02</v>
      </c>
      <c r="Z262" s="1475">
        <f t="shared" ca="1" si="131"/>
        <v>1.5773622741148436</v>
      </c>
      <c r="AB262" s="1476">
        <f t="shared" ca="1" si="109"/>
        <v>1.0235766628709322</v>
      </c>
      <c r="AC262" s="1474">
        <f t="shared" si="119"/>
        <v>1.02</v>
      </c>
      <c r="AD262" s="1475">
        <f t="shared" ca="1" si="132"/>
        <v>1.5773622741148436</v>
      </c>
      <c r="AF262" s="1476">
        <f t="shared" ca="1" si="110"/>
        <v>1.0689999999999988</v>
      </c>
      <c r="AG262" s="1474">
        <f t="shared" si="120"/>
        <v>0</v>
      </c>
      <c r="AH262" s="1475">
        <f t="shared" ca="1" si="133"/>
        <v>4.2042559768075041</v>
      </c>
      <c r="AJ262" s="1476">
        <f t="shared" ca="1" si="111"/>
        <v>1.0235766628709322</v>
      </c>
      <c r="AK262" s="1474">
        <f t="shared" si="121"/>
        <v>1.02</v>
      </c>
      <c r="AL262" s="1475">
        <f t="shared" ca="1" si="134"/>
        <v>1.5773622741148436</v>
      </c>
      <c r="AN262" s="1476">
        <f t="shared" ca="1" si="112"/>
        <v>1.0260766628709321</v>
      </c>
      <c r="AO262" s="1474">
        <f t="shared" si="122"/>
        <v>1.0049999999999999</v>
      </c>
      <c r="AP262" s="1475">
        <f t="shared" ca="1" si="135"/>
        <v>1.6389834445299432</v>
      </c>
      <c r="AR262" s="701">
        <f t="shared" si="123"/>
        <v>42795</v>
      </c>
      <c r="AS262" s="1478">
        <f ca="1">IF(AND($A262&gt;=EDATE(AS$17,12),IF(Assm!$L$74=0,$D262,$E262)/AS261&gt;=1.05),IF(Assm!$L$74=0,$D262,$E262),AS261)</f>
        <v>2.9151207788093942</v>
      </c>
      <c r="AT262" s="1478">
        <f t="shared" ca="1" si="124"/>
        <v>1.0508246270410797</v>
      </c>
      <c r="AU262" s="1478">
        <f t="shared" ca="1" si="125"/>
        <v>1.0689999999999988</v>
      </c>
      <c r="AV262" s="1478">
        <f t="shared" ca="1" si="126"/>
        <v>1.0689999999999988</v>
      </c>
      <c r="AW262" s="1475">
        <f t="shared" ca="1" si="127"/>
        <v>3.9398762822950593</v>
      </c>
    </row>
    <row r="263" spans="1:49">
      <c r="A263" s="883">
        <f t="shared" si="114"/>
        <v>42826</v>
      </c>
      <c r="B263" s="1390">
        <f ca="1">'[2]Monthly Curve Calc.'!B266</f>
        <v>628.1455507445238</v>
      </c>
      <c r="C263" s="1391">
        <f ca="1">'[2]Monthly Curve Calc.'!C266</f>
        <v>269.54398113753075</v>
      </c>
      <c r="D263" s="1512">
        <f ca="1">'[2]Monthly Curve Calc.'!F266</f>
        <v>3.0079319916750076</v>
      </c>
      <c r="E263" s="1304">
        <f t="shared" ca="1" si="113"/>
        <v>2.8398914402580915</v>
      </c>
      <c r="F263" s="1473">
        <f ca="1">IF(Assm!$L$75=0,F262,IF(AND($A263&gt;F$16,MONTH($A263)=MONTH(F$16)),B262/B250,F262))</f>
        <v>1.0689999999999988</v>
      </c>
      <c r="G263" s="1474">
        <f ca="1">IF(Assm!$L$75=0,G262,IF(AND($A263&gt;G$16,MONTH($A263)=MONTH(G$16)),C262/C250,G262))</f>
        <v>1.0260766628709321</v>
      </c>
      <c r="H263" s="1474">
        <f ca="1">IF(Assm!$L$75=0,H262,IF(AND($A263&gt;H$16,MONTH($A263)=MONTH(H$16)),C262/C250-H$18,H262))</f>
        <v>1.0235766628709322</v>
      </c>
      <c r="I263" s="1474">
        <f ca="1">IF(Assm!$L$75=0,I262,IF($A263&gt;=I$16,IF(MONTH($A263)=MONTH(I$16),AVERAGE(D251:D262),I262),I262))</f>
        <v>2.9612224191821213</v>
      </c>
      <c r="J263" s="1475">
        <f ca="1">IF(Assm!$L$75=0,J262,IF($A263&gt;=J$16,IF(MONTH($A263)=MONTH(J$16),AVERAGE(E251:E262),J262),J262))</f>
        <v>2.751438360318375</v>
      </c>
      <c r="K263" s="958">
        <f t="shared" si="104"/>
        <v>251</v>
      </c>
      <c r="L263" s="1476">
        <f t="shared" ca="1" si="105"/>
        <v>1.0260766628709321</v>
      </c>
      <c r="M263" s="1474">
        <f t="shared" si="115"/>
        <v>0</v>
      </c>
      <c r="N263" s="1475">
        <f t="shared" ca="1" si="128"/>
        <v>1.6389834445299432</v>
      </c>
      <c r="P263" s="1476">
        <f t="shared" ca="1" si="106"/>
        <v>1.0689999999999988</v>
      </c>
      <c r="Q263" s="1474">
        <f t="shared" si="116"/>
        <v>0</v>
      </c>
      <c r="R263" s="1475">
        <f t="shared" ca="1" si="129"/>
        <v>4.2042559768075041</v>
      </c>
      <c r="T263" s="1476">
        <f t="shared" ca="1" si="107"/>
        <v>1.0260766628709321</v>
      </c>
      <c r="U263" s="1474">
        <f t="shared" si="117"/>
        <v>1.0049999999999999</v>
      </c>
      <c r="V263" s="1475">
        <f t="shared" ca="1" si="130"/>
        <v>1.6389834445299432</v>
      </c>
      <c r="X263" s="1476">
        <f t="shared" ca="1" si="108"/>
        <v>1.0235766628709322</v>
      </c>
      <c r="Y263" s="1474">
        <f t="shared" si="118"/>
        <v>1.02</v>
      </c>
      <c r="Z263" s="1475">
        <f t="shared" ca="1" si="131"/>
        <v>1.5773622741148436</v>
      </c>
      <c r="AB263" s="1476">
        <f t="shared" ca="1" si="109"/>
        <v>1.0235766628709322</v>
      </c>
      <c r="AC263" s="1474">
        <f t="shared" si="119"/>
        <v>1.02</v>
      </c>
      <c r="AD263" s="1475">
        <f t="shared" ca="1" si="132"/>
        <v>1.5773622741148436</v>
      </c>
      <c r="AF263" s="1476">
        <f t="shared" ca="1" si="110"/>
        <v>1.0689999999999988</v>
      </c>
      <c r="AG263" s="1474">
        <f t="shared" si="120"/>
        <v>0</v>
      </c>
      <c r="AH263" s="1475">
        <f t="shared" ca="1" si="133"/>
        <v>4.2042559768075041</v>
      </c>
      <c r="AJ263" s="1476">
        <f t="shared" ca="1" si="111"/>
        <v>1.0235766628709322</v>
      </c>
      <c r="AK263" s="1474">
        <f t="shared" si="121"/>
        <v>1.02</v>
      </c>
      <c r="AL263" s="1475">
        <f t="shared" ca="1" si="134"/>
        <v>1.5773622741148436</v>
      </c>
      <c r="AN263" s="1476">
        <f t="shared" ca="1" si="112"/>
        <v>1.0260766628709321</v>
      </c>
      <c r="AO263" s="1474">
        <f t="shared" si="122"/>
        <v>1.0049999999999999</v>
      </c>
      <c r="AP263" s="1475">
        <f t="shared" ca="1" si="135"/>
        <v>1.6389834445299432</v>
      </c>
      <c r="AR263" s="701">
        <f t="shared" si="123"/>
        <v>42826</v>
      </c>
      <c r="AS263" s="1478">
        <f ca="1">IF(AND($A263&gt;=EDATE(AS$17,12),IF(Assm!$L$74=0,$D263,$E263)/AS262&gt;=1.05),IF(Assm!$L$74=0,$D263,$E263),AS262)</f>
        <v>2.9151207788093942</v>
      </c>
      <c r="AT263" s="1478">
        <f t="shared" ca="1" si="124"/>
        <v>1.0508246270410797</v>
      </c>
      <c r="AU263" s="1478">
        <f t="shared" ca="1" si="125"/>
        <v>1.0689999999999988</v>
      </c>
      <c r="AV263" s="1478">
        <f t="shared" ca="1" si="126"/>
        <v>1.0689999999999988</v>
      </c>
      <c r="AW263" s="1475">
        <f t="shared" ca="1" si="127"/>
        <v>3.9398762822950593</v>
      </c>
    </row>
    <row r="264" spans="1:49">
      <c r="A264" s="883">
        <f t="shared" si="114"/>
        <v>42856</v>
      </c>
      <c r="B264" s="1390">
        <f ca="1">'[2]Monthly Curve Calc.'!B267</f>
        <v>631.59869741822001</v>
      </c>
      <c r="C264" s="1391">
        <f ca="1">'[2]Monthly Curve Calc.'!C267</f>
        <v>270.14104358857008</v>
      </c>
      <c r="D264" s="1512">
        <f ca="1">'[2]Monthly Curve Calc.'!F267</f>
        <v>3.012889249966924</v>
      </c>
      <c r="E264" s="1304">
        <f t="shared" ca="1" si="113"/>
        <v>2.849192167148181</v>
      </c>
      <c r="F264" s="1473">
        <f ca="1">IF(Assm!$L$75=0,F263,IF(AND($A264&gt;F$16,MONTH($A264)=MONTH(F$16)),B263/B251,F263))</f>
        <v>1.0686665626733163</v>
      </c>
      <c r="G264" s="1474">
        <f ca="1">IF(Assm!$L$75=0,G263,IF(AND($A264&gt;G$16,MONTH($A264)=MONTH(G$16)),C263/C251,G263))</f>
        <v>1.0265794351685471</v>
      </c>
      <c r="H264" s="1474">
        <f ca="1">IF(Assm!$L$75=0,H263,IF(AND($A264&gt;H$16,MONTH($A264)=MONTH(H$16)),C263/C251-H$18,H263))</f>
        <v>1.0240794351685472</v>
      </c>
      <c r="I264" s="1474">
        <f ca="1">IF(Assm!$L$75=0,I263,IF($A264&gt;=I$16,IF(MONTH($A264)=MONTH(I$16),AVERAGE(D252:D263),I263),I263))</f>
        <v>2.9612224191821213</v>
      </c>
      <c r="J264" s="1475">
        <f ca="1">IF(Assm!$L$75=0,J263,IF($A264&gt;=J$16,IF(MONTH($A264)=MONTH(J$16),AVERAGE(E252:E263),J263),J263))</f>
        <v>2.751438360318375</v>
      </c>
      <c r="K264" s="958">
        <f t="shared" si="104"/>
        <v>252</v>
      </c>
      <c r="L264" s="1476">
        <f t="shared" ca="1" si="105"/>
        <v>1.0265794351685471</v>
      </c>
      <c r="M264" s="1474">
        <f t="shared" si="115"/>
        <v>0</v>
      </c>
      <c r="N264" s="1475">
        <f t="shared" ca="1" si="128"/>
        <v>1.6825466987361488</v>
      </c>
      <c r="P264" s="1476">
        <f t="shared" ca="1" si="106"/>
        <v>1.0686665626733163</v>
      </c>
      <c r="Q264" s="1474">
        <f t="shared" si="116"/>
        <v>0</v>
      </c>
      <c r="R264" s="1475">
        <f t="shared" ca="1" si="129"/>
        <v>4.4929477833336211</v>
      </c>
      <c r="T264" s="1476">
        <f t="shared" ca="1" si="107"/>
        <v>1.0265794351685471</v>
      </c>
      <c r="U264" s="1474">
        <f t="shared" si="117"/>
        <v>1.0049999999999999</v>
      </c>
      <c r="V264" s="1475">
        <f t="shared" ca="1" si="130"/>
        <v>1.6825466987361488</v>
      </c>
      <c r="X264" s="1476">
        <f t="shared" ca="1" si="108"/>
        <v>1.0240794351685472</v>
      </c>
      <c r="Y264" s="1474">
        <f t="shared" si="118"/>
        <v>1.02</v>
      </c>
      <c r="Z264" s="1475">
        <f t="shared" ca="1" si="131"/>
        <v>1.6153442667317042</v>
      </c>
      <c r="AB264" s="1476">
        <f t="shared" ca="1" si="109"/>
        <v>1.0240794351685472</v>
      </c>
      <c r="AC264" s="1474">
        <f t="shared" si="119"/>
        <v>1.02</v>
      </c>
      <c r="AD264" s="1475">
        <f t="shared" ca="1" si="132"/>
        <v>1.6153442667317042</v>
      </c>
      <c r="AF264" s="1476">
        <f t="shared" ca="1" si="110"/>
        <v>1.0686665626733163</v>
      </c>
      <c r="AG264" s="1474">
        <f t="shared" si="120"/>
        <v>0</v>
      </c>
      <c r="AH264" s="1475">
        <f t="shared" ca="1" si="133"/>
        <v>4.4929477833336211</v>
      </c>
      <c r="AJ264" s="1476">
        <f t="shared" ca="1" si="111"/>
        <v>1.0240794351685472</v>
      </c>
      <c r="AK264" s="1474">
        <f t="shared" si="121"/>
        <v>1.02</v>
      </c>
      <c r="AL264" s="1475">
        <f t="shared" ca="1" si="134"/>
        <v>1.6153442667317042</v>
      </c>
      <c r="AN264" s="1476">
        <f t="shared" ca="1" si="112"/>
        <v>1.0265794351685471</v>
      </c>
      <c r="AO264" s="1474">
        <f t="shared" si="122"/>
        <v>1.0049999999999999</v>
      </c>
      <c r="AP264" s="1475">
        <f t="shared" ca="1" si="135"/>
        <v>1.6825466987361488</v>
      </c>
      <c r="AR264" s="701">
        <f t="shared" si="123"/>
        <v>42856</v>
      </c>
      <c r="AS264" s="1478">
        <f ca="1">IF(AND($A264&gt;=EDATE(AS$17,12),IF(Assm!$L$74=0,$D264,$E264)/AS263&gt;=1.05),IF(Assm!$L$74=0,$D264,$E264),AS263)</f>
        <v>2.9151207788093942</v>
      </c>
      <c r="AT264" s="1478">
        <f t="shared" ca="1" si="124"/>
        <v>1.0508246270410797</v>
      </c>
      <c r="AU264" s="1478">
        <f t="shared" ca="1" si="125"/>
        <v>1.0686665626733163</v>
      </c>
      <c r="AV264" s="1478">
        <f t="shared" ca="1" si="126"/>
        <v>1.0686665626733163</v>
      </c>
      <c r="AW264" s="1475">
        <f t="shared" ca="1" si="127"/>
        <v>4.2104140439583855</v>
      </c>
    </row>
    <row r="265" spans="1:49">
      <c r="A265" s="883">
        <f t="shared" si="114"/>
        <v>42887</v>
      </c>
      <c r="B265" s="1390">
        <f ca="1">'[2]Monthly Curve Calc.'!B268</f>
        <v>635.07082730677132</v>
      </c>
      <c r="C265" s="1391">
        <f ca="1">'[2]Monthly Curve Calc.'!C268</f>
        <v>270.73942858285056</v>
      </c>
      <c r="D265" s="1512">
        <f ca="1">'[2]Monthly Curve Calc.'!F268</f>
        <v>3.0178546781276538</v>
      </c>
      <c r="E265" s="1304">
        <f t="shared" ca="1" si="113"/>
        <v>2.8585233541887742</v>
      </c>
      <c r="F265" s="1473">
        <f ca="1">IF(Assm!$L$75=0,F264,IF(AND($A265&gt;F$16,MONTH($A265)=MONTH(F$16)),B264/B252,F264))</f>
        <v>1.0686665626733163</v>
      </c>
      <c r="G265" s="1474">
        <f ca="1">IF(Assm!$L$75=0,G264,IF(AND($A265&gt;G$16,MONTH($A265)=MONTH(G$16)),C264/C252,G264))</f>
        <v>1.0265794351685471</v>
      </c>
      <c r="H265" s="1474">
        <f ca="1">IF(Assm!$L$75=0,H264,IF(AND($A265&gt;H$16,MONTH($A265)=MONTH(H$16)),C264/C252-H$18,H264))</f>
        <v>1.0240794351685472</v>
      </c>
      <c r="I265" s="1474">
        <f ca="1">IF(Assm!$L$75=0,I264,IF($A265&gt;=I$16,IF(MONTH($A265)=MONTH(I$16),AVERAGE(D253:D264),I264),I264))</f>
        <v>2.9612224191821213</v>
      </c>
      <c r="J265" s="1475">
        <f ca="1">IF(Assm!$L$75=0,J264,IF($A265&gt;=J$16,IF(MONTH($A265)=MONTH(J$16),AVERAGE(E253:E264),J264),J264))</f>
        <v>2.751438360318375</v>
      </c>
      <c r="K265" s="958">
        <f t="shared" si="104"/>
        <v>253</v>
      </c>
      <c r="L265" s="1476">
        <f t="shared" ca="1" si="105"/>
        <v>1.0265794351685471</v>
      </c>
      <c r="M265" s="1474">
        <f t="shared" si="115"/>
        <v>0</v>
      </c>
      <c r="N265" s="1475">
        <f t="shared" ca="1" si="128"/>
        <v>1.6825466987361488</v>
      </c>
      <c r="P265" s="1476">
        <f t="shared" ca="1" si="106"/>
        <v>1.0686665626733163</v>
      </c>
      <c r="Q265" s="1474">
        <f t="shared" si="116"/>
        <v>0</v>
      </c>
      <c r="R265" s="1475">
        <f t="shared" ca="1" si="129"/>
        <v>4.4929477833336211</v>
      </c>
      <c r="T265" s="1476">
        <f t="shared" ca="1" si="107"/>
        <v>1.0265794351685471</v>
      </c>
      <c r="U265" s="1474">
        <f t="shared" si="117"/>
        <v>1.0049999999999999</v>
      </c>
      <c r="V265" s="1475">
        <f t="shared" ca="1" si="130"/>
        <v>1.6825466987361488</v>
      </c>
      <c r="X265" s="1476">
        <f t="shared" ca="1" si="108"/>
        <v>1.0240794351685472</v>
      </c>
      <c r="Y265" s="1474">
        <f t="shared" si="118"/>
        <v>1.02</v>
      </c>
      <c r="Z265" s="1475">
        <f t="shared" ca="1" si="131"/>
        <v>1.6153442667317042</v>
      </c>
      <c r="AB265" s="1476">
        <f t="shared" ca="1" si="109"/>
        <v>1.0240794351685472</v>
      </c>
      <c r="AC265" s="1474">
        <f t="shared" si="119"/>
        <v>1.02</v>
      </c>
      <c r="AD265" s="1475">
        <f t="shared" ca="1" si="132"/>
        <v>1.6153442667317042</v>
      </c>
      <c r="AF265" s="1476">
        <f t="shared" ca="1" si="110"/>
        <v>1.0686665626733163</v>
      </c>
      <c r="AG265" s="1474">
        <f t="shared" si="120"/>
        <v>0</v>
      </c>
      <c r="AH265" s="1475">
        <f t="shared" ca="1" si="133"/>
        <v>4.4929477833336211</v>
      </c>
      <c r="AJ265" s="1476">
        <f t="shared" ca="1" si="111"/>
        <v>1.0240794351685472</v>
      </c>
      <c r="AK265" s="1474">
        <f t="shared" si="121"/>
        <v>1.02</v>
      </c>
      <c r="AL265" s="1475">
        <f t="shared" ca="1" si="134"/>
        <v>1.6153442667317042</v>
      </c>
      <c r="AN265" s="1476">
        <f t="shared" ca="1" si="112"/>
        <v>1.0265794351685471</v>
      </c>
      <c r="AO265" s="1474">
        <f t="shared" si="122"/>
        <v>1.0049999999999999</v>
      </c>
      <c r="AP265" s="1475">
        <f t="shared" ca="1" si="135"/>
        <v>1.6825466987361488</v>
      </c>
      <c r="AR265" s="701">
        <f t="shared" si="123"/>
        <v>42887</v>
      </c>
      <c r="AS265" s="1478">
        <f ca="1">IF(AND($A265&gt;=EDATE(AS$17,12),IF(Assm!$L$74=0,$D265,$E265)/AS264&gt;=1.05),IF(Assm!$L$74=0,$D265,$E265),AS264)</f>
        <v>2.9151207788093942</v>
      </c>
      <c r="AT265" s="1478">
        <f t="shared" ca="1" si="124"/>
        <v>1.0508246270410797</v>
      </c>
      <c r="AU265" s="1478">
        <f t="shared" ca="1" si="125"/>
        <v>1.0686665626733163</v>
      </c>
      <c r="AV265" s="1478">
        <f t="shared" ca="1" si="126"/>
        <v>1.0686665626733163</v>
      </c>
      <c r="AW265" s="1475">
        <f t="shared" ca="1" si="127"/>
        <v>4.2104140439583855</v>
      </c>
    </row>
    <row r="266" spans="1:49">
      <c r="A266" s="883">
        <f t="shared" si="114"/>
        <v>42917</v>
      </c>
      <c r="B266" s="1390">
        <f ca="1">'[2]Monthly Curve Calc.'!B269</f>
        <v>638.56204476787821</v>
      </c>
      <c r="C266" s="1391">
        <f ca="1">'[2]Monthly Curve Calc.'!C269</f>
        <v>271.33913904991601</v>
      </c>
      <c r="D266" s="1512">
        <f ca="1">'[2]Monthly Curve Calc.'!F269</f>
        <v>3.0228282896216476</v>
      </c>
      <c r="E266" s="1304">
        <f t="shared" ca="1" si="113"/>
        <v>2.8678851011377477</v>
      </c>
      <c r="F266" s="1473">
        <f ca="1">IF(Assm!$L$75=0,F265,IF(AND($A266&gt;F$16,MONTH($A266)=MONTH(F$16)),B265/B253,F265))</f>
        <v>1.0686665626733163</v>
      </c>
      <c r="G266" s="1474">
        <f ca="1">IF(Assm!$L$75=0,G265,IF(AND($A266&gt;G$16,MONTH($A266)=MONTH(G$16)),C265/C253,G265))</f>
        <v>1.0265794351685471</v>
      </c>
      <c r="H266" s="1474">
        <f ca="1">IF(Assm!$L$75=0,H265,IF(AND($A266&gt;H$16,MONTH($A266)=MONTH(H$16)),C265/C253-H$18,H265))</f>
        <v>1.0240794351685472</v>
      </c>
      <c r="I266" s="1474">
        <f ca="1">IF(Assm!$L$75=0,I265,IF($A266&gt;=I$16,IF(MONTH($A266)=MONTH(I$16),AVERAGE(D254:D265),I265),I265))</f>
        <v>2.9612224191821213</v>
      </c>
      <c r="J266" s="1475">
        <f ca="1">IF(Assm!$L$75=0,J265,IF($A266&gt;=J$16,IF(MONTH($A266)=MONTH(J$16),AVERAGE(E254:E265),J265),J265))</f>
        <v>2.751438360318375</v>
      </c>
      <c r="K266" s="958">
        <f t="shared" si="104"/>
        <v>254</v>
      </c>
      <c r="L266" s="1476">
        <f t="shared" ca="1" si="105"/>
        <v>1.0265794351685471</v>
      </c>
      <c r="M266" s="1474">
        <f t="shared" si="115"/>
        <v>0</v>
      </c>
      <c r="N266" s="1475">
        <f t="shared" ca="1" si="128"/>
        <v>1.6825466987361488</v>
      </c>
      <c r="P266" s="1476">
        <f t="shared" ca="1" si="106"/>
        <v>1.0686665626733163</v>
      </c>
      <c r="Q266" s="1474">
        <f t="shared" si="116"/>
        <v>0</v>
      </c>
      <c r="R266" s="1475">
        <f t="shared" ca="1" si="129"/>
        <v>4.4929477833336211</v>
      </c>
      <c r="T266" s="1476">
        <f t="shared" ca="1" si="107"/>
        <v>1.0265794351685471</v>
      </c>
      <c r="U266" s="1474">
        <f t="shared" si="117"/>
        <v>1.0049999999999999</v>
      </c>
      <c r="V266" s="1475">
        <f t="shared" ca="1" si="130"/>
        <v>1.6825466987361488</v>
      </c>
      <c r="X266" s="1476">
        <f t="shared" ca="1" si="108"/>
        <v>1.0240794351685472</v>
      </c>
      <c r="Y266" s="1474">
        <f t="shared" si="118"/>
        <v>1.02</v>
      </c>
      <c r="Z266" s="1475">
        <f t="shared" ca="1" si="131"/>
        <v>1.6153442667317042</v>
      </c>
      <c r="AB266" s="1476">
        <f t="shared" ca="1" si="109"/>
        <v>1.0240794351685472</v>
      </c>
      <c r="AC266" s="1474">
        <f t="shared" si="119"/>
        <v>1.02</v>
      </c>
      <c r="AD266" s="1475">
        <f t="shared" ca="1" si="132"/>
        <v>1.6153442667317042</v>
      </c>
      <c r="AF266" s="1476">
        <f t="shared" ca="1" si="110"/>
        <v>1.0686665626733163</v>
      </c>
      <c r="AG266" s="1474">
        <f t="shared" si="120"/>
        <v>0</v>
      </c>
      <c r="AH266" s="1475">
        <f t="shared" ca="1" si="133"/>
        <v>4.4929477833336211</v>
      </c>
      <c r="AJ266" s="1476">
        <f t="shared" ca="1" si="111"/>
        <v>1.0240794351685472</v>
      </c>
      <c r="AK266" s="1474">
        <f t="shared" si="121"/>
        <v>1.02</v>
      </c>
      <c r="AL266" s="1475">
        <f t="shared" ca="1" si="134"/>
        <v>1.6153442667317042</v>
      </c>
      <c r="AN266" s="1476">
        <f t="shared" ca="1" si="112"/>
        <v>1.0265794351685471</v>
      </c>
      <c r="AO266" s="1474">
        <f t="shared" si="122"/>
        <v>1.0049999999999999</v>
      </c>
      <c r="AP266" s="1475">
        <f t="shared" ca="1" si="135"/>
        <v>1.6825466987361488</v>
      </c>
      <c r="AR266" s="701">
        <f t="shared" si="123"/>
        <v>42917</v>
      </c>
      <c r="AS266" s="1478">
        <f ca="1">IF(AND($A266&gt;=EDATE(AS$17,12),IF(Assm!$L$74=0,$D266,$E266)/AS265&gt;=1.05),IF(Assm!$L$74=0,$D266,$E266),AS265)</f>
        <v>2.9151207788093942</v>
      </c>
      <c r="AT266" s="1478">
        <f t="shared" ca="1" si="124"/>
        <v>1.0508246270410797</v>
      </c>
      <c r="AU266" s="1478">
        <f t="shared" ca="1" si="125"/>
        <v>1.0686665626733163</v>
      </c>
      <c r="AV266" s="1478">
        <f t="shared" ca="1" si="126"/>
        <v>1.0686665626733163</v>
      </c>
      <c r="AW266" s="1475">
        <f t="shared" ca="1" si="127"/>
        <v>4.2104140439583855</v>
      </c>
    </row>
    <row r="267" spans="1:49">
      <c r="A267" s="883">
        <f t="shared" si="114"/>
        <v>42948</v>
      </c>
      <c r="B267" s="1390">
        <f ca="1">'[2]Monthly Curve Calc.'!B270</f>
        <v>642.07245473293369</v>
      </c>
      <c r="C267" s="1391">
        <f ca="1">'[2]Monthly Curve Calc.'!C270</f>
        <v>271.94017792579945</v>
      </c>
      <c r="D267" s="1512">
        <f ca="1">'[2]Monthly Curve Calc.'!F270</f>
        <v>3.0278100979355456</v>
      </c>
      <c r="E267" s="1304">
        <f t="shared" ca="1" si="113"/>
        <v>2.8772775080796889</v>
      </c>
      <c r="F267" s="1473">
        <f ca="1">IF(Assm!$L$75=0,F266,IF(AND($A267&gt;F$16,MONTH($A267)=MONTH(F$16)),B266/B254,F266))</f>
        <v>1.0686665626733163</v>
      </c>
      <c r="G267" s="1474">
        <f ca="1">IF(Assm!$L$75=0,G266,IF(AND($A267&gt;G$16,MONTH($A267)=MONTH(G$16)),C266/C254,G266))</f>
        <v>1.0265794351685471</v>
      </c>
      <c r="H267" s="1474">
        <f ca="1">IF(Assm!$L$75=0,H266,IF(AND($A267&gt;H$16,MONTH($A267)=MONTH(H$16)),C266/C254-H$18,H266))</f>
        <v>1.0240794351685472</v>
      </c>
      <c r="I267" s="1474">
        <f ca="1">IF(Assm!$L$75=0,I266,IF($A267&gt;=I$16,IF(MONTH($A267)=MONTH(I$16),AVERAGE(D255:D266),I266),I266))</f>
        <v>2.9612224191821213</v>
      </c>
      <c r="J267" s="1475">
        <f ca="1">IF(Assm!$L$75=0,J266,IF($A267&gt;=J$16,IF(MONTH($A267)=MONTH(J$16),AVERAGE(E255:E266),J266),J266))</f>
        <v>2.751438360318375</v>
      </c>
      <c r="K267" s="958">
        <f t="shared" si="104"/>
        <v>255</v>
      </c>
      <c r="L267" s="1476">
        <f t="shared" ca="1" si="105"/>
        <v>1.0265794351685471</v>
      </c>
      <c r="M267" s="1474">
        <f t="shared" si="115"/>
        <v>0</v>
      </c>
      <c r="N267" s="1475">
        <f t="shared" ca="1" si="128"/>
        <v>1.6825466987361488</v>
      </c>
      <c r="P267" s="1476">
        <f t="shared" ca="1" si="106"/>
        <v>1.0686665626733163</v>
      </c>
      <c r="Q267" s="1474">
        <f t="shared" si="116"/>
        <v>0</v>
      </c>
      <c r="R267" s="1475">
        <f t="shared" ca="1" si="129"/>
        <v>4.4929477833336211</v>
      </c>
      <c r="T267" s="1476">
        <f t="shared" ca="1" si="107"/>
        <v>1.0265794351685471</v>
      </c>
      <c r="U267" s="1474">
        <f t="shared" si="117"/>
        <v>1.0049999999999999</v>
      </c>
      <c r="V267" s="1475">
        <f t="shared" ca="1" si="130"/>
        <v>1.6825466987361488</v>
      </c>
      <c r="X267" s="1476">
        <f t="shared" ca="1" si="108"/>
        <v>1.0240794351685472</v>
      </c>
      <c r="Y267" s="1474">
        <f t="shared" si="118"/>
        <v>1.02</v>
      </c>
      <c r="Z267" s="1475">
        <f t="shared" ca="1" si="131"/>
        <v>1.6153442667317042</v>
      </c>
      <c r="AB267" s="1476">
        <f t="shared" ca="1" si="109"/>
        <v>1.0240794351685472</v>
      </c>
      <c r="AC267" s="1474">
        <f t="shared" si="119"/>
        <v>1.02</v>
      </c>
      <c r="AD267" s="1475">
        <f t="shared" ca="1" si="132"/>
        <v>1.6153442667317042</v>
      </c>
      <c r="AF267" s="1476">
        <f t="shared" ca="1" si="110"/>
        <v>1.0686665626733163</v>
      </c>
      <c r="AG267" s="1474">
        <f t="shared" si="120"/>
        <v>0</v>
      </c>
      <c r="AH267" s="1475">
        <f t="shared" ca="1" si="133"/>
        <v>4.4929477833336211</v>
      </c>
      <c r="AJ267" s="1476">
        <f t="shared" ca="1" si="111"/>
        <v>1.0240794351685472</v>
      </c>
      <c r="AK267" s="1474">
        <f t="shared" si="121"/>
        <v>1.02</v>
      </c>
      <c r="AL267" s="1475">
        <f t="shared" ca="1" si="134"/>
        <v>1.6153442667317042</v>
      </c>
      <c r="AN267" s="1476">
        <f t="shared" ca="1" si="112"/>
        <v>1.0265794351685471</v>
      </c>
      <c r="AO267" s="1474">
        <f t="shared" si="122"/>
        <v>1.0049999999999999</v>
      </c>
      <c r="AP267" s="1475">
        <f t="shared" ca="1" si="135"/>
        <v>1.6825466987361488</v>
      </c>
      <c r="AR267" s="701">
        <f t="shared" si="123"/>
        <v>42948</v>
      </c>
      <c r="AS267" s="1478">
        <f ca="1">IF(AND($A267&gt;=EDATE(AS$17,12),IF(Assm!$L$74=0,$D267,$E267)/AS266&gt;=1.05),IF(Assm!$L$74=0,$D267,$E267),AS266)</f>
        <v>2.9151207788093942</v>
      </c>
      <c r="AT267" s="1478">
        <f t="shared" ca="1" si="124"/>
        <v>1.0508246270410797</v>
      </c>
      <c r="AU267" s="1478">
        <f t="shared" ca="1" si="125"/>
        <v>1.0686665626733163</v>
      </c>
      <c r="AV267" s="1478">
        <f t="shared" ca="1" si="126"/>
        <v>1.0686665626733163</v>
      </c>
      <c r="AW267" s="1475">
        <f t="shared" ca="1" si="127"/>
        <v>4.2104140439583855</v>
      </c>
    </row>
    <row r="268" spans="1:49">
      <c r="A268" s="883">
        <f t="shared" si="114"/>
        <v>42979</v>
      </c>
      <c r="B268" s="1390">
        <f ca="1">'[2]Monthly Curve Calc.'!B271</f>
        <v>645.60216271017725</v>
      </c>
      <c r="C268" s="1391">
        <f ca="1">'[2]Monthly Curve Calc.'!C271</f>
        <v>272.54254815303744</v>
      </c>
      <c r="D268" s="1512">
        <f ca="1">'[2]Monthly Curve Calc.'!F271</f>
        <v>3.0328001165782146</v>
      </c>
      <c r="E268" s="1304">
        <f t="shared" ca="1" si="113"/>
        <v>2.886700675426964</v>
      </c>
      <c r="F268" s="1473">
        <f ca="1">IF(Assm!$L$75=0,F267,IF(AND($A268&gt;F$16,MONTH($A268)=MONTH(F$16)),B267/B255,F267))</f>
        <v>1.0686665626733163</v>
      </c>
      <c r="G268" s="1474">
        <f ca="1">IF(Assm!$L$75=0,G267,IF(AND($A268&gt;G$16,MONTH($A268)=MONTH(G$16)),C267/C255,G267))</f>
        <v>1.0265794351685471</v>
      </c>
      <c r="H268" s="1474">
        <f ca="1">IF(Assm!$L$75=0,H267,IF(AND($A268&gt;H$16,MONTH($A268)=MONTH(H$16)),C267/C255-H$18,H267))</f>
        <v>1.0240794351685472</v>
      </c>
      <c r="I268" s="1474">
        <f ca="1">IF(Assm!$L$75=0,I267,IF($A268&gt;=I$16,IF(MONTH($A268)=MONTH(I$16),AVERAGE(D256:D267),I267),I267))</f>
        <v>2.9612224191821213</v>
      </c>
      <c r="J268" s="1475">
        <f ca="1">IF(Assm!$L$75=0,J267,IF($A268&gt;=J$16,IF(MONTH($A268)=MONTH(J$16),AVERAGE(E256:E267),J267),J267))</f>
        <v>2.751438360318375</v>
      </c>
      <c r="K268" s="958">
        <f t="shared" si="104"/>
        <v>256</v>
      </c>
      <c r="L268" s="1476">
        <f t="shared" ca="1" si="105"/>
        <v>1.0265794351685471</v>
      </c>
      <c r="M268" s="1474">
        <f t="shared" si="115"/>
        <v>0</v>
      </c>
      <c r="N268" s="1475">
        <f t="shared" ca="1" si="128"/>
        <v>1.6825466987361488</v>
      </c>
      <c r="P268" s="1476">
        <f t="shared" ca="1" si="106"/>
        <v>1.0686665626733163</v>
      </c>
      <c r="Q268" s="1474">
        <f t="shared" si="116"/>
        <v>0</v>
      </c>
      <c r="R268" s="1475">
        <f t="shared" ca="1" si="129"/>
        <v>4.4929477833336211</v>
      </c>
      <c r="T268" s="1476">
        <f t="shared" ca="1" si="107"/>
        <v>1.0265794351685471</v>
      </c>
      <c r="U268" s="1474">
        <f t="shared" si="117"/>
        <v>1.0049999999999999</v>
      </c>
      <c r="V268" s="1475">
        <f t="shared" ca="1" si="130"/>
        <v>1.6825466987361488</v>
      </c>
      <c r="X268" s="1476">
        <f t="shared" ca="1" si="108"/>
        <v>1.0240794351685472</v>
      </c>
      <c r="Y268" s="1474">
        <f t="shared" si="118"/>
        <v>1.02</v>
      </c>
      <c r="Z268" s="1475">
        <f t="shared" ca="1" si="131"/>
        <v>1.6153442667317042</v>
      </c>
      <c r="AB268" s="1476">
        <f t="shared" ca="1" si="109"/>
        <v>1.0240794351685472</v>
      </c>
      <c r="AC268" s="1474">
        <f t="shared" si="119"/>
        <v>1.02</v>
      </c>
      <c r="AD268" s="1475">
        <f t="shared" ca="1" si="132"/>
        <v>1.6153442667317042</v>
      </c>
      <c r="AF268" s="1476">
        <f t="shared" ca="1" si="110"/>
        <v>1.0686665626733163</v>
      </c>
      <c r="AG268" s="1474">
        <f t="shared" si="120"/>
        <v>0</v>
      </c>
      <c r="AH268" s="1475">
        <f t="shared" ca="1" si="133"/>
        <v>4.4929477833336211</v>
      </c>
      <c r="AJ268" s="1476">
        <f t="shared" ca="1" si="111"/>
        <v>1.0240794351685472</v>
      </c>
      <c r="AK268" s="1474">
        <f t="shared" si="121"/>
        <v>1.02</v>
      </c>
      <c r="AL268" s="1475">
        <f t="shared" ca="1" si="134"/>
        <v>1.6153442667317042</v>
      </c>
      <c r="AN268" s="1476">
        <f t="shared" ca="1" si="112"/>
        <v>1.0265794351685471</v>
      </c>
      <c r="AO268" s="1474">
        <f t="shared" si="122"/>
        <v>1.0049999999999999</v>
      </c>
      <c r="AP268" s="1475">
        <f t="shared" ca="1" si="135"/>
        <v>1.6825466987361488</v>
      </c>
      <c r="AR268" s="701">
        <f t="shared" si="123"/>
        <v>42979</v>
      </c>
      <c r="AS268" s="1478">
        <f ca="1">IF(AND($A268&gt;=EDATE(AS$17,12),IF(Assm!$L$74=0,$D268,$E268)/AS267&gt;=1.05),IF(Assm!$L$74=0,$D268,$E268),AS267)</f>
        <v>2.9151207788093942</v>
      </c>
      <c r="AT268" s="1478">
        <f t="shared" ca="1" si="124"/>
        <v>1.0508246270410797</v>
      </c>
      <c r="AU268" s="1478">
        <f t="shared" ca="1" si="125"/>
        <v>1.0686665626733163</v>
      </c>
      <c r="AV268" s="1478">
        <f t="shared" ca="1" si="126"/>
        <v>1.0686665626733163</v>
      </c>
      <c r="AW268" s="1475">
        <f t="shared" ca="1" si="127"/>
        <v>4.2104140439583855</v>
      </c>
    </row>
    <row r="269" spans="1:49">
      <c r="A269" s="883">
        <f t="shared" si="114"/>
        <v>43009</v>
      </c>
      <c r="B269" s="1390">
        <f ca="1">'[2]Monthly Curve Calc.'!B272</f>
        <v>649.15127478786576</v>
      </c>
      <c r="C269" s="1391">
        <f ca="1">'[2]Monthly Curve Calc.'!C272</f>
        <v>273.1462526806846</v>
      </c>
      <c r="D269" s="1512">
        <f ca="1">'[2]Monthly Curve Calc.'!F272</f>
        <v>3.0377983590807851</v>
      </c>
      <c r="E269" s="1304">
        <f t="shared" ca="1" si="113"/>
        <v>2.8961547039207938</v>
      </c>
      <c r="F269" s="1473">
        <f ca="1">IF(Assm!$L$75=0,F268,IF(AND($A269&gt;F$16,MONTH($A269)=MONTH(F$16)),B268/B256,F268))</f>
        <v>1.0686665626733163</v>
      </c>
      <c r="G269" s="1474">
        <f ca="1">IF(Assm!$L$75=0,G268,IF(AND($A269&gt;G$16,MONTH($A269)=MONTH(G$16)),C268/C256,G268))</f>
        <v>1.0265794351685471</v>
      </c>
      <c r="H269" s="1474">
        <f ca="1">IF(Assm!$L$75=0,H268,IF(AND($A269&gt;H$16,MONTH($A269)=MONTH(H$16)),C268/C256-H$18,H268))</f>
        <v>1.0240794351685472</v>
      </c>
      <c r="I269" s="1474">
        <f ca="1">IF(Assm!$L$75=0,I268,IF($A269&gt;=I$16,IF(MONTH($A269)=MONTH(I$16),AVERAGE(D257:D268),I268),I268))</f>
        <v>2.9612224191821213</v>
      </c>
      <c r="J269" s="1475">
        <f ca="1">IF(Assm!$L$75=0,J268,IF($A269&gt;=J$16,IF(MONTH($A269)=MONTH(J$16),AVERAGE(E257:E268),J268),J268))</f>
        <v>2.751438360318375</v>
      </c>
      <c r="K269" s="958">
        <f t="shared" ref="K269:K288" si="136">K268+1</f>
        <v>257</v>
      </c>
      <c r="L269" s="1476">
        <f t="shared" ca="1" si="105"/>
        <v>1.0265794351685471</v>
      </c>
      <c r="M269" s="1474">
        <f t="shared" si="115"/>
        <v>0</v>
      </c>
      <c r="N269" s="1475">
        <f t="shared" ca="1" si="128"/>
        <v>1.6825466987361488</v>
      </c>
      <c r="P269" s="1476">
        <f t="shared" ca="1" si="106"/>
        <v>1.0686665626733163</v>
      </c>
      <c r="Q269" s="1474">
        <f t="shared" si="116"/>
        <v>0</v>
      </c>
      <c r="R269" s="1475">
        <f t="shared" ca="1" si="129"/>
        <v>4.4929477833336211</v>
      </c>
      <c r="T269" s="1476">
        <f t="shared" ca="1" si="107"/>
        <v>1.0265794351685471</v>
      </c>
      <c r="U269" s="1474">
        <f t="shared" si="117"/>
        <v>1.0049999999999999</v>
      </c>
      <c r="V269" s="1475">
        <f t="shared" ca="1" si="130"/>
        <v>1.6825466987361488</v>
      </c>
      <c r="X269" s="1476">
        <f t="shared" ca="1" si="108"/>
        <v>1.0240794351685472</v>
      </c>
      <c r="Y269" s="1474">
        <f t="shared" si="118"/>
        <v>1.02</v>
      </c>
      <c r="Z269" s="1475">
        <f t="shared" ca="1" si="131"/>
        <v>1.6153442667317042</v>
      </c>
      <c r="AB269" s="1476">
        <f t="shared" ca="1" si="109"/>
        <v>1.0240794351685472</v>
      </c>
      <c r="AC269" s="1474">
        <f t="shared" si="119"/>
        <v>1.02</v>
      </c>
      <c r="AD269" s="1475">
        <f t="shared" ca="1" si="132"/>
        <v>1.6153442667317042</v>
      </c>
      <c r="AF269" s="1476">
        <f t="shared" ca="1" si="110"/>
        <v>1.0686665626733163</v>
      </c>
      <c r="AG269" s="1474">
        <f t="shared" si="120"/>
        <v>0</v>
      </c>
      <c r="AH269" s="1475">
        <f t="shared" ca="1" si="133"/>
        <v>4.4929477833336211</v>
      </c>
      <c r="AJ269" s="1476">
        <f t="shared" ca="1" si="111"/>
        <v>1.0240794351685472</v>
      </c>
      <c r="AK269" s="1474">
        <f t="shared" si="121"/>
        <v>1.02</v>
      </c>
      <c r="AL269" s="1475">
        <f t="shared" ca="1" si="134"/>
        <v>1.6153442667317042</v>
      </c>
      <c r="AN269" s="1476">
        <f t="shared" ca="1" si="112"/>
        <v>1.0265794351685471</v>
      </c>
      <c r="AO269" s="1474">
        <f t="shared" si="122"/>
        <v>1.0049999999999999</v>
      </c>
      <c r="AP269" s="1475">
        <f t="shared" ca="1" si="135"/>
        <v>1.6825466987361488</v>
      </c>
      <c r="AR269" s="701">
        <f t="shared" si="123"/>
        <v>43009</v>
      </c>
      <c r="AS269" s="1478">
        <f ca="1">IF(AND($A269&gt;=EDATE(AS$17,12),IF(Assm!$L$74=0,$D269,$E269)/AS268&gt;=1.05),IF(Assm!$L$74=0,$D269,$E269),AS268)</f>
        <v>2.9151207788093942</v>
      </c>
      <c r="AT269" s="1478">
        <f t="shared" ca="1" si="124"/>
        <v>1.0508246270410797</v>
      </c>
      <c r="AU269" s="1478">
        <f t="shared" ca="1" si="125"/>
        <v>1.0686665626733163</v>
      </c>
      <c r="AV269" s="1478">
        <f t="shared" ca="1" si="126"/>
        <v>1.0686665626733163</v>
      </c>
      <c r="AW269" s="1475">
        <f t="shared" ca="1" si="127"/>
        <v>4.2104140439583855</v>
      </c>
    </row>
    <row r="270" spans="1:49">
      <c r="A270" s="883">
        <f t="shared" si="114"/>
        <v>43040</v>
      </c>
      <c r="B270" s="1390">
        <f ca="1">'[2]Monthly Curve Calc.'!B273</f>
        <v>652.7198976374624</v>
      </c>
      <c r="C270" s="1391">
        <f ca="1">'[2]Monthly Curve Calc.'!C273</f>
        <v>273.75129446432777</v>
      </c>
      <c r="D270" s="1512">
        <f ca="1">'[2]Monthly Curve Calc.'!F273</f>
        <v>3.042804838996688</v>
      </c>
      <c r="E270" s="1304">
        <f t="shared" ca="1" si="113"/>
        <v>2.9056396946323284</v>
      </c>
      <c r="F270" s="1473">
        <f ca="1">IF(Assm!$L$75=0,F269,IF(AND($A270&gt;F$16,MONTH($A270)=MONTH(F$16)),B269/B257,F269))</f>
        <v>1.0686665626733163</v>
      </c>
      <c r="G270" s="1474">
        <f ca="1">IF(Assm!$L$75=0,G269,IF(AND($A270&gt;G$16,MONTH($A270)=MONTH(G$16)),C269/C257,G269))</f>
        <v>1.0265794351685471</v>
      </c>
      <c r="H270" s="1474">
        <f ca="1">IF(Assm!$L$75=0,H269,IF(AND($A270&gt;H$16,MONTH($A270)=MONTH(H$16)),C269/C257-H$18,H269))</f>
        <v>1.0240794351685472</v>
      </c>
      <c r="I270" s="1474">
        <f ca="1">IF(Assm!$L$75=0,I269,IF($A270&gt;=I$16,IF(MONTH($A270)=MONTH(I$16),AVERAGE(D258:D269),I269),I269))</f>
        <v>2.9612224191821213</v>
      </c>
      <c r="J270" s="1475">
        <f ca="1">IF(Assm!$L$75=0,J269,IF($A270&gt;=J$16,IF(MONTH($A270)=MONTH(J$16),AVERAGE(E258:E269),J269),J269))</f>
        <v>2.751438360318375</v>
      </c>
      <c r="K270" s="958">
        <f t="shared" si="136"/>
        <v>258</v>
      </c>
      <c r="L270" s="1476">
        <f t="shared" ca="1" si="105"/>
        <v>1.0265794351685471</v>
      </c>
      <c r="M270" s="1474">
        <f t="shared" si="115"/>
        <v>0</v>
      </c>
      <c r="N270" s="1475">
        <f t="shared" ca="1" si="128"/>
        <v>1.6825466987361488</v>
      </c>
      <c r="P270" s="1476">
        <f t="shared" ca="1" si="106"/>
        <v>1.0686665626733163</v>
      </c>
      <c r="Q270" s="1474">
        <f t="shared" si="116"/>
        <v>0</v>
      </c>
      <c r="R270" s="1475">
        <f t="shared" ca="1" si="129"/>
        <v>4.4929477833336211</v>
      </c>
      <c r="T270" s="1476">
        <f t="shared" ca="1" si="107"/>
        <v>1.0265794351685471</v>
      </c>
      <c r="U270" s="1474">
        <f t="shared" si="117"/>
        <v>1.0049999999999999</v>
      </c>
      <c r="V270" s="1475">
        <f t="shared" ca="1" si="130"/>
        <v>1.6825466987361488</v>
      </c>
      <c r="X270" s="1476">
        <f t="shared" ca="1" si="108"/>
        <v>1.0240794351685472</v>
      </c>
      <c r="Y270" s="1474">
        <f t="shared" si="118"/>
        <v>1.02</v>
      </c>
      <c r="Z270" s="1475">
        <f t="shared" ca="1" si="131"/>
        <v>1.6153442667317042</v>
      </c>
      <c r="AB270" s="1476">
        <f t="shared" ca="1" si="109"/>
        <v>1.0240794351685472</v>
      </c>
      <c r="AC270" s="1474">
        <f t="shared" si="119"/>
        <v>1.02</v>
      </c>
      <c r="AD270" s="1475">
        <f t="shared" ca="1" si="132"/>
        <v>1.6153442667317042</v>
      </c>
      <c r="AF270" s="1476">
        <f t="shared" ca="1" si="110"/>
        <v>1.0686665626733163</v>
      </c>
      <c r="AG270" s="1474">
        <f t="shared" si="120"/>
        <v>0</v>
      </c>
      <c r="AH270" s="1475">
        <f t="shared" ca="1" si="133"/>
        <v>4.4929477833336211</v>
      </c>
      <c r="AJ270" s="1476">
        <f t="shared" ca="1" si="111"/>
        <v>1.0240794351685472</v>
      </c>
      <c r="AK270" s="1474">
        <f t="shared" si="121"/>
        <v>1.02</v>
      </c>
      <c r="AL270" s="1475">
        <f t="shared" ca="1" si="134"/>
        <v>1.6153442667317042</v>
      </c>
      <c r="AN270" s="1476">
        <f t="shared" ca="1" si="112"/>
        <v>1.0265794351685471</v>
      </c>
      <c r="AO270" s="1474">
        <f t="shared" si="122"/>
        <v>1.0049999999999999</v>
      </c>
      <c r="AP270" s="1475">
        <f t="shared" ca="1" si="135"/>
        <v>1.6825466987361488</v>
      </c>
      <c r="AR270" s="701">
        <f t="shared" si="123"/>
        <v>43040</v>
      </c>
      <c r="AS270" s="1478">
        <f ca="1">IF(AND($A270&gt;=EDATE(AS$17,12),IF(Assm!$L$74=0,$D270,$E270)/AS269&gt;=1.05),IF(Assm!$L$74=0,$D270,$E270),AS269)</f>
        <v>2.9151207788093942</v>
      </c>
      <c r="AT270" s="1478">
        <f t="shared" ca="1" si="124"/>
        <v>1.0508246270410797</v>
      </c>
      <c r="AU270" s="1478">
        <f t="shared" ca="1" si="125"/>
        <v>1.0686665626733163</v>
      </c>
      <c r="AV270" s="1478">
        <f t="shared" ca="1" si="126"/>
        <v>1.0686665626733163</v>
      </c>
      <c r="AW270" s="1475">
        <f t="shared" ca="1" si="127"/>
        <v>4.2104140439583855</v>
      </c>
    </row>
    <row r="271" spans="1:49">
      <c r="A271" s="883">
        <f t="shared" si="114"/>
        <v>43070</v>
      </c>
      <c r="B271" s="1390">
        <f ca="1">'[2]Monthly Curve Calc.'!B274</f>
        <v>656.30813851684229</v>
      </c>
      <c r="C271" s="1391">
        <f ca="1">'[2]Monthly Curve Calc.'!C274</f>
        <v>274.35767646610088</v>
      </c>
      <c r="D271" s="1512">
        <f ca="1">'[2]Monthly Curve Calc.'!F274</f>
        <v>3.0478195699016921</v>
      </c>
      <c r="E271" s="1304">
        <f t="shared" ca="1" si="113"/>
        <v>2.9151557489637301</v>
      </c>
      <c r="F271" s="1473">
        <f ca="1">IF(Assm!$L$75=0,F270,IF(AND($A271&gt;F$16,MONTH($A271)=MONTH(F$16)),B270/B258,F270))</f>
        <v>1.0686665626733163</v>
      </c>
      <c r="G271" s="1474">
        <f ca="1">IF(Assm!$L$75=0,G270,IF(AND($A271&gt;G$16,MONTH($A271)=MONTH(G$16)),C270/C258,G270))</f>
        <v>1.0265794351685471</v>
      </c>
      <c r="H271" s="1474">
        <f ca="1">IF(Assm!$L$75=0,H270,IF(AND($A271&gt;H$16,MONTH($A271)=MONTH(H$16)),C270/C258-H$18,H270))</f>
        <v>1.0240794351685472</v>
      </c>
      <c r="I271" s="1474">
        <f ca="1">IF(Assm!$L$75=0,I270,IF($A271&gt;=I$16,IF(MONTH($A271)=MONTH(I$16),AVERAGE(D259:D270),I270),I270))</f>
        <v>2.9612224191821213</v>
      </c>
      <c r="J271" s="1475">
        <f ca="1">IF(Assm!$L$75=0,J270,IF($A271&gt;=J$16,IF(MONTH($A271)=MONTH(J$16),AVERAGE(E259:E270),J270),J270))</f>
        <v>2.751438360318375</v>
      </c>
      <c r="K271" s="958">
        <f t="shared" si="136"/>
        <v>259</v>
      </c>
      <c r="L271" s="1476">
        <f t="shared" ca="1" si="105"/>
        <v>1.0265794351685471</v>
      </c>
      <c r="M271" s="1474">
        <f t="shared" si="115"/>
        <v>0</v>
      </c>
      <c r="N271" s="1475">
        <f t="shared" ca="1" si="128"/>
        <v>1.6825466987361488</v>
      </c>
      <c r="P271" s="1476">
        <f t="shared" ca="1" si="106"/>
        <v>1.0686665626733163</v>
      </c>
      <c r="Q271" s="1474">
        <f t="shared" si="116"/>
        <v>0</v>
      </c>
      <c r="R271" s="1475">
        <f t="shared" ca="1" si="129"/>
        <v>4.4929477833336211</v>
      </c>
      <c r="T271" s="1476">
        <f t="shared" ca="1" si="107"/>
        <v>1.0265794351685471</v>
      </c>
      <c r="U271" s="1474">
        <f t="shared" si="117"/>
        <v>1.0049999999999999</v>
      </c>
      <c r="V271" s="1475">
        <f t="shared" ca="1" si="130"/>
        <v>1.6825466987361488</v>
      </c>
      <c r="X271" s="1476">
        <f t="shared" ca="1" si="108"/>
        <v>1.0240794351685472</v>
      </c>
      <c r="Y271" s="1474">
        <f t="shared" si="118"/>
        <v>1.02</v>
      </c>
      <c r="Z271" s="1475">
        <f t="shared" ca="1" si="131"/>
        <v>1.6153442667317042</v>
      </c>
      <c r="AB271" s="1476">
        <f t="shared" ca="1" si="109"/>
        <v>1.0240794351685472</v>
      </c>
      <c r="AC271" s="1474">
        <f t="shared" si="119"/>
        <v>1.02</v>
      </c>
      <c r="AD271" s="1475">
        <f t="shared" ca="1" si="132"/>
        <v>1.6153442667317042</v>
      </c>
      <c r="AF271" s="1476">
        <f t="shared" ca="1" si="110"/>
        <v>1.0686665626733163</v>
      </c>
      <c r="AG271" s="1474">
        <f t="shared" si="120"/>
        <v>0</v>
      </c>
      <c r="AH271" s="1475">
        <f t="shared" ca="1" si="133"/>
        <v>4.4929477833336211</v>
      </c>
      <c r="AJ271" s="1476">
        <f t="shared" ca="1" si="111"/>
        <v>1.0240794351685472</v>
      </c>
      <c r="AK271" s="1474">
        <f t="shared" si="121"/>
        <v>1.02</v>
      </c>
      <c r="AL271" s="1475">
        <f t="shared" ca="1" si="134"/>
        <v>1.6153442667317042</v>
      </c>
      <c r="AN271" s="1476">
        <f t="shared" ca="1" si="112"/>
        <v>1.0265794351685471</v>
      </c>
      <c r="AO271" s="1474">
        <f t="shared" si="122"/>
        <v>1.0049999999999999</v>
      </c>
      <c r="AP271" s="1475">
        <f t="shared" ca="1" si="135"/>
        <v>1.6825466987361488</v>
      </c>
      <c r="AR271" s="701">
        <f t="shared" si="123"/>
        <v>43070</v>
      </c>
      <c r="AS271" s="1478">
        <f ca="1">IF(AND($A271&gt;=EDATE(AS$17,12),IF(Assm!$L$74=0,$D271,$E271)/AS270&gt;=1.05),IF(Assm!$L$74=0,$D271,$E271),AS270)</f>
        <v>2.9151207788093942</v>
      </c>
      <c r="AT271" s="1478">
        <f t="shared" ca="1" si="124"/>
        <v>1.0508246270410797</v>
      </c>
      <c r="AU271" s="1478">
        <f t="shared" ca="1" si="125"/>
        <v>1.0686665626733163</v>
      </c>
      <c r="AV271" s="1478">
        <f t="shared" ca="1" si="126"/>
        <v>1.0686665626733163</v>
      </c>
      <c r="AW271" s="1475">
        <f t="shared" ca="1" si="127"/>
        <v>4.2104140439583855</v>
      </c>
    </row>
    <row r="272" spans="1:49">
      <c r="A272" s="883">
        <f t="shared" si="114"/>
        <v>43101</v>
      </c>
      <c r="B272" s="1390">
        <f ca="1">'[2]Monthly Curve Calc.'!B275</f>
        <v>659.91610527351668</v>
      </c>
      <c r="C272" s="1391">
        <f ca="1">'[2]Monthly Curve Calc.'!C275</f>
        <v>274.97311717065253</v>
      </c>
      <c r="D272" s="1512">
        <f ca="1">'[2]Monthly Curve Calc.'!F275</f>
        <v>3.0528509811596467</v>
      </c>
      <c r="E272" s="1304">
        <f t="shared" ca="1" si="113"/>
        <v>2.9246209039272704</v>
      </c>
      <c r="F272" s="1473">
        <f ca="1">IF(Assm!$L$75=0,F271,IF(AND($A272&gt;F$16,MONTH($A272)=MONTH(F$16)),B271/B259,F271))</f>
        <v>1.0686665626733163</v>
      </c>
      <c r="G272" s="1474">
        <f ca="1">IF(Assm!$L$75=0,G271,IF(AND($A272&gt;G$16,MONTH($A272)=MONTH(G$16)),C271/C259,G271))</f>
        <v>1.0265794351685471</v>
      </c>
      <c r="H272" s="1474">
        <f ca="1">IF(Assm!$L$75=0,H271,IF(AND($A272&gt;H$16,MONTH($A272)=MONTH(H$16)),C271/C259-H$18,H271))</f>
        <v>1.0240794351685472</v>
      </c>
      <c r="I272" s="1474">
        <f ca="1">IF(Assm!$L$75=0,I271,IF($A272&gt;=I$16,IF(MONTH($A272)=MONTH(I$16),AVERAGE(D260:D271),I271),I271))</f>
        <v>3.0203892595286703</v>
      </c>
      <c r="J272" s="1475">
        <f ca="1">IF(Assm!$L$75=0,J271,IF($A272&gt;=J$16,IF(MONTH($A272)=MONTH(J$16),AVERAGE(E260:E271),J271),J271))</f>
        <v>2.863382788763166</v>
      </c>
      <c r="K272" s="958">
        <f t="shared" si="136"/>
        <v>260</v>
      </c>
      <c r="L272" s="1476">
        <f t="shared" ca="1" si="105"/>
        <v>1.0265794351685471</v>
      </c>
      <c r="M272" s="1474">
        <f t="shared" si="115"/>
        <v>0</v>
      </c>
      <c r="N272" s="1475">
        <f t="shared" ca="1" si="128"/>
        <v>1.6825466987361488</v>
      </c>
      <c r="P272" s="1476">
        <f t="shared" ca="1" si="106"/>
        <v>1.0686665626733163</v>
      </c>
      <c r="Q272" s="1474">
        <f t="shared" si="116"/>
        <v>0</v>
      </c>
      <c r="R272" s="1475">
        <f t="shared" ca="1" si="129"/>
        <v>4.4929477833336211</v>
      </c>
      <c r="T272" s="1476">
        <f t="shared" ca="1" si="107"/>
        <v>1.0265794351685471</v>
      </c>
      <c r="U272" s="1474">
        <f t="shared" si="117"/>
        <v>1.0049999999999999</v>
      </c>
      <c r="V272" s="1475">
        <f t="shared" ca="1" si="130"/>
        <v>1.6825466987361488</v>
      </c>
      <c r="X272" s="1476">
        <f t="shared" ca="1" si="108"/>
        <v>1.0240794351685472</v>
      </c>
      <c r="Y272" s="1474">
        <f t="shared" si="118"/>
        <v>1.02</v>
      </c>
      <c r="Z272" s="1475">
        <f t="shared" ca="1" si="131"/>
        <v>1.6153442667317042</v>
      </c>
      <c r="AB272" s="1476">
        <f t="shared" ca="1" si="109"/>
        <v>1.0240794351685472</v>
      </c>
      <c r="AC272" s="1474">
        <f t="shared" si="119"/>
        <v>1.02</v>
      </c>
      <c r="AD272" s="1475">
        <f t="shared" ca="1" si="132"/>
        <v>1.6153442667317042</v>
      </c>
      <c r="AF272" s="1476">
        <f t="shared" ca="1" si="110"/>
        <v>1.0686665626733163</v>
      </c>
      <c r="AG272" s="1474">
        <f t="shared" si="120"/>
        <v>0</v>
      </c>
      <c r="AH272" s="1475">
        <f t="shared" ca="1" si="133"/>
        <v>4.4929477833336211</v>
      </c>
      <c r="AJ272" s="1476">
        <f t="shared" ca="1" si="111"/>
        <v>1.0240794351685472</v>
      </c>
      <c r="AK272" s="1474">
        <f t="shared" si="121"/>
        <v>1.02</v>
      </c>
      <c r="AL272" s="1475">
        <f t="shared" ca="1" si="134"/>
        <v>1.6153442667317042</v>
      </c>
      <c r="AN272" s="1476">
        <f t="shared" ca="1" si="112"/>
        <v>1.0265794351685471</v>
      </c>
      <c r="AO272" s="1474">
        <f t="shared" si="122"/>
        <v>1.0049999999999999</v>
      </c>
      <c r="AP272" s="1475">
        <f t="shared" ca="1" si="135"/>
        <v>1.6825466987361488</v>
      </c>
      <c r="AR272" s="701">
        <f t="shared" si="123"/>
        <v>43101</v>
      </c>
      <c r="AS272" s="1478">
        <f ca="1">IF(AND($A272&gt;=EDATE(AS$17,12),IF(Assm!$L$74=0,$D272,$E272)/AS271&gt;=1.05),IF(Assm!$L$74=0,$D272,$E272),AS271)</f>
        <v>2.9151207788093942</v>
      </c>
      <c r="AT272" s="1478">
        <f t="shared" ca="1" si="124"/>
        <v>1.0508246270410797</v>
      </c>
      <c r="AU272" s="1478">
        <f t="shared" ca="1" si="125"/>
        <v>1.0686665626733163</v>
      </c>
      <c r="AV272" s="1478">
        <f t="shared" ca="1" si="126"/>
        <v>1.0686665626733163</v>
      </c>
      <c r="AW272" s="1475">
        <f t="shared" ca="1" si="127"/>
        <v>4.2104140439583855</v>
      </c>
    </row>
    <row r="273" spans="1:49">
      <c r="A273" s="883">
        <f t="shared" si="114"/>
        <v>43132</v>
      </c>
      <c r="B273" s="1390">
        <f ca="1">'[2]Monthly Curve Calc.'!B276</f>
        <v>663.54390634787399</v>
      </c>
      <c r="C273" s="1391">
        <f ca="1">'[2]Monthly Curve Calc.'!C276</f>
        <v>275.58993843530254</v>
      </c>
      <c r="D273" s="1512">
        <f ca="1">'[2]Monthly Curve Calc.'!F276</f>
        <v>3.057890698388039</v>
      </c>
      <c r="E273" s="1304">
        <f t="shared" ca="1" si="113"/>
        <v>2.9341167910938895</v>
      </c>
      <c r="F273" s="1473">
        <f ca="1">IF(Assm!$L$75=0,F272,IF(AND($A273&gt;F$16,MONTH($A273)=MONTH(F$16)),B272/B260,F272))</f>
        <v>1.0686665626733163</v>
      </c>
      <c r="G273" s="1474">
        <f ca="1">IF(Assm!$L$75=0,G272,IF(AND($A273&gt;G$16,MONTH($A273)=MONTH(G$16)),C272/C260,G272))</f>
        <v>1.0265794351685471</v>
      </c>
      <c r="H273" s="1474">
        <f ca="1">IF(Assm!$L$75=0,H272,IF(AND($A273&gt;H$16,MONTH($A273)=MONTH(H$16)),C272/C260-H$18,H272))</f>
        <v>1.0240794351685472</v>
      </c>
      <c r="I273" s="1474">
        <f ca="1">IF(Assm!$L$75=0,I272,IF($A273&gt;=I$16,IF(MONTH($A273)=MONTH(I$16),AVERAGE(D261:D272),I272),I272))</f>
        <v>3.0203892595286703</v>
      </c>
      <c r="J273" s="1475">
        <f ca="1">IF(Assm!$L$75=0,J272,IF($A273&gt;=J$16,IF(MONTH($A273)=MONTH(J$16),AVERAGE(E261:E272),J272),J272))</f>
        <v>2.863382788763166</v>
      </c>
      <c r="K273" s="958">
        <f t="shared" si="136"/>
        <v>261</v>
      </c>
      <c r="L273" s="1476">
        <f t="shared" ref="L273:L288" ca="1" si="137">HLOOKUP(L$14,Dec_Change,$K273)</f>
        <v>1.0265794351685471</v>
      </c>
      <c r="M273" s="1474">
        <f t="shared" si="115"/>
        <v>0</v>
      </c>
      <c r="N273" s="1475">
        <f t="shared" ca="1" si="128"/>
        <v>1.6825466987361488</v>
      </c>
      <c r="P273" s="1476">
        <f t="shared" ref="P273:P288" ca="1" si="138">HLOOKUP(P$14,Dec_Change,$K273)</f>
        <v>1.0686665626733163</v>
      </c>
      <c r="Q273" s="1474">
        <f t="shared" si="116"/>
        <v>0</v>
      </c>
      <c r="R273" s="1475">
        <f t="shared" ca="1" si="129"/>
        <v>4.4929477833336211</v>
      </c>
      <c r="T273" s="1476">
        <f t="shared" ref="T273:T288" ca="1" si="139">HLOOKUP(T$14,Dec_Change,$K273)</f>
        <v>1.0265794351685471</v>
      </c>
      <c r="U273" s="1474">
        <f t="shared" si="117"/>
        <v>1.0049999999999999</v>
      </c>
      <c r="V273" s="1475">
        <f t="shared" ca="1" si="130"/>
        <v>1.6825466987361488</v>
      </c>
      <c r="X273" s="1476">
        <f t="shared" ref="X273:X288" ca="1" si="140">HLOOKUP(X$14,Dec_Change,$K273)</f>
        <v>1.0240794351685472</v>
      </c>
      <c r="Y273" s="1474">
        <f t="shared" si="118"/>
        <v>1.02</v>
      </c>
      <c r="Z273" s="1475">
        <f t="shared" ca="1" si="131"/>
        <v>1.6153442667317042</v>
      </c>
      <c r="AB273" s="1476">
        <f t="shared" ref="AB273:AB288" ca="1" si="141">HLOOKUP(AB$14,Dec_Change,$K273)</f>
        <v>1.0240794351685472</v>
      </c>
      <c r="AC273" s="1474">
        <f t="shared" si="119"/>
        <v>1.02</v>
      </c>
      <c r="AD273" s="1475">
        <f t="shared" ca="1" si="132"/>
        <v>1.6153442667317042</v>
      </c>
      <c r="AF273" s="1476">
        <f t="shared" ref="AF273:AF288" ca="1" si="142">HLOOKUP(AF$14,Dec_Change,$K273)</f>
        <v>1.0686665626733163</v>
      </c>
      <c r="AG273" s="1474">
        <f t="shared" si="120"/>
        <v>0</v>
      </c>
      <c r="AH273" s="1475">
        <f t="shared" ca="1" si="133"/>
        <v>4.4929477833336211</v>
      </c>
      <c r="AJ273" s="1476">
        <f t="shared" ref="AJ273:AJ288" ca="1" si="143">HLOOKUP(AJ$14,Dec_Change,$K273)</f>
        <v>1.0240794351685472</v>
      </c>
      <c r="AK273" s="1474">
        <f t="shared" si="121"/>
        <v>1.02</v>
      </c>
      <c r="AL273" s="1475">
        <f t="shared" ca="1" si="134"/>
        <v>1.6153442667317042</v>
      </c>
      <c r="AN273" s="1476">
        <f t="shared" ref="AN273:AN288" ca="1" si="144">HLOOKUP(AN$14,Dec_Change,$K273)</f>
        <v>1.0265794351685471</v>
      </c>
      <c r="AO273" s="1474">
        <f t="shared" si="122"/>
        <v>1.0049999999999999</v>
      </c>
      <c r="AP273" s="1475">
        <f t="shared" ca="1" si="135"/>
        <v>1.6825466987361488</v>
      </c>
      <c r="AR273" s="701">
        <f t="shared" si="123"/>
        <v>43132</v>
      </c>
      <c r="AS273" s="1478">
        <f ca="1">IF(AND($A273&gt;=EDATE(AS$17,12),IF(Assm!$L$74=0,$D273,$E273)/AS272&gt;=1.05),IF(Assm!$L$74=0,$D273,$E273),AS272)</f>
        <v>2.9151207788093942</v>
      </c>
      <c r="AT273" s="1478">
        <f t="shared" ca="1" si="124"/>
        <v>1.0508246270410797</v>
      </c>
      <c r="AU273" s="1478">
        <f t="shared" ca="1" si="125"/>
        <v>1.0686665626733163</v>
      </c>
      <c r="AV273" s="1478">
        <f t="shared" ca="1" si="126"/>
        <v>1.0686665626733163</v>
      </c>
      <c r="AW273" s="1475">
        <f t="shared" ca="1" si="127"/>
        <v>4.2104140439583855</v>
      </c>
    </row>
    <row r="274" spans="1:49">
      <c r="A274" s="883">
        <f t="shared" si="114"/>
        <v>43160</v>
      </c>
      <c r="B274" s="1390">
        <f ca="1">'[2]Monthly Curve Calc.'!B277</f>
        <v>667.19165077643947</v>
      </c>
      <c r="C274" s="1391">
        <f ca="1">'[2]Monthly Curve Calc.'!C277</f>
        <v>276.20814335693126</v>
      </c>
      <c r="D274" s="1512">
        <f ca="1">'[2]Monthly Curve Calc.'!F277</f>
        <v>3.0629387352985575</v>
      </c>
      <c r="E274" s="1304">
        <f t="shared" ca="1" si="113"/>
        <v>2.9436435102473006</v>
      </c>
      <c r="F274" s="1473">
        <f ca="1">IF(Assm!$L$75=0,F273,IF(AND($A274&gt;F$16,MONTH($A274)=MONTH(F$16)),B273/B261,F273))</f>
        <v>1.0686665626733163</v>
      </c>
      <c r="G274" s="1474">
        <f ca="1">IF(Assm!$L$75=0,G273,IF(AND($A274&gt;G$16,MONTH($A274)=MONTH(G$16)),C273/C261,G273))</f>
        <v>1.0265794351685471</v>
      </c>
      <c r="H274" s="1474">
        <f ca="1">IF(Assm!$L$75=0,H273,IF(AND($A274&gt;H$16,MONTH($A274)=MONTH(H$16)),C273/C261-H$18,H273))</f>
        <v>1.0240794351685472</v>
      </c>
      <c r="I274" s="1474">
        <f ca="1">IF(Assm!$L$75=0,I273,IF($A274&gt;=I$16,IF(MONTH($A274)=MONTH(I$16),AVERAGE(D262:D273),I273),I273))</f>
        <v>3.0203892595286703</v>
      </c>
      <c r="J274" s="1475">
        <f ca="1">IF(Assm!$L$75=0,J273,IF($A274&gt;=J$16,IF(MONTH($A274)=MONTH(J$16),AVERAGE(E262:E273),J273),J273))</f>
        <v>2.863382788763166</v>
      </c>
      <c r="K274" s="958">
        <f t="shared" si="136"/>
        <v>262</v>
      </c>
      <c r="L274" s="1476">
        <f t="shared" ca="1" si="137"/>
        <v>1.0265794351685471</v>
      </c>
      <c r="M274" s="1474">
        <f t="shared" si="115"/>
        <v>0</v>
      </c>
      <c r="N274" s="1475">
        <f t="shared" ca="1" si="128"/>
        <v>1.6825466987361488</v>
      </c>
      <c r="P274" s="1476">
        <f t="shared" ca="1" si="138"/>
        <v>1.0686665626733163</v>
      </c>
      <c r="Q274" s="1474">
        <f t="shared" si="116"/>
        <v>0</v>
      </c>
      <c r="R274" s="1475">
        <f t="shared" ca="1" si="129"/>
        <v>4.4929477833336211</v>
      </c>
      <c r="T274" s="1476">
        <f t="shared" ca="1" si="139"/>
        <v>1.0265794351685471</v>
      </c>
      <c r="U274" s="1474">
        <f t="shared" si="117"/>
        <v>1.0049999999999999</v>
      </c>
      <c r="V274" s="1475">
        <f t="shared" ca="1" si="130"/>
        <v>1.6825466987361488</v>
      </c>
      <c r="X274" s="1476">
        <f t="shared" ca="1" si="140"/>
        <v>1.0240794351685472</v>
      </c>
      <c r="Y274" s="1474">
        <f t="shared" si="118"/>
        <v>1.02</v>
      </c>
      <c r="Z274" s="1475">
        <f t="shared" ca="1" si="131"/>
        <v>1.6153442667317042</v>
      </c>
      <c r="AB274" s="1476">
        <f t="shared" ca="1" si="141"/>
        <v>1.0240794351685472</v>
      </c>
      <c r="AC274" s="1474">
        <f t="shared" si="119"/>
        <v>1.02</v>
      </c>
      <c r="AD274" s="1475">
        <f t="shared" ca="1" si="132"/>
        <v>1.6153442667317042</v>
      </c>
      <c r="AF274" s="1476">
        <f t="shared" ca="1" si="142"/>
        <v>1.0686665626733163</v>
      </c>
      <c r="AG274" s="1474">
        <f t="shared" si="120"/>
        <v>0</v>
      </c>
      <c r="AH274" s="1475">
        <f t="shared" ca="1" si="133"/>
        <v>4.4929477833336211</v>
      </c>
      <c r="AJ274" s="1476">
        <f t="shared" ca="1" si="143"/>
        <v>1.0240794351685472</v>
      </c>
      <c r="AK274" s="1474">
        <f t="shared" si="121"/>
        <v>1.02</v>
      </c>
      <c r="AL274" s="1475">
        <f t="shared" ca="1" si="134"/>
        <v>1.6153442667317042</v>
      </c>
      <c r="AN274" s="1476">
        <f t="shared" ca="1" si="144"/>
        <v>1.0265794351685471</v>
      </c>
      <c r="AO274" s="1474">
        <f t="shared" si="122"/>
        <v>1.0049999999999999</v>
      </c>
      <c r="AP274" s="1475">
        <f t="shared" ca="1" si="135"/>
        <v>1.6825466987361488</v>
      </c>
      <c r="AR274" s="701">
        <f t="shared" si="123"/>
        <v>43160</v>
      </c>
      <c r="AS274" s="1478">
        <f ca="1">IF(AND($A274&gt;=EDATE(AS$17,12),IF(Assm!$L$74=0,$D274,$E274)/AS273&gt;=1.05),IF(Assm!$L$74=0,$D274,$E274),AS273)</f>
        <v>3.0629387352985575</v>
      </c>
      <c r="AT274" s="1478">
        <f t="shared" ref="AT274:AT288" ca="1" si="145">IF(AS274/AS273=1,AT273,AS274/AS273)</f>
        <v>1.0507073180513418</v>
      </c>
      <c r="AU274" s="1478">
        <f t="shared" ca="1" si="125"/>
        <v>1.0686665626733163</v>
      </c>
      <c r="AV274" s="1478">
        <f t="shared" ca="1" si="126"/>
        <v>1.0686665626733163</v>
      </c>
      <c r="AW274" s="1475">
        <f t="shared" ca="1" si="127"/>
        <v>4.2104140439583855</v>
      </c>
    </row>
    <row r="275" spans="1:49">
      <c r="A275" s="883">
        <f t="shared" si="114"/>
        <v>43191</v>
      </c>
      <c r="B275" s="1390">
        <f ca="1">'[2]Monthly Curve Calc.'!B278</f>
        <v>670.85944819515203</v>
      </c>
      <c r="C275" s="1391">
        <f ca="1">'[2]Monthly Curve Calc.'!C278</f>
        <v>276.8277350393659</v>
      </c>
      <c r="D275" s="1512">
        <f ca="1">'[2]Monthly Curve Calc.'!F278</f>
        <v>3.0679951056255268</v>
      </c>
      <c r="E275" s="1304">
        <f t="shared" ref="E275:E288" ca="1" si="146">IF($A275&lt;=E$16,D275,(B275/B274)/(C275/C274)*E274)</f>
        <v>2.9532011614952021</v>
      </c>
      <c r="F275" s="1473">
        <f ca="1">IF(Assm!$L$75=0,F274,IF(AND($A275&gt;F$16,MONTH($A275)=MONTH(F$16)),B274/B262,F274))</f>
        <v>1.0686665626733163</v>
      </c>
      <c r="G275" s="1474">
        <f ca="1">IF(Assm!$L$75=0,G274,IF(AND($A275&gt;G$16,MONTH($A275)=MONTH(G$16)),C274/C262,G274))</f>
        <v>1.0265794351685471</v>
      </c>
      <c r="H275" s="1474">
        <f ca="1">IF(Assm!$L$75=0,H274,IF(AND($A275&gt;H$16,MONTH($A275)=MONTH(H$16)),C274/C262-H$18,H274))</f>
        <v>1.0240794351685472</v>
      </c>
      <c r="I275" s="1474">
        <f ca="1">IF(Assm!$L$75=0,I274,IF($A275&gt;=I$16,IF(MONTH($A275)=MONTH(I$16),AVERAGE(D263:D274),I274),I274))</f>
        <v>3.0203892595286703</v>
      </c>
      <c r="J275" s="1475">
        <f ca="1">IF(Assm!$L$75=0,J274,IF($A275&gt;=J$16,IF(MONTH($A275)=MONTH(J$16),AVERAGE(E263:E274),J274),J274))</f>
        <v>2.863382788763166</v>
      </c>
      <c r="K275" s="958">
        <f t="shared" si="136"/>
        <v>263</v>
      </c>
      <c r="L275" s="1476">
        <f t="shared" ca="1" si="137"/>
        <v>1.0265794351685471</v>
      </c>
      <c r="M275" s="1474">
        <f t="shared" si="115"/>
        <v>0</v>
      </c>
      <c r="N275" s="1475">
        <f t="shared" ca="1" si="128"/>
        <v>1.6825466987361488</v>
      </c>
      <c r="P275" s="1476">
        <f t="shared" ca="1" si="138"/>
        <v>1.0686665626733163</v>
      </c>
      <c r="Q275" s="1474">
        <f t="shared" si="116"/>
        <v>0</v>
      </c>
      <c r="R275" s="1475">
        <f t="shared" ca="1" si="129"/>
        <v>4.4929477833336211</v>
      </c>
      <c r="T275" s="1476">
        <f t="shared" ca="1" si="139"/>
        <v>1.0265794351685471</v>
      </c>
      <c r="U275" s="1474">
        <f t="shared" si="117"/>
        <v>1.0049999999999999</v>
      </c>
      <c r="V275" s="1475">
        <f t="shared" ca="1" si="130"/>
        <v>1.6825466987361488</v>
      </c>
      <c r="X275" s="1476">
        <f t="shared" ca="1" si="140"/>
        <v>1.0240794351685472</v>
      </c>
      <c r="Y275" s="1474">
        <f t="shared" si="118"/>
        <v>1.02</v>
      </c>
      <c r="Z275" s="1475">
        <f t="shared" ca="1" si="131"/>
        <v>1.6153442667317042</v>
      </c>
      <c r="AB275" s="1476">
        <f t="shared" ca="1" si="141"/>
        <v>1.0240794351685472</v>
      </c>
      <c r="AC275" s="1474">
        <f t="shared" si="119"/>
        <v>1.02</v>
      </c>
      <c r="AD275" s="1475">
        <f t="shared" ca="1" si="132"/>
        <v>1.6153442667317042</v>
      </c>
      <c r="AF275" s="1476">
        <f t="shared" ca="1" si="142"/>
        <v>1.0686665626733163</v>
      </c>
      <c r="AG275" s="1474">
        <f t="shared" si="120"/>
        <v>0</v>
      </c>
      <c r="AH275" s="1475">
        <f t="shared" ca="1" si="133"/>
        <v>4.4929477833336211</v>
      </c>
      <c r="AJ275" s="1476">
        <f t="shared" ca="1" si="143"/>
        <v>1.0240794351685472</v>
      </c>
      <c r="AK275" s="1474">
        <f t="shared" si="121"/>
        <v>1.02</v>
      </c>
      <c r="AL275" s="1475">
        <f t="shared" ca="1" si="134"/>
        <v>1.6153442667317042</v>
      </c>
      <c r="AN275" s="1476">
        <f t="shared" ca="1" si="144"/>
        <v>1.0265794351685471</v>
      </c>
      <c r="AO275" s="1474">
        <f t="shared" si="122"/>
        <v>1.0049999999999999</v>
      </c>
      <c r="AP275" s="1475">
        <f t="shared" ca="1" si="135"/>
        <v>1.6825466987361488</v>
      </c>
      <c r="AR275" s="701">
        <f t="shared" si="123"/>
        <v>43191</v>
      </c>
      <c r="AS275" s="1478">
        <f ca="1">IF(AND($A275&gt;=EDATE(AS$17,12),IF(Assm!$L$74=0,$D275,$E275)/AS274&gt;=1.05),IF(Assm!$L$74=0,$D275,$E275),AS274)</f>
        <v>3.0629387352985575</v>
      </c>
      <c r="AT275" s="1478">
        <f t="shared" ca="1" si="145"/>
        <v>1.0507073180513418</v>
      </c>
      <c r="AU275" s="1478">
        <f t="shared" ca="1" si="125"/>
        <v>1.0686665626733163</v>
      </c>
      <c r="AV275" s="1478">
        <f t="shared" ca="1" si="126"/>
        <v>1.0686665626733163</v>
      </c>
      <c r="AW275" s="1475">
        <f t="shared" ca="1" si="127"/>
        <v>4.2104140439583855</v>
      </c>
    </row>
    <row r="276" spans="1:49">
      <c r="A276" s="883">
        <f t="shared" ref="A276:A288" si="147">EDATE(A275,1)</f>
        <v>43221</v>
      </c>
      <c r="B276" s="1390">
        <f ca="1">'[2]Monthly Curve Calc.'!B279</f>
        <v>674.54740884265959</v>
      </c>
      <c r="C276" s="1391">
        <f ca="1">'[2]Monthly Curve Calc.'!C279</f>
        <v>277.44871659339623</v>
      </c>
      <c r="D276" s="1512">
        <f ca="1">'[2]Monthly Curve Calc.'!F279</f>
        <v>3.0730598231259436</v>
      </c>
      <c r="E276" s="1304">
        <f t="shared" ca="1" si="146"/>
        <v>2.9627898452703301</v>
      </c>
      <c r="F276" s="1473">
        <f ca="1">IF(Assm!$L$75=0,F275,IF(AND($A276&gt;F$16,MONTH($A276)=MONTH(F$16)),B275/B263,F275))</f>
        <v>1.0680000000000009</v>
      </c>
      <c r="G276" s="1474">
        <f ca="1">IF(Assm!$L$75=0,G275,IF(AND($A276&gt;G$16,MONTH($A276)=MONTH(G$16)),C275/C263,G275))</f>
        <v>1.0270225062013858</v>
      </c>
      <c r="H276" s="1474">
        <f ca="1">IF(Assm!$L$75=0,H275,IF(AND($A276&gt;H$16,MONTH($A276)=MONTH(H$16)),C275/C263-H$18,H275))</f>
        <v>1.0245225062013859</v>
      </c>
      <c r="I276" s="1474">
        <f ca="1">IF(Assm!$L$75=0,I275,IF($A276&gt;=I$16,IF(MONTH($A276)=MONTH(I$16),AVERAGE(D264:D275),I275),I275))</f>
        <v>3.0203892595286703</v>
      </c>
      <c r="J276" s="1475">
        <f ca="1">IF(Assm!$L$75=0,J275,IF($A276&gt;=J$16,IF(MONTH($A276)=MONTH(J$16),AVERAGE(E264:E275),J275),J275))</f>
        <v>2.863382788763166</v>
      </c>
      <c r="K276" s="958">
        <f t="shared" si="136"/>
        <v>264</v>
      </c>
      <c r="L276" s="1476">
        <f t="shared" ca="1" si="137"/>
        <v>1.0270225062013858</v>
      </c>
      <c r="M276" s="1474">
        <f t="shared" ref="M276:M288" si="148">M275</f>
        <v>0</v>
      </c>
      <c r="N276" s="1475">
        <f t="shared" ca="1" si="128"/>
        <v>1.7280133273368676</v>
      </c>
      <c r="P276" s="1476">
        <f t="shared" ca="1" si="138"/>
        <v>1.0680000000000009</v>
      </c>
      <c r="Q276" s="1474">
        <f t="shared" ref="Q276:Q288" si="149">Q275</f>
        <v>0</v>
      </c>
      <c r="R276" s="1475">
        <f t="shared" ca="1" si="129"/>
        <v>4.7984682326003112</v>
      </c>
      <c r="T276" s="1476">
        <f t="shared" ca="1" si="139"/>
        <v>1.0270225062013858</v>
      </c>
      <c r="U276" s="1474">
        <f t="shared" ref="U276:U288" si="150">U275</f>
        <v>1.0049999999999999</v>
      </c>
      <c r="V276" s="1475">
        <f t="shared" ca="1" si="130"/>
        <v>1.7280133273368676</v>
      </c>
      <c r="X276" s="1476">
        <f t="shared" ca="1" si="140"/>
        <v>1.0245225062013859</v>
      </c>
      <c r="Y276" s="1474">
        <f t="shared" ref="Y276:Y288" si="151">Y275</f>
        <v>1.02</v>
      </c>
      <c r="Z276" s="1475">
        <f t="shared" ca="1" si="131"/>
        <v>1.6549565565300055</v>
      </c>
      <c r="AB276" s="1476">
        <f t="shared" ca="1" si="141"/>
        <v>1.0245225062013859</v>
      </c>
      <c r="AC276" s="1474">
        <f t="shared" ref="AC276:AC288" si="152">AC275</f>
        <v>1.02</v>
      </c>
      <c r="AD276" s="1475">
        <f t="shared" ca="1" si="132"/>
        <v>1.6549565565300055</v>
      </c>
      <c r="AF276" s="1476">
        <f t="shared" ca="1" si="142"/>
        <v>1.0680000000000009</v>
      </c>
      <c r="AG276" s="1474">
        <f t="shared" ref="AG276:AG288" si="153">AG275</f>
        <v>0</v>
      </c>
      <c r="AH276" s="1475">
        <f t="shared" ca="1" si="133"/>
        <v>4.7984682326003112</v>
      </c>
      <c r="AJ276" s="1476">
        <f t="shared" ca="1" si="143"/>
        <v>1.0245225062013859</v>
      </c>
      <c r="AK276" s="1474">
        <f t="shared" ref="AK276:AK288" si="154">AK275</f>
        <v>1.02</v>
      </c>
      <c r="AL276" s="1475">
        <f t="shared" ca="1" si="134"/>
        <v>1.6549565565300055</v>
      </c>
      <c r="AN276" s="1476">
        <f t="shared" ca="1" si="144"/>
        <v>1.0270225062013858</v>
      </c>
      <c r="AO276" s="1474">
        <f t="shared" ref="AO276:AO288" si="155">AO275</f>
        <v>1.0049999999999999</v>
      </c>
      <c r="AP276" s="1475">
        <f t="shared" ca="1" si="135"/>
        <v>1.7280133273368676</v>
      </c>
      <c r="AR276" s="701">
        <f t="shared" ref="AR276:AR288" si="156">$A276</f>
        <v>43221</v>
      </c>
      <c r="AS276" s="1478">
        <f ca="1">IF(AND($A276&gt;=EDATE(AS$17,12),IF(Assm!$L$74=0,$D276,$E276)/AS275&gt;=1.05),IF(Assm!$L$74=0,$D276,$E276),AS275)</f>
        <v>3.0629387352985575</v>
      </c>
      <c r="AT276" s="1478">
        <f t="shared" ca="1" si="145"/>
        <v>1.0507073180513418</v>
      </c>
      <c r="AU276" s="1478">
        <f t="shared" ref="AU276:AU288" ca="1" si="157">F276</f>
        <v>1.0680000000000009</v>
      </c>
      <c r="AV276" s="1478">
        <f t="shared" ref="AV276:AV288" ca="1" si="158">MAX(AT276,AU276)</f>
        <v>1.0680000000000009</v>
      </c>
      <c r="AW276" s="1475">
        <f t="shared" ca="1" si="127"/>
        <v>4.4967221989475599</v>
      </c>
    </row>
    <row r="277" spans="1:49">
      <c r="A277" s="883">
        <f t="shared" si="147"/>
        <v>43252</v>
      </c>
      <c r="B277" s="1390">
        <f ca="1">'[2]Monthly Curve Calc.'!B280</f>
        <v>678.25564356363236</v>
      </c>
      <c r="C277" s="1391">
        <f ca="1">'[2]Monthly Curve Calc.'!C280</f>
        <v>278.07109113679007</v>
      </c>
      <c r="D277" s="1512">
        <f ca="1">'[2]Monthly Curve Calc.'!F280</f>
        <v>3.078132901579516</v>
      </c>
      <c r="E277" s="1304">
        <f t="shared" ca="1" si="146"/>
        <v>2.972409662331513</v>
      </c>
      <c r="F277" s="1473">
        <f ca="1">IF(Assm!$L$75=0,F276,IF(AND($A277&gt;F$16,MONTH($A277)=MONTH(F$16)),B276/B264,F276))</f>
        <v>1.0680000000000009</v>
      </c>
      <c r="G277" s="1474">
        <f ca="1">IF(Assm!$L$75=0,G276,IF(AND($A277&gt;G$16,MONTH($A277)=MONTH(G$16)),C276/C264,G276))</f>
        <v>1.0270225062013858</v>
      </c>
      <c r="H277" s="1474">
        <f ca="1">IF(Assm!$L$75=0,H276,IF(AND($A277&gt;H$16,MONTH($A277)=MONTH(H$16)),C276/C264-H$18,H276))</f>
        <v>1.0245225062013859</v>
      </c>
      <c r="I277" s="1474">
        <f ca="1">IF(Assm!$L$75=0,I276,IF($A277&gt;=I$16,IF(MONTH($A277)=MONTH(I$16),AVERAGE(D265:D276),I276),I276))</f>
        <v>3.0203892595286703</v>
      </c>
      <c r="J277" s="1475">
        <f ca="1">IF(Assm!$L$75=0,J276,IF($A277&gt;=J$16,IF(MONTH($A277)=MONTH(J$16),AVERAGE(E265:E276),J276),J276))</f>
        <v>2.863382788763166</v>
      </c>
      <c r="K277" s="958">
        <f t="shared" si="136"/>
        <v>265</v>
      </c>
      <c r="L277" s="1476">
        <f t="shared" ca="1" si="137"/>
        <v>1.0270225062013858</v>
      </c>
      <c r="M277" s="1474">
        <f t="shared" si="148"/>
        <v>0</v>
      </c>
      <c r="N277" s="1475">
        <f t="shared" ca="1" si="128"/>
        <v>1.7280133273368676</v>
      </c>
      <c r="P277" s="1476">
        <f t="shared" ca="1" si="138"/>
        <v>1.0680000000000009</v>
      </c>
      <c r="Q277" s="1474">
        <f t="shared" si="149"/>
        <v>0</v>
      </c>
      <c r="R277" s="1475">
        <f t="shared" ca="1" si="129"/>
        <v>4.7984682326003112</v>
      </c>
      <c r="T277" s="1476">
        <f t="shared" ca="1" si="139"/>
        <v>1.0270225062013858</v>
      </c>
      <c r="U277" s="1474">
        <f t="shared" si="150"/>
        <v>1.0049999999999999</v>
      </c>
      <c r="V277" s="1475">
        <f t="shared" ca="1" si="130"/>
        <v>1.7280133273368676</v>
      </c>
      <c r="X277" s="1476">
        <f t="shared" ca="1" si="140"/>
        <v>1.0245225062013859</v>
      </c>
      <c r="Y277" s="1474">
        <f t="shared" si="151"/>
        <v>1.02</v>
      </c>
      <c r="Z277" s="1475">
        <f t="shared" ca="1" si="131"/>
        <v>1.6549565565300055</v>
      </c>
      <c r="AB277" s="1476">
        <f t="shared" ca="1" si="141"/>
        <v>1.0245225062013859</v>
      </c>
      <c r="AC277" s="1474">
        <f t="shared" si="152"/>
        <v>1.02</v>
      </c>
      <c r="AD277" s="1475">
        <f t="shared" ca="1" si="132"/>
        <v>1.6549565565300055</v>
      </c>
      <c r="AF277" s="1476">
        <f t="shared" ca="1" si="142"/>
        <v>1.0680000000000009</v>
      </c>
      <c r="AG277" s="1474">
        <f t="shared" si="153"/>
        <v>0</v>
      </c>
      <c r="AH277" s="1475">
        <f t="shared" ca="1" si="133"/>
        <v>4.7984682326003112</v>
      </c>
      <c r="AJ277" s="1476">
        <f t="shared" ca="1" si="143"/>
        <v>1.0245225062013859</v>
      </c>
      <c r="AK277" s="1474">
        <f t="shared" si="154"/>
        <v>1.02</v>
      </c>
      <c r="AL277" s="1475">
        <f t="shared" ca="1" si="134"/>
        <v>1.6549565565300055</v>
      </c>
      <c r="AN277" s="1476">
        <f t="shared" ca="1" si="144"/>
        <v>1.0270225062013858</v>
      </c>
      <c r="AO277" s="1474">
        <f t="shared" si="155"/>
        <v>1.0049999999999999</v>
      </c>
      <c r="AP277" s="1475">
        <f t="shared" ca="1" si="135"/>
        <v>1.7280133273368676</v>
      </c>
      <c r="AR277" s="701">
        <f t="shared" si="156"/>
        <v>43252</v>
      </c>
      <c r="AS277" s="1478">
        <f ca="1">IF(AND($A277&gt;=EDATE(AS$17,12),IF(Assm!$L$74=0,$D277,$E277)/AS276&gt;=1.05),IF(Assm!$L$74=0,$D277,$E277),AS276)</f>
        <v>3.0629387352985575</v>
      </c>
      <c r="AT277" s="1478">
        <f t="shared" ca="1" si="145"/>
        <v>1.0507073180513418</v>
      </c>
      <c r="AU277" s="1478">
        <f t="shared" ca="1" si="157"/>
        <v>1.0680000000000009</v>
      </c>
      <c r="AV277" s="1478">
        <f t="shared" ca="1" si="158"/>
        <v>1.0680000000000009</v>
      </c>
      <c r="AW277" s="1475">
        <f t="shared" ref="AW277:AW288" ca="1" si="159">IF(AV277=AV276,AW276,AV277*AW276)</f>
        <v>4.4967221989475599</v>
      </c>
    </row>
    <row r="278" spans="1:49">
      <c r="A278" s="883">
        <f t="shared" si="147"/>
        <v>43282</v>
      </c>
      <c r="B278" s="1390">
        <f ca="1">'[2]Monthly Curve Calc.'!B281</f>
        <v>681.98426381209447</v>
      </c>
      <c r="C278" s="1391">
        <f ca="1">'[2]Monthly Curve Calc.'!C281</f>
        <v>278.69486179430913</v>
      </c>
      <c r="D278" s="1512">
        <f ca="1">'[2]Monthly Curve Calc.'!F281</f>
        <v>3.0832143547886992</v>
      </c>
      <c r="E278" s="1304">
        <f t="shared" ca="1" si="146"/>
        <v>2.9820607137647319</v>
      </c>
      <c r="F278" s="1473">
        <f ca="1">IF(Assm!$L$75=0,F277,IF(AND($A278&gt;F$16,MONTH($A278)=MONTH(F$16)),B277/B265,F277))</f>
        <v>1.0680000000000009</v>
      </c>
      <c r="G278" s="1474">
        <f ca="1">IF(Assm!$L$75=0,G277,IF(AND($A278&gt;G$16,MONTH($A278)=MONTH(G$16)),C277/C265,G277))</f>
        <v>1.0270225062013858</v>
      </c>
      <c r="H278" s="1474">
        <f ca="1">IF(Assm!$L$75=0,H277,IF(AND($A278&gt;H$16,MONTH($A278)=MONTH(H$16)),C277/C265-H$18,H277))</f>
        <v>1.0245225062013859</v>
      </c>
      <c r="I278" s="1474">
        <f ca="1">IF(Assm!$L$75=0,I277,IF($A278&gt;=I$16,IF(MONTH($A278)=MONTH(I$16),AVERAGE(D266:D277),I277),I277))</f>
        <v>3.0203892595286703</v>
      </c>
      <c r="J278" s="1475">
        <f ca="1">IF(Assm!$L$75=0,J277,IF($A278&gt;=J$16,IF(MONTH($A278)=MONTH(J$16),AVERAGE(E266:E277),J277),J277))</f>
        <v>2.863382788763166</v>
      </c>
      <c r="K278" s="958">
        <f t="shared" si="136"/>
        <v>266</v>
      </c>
      <c r="L278" s="1476">
        <f t="shared" ca="1" si="137"/>
        <v>1.0270225062013858</v>
      </c>
      <c r="M278" s="1474">
        <f t="shared" si="148"/>
        <v>0</v>
      </c>
      <c r="N278" s="1475">
        <f t="shared" ca="1" si="128"/>
        <v>1.7280133273368676</v>
      </c>
      <c r="P278" s="1476">
        <f t="shared" ca="1" si="138"/>
        <v>1.0680000000000009</v>
      </c>
      <c r="Q278" s="1474">
        <f t="shared" si="149"/>
        <v>0</v>
      </c>
      <c r="R278" s="1475">
        <f t="shared" ca="1" si="129"/>
        <v>4.7984682326003112</v>
      </c>
      <c r="T278" s="1476">
        <f t="shared" ca="1" si="139"/>
        <v>1.0270225062013858</v>
      </c>
      <c r="U278" s="1474">
        <f t="shared" si="150"/>
        <v>1.0049999999999999</v>
      </c>
      <c r="V278" s="1475">
        <f t="shared" ca="1" si="130"/>
        <v>1.7280133273368676</v>
      </c>
      <c r="X278" s="1476">
        <f t="shared" ca="1" si="140"/>
        <v>1.0245225062013859</v>
      </c>
      <c r="Y278" s="1474">
        <f t="shared" si="151"/>
        <v>1.02</v>
      </c>
      <c r="Z278" s="1475">
        <f t="shared" ca="1" si="131"/>
        <v>1.6549565565300055</v>
      </c>
      <c r="AB278" s="1476">
        <f t="shared" ca="1" si="141"/>
        <v>1.0245225062013859</v>
      </c>
      <c r="AC278" s="1474">
        <f t="shared" si="152"/>
        <v>1.02</v>
      </c>
      <c r="AD278" s="1475">
        <f t="shared" ca="1" si="132"/>
        <v>1.6549565565300055</v>
      </c>
      <c r="AF278" s="1476">
        <f t="shared" ca="1" si="142"/>
        <v>1.0680000000000009</v>
      </c>
      <c r="AG278" s="1474">
        <f t="shared" si="153"/>
        <v>0</v>
      </c>
      <c r="AH278" s="1475">
        <f t="shared" ca="1" si="133"/>
        <v>4.7984682326003112</v>
      </c>
      <c r="AJ278" s="1476">
        <f t="shared" ca="1" si="143"/>
        <v>1.0245225062013859</v>
      </c>
      <c r="AK278" s="1474">
        <f t="shared" si="154"/>
        <v>1.02</v>
      </c>
      <c r="AL278" s="1475">
        <f t="shared" ca="1" si="134"/>
        <v>1.6549565565300055</v>
      </c>
      <c r="AN278" s="1476">
        <f t="shared" ca="1" si="144"/>
        <v>1.0270225062013858</v>
      </c>
      <c r="AO278" s="1474">
        <f t="shared" si="155"/>
        <v>1.0049999999999999</v>
      </c>
      <c r="AP278" s="1475">
        <f t="shared" ca="1" si="135"/>
        <v>1.7280133273368676</v>
      </c>
      <c r="AR278" s="701">
        <f t="shared" si="156"/>
        <v>43282</v>
      </c>
      <c r="AS278" s="1478">
        <f ca="1">IF(AND($A278&gt;=EDATE(AS$17,12),IF(Assm!$L$74=0,$D278,$E278)/AS277&gt;=1.05),IF(Assm!$L$74=0,$D278,$E278),AS277)</f>
        <v>3.0629387352985575</v>
      </c>
      <c r="AT278" s="1478">
        <f t="shared" ca="1" si="145"/>
        <v>1.0507073180513418</v>
      </c>
      <c r="AU278" s="1478">
        <f t="shared" ca="1" si="157"/>
        <v>1.0680000000000009</v>
      </c>
      <c r="AV278" s="1478">
        <f t="shared" ca="1" si="158"/>
        <v>1.0680000000000009</v>
      </c>
      <c r="AW278" s="1475">
        <f t="shared" ca="1" si="159"/>
        <v>4.4967221989475599</v>
      </c>
    </row>
    <row r="279" spans="1:49">
      <c r="A279" s="883">
        <f t="shared" si="147"/>
        <v>43313</v>
      </c>
      <c r="B279" s="1390">
        <f ca="1">'[2]Monthly Curve Calc.'!B282</f>
        <v>685.73338165477367</v>
      </c>
      <c r="C279" s="1391">
        <f ca="1">'[2]Monthly Curve Calc.'!C282</f>
        <v>279.32003169772463</v>
      </c>
      <c r="D279" s="1512">
        <f ca="1">'[2]Monthly Curve Calc.'!F282</f>
        <v>3.0883041965787341</v>
      </c>
      <c r="E279" s="1304">
        <f t="shared" ca="1" si="146"/>
        <v>2.9917431009841806</v>
      </c>
      <c r="F279" s="1473">
        <f ca="1">IF(Assm!$L$75=0,F278,IF(AND($A279&gt;F$16,MONTH($A279)=MONTH(F$16)),B278/B266,F278))</f>
        <v>1.0680000000000009</v>
      </c>
      <c r="G279" s="1474">
        <f ca="1">IF(Assm!$L$75=0,G278,IF(AND($A279&gt;G$16,MONTH($A279)=MONTH(G$16)),C278/C266,G278))</f>
        <v>1.0270225062013858</v>
      </c>
      <c r="H279" s="1474">
        <f ca="1">IF(Assm!$L$75=0,H278,IF(AND($A279&gt;H$16,MONTH($A279)=MONTH(H$16)),C278/C266-H$18,H278))</f>
        <v>1.0245225062013859</v>
      </c>
      <c r="I279" s="1474">
        <f ca="1">IF(Assm!$L$75=0,I278,IF($A279&gt;=I$16,IF(MONTH($A279)=MONTH(I$16),AVERAGE(D267:D278),I278),I278))</f>
        <v>3.0203892595286703</v>
      </c>
      <c r="J279" s="1475">
        <f ca="1">IF(Assm!$L$75=0,J278,IF($A279&gt;=J$16,IF(MONTH($A279)=MONTH(J$16),AVERAGE(E267:E278),J278),J278))</f>
        <v>2.863382788763166</v>
      </c>
      <c r="K279" s="958">
        <f t="shared" si="136"/>
        <v>267</v>
      </c>
      <c r="L279" s="1476">
        <f t="shared" ca="1" si="137"/>
        <v>1.0270225062013858</v>
      </c>
      <c r="M279" s="1474">
        <f t="shared" si="148"/>
        <v>0</v>
      </c>
      <c r="N279" s="1475">
        <f t="shared" ca="1" si="128"/>
        <v>1.7280133273368676</v>
      </c>
      <c r="P279" s="1476">
        <f t="shared" ca="1" si="138"/>
        <v>1.0680000000000009</v>
      </c>
      <c r="Q279" s="1474">
        <f t="shared" si="149"/>
        <v>0</v>
      </c>
      <c r="R279" s="1475">
        <f t="shared" ca="1" si="129"/>
        <v>4.7984682326003112</v>
      </c>
      <c r="T279" s="1476">
        <f t="shared" ca="1" si="139"/>
        <v>1.0270225062013858</v>
      </c>
      <c r="U279" s="1474">
        <f t="shared" si="150"/>
        <v>1.0049999999999999</v>
      </c>
      <c r="V279" s="1475">
        <f t="shared" ca="1" si="130"/>
        <v>1.7280133273368676</v>
      </c>
      <c r="X279" s="1476">
        <f t="shared" ca="1" si="140"/>
        <v>1.0245225062013859</v>
      </c>
      <c r="Y279" s="1474">
        <f t="shared" si="151"/>
        <v>1.02</v>
      </c>
      <c r="Z279" s="1475">
        <f t="shared" ca="1" si="131"/>
        <v>1.6549565565300055</v>
      </c>
      <c r="AB279" s="1476">
        <f t="shared" ca="1" si="141"/>
        <v>1.0245225062013859</v>
      </c>
      <c r="AC279" s="1474">
        <f t="shared" si="152"/>
        <v>1.02</v>
      </c>
      <c r="AD279" s="1475">
        <f t="shared" ca="1" si="132"/>
        <v>1.6549565565300055</v>
      </c>
      <c r="AF279" s="1476">
        <f t="shared" ca="1" si="142"/>
        <v>1.0680000000000009</v>
      </c>
      <c r="AG279" s="1474">
        <f t="shared" si="153"/>
        <v>0</v>
      </c>
      <c r="AH279" s="1475">
        <f t="shared" ca="1" si="133"/>
        <v>4.7984682326003112</v>
      </c>
      <c r="AJ279" s="1476">
        <f t="shared" ca="1" si="143"/>
        <v>1.0245225062013859</v>
      </c>
      <c r="AK279" s="1474">
        <f t="shared" si="154"/>
        <v>1.02</v>
      </c>
      <c r="AL279" s="1475">
        <f t="shared" ca="1" si="134"/>
        <v>1.6549565565300055</v>
      </c>
      <c r="AN279" s="1476">
        <f t="shared" ca="1" si="144"/>
        <v>1.0270225062013858</v>
      </c>
      <c r="AO279" s="1474">
        <f t="shared" si="155"/>
        <v>1.0049999999999999</v>
      </c>
      <c r="AP279" s="1475">
        <f t="shared" ca="1" si="135"/>
        <v>1.7280133273368676</v>
      </c>
      <c r="AR279" s="701">
        <f t="shared" si="156"/>
        <v>43313</v>
      </c>
      <c r="AS279" s="1478">
        <f ca="1">IF(AND($A279&gt;=EDATE(AS$17,12),IF(Assm!$L$74=0,$D279,$E279)/AS278&gt;=1.05),IF(Assm!$L$74=0,$D279,$E279),AS278)</f>
        <v>3.0629387352985575</v>
      </c>
      <c r="AT279" s="1478">
        <f t="shared" ca="1" si="145"/>
        <v>1.0507073180513418</v>
      </c>
      <c r="AU279" s="1478">
        <f t="shared" ca="1" si="157"/>
        <v>1.0680000000000009</v>
      </c>
      <c r="AV279" s="1478">
        <f t="shared" ca="1" si="158"/>
        <v>1.0680000000000009</v>
      </c>
      <c r="AW279" s="1475">
        <f t="shared" ca="1" si="159"/>
        <v>4.4967221989475599</v>
      </c>
    </row>
    <row r="280" spans="1:49">
      <c r="A280" s="883">
        <f t="shared" si="147"/>
        <v>43344</v>
      </c>
      <c r="B280" s="1390">
        <f ca="1">'[2]Monthly Curve Calc.'!B283</f>
        <v>689.50310977446975</v>
      </c>
      <c r="C280" s="1391">
        <f ca="1">'[2]Monthly Curve Calc.'!C283</f>
        <v>279.94660398583289</v>
      </c>
      <c r="D280" s="1512">
        <f ca="1">'[2]Monthly Curve Calc.'!F283</f>
        <v>3.0934024407976843</v>
      </c>
      <c r="E280" s="1304">
        <f t="shared" ca="1" si="146"/>
        <v>3.0014569257333332</v>
      </c>
      <c r="F280" s="1473">
        <f ca="1">IF(Assm!$L$75=0,F279,IF(AND($A280&gt;F$16,MONTH($A280)=MONTH(F$16)),B279/B267,F279))</f>
        <v>1.0680000000000009</v>
      </c>
      <c r="G280" s="1474">
        <f ca="1">IF(Assm!$L$75=0,G279,IF(AND($A280&gt;G$16,MONTH($A280)=MONTH(G$16)),C279/C267,G279))</f>
        <v>1.0270225062013858</v>
      </c>
      <c r="H280" s="1474">
        <f ca="1">IF(Assm!$L$75=0,H279,IF(AND($A280&gt;H$16,MONTH($A280)=MONTH(H$16)),C279/C267-H$18,H279))</f>
        <v>1.0245225062013859</v>
      </c>
      <c r="I280" s="1474">
        <f ca="1">IF(Assm!$L$75=0,I279,IF($A280&gt;=I$16,IF(MONTH($A280)=MONTH(I$16),AVERAGE(D268:D279),I279),I279))</f>
        <v>3.0203892595286703</v>
      </c>
      <c r="J280" s="1475">
        <f ca="1">IF(Assm!$L$75=0,J279,IF($A280&gt;=J$16,IF(MONTH($A280)=MONTH(J$16),AVERAGE(E268:E279),J279),J279))</f>
        <v>2.863382788763166</v>
      </c>
      <c r="K280" s="958">
        <f t="shared" si="136"/>
        <v>268</v>
      </c>
      <c r="L280" s="1476">
        <f t="shared" ca="1" si="137"/>
        <v>1.0270225062013858</v>
      </c>
      <c r="M280" s="1474">
        <f t="shared" si="148"/>
        <v>0</v>
      </c>
      <c r="N280" s="1475">
        <f t="shared" ca="1" si="128"/>
        <v>1.7280133273368676</v>
      </c>
      <c r="P280" s="1476">
        <f t="shared" ca="1" si="138"/>
        <v>1.0680000000000009</v>
      </c>
      <c r="Q280" s="1474">
        <f t="shared" si="149"/>
        <v>0</v>
      </c>
      <c r="R280" s="1475">
        <f t="shared" ca="1" si="129"/>
        <v>4.7984682326003112</v>
      </c>
      <c r="T280" s="1476">
        <f t="shared" ca="1" si="139"/>
        <v>1.0270225062013858</v>
      </c>
      <c r="U280" s="1474">
        <f t="shared" si="150"/>
        <v>1.0049999999999999</v>
      </c>
      <c r="V280" s="1475">
        <f t="shared" ca="1" si="130"/>
        <v>1.7280133273368676</v>
      </c>
      <c r="X280" s="1476">
        <f t="shared" ca="1" si="140"/>
        <v>1.0245225062013859</v>
      </c>
      <c r="Y280" s="1474">
        <f t="shared" si="151"/>
        <v>1.02</v>
      </c>
      <c r="Z280" s="1475">
        <f t="shared" ca="1" si="131"/>
        <v>1.6549565565300055</v>
      </c>
      <c r="AB280" s="1476">
        <f t="shared" ca="1" si="141"/>
        <v>1.0245225062013859</v>
      </c>
      <c r="AC280" s="1474">
        <f t="shared" si="152"/>
        <v>1.02</v>
      </c>
      <c r="AD280" s="1475">
        <f t="shared" ca="1" si="132"/>
        <v>1.6549565565300055</v>
      </c>
      <c r="AF280" s="1476">
        <f t="shared" ca="1" si="142"/>
        <v>1.0680000000000009</v>
      </c>
      <c r="AG280" s="1474">
        <f t="shared" si="153"/>
        <v>0</v>
      </c>
      <c r="AH280" s="1475">
        <f t="shared" ca="1" si="133"/>
        <v>4.7984682326003112</v>
      </c>
      <c r="AJ280" s="1476">
        <f t="shared" ca="1" si="143"/>
        <v>1.0245225062013859</v>
      </c>
      <c r="AK280" s="1474">
        <f t="shared" si="154"/>
        <v>1.02</v>
      </c>
      <c r="AL280" s="1475">
        <f t="shared" ca="1" si="134"/>
        <v>1.6549565565300055</v>
      </c>
      <c r="AN280" s="1476">
        <f t="shared" ca="1" si="144"/>
        <v>1.0270225062013858</v>
      </c>
      <c r="AO280" s="1474">
        <f t="shared" si="155"/>
        <v>1.0049999999999999</v>
      </c>
      <c r="AP280" s="1475">
        <f t="shared" ca="1" si="135"/>
        <v>1.7280133273368676</v>
      </c>
      <c r="AR280" s="701">
        <f t="shared" si="156"/>
        <v>43344</v>
      </c>
      <c r="AS280" s="1478">
        <f ca="1">IF(AND($A280&gt;=EDATE(AS$17,12),IF(Assm!$L$74=0,$D280,$E280)/AS279&gt;=1.05),IF(Assm!$L$74=0,$D280,$E280),AS279)</f>
        <v>3.0629387352985575</v>
      </c>
      <c r="AT280" s="1478">
        <f t="shared" ca="1" si="145"/>
        <v>1.0507073180513418</v>
      </c>
      <c r="AU280" s="1478">
        <f t="shared" ca="1" si="157"/>
        <v>1.0680000000000009</v>
      </c>
      <c r="AV280" s="1478">
        <f t="shared" ca="1" si="158"/>
        <v>1.0680000000000009</v>
      </c>
      <c r="AW280" s="1475">
        <f t="shared" ca="1" si="159"/>
        <v>4.4967221989475599</v>
      </c>
    </row>
    <row r="281" spans="1:49">
      <c r="A281" s="883">
        <f t="shared" si="147"/>
        <v>43374</v>
      </c>
      <c r="B281" s="1390">
        <f ca="1">'[2]Monthly Curve Calc.'!B284</f>
        <v>693.29356147344106</v>
      </c>
      <c r="C281" s="1391">
        <f ca="1">'[2]Monthly Curve Calc.'!C284</f>
        <v>280.57458180447128</v>
      </c>
      <c r="D281" s="1512">
        <f ca="1">'[2]Monthly Curve Calc.'!F284</f>
        <v>3.0985091013164747</v>
      </c>
      <c r="E281" s="1304">
        <f t="shared" ca="1" si="146"/>
        <v>3.011202290086012</v>
      </c>
      <c r="F281" s="1473">
        <f ca="1">IF(Assm!$L$75=0,F280,IF(AND($A281&gt;F$16,MONTH($A281)=MONTH(F$16)),B280/B268,F280))</f>
        <v>1.0680000000000009</v>
      </c>
      <c r="G281" s="1474">
        <f ca="1">IF(Assm!$L$75=0,G280,IF(AND($A281&gt;G$16,MONTH($A281)=MONTH(G$16)),C280/C268,G280))</f>
        <v>1.0270225062013858</v>
      </c>
      <c r="H281" s="1474">
        <f ca="1">IF(Assm!$L$75=0,H280,IF(AND($A281&gt;H$16,MONTH($A281)=MONTH(H$16)),C280/C268-H$18,H280))</f>
        <v>1.0245225062013859</v>
      </c>
      <c r="I281" s="1474">
        <f ca="1">IF(Assm!$L$75=0,I280,IF($A281&gt;=I$16,IF(MONTH($A281)=MONTH(I$16),AVERAGE(D269:D280),I280),I280))</f>
        <v>3.0203892595286703</v>
      </c>
      <c r="J281" s="1475">
        <f ca="1">IF(Assm!$L$75=0,J280,IF($A281&gt;=J$16,IF(MONTH($A281)=MONTH(J$16),AVERAGE(E269:E280),J280),J280))</f>
        <v>2.863382788763166</v>
      </c>
      <c r="K281" s="958">
        <f t="shared" si="136"/>
        <v>269</v>
      </c>
      <c r="L281" s="1476">
        <f t="shared" ca="1" si="137"/>
        <v>1.0270225062013858</v>
      </c>
      <c r="M281" s="1474">
        <f t="shared" si="148"/>
        <v>0</v>
      </c>
      <c r="N281" s="1475">
        <f t="shared" ca="1" si="128"/>
        <v>1.7280133273368676</v>
      </c>
      <c r="P281" s="1476">
        <f t="shared" ca="1" si="138"/>
        <v>1.0680000000000009</v>
      </c>
      <c r="Q281" s="1474">
        <f t="shared" si="149"/>
        <v>0</v>
      </c>
      <c r="R281" s="1475">
        <f t="shared" ca="1" si="129"/>
        <v>4.7984682326003112</v>
      </c>
      <c r="T281" s="1476">
        <f t="shared" ca="1" si="139"/>
        <v>1.0270225062013858</v>
      </c>
      <c r="U281" s="1474">
        <f t="shared" si="150"/>
        <v>1.0049999999999999</v>
      </c>
      <c r="V281" s="1475">
        <f t="shared" ca="1" si="130"/>
        <v>1.7280133273368676</v>
      </c>
      <c r="X281" s="1476">
        <f t="shared" ca="1" si="140"/>
        <v>1.0245225062013859</v>
      </c>
      <c r="Y281" s="1474">
        <f t="shared" si="151"/>
        <v>1.02</v>
      </c>
      <c r="Z281" s="1475">
        <f t="shared" ca="1" si="131"/>
        <v>1.6549565565300055</v>
      </c>
      <c r="AB281" s="1476">
        <f t="shared" ca="1" si="141"/>
        <v>1.0245225062013859</v>
      </c>
      <c r="AC281" s="1474">
        <f t="shared" si="152"/>
        <v>1.02</v>
      </c>
      <c r="AD281" s="1475">
        <f t="shared" ca="1" si="132"/>
        <v>1.6549565565300055</v>
      </c>
      <c r="AF281" s="1476">
        <f t="shared" ca="1" si="142"/>
        <v>1.0680000000000009</v>
      </c>
      <c r="AG281" s="1474">
        <f t="shared" si="153"/>
        <v>0</v>
      </c>
      <c r="AH281" s="1475">
        <f t="shared" ca="1" si="133"/>
        <v>4.7984682326003112</v>
      </c>
      <c r="AJ281" s="1476">
        <f t="shared" ca="1" si="143"/>
        <v>1.0245225062013859</v>
      </c>
      <c r="AK281" s="1474">
        <f t="shared" si="154"/>
        <v>1.02</v>
      </c>
      <c r="AL281" s="1475">
        <f t="shared" ca="1" si="134"/>
        <v>1.6549565565300055</v>
      </c>
      <c r="AN281" s="1476">
        <f t="shared" ca="1" si="144"/>
        <v>1.0270225062013858</v>
      </c>
      <c r="AO281" s="1474">
        <f t="shared" si="155"/>
        <v>1.0049999999999999</v>
      </c>
      <c r="AP281" s="1475">
        <f t="shared" ca="1" si="135"/>
        <v>1.7280133273368676</v>
      </c>
      <c r="AR281" s="701">
        <f t="shared" si="156"/>
        <v>43374</v>
      </c>
      <c r="AS281" s="1478">
        <f ca="1">IF(AND($A281&gt;=EDATE(AS$17,12),IF(Assm!$L$74=0,$D281,$E281)/AS280&gt;=1.05),IF(Assm!$L$74=0,$D281,$E281),AS280)</f>
        <v>3.0629387352985575</v>
      </c>
      <c r="AT281" s="1478">
        <f t="shared" ca="1" si="145"/>
        <v>1.0507073180513418</v>
      </c>
      <c r="AU281" s="1478">
        <f t="shared" ca="1" si="157"/>
        <v>1.0680000000000009</v>
      </c>
      <c r="AV281" s="1478">
        <f t="shared" ca="1" si="158"/>
        <v>1.0680000000000009</v>
      </c>
      <c r="AW281" s="1475">
        <f t="shared" ca="1" si="159"/>
        <v>4.4967221989475599</v>
      </c>
    </row>
    <row r="282" spans="1:49">
      <c r="A282" s="883">
        <f t="shared" si="147"/>
        <v>43405</v>
      </c>
      <c r="B282" s="1390">
        <f ca="1">'[2]Monthly Curve Calc.'!B285</f>
        <v>697.1048506768102</v>
      </c>
      <c r="C282" s="1391">
        <f ca="1">'[2]Monthly Curve Calc.'!C285</f>
        <v>281.20396830653391</v>
      </c>
      <c r="D282" s="1512">
        <f ca="1">'[2]Monthly Curve Calc.'!F285</f>
        <v>3.1036241920289283</v>
      </c>
      <c r="E282" s="1304">
        <f t="shared" ca="1" si="146"/>
        <v>3.0209792964474604</v>
      </c>
      <c r="F282" s="1473">
        <f ca="1">IF(Assm!$L$75=0,F281,IF(AND($A282&gt;F$16,MONTH($A282)=MONTH(F$16)),B281/B269,F281))</f>
        <v>1.0680000000000009</v>
      </c>
      <c r="G282" s="1474">
        <f ca="1">IF(Assm!$L$75=0,G281,IF(AND($A282&gt;G$16,MONTH($A282)=MONTH(G$16)),C281/C269,G281))</f>
        <v>1.0270225062013858</v>
      </c>
      <c r="H282" s="1474">
        <f ca="1">IF(Assm!$L$75=0,H281,IF(AND($A282&gt;H$16,MONTH($A282)=MONTH(H$16)),C281/C269-H$18,H281))</f>
        <v>1.0245225062013859</v>
      </c>
      <c r="I282" s="1474">
        <f ca="1">IF(Assm!$L$75=0,I281,IF($A282&gt;=I$16,IF(MONTH($A282)=MONTH(I$16),AVERAGE(D270:D281),I281),I281))</f>
        <v>3.0203892595286703</v>
      </c>
      <c r="J282" s="1475">
        <f ca="1">IF(Assm!$L$75=0,J281,IF($A282&gt;=J$16,IF(MONTH($A282)=MONTH(J$16),AVERAGE(E270:E281),J281),J281))</f>
        <v>2.863382788763166</v>
      </c>
      <c r="K282" s="958">
        <f t="shared" si="136"/>
        <v>270</v>
      </c>
      <c r="L282" s="1476">
        <f t="shared" ca="1" si="137"/>
        <v>1.0270225062013858</v>
      </c>
      <c r="M282" s="1474">
        <f t="shared" si="148"/>
        <v>0</v>
      </c>
      <c r="N282" s="1475">
        <f t="shared" ca="1" si="128"/>
        <v>1.7280133273368676</v>
      </c>
      <c r="P282" s="1476">
        <f t="shared" ca="1" si="138"/>
        <v>1.0680000000000009</v>
      </c>
      <c r="Q282" s="1474">
        <f t="shared" si="149"/>
        <v>0</v>
      </c>
      <c r="R282" s="1475">
        <f t="shared" ca="1" si="129"/>
        <v>4.7984682326003112</v>
      </c>
      <c r="T282" s="1476">
        <f t="shared" ca="1" si="139"/>
        <v>1.0270225062013858</v>
      </c>
      <c r="U282" s="1474">
        <f t="shared" si="150"/>
        <v>1.0049999999999999</v>
      </c>
      <c r="V282" s="1475">
        <f t="shared" ca="1" si="130"/>
        <v>1.7280133273368676</v>
      </c>
      <c r="X282" s="1476">
        <f t="shared" ca="1" si="140"/>
        <v>1.0245225062013859</v>
      </c>
      <c r="Y282" s="1474">
        <f t="shared" si="151"/>
        <v>1.02</v>
      </c>
      <c r="Z282" s="1475">
        <f t="shared" ca="1" si="131"/>
        <v>1.6549565565300055</v>
      </c>
      <c r="AB282" s="1476">
        <f t="shared" ca="1" si="141"/>
        <v>1.0245225062013859</v>
      </c>
      <c r="AC282" s="1474">
        <f t="shared" si="152"/>
        <v>1.02</v>
      </c>
      <c r="AD282" s="1475">
        <f t="shared" ca="1" si="132"/>
        <v>1.6549565565300055</v>
      </c>
      <c r="AF282" s="1476">
        <f t="shared" ca="1" si="142"/>
        <v>1.0680000000000009</v>
      </c>
      <c r="AG282" s="1474">
        <f t="shared" si="153"/>
        <v>0</v>
      </c>
      <c r="AH282" s="1475">
        <f t="shared" ca="1" si="133"/>
        <v>4.7984682326003112</v>
      </c>
      <c r="AJ282" s="1476">
        <f t="shared" ca="1" si="143"/>
        <v>1.0245225062013859</v>
      </c>
      <c r="AK282" s="1474">
        <f t="shared" si="154"/>
        <v>1.02</v>
      </c>
      <c r="AL282" s="1475">
        <f t="shared" ca="1" si="134"/>
        <v>1.6549565565300055</v>
      </c>
      <c r="AN282" s="1476">
        <f t="shared" ca="1" si="144"/>
        <v>1.0270225062013858</v>
      </c>
      <c r="AO282" s="1474">
        <f t="shared" si="155"/>
        <v>1.0049999999999999</v>
      </c>
      <c r="AP282" s="1475">
        <f t="shared" ca="1" si="135"/>
        <v>1.7280133273368676</v>
      </c>
      <c r="AR282" s="701">
        <f t="shared" si="156"/>
        <v>43405</v>
      </c>
      <c r="AS282" s="1478">
        <f ca="1">IF(AND($A282&gt;=EDATE(AS$17,12),IF(Assm!$L$74=0,$D282,$E282)/AS281&gt;=1.05),IF(Assm!$L$74=0,$D282,$E282),AS281)</f>
        <v>3.0629387352985575</v>
      </c>
      <c r="AT282" s="1478">
        <f t="shared" ca="1" si="145"/>
        <v>1.0507073180513418</v>
      </c>
      <c r="AU282" s="1478">
        <f t="shared" ca="1" si="157"/>
        <v>1.0680000000000009</v>
      </c>
      <c r="AV282" s="1478">
        <f t="shared" ca="1" si="158"/>
        <v>1.0680000000000009</v>
      </c>
      <c r="AW282" s="1475">
        <f t="shared" ca="1" si="159"/>
        <v>4.4967221989475599</v>
      </c>
    </row>
    <row r="283" spans="1:49">
      <c r="A283" s="883">
        <f t="shared" si="147"/>
        <v>43435</v>
      </c>
      <c r="B283" s="1390">
        <f ca="1">'[2]Monthly Curve Calc.'!B286</f>
        <v>700.93709193598795</v>
      </c>
      <c r="C283" s="1391">
        <f ca="1">'[2]Monthly Curve Calc.'!C286</f>
        <v>281.83476665198742</v>
      </c>
      <c r="D283" s="1512">
        <f ca="1">'[2]Monthly Curve Calc.'!F286</f>
        <v>3.1087477268518051</v>
      </c>
      <c r="E283" s="1304">
        <f t="shared" ca="1" si="146"/>
        <v>3.0307880475554199</v>
      </c>
      <c r="F283" s="1473">
        <f ca="1">IF(Assm!$L$75=0,F282,IF(AND($A283&gt;F$16,MONTH($A283)=MONTH(F$16)),B282/B270,F282))</f>
        <v>1.0680000000000009</v>
      </c>
      <c r="G283" s="1474">
        <f ca="1">IF(Assm!$L$75=0,G282,IF(AND($A283&gt;G$16,MONTH($A283)=MONTH(G$16)),C282/C270,G282))</f>
        <v>1.0270225062013858</v>
      </c>
      <c r="H283" s="1474">
        <f ca="1">IF(Assm!$L$75=0,H282,IF(AND($A283&gt;H$16,MONTH($A283)=MONTH(H$16)),C282/C270-H$18,H282))</f>
        <v>1.0245225062013859</v>
      </c>
      <c r="I283" s="1474">
        <f ca="1">IF(Assm!$L$75=0,I282,IF($A283&gt;=I$16,IF(MONTH($A283)=MONTH(I$16),AVERAGE(D271:D282),I282),I282))</f>
        <v>3.0203892595286703</v>
      </c>
      <c r="J283" s="1475">
        <f ca="1">IF(Assm!$L$75=0,J282,IF($A283&gt;=J$16,IF(MONTH($A283)=MONTH(J$16),AVERAGE(E271:E282),J282),J282))</f>
        <v>2.863382788763166</v>
      </c>
      <c r="K283" s="958">
        <f t="shared" si="136"/>
        <v>271</v>
      </c>
      <c r="L283" s="1476">
        <f t="shared" ca="1" si="137"/>
        <v>1.0270225062013858</v>
      </c>
      <c r="M283" s="1474">
        <f t="shared" si="148"/>
        <v>0</v>
      </c>
      <c r="N283" s="1475">
        <f t="shared" ca="1" si="128"/>
        <v>1.7280133273368676</v>
      </c>
      <c r="P283" s="1476">
        <f t="shared" ca="1" si="138"/>
        <v>1.0680000000000009</v>
      </c>
      <c r="Q283" s="1474">
        <f t="shared" si="149"/>
        <v>0</v>
      </c>
      <c r="R283" s="1475">
        <f t="shared" ca="1" si="129"/>
        <v>4.7984682326003112</v>
      </c>
      <c r="T283" s="1476">
        <f t="shared" ca="1" si="139"/>
        <v>1.0270225062013858</v>
      </c>
      <c r="U283" s="1474">
        <f t="shared" si="150"/>
        <v>1.0049999999999999</v>
      </c>
      <c r="V283" s="1475">
        <f t="shared" ca="1" si="130"/>
        <v>1.7280133273368676</v>
      </c>
      <c r="X283" s="1476">
        <f t="shared" ca="1" si="140"/>
        <v>1.0245225062013859</v>
      </c>
      <c r="Y283" s="1474">
        <f t="shared" si="151"/>
        <v>1.02</v>
      </c>
      <c r="Z283" s="1475">
        <f t="shared" ca="1" si="131"/>
        <v>1.6549565565300055</v>
      </c>
      <c r="AB283" s="1476">
        <f t="shared" ca="1" si="141"/>
        <v>1.0245225062013859</v>
      </c>
      <c r="AC283" s="1474">
        <f t="shared" si="152"/>
        <v>1.02</v>
      </c>
      <c r="AD283" s="1475">
        <f t="shared" ca="1" si="132"/>
        <v>1.6549565565300055</v>
      </c>
      <c r="AF283" s="1476">
        <f t="shared" ca="1" si="142"/>
        <v>1.0680000000000009</v>
      </c>
      <c r="AG283" s="1474">
        <f t="shared" si="153"/>
        <v>0</v>
      </c>
      <c r="AH283" s="1475">
        <f t="shared" ca="1" si="133"/>
        <v>4.7984682326003112</v>
      </c>
      <c r="AJ283" s="1476">
        <f t="shared" ca="1" si="143"/>
        <v>1.0245225062013859</v>
      </c>
      <c r="AK283" s="1474">
        <f t="shared" si="154"/>
        <v>1.02</v>
      </c>
      <c r="AL283" s="1475">
        <f t="shared" ca="1" si="134"/>
        <v>1.6549565565300055</v>
      </c>
      <c r="AN283" s="1476">
        <f t="shared" ca="1" si="144"/>
        <v>1.0270225062013858</v>
      </c>
      <c r="AO283" s="1474">
        <f t="shared" si="155"/>
        <v>1.0049999999999999</v>
      </c>
      <c r="AP283" s="1475">
        <f t="shared" ca="1" si="135"/>
        <v>1.7280133273368676</v>
      </c>
      <c r="AR283" s="701">
        <f t="shared" si="156"/>
        <v>43435</v>
      </c>
      <c r="AS283" s="1478">
        <f ca="1">IF(AND($A283&gt;=EDATE(AS$17,12),IF(Assm!$L$74=0,$D283,$E283)/AS282&gt;=1.05),IF(Assm!$L$74=0,$D283,$E283),AS282)</f>
        <v>3.0629387352985575</v>
      </c>
      <c r="AT283" s="1478">
        <f t="shared" ca="1" si="145"/>
        <v>1.0507073180513418</v>
      </c>
      <c r="AU283" s="1478">
        <f t="shared" ca="1" si="157"/>
        <v>1.0680000000000009</v>
      </c>
      <c r="AV283" s="1478">
        <f t="shared" ca="1" si="158"/>
        <v>1.0680000000000009</v>
      </c>
      <c r="AW283" s="1475">
        <f t="shared" ca="1" si="159"/>
        <v>4.4967221989475599</v>
      </c>
    </row>
    <row r="284" spans="1:49">
      <c r="A284" s="883">
        <f t="shared" si="147"/>
        <v>43466</v>
      </c>
      <c r="B284" s="1390">
        <f ca="1">'[2]Monthly Curve Calc.'!B287</f>
        <v>704.79040043211614</v>
      </c>
      <c r="C284" s="1391">
        <f ca="1">'[2]Monthly Curve Calc.'!C287</f>
        <v>282.48005636909801</v>
      </c>
      <c r="D284" s="1512">
        <f ca="1">'[2]Monthly Curve Calc.'!F287</f>
        <v>3.1138921883315391</v>
      </c>
      <c r="E284" s="1304">
        <f t="shared" ca="1" si="146"/>
        <v>3.0404878919125458</v>
      </c>
      <c r="F284" s="1473">
        <f ca="1">IF(Assm!$L$75=0,F283,IF(AND($A284&gt;F$16,MONTH($A284)=MONTH(F$16)),B283/B271,F283))</f>
        <v>1.0680000000000009</v>
      </c>
      <c r="G284" s="1474">
        <f ca="1">IF(Assm!$L$75=0,G283,IF(AND($A284&gt;G$16,MONTH($A284)=MONTH(G$16)),C283/C271,G283))</f>
        <v>1.0270225062013858</v>
      </c>
      <c r="H284" s="1474">
        <f ca="1">IF(Assm!$L$75=0,H283,IF(AND($A284&gt;H$16,MONTH($A284)=MONTH(H$16)),C283/C271-H$18,H283))</f>
        <v>1.0245225062013859</v>
      </c>
      <c r="I284" s="1474">
        <f ca="1">IF(Assm!$L$75=0,I283,IF($A284&gt;=I$16,IF(MONTH($A284)=MONTH(I$16),AVERAGE(D272:D283),I283),I283))</f>
        <v>3.0807225214616292</v>
      </c>
      <c r="J284" s="1475">
        <f ca="1">IF(Assm!$L$75=0,J283,IF($A284&gt;=J$16,IF(MONTH($A284)=MONTH(J$16),AVERAGE(E272:E283),J283),J283))</f>
        <v>2.9774176874113869</v>
      </c>
      <c r="K284" s="958">
        <f t="shared" si="136"/>
        <v>272</v>
      </c>
      <c r="L284" s="1476">
        <f t="shared" ca="1" si="137"/>
        <v>1.0270225062013858</v>
      </c>
      <c r="M284" s="1474">
        <f t="shared" si="148"/>
        <v>0</v>
      </c>
      <c r="N284" s="1475">
        <f t="shared" ca="1" si="128"/>
        <v>1.7280133273368676</v>
      </c>
      <c r="P284" s="1476">
        <f t="shared" ca="1" si="138"/>
        <v>1.0680000000000009</v>
      </c>
      <c r="Q284" s="1474">
        <f t="shared" si="149"/>
        <v>0</v>
      </c>
      <c r="R284" s="1475">
        <f t="shared" ca="1" si="129"/>
        <v>4.7984682326003112</v>
      </c>
      <c r="T284" s="1476">
        <f t="shared" ca="1" si="139"/>
        <v>1.0270225062013858</v>
      </c>
      <c r="U284" s="1474">
        <f t="shared" si="150"/>
        <v>1.0049999999999999</v>
      </c>
      <c r="V284" s="1475">
        <f t="shared" ca="1" si="130"/>
        <v>1.7280133273368676</v>
      </c>
      <c r="X284" s="1476">
        <f t="shared" ca="1" si="140"/>
        <v>1.0245225062013859</v>
      </c>
      <c r="Y284" s="1474">
        <f t="shared" si="151"/>
        <v>1.02</v>
      </c>
      <c r="Z284" s="1475">
        <f t="shared" ca="1" si="131"/>
        <v>1.6549565565300055</v>
      </c>
      <c r="AB284" s="1476">
        <f t="shared" ca="1" si="141"/>
        <v>1.0245225062013859</v>
      </c>
      <c r="AC284" s="1474">
        <f t="shared" si="152"/>
        <v>1.02</v>
      </c>
      <c r="AD284" s="1475">
        <f t="shared" ca="1" si="132"/>
        <v>1.6549565565300055</v>
      </c>
      <c r="AF284" s="1476">
        <f t="shared" ca="1" si="142"/>
        <v>1.0680000000000009</v>
      </c>
      <c r="AG284" s="1474">
        <f t="shared" si="153"/>
        <v>0</v>
      </c>
      <c r="AH284" s="1475">
        <f t="shared" ca="1" si="133"/>
        <v>4.7984682326003112</v>
      </c>
      <c r="AJ284" s="1476">
        <f t="shared" ca="1" si="143"/>
        <v>1.0245225062013859</v>
      </c>
      <c r="AK284" s="1474">
        <f t="shared" si="154"/>
        <v>1.02</v>
      </c>
      <c r="AL284" s="1475">
        <f t="shared" ca="1" si="134"/>
        <v>1.6549565565300055</v>
      </c>
      <c r="AN284" s="1476">
        <f t="shared" ca="1" si="144"/>
        <v>1.0270225062013858</v>
      </c>
      <c r="AO284" s="1474">
        <f t="shared" si="155"/>
        <v>1.0049999999999999</v>
      </c>
      <c r="AP284" s="1475">
        <f t="shared" ca="1" si="135"/>
        <v>1.7280133273368676</v>
      </c>
      <c r="AR284" s="701">
        <f t="shared" si="156"/>
        <v>43466</v>
      </c>
      <c r="AS284" s="1478">
        <f ca="1">IF(AND($A284&gt;=EDATE(AS$17,12),IF(Assm!$L$74=0,$D284,$E284)/AS283&gt;=1.05),IF(Assm!$L$74=0,$D284,$E284),AS283)</f>
        <v>3.0629387352985575</v>
      </c>
      <c r="AT284" s="1478">
        <f t="shared" ca="1" si="145"/>
        <v>1.0507073180513418</v>
      </c>
      <c r="AU284" s="1478">
        <f t="shared" ca="1" si="157"/>
        <v>1.0680000000000009</v>
      </c>
      <c r="AV284" s="1478">
        <f t="shared" ca="1" si="158"/>
        <v>1.0680000000000009</v>
      </c>
      <c r="AW284" s="1475">
        <f t="shared" ca="1" si="159"/>
        <v>4.4967221989475599</v>
      </c>
    </row>
    <row r="285" spans="1:49">
      <c r="A285" s="883">
        <f t="shared" ca="1" si="147"/>
        <v>43497</v>
      </c>
      <c r="B285" s="1390">
        <f ca="1">'[2]Monthly Curve Calc.'!B288</f>
        <v>708.66489197952978</v>
      </c>
      <c r="C285" s="1391">
        <f ca="1">'[2]Monthly Curve Calc.'!C288</f>
        <v>283.12682354345759</v>
      </c>
      <c r="D285" s="1512">
        <f ca="1">'[2]Monthly Curve Calc.'!F288</f>
        <v>3.1190451630411142</v>
      </c>
      <c r="E285" s="1304">
        <f t="shared" ca="1" si="146"/>
        <v>3.0502187800045277</v>
      </c>
      <c r="F285" s="1473">
        <f ca="1">IF(Assm!$L$75=0,F284,IF(AND($A285&gt;F$16,MONTH($A285)=MONTH(F$16)),B284/B272,F284))</f>
        <v>1.0680000000000009</v>
      </c>
      <c r="G285" s="1474">
        <f ca="1">IF(Assm!$L$75=0,G284,IF(AND($A285&gt;G$16,MONTH($A285)=MONTH(G$16)),C284/C272,G284))</f>
        <v>1.0270225062013858</v>
      </c>
      <c r="H285" s="1474">
        <f ca="1">IF(Assm!$L$75=0,H284,IF(AND($A285&gt;H$16,MONTH($A285)=MONTH(H$16)),C284/C272-H$18,H284))</f>
        <v>1.0245225062013859</v>
      </c>
      <c r="I285" s="1474">
        <f ca="1">IF(Assm!$L$75=0,I284,IF($A285&gt;=I$16,IF(MONTH($A285)=MONTH(I$16),AVERAGE(D273:D284),I284),I284))</f>
        <v>3.0807225214616292</v>
      </c>
      <c r="J285" s="1475">
        <f ca="1">IF(Assm!$L$75=0,J284,IF($A285&gt;=J$16,IF(MONTH($A285)=MONTH(J$16),AVERAGE(E273:E284),J284),J284))</f>
        <v>2.9774176874113869</v>
      </c>
      <c r="K285" s="958">
        <f t="shared" si="136"/>
        <v>273</v>
      </c>
      <c r="L285" s="1476">
        <f t="shared" ca="1" si="137"/>
        <v>1.0270225062013858</v>
      </c>
      <c r="M285" s="1474">
        <f t="shared" si="148"/>
        <v>0</v>
      </c>
      <c r="N285" s="1475">
        <f t="shared" ca="1" si="128"/>
        <v>1.7280133273368676</v>
      </c>
      <c r="P285" s="1476">
        <f t="shared" ca="1" si="138"/>
        <v>1.0680000000000009</v>
      </c>
      <c r="Q285" s="1474">
        <f t="shared" si="149"/>
        <v>0</v>
      </c>
      <c r="R285" s="1475">
        <f t="shared" ca="1" si="129"/>
        <v>4.7984682326003112</v>
      </c>
      <c r="T285" s="1476">
        <f t="shared" ca="1" si="139"/>
        <v>1.0270225062013858</v>
      </c>
      <c r="U285" s="1474">
        <f t="shared" si="150"/>
        <v>1.0049999999999999</v>
      </c>
      <c r="V285" s="1475">
        <f t="shared" ca="1" si="130"/>
        <v>1.7280133273368676</v>
      </c>
      <c r="X285" s="1476">
        <f t="shared" ca="1" si="140"/>
        <v>1.0245225062013859</v>
      </c>
      <c r="Y285" s="1474">
        <f t="shared" si="151"/>
        <v>1.02</v>
      </c>
      <c r="Z285" s="1475">
        <f t="shared" ca="1" si="131"/>
        <v>1.6549565565300055</v>
      </c>
      <c r="AB285" s="1476">
        <f t="shared" ca="1" si="141"/>
        <v>1.0245225062013859</v>
      </c>
      <c r="AC285" s="1474">
        <f t="shared" si="152"/>
        <v>1.02</v>
      </c>
      <c r="AD285" s="1475">
        <f t="shared" ca="1" si="132"/>
        <v>1.6549565565300055</v>
      </c>
      <c r="AF285" s="1476">
        <f t="shared" ca="1" si="142"/>
        <v>1.0680000000000009</v>
      </c>
      <c r="AG285" s="1474">
        <f t="shared" si="153"/>
        <v>0</v>
      </c>
      <c r="AH285" s="1475">
        <f t="shared" ca="1" si="133"/>
        <v>4.7984682326003112</v>
      </c>
      <c r="AJ285" s="1476">
        <f t="shared" ca="1" si="143"/>
        <v>1.0245225062013859</v>
      </c>
      <c r="AK285" s="1474">
        <f t="shared" si="154"/>
        <v>1.02</v>
      </c>
      <c r="AL285" s="1475">
        <f t="shared" ca="1" si="134"/>
        <v>1.6549565565300055</v>
      </c>
      <c r="AN285" s="1476">
        <f t="shared" ca="1" si="144"/>
        <v>1.0270225062013858</v>
      </c>
      <c r="AO285" s="1474">
        <f t="shared" si="155"/>
        <v>1.0049999999999999</v>
      </c>
      <c r="AP285" s="1475">
        <f t="shared" ca="1" si="135"/>
        <v>1.7280133273368676</v>
      </c>
      <c r="AR285" s="701">
        <f t="shared" ca="1" si="156"/>
        <v>43497</v>
      </c>
      <c r="AS285" s="1478">
        <f ca="1">IF(AND($A285&gt;=EDATE(AS$17,12),IF(Assm!$L$74=0,$D285,$E285)/AS284&gt;=1.05),IF(Assm!$L$74=0,$D285,$E285),AS284)</f>
        <v>3.0629387352985575</v>
      </c>
      <c r="AT285" s="1478">
        <f t="shared" ca="1" si="145"/>
        <v>1.0507073180513418</v>
      </c>
      <c r="AU285" s="1478">
        <f t="shared" ca="1" si="157"/>
        <v>1.0680000000000009</v>
      </c>
      <c r="AV285" s="1478">
        <f t="shared" ca="1" si="158"/>
        <v>1.0680000000000009</v>
      </c>
      <c r="AW285" s="1475">
        <f t="shared" ca="1" si="159"/>
        <v>4.4967221989475599</v>
      </c>
    </row>
    <row r="286" spans="1:49">
      <c r="A286" s="883">
        <f t="shared" ca="1" si="147"/>
        <v>43525</v>
      </c>
      <c r="B286" s="1390">
        <f ca="1">'[2]Monthly Curve Calc.'!B289</f>
        <v>712.56068302923768</v>
      </c>
      <c r="C286" s="1391">
        <f ca="1">'[2]Monthly Curve Calc.'!C289</f>
        <v>283.77507155785662</v>
      </c>
      <c r="D286" s="1512">
        <f ca="1">'[2]Monthly Curve Calc.'!F289</f>
        <v>3.1242066650685127</v>
      </c>
      <c r="E286" s="1304">
        <f t="shared" ca="1" si="146"/>
        <v>3.0599808111848641</v>
      </c>
      <c r="F286" s="1473">
        <f ca="1">IF(Assm!$L$75=0,F285,IF(AND($A286&gt;F$16,MONTH($A286)=MONTH(F$16)),B285/B273,F285))</f>
        <v>1.0680000000000009</v>
      </c>
      <c r="G286" s="1474">
        <f ca="1">IF(Assm!$L$75=0,G285,IF(AND($A286&gt;G$16,MONTH($A286)=MONTH(G$16)),C285/C273,G285))</f>
        <v>1.0270225062013858</v>
      </c>
      <c r="H286" s="1474">
        <f ca="1">IF(Assm!$L$75=0,H285,IF(AND($A286&gt;H$16,MONTH($A286)=MONTH(H$16)),C285/C273-H$18,H285))</f>
        <v>1.0245225062013859</v>
      </c>
      <c r="I286" s="1474">
        <f ca="1">IF(Assm!$L$75=0,I285,IF($A286&gt;=I$16,IF(MONTH($A286)=MONTH(I$16),AVERAGE(D274:D285),I285),I285))</f>
        <v>3.0807225214616292</v>
      </c>
      <c r="J286" s="1475">
        <f ca="1">IF(Assm!$L$75=0,J285,IF($A286&gt;=J$16,IF(MONTH($A286)=MONTH(J$16),AVERAGE(E274:E285),J285),J285))</f>
        <v>2.9774176874113869</v>
      </c>
      <c r="K286" s="958">
        <f t="shared" si="136"/>
        <v>274</v>
      </c>
      <c r="L286" s="1476">
        <f t="shared" ca="1" si="137"/>
        <v>1.0270225062013858</v>
      </c>
      <c r="M286" s="1474">
        <f t="shared" si="148"/>
        <v>0</v>
      </c>
      <c r="N286" s="1475">
        <f t="shared" ca="1" si="128"/>
        <v>1.7280133273368676</v>
      </c>
      <c r="P286" s="1476">
        <f t="shared" ca="1" si="138"/>
        <v>1.0680000000000009</v>
      </c>
      <c r="Q286" s="1474">
        <f t="shared" si="149"/>
        <v>0</v>
      </c>
      <c r="R286" s="1475">
        <f t="shared" ca="1" si="129"/>
        <v>4.7984682326003112</v>
      </c>
      <c r="T286" s="1476">
        <f t="shared" ca="1" si="139"/>
        <v>1.0270225062013858</v>
      </c>
      <c r="U286" s="1474">
        <f t="shared" si="150"/>
        <v>1.0049999999999999</v>
      </c>
      <c r="V286" s="1475">
        <f t="shared" ca="1" si="130"/>
        <v>1.7280133273368676</v>
      </c>
      <c r="X286" s="1476">
        <f t="shared" ca="1" si="140"/>
        <v>1.0245225062013859</v>
      </c>
      <c r="Y286" s="1474">
        <f t="shared" si="151"/>
        <v>1.02</v>
      </c>
      <c r="Z286" s="1475">
        <f t="shared" ca="1" si="131"/>
        <v>1.6549565565300055</v>
      </c>
      <c r="AB286" s="1476">
        <f t="shared" ca="1" si="141"/>
        <v>1.0245225062013859</v>
      </c>
      <c r="AC286" s="1474">
        <f t="shared" si="152"/>
        <v>1.02</v>
      </c>
      <c r="AD286" s="1475">
        <f t="shared" ca="1" si="132"/>
        <v>1.6549565565300055</v>
      </c>
      <c r="AF286" s="1476">
        <f t="shared" ca="1" si="142"/>
        <v>1.0680000000000009</v>
      </c>
      <c r="AG286" s="1474">
        <f t="shared" si="153"/>
        <v>0</v>
      </c>
      <c r="AH286" s="1475">
        <f t="shared" ca="1" si="133"/>
        <v>4.7984682326003112</v>
      </c>
      <c r="AJ286" s="1476">
        <f t="shared" ca="1" si="143"/>
        <v>1.0245225062013859</v>
      </c>
      <c r="AK286" s="1474">
        <f t="shared" si="154"/>
        <v>1.02</v>
      </c>
      <c r="AL286" s="1475">
        <f t="shared" ca="1" si="134"/>
        <v>1.6549565565300055</v>
      </c>
      <c r="AN286" s="1476">
        <f t="shared" ca="1" si="144"/>
        <v>1.0270225062013858</v>
      </c>
      <c r="AO286" s="1474">
        <f t="shared" si="155"/>
        <v>1.0049999999999999</v>
      </c>
      <c r="AP286" s="1475">
        <f t="shared" ca="1" si="135"/>
        <v>1.7280133273368676</v>
      </c>
      <c r="AR286" s="701">
        <f t="shared" ca="1" si="156"/>
        <v>43525</v>
      </c>
      <c r="AS286" s="1478">
        <f ca="1">IF(AND($A286&gt;=EDATE(AS$17,12),IF(Assm!$L$74=0,$D286,$E286)/AS285&gt;=1.05),IF(Assm!$L$74=0,$D286,$E286),AS285)</f>
        <v>3.0629387352985575</v>
      </c>
      <c r="AT286" s="1478">
        <f t="shared" ca="1" si="145"/>
        <v>1.0507073180513418</v>
      </c>
      <c r="AU286" s="1478">
        <f t="shared" ca="1" si="157"/>
        <v>1.0680000000000009</v>
      </c>
      <c r="AV286" s="1478">
        <f t="shared" ca="1" si="158"/>
        <v>1.0680000000000009</v>
      </c>
      <c r="AW286" s="1475">
        <f t="shared" ca="1" si="159"/>
        <v>4.4967221989475599</v>
      </c>
    </row>
    <row r="287" spans="1:49">
      <c r="A287" s="883">
        <f t="shared" ca="1" si="147"/>
        <v>43556</v>
      </c>
      <c r="B287" s="1390">
        <f ca="1">'[2]Monthly Curve Calc.'!B290</f>
        <v>716.47789067242263</v>
      </c>
      <c r="C287" s="1391">
        <f ca="1">'[2]Monthly Curve Calc.'!C290</f>
        <v>284.42480380283092</v>
      </c>
      <c r="D287" s="1512">
        <f ca="1">'[2]Monthly Curve Calc.'!F290</f>
        <v>3.1293767085250299</v>
      </c>
      <c r="E287" s="1304">
        <f t="shared" ca="1" si="146"/>
        <v>3.0697740851250281</v>
      </c>
      <c r="F287" s="1473">
        <f ca="1">IF(Assm!$L$75=0,F286,IF(AND($A287&gt;F$16,MONTH($A287)=MONTH(F$16)),B286/B274,F286))</f>
        <v>1.0680000000000009</v>
      </c>
      <c r="G287" s="1474">
        <f ca="1">IF(Assm!$L$75=0,G286,IF(AND($A287&gt;G$16,MONTH($A287)=MONTH(G$16)),C286/C274,G286))</f>
        <v>1.0270225062013858</v>
      </c>
      <c r="H287" s="1474">
        <f ca="1">IF(Assm!$L$75=0,H286,IF(AND($A287&gt;H$16,MONTH($A287)=MONTH(H$16)),C286/C274-H$18,H286))</f>
        <v>1.0245225062013859</v>
      </c>
      <c r="I287" s="1474">
        <f ca="1">IF(Assm!$L$75=0,I286,IF($A287&gt;=I$16,IF(MONTH($A287)=MONTH(I$16),AVERAGE(D275:D286),I286),I286))</f>
        <v>3.0807225214616292</v>
      </c>
      <c r="J287" s="1475">
        <f ca="1">IF(Assm!$L$75=0,J286,IF($A287&gt;=J$16,IF(MONTH($A287)=MONTH(J$16),AVERAGE(E275:E286),J286),J286))</f>
        <v>2.9774176874113869</v>
      </c>
      <c r="K287" s="958">
        <f t="shared" si="136"/>
        <v>275</v>
      </c>
      <c r="L287" s="1476">
        <f t="shared" ca="1" si="137"/>
        <v>1.0270225062013858</v>
      </c>
      <c r="M287" s="1474">
        <f t="shared" si="148"/>
        <v>0</v>
      </c>
      <c r="N287" s="1475">
        <f t="shared" ca="1" si="128"/>
        <v>1.7280133273368676</v>
      </c>
      <c r="P287" s="1476">
        <f t="shared" ca="1" si="138"/>
        <v>1.0680000000000009</v>
      </c>
      <c r="Q287" s="1474">
        <f t="shared" si="149"/>
        <v>0</v>
      </c>
      <c r="R287" s="1475">
        <f t="shared" ca="1" si="129"/>
        <v>4.7984682326003112</v>
      </c>
      <c r="T287" s="1476">
        <f t="shared" ca="1" si="139"/>
        <v>1.0270225062013858</v>
      </c>
      <c r="U287" s="1474">
        <f t="shared" si="150"/>
        <v>1.0049999999999999</v>
      </c>
      <c r="V287" s="1475">
        <f t="shared" ca="1" si="130"/>
        <v>1.7280133273368676</v>
      </c>
      <c r="X287" s="1476">
        <f t="shared" ca="1" si="140"/>
        <v>1.0245225062013859</v>
      </c>
      <c r="Y287" s="1474">
        <f t="shared" si="151"/>
        <v>1.02</v>
      </c>
      <c r="Z287" s="1475">
        <f t="shared" ca="1" si="131"/>
        <v>1.6549565565300055</v>
      </c>
      <c r="AB287" s="1476">
        <f t="shared" ca="1" si="141"/>
        <v>1.0245225062013859</v>
      </c>
      <c r="AC287" s="1474">
        <f t="shared" si="152"/>
        <v>1.02</v>
      </c>
      <c r="AD287" s="1475">
        <f t="shared" ca="1" si="132"/>
        <v>1.6549565565300055</v>
      </c>
      <c r="AF287" s="1476">
        <f t="shared" ca="1" si="142"/>
        <v>1.0680000000000009</v>
      </c>
      <c r="AG287" s="1474">
        <f t="shared" si="153"/>
        <v>0</v>
      </c>
      <c r="AH287" s="1475">
        <f t="shared" ca="1" si="133"/>
        <v>4.7984682326003112</v>
      </c>
      <c r="AJ287" s="1476">
        <f t="shared" ca="1" si="143"/>
        <v>1.0245225062013859</v>
      </c>
      <c r="AK287" s="1474">
        <f t="shared" si="154"/>
        <v>1.02</v>
      </c>
      <c r="AL287" s="1475">
        <f t="shared" ca="1" si="134"/>
        <v>1.6549565565300055</v>
      </c>
      <c r="AN287" s="1476">
        <f t="shared" ca="1" si="144"/>
        <v>1.0270225062013858</v>
      </c>
      <c r="AO287" s="1474">
        <f t="shared" si="155"/>
        <v>1.0049999999999999</v>
      </c>
      <c r="AP287" s="1475">
        <f t="shared" ca="1" si="135"/>
        <v>1.7280133273368676</v>
      </c>
      <c r="AR287" s="701">
        <f t="shared" ca="1" si="156"/>
        <v>43556</v>
      </c>
      <c r="AS287" s="1478">
        <f ca="1">IF(AND($A287&gt;=EDATE(AS$17,12),IF(Assm!$L$74=0,$D287,$E287)/AS286&gt;=1.05),IF(Assm!$L$74=0,$D287,$E287),AS286)</f>
        <v>3.0629387352985575</v>
      </c>
      <c r="AT287" s="1478">
        <f t="shared" ca="1" si="145"/>
        <v>1.0507073180513418</v>
      </c>
      <c r="AU287" s="1478">
        <f t="shared" ca="1" si="157"/>
        <v>1.0680000000000009</v>
      </c>
      <c r="AV287" s="1478">
        <f t="shared" ca="1" si="158"/>
        <v>1.0680000000000009</v>
      </c>
      <c r="AW287" s="1475">
        <f t="shared" ca="1" si="159"/>
        <v>4.4967221989475599</v>
      </c>
    </row>
    <row r="288" spans="1:49">
      <c r="A288" s="883">
        <f t="shared" ca="1" si="147"/>
        <v>43586</v>
      </c>
      <c r="B288" s="1390">
        <f ca="1">'[2]Monthly Curve Calc.'!B291</f>
        <v>720.41663264396061</v>
      </c>
      <c r="C288" s="1391">
        <f ca="1">'[2]Monthly Curve Calc.'!C291</f>
        <v>285.07602367667914</v>
      </c>
      <c r="D288" s="1512">
        <f ca="1">'[2]Monthly Curve Calc.'!F291</f>
        <v>3.1345553075453139</v>
      </c>
      <c r="E288" s="1304">
        <f t="shared" ca="1" si="146"/>
        <v>3.0795987018154856</v>
      </c>
      <c r="F288" s="1473">
        <f ca="1">IF(Assm!$L$75=0,F287,IF(AND($A288&gt;F$16,MONTH($A288)=MONTH(F$16)),B287/B275,F287))</f>
        <v>1.0680000000000005</v>
      </c>
      <c r="G288" s="1474">
        <f ca="1">IF(Assm!$L$75=0,G287,IF(AND($A288&gt;G$16,MONTH($A288)=MONTH(G$16)),C287/C275,G287))</f>
        <v>1.027443307883817</v>
      </c>
      <c r="H288" s="1474">
        <f ca="1">IF(Assm!$L$75=0,H287,IF(AND($A288&gt;H$16,MONTH($A288)=MONTH(H$16)),C287/C275-H$18,H287))</f>
        <v>1.024943307883817</v>
      </c>
      <c r="I288" s="1474">
        <f ca="1">IF(Assm!$L$75=0,I287,IF($A288&gt;=I$16,IF(MONTH($A288)=MONTH(I$16),AVERAGE(D276:D287),I287),I287))</f>
        <v>3.0807225214616292</v>
      </c>
      <c r="J288" s="1475">
        <f ca="1">IF(Assm!$L$75=0,J287,IF($A288&gt;=J$16,IF(MONTH($A288)=MONTH(J$16),AVERAGE(E276:E287),J287),J287))</f>
        <v>2.9774176874113869</v>
      </c>
      <c r="K288" s="958">
        <f t="shared" si="136"/>
        <v>276</v>
      </c>
      <c r="L288" s="1476">
        <f t="shared" ca="1" si="137"/>
        <v>1.027443307883817</v>
      </c>
      <c r="M288" s="1474">
        <f t="shared" si="148"/>
        <v>0</v>
      </c>
      <c r="N288" s="1475">
        <f t="shared" ca="1" si="128"/>
        <v>1.7754357291063123</v>
      </c>
      <c r="P288" s="1476">
        <f t="shared" ca="1" si="138"/>
        <v>1.0680000000000005</v>
      </c>
      <c r="Q288" s="1474">
        <f t="shared" si="149"/>
        <v>0</v>
      </c>
      <c r="R288" s="1475">
        <f t="shared" ca="1" si="129"/>
        <v>5.1247640724171344</v>
      </c>
      <c r="T288" s="1476">
        <f t="shared" ca="1" si="139"/>
        <v>1.027443307883817</v>
      </c>
      <c r="U288" s="1474">
        <f t="shared" si="150"/>
        <v>1.0049999999999999</v>
      </c>
      <c r="V288" s="1475">
        <f t="shared" ca="1" si="130"/>
        <v>1.7754357291063123</v>
      </c>
      <c r="X288" s="1476">
        <f t="shared" ca="1" si="140"/>
        <v>1.024943307883817</v>
      </c>
      <c r="Y288" s="1474">
        <f t="shared" si="151"/>
        <v>1.02</v>
      </c>
      <c r="Z288" s="1475">
        <f t="shared" ca="1" si="131"/>
        <v>1.696236647453875</v>
      </c>
      <c r="AB288" s="1476">
        <f t="shared" ca="1" si="141"/>
        <v>1.024943307883817</v>
      </c>
      <c r="AC288" s="1474">
        <f t="shared" si="152"/>
        <v>1.02</v>
      </c>
      <c r="AD288" s="1475">
        <f t="shared" ca="1" si="132"/>
        <v>1.696236647453875</v>
      </c>
      <c r="AF288" s="1476">
        <f t="shared" ca="1" si="142"/>
        <v>1.0680000000000005</v>
      </c>
      <c r="AG288" s="1474">
        <f t="shared" si="153"/>
        <v>0</v>
      </c>
      <c r="AH288" s="1475">
        <f t="shared" ca="1" si="133"/>
        <v>5.1247640724171344</v>
      </c>
      <c r="AJ288" s="1476">
        <f t="shared" ca="1" si="143"/>
        <v>1.024943307883817</v>
      </c>
      <c r="AK288" s="1474">
        <f t="shared" si="154"/>
        <v>1.02</v>
      </c>
      <c r="AL288" s="1475">
        <f t="shared" ca="1" si="134"/>
        <v>1.696236647453875</v>
      </c>
      <c r="AN288" s="1476">
        <f t="shared" ca="1" si="144"/>
        <v>1.027443307883817</v>
      </c>
      <c r="AO288" s="1474">
        <f t="shared" si="155"/>
        <v>1.0049999999999999</v>
      </c>
      <c r="AP288" s="1475">
        <f t="shared" ca="1" si="135"/>
        <v>1.7754357291063123</v>
      </c>
      <c r="AR288" s="701">
        <f t="shared" ca="1" si="156"/>
        <v>43586</v>
      </c>
      <c r="AS288" s="1478">
        <f ca="1">IF(AND($A288&gt;=EDATE(AS$17,12),IF(Assm!$L$74=0,$D288,$E288)/AS287&gt;=1.05),IF(Assm!$L$74=0,$D288,$E288),AS287)</f>
        <v>3.0629387352985575</v>
      </c>
      <c r="AT288" s="1478">
        <f t="shared" ca="1" si="145"/>
        <v>1.0507073180513418</v>
      </c>
      <c r="AU288" s="1478">
        <f t="shared" ca="1" si="157"/>
        <v>1.0680000000000005</v>
      </c>
      <c r="AV288" s="1478">
        <f t="shared" ca="1" si="158"/>
        <v>1.0680000000000005</v>
      </c>
      <c r="AW288" s="1475">
        <f t="shared" ca="1" si="159"/>
        <v>4.4967221989475599</v>
      </c>
    </row>
    <row r="289" spans="1:49" ht="13.5" thickBot="1">
      <c r="A289" s="884"/>
      <c r="B289" s="885"/>
      <c r="C289" s="886"/>
      <c r="D289" s="886"/>
      <c r="E289" s="886"/>
      <c r="F289" s="885"/>
      <c r="G289" s="886"/>
      <c r="H289" s="886"/>
      <c r="I289" s="886"/>
      <c r="J289" s="887"/>
      <c r="L289" s="888"/>
      <c r="M289" s="886"/>
      <c r="N289" s="887"/>
      <c r="P289" s="888"/>
      <c r="Q289" s="886"/>
      <c r="R289" s="887"/>
      <c r="T289" s="888"/>
      <c r="U289" s="886"/>
      <c r="V289" s="887"/>
      <c r="X289" s="888"/>
      <c r="Y289" s="886"/>
      <c r="Z289" s="887"/>
      <c r="AB289" s="888"/>
      <c r="AC289" s="886"/>
      <c r="AD289" s="887"/>
      <c r="AF289" s="888"/>
      <c r="AG289" s="886"/>
      <c r="AH289" s="887"/>
      <c r="AJ289" s="888"/>
      <c r="AK289" s="886"/>
      <c r="AL289" s="887"/>
      <c r="AN289" s="888"/>
      <c r="AO289" s="886"/>
      <c r="AP289" s="887"/>
      <c r="AR289" s="888"/>
      <c r="AS289" s="886"/>
      <c r="AT289" s="886"/>
      <c r="AU289" s="886"/>
      <c r="AV289" s="886"/>
      <c r="AW289" s="887"/>
    </row>
    <row r="291" spans="1:49">
      <c r="A291" s="889">
        <v>1</v>
      </c>
      <c r="B291" s="889">
        <f>A291+1</f>
        <v>2</v>
      </c>
      <c r="C291" s="889">
        <f t="shared" ref="C291:AW291" si="160">B291+1</f>
        <v>3</v>
      </c>
      <c r="D291" s="889">
        <f t="shared" si="160"/>
        <v>4</v>
      </c>
      <c r="E291" s="889">
        <f t="shared" si="160"/>
        <v>5</v>
      </c>
      <c r="F291" s="889">
        <f t="shared" si="160"/>
        <v>6</v>
      </c>
      <c r="G291" s="889">
        <f t="shared" si="160"/>
        <v>7</v>
      </c>
      <c r="H291" s="889">
        <f t="shared" si="160"/>
        <v>8</v>
      </c>
      <c r="I291" s="889">
        <f t="shared" si="160"/>
        <v>9</v>
      </c>
      <c r="J291" s="889">
        <f t="shared" si="160"/>
        <v>10</v>
      </c>
      <c r="K291" s="889">
        <f t="shared" si="160"/>
        <v>11</v>
      </c>
      <c r="L291" s="889">
        <f t="shared" si="160"/>
        <v>12</v>
      </c>
      <c r="M291" s="889">
        <f t="shared" si="160"/>
        <v>13</v>
      </c>
      <c r="N291" s="889">
        <f t="shared" si="160"/>
        <v>14</v>
      </c>
      <c r="O291" s="889">
        <f t="shared" si="160"/>
        <v>15</v>
      </c>
      <c r="P291" s="889">
        <f t="shared" si="160"/>
        <v>16</v>
      </c>
      <c r="Q291" s="889">
        <f t="shared" si="160"/>
        <v>17</v>
      </c>
      <c r="R291" s="889">
        <f t="shared" si="160"/>
        <v>18</v>
      </c>
      <c r="S291" s="889">
        <f t="shared" si="160"/>
        <v>19</v>
      </c>
      <c r="T291" s="889">
        <f t="shared" si="160"/>
        <v>20</v>
      </c>
      <c r="U291" s="889">
        <f t="shared" si="160"/>
        <v>21</v>
      </c>
      <c r="V291" s="889">
        <f t="shared" si="160"/>
        <v>22</v>
      </c>
      <c r="W291" s="889">
        <f t="shared" si="160"/>
        <v>23</v>
      </c>
      <c r="X291" s="889">
        <f t="shared" si="160"/>
        <v>24</v>
      </c>
      <c r="Y291" s="889">
        <f t="shared" si="160"/>
        <v>25</v>
      </c>
      <c r="Z291" s="889">
        <f t="shared" si="160"/>
        <v>26</v>
      </c>
      <c r="AA291" s="889">
        <f t="shared" si="160"/>
        <v>27</v>
      </c>
      <c r="AB291" s="889">
        <f t="shared" si="160"/>
        <v>28</v>
      </c>
      <c r="AC291" s="889">
        <f t="shared" si="160"/>
        <v>29</v>
      </c>
      <c r="AD291" s="889">
        <f t="shared" si="160"/>
        <v>30</v>
      </c>
      <c r="AE291" s="889">
        <f t="shared" si="160"/>
        <v>31</v>
      </c>
      <c r="AF291" s="889">
        <f t="shared" si="160"/>
        <v>32</v>
      </c>
      <c r="AG291" s="889">
        <f t="shared" si="160"/>
        <v>33</v>
      </c>
      <c r="AH291" s="889">
        <f t="shared" si="160"/>
        <v>34</v>
      </c>
      <c r="AI291" s="889">
        <f t="shared" si="160"/>
        <v>35</v>
      </c>
      <c r="AJ291" s="889">
        <f t="shared" si="160"/>
        <v>36</v>
      </c>
      <c r="AK291" s="889">
        <f t="shared" si="160"/>
        <v>37</v>
      </c>
      <c r="AL291" s="889">
        <f t="shared" si="160"/>
        <v>38</v>
      </c>
      <c r="AM291" s="889">
        <f t="shared" si="160"/>
        <v>39</v>
      </c>
      <c r="AN291" s="889">
        <f t="shared" si="160"/>
        <v>40</v>
      </c>
      <c r="AO291" s="889">
        <f t="shared" si="160"/>
        <v>41</v>
      </c>
      <c r="AP291" s="889">
        <f t="shared" si="160"/>
        <v>42</v>
      </c>
      <c r="AQ291" s="889">
        <f t="shared" si="160"/>
        <v>43</v>
      </c>
      <c r="AR291" s="889">
        <f t="shared" si="160"/>
        <v>44</v>
      </c>
      <c r="AS291" s="889">
        <f t="shared" si="160"/>
        <v>45</v>
      </c>
      <c r="AT291" s="889">
        <f t="shared" si="160"/>
        <v>46</v>
      </c>
      <c r="AU291" s="889">
        <f t="shared" si="160"/>
        <v>47</v>
      </c>
      <c r="AV291" s="889">
        <f t="shared" si="160"/>
        <v>48</v>
      </c>
      <c r="AW291" s="889">
        <f t="shared" si="160"/>
        <v>49</v>
      </c>
    </row>
  </sheetData>
  <printOptions horizontalCentered="1"/>
  <pageMargins left="0.25" right="0.25" top="0.5" bottom="0.5" header="0.25" footer="0.25"/>
  <pageSetup scale="40" fitToHeight="4" orientation="landscape" horizontalDpi="4294967292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CW81"/>
  <sheetViews>
    <sheetView showGridLines="0" zoomScale="90" workbookViewId="0">
      <selection activeCell="N11" sqref="N11"/>
    </sheetView>
  </sheetViews>
  <sheetFormatPr defaultRowHeight="12.75"/>
  <cols>
    <col min="1" max="1" width="1.7109375" customWidth="1"/>
    <col min="2" max="3" width="12.7109375" customWidth="1"/>
    <col min="4" max="4" width="1.7109375" customWidth="1"/>
    <col min="5" max="9" width="12.7109375" customWidth="1"/>
    <col min="10" max="10" width="1.7109375" customWidth="1"/>
    <col min="11" max="12" width="12.7109375" customWidth="1"/>
    <col min="13" max="13" width="1.7109375" customWidth="1"/>
    <col min="14" max="16" width="12.7109375" customWidth="1"/>
    <col min="17" max="17" width="1.7109375" customWidth="1"/>
    <col min="18" max="24" width="12.7109375" customWidth="1"/>
    <col min="25" max="25" width="1.7109375" customWidth="1"/>
    <col min="26" max="26" width="12.7109375" style="894" customWidth="1"/>
    <col min="27" max="38" width="12.7109375" customWidth="1"/>
    <col min="39" max="39" width="1.7109375" customWidth="1"/>
    <col min="40" max="44" width="12.7109375" customWidth="1"/>
    <col min="45" max="45" width="1.7109375" customWidth="1"/>
    <col min="46" max="47" width="12.7109375" customWidth="1"/>
    <col min="48" max="48" width="1.7109375" customWidth="1"/>
    <col min="49" max="51" width="12.7109375" customWidth="1"/>
    <col min="52" max="52" width="1.7109375" customWidth="1"/>
    <col min="53" max="59" width="12.7109375" customWidth="1"/>
    <col min="60" max="60" width="1.7109375" customWidth="1"/>
    <col min="61" max="61" width="12.7109375" style="894" customWidth="1"/>
    <col min="62" max="63" width="12.7109375" customWidth="1"/>
    <col min="64" max="64" width="1.7109375" customWidth="1"/>
    <col min="65" max="68" width="12.7109375" customWidth="1"/>
    <col min="70" max="71" width="12.7109375" customWidth="1"/>
    <col min="72" max="72" width="1.7109375" customWidth="1"/>
    <col min="73" max="77" width="12.7109375" customWidth="1"/>
    <col min="78" max="78" width="1.7109375" customWidth="1"/>
    <col min="79" max="80" width="12.7109375" customWidth="1"/>
    <col min="81" max="81" width="1.7109375" customWidth="1"/>
    <col min="82" max="84" width="12.7109375" customWidth="1"/>
    <col min="85" max="85" width="1.7109375" customWidth="1"/>
    <col min="86" max="92" width="12.7109375" customWidth="1"/>
    <col min="93" max="93" width="1.7109375" customWidth="1"/>
    <col min="94" max="94" width="12.7109375" style="894" customWidth="1"/>
    <col min="95" max="96" width="12.7109375" customWidth="1"/>
    <col min="97" max="97" width="1.7109375" customWidth="1"/>
    <col min="98" max="101" width="12.7109375" customWidth="1"/>
  </cols>
  <sheetData>
    <row r="1" spans="1:101" ht="15.75">
      <c r="A1" s="1137" t="str">
        <f>CONCATENATE(TOC!B2," ",TOC!B6)</f>
        <v>EMPRESSA PRODUTORA DE ENERGÍA LTDA (EPE) *** DRAFT COPY ***</v>
      </c>
    </row>
    <row r="2" spans="1:101" ht="15.75">
      <c r="A2" s="1137" t="str">
        <f>TOC!B3</f>
        <v>480 MW POWER PLANT (CUIABA, BRAZIL)</v>
      </c>
    </row>
    <row r="3" spans="1:101" ht="15">
      <c r="A3" s="118" t="str">
        <f>TOC!B4</f>
        <v>ENRON INTERNATIONAL</v>
      </c>
    </row>
    <row r="4" spans="1:101" ht="15">
      <c r="A4" s="932" t="s">
        <v>697</v>
      </c>
      <c r="B4" s="959"/>
      <c r="C4" s="959"/>
      <c r="D4" s="959"/>
      <c r="E4" s="959"/>
    </row>
    <row r="5" spans="1:101">
      <c r="AA5" s="1028" t="s">
        <v>1504</v>
      </c>
      <c r="AB5" s="1028" t="s">
        <v>259</v>
      </c>
      <c r="BJ5" s="1028" t="s">
        <v>1504</v>
      </c>
      <c r="BK5" s="1028" t="s">
        <v>259</v>
      </c>
      <c r="CQ5" s="1028" t="s">
        <v>1504</v>
      </c>
      <c r="CR5" s="1028" t="s">
        <v>259</v>
      </c>
    </row>
    <row r="6" spans="1:101" ht="13.5" thickBot="1">
      <c r="B6" s="9" t="s">
        <v>1302</v>
      </c>
      <c r="K6" s="1029">
        <v>1.3</v>
      </c>
      <c r="AA6" s="1030">
        <f>Exch</f>
        <v>1.0649999999999999</v>
      </c>
      <c r="AB6" s="1031">
        <f>(Pis+Cofins)/(1-(Pis+Cofins))</f>
        <v>2.722136620441705E-2</v>
      </c>
      <c r="AK6" s="9" t="s">
        <v>1303</v>
      </c>
      <c r="AT6" s="1032">
        <f>$K6</f>
        <v>1.3</v>
      </c>
      <c r="BJ6" s="1030">
        <f>Exch</f>
        <v>1.0649999999999999</v>
      </c>
      <c r="BK6" s="1031">
        <f>(Pis+Cofins)/(1-(Pis+Cofins))</f>
        <v>2.722136620441705E-2</v>
      </c>
      <c r="BR6" s="9" t="s">
        <v>1307</v>
      </c>
      <c r="CA6" s="1032">
        <f>$K6</f>
        <v>1.3</v>
      </c>
      <c r="CQ6" s="1030">
        <f>Exch</f>
        <v>1.0649999999999999</v>
      </c>
      <c r="CR6" s="1031">
        <f>(Pis+Cofins)/(1-(Pis+Cofins))</f>
        <v>2.722136620441705E-2</v>
      </c>
    </row>
    <row r="7" spans="1:101">
      <c r="B7" s="891" t="s">
        <v>1437</v>
      </c>
      <c r="C7" s="897" t="s">
        <v>403</v>
      </c>
      <c r="E7" s="830" t="s">
        <v>1308</v>
      </c>
      <c r="F7" s="1033"/>
      <c r="G7" s="1034" t="s">
        <v>1309</v>
      </c>
      <c r="H7" s="1033"/>
      <c r="I7" s="1035" t="s">
        <v>8</v>
      </c>
      <c r="K7" s="908" t="s">
        <v>1310</v>
      </c>
      <c r="L7" s="896" t="s">
        <v>1311</v>
      </c>
      <c r="N7" s="830" t="s">
        <v>1312</v>
      </c>
      <c r="O7" s="1033"/>
      <c r="P7" s="1035" t="s">
        <v>8</v>
      </c>
      <c r="R7" s="908" t="s">
        <v>1170</v>
      </c>
      <c r="S7" s="146" t="s">
        <v>1170</v>
      </c>
      <c r="T7" s="146" t="s">
        <v>1913</v>
      </c>
      <c r="U7" s="146" t="s">
        <v>1178</v>
      </c>
      <c r="V7" s="146" t="s">
        <v>1171</v>
      </c>
      <c r="W7" s="146" t="s">
        <v>1159</v>
      </c>
      <c r="X7" s="896" t="s">
        <v>8</v>
      </c>
      <c r="Z7" s="908" t="s">
        <v>8</v>
      </c>
      <c r="AA7" s="146" t="s">
        <v>1313</v>
      </c>
      <c r="AB7" s="146" t="s">
        <v>1314</v>
      </c>
      <c r="AC7" s="1036" t="s">
        <v>1162</v>
      </c>
      <c r="AD7" s="1037" t="s">
        <v>426</v>
      </c>
      <c r="AE7" s="146" t="s">
        <v>8</v>
      </c>
      <c r="AF7" s="580" t="s">
        <v>333</v>
      </c>
      <c r="AG7" s="896" t="s">
        <v>579</v>
      </c>
      <c r="AK7" s="891" t="s">
        <v>1437</v>
      </c>
      <c r="AL7" s="897" t="s">
        <v>403</v>
      </c>
      <c r="AN7" s="830" t="s">
        <v>1308</v>
      </c>
      <c r="AO7" s="1033"/>
      <c r="AP7" s="1034" t="s">
        <v>1309</v>
      </c>
      <c r="AQ7" s="1033"/>
      <c r="AR7" s="1035" t="s">
        <v>8</v>
      </c>
      <c r="AT7" s="908" t="s">
        <v>1310</v>
      </c>
      <c r="AU7" s="896" t="s">
        <v>1311</v>
      </c>
      <c r="AW7" s="830" t="s">
        <v>1312</v>
      </c>
      <c r="AX7" s="1033"/>
      <c r="AY7" s="1035" t="s">
        <v>8</v>
      </c>
      <c r="BA7" s="908" t="s">
        <v>1170</v>
      </c>
      <c r="BB7" s="146" t="s">
        <v>1170</v>
      </c>
      <c r="BC7" s="146" t="s">
        <v>1913</v>
      </c>
      <c r="BD7" s="146" t="s">
        <v>1178</v>
      </c>
      <c r="BE7" s="146" t="s">
        <v>1171</v>
      </c>
      <c r="BF7" s="146" t="s">
        <v>1159</v>
      </c>
      <c r="BG7" s="896" t="s">
        <v>8</v>
      </c>
      <c r="BI7" s="908" t="s">
        <v>8</v>
      </c>
      <c r="BJ7" s="146" t="s">
        <v>1313</v>
      </c>
      <c r="BK7" s="896" t="s">
        <v>1314</v>
      </c>
      <c r="BM7" s="1038" t="s">
        <v>8</v>
      </c>
      <c r="BN7" s="1037" t="s">
        <v>1437</v>
      </c>
      <c r="BO7" s="1039" t="s">
        <v>333</v>
      </c>
      <c r="BP7" s="896" t="s">
        <v>579</v>
      </c>
      <c r="BR7" s="891" t="s">
        <v>1437</v>
      </c>
      <c r="BS7" s="897" t="s">
        <v>403</v>
      </c>
      <c r="BU7" s="830" t="s">
        <v>1308</v>
      </c>
      <c r="BV7" s="1033"/>
      <c r="BW7" s="1034" t="s">
        <v>1309</v>
      </c>
      <c r="BX7" s="1033"/>
      <c r="BY7" s="1035" t="s">
        <v>8</v>
      </c>
      <c r="CA7" s="908" t="s">
        <v>1310</v>
      </c>
      <c r="CB7" s="896" t="s">
        <v>1311</v>
      </c>
      <c r="CD7" s="830" t="s">
        <v>1312</v>
      </c>
      <c r="CE7" s="1033"/>
      <c r="CF7" s="1035" t="s">
        <v>8</v>
      </c>
      <c r="CH7" s="908" t="s">
        <v>1170</v>
      </c>
      <c r="CI7" s="146" t="s">
        <v>1170</v>
      </c>
      <c r="CJ7" s="146" t="s">
        <v>1913</v>
      </c>
      <c r="CK7" s="146" t="s">
        <v>1178</v>
      </c>
      <c r="CL7" s="146" t="s">
        <v>1171</v>
      </c>
      <c r="CM7" s="903" t="s">
        <v>1159</v>
      </c>
      <c r="CN7" s="1035" t="s">
        <v>8</v>
      </c>
      <c r="CP7" s="908" t="s">
        <v>8</v>
      </c>
      <c r="CQ7" s="146" t="s">
        <v>1313</v>
      </c>
      <c r="CR7" s="896" t="s">
        <v>1314</v>
      </c>
      <c r="CT7" s="1038" t="s">
        <v>8</v>
      </c>
      <c r="CU7" s="1037" t="s">
        <v>1437</v>
      </c>
      <c r="CV7" s="1039" t="s">
        <v>333</v>
      </c>
      <c r="CW7" s="896" t="s">
        <v>579</v>
      </c>
    </row>
    <row r="8" spans="1:101">
      <c r="B8" s="541" t="s">
        <v>570</v>
      </c>
      <c r="C8" s="159" t="s">
        <v>570</v>
      </c>
      <c r="E8" s="835" t="s">
        <v>573</v>
      </c>
      <c r="F8" s="905" t="s">
        <v>574</v>
      </c>
      <c r="G8" s="904" t="s">
        <v>573</v>
      </c>
      <c r="H8" s="905" t="s">
        <v>574</v>
      </c>
      <c r="I8" s="180" t="s">
        <v>705</v>
      </c>
      <c r="K8" s="835" t="s">
        <v>705</v>
      </c>
      <c r="L8" s="133" t="s">
        <v>705</v>
      </c>
      <c r="N8" s="835" t="s">
        <v>573</v>
      </c>
      <c r="O8" s="905" t="s">
        <v>574</v>
      </c>
      <c r="P8" s="180" t="s">
        <v>1312</v>
      </c>
      <c r="R8" s="835" t="s">
        <v>1173</v>
      </c>
      <c r="S8" s="167" t="s">
        <v>1174</v>
      </c>
      <c r="T8" s="167" t="s">
        <v>1914</v>
      </c>
      <c r="U8" s="167" t="s">
        <v>1172</v>
      </c>
      <c r="V8" s="167" t="s">
        <v>1172</v>
      </c>
      <c r="W8" s="1018">
        <f>Rev_Exp!$B$86</f>
        <v>0.17647058823529413</v>
      </c>
      <c r="X8" s="133" t="s">
        <v>1781</v>
      </c>
      <c r="Z8" s="835" t="s">
        <v>1484</v>
      </c>
      <c r="AA8" s="167" t="s">
        <v>1316</v>
      </c>
      <c r="AB8" s="167" t="s">
        <v>1317</v>
      </c>
      <c r="AC8" s="1040" t="s">
        <v>678</v>
      </c>
      <c r="AD8" s="1041" t="s">
        <v>678</v>
      </c>
      <c r="AE8" s="167" t="s">
        <v>1007</v>
      </c>
      <c r="AF8" s="18" t="s">
        <v>332</v>
      </c>
      <c r="AG8" s="133" t="s">
        <v>1283</v>
      </c>
      <c r="AK8" s="541" t="s">
        <v>570</v>
      </c>
      <c r="AL8" s="159" t="s">
        <v>570</v>
      </c>
      <c r="AN8" s="835" t="s">
        <v>573</v>
      </c>
      <c r="AO8" s="905" t="s">
        <v>574</v>
      </c>
      <c r="AP8" s="904" t="s">
        <v>573</v>
      </c>
      <c r="AQ8" s="905" t="s">
        <v>574</v>
      </c>
      <c r="AR8" s="180" t="s">
        <v>705</v>
      </c>
      <c r="AT8" s="835" t="s">
        <v>705</v>
      </c>
      <c r="AU8" s="133" t="s">
        <v>705</v>
      </c>
      <c r="AW8" s="835" t="s">
        <v>573</v>
      </c>
      <c r="AX8" s="905" t="s">
        <v>574</v>
      </c>
      <c r="AY8" s="180" t="s">
        <v>1312</v>
      </c>
      <c r="BA8" s="835" t="s">
        <v>1173</v>
      </c>
      <c r="BB8" s="167" t="s">
        <v>1174</v>
      </c>
      <c r="BC8" s="167" t="s">
        <v>1914</v>
      </c>
      <c r="BD8" s="167" t="s">
        <v>1172</v>
      </c>
      <c r="BE8" s="167" t="s">
        <v>1172</v>
      </c>
      <c r="BF8" s="1018">
        <f>Rev_Exp!$B$86</f>
        <v>0.17647058823529413</v>
      </c>
      <c r="BG8" s="133" t="s">
        <v>1781</v>
      </c>
      <c r="BI8" s="835" t="s">
        <v>1484</v>
      </c>
      <c r="BJ8" s="167" t="s">
        <v>1316</v>
      </c>
      <c r="BK8" s="133" t="s">
        <v>1317</v>
      </c>
      <c r="BM8" s="1042" t="s">
        <v>1318</v>
      </c>
      <c r="BN8" s="1041" t="s">
        <v>678</v>
      </c>
      <c r="BO8" s="1043" t="s">
        <v>332</v>
      </c>
      <c r="BP8" s="133" t="s">
        <v>1283</v>
      </c>
      <c r="BR8" s="541" t="s">
        <v>570</v>
      </c>
      <c r="BS8" s="159" t="s">
        <v>570</v>
      </c>
      <c r="BU8" s="835" t="s">
        <v>573</v>
      </c>
      <c r="BV8" s="905" t="s">
        <v>574</v>
      </c>
      <c r="BW8" s="904" t="s">
        <v>573</v>
      </c>
      <c r="BX8" s="905" t="s">
        <v>574</v>
      </c>
      <c r="BY8" s="180" t="s">
        <v>705</v>
      </c>
      <c r="CA8" s="835" t="s">
        <v>705</v>
      </c>
      <c r="CB8" s="133" t="s">
        <v>705</v>
      </c>
      <c r="CD8" s="835" t="s">
        <v>573</v>
      </c>
      <c r="CE8" s="905" t="s">
        <v>574</v>
      </c>
      <c r="CF8" s="180" t="s">
        <v>1312</v>
      </c>
      <c r="CH8" s="835" t="s">
        <v>1173</v>
      </c>
      <c r="CI8" s="167" t="s">
        <v>1174</v>
      </c>
      <c r="CJ8" s="167" t="s">
        <v>1914</v>
      </c>
      <c r="CK8" s="167" t="s">
        <v>1172</v>
      </c>
      <c r="CL8" s="167" t="s">
        <v>1172</v>
      </c>
      <c r="CM8" s="1044">
        <f>Rev_Exp!$B$86</f>
        <v>0.17647058823529413</v>
      </c>
      <c r="CN8" s="180" t="s">
        <v>1781</v>
      </c>
      <c r="CP8" s="835" t="s">
        <v>1484</v>
      </c>
      <c r="CQ8" s="167" t="s">
        <v>1316</v>
      </c>
      <c r="CR8" s="133" t="s">
        <v>1317</v>
      </c>
      <c r="CT8" s="1042" t="s">
        <v>1318</v>
      </c>
      <c r="CU8" s="1041" t="s">
        <v>678</v>
      </c>
      <c r="CV8" s="1043" t="s">
        <v>332</v>
      </c>
      <c r="CW8" s="133" t="s">
        <v>1283</v>
      </c>
    </row>
    <row r="9" spans="1:101">
      <c r="B9" s="899">
        <v>1</v>
      </c>
      <c r="C9" s="1045">
        <f ca="1">YEAR(Startops1)</f>
        <v>1999</v>
      </c>
      <c r="E9" s="1046">
        <f t="shared" ref="E9:E47" ca="1" si="0">VLOOKUP($C9,Sr_Debt_Table,O$78)</f>
        <v>0</v>
      </c>
      <c r="F9" s="1047">
        <f t="shared" ref="F9:F47" ca="1" si="1">VLOOKUP($C9,Sr_Debt_Table,P$78)</f>
        <v>0</v>
      </c>
      <c r="G9" s="1048">
        <f t="shared" ref="G9:G47" ca="1" si="2">VLOOKUP($C9,Sr_Debt_Table,R$78)</f>
        <v>0</v>
      </c>
      <c r="H9" s="1047">
        <f t="shared" ref="H9:H47" ca="1" si="3">VLOOKUP($C9,Sr_Debt_Table,S$78)</f>
        <v>0</v>
      </c>
      <c r="I9" s="1049">
        <f ca="1">SUM(E9:H9)</f>
        <v>0</v>
      </c>
      <c r="K9" s="1046">
        <f ca="1">(K$6-1)*I9</f>
        <v>0</v>
      </c>
      <c r="L9" s="900">
        <f ca="1">-HLOOKUP($C9,CF_Table,CF!$AB$34)</f>
        <v>0</v>
      </c>
      <c r="N9" s="1046">
        <f t="shared" ref="N9:N47" ca="1" si="4">VLOOKUP($C9,Sub_Debt_Table,X$78)</f>
        <v>0</v>
      </c>
      <c r="O9" s="1047">
        <f t="shared" ref="O9:O47" ca="1" si="5">VLOOKUP($C9,Sub_Debt_Table,Z$78)</f>
        <v>0</v>
      </c>
      <c r="P9" s="1049">
        <f ca="1">SUM(N9:O9)</f>
        <v>0</v>
      </c>
      <c r="R9" s="1046">
        <f t="shared" ref="R9:R47" ca="1" si="6">VLOOKUP($C9,OM_Table_US,AD$78)</f>
        <v>337.5</v>
      </c>
      <c r="S9" s="892">
        <f t="shared" ref="S9:S47" ca="1" si="7">VLOOKUP($C9,OM_Table_US,AE$78)</f>
        <v>56.25</v>
      </c>
      <c r="T9" s="892">
        <f t="shared" ref="T9:T47" ca="1" si="8">VLOOKUP($C9,OM_Table_US,AF$78)</f>
        <v>0</v>
      </c>
      <c r="U9" s="892">
        <f t="shared" ref="U9:U47" ca="1" si="9">VLOOKUP($C9,OM_Table_US,AG$78)</f>
        <v>64.434375000000003</v>
      </c>
      <c r="V9" s="892">
        <f t="shared" ref="V9:V47" ca="1" si="10">VLOOKUP($C9,OM_Table_US,AH$78)</f>
        <v>5085.763910526317</v>
      </c>
      <c r="W9" s="892">
        <f t="shared" ref="W9:W47" ca="1" si="11">VLOOKUP($C9,OM_Table_US,AI$78)</f>
        <v>59.558823529411768</v>
      </c>
      <c r="X9" s="900">
        <f ca="1">SUM(R9:W9)</f>
        <v>5603.5071090557285</v>
      </c>
      <c r="Z9" s="1046">
        <f ca="1">SUM(I9,K9,L9,P9,X9)</f>
        <v>5603.5071090557285</v>
      </c>
      <c r="AA9" s="187">
        <f ca="1">Z9*AA$6</f>
        <v>5967.7350711443505</v>
      </c>
      <c r="AB9" s="187">
        <f ca="1">AA9*(1+AB$6)</f>
        <v>6130.1849729269134</v>
      </c>
      <c r="AC9" s="1050">
        <f ca="1">HLOOKUP($C9,CF_Table,CF!$AB$9)</f>
        <v>9</v>
      </c>
      <c r="AD9" s="1051">
        <f ca="1">HLOOKUP($C9,CF_Table,CF!$AB$12)</f>
        <v>9</v>
      </c>
      <c r="AE9" s="187">
        <f t="shared" ref="AE9:AE47" ca="1" si="12">AB9*AC9/AD9</f>
        <v>6130.1849729269134</v>
      </c>
      <c r="AF9" s="779">
        <v>150</v>
      </c>
      <c r="AG9" s="893">
        <f ca="1">AE9/AF9/AC9*1000</f>
        <v>4540.8777577236397</v>
      </c>
      <c r="AK9" s="1246">
        <f>$B9</f>
        <v>1</v>
      </c>
      <c r="AL9" s="152">
        <f ca="1">$C9</f>
        <v>1999</v>
      </c>
      <c r="AN9" s="1046">
        <f ca="1">E9*$AC9/$AD9</f>
        <v>0</v>
      </c>
      <c r="AO9" s="1047">
        <f ca="1">F9*$AC9/$AD9</f>
        <v>0</v>
      </c>
      <c r="AP9" s="1048">
        <f ca="1">G9*$AC9/$AD9</f>
        <v>0</v>
      </c>
      <c r="AQ9" s="1047">
        <f ca="1">H9*$AC9/$AD9</f>
        <v>0</v>
      </c>
      <c r="AR9" s="1049">
        <f ca="1">SUM(AN9:AQ9)</f>
        <v>0</v>
      </c>
      <c r="AT9" s="1046">
        <f t="shared" ref="AT9:AT47" ca="1" si="13">K9*$AC9/$AD9</f>
        <v>0</v>
      </c>
      <c r="AU9" s="900">
        <f t="shared" ref="AU9:AU47" ca="1" si="14">L9*$AC9/$AD9</f>
        <v>0</v>
      </c>
      <c r="AW9" s="1046">
        <f t="shared" ref="AW9:AW47" ca="1" si="15">N9*$AC9/$AD9</f>
        <v>0</v>
      </c>
      <c r="AX9" s="1047">
        <f t="shared" ref="AX9:AX47" ca="1" si="16">O9*$AC9/$AD9</f>
        <v>0</v>
      </c>
      <c r="AY9" s="1049">
        <f ca="1">SUM(AW9:AX9)</f>
        <v>0</v>
      </c>
      <c r="BA9" s="1046">
        <f t="shared" ref="BA9:BA47" ca="1" si="17">R9*$AC9/$AD9</f>
        <v>337.5</v>
      </c>
      <c r="BB9" s="892">
        <f t="shared" ref="BB9:BB47" ca="1" si="18">S9*$AC9/$AD9</f>
        <v>56.25</v>
      </c>
      <c r="BC9" s="892">
        <f t="shared" ref="BC9:BC47" ca="1" si="19">T9*$AC9/$AD9</f>
        <v>0</v>
      </c>
      <c r="BD9" s="892">
        <f t="shared" ref="BD9:BD47" ca="1" si="20">U9*$AC9/$AD9</f>
        <v>64.434375000000003</v>
      </c>
      <c r="BE9" s="892">
        <f t="shared" ref="BE9:BE47" ca="1" si="21">V9*$AC9/$AD9</f>
        <v>5085.763910526317</v>
      </c>
      <c r="BF9" s="892">
        <f t="shared" ref="BF9:BF47" ca="1" si="22">W9*$AC9/$AD9</f>
        <v>59.558823529411761</v>
      </c>
      <c r="BG9" s="900">
        <f ca="1">SUM(BA9:BF9)</f>
        <v>5603.5071090557285</v>
      </c>
      <c r="BI9" s="1046">
        <f ca="1">SUM(AR9,AT9,AU9,AY9,BG9)</f>
        <v>5603.5071090557285</v>
      </c>
      <c r="BJ9" s="187">
        <f ca="1">BI9*BJ$6</f>
        <v>5967.7350711443505</v>
      </c>
      <c r="BK9" s="893">
        <f ca="1">BJ9*(1+BK$6)</f>
        <v>6130.1849729269134</v>
      </c>
      <c r="BM9" s="1052">
        <f ca="1">BK9</f>
        <v>6130.1849729269134</v>
      </c>
      <c r="BN9" s="1051">
        <f ca="1">$AC9</f>
        <v>9</v>
      </c>
      <c r="BO9" s="1053">
        <v>150</v>
      </c>
      <c r="BP9" s="893">
        <f ca="1">BM9/BN9/BO9*1000</f>
        <v>4540.8777577236397</v>
      </c>
      <c r="BR9" s="1246">
        <f>$B9</f>
        <v>1</v>
      </c>
      <c r="BS9" s="152">
        <f ca="1">$C9</f>
        <v>1999</v>
      </c>
      <c r="BU9" s="1046">
        <f t="shared" ref="BU9:BX10" ca="1" si="23">AN9</f>
        <v>0</v>
      </c>
      <c r="BV9" s="1047">
        <f t="shared" ca="1" si="23"/>
        <v>0</v>
      </c>
      <c r="BW9" s="1048">
        <f t="shared" ca="1" si="23"/>
        <v>0</v>
      </c>
      <c r="BX9" s="1047">
        <f t="shared" ca="1" si="23"/>
        <v>0</v>
      </c>
      <c r="BY9" s="1049">
        <f ca="1">SUM(BU9:BX9)</f>
        <v>0</v>
      </c>
      <c r="CA9" s="1046">
        <f ca="1">AT9</f>
        <v>0</v>
      </c>
      <c r="CB9" s="900">
        <f ca="1">AU9</f>
        <v>0</v>
      </c>
      <c r="CD9" s="1046">
        <f ca="1">AW9</f>
        <v>0</v>
      </c>
      <c r="CE9" s="1047">
        <f ca="1">AX9</f>
        <v>0</v>
      </c>
      <c r="CF9" s="1049">
        <f ca="1">SUM(CD9:CE9)</f>
        <v>0</v>
      </c>
      <c r="CH9" s="1046">
        <f t="shared" ref="CH9:CM9" ca="1" si="24">BA9</f>
        <v>337.5</v>
      </c>
      <c r="CI9" s="892">
        <f t="shared" ca="1" si="24"/>
        <v>56.25</v>
      </c>
      <c r="CJ9" s="892">
        <f t="shared" ca="1" si="24"/>
        <v>0</v>
      </c>
      <c r="CK9" s="892">
        <f t="shared" ca="1" si="24"/>
        <v>64.434375000000003</v>
      </c>
      <c r="CL9" s="892">
        <f t="shared" ca="1" si="24"/>
        <v>5085.763910526317</v>
      </c>
      <c r="CM9" s="1047">
        <f t="shared" ca="1" si="24"/>
        <v>59.558823529411761</v>
      </c>
      <c r="CN9" s="1049">
        <f ca="1">SUM(CH9:CM9)</f>
        <v>5603.5071090557285</v>
      </c>
      <c r="CP9" s="1046">
        <f ca="1">SUM(BY9,CA9,CB9,CF9,CN9)</f>
        <v>5603.5071090557285</v>
      </c>
      <c r="CQ9" s="187">
        <f ca="1">CP9*CQ$6</f>
        <v>5967.7350711443505</v>
      </c>
      <c r="CR9" s="893">
        <f ca="1">CQ9*(1+CR$6)</f>
        <v>6130.1849729269134</v>
      </c>
      <c r="CT9" s="1052">
        <f ca="1">CR9</f>
        <v>6130.1849729269134</v>
      </c>
      <c r="CU9" s="1051">
        <f ca="1">$AC9</f>
        <v>9</v>
      </c>
      <c r="CV9" s="1082">
        <f>$BO9</f>
        <v>150</v>
      </c>
      <c r="CW9" s="893">
        <f ca="1">CT9/CU9/CV9*1000</f>
        <v>4540.8777577236397</v>
      </c>
    </row>
    <row r="10" spans="1:101">
      <c r="B10" s="899">
        <v>2</v>
      </c>
      <c r="C10" s="1045">
        <f>YEAR(Startops2)</f>
        <v>2001</v>
      </c>
      <c r="E10" s="1046">
        <f t="shared" ca="1" si="0"/>
        <v>4242.5625</v>
      </c>
      <c r="F10" s="1047">
        <f t="shared" ca="1" si="1"/>
        <v>0</v>
      </c>
      <c r="G10" s="1048">
        <f t="shared" ca="1" si="2"/>
        <v>1667.6076259198014</v>
      </c>
      <c r="H10" s="1047">
        <f t="shared" ca="1" si="3"/>
        <v>0</v>
      </c>
      <c r="I10" s="1049">
        <f t="shared" ref="I10:I47" ca="1" si="25">SUM(E10:H10)</f>
        <v>5910.1701259198016</v>
      </c>
      <c r="K10" s="1046">
        <f t="shared" ref="K10:K47" ca="1" si="26">(K$6-1)*I10</f>
        <v>1773.0510377759408</v>
      </c>
      <c r="L10" s="900">
        <f ca="1">-HLOOKUP($C10,CF_Table,CF!$AB$34)</f>
        <v>355.00828620403485</v>
      </c>
      <c r="N10" s="1046">
        <f t="shared" ca="1" si="4"/>
        <v>2694.7815414410948</v>
      </c>
      <c r="O10" s="1047">
        <f t="shared" ca="1" si="5"/>
        <v>0</v>
      </c>
      <c r="P10" s="1049">
        <f t="shared" ref="P10:P47" ca="1" si="27">SUM(N10:O10)</f>
        <v>2694.7815414410948</v>
      </c>
      <c r="R10" s="1046">
        <f t="shared" ca="1" si="6"/>
        <v>900</v>
      </c>
      <c r="S10" s="892">
        <f t="shared" ca="1" si="7"/>
        <v>150</v>
      </c>
      <c r="T10" s="892">
        <f t="shared" ca="1" si="8"/>
        <v>1390.0019999999997</v>
      </c>
      <c r="U10" s="892">
        <f t="shared" ca="1" si="9"/>
        <v>425.50920000000013</v>
      </c>
      <c r="V10" s="892">
        <f t="shared" ca="1" si="10"/>
        <v>5085.763910526317</v>
      </c>
      <c r="W10" s="892">
        <f t="shared" ca="1" si="11"/>
        <v>158.82352941176472</v>
      </c>
      <c r="X10" s="900">
        <f t="shared" ref="X10:X47" ca="1" si="28">SUM(R10:W10)</f>
        <v>8110.0986399380809</v>
      </c>
      <c r="Z10" s="1046">
        <f t="shared" ref="Z10:Z47" ca="1" si="29">SUM(I10,K10,L10,P10,X10)</f>
        <v>18843.109631278952</v>
      </c>
      <c r="AA10" s="187">
        <f t="shared" ref="AA10:AA47" ca="1" si="30">Z10*AA$6</f>
        <v>20067.911757312082</v>
      </c>
      <c r="AB10" s="187">
        <f t="shared" ref="AB10:AB47" ca="1" si="31">AA10*(1+AB$6)</f>
        <v>20614.1877322158</v>
      </c>
      <c r="AC10" s="1050">
        <f ca="1">HLOOKUP($C10,CF_Table,CF!$AB$10)</f>
        <v>7</v>
      </c>
      <c r="AD10" s="1051">
        <f ca="1">HLOOKUP($C10,CF_Table,CF!$AB$12)</f>
        <v>12</v>
      </c>
      <c r="AE10" s="187">
        <f t="shared" ca="1" si="12"/>
        <v>12024.942843792551</v>
      </c>
      <c r="AF10" s="779">
        <v>300</v>
      </c>
      <c r="AG10" s="893">
        <f ca="1">AE10/AF10/AC10*1000</f>
        <v>5726.1632589488345</v>
      </c>
      <c r="AK10" s="1246">
        <f t="shared" ref="AK10:AK47" si="32">$B10</f>
        <v>2</v>
      </c>
      <c r="AL10" s="152">
        <f t="shared" ref="AL10:AL47" si="33">$C10</f>
        <v>2001</v>
      </c>
      <c r="AN10" s="1046">
        <f t="shared" ref="AN10:AN47" ca="1" si="34">E10*$AC10/$AD10</f>
        <v>2474.828125</v>
      </c>
      <c r="AO10" s="1047">
        <f t="shared" ref="AO10:AO47" ca="1" si="35">F10*$AC10/$AD10</f>
        <v>0</v>
      </c>
      <c r="AP10" s="1048">
        <f t="shared" ref="AP10:AP47" ca="1" si="36">G10*$AC10/$AD10</f>
        <v>972.77111511988414</v>
      </c>
      <c r="AQ10" s="1047">
        <f t="shared" ref="AQ10:AQ47" ca="1" si="37">H10*$AC10/$AD10</f>
        <v>0</v>
      </c>
      <c r="AR10" s="1049">
        <f t="shared" ref="AR10:AR47" ca="1" si="38">SUM(AN10:AQ10)</f>
        <v>3447.5992401198841</v>
      </c>
      <c r="AT10" s="1046">
        <f t="shared" ca="1" si="13"/>
        <v>1034.2797720359656</v>
      </c>
      <c r="AU10" s="900">
        <f t="shared" ca="1" si="14"/>
        <v>207.08816695235365</v>
      </c>
      <c r="AW10" s="1046">
        <f t="shared" ca="1" si="15"/>
        <v>1571.9558991739721</v>
      </c>
      <c r="AX10" s="1047">
        <f t="shared" ca="1" si="16"/>
        <v>0</v>
      </c>
      <c r="AY10" s="1049">
        <f t="shared" ref="AY10:AY47" ca="1" si="39">SUM(AW10:AX10)</f>
        <v>1571.9558991739721</v>
      </c>
      <c r="BA10" s="1046">
        <f t="shared" ca="1" si="17"/>
        <v>525</v>
      </c>
      <c r="BB10" s="892">
        <f t="shared" ca="1" si="18"/>
        <v>87.5</v>
      </c>
      <c r="BC10" s="892">
        <f t="shared" ca="1" si="19"/>
        <v>810.83449999999982</v>
      </c>
      <c r="BD10" s="892">
        <f t="shared" ca="1" si="20"/>
        <v>248.2137000000001</v>
      </c>
      <c r="BE10" s="892">
        <f t="shared" ca="1" si="21"/>
        <v>2966.6956144736851</v>
      </c>
      <c r="BF10" s="892">
        <f t="shared" ca="1" si="22"/>
        <v>92.647058823529434</v>
      </c>
      <c r="BG10" s="900">
        <f t="shared" ref="BG10:BG47" ca="1" si="40">SUM(BA10:BF10)</f>
        <v>4730.890873297215</v>
      </c>
      <c r="BI10" s="1046">
        <f t="shared" ref="BI10:BI47" ca="1" si="41">SUM(AR10,AT10,AU10,AY10,BG10)</f>
        <v>10991.81395157939</v>
      </c>
      <c r="BJ10" s="187">
        <f t="shared" ref="BJ10:BJ47" ca="1" si="42">BI10*BJ$6</f>
        <v>11706.28185843205</v>
      </c>
      <c r="BK10" s="893">
        <f t="shared" ref="BK10:BK47" ca="1" si="43">BJ10*(1+BK$6)</f>
        <v>12024.942843792553</v>
      </c>
      <c r="BM10" s="1052">
        <f ca="1">BK10</f>
        <v>12024.942843792553</v>
      </c>
      <c r="BN10" s="1051">
        <f ca="1">$AC10</f>
        <v>7</v>
      </c>
      <c r="BO10" s="1053">
        <v>300</v>
      </c>
      <c r="BP10" s="893">
        <f ca="1">BM10/BN10/BO10*1000</f>
        <v>5726.1632589488345</v>
      </c>
      <c r="BR10" s="1246">
        <f t="shared" ref="BR10:BR47" si="44">$B10</f>
        <v>2</v>
      </c>
      <c r="BS10" s="152">
        <f t="shared" ref="BS10:BS47" si="45">$C10</f>
        <v>2001</v>
      </c>
      <c r="BU10" s="1046">
        <f t="shared" ca="1" si="23"/>
        <v>2474.828125</v>
      </c>
      <c r="BV10" s="1047">
        <f t="shared" ca="1" si="23"/>
        <v>0</v>
      </c>
      <c r="BW10" s="1048">
        <f t="shared" ca="1" si="23"/>
        <v>972.77111511988414</v>
      </c>
      <c r="BX10" s="1047">
        <f t="shared" ca="1" si="23"/>
        <v>0</v>
      </c>
      <c r="BY10" s="1049">
        <f ca="1">SUM(BU10:BX10)</f>
        <v>3447.5992401198841</v>
      </c>
      <c r="CA10" s="1046">
        <f ca="1">AT10</f>
        <v>1034.2797720359656</v>
      </c>
      <c r="CB10" s="900">
        <f ca="1">AU10</f>
        <v>207.08816695235365</v>
      </c>
      <c r="CD10" s="1046">
        <f ca="1">AW10</f>
        <v>1571.9558991739721</v>
      </c>
      <c r="CE10" s="1047">
        <f ca="1">AX10</f>
        <v>0</v>
      </c>
      <c r="CF10" s="1049">
        <f ca="1">SUM(CD10:CE10)</f>
        <v>1571.9558991739721</v>
      </c>
      <c r="CH10" s="1046">
        <f t="shared" ref="CH10:CM10" ca="1" si="46">BA10</f>
        <v>525</v>
      </c>
      <c r="CI10" s="892">
        <f t="shared" ca="1" si="46"/>
        <v>87.5</v>
      </c>
      <c r="CJ10" s="892">
        <f t="shared" ca="1" si="46"/>
        <v>810.83449999999982</v>
      </c>
      <c r="CK10" s="892">
        <f t="shared" ca="1" si="46"/>
        <v>248.2137000000001</v>
      </c>
      <c r="CL10" s="892">
        <f t="shared" ca="1" si="46"/>
        <v>2966.6956144736851</v>
      </c>
      <c r="CM10" s="1047">
        <f t="shared" ca="1" si="46"/>
        <v>92.647058823529434</v>
      </c>
      <c r="CN10" s="1049">
        <f ca="1">SUM(CH10:CM10)</f>
        <v>4730.890873297215</v>
      </c>
      <c r="CP10" s="1046">
        <f ca="1">SUM(BY10,CA10,CB10,CF10,CN10)</f>
        <v>10991.81395157939</v>
      </c>
      <c r="CQ10" s="187">
        <f ca="1">CP10*CQ$6</f>
        <v>11706.28185843205</v>
      </c>
      <c r="CR10" s="893">
        <f ca="1">CQ10*(1+CR$6)</f>
        <v>12024.942843792553</v>
      </c>
      <c r="CT10" s="1052">
        <f ca="1">CR10</f>
        <v>12024.942843792553</v>
      </c>
      <c r="CU10" s="1051">
        <f ca="1">$AC10</f>
        <v>7</v>
      </c>
      <c r="CV10" s="1082">
        <f>$BO10</f>
        <v>300</v>
      </c>
      <c r="CW10" s="893">
        <f ca="1">CT10/CU10/CV10*1000</f>
        <v>5726.1632589488345</v>
      </c>
    </row>
    <row r="11" spans="1:101">
      <c r="B11" s="899">
        <v>3</v>
      </c>
      <c r="C11" s="1045">
        <f>YEAR(Startops3)</f>
        <v>2001</v>
      </c>
      <c r="E11" s="1046">
        <f t="shared" ca="1" si="0"/>
        <v>4242.5625</v>
      </c>
      <c r="F11" s="1047">
        <f t="shared" ca="1" si="1"/>
        <v>0</v>
      </c>
      <c r="G11" s="1048">
        <f t="shared" ca="1" si="2"/>
        <v>1667.6076259198014</v>
      </c>
      <c r="H11" s="1047">
        <f t="shared" ca="1" si="3"/>
        <v>0</v>
      </c>
      <c r="I11" s="1049">
        <f t="shared" ca="1" si="25"/>
        <v>5910.1701259198016</v>
      </c>
      <c r="K11" s="1046">
        <f t="shared" ca="1" si="26"/>
        <v>1773.0510377759408</v>
      </c>
      <c r="L11" s="900">
        <f ca="1">-HLOOKUP($C11,CF_Table,CF!$AB$34)</f>
        <v>355.00828620403485</v>
      </c>
      <c r="N11" s="1046">
        <f t="shared" ca="1" si="4"/>
        <v>2694.7815414410948</v>
      </c>
      <c r="O11" s="1047">
        <f t="shared" ca="1" si="5"/>
        <v>0</v>
      </c>
      <c r="P11" s="1049">
        <f t="shared" ca="1" si="27"/>
        <v>2694.7815414410948</v>
      </c>
      <c r="R11" s="1046">
        <f t="shared" ca="1" si="6"/>
        <v>900</v>
      </c>
      <c r="S11" s="892">
        <f t="shared" ca="1" si="7"/>
        <v>150</v>
      </c>
      <c r="T11" s="892">
        <f t="shared" ca="1" si="8"/>
        <v>1390.0019999999997</v>
      </c>
      <c r="U11" s="892">
        <f t="shared" ca="1" si="9"/>
        <v>425.50920000000013</v>
      </c>
      <c r="V11" s="892">
        <f t="shared" ca="1" si="10"/>
        <v>5085.763910526317</v>
      </c>
      <c r="W11" s="892">
        <f t="shared" ca="1" si="11"/>
        <v>158.82352941176472</v>
      </c>
      <c r="X11" s="900">
        <f t="shared" ca="1" si="28"/>
        <v>8110.0986399380809</v>
      </c>
      <c r="Z11" s="1046">
        <f t="shared" ca="1" si="29"/>
        <v>18843.109631278952</v>
      </c>
      <c r="AA11" s="187">
        <f t="shared" ca="1" si="30"/>
        <v>20067.911757312082</v>
      </c>
      <c r="AB11" s="187">
        <f t="shared" ca="1" si="31"/>
        <v>20614.1877322158</v>
      </c>
      <c r="AC11" s="1050">
        <f ca="1">HLOOKUP($C11,CF_Table,CF!$AB$11)</f>
        <v>5</v>
      </c>
      <c r="AD11" s="1051">
        <f ca="1">HLOOKUP($C11,CF_Table,CF!$AB$12)</f>
        <v>12</v>
      </c>
      <c r="AE11" s="187">
        <f t="shared" ca="1" si="12"/>
        <v>8589.244888423249</v>
      </c>
      <c r="AF11" s="779">
        <v>480</v>
      </c>
      <c r="AG11" s="893"/>
      <c r="AK11" s="1246">
        <f t="shared" si="32"/>
        <v>3</v>
      </c>
      <c r="AL11" s="152">
        <f t="shared" si="33"/>
        <v>2001</v>
      </c>
      <c r="AN11" s="1046">
        <f t="shared" ca="1" si="34"/>
        <v>1767.734375</v>
      </c>
      <c r="AO11" s="1047">
        <f t="shared" ca="1" si="35"/>
        <v>0</v>
      </c>
      <c r="AP11" s="1048">
        <f t="shared" ca="1" si="36"/>
        <v>694.83651079991716</v>
      </c>
      <c r="AQ11" s="1047">
        <f t="shared" ca="1" si="37"/>
        <v>0</v>
      </c>
      <c r="AR11" s="1049">
        <f t="shared" ca="1" si="38"/>
        <v>2462.5708857999171</v>
      </c>
      <c r="AT11" s="1046">
        <f t="shared" ca="1" si="13"/>
        <v>738.77126573997532</v>
      </c>
      <c r="AU11" s="900">
        <f t="shared" ca="1" si="14"/>
        <v>147.9201192516812</v>
      </c>
      <c r="AW11" s="1046">
        <f t="shared" ca="1" si="15"/>
        <v>1122.8256422671227</v>
      </c>
      <c r="AX11" s="1047">
        <f t="shared" ca="1" si="16"/>
        <v>0</v>
      </c>
      <c r="AY11" s="1049">
        <f t="shared" ca="1" si="39"/>
        <v>1122.8256422671227</v>
      </c>
      <c r="BA11" s="1046">
        <f t="shared" ca="1" si="17"/>
        <v>375</v>
      </c>
      <c r="BB11" s="892">
        <f t="shared" ca="1" si="18"/>
        <v>62.5</v>
      </c>
      <c r="BC11" s="892">
        <f t="shared" ca="1" si="19"/>
        <v>579.1674999999999</v>
      </c>
      <c r="BD11" s="892">
        <f t="shared" ca="1" si="20"/>
        <v>177.29550000000006</v>
      </c>
      <c r="BE11" s="892">
        <f t="shared" ca="1" si="21"/>
        <v>2119.0682960526319</v>
      </c>
      <c r="BF11" s="892">
        <f t="shared" ca="1" si="22"/>
        <v>66.176470588235304</v>
      </c>
      <c r="BG11" s="900">
        <f t="shared" ca="1" si="40"/>
        <v>3379.2077666408668</v>
      </c>
      <c r="BI11" s="1046">
        <f t="shared" ca="1" si="41"/>
        <v>7851.2956796995632</v>
      </c>
      <c r="BJ11" s="187">
        <f t="shared" ca="1" si="42"/>
        <v>8361.6298988800336</v>
      </c>
      <c r="BK11" s="893">
        <f t="shared" ca="1" si="43"/>
        <v>8589.244888423249</v>
      </c>
      <c r="BM11" s="1052"/>
      <c r="BN11" s="1051"/>
      <c r="BO11" s="1053"/>
      <c r="BP11" s="893"/>
      <c r="BR11" s="1246">
        <f t="shared" si="44"/>
        <v>3</v>
      </c>
      <c r="BS11" s="152">
        <f t="shared" si="45"/>
        <v>2001</v>
      </c>
      <c r="BU11" s="1046"/>
      <c r="BV11" s="1047"/>
      <c r="BW11" s="1048"/>
      <c r="BX11" s="1047"/>
      <c r="BY11" s="1049"/>
      <c r="CA11" s="1046"/>
      <c r="CB11" s="900"/>
      <c r="CD11" s="1046"/>
      <c r="CE11" s="1047"/>
      <c r="CF11" s="1049"/>
      <c r="CH11" s="1046"/>
      <c r="CI11" s="892"/>
      <c r="CJ11" s="892"/>
      <c r="CK11" s="892"/>
      <c r="CL11" s="892"/>
      <c r="CM11" s="1047"/>
      <c r="CN11" s="1049"/>
      <c r="CP11" s="1046"/>
      <c r="CQ11" s="187"/>
      <c r="CR11" s="893"/>
      <c r="CT11" s="1052"/>
      <c r="CU11" s="1051"/>
      <c r="CV11" s="1082"/>
      <c r="CW11" s="893"/>
    </row>
    <row r="12" spans="1:101">
      <c r="B12" s="899">
        <v>3</v>
      </c>
      <c r="C12" s="399">
        <f>C11+1</f>
        <v>2002</v>
      </c>
      <c r="E12" s="1046">
        <f t="shared" ca="1" si="0"/>
        <v>10000.325892857143</v>
      </c>
      <c r="F12" s="1047">
        <f t="shared" ca="1" si="1"/>
        <v>10017.857142857143</v>
      </c>
      <c r="G12" s="1048">
        <f t="shared" ca="1" si="2"/>
        <v>3987.2512629522103</v>
      </c>
      <c r="H12" s="1047">
        <f t="shared" ca="1" si="3"/>
        <v>545.21486849457392</v>
      </c>
      <c r="I12" s="1049">
        <f t="shared" ca="1" si="25"/>
        <v>24550.649167161071</v>
      </c>
      <c r="K12" s="1046">
        <f t="shared" ca="1" si="26"/>
        <v>7365.1947501483228</v>
      </c>
      <c r="L12" s="900">
        <f ca="1">-HLOOKUP($C12,CF_Table,CF!$AB$34)</f>
        <v>349.7755575359929</v>
      </c>
      <c r="N12" s="1046">
        <f t="shared" ca="1" si="4"/>
        <v>6397.3320310436538</v>
      </c>
      <c r="O12" s="1047">
        <f t="shared" ca="1" si="5"/>
        <v>2228.4103888757058</v>
      </c>
      <c r="P12" s="1049">
        <f t="shared" ca="1" si="27"/>
        <v>8625.7424199193592</v>
      </c>
      <c r="R12" s="1046">
        <f t="shared" ca="1" si="6"/>
        <v>900</v>
      </c>
      <c r="S12" s="892">
        <f t="shared" ca="1" si="7"/>
        <v>150</v>
      </c>
      <c r="T12" s="892">
        <f t="shared" ca="1" si="8"/>
        <v>1390.0019999999997</v>
      </c>
      <c r="U12" s="892">
        <f t="shared" ca="1" si="9"/>
        <v>490.31970000000024</v>
      </c>
      <c r="V12" s="892">
        <f t="shared" ca="1" si="10"/>
        <v>5085.763910526317</v>
      </c>
      <c r="W12" s="892">
        <f t="shared" ca="1" si="11"/>
        <v>158.82352941176472</v>
      </c>
      <c r="X12" s="900">
        <f t="shared" ca="1" si="28"/>
        <v>8174.9091399380814</v>
      </c>
      <c r="Z12" s="1046">
        <f t="shared" ca="1" si="29"/>
        <v>49066.271034702833</v>
      </c>
      <c r="AA12" s="187">
        <f t="shared" ca="1" si="30"/>
        <v>52255.578651958516</v>
      </c>
      <c r="AB12" s="187">
        <f t="shared" ca="1" si="31"/>
        <v>53678.04689466719</v>
      </c>
      <c r="AC12" s="1050">
        <f ca="1">HLOOKUP($C12,CF_Table,CF!$AB$11)</f>
        <v>12</v>
      </c>
      <c r="AD12" s="1051">
        <f ca="1">HLOOKUP($C12,CF_Table,CF!$AB$12)</f>
        <v>12</v>
      </c>
      <c r="AE12" s="187">
        <f t="shared" ca="1" si="12"/>
        <v>53678.046894667183</v>
      </c>
      <c r="AF12" s="779">
        <v>480</v>
      </c>
      <c r="AG12" s="893"/>
      <c r="AK12" s="1246">
        <f t="shared" si="32"/>
        <v>3</v>
      </c>
      <c r="AL12" s="152">
        <f t="shared" si="33"/>
        <v>2002</v>
      </c>
      <c r="AN12" s="1046">
        <f t="shared" ca="1" si="34"/>
        <v>10000.325892857143</v>
      </c>
      <c r="AO12" s="1047">
        <f t="shared" ca="1" si="35"/>
        <v>10017.857142857143</v>
      </c>
      <c r="AP12" s="1048">
        <f t="shared" ca="1" si="36"/>
        <v>3987.2512629522103</v>
      </c>
      <c r="AQ12" s="1047">
        <f t="shared" ca="1" si="37"/>
        <v>545.21486849457392</v>
      </c>
      <c r="AR12" s="1049">
        <f t="shared" ca="1" si="38"/>
        <v>24550.649167161071</v>
      </c>
      <c r="AT12" s="1046">
        <f t="shared" ca="1" si="13"/>
        <v>7365.1947501483228</v>
      </c>
      <c r="AU12" s="900">
        <f t="shared" ca="1" si="14"/>
        <v>349.7755575359929</v>
      </c>
      <c r="AW12" s="1046">
        <f t="shared" ca="1" si="15"/>
        <v>6397.3320310436538</v>
      </c>
      <c r="AX12" s="1047">
        <f t="shared" ca="1" si="16"/>
        <v>2228.4103888757058</v>
      </c>
      <c r="AY12" s="1049">
        <f t="shared" ca="1" si="39"/>
        <v>8625.7424199193592</v>
      </c>
      <c r="BA12" s="1046">
        <f t="shared" ca="1" si="17"/>
        <v>900</v>
      </c>
      <c r="BB12" s="892">
        <f t="shared" ca="1" si="18"/>
        <v>150</v>
      </c>
      <c r="BC12" s="892">
        <f t="shared" ca="1" si="19"/>
        <v>1390.0019999999997</v>
      </c>
      <c r="BD12" s="892">
        <f t="shared" ca="1" si="20"/>
        <v>490.31970000000024</v>
      </c>
      <c r="BE12" s="892">
        <f t="shared" ca="1" si="21"/>
        <v>5085.763910526317</v>
      </c>
      <c r="BF12" s="892">
        <f t="shared" ca="1" si="22"/>
        <v>158.82352941176472</v>
      </c>
      <c r="BG12" s="900">
        <f t="shared" ca="1" si="40"/>
        <v>8174.9091399380814</v>
      </c>
      <c r="BI12" s="1046">
        <f t="shared" ca="1" si="41"/>
        <v>49066.271034702833</v>
      </c>
      <c r="BJ12" s="187">
        <f t="shared" ca="1" si="42"/>
        <v>52255.578651958516</v>
      </c>
      <c r="BK12" s="893">
        <f t="shared" ca="1" si="43"/>
        <v>53678.04689466719</v>
      </c>
      <c r="BM12" s="1052"/>
      <c r="BN12" s="1051"/>
      <c r="BO12" s="1053"/>
      <c r="BP12" s="893"/>
      <c r="BR12" s="1246">
        <f t="shared" si="44"/>
        <v>3</v>
      </c>
      <c r="BS12" s="152">
        <f t="shared" si="45"/>
        <v>2002</v>
      </c>
      <c r="BU12" s="1046"/>
      <c r="BV12" s="1047"/>
      <c r="BW12" s="1048"/>
      <c r="BX12" s="1047"/>
      <c r="BY12" s="1049"/>
      <c r="CA12" s="1046"/>
      <c r="CB12" s="900"/>
      <c r="CD12" s="1046"/>
      <c r="CE12" s="1047"/>
      <c r="CF12" s="1049"/>
      <c r="CH12" s="1046"/>
      <c r="CI12" s="892"/>
      <c r="CJ12" s="892"/>
      <c r="CK12" s="892"/>
      <c r="CL12" s="892"/>
      <c r="CM12" s="1047"/>
      <c r="CN12" s="1049"/>
      <c r="CP12" s="1046"/>
      <c r="CQ12" s="187"/>
      <c r="CR12" s="893"/>
      <c r="CT12" s="1052"/>
      <c r="CU12" s="1051"/>
      <c r="CV12" s="1082"/>
      <c r="CW12" s="893"/>
    </row>
    <row r="13" spans="1:101">
      <c r="B13" s="899">
        <v>3</v>
      </c>
      <c r="C13" s="399">
        <f>C14</f>
        <v>2002</v>
      </c>
      <c r="E13" s="1046">
        <f t="shared" ca="1" si="0"/>
        <v>10000.325892857143</v>
      </c>
      <c r="F13" s="1047">
        <f t="shared" ca="1" si="1"/>
        <v>10017.857142857143</v>
      </c>
      <c r="G13" s="1048">
        <f t="shared" ca="1" si="2"/>
        <v>3987.2512629522103</v>
      </c>
      <c r="H13" s="1047">
        <f t="shared" ca="1" si="3"/>
        <v>545.21486849457392</v>
      </c>
      <c r="I13" s="1049">
        <f t="shared" ca="1" si="25"/>
        <v>24550.649167161071</v>
      </c>
      <c r="K13" s="1046">
        <f t="shared" ca="1" si="26"/>
        <v>7365.1947501483228</v>
      </c>
      <c r="L13" s="900">
        <f ca="1">-HLOOKUP($C13,CF_Table,CF!$AB$34)</f>
        <v>349.7755575359929</v>
      </c>
      <c r="N13" s="1046">
        <f t="shared" ca="1" si="4"/>
        <v>6397.3320310436538</v>
      </c>
      <c r="O13" s="1047">
        <f t="shared" ca="1" si="5"/>
        <v>2228.4103888757058</v>
      </c>
      <c r="P13" s="1049">
        <f t="shared" ca="1" si="27"/>
        <v>8625.7424199193592</v>
      </c>
      <c r="R13" s="1046">
        <f t="shared" ca="1" si="6"/>
        <v>900</v>
      </c>
      <c r="S13" s="892">
        <f t="shared" ca="1" si="7"/>
        <v>150</v>
      </c>
      <c r="T13" s="892">
        <f t="shared" ca="1" si="8"/>
        <v>1390.0019999999997</v>
      </c>
      <c r="U13" s="892">
        <f t="shared" ca="1" si="9"/>
        <v>490.31970000000024</v>
      </c>
      <c r="V13" s="892">
        <f t="shared" ca="1" si="10"/>
        <v>5085.763910526317</v>
      </c>
      <c r="W13" s="892">
        <f t="shared" ca="1" si="11"/>
        <v>158.82352941176472</v>
      </c>
      <c r="X13" s="900">
        <f t="shared" ca="1" si="28"/>
        <v>8174.9091399380814</v>
      </c>
      <c r="Z13" s="1046">
        <f t="shared" ca="1" si="29"/>
        <v>49066.271034702833</v>
      </c>
      <c r="AA13" s="187">
        <f t="shared" ca="1" si="30"/>
        <v>52255.578651958516</v>
      </c>
      <c r="AB13" s="187">
        <f t="shared" ca="1" si="31"/>
        <v>53678.04689466719</v>
      </c>
      <c r="AC13" s="1050">
        <f>12-AC14</f>
        <v>4</v>
      </c>
      <c r="AD13" s="1051">
        <f ca="1">HLOOKUP($C13,CF_Table,CF!$AB$12)</f>
        <v>12</v>
      </c>
      <c r="AE13" s="187">
        <f t="shared" ca="1" si="12"/>
        <v>17892.682298222397</v>
      </c>
      <c r="AF13" s="779">
        <v>480</v>
      </c>
      <c r="AG13" s="893">
        <f ca="1">SUM(AE11:AE13)/AF13/SUM(AC11:AC13)*1000</f>
        <v>7952.3783810826226</v>
      </c>
      <c r="AK13" s="1246">
        <f t="shared" si="32"/>
        <v>3</v>
      </c>
      <c r="AL13" s="152">
        <f t="shared" si="33"/>
        <v>2002</v>
      </c>
      <c r="AN13" s="1046">
        <f t="shared" ca="1" si="34"/>
        <v>3333.4419642857142</v>
      </c>
      <c r="AO13" s="1047">
        <f t="shared" ca="1" si="35"/>
        <v>3339.2857142857142</v>
      </c>
      <c r="AP13" s="1048">
        <f t="shared" ca="1" si="36"/>
        <v>1329.0837543174034</v>
      </c>
      <c r="AQ13" s="1047">
        <f t="shared" ca="1" si="37"/>
        <v>181.73828949819131</v>
      </c>
      <c r="AR13" s="1049">
        <f t="shared" ca="1" si="38"/>
        <v>8183.5497223870225</v>
      </c>
      <c r="AT13" s="1046">
        <f t="shared" ca="1" si="13"/>
        <v>2455.0649167161077</v>
      </c>
      <c r="AU13" s="900">
        <f t="shared" ca="1" si="14"/>
        <v>116.59185251199763</v>
      </c>
      <c r="AW13" s="1046">
        <f t="shared" ca="1" si="15"/>
        <v>2132.4440103478846</v>
      </c>
      <c r="AX13" s="1047">
        <f t="shared" ca="1" si="16"/>
        <v>742.80346295856862</v>
      </c>
      <c r="AY13" s="1049">
        <f t="shared" ca="1" si="39"/>
        <v>2875.2474733064532</v>
      </c>
      <c r="BA13" s="1046">
        <f t="shared" ca="1" si="17"/>
        <v>300</v>
      </c>
      <c r="BB13" s="892">
        <f t="shared" ca="1" si="18"/>
        <v>50</v>
      </c>
      <c r="BC13" s="892">
        <f t="shared" ca="1" si="19"/>
        <v>463.33399999999989</v>
      </c>
      <c r="BD13" s="892">
        <f t="shared" ca="1" si="20"/>
        <v>163.43990000000008</v>
      </c>
      <c r="BE13" s="892">
        <f t="shared" ca="1" si="21"/>
        <v>1695.2546368421056</v>
      </c>
      <c r="BF13" s="892">
        <f t="shared" ca="1" si="22"/>
        <v>52.941176470588239</v>
      </c>
      <c r="BG13" s="900">
        <f t="shared" ca="1" si="40"/>
        <v>2724.9697133126938</v>
      </c>
      <c r="BI13" s="1046">
        <f t="shared" ca="1" si="41"/>
        <v>16355.423678234276</v>
      </c>
      <c r="BJ13" s="187">
        <f t="shared" ca="1" si="42"/>
        <v>17418.526217319504</v>
      </c>
      <c r="BK13" s="893">
        <f t="shared" ca="1" si="43"/>
        <v>17892.682298222397</v>
      </c>
      <c r="BM13" s="1052">
        <f ca="1">SUM(BK11:BK13)</f>
        <v>80159.97408131283</v>
      </c>
      <c r="BN13" s="1051">
        <f ca="1">SUM($AC11:$AC13)</f>
        <v>21</v>
      </c>
      <c r="BO13" s="1053">
        <v>480</v>
      </c>
      <c r="BP13" s="893">
        <f ca="1">BM13/BN13/BO13*1000</f>
        <v>7952.3783810826217</v>
      </c>
      <c r="BR13" s="1246">
        <f t="shared" si="44"/>
        <v>3</v>
      </c>
      <c r="BS13" s="152">
        <f t="shared" si="45"/>
        <v>2002</v>
      </c>
      <c r="BU13" s="1046">
        <f ca="1">SUM(AN11:AN13)</f>
        <v>15101.502232142857</v>
      </c>
      <c r="BV13" s="1047">
        <f ca="1">SUM(AO11:AO13)</f>
        <v>13357.142857142857</v>
      </c>
      <c r="BW13" s="1048">
        <f ca="1">SUM(AP11:AP13)</f>
        <v>6011.1715280695316</v>
      </c>
      <c r="BX13" s="1047">
        <f ca="1">SUM(AQ11:AQ13)</f>
        <v>726.95315799276523</v>
      </c>
      <c r="BY13" s="1049">
        <f t="shared" ref="BY13:BY47" ca="1" si="47">SUM(BU13:BX13)</f>
        <v>35196.76977534801</v>
      </c>
      <c r="CA13" s="1046">
        <f ca="1">SUM(AT11:AT13)</f>
        <v>10559.030932604406</v>
      </c>
      <c r="CB13" s="900">
        <f ca="1">SUM(AU11:AU13)</f>
        <v>614.28752929967175</v>
      </c>
      <c r="CD13" s="1046">
        <f ca="1">SUM(AW11:AW13)</f>
        <v>9652.6016836586605</v>
      </c>
      <c r="CE13" s="1047">
        <f ca="1">SUM(AX11:AX13)</f>
        <v>2971.2138518342745</v>
      </c>
      <c r="CF13" s="1049">
        <f t="shared" ref="CF13:CF47" ca="1" si="48">SUM(CD13:CE13)</f>
        <v>12623.815535492935</v>
      </c>
      <c r="CH13" s="1046">
        <f t="shared" ref="CH13:CM13" ca="1" si="49">SUM(BA11:BA13)</f>
        <v>1575</v>
      </c>
      <c r="CI13" s="892">
        <f t="shared" ca="1" si="49"/>
        <v>262.5</v>
      </c>
      <c r="CJ13" s="892">
        <f t="shared" ca="1" si="49"/>
        <v>2432.5034999999993</v>
      </c>
      <c r="CK13" s="892">
        <f t="shared" ca="1" si="49"/>
        <v>831.05510000000038</v>
      </c>
      <c r="CL13" s="892">
        <f t="shared" ca="1" si="49"/>
        <v>8900.0868434210552</v>
      </c>
      <c r="CM13" s="1047">
        <f t="shared" ca="1" si="49"/>
        <v>277.94117647058829</v>
      </c>
      <c r="CN13" s="1049">
        <f t="shared" ref="CN13:CN47" ca="1" si="50">SUM(CH13:CM13)</f>
        <v>14279.086619891641</v>
      </c>
      <c r="CP13" s="1046">
        <f t="shared" ref="CP13:CP47" ca="1" si="51">SUM(BY13,CA13,CB13,CF13,CN13)</f>
        <v>73272.990392636653</v>
      </c>
      <c r="CQ13" s="187">
        <f t="shared" ref="CQ13:CQ47" ca="1" si="52">CP13*CQ$6</f>
        <v>78035.734768158029</v>
      </c>
      <c r="CR13" s="893">
        <f t="shared" ref="CR13:CR47" ca="1" si="53">CQ13*(1+CR$6)</f>
        <v>80159.974081312816</v>
      </c>
      <c r="CT13" s="1052">
        <f ca="1">SUM(CR11:CR13)</f>
        <v>80159.974081312816</v>
      </c>
      <c r="CU13" s="1051">
        <f ca="1">SUM($AC11:$AC13)</f>
        <v>21</v>
      </c>
      <c r="CV13" s="1082">
        <f>$BO13</f>
        <v>480</v>
      </c>
      <c r="CW13" s="893">
        <f ca="1">CT13/CU13/CV13*1000</f>
        <v>7952.3783810826208</v>
      </c>
    </row>
    <row r="14" spans="1:101">
      <c r="B14" s="899">
        <v>4</v>
      </c>
      <c r="C14" s="1045">
        <f>YEAR(Startops4)</f>
        <v>2002</v>
      </c>
      <c r="E14" s="1046">
        <f t="shared" ca="1" si="0"/>
        <v>10000.325892857143</v>
      </c>
      <c r="F14" s="1047">
        <f t="shared" ca="1" si="1"/>
        <v>10017.857142857143</v>
      </c>
      <c r="G14" s="1048">
        <f t="shared" ca="1" si="2"/>
        <v>3987.2512629522103</v>
      </c>
      <c r="H14" s="1047">
        <f t="shared" ca="1" si="3"/>
        <v>545.21486849457392</v>
      </c>
      <c r="I14" s="1049">
        <f t="shared" ca="1" si="25"/>
        <v>24550.649167161071</v>
      </c>
      <c r="K14" s="1046">
        <f t="shared" ca="1" si="26"/>
        <v>7365.1947501483228</v>
      </c>
      <c r="L14" s="900">
        <f ca="1">-HLOOKUP($C14,CF_Table,CF!$AB$34)</f>
        <v>349.7755575359929</v>
      </c>
      <c r="N14" s="1046">
        <f t="shared" ca="1" si="4"/>
        <v>6397.3320310436538</v>
      </c>
      <c r="O14" s="1047">
        <f t="shared" ca="1" si="5"/>
        <v>2228.4103888757058</v>
      </c>
      <c r="P14" s="1049">
        <f t="shared" ca="1" si="27"/>
        <v>8625.7424199193592</v>
      </c>
      <c r="R14" s="1046">
        <f t="shared" ca="1" si="6"/>
        <v>900</v>
      </c>
      <c r="S14" s="892">
        <f t="shared" ca="1" si="7"/>
        <v>150</v>
      </c>
      <c r="T14" s="892">
        <f t="shared" ca="1" si="8"/>
        <v>1390.0019999999997</v>
      </c>
      <c r="U14" s="892">
        <f t="shared" ca="1" si="9"/>
        <v>490.31970000000024</v>
      </c>
      <c r="V14" s="892">
        <f t="shared" ca="1" si="10"/>
        <v>5085.763910526317</v>
      </c>
      <c r="W14" s="892">
        <f t="shared" ca="1" si="11"/>
        <v>158.82352941176472</v>
      </c>
      <c r="X14" s="900">
        <f t="shared" ca="1" si="28"/>
        <v>8174.9091399380814</v>
      </c>
      <c r="Z14" s="1046">
        <f t="shared" ca="1" si="29"/>
        <v>49066.271034702833</v>
      </c>
      <c r="AA14" s="187">
        <f t="shared" ca="1" si="30"/>
        <v>52255.578651958516</v>
      </c>
      <c r="AB14" s="187">
        <f t="shared" ca="1" si="31"/>
        <v>53678.04689466719</v>
      </c>
      <c r="AC14" s="1054">
        <v>8</v>
      </c>
      <c r="AD14" s="1051">
        <f ca="1">HLOOKUP($C14,CF_Table,CF!$AB$12)</f>
        <v>12</v>
      </c>
      <c r="AE14" s="187">
        <f t="shared" ca="1" si="12"/>
        <v>35785.364596444793</v>
      </c>
      <c r="AF14" s="779">
        <v>480</v>
      </c>
      <c r="AG14" s="893"/>
      <c r="AK14" s="1246">
        <f t="shared" si="32"/>
        <v>4</v>
      </c>
      <c r="AL14" s="152">
        <f t="shared" si="33"/>
        <v>2002</v>
      </c>
      <c r="AN14" s="1046">
        <f t="shared" ca="1" si="34"/>
        <v>6666.8839285714284</v>
      </c>
      <c r="AO14" s="1047">
        <f t="shared" ca="1" si="35"/>
        <v>6678.5714285714284</v>
      </c>
      <c r="AP14" s="1048">
        <f t="shared" ca="1" si="36"/>
        <v>2658.1675086348068</v>
      </c>
      <c r="AQ14" s="1047">
        <f t="shared" ca="1" si="37"/>
        <v>363.47657899638261</v>
      </c>
      <c r="AR14" s="1049">
        <f t="shared" ca="1" si="38"/>
        <v>16367.099444774045</v>
      </c>
      <c r="AT14" s="1046">
        <f t="shared" ca="1" si="13"/>
        <v>4910.1298334322155</v>
      </c>
      <c r="AU14" s="900">
        <f t="shared" ca="1" si="14"/>
        <v>233.18370502399526</v>
      </c>
      <c r="AW14" s="1046">
        <f t="shared" ca="1" si="15"/>
        <v>4264.8880206957692</v>
      </c>
      <c r="AX14" s="1047">
        <f t="shared" ca="1" si="16"/>
        <v>1485.6069259171372</v>
      </c>
      <c r="AY14" s="1049">
        <f t="shared" ca="1" si="39"/>
        <v>5750.4949466129065</v>
      </c>
      <c r="BA14" s="1046">
        <f t="shared" ca="1" si="17"/>
        <v>600</v>
      </c>
      <c r="BB14" s="892">
        <f t="shared" ca="1" si="18"/>
        <v>100</v>
      </c>
      <c r="BC14" s="892">
        <f t="shared" ca="1" si="19"/>
        <v>926.66799999999978</v>
      </c>
      <c r="BD14" s="892">
        <f t="shared" ca="1" si="20"/>
        <v>326.87980000000016</v>
      </c>
      <c r="BE14" s="892">
        <f t="shared" ca="1" si="21"/>
        <v>3390.5092736842112</v>
      </c>
      <c r="BF14" s="892">
        <f t="shared" ca="1" si="22"/>
        <v>105.88235294117648</v>
      </c>
      <c r="BG14" s="900">
        <f t="shared" ca="1" si="40"/>
        <v>5449.9394266253876</v>
      </c>
      <c r="BI14" s="1046">
        <f t="shared" ca="1" si="41"/>
        <v>32710.847356468552</v>
      </c>
      <c r="BJ14" s="187">
        <f t="shared" ca="1" si="42"/>
        <v>34837.052434639008</v>
      </c>
      <c r="BK14" s="893">
        <f t="shared" ca="1" si="43"/>
        <v>35785.364596444793</v>
      </c>
      <c r="BM14" s="1052"/>
      <c r="BN14" s="1051"/>
      <c r="BO14" s="1053"/>
      <c r="BP14" s="893"/>
      <c r="BR14" s="1246">
        <f t="shared" si="44"/>
        <v>4</v>
      </c>
      <c r="BS14" s="152">
        <f t="shared" si="45"/>
        <v>2002</v>
      </c>
      <c r="BU14" s="1046"/>
      <c r="BV14" s="1047"/>
      <c r="BW14" s="1048"/>
      <c r="BX14" s="1047"/>
      <c r="BY14" s="1049"/>
      <c r="CA14" s="1046"/>
      <c r="CB14" s="900"/>
      <c r="CD14" s="1046"/>
      <c r="CE14" s="1047"/>
      <c r="CF14" s="1049"/>
      <c r="CH14" s="1046"/>
      <c r="CI14" s="892"/>
      <c r="CJ14" s="892"/>
      <c r="CK14" s="892"/>
      <c r="CL14" s="892"/>
      <c r="CM14" s="1047"/>
      <c r="CN14" s="1049"/>
      <c r="CP14" s="1046"/>
      <c r="CQ14" s="187"/>
      <c r="CR14" s="893"/>
      <c r="CT14" s="1052"/>
      <c r="CU14" s="1051"/>
      <c r="CV14" s="1082"/>
      <c r="CW14" s="893"/>
    </row>
    <row r="15" spans="1:101">
      <c r="B15" s="678">
        <f t="shared" ref="B15:C30" si="54">B13+1</f>
        <v>4</v>
      </c>
      <c r="C15" s="399">
        <f t="shared" si="54"/>
        <v>2003</v>
      </c>
      <c r="E15" s="1046">
        <f t="shared" ca="1" si="0"/>
        <v>9273.0294642857134</v>
      </c>
      <c r="F15" s="1047">
        <f t="shared" ca="1" si="1"/>
        <v>10017.857142857143</v>
      </c>
      <c r="G15" s="1048">
        <f t="shared" ca="1" si="2"/>
        <v>3916.7872174079521</v>
      </c>
      <c r="H15" s="1047">
        <f t="shared" ca="1" si="3"/>
        <v>924.357049166911</v>
      </c>
      <c r="I15" s="1049">
        <f t="shared" ca="1" si="25"/>
        <v>24132.030873717722</v>
      </c>
      <c r="K15" s="1046">
        <f t="shared" ca="1" si="26"/>
        <v>7239.6092621153175</v>
      </c>
      <c r="L15" s="900">
        <f ca="1">-HLOOKUP($C15,CF_Table,CF!$AB$34)</f>
        <v>359.73877510785042</v>
      </c>
      <c r="N15" s="1046">
        <f t="shared" ca="1" si="4"/>
        <v>6098.2236465968126</v>
      </c>
      <c r="O15" s="1047">
        <f t="shared" ca="1" si="5"/>
        <v>2527.5187733225443</v>
      </c>
      <c r="P15" s="1049">
        <f t="shared" ca="1" si="27"/>
        <v>8625.7424199193574</v>
      </c>
      <c r="R15" s="1046">
        <f t="shared" ca="1" si="6"/>
        <v>900</v>
      </c>
      <c r="S15" s="892">
        <f t="shared" ca="1" si="7"/>
        <v>150</v>
      </c>
      <c r="T15" s="892">
        <f t="shared" ca="1" si="8"/>
        <v>1390.0019999999997</v>
      </c>
      <c r="U15" s="892">
        <f t="shared" ca="1" si="9"/>
        <v>490.31970000000018</v>
      </c>
      <c r="V15" s="892">
        <f t="shared" ca="1" si="10"/>
        <v>5085.763910526317</v>
      </c>
      <c r="W15" s="892">
        <f t="shared" ca="1" si="11"/>
        <v>158.82352941176472</v>
      </c>
      <c r="X15" s="900">
        <f t="shared" ca="1" si="28"/>
        <v>8174.9091399380814</v>
      </c>
      <c r="Z15" s="1046">
        <f t="shared" ca="1" si="29"/>
        <v>48532.03047079833</v>
      </c>
      <c r="AA15" s="187">
        <f t="shared" ca="1" si="30"/>
        <v>51686.612451400222</v>
      </c>
      <c r="AB15" s="187">
        <f t="shared" ca="1" si="31"/>
        <v>53093.592656805566</v>
      </c>
      <c r="AC15" s="1050">
        <f t="shared" ref="AC15:AC47" si="55">12-AC14</f>
        <v>4</v>
      </c>
      <c r="AD15" s="1051">
        <f ca="1">HLOOKUP($C15,CF_Table,CF!$AB$12)</f>
        <v>12</v>
      </c>
      <c r="AE15" s="187">
        <f t="shared" ca="1" si="12"/>
        <v>17697.864218935189</v>
      </c>
      <c r="AF15" s="779">
        <v>480</v>
      </c>
      <c r="AG15" s="893">
        <f ca="1">SUM(AE14:AE15)/AF15/SUM(AC14:AC15)*1000</f>
        <v>9285.282780447913</v>
      </c>
      <c r="AK15" s="1246">
        <f t="shared" si="32"/>
        <v>4</v>
      </c>
      <c r="AL15" s="152">
        <f t="shared" si="33"/>
        <v>2003</v>
      </c>
      <c r="AN15" s="1046">
        <f t="shared" ca="1" si="34"/>
        <v>3091.0098214285713</v>
      </c>
      <c r="AO15" s="1047">
        <f t="shared" ca="1" si="35"/>
        <v>3339.2857142857142</v>
      </c>
      <c r="AP15" s="1048">
        <f t="shared" ca="1" si="36"/>
        <v>1305.5957391359841</v>
      </c>
      <c r="AQ15" s="1047">
        <f t="shared" ca="1" si="37"/>
        <v>308.11901638897035</v>
      </c>
      <c r="AR15" s="1049">
        <f t="shared" ca="1" si="38"/>
        <v>8044.0102912392404</v>
      </c>
      <c r="AT15" s="1046">
        <f t="shared" ca="1" si="13"/>
        <v>2413.2030873717727</v>
      </c>
      <c r="AU15" s="900">
        <f t="shared" ca="1" si="14"/>
        <v>119.91292503595014</v>
      </c>
      <c r="AW15" s="1046">
        <f t="shared" ca="1" si="15"/>
        <v>2032.7412155322709</v>
      </c>
      <c r="AX15" s="1047">
        <f t="shared" ca="1" si="16"/>
        <v>842.50625777418145</v>
      </c>
      <c r="AY15" s="1049">
        <f t="shared" ca="1" si="39"/>
        <v>2875.2474733064523</v>
      </c>
      <c r="BA15" s="1046">
        <f t="shared" ca="1" si="17"/>
        <v>300</v>
      </c>
      <c r="BB15" s="892">
        <f t="shared" ca="1" si="18"/>
        <v>50</v>
      </c>
      <c r="BC15" s="892">
        <f t="shared" ca="1" si="19"/>
        <v>463.33399999999989</v>
      </c>
      <c r="BD15" s="892">
        <f t="shared" ca="1" si="20"/>
        <v>163.43990000000005</v>
      </c>
      <c r="BE15" s="892">
        <f t="shared" ca="1" si="21"/>
        <v>1695.2546368421056</v>
      </c>
      <c r="BF15" s="892">
        <f t="shared" ca="1" si="22"/>
        <v>52.941176470588239</v>
      </c>
      <c r="BG15" s="900">
        <f t="shared" ca="1" si="40"/>
        <v>2724.9697133126938</v>
      </c>
      <c r="BI15" s="1046">
        <f t="shared" ca="1" si="41"/>
        <v>16177.34349026611</v>
      </c>
      <c r="BJ15" s="187">
        <f t="shared" ca="1" si="42"/>
        <v>17228.870817133407</v>
      </c>
      <c r="BK15" s="893">
        <f t="shared" ca="1" si="43"/>
        <v>17697.864218935189</v>
      </c>
      <c r="BM15" s="1052">
        <f ca="1">SUM(BK14:BK15)</f>
        <v>53483.228815379982</v>
      </c>
      <c r="BN15" s="1051">
        <f>SUM($AC14:$AC15)</f>
        <v>12</v>
      </c>
      <c r="BO15" s="1053">
        <v>480</v>
      </c>
      <c r="BP15" s="893">
        <f ca="1">BM15/BN15/BO15*1000</f>
        <v>9285.282780447913</v>
      </c>
      <c r="BR15" s="1246">
        <f t="shared" si="44"/>
        <v>4</v>
      </c>
      <c r="BS15" s="152">
        <f t="shared" si="45"/>
        <v>2003</v>
      </c>
      <c r="BU15" s="1046">
        <f ca="1">SUM(AN14:AN15)</f>
        <v>9757.8937499999993</v>
      </c>
      <c r="BV15" s="1047">
        <f ca="1">SUM(AO14:AO15)</f>
        <v>10017.857142857143</v>
      </c>
      <c r="BW15" s="1048">
        <f ca="1">SUM(AP14:AP15)</f>
        <v>3963.7632477707912</v>
      </c>
      <c r="BX15" s="1047">
        <f ca="1">SUM(AQ14:AQ15)</f>
        <v>671.59559538535291</v>
      </c>
      <c r="BY15" s="1049">
        <f t="shared" ca="1" si="47"/>
        <v>24411.109736013284</v>
      </c>
      <c r="CA15" s="1046">
        <f ca="1">SUM(AT14:AT15)</f>
        <v>7323.3329208039886</v>
      </c>
      <c r="CB15" s="900">
        <f ca="1">SUM(AU14:AU15)</f>
        <v>353.09663005994537</v>
      </c>
      <c r="CD15" s="1046">
        <f ca="1">SUM(AW14:AW15)</f>
        <v>6297.6292362280401</v>
      </c>
      <c r="CE15" s="1047">
        <f ca="1">SUM(AX14:AX15)</f>
        <v>2328.1131836913187</v>
      </c>
      <c r="CF15" s="1049">
        <f t="shared" ca="1" si="48"/>
        <v>8625.7424199193592</v>
      </c>
      <c r="CH15" s="1046">
        <f t="shared" ref="CH15:CM15" ca="1" si="56">SUM(BA14:BA15)</f>
        <v>900</v>
      </c>
      <c r="CI15" s="892">
        <f t="shared" ca="1" si="56"/>
        <v>150</v>
      </c>
      <c r="CJ15" s="892">
        <f t="shared" ca="1" si="56"/>
        <v>1390.0019999999997</v>
      </c>
      <c r="CK15" s="892">
        <f t="shared" ca="1" si="56"/>
        <v>490.31970000000024</v>
      </c>
      <c r="CL15" s="892">
        <f t="shared" ca="1" si="56"/>
        <v>5085.763910526317</v>
      </c>
      <c r="CM15" s="1047">
        <f t="shared" ca="1" si="56"/>
        <v>158.82352941176472</v>
      </c>
      <c r="CN15" s="1049">
        <f t="shared" ca="1" si="50"/>
        <v>8174.9091399380814</v>
      </c>
      <c r="CP15" s="1046">
        <f t="shared" ca="1" si="51"/>
        <v>48888.190846734666</v>
      </c>
      <c r="CQ15" s="187">
        <f t="shared" ca="1" si="52"/>
        <v>52065.923251772416</v>
      </c>
      <c r="CR15" s="893">
        <f t="shared" ca="1" si="53"/>
        <v>53483.228815379982</v>
      </c>
      <c r="CT15" s="1052">
        <f ca="1">SUM(CR14:CR15)</f>
        <v>53483.228815379982</v>
      </c>
      <c r="CU15" s="1051">
        <f>SUM($AC14:$AC15)</f>
        <v>12</v>
      </c>
      <c r="CV15" s="1082">
        <f>$BO15</f>
        <v>480</v>
      </c>
      <c r="CW15" s="893">
        <f ca="1">CT15/CU15/CV15*1000</f>
        <v>9285.282780447913</v>
      </c>
    </row>
    <row r="16" spans="1:101">
      <c r="B16" s="678">
        <f t="shared" si="54"/>
        <v>5</v>
      </c>
      <c r="C16" s="399">
        <f t="shared" si="54"/>
        <v>2003</v>
      </c>
      <c r="E16" s="1046">
        <f t="shared" ca="1" si="0"/>
        <v>9273.0294642857134</v>
      </c>
      <c r="F16" s="1047">
        <f t="shared" ca="1" si="1"/>
        <v>10017.857142857143</v>
      </c>
      <c r="G16" s="1048">
        <f t="shared" ca="1" si="2"/>
        <v>3916.7872174079521</v>
      </c>
      <c r="H16" s="1047">
        <f t="shared" ca="1" si="3"/>
        <v>924.357049166911</v>
      </c>
      <c r="I16" s="1049">
        <f t="shared" ca="1" si="25"/>
        <v>24132.030873717722</v>
      </c>
      <c r="K16" s="1046">
        <f t="shared" ca="1" si="26"/>
        <v>7239.6092621153175</v>
      </c>
      <c r="L16" s="900">
        <f ca="1">-HLOOKUP($C16,CF_Table,CF!$AB$34)</f>
        <v>359.73877510785042</v>
      </c>
      <c r="N16" s="1046">
        <f t="shared" ca="1" si="4"/>
        <v>6098.2236465968126</v>
      </c>
      <c r="O16" s="1047">
        <f t="shared" ca="1" si="5"/>
        <v>2527.5187733225443</v>
      </c>
      <c r="P16" s="1049">
        <f t="shared" ca="1" si="27"/>
        <v>8625.7424199193574</v>
      </c>
      <c r="R16" s="1046">
        <f t="shared" ca="1" si="6"/>
        <v>900</v>
      </c>
      <c r="S16" s="892">
        <f t="shared" ca="1" si="7"/>
        <v>150</v>
      </c>
      <c r="T16" s="892">
        <f t="shared" ca="1" si="8"/>
        <v>1390.0019999999997</v>
      </c>
      <c r="U16" s="892">
        <f t="shared" ca="1" si="9"/>
        <v>490.31970000000018</v>
      </c>
      <c r="V16" s="892">
        <f t="shared" ca="1" si="10"/>
        <v>5085.763910526317</v>
      </c>
      <c r="W16" s="892">
        <f t="shared" ca="1" si="11"/>
        <v>158.82352941176472</v>
      </c>
      <c r="X16" s="900">
        <f t="shared" ca="1" si="28"/>
        <v>8174.9091399380814</v>
      </c>
      <c r="Z16" s="1046">
        <f t="shared" ca="1" si="29"/>
        <v>48532.03047079833</v>
      </c>
      <c r="AA16" s="187">
        <f t="shared" ca="1" si="30"/>
        <v>51686.612451400222</v>
      </c>
      <c r="AB16" s="187">
        <f t="shared" ca="1" si="31"/>
        <v>53093.592656805566</v>
      </c>
      <c r="AC16" s="1050">
        <f t="shared" si="55"/>
        <v>8</v>
      </c>
      <c r="AD16" s="1051">
        <f ca="1">HLOOKUP($C16,CF_Table,CF!$AB$12)</f>
        <v>12</v>
      </c>
      <c r="AE16" s="187">
        <f t="shared" ca="1" si="12"/>
        <v>35395.728437870377</v>
      </c>
      <c r="AF16" s="779">
        <v>480</v>
      </c>
      <c r="AG16" s="893"/>
      <c r="AK16" s="1246">
        <f t="shared" si="32"/>
        <v>5</v>
      </c>
      <c r="AL16" s="152">
        <f t="shared" si="33"/>
        <v>2003</v>
      </c>
      <c r="AN16" s="1046">
        <f t="shared" ca="1" si="34"/>
        <v>6182.0196428571426</v>
      </c>
      <c r="AO16" s="1047">
        <f t="shared" ca="1" si="35"/>
        <v>6678.5714285714284</v>
      </c>
      <c r="AP16" s="1048">
        <f t="shared" ca="1" si="36"/>
        <v>2611.1914782719682</v>
      </c>
      <c r="AQ16" s="1047">
        <f t="shared" ca="1" si="37"/>
        <v>616.2380327779407</v>
      </c>
      <c r="AR16" s="1049">
        <f t="shared" ca="1" si="38"/>
        <v>16088.020582478481</v>
      </c>
      <c r="AT16" s="1046">
        <f t="shared" ca="1" si="13"/>
        <v>4826.4061747435453</v>
      </c>
      <c r="AU16" s="900">
        <f t="shared" ca="1" si="14"/>
        <v>239.82585007190028</v>
      </c>
      <c r="AW16" s="1046">
        <f t="shared" ca="1" si="15"/>
        <v>4065.4824310645417</v>
      </c>
      <c r="AX16" s="1047">
        <f t="shared" ca="1" si="16"/>
        <v>1685.0125155483629</v>
      </c>
      <c r="AY16" s="1049">
        <f t="shared" ca="1" si="39"/>
        <v>5750.4949466129046</v>
      </c>
      <c r="BA16" s="1046">
        <f t="shared" ca="1" si="17"/>
        <v>600</v>
      </c>
      <c r="BB16" s="892">
        <f t="shared" ca="1" si="18"/>
        <v>100</v>
      </c>
      <c r="BC16" s="892">
        <f t="shared" ca="1" si="19"/>
        <v>926.66799999999978</v>
      </c>
      <c r="BD16" s="892">
        <f t="shared" ca="1" si="20"/>
        <v>326.8798000000001</v>
      </c>
      <c r="BE16" s="892">
        <f t="shared" ca="1" si="21"/>
        <v>3390.5092736842112</v>
      </c>
      <c r="BF16" s="892">
        <f t="shared" ca="1" si="22"/>
        <v>105.88235294117648</v>
      </c>
      <c r="BG16" s="900">
        <f t="shared" ca="1" si="40"/>
        <v>5449.9394266253876</v>
      </c>
      <c r="BI16" s="1046">
        <f t="shared" ca="1" si="41"/>
        <v>32354.68698053222</v>
      </c>
      <c r="BJ16" s="187">
        <f t="shared" ca="1" si="42"/>
        <v>34457.741634266815</v>
      </c>
      <c r="BK16" s="893">
        <f t="shared" ca="1" si="43"/>
        <v>35395.728437870377</v>
      </c>
      <c r="BM16" s="1052"/>
      <c r="BN16" s="1051"/>
      <c r="BO16" s="1053"/>
      <c r="BP16" s="893"/>
      <c r="BR16" s="1246">
        <f t="shared" si="44"/>
        <v>5</v>
      </c>
      <c r="BS16" s="152">
        <f t="shared" si="45"/>
        <v>2003</v>
      </c>
      <c r="BU16" s="1046"/>
      <c r="BV16" s="1047"/>
      <c r="BW16" s="1048"/>
      <c r="BX16" s="1047"/>
      <c r="BY16" s="1049"/>
      <c r="CA16" s="1046"/>
      <c r="CB16" s="900"/>
      <c r="CD16" s="1046"/>
      <c r="CE16" s="1047"/>
      <c r="CF16" s="1049"/>
      <c r="CH16" s="1046"/>
      <c r="CI16" s="892"/>
      <c r="CJ16" s="892"/>
      <c r="CK16" s="892"/>
      <c r="CL16" s="892"/>
      <c r="CM16" s="1047"/>
      <c r="CN16" s="1049"/>
      <c r="CP16" s="1046"/>
      <c r="CQ16" s="187"/>
      <c r="CR16" s="893"/>
      <c r="CT16" s="1052"/>
      <c r="CU16" s="1051"/>
      <c r="CV16" s="1082"/>
      <c r="CW16" s="893"/>
    </row>
    <row r="17" spans="2:101">
      <c r="B17" s="678">
        <f t="shared" si="54"/>
        <v>5</v>
      </c>
      <c r="C17" s="399">
        <f t="shared" si="54"/>
        <v>2004</v>
      </c>
      <c r="E17" s="1046">
        <f t="shared" ca="1" si="0"/>
        <v>8545.7330357142873</v>
      </c>
      <c r="F17" s="1047">
        <f t="shared" ca="1" si="1"/>
        <v>10017.857142857143</v>
      </c>
      <c r="G17" s="1048">
        <f t="shared" ca="1" si="2"/>
        <v>3768.9895358192889</v>
      </c>
      <c r="H17" s="1047">
        <f t="shared" ca="1" si="3"/>
        <v>2596.5085650755955</v>
      </c>
      <c r="I17" s="1049">
        <f t="shared" ca="1" si="25"/>
        <v>24929.088279466312</v>
      </c>
      <c r="K17" s="1046">
        <f t="shared" ca="1" si="26"/>
        <v>7478.7264838398951</v>
      </c>
      <c r="L17" s="900">
        <f ca="1">-HLOOKUP($C17,CF_Table,CF!$AB$34)</f>
        <v>355.63768016580747</v>
      </c>
      <c r="N17" s="1046">
        <f t="shared" ca="1" si="4"/>
        <v>5758.9674392475936</v>
      </c>
      <c r="O17" s="1047">
        <f t="shared" ca="1" si="5"/>
        <v>2866.7749806717629</v>
      </c>
      <c r="P17" s="1049">
        <f t="shared" ca="1" si="27"/>
        <v>8625.7424199193556</v>
      </c>
      <c r="R17" s="1046">
        <f t="shared" ca="1" si="6"/>
        <v>900</v>
      </c>
      <c r="S17" s="892">
        <f t="shared" ca="1" si="7"/>
        <v>150</v>
      </c>
      <c r="T17" s="892">
        <f t="shared" ca="1" si="8"/>
        <v>1390.0019999999997</v>
      </c>
      <c r="U17" s="892">
        <f t="shared" ca="1" si="9"/>
        <v>490.31970000000018</v>
      </c>
      <c r="V17" s="892">
        <f t="shared" ca="1" si="10"/>
        <v>5085.763910526317</v>
      </c>
      <c r="W17" s="892">
        <f t="shared" ca="1" si="11"/>
        <v>158.82352941176472</v>
      </c>
      <c r="X17" s="900">
        <f t="shared" ca="1" si="28"/>
        <v>8174.9091399380814</v>
      </c>
      <c r="Z17" s="1046">
        <f t="shared" ca="1" si="29"/>
        <v>49564.104003329456</v>
      </c>
      <c r="AA17" s="187">
        <f t="shared" ca="1" si="30"/>
        <v>52785.770763545865</v>
      </c>
      <c r="AB17" s="187">
        <f t="shared" ca="1" si="31"/>
        <v>54222.67155988275</v>
      </c>
      <c r="AC17" s="1050">
        <f t="shared" si="55"/>
        <v>4</v>
      </c>
      <c r="AD17" s="1051">
        <f ca="1">HLOOKUP($C17,CF_Table,CF!$AB$12)</f>
        <v>12</v>
      </c>
      <c r="AE17" s="187">
        <f t="shared" ca="1" si="12"/>
        <v>18074.22385329425</v>
      </c>
      <c r="AF17" s="779">
        <v>480</v>
      </c>
      <c r="AG17" s="893">
        <f ca="1">SUM(AE16:AE17)/AF17/SUM(AC16:AC17)*1000</f>
        <v>9282.9778283271917</v>
      </c>
      <c r="AK17" s="1246">
        <f t="shared" si="32"/>
        <v>5</v>
      </c>
      <c r="AL17" s="152">
        <f t="shared" si="33"/>
        <v>2004</v>
      </c>
      <c r="AN17" s="1046">
        <f t="shared" ca="1" si="34"/>
        <v>2848.5776785714293</v>
      </c>
      <c r="AO17" s="1047">
        <f t="shared" ca="1" si="35"/>
        <v>3339.2857142857142</v>
      </c>
      <c r="AP17" s="1048">
        <f t="shared" ca="1" si="36"/>
        <v>1256.3298452730962</v>
      </c>
      <c r="AQ17" s="1047">
        <f t="shared" ca="1" si="37"/>
        <v>865.50285502519853</v>
      </c>
      <c r="AR17" s="1049">
        <f t="shared" ca="1" si="38"/>
        <v>8309.6960931554386</v>
      </c>
      <c r="AT17" s="1046">
        <f t="shared" ca="1" si="13"/>
        <v>2492.9088279466318</v>
      </c>
      <c r="AU17" s="900">
        <f t="shared" ca="1" si="14"/>
        <v>118.54589338860249</v>
      </c>
      <c r="AW17" s="1046">
        <f t="shared" ca="1" si="15"/>
        <v>1919.6558130825313</v>
      </c>
      <c r="AX17" s="1047">
        <f t="shared" ca="1" si="16"/>
        <v>955.59166022392094</v>
      </c>
      <c r="AY17" s="1049">
        <f t="shared" ca="1" si="39"/>
        <v>2875.2474733064523</v>
      </c>
      <c r="BA17" s="1046">
        <f t="shared" ca="1" si="17"/>
        <v>300</v>
      </c>
      <c r="BB17" s="892">
        <f t="shared" ca="1" si="18"/>
        <v>50</v>
      </c>
      <c r="BC17" s="892">
        <f t="shared" ca="1" si="19"/>
        <v>463.33399999999989</v>
      </c>
      <c r="BD17" s="892">
        <f t="shared" ca="1" si="20"/>
        <v>163.43990000000005</v>
      </c>
      <c r="BE17" s="892">
        <f t="shared" ca="1" si="21"/>
        <v>1695.2546368421056</v>
      </c>
      <c r="BF17" s="892">
        <f t="shared" ca="1" si="22"/>
        <v>52.941176470588239</v>
      </c>
      <c r="BG17" s="900">
        <f t="shared" ca="1" si="40"/>
        <v>2724.9697133126938</v>
      </c>
      <c r="BI17" s="1046">
        <f t="shared" ca="1" si="41"/>
        <v>16521.368001109819</v>
      </c>
      <c r="BJ17" s="187">
        <f t="shared" ca="1" si="42"/>
        <v>17595.256921181957</v>
      </c>
      <c r="BK17" s="893">
        <f t="shared" ca="1" si="43"/>
        <v>18074.223853294254</v>
      </c>
      <c r="BM17" s="1052">
        <f ca="1">SUM(BK16:BK17)</f>
        <v>53469.952291164635</v>
      </c>
      <c r="BN17" s="1051">
        <f>SUM($AC16:$AC17)</f>
        <v>12</v>
      </c>
      <c r="BO17" s="1053">
        <v>480</v>
      </c>
      <c r="BP17" s="893">
        <f ca="1">BM17/BN17/BO17*1000</f>
        <v>9282.9778283271935</v>
      </c>
      <c r="BR17" s="1246">
        <f t="shared" si="44"/>
        <v>5</v>
      </c>
      <c r="BS17" s="152">
        <f t="shared" si="45"/>
        <v>2004</v>
      </c>
      <c r="BU17" s="1046">
        <f ca="1">SUM(AN16:AN17)</f>
        <v>9030.5973214285714</v>
      </c>
      <c r="BV17" s="1047">
        <f ca="1">SUM(AO16:AO17)</f>
        <v>10017.857142857143</v>
      </c>
      <c r="BW17" s="1048">
        <f ca="1">SUM(AP16:AP17)</f>
        <v>3867.5213235450647</v>
      </c>
      <c r="BX17" s="1047">
        <f ca="1">SUM(AQ16:AQ17)</f>
        <v>1481.7408878031392</v>
      </c>
      <c r="BY17" s="1049">
        <f t="shared" ca="1" si="47"/>
        <v>24397.716675633917</v>
      </c>
      <c r="CA17" s="1046">
        <f ca="1">SUM(AT16:AT17)</f>
        <v>7319.3150026901767</v>
      </c>
      <c r="CB17" s="900">
        <f ca="1">SUM(AU16:AU17)</f>
        <v>358.37174346050278</v>
      </c>
      <c r="CD17" s="1046">
        <f ca="1">SUM(AW16:AW17)</f>
        <v>5985.1382441470732</v>
      </c>
      <c r="CE17" s="1047">
        <f ca="1">SUM(AX16:AX17)</f>
        <v>2640.6041757722837</v>
      </c>
      <c r="CF17" s="1049">
        <f t="shared" ca="1" si="48"/>
        <v>8625.7424199193574</v>
      </c>
      <c r="CH17" s="1046">
        <f t="shared" ref="CH17:CM17" ca="1" si="57">SUM(BA16:BA17)</f>
        <v>900</v>
      </c>
      <c r="CI17" s="892">
        <f t="shared" ca="1" si="57"/>
        <v>150</v>
      </c>
      <c r="CJ17" s="892">
        <f t="shared" ca="1" si="57"/>
        <v>1390.0019999999997</v>
      </c>
      <c r="CK17" s="892">
        <f t="shared" ca="1" si="57"/>
        <v>490.31970000000013</v>
      </c>
      <c r="CL17" s="892">
        <f t="shared" ca="1" si="57"/>
        <v>5085.763910526317</v>
      </c>
      <c r="CM17" s="1047">
        <f t="shared" ca="1" si="57"/>
        <v>158.82352941176472</v>
      </c>
      <c r="CN17" s="1049">
        <f t="shared" ca="1" si="50"/>
        <v>8174.9091399380814</v>
      </c>
      <c r="CP17" s="1046">
        <f t="shared" ca="1" si="51"/>
        <v>48876.054981642039</v>
      </c>
      <c r="CQ17" s="187">
        <f t="shared" ca="1" si="52"/>
        <v>52052.998555448772</v>
      </c>
      <c r="CR17" s="893">
        <f t="shared" ca="1" si="53"/>
        <v>53469.952291164627</v>
      </c>
      <c r="CT17" s="1052">
        <f ca="1">SUM(CR16:CR17)</f>
        <v>53469.952291164627</v>
      </c>
      <c r="CU17" s="1051">
        <f>SUM($AC16:$AC17)</f>
        <v>12</v>
      </c>
      <c r="CV17" s="1082">
        <f>$BO17</f>
        <v>480</v>
      </c>
      <c r="CW17" s="893">
        <f ca="1">CT17/CU17/CV17*1000</f>
        <v>9282.9778283271917</v>
      </c>
    </row>
    <row r="18" spans="2:101">
      <c r="B18" s="678">
        <f t="shared" si="54"/>
        <v>6</v>
      </c>
      <c r="C18" s="399">
        <f t="shared" si="54"/>
        <v>2004</v>
      </c>
      <c r="E18" s="1046">
        <f t="shared" ca="1" si="0"/>
        <v>8545.7330357142873</v>
      </c>
      <c r="F18" s="1047">
        <f t="shared" ca="1" si="1"/>
        <v>10017.857142857143</v>
      </c>
      <c r="G18" s="1048">
        <f t="shared" ca="1" si="2"/>
        <v>3768.9895358192889</v>
      </c>
      <c r="H18" s="1047">
        <f t="shared" ca="1" si="3"/>
        <v>2596.5085650755955</v>
      </c>
      <c r="I18" s="1049">
        <f t="shared" ca="1" si="25"/>
        <v>24929.088279466312</v>
      </c>
      <c r="K18" s="1046">
        <f t="shared" ca="1" si="26"/>
        <v>7478.7264838398951</v>
      </c>
      <c r="L18" s="900">
        <f ca="1">-HLOOKUP($C18,CF_Table,CF!$AB$34)</f>
        <v>355.63768016580747</v>
      </c>
      <c r="N18" s="1046">
        <f t="shared" ca="1" si="4"/>
        <v>5758.9674392475936</v>
      </c>
      <c r="O18" s="1047">
        <f t="shared" ca="1" si="5"/>
        <v>2866.7749806717629</v>
      </c>
      <c r="P18" s="1049">
        <f t="shared" ca="1" si="27"/>
        <v>8625.7424199193556</v>
      </c>
      <c r="R18" s="1046">
        <f t="shared" ca="1" si="6"/>
        <v>900</v>
      </c>
      <c r="S18" s="892">
        <f t="shared" ca="1" si="7"/>
        <v>150</v>
      </c>
      <c r="T18" s="892">
        <f t="shared" ca="1" si="8"/>
        <v>1390.0019999999997</v>
      </c>
      <c r="U18" s="892">
        <f t="shared" ca="1" si="9"/>
        <v>490.31970000000018</v>
      </c>
      <c r="V18" s="892">
        <f t="shared" ca="1" si="10"/>
        <v>5085.763910526317</v>
      </c>
      <c r="W18" s="892">
        <f t="shared" ca="1" si="11"/>
        <v>158.82352941176472</v>
      </c>
      <c r="X18" s="900">
        <f t="shared" ca="1" si="28"/>
        <v>8174.9091399380814</v>
      </c>
      <c r="Z18" s="1046">
        <f t="shared" ca="1" si="29"/>
        <v>49564.104003329456</v>
      </c>
      <c r="AA18" s="187">
        <f t="shared" ca="1" si="30"/>
        <v>52785.770763545865</v>
      </c>
      <c r="AB18" s="187">
        <f t="shared" ca="1" si="31"/>
        <v>54222.67155988275</v>
      </c>
      <c r="AC18" s="1050">
        <f t="shared" si="55"/>
        <v>8</v>
      </c>
      <c r="AD18" s="1051">
        <f ca="1">HLOOKUP($C18,CF_Table,CF!$AB$12)</f>
        <v>12</v>
      </c>
      <c r="AE18" s="187">
        <f t="shared" ca="1" si="12"/>
        <v>36148.4477065885</v>
      </c>
      <c r="AF18" s="779">
        <v>480</v>
      </c>
      <c r="AG18" s="893"/>
      <c r="AK18" s="1246">
        <f t="shared" si="32"/>
        <v>6</v>
      </c>
      <c r="AL18" s="152">
        <f t="shared" si="33"/>
        <v>2004</v>
      </c>
      <c r="AN18" s="1046">
        <f t="shared" ca="1" si="34"/>
        <v>5697.1553571428585</v>
      </c>
      <c r="AO18" s="1047">
        <f t="shared" ca="1" si="35"/>
        <v>6678.5714285714284</v>
      </c>
      <c r="AP18" s="1048">
        <f t="shared" ca="1" si="36"/>
        <v>2512.6596905461925</v>
      </c>
      <c r="AQ18" s="1047">
        <f t="shared" ca="1" si="37"/>
        <v>1731.0057100503971</v>
      </c>
      <c r="AR18" s="1049">
        <f t="shared" ca="1" si="38"/>
        <v>16619.392186310877</v>
      </c>
      <c r="AT18" s="1046">
        <f t="shared" ca="1" si="13"/>
        <v>4985.8176558932637</v>
      </c>
      <c r="AU18" s="900">
        <f t="shared" ca="1" si="14"/>
        <v>237.09178677720499</v>
      </c>
      <c r="AW18" s="1046">
        <f t="shared" ca="1" si="15"/>
        <v>3839.3116261650625</v>
      </c>
      <c r="AX18" s="1047">
        <f t="shared" ca="1" si="16"/>
        <v>1911.1833204478419</v>
      </c>
      <c r="AY18" s="1049">
        <f t="shared" ca="1" si="39"/>
        <v>5750.4949466129046</v>
      </c>
      <c r="BA18" s="1046">
        <f t="shared" ca="1" si="17"/>
        <v>600</v>
      </c>
      <c r="BB18" s="892">
        <f t="shared" ca="1" si="18"/>
        <v>100</v>
      </c>
      <c r="BC18" s="892">
        <f t="shared" ca="1" si="19"/>
        <v>926.66799999999978</v>
      </c>
      <c r="BD18" s="892">
        <f t="shared" ca="1" si="20"/>
        <v>326.8798000000001</v>
      </c>
      <c r="BE18" s="892">
        <f t="shared" ca="1" si="21"/>
        <v>3390.5092736842112</v>
      </c>
      <c r="BF18" s="892">
        <f t="shared" ca="1" si="22"/>
        <v>105.88235294117648</v>
      </c>
      <c r="BG18" s="900">
        <f t="shared" ca="1" si="40"/>
        <v>5449.9394266253876</v>
      </c>
      <c r="BI18" s="1046">
        <f t="shared" ca="1" si="41"/>
        <v>33042.736002219637</v>
      </c>
      <c r="BJ18" s="187">
        <f t="shared" ca="1" si="42"/>
        <v>35190.513842363915</v>
      </c>
      <c r="BK18" s="893">
        <f t="shared" ca="1" si="43"/>
        <v>36148.447706588508</v>
      </c>
      <c r="BM18" s="1052"/>
      <c r="BN18" s="1051"/>
      <c r="BO18" s="1053"/>
      <c r="BP18" s="893"/>
      <c r="BR18" s="1246">
        <f t="shared" si="44"/>
        <v>6</v>
      </c>
      <c r="BS18" s="152">
        <f t="shared" si="45"/>
        <v>2004</v>
      </c>
      <c r="BU18" s="1046"/>
      <c r="BV18" s="1047"/>
      <c r="BW18" s="1048"/>
      <c r="BX18" s="1047"/>
      <c r="BY18" s="1049"/>
      <c r="CA18" s="1046"/>
      <c r="CB18" s="900"/>
      <c r="CD18" s="1046"/>
      <c r="CE18" s="1047"/>
      <c r="CF18" s="1049"/>
      <c r="CH18" s="1046"/>
      <c r="CI18" s="892"/>
      <c r="CJ18" s="892"/>
      <c r="CK18" s="892"/>
      <c r="CL18" s="892"/>
      <c r="CM18" s="1047"/>
      <c r="CN18" s="1049"/>
      <c r="CP18" s="1046"/>
      <c r="CQ18" s="187"/>
      <c r="CR18" s="893"/>
      <c r="CT18" s="1052"/>
      <c r="CU18" s="1051"/>
      <c r="CV18" s="1082"/>
      <c r="CW18" s="893"/>
    </row>
    <row r="19" spans="2:101">
      <c r="B19" s="678">
        <f t="shared" si="54"/>
        <v>6</v>
      </c>
      <c r="C19" s="399">
        <f t="shared" si="54"/>
        <v>2005</v>
      </c>
      <c r="E19" s="1046">
        <f t="shared" ca="1" si="0"/>
        <v>7818.4366071428594</v>
      </c>
      <c r="F19" s="1047">
        <f t="shared" ca="1" si="1"/>
        <v>10017.857142857143</v>
      </c>
      <c r="G19" s="1048">
        <f t="shared" ca="1" si="2"/>
        <v>3468.4046906252097</v>
      </c>
      <c r="H19" s="1047">
        <f t="shared" ca="1" si="3"/>
        <v>3296.3022434776694</v>
      </c>
      <c r="I19" s="1049">
        <f t="shared" ca="1" si="25"/>
        <v>24601.000684102884</v>
      </c>
      <c r="K19" s="1046">
        <f t="shared" ca="1" si="26"/>
        <v>7380.3002052308666</v>
      </c>
      <c r="L19" s="900">
        <f ca="1">-HLOOKUP($C19,CF_Table,CF!$AB$34)</f>
        <v>347.37151206221256</v>
      </c>
      <c r="N19" s="1046">
        <f t="shared" ca="1" si="4"/>
        <v>5374.1745674669255</v>
      </c>
      <c r="O19" s="1047">
        <f t="shared" ca="1" si="5"/>
        <v>3251.5678524524315</v>
      </c>
      <c r="P19" s="1049">
        <f t="shared" ca="1" si="27"/>
        <v>8625.7424199193574</v>
      </c>
      <c r="R19" s="1046">
        <f t="shared" ca="1" si="6"/>
        <v>900</v>
      </c>
      <c r="S19" s="892">
        <f t="shared" ca="1" si="7"/>
        <v>150</v>
      </c>
      <c r="T19" s="892">
        <f t="shared" ca="1" si="8"/>
        <v>1390.0019999999997</v>
      </c>
      <c r="U19" s="892">
        <f t="shared" ca="1" si="9"/>
        <v>490.31970000000018</v>
      </c>
      <c r="V19" s="892">
        <f t="shared" ca="1" si="10"/>
        <v>5085.763910526317</v>
      </c>
      <c r="W19" s="892">
        <f t="shared" ca="1" si="11"/>
        <v>158.82352941176472</v>
      </c>
      <c r="X19" s="900">
        <f t="shared" ca="1" si="28"/>
        <v>8174.9091399380814</v>
      </c>
      <c r="Z19" s="1046">
        <f t="shared" ca="1" si="29"/>
        <v>49129.323961253394</v>
      </c>
      <c r="AA19" s="187">
        <f t="shared" ca="1" si="30"/>
        <v>52322.730018734859</v>
      </c>
      <c r="AB19" s="187">
        <f t="shared" ca="1" si="31"/>
        <v>53747.026213389683</v>
      </c>
      <c r="AC19" s="1050">
        <f t="shared" si="55"/>
        <v>4</v>
      </c>
      <c r="AD19" s="1051">
        <f ca="1">HLOOKUP($C19,CF_Table,CF!$AB$12)</f>
        <v>12</v>
      </c>
      <c r="AE19" s="187">
        <f t="shared" ca="1" si="12"/>
        <v>17915.675404463229</v>
      </c>
      <c r="AF19" s="779">
        <v>480</v>
      </c>
      <c r="AG19" s="893">
        <f ca="1">SUM(AE18:AE19)/AF19/SUM(AC18:AC19)*1000</f>
        <v>9386.1324845575909</v>
      </c>
      <c r="AK19" s="1246">
        <f t="shared" si="32"/>
        <v>6</v>
      </c>
      <c r="AL19" s="152">
        <f t="shared" si="33"/>
        <v>2005</v>
      </c>
      <c r="AN19" s="1046">
        <f t="shared" ca="1" si="34"/>
        <v>2606.1455357142863</v>
      </c>
      <c r="AO19" s="1047">
        <f t="shared" ca="1" si="35"/>
        <v>3339.2857142857142</v>
      </c>
      <c r="AP19" s="1048">
        <f t="shared" ca="1" si="36"/>
        <v>1156.1348968750699</v>
      </c>
      <c r="AQ19" s="1047">
        <f t="shared" ca="1" si="37"/>
        <v>1098.7674144925566</v>
      </c>
      <c r="AR19" s="1049">
        <f t="shared" ca="1" si="38"/>
        <v>8200.3335613676263</v>
      </c>
      <c r="AT19" s="1046">
        <f t="shared" ca="1" si="13"/>
        <v>2460.1000684102887</v>
      </c>
      <c r="AU19" s="900">
        <f t="shared" ca="1" si="14"/>
        <v>115.79050402073752</v>
      </c>
      <c r="AW19" s="1046">
        <f t="shared" ca="1" si="15"/>
        <v>1791.3915224889752</v>
      </c>
      <c r="AX19" s="1047">
        <f t="shared" ca="1" si="16"/>
        <v>1083.8559508174772</v>
      </c>
      <c r="AY19" s="1049">
        <f t="shared" ca="1" si="39"/>
        <v>2875.2474733064523</v>
      </c>
      <c r="BA19" s="1046">
        <f t="shared" ca="1" si="17"/>
        <v>300</v>
      </c>
      <c r="BB19" s="892">
        <f t="shared" ca="1" si="18"/>
        <v>50</v>
      </c>
      <c r="BC19" s="892">
        <f t="shared" ca="1" si="19"/>
        <v>463.33399999999989</v>
      </c>
      <c r="BD19" s="892">
        <f t="shared" ca="1" si="20"/>
        <v>163.43990000000005</v>
      </c>
      <c r="BE19" s="892">
        <f t="shared" ca="1" si="21"/>
        <v>1695.2546368421056</v>
      </c>
      <c r="BF19" s="892">
        <f t="shared" ca="1" si="22"/>
        <v>52.941176470588239</v>
      </c>
      <c r="BG19" s="900">
        <f t="shared" ca="1" si="40"/>
        <v>2724.9697133126938</v>
      </c>
      <c r="BI19" s="1046">
        <f t="shared" ca="1" si="41"/>
        <v>16376.441320417798</v>
      </c>
      <c r="BJ19" s="187">
        <f t="shared" ca="1" si="42"/>
        <v>17440.910006244954</v>
      </c>
      <c r="BK19" s="893">
        <f t="shared" ca="1" si="43"/>
        <v>17915.675404463229</v>
      </c>
      <c r="BM19" s="1052">
        <f ca="1">SUM(BK18:BK19)</f>
        <v>54064.12311105174</v>
      </c>
      <c r="BN19" s="1051">
        <f>SUM($AC18:$AC19)</f>
        <v>12</v>
      </c>
      <c r="BO19" s="1053">
        <v>480</v>
      </c>
      <c r="BP19" s="893">
        <f ca="1">BM19/BN19/BO19*1000</f>
        <v>9386.1324845575946</v>
      </c>
      <c r="BR19" s="1246">
        <f t="shared" si="44"/>
        <v>6</v>
      </c>
      <c r="BS19" s="152">
        <f t="shared" si="45"/>
        <v>2005</v>
      </c>
      <c r="BU19" s="1046">
        <f ca="1">SUM(AN18:AN19)</f>
        <v>8303.3008928571453</v>
      </c>
      <c r="BV19" s="1047">
        <f ca="1">SUM(AO18:AO19)</f>
        <v>10017.857142857143</v>
      </c>
      <c r="BW19" s="1048">
        <f ca="1">SUM(AP18:AP19)</f>
        <v>3668.7945874212623</v>
      </c>
      <c r="BX19" s="1047">
        <f ca="1">SUM(AQ18:AQ19)</f>
        <v>2829.7731245429536</v>
      </c>
      <c r="BY19" s="1049">
        <f t="shared" ca="1" si="47"/>
        <v>24819.725747678505</v>
      </c>
      <c r="CA19" s="1046">
        <f ca="1">SUM(AT18:AT19)</f>
        <v>7445.9177243035519</v>
      </c>
      <c r="CB19" s="900">
        <f ca="1">SUM(AU18:AU19)</f>
        <v>352.88229079794252</v>
      </c>
      <c r="CD19" s="1046">
        <f ca="1">SUM(AW18:AW19)</f>
        <v>5630.7031486540382</v>
      </c>
      <c r="CE19" s="1047">
        <f ca="1">SUM(AX18:AX19)</f>
        <v>2995.0392712653193</v>
      </c>
      <c r="CF19" s="1049">
        <f t="shared" ca="1" si="48"/>
        <v>8625.7424199193574</v>
      </c>
      <c r="CH19" s="1046">
        <f t="shared" ref="CH19:CM19" ca="1" si="58">SUM(BA18:BA19)</f>
        <v>900</v>
      </c>
      <c r="CI19" s="892">
        <f t="shared" ca="1" si="58"/>
        <v>150</v>
      </c>
      <c r="CJ19" s="892">
        <f t="shared" ca="1" si="58"/>
        <v>1390.0019999999997</v>
      </c>
      <c r="CK19" s="892">
        <f t="shared" ca="1" si="58"/>
        <v>490.31970000000013</v>
      </c>
      <c r="CL19" s="892">
        <f t="shared" ca="1" si="58"/>
        <v>5085.763910526317</v>
      </c>
      <c r="CM19" s="1047">
        <f t="shared" ca="1" si="58"/>
        <v>158.82352941176472</v>
      </c>
      <c r="CN19" s="1049">
        <f t="shared" ca="1" si="50"/>
        <v>8174.9091399380814</v>
      </c>
      <c r="CP19" s="1046">
        <f t="shared" ca="1" si="51"/>
        <v>49419.177322637435</v>
      </c>
      <c r="CQ19" s="187">
        <f t="shared" ca="1" si="52"/>
        <v>52631.423848608865</v>
      </c>
      <c r="CR19" s="893">
        <f t="shared" ca="1" si="53"/>
        <v>54064.123111051733</v>
      </c>
      <c r="CT19" s="1052">
        <f ca="1">SUM(CR18:CR19)</f>
        <v>54064.123111051733</v>
      </c>
      <c r="CU19" s="1051">
        <f>SUM($AC18:$AC19)</f>
        <v>12</v>
      </c>
      <c r="CV19" s="1082">
        <f>$BO19</f>
        <v>480</v>
      </c>
      <c r="CW19" s="893">
        <f ca="1">CT19/CU19/CV19*1000</f>
        <v>9386.1324845575946</v>
      </c>
    </row>
    <row r="20" spans="2:101">
      <c r="B20" s="678">
        <f t="shared" si="54"/>
        <v>7</v>
      </c>
      <c r="C20" s="399">
        <f t="shared" si="54"/>
        <v>2005</v>
      </c>
      <c r="E20" s="1046">
        <f t="shared" ca="1" si="0"/>
        <v>7818.4366071428594</v>
      </c>
      <c r="F20" s="1047">
        <f t="shared" ca="1" si="1"/>
        <v>10017.857142857143</v>
      </c>
      <c r="G20" s="1048">
        <f t="shared" ca="1" si="2"/>
        <v>3468.4046906252097</v>
      </c>
      <c r="H20" s="1047">
        <f t="shared" ca="1" si="3"/>
        <v>3296.3022434776694</v>
      </c>
      <c r="I20" s="1049">
        <f t="shared" ca="1" si="25"/>
        <v>24601.000684102884</v>
      </c>
      <c r="K20" s="1046">
        <f t="shared" ca="1" si="26"/>
        <v>7380.3002052308666</v>
      </c>
      <c r="L20" s="900">
        <f ca="1">-HLOOKUP($C20,CF_Table,CF!$AB$34)</f>
        <v>347.37151206221256</v>
      </c>
      <c r="N20" s="1046">
        <f t="shared" ca="1" si="4"/>
        <v>5374.1745674669255</v>
      </c>
      <c r="O20" s="1047">
        <f t="shared" ca="1" si="5"/>
        <v>3251.5678524524315</v>
      </c>
      <c r="P20" s="1049">
        <f t="shared" ca="1" si="27"/>
        <v>8625.7424199193574</v>
      </c>
      <c r="R20" s="1046">
        <f t="shared" ca="1" si="6"/>
        <v>900</v>
      </c>
      <c r="S20" s="892">
        <f t="shared" ca="1" si="7"/>
        <v>150</v>
      </c>
      <c r="T20" s="892">
        <f t="shared" ca="1" si="8"/>
        <v>1390.0019999999997</v>
      </c>
      <c r="U20" s="892">
        <f t="shared" ca="1" si="9"/>
        <v>490.31970000000018</v>
      </c>
      <c r="V20" s="892">
        <f t="shared" ca="1" si="10"/>
        <v>5085.763910526317</v>
      </c>
      <c r="W20" s="892">
        <f t="shared" ca="1" si="11"/>
        <v>158.82352941176472</v>
      </c>
      <c r="X20" s="900">
        <f t="shared" ca="1" si="28"/>
        <v>8174.9091399380814</v>
      </c>
      <c r="Z20" s="1046">
        <f t="shared" ca="1" si="29"/>
        <v>49129.323961253394</v>
      </c>
      <c r="AA20" s="187">
        <f t="shared" ca="1" si="30"/>
        <v>52322.730018734859</v>
      </c>
      <c r="AB20" s="187">
        <f t="shared" ca="1" si="31"/>
        <v>53747.026213389683</v>
      </c>
      <c r="AC20" s="1050">
        <f t="shared" si="55"/>
        <v>8</v>
      </c>
      <c r="AD20" s="1051">
        <f ca="1">HLOOKUP($C20,CF_Table,CF!$AB$12)</f>
        <v>12</v>
      </c>
      <c r="AE20" s="187">
        <f t="shared" ca="1" si="12"/>
        <v>35831.350808926458</v>
      </c>
      <c r="AF20" s="779">
        <v>480</v>
      </c>
      <c r="AG20" s="893"/>
      <c r="AK20" s="1246">
        <f t="shared" si="32"/>
        <v>7</v>
      </c>
      <c r="AL20" s="152">
        <f t="shared" si="33"/>
        <v>2005</v>
      </c>
      <c r="AN20" s="1046">
        <f t="shared" ca="1" si="34"/>
        <v>5212.2910714285726</v>
      </c>
      <c r="AO20" s="1047">
        <f t="shared" ca="1" si="35"/>
        <v>6678.5714285714284</v>
      </c>
      <c r="AP20" s="1048">
        <f t="shared" ca="1" si="36"/>
        <v>2312.2697937501398</v>
      </c>
      <c r="AQ20" s="1047">
        <f t="shared" ca="1" si="37"/>
        <v>2197.5348289851131</v>
      </c>
      <c r="AR20" s="1049">
        <f t="shared" ca="1" si="38"/>
        <v>16400.667122735253</v>
      </c>
      <c r="AT20" s="1046">
        <f t="shared" ca="1" si="13"/>
        <v>4920.2001368205774</v>
      </c>
      <c r="AU20" s="900">
        <f t="shared" ca="1" si="14"/>
        <v>231.58100804147503</v>
      </c>
      <c r="AW20" s="1046">
        <f t="shared" ca="1" si="15"/>
        <v>3582.7830449779503</v>
      </c>
      <c r="AX20" s="1047">
        <f t="shared" ca="1" si="16"/>
        <v>2167.7119016349543</v>
      </c>
      <c r="AY20" s="1049">
        <f t="shared" ca="1" si="39"/>
        <v>5750.4949466129046</v>
      </c>
      <c r="BA20" s="1046">
        <f t="shared" ca="1" si="17"/>
        <v>600</v>
      </c>
      <c r="BB20" s="892">
        <f t="shared" ca="1" si="18"/>
        <v>100</v>
      </c>
      <c r="BC20" s="892">
        <f t="shared" ca="1" si="19"/>
        <v>926.66799999999978</v>
      </c>
      <c r="BD20" s="892">
        <f t="shared" ca="1" si="20"/>
        <v>326.8798000000001</v>
      </c>
      <c r="BE20" s="892">
        <f t="shared" ca="1" si="21"/>
        <v>3390.5092736842112</v>
      </c>
      <c r="BF20" s="892">
        <f t="shared" ca="1" si="22"/>
        <v>105.88235294117648</v>
      </c>
      <c r="BG20" s="900">
        <f t="shared" ca="1" si="40"/>
        <v>5449.9394266253876</v>
      </c>
      <c r="BI20" s="1046">
        <f t="shared" ca="1" si="41"/>
        <v>32752.882640835596</v>
      </c>
      <c r="BJ20" s="187">
        <f t="shared" ca="1" si="42"/>
        <v>34881.820012489909</v>
      </c>
      <c r="BK20" s="893">
        <f t="shared" ca="1" si="43"/>
        <v>35831.350808926458</v>
      </c>
      <c r="BM20" s="1052"/>
      <c r="BN20" s="1051"/>
      <c r="BO20" s="1053"/>
      <c r="BP20" s="893"/>
      <c r="BR20" s="1246">
        <f t="shared" si="44"/>
        <v>7</v>
      </c>
      <c r="BS20" s="152">
        <f t="shared" si="45"/>
        <v>2005</v>
      </c>
      <c r="BU20" s="1046"/>
      <c r="BV20" s="1047"/>
      <c r="BW20" s="1048"/>
      <c r="BX20" s="1047"/>
      <c r="BY20" s="1049"/>
      <c r="CA20" s="1046"/>
      <c r="CB20" s="900"/>
      <c r="CD20" s="1046"/>
      <c r="CE20" s="1047"/>
      <c r="CF20" s="1049"/>
      <c r="CH20" s="1046"/>
      <c r="CI20" s="892"/>
      <c r="CJ20" s="892"/>
      <c r="CK20" s="892"/>
      <c r="CL20" s="892"/>
      <c r="CM20" s="1047"/>
      <c r="CN20" s="1049"/>
      <c r="CP20" s="1046"/>
      <c r="CQ20" s="187"/>
      <c r="CR20" s="893"/>
      <c r="CT20" s="1052"/>
      <c r="CU20" s="1051"/>
      <c r="CV20" s="1082"/>
      <c r="CW20" s="893"/>
    </row>
    <row r="21" spans="2:101">
      <c r="B21" s="678">
        <f t="shared" si="54"/>
        <v>7</v>
      </c>
      <c r="C21" s="399">
        <f t="shared" si="54"/>
        <v>2006</v>
      </c>
      <c r="E21" s="1046">
        <f t="shared" ca="1" si="0"/>
        <v>7091.1401785714315</v>
      </c>
      <c r="F21" s="1047">
        <f t="shared" ca="1" si="1"/>
        <v>10017.857142857143</v>
      </c>
      <c r="G21" s="1048">
        <f t="shared" ca="1" si="2"/>
        <v>3096.3766759807963</v>
      </c>
      <c r="H21" s="1047">
        <f t="shared" ca="1" si="3"/>
        <v>3734.3332384059222</v>
      </c>
      <c r="I21" s="1049">
        <f t="shared" ca="1" si="25"/>
        <v>23939.707235815291</v>
      </c>
      <c r="K21" s="1046">
        <f t="shared" ca="1" si="26"/>
        <v>7181.9121707445884</v>
      </c>
      <c r="L21" s="900">
        <f ca="1">-HLOOKUP($C21,CF_Table,CF!$AB$34)</f>
        <v>336.36124221945937</v>
      </c>
      <c r="N21" s="1046">
        <f t="shared" ca="1" si="4"/>
        <v>4937.732872471498</v>
      </c>
      <c r="O21" s="1047">
        <f t="shared" ca="1" si="5"/>
        <v>3688.0095474478567</v>
      </c>
      <c r="P21" s="1049">
        <f t="shared" ca="1" si="27"/>
        <v>8625.7424199193556</v>
      </c>
      <c r="R21" s="1046">
        <f t="shared" ca="1" si="6"/>
        <v>900</v>
      </c>
      <c r="S21" s="892">
        <f t="shared" ca="1" si="7"/>
        <v>150</v>
      </c>
      <c r="T21" s="892">
        <f t="shared" ca="1" si="8"/>
        <v>1390.0019999999997</v>
      </c>
      <c r="U21" s="892">
        <f t="shared" ca="1" si="9"/>
        <v>490.31970000000018</v>
      </c>
      <c r="V21" s="892">
        <f t="shared" ca="1" si="10"/>
        <v>5085.763910526317</v>
      </c>
      <c r="W21" s="892">
        <f t="shared" ca="1" si="11"/>
        <v>158.82352941176472</v>
      </c>
      <c r="X21" s="900">
        <f t="shared" ca="1" si="28"/>
        <v>8174.9091399380814</v>
      </c>
      <c r="Z21" s="1046">
        <f t="shared" ca="1" si="29"/>
        <v>48258.632208636773</v>
      </c>
      <c r="AA21" s="187">
        <f t="shared" ca="1" si="30"/>
        <v>51395.44330219816</v>
      </c>
      <c r="AB21" s="187">
        <f t="shared" ca="1" si="31"/>
        <v>52794.497485565647</v>
      </c>
      <c r="AC21" s="1050">
        <f t="shared" si="55"/>
        <v>4</v>
      </c>
      <c r="AD21" s="1051">
        <f ca="1">HLOOKUP($C21,CF_Table,CF!$AB$12)</f>
        <v>12</v>
      </c>
      <c r="AE21" s="187">
        <f t="shared" ca="1" si="12"/>
        <v>17598.165828521884</v>
      </c>
      <c r="AF21" s="779">
        <v>480</v>
      </c>
      <c r="AG21" s="893">
        <f ca="1">SUM(AE20:AE21)/AF21/SUM(AC20:AC21)*1000</f>
        <v>9275.9577495570029</v>
      </c>
      <c r="AK21" s="1246">
        <f t="shared" si="32"/>
        <v>7</v>
      </c>
      <c r="AL21" s="152">
        <f t="shared" si="33"/>
        <v>2006</v>
      </c>
      <c r="AN21" s="1046">
        <f t="shared" ca="1" si="34"/>
        <v>2363.7133928571438</v>
      </c>
      <c r="AO21" s="1047">
        <f t="shared" ca="1" si="35"/>
        <v>3339.2857142857142</v>
      </c>
      <c r="AP21" s="1048">
        <f t="shared" ca="1" si="36"/>
        <v>1032.1255586602654</v>
      </c>
      <c r="AQ21" s="1047">
        <f t="shared" ca="1" si="37"/>
        <v>1244.7777461353073</v>
      </c>
      <c r="AR21" s="1049">
        <f t="shared" ca="1" si="38"/>
        <v>7979.9024119384303</v>
      </c>
      <c r="AT21" s="1046">
        <f t="shared" ca="1" si="13"/>
        <v>2393.9707235815295</v>
      </c>
      <c r="AU21" s="900">
        <f t="shared" ca="1" si="14"/>
        <v>112.12041407315313</v>
      </c>
      <c r="AW21" s="1046">
        <f t="shared" ca="1" si="15"/>
        <v>1645.9109574904994</v>
      </c>
      <c r="AX21" s="1047">
        <f t="shared" ca="1" si="16"/>
        <v>1229.3365158159522</v>
      </c>
      <c r="AY21" s="1049">
        <f t="shared" ca="1" si="39"/>
        <v>2875.2474733064519</v>
      </c>
      <c r="BA21" s="1046">
        <f t="shared" ca="1" si="17"/>
        <v>300</v>
      </c>
      <c r="BB21" s="892">
        <f t="shared" ca="1" si="18"/>
        <v>50</v>
      </c>
      <c r="BC21" s="892">
        <f t="shared" ca="1" si="19"/>
        <v>463.33399999999989</v>
      </c>
      <c r="BD21" s="892">
        <f t="shared" ca="1" si="20"/>
        <v>163.43990000000005</v>
      </c>
      <c r="BE21" s="892">
        <f t="shared" ca="1" si="21"/>
        <v>1695.2546368421056</v>
      </c>
      <c r="BF21" s="892">
        <f t="shared" ca="1" si="22"/>
        <v>52.941176470588239</v>
      </c>
      <c r="BG21" s="900">
        <f t="shared" ca="1" si="40"/>
        <v>2724.9697133126938</v>
      </c>
      <c r="BI21" s="1046">
        <f t="shared" ca="1" si="41"/>
        <v>16086.210736212259</v>
      </c>
      <c r="BJ21" s="187">
        <f t="shared" ca="1" si="42"/>
        <v>17131.814434066055</v>
      </c>
      <c r="BK21" s="893">
        <f t="shared" ca="1" si="43"/>
        <v>17598.165828521884</v>
      </c>
      <c r="BM21" s="1052">
        <f ca="1">SUM(BK20:BK21)</f>
        <v>53429.516637448338</v>
      </c>
      <c r="BN21" s="1051">
        <f>SUM($AC20:$AC21)</f>
        <v>12</v>
      </c>
      <c r="BO21" s="1053">
        <v>480</v>
      </c>
      <c r="BP21" s="893">
        <f ca="1">BM21/BN21/BO21*1000</f>
        <v>9275.9577495570029</v>
      </c>
      <c r="BR21" s="1246">
        <f t="shared" si="44"/>
        <v>7</v>
      </c>
      <c r="BS21" s="152">
        <f t="shared" si="45"/>
        <v>2006</v>
      </c>
      <c r="BU21" s="1046">
        <f ca="1">SUM(AN20:AN21)</f>
        <v>7576.0044642857165</v>
      </c>
      <c r="BV21" s="1047">
        <f ca="1">SUM(AO20:AO21)</f>
        <v>10017.857142857143</v>
      </c>
      <c r="BW21" s="1048">
        <f ca="1">SUM(AP20:AP21)</f>
        <v>3344.3953524104054</v>
      </c>
      <c r="BX21" s="1047">
        <f ca="1">SUM(AQ20:AQ21)</f>
        <v>3442.3125751204207</v>
      </c>
      <c r="BY21" s="1049">
        <f t="shared" ca="1" si="47"/>
        <v>24380.569534673683</v>
      </c>
      <c r="CA21" s="1046">
        <f ca="1">SUM(AT20:AT21)</f>
        <v>7314.1708604021069</v>
      </c>
      <c r="CB21" s="900">
        <f ca="1">SUM(AU20:AU21)</f>
        <v>343.70142211462814</v>
      </c>
      <c r="CD21" s="1046">
        <f ca="1">SUM(AW20:AW21)</f>
        <v>5228.69400246845</v>
      </c>
      <c r="CE21" s="1047">
        <f ca="1">SUM(AX20:AX21)</f>
        <v>3397.0484174509065</v>
      </c>
      <c r="CF21" s="1049">
        <f t="shared" ca="1" si="48"/>
        <v>8625.7424199193556</v>
      </c>
      <c r="CH21" s="1046">
        <f t="shared" ref="CH21:CM21" ca="1" si="59">SUM(BA20:BA21)</f>
        <v>900</v>
      </c>
      <c r="CI21" s="892">
        <f t="shared" ca="1" si="59"/>
        <v>150</v>
      </c>
      <c r="CJ21" s="892">
        <f t="shared" ca="1" si="59"/>
        <v>1390.0019999999997</v>
      </c>
      <c r="CK21" s="892">
        <f t="shared" ca="1" si="59"/>
        <v>490.31970000000013</v>
      </c>
      <c r="CL21" s="892">
        <f t="shared" ca="1" si="59"/>
        <v>5085.763910526317</v>
      </c>
      <c r="CM21" s="1047">
        <f t="shared" ca="1" si="59"/>
        <v>158.82352941176472</v>
      </c>
      <c r="CN21" s="1049">
        <f t="shared" ca="1" si="50"/>
        <v>8174.9091399380814</v>
      </c>
      <c r="CP21" s="1046">
        <f t="shared" ca="1" si="51"/>
        <v>48839.093377047859</v>
      </c>
      <c r="CQ21" s="187">
        <f t="shared" ca="1" si="52"/>
        <v>52013.634446555967</v>
      </c>
      <c r="CR21" s="893">
        <f t="shared" ca="1" si="53"/>
        <v>53429.516637448345</v>
      </c>
      <c r="CT21" s="1052">
        <f ca="1">SUM(CR20:CR21)</f>
        <v>53429.516637448345</v>
      </c>
      <c r="CU21" s="1051">
        <f>SUM($AC20:$AC21)</f>
        <v>12</v>
      </c>
      <c r="CV21" s="1082">
        <f>$BO21</f>
        <v>480</v>
      </c>
      <c r="CW21" s="893">
        <f ca="1">CT21/CU21/CV21*1000</f>
        <v>9275.9577495570029</v>
      </c>
    </row>
    <row r="22" spans="2:101">
      <c r="B22" s="678">
        <f t="shared" si="54"/>
        <v>8</v>
      </c>
      <c r="C22" s="399">
        <f t="shared" si="54"/>
        <v>2006</v>
      </c>
      <c r="E22" s="1046">
        <f t="shared" ca="1" si="0"/>
        <v>7091.1401785714315</v>
      </c>
      <c r="F22" s="1047">
        <f t="shared" ca="1" si="1"/>
        <v>10017.857142857143</v>
      </c>
      <c r="G22" s="1048">
        <f t="shared" ca="1" si="2"/>
        <v>3096.3766759807963</v>
      </c>
      <c r="H22" s="1047">
        <f t="shared" ca="1" si="3"/>
        <v>3734.3332384059222</v>
      </c>
      <c r="I22" s="1049">
        <f t="shared" ca="1" si="25"/>
        <v>23939.707235815291</v>
      </c>
      <c r="K22" s="1046">
        <f t="shared" ca="1" si="26"/>
        <v>7181.9121707445884</v>
      </c>
      <c r="L22" s="900">
        <f ca="1">-HLOOKUP($C22,CF_Table,CF!$AB$34)</f>
        <v>336.36124221945937</v>
      </c>
      <c r="N22" s="1046">
        <f t="shared" ca="1" si="4"/>
        <v>4937.732872471498</v>
      </c>
      <c r="O22" s="1047">
        <f t="shared" ca="1" si="5"/>
        <v>3688.0095474478567</v>
      </c>
      <c r="P22" s="1049">
        <f t="shared" ca="1" si="27"/>
        <v>8625.7424199193556</v>
      </c>
      <c r="R22" s="1046">
        <f t="shared" ca="1" si="6"/>
        <v>900</v>
      </c>
      <c r="S22" s="892">
        <f t="shared" ca="1" si="7"/>
        <v>150</v>
      </c>
      <c r="T22" s="892">
        <f t="shared" ca="1" si="8"/>
        <v>1390.0019999999997</v>
      </c>
      <c r="U22" s="892">
        <f t="shared" ca="1" si="9"/>
        <v>490.31970000000018</v>
      </c>
      <c r="V22" s="892">
        <f t="shared" ca="1" si="10"/>
        <v>5085.763910526317</v>
      </c>
      <c r="W22" s="892">
        <f t="shared" ca="1" si="11"/>
        <v>158.82352941176472</v>
      </c>
      <c r="X22" s="900">
        <f t="shared" ca="1" si="28"/>
        <v>8174.9091399380814</v>
      </c>
      <c r="Z22" s="1046">
        <f t="shared" ca="1" si="29"/>
        <v>48258.632208636773</v>
      </c>
      <c r="AA22" s="187">
        <f t="shared" ca="1" si="30"/>
        <v>51395.44330219816</v>
      </c>
      <c r="AB22" s="187">
        <f t="shared" ca="1" si="31"/>
        <v>52794.497485565647</v>
      </c>
      <c r="AC22" s="1050">
        <f t="shared" si="55"/>
        <v>8</v>
      </c>
      <c r="AD22" s="1051">
        <f ca="1">HLOOKUP($C22,CF_Table,CF!$AB$12)</f>
        <v>12</v>
      </c>
      <c r="AE22" s="187">
        <f t="shared" ca="1" si="12"/>
        <v>35196.331657043767</v>
      </c>
      <c r="AF22" s="779">
        <v>480</v>
      </c>
      <c r="AG22" s="893"/>
      <c r="AK22" s="1246">
        <f t="shared" si="32"/>
        <v>8</v>
      </c>
      <c r="AL22" s="152">
        <f t="shared" si="33"/>
        <v>2006</v>
      </c>
      <c r="AN22" s="1046">
        <f t="shared" ca="1" si="34"/>
        <v>4727.4267857142877</v>
      </c>
      <c r="AO22" s="1047">
        <f t="shared" ca="1" si="35"/>
        <v>6678.5714285714284</v>
      </c>
      <c r="AP22" s="1048">
        <f t="shared" ca="1" si="36"/>
        <v>2064.2511173205307</v>
      </c>
      <c r="AQ22" s="1047">
        <f t="shared" ca="1" si="37"/>
        <v>2489.5554922706146</v>
      </c>
      <c r="AR22" s="1049">
        <f t="shared" ca="1" si="38"/>
        <v>15959.804823876861</v>
      </c>
      <c r="AT22" s="1046">
        <f t="shared" ca="1" si="13"/>
        <v>4787.9414471630589</v>
      </c>
      <c r="AU22" s="900">
        <f t="shared" ca="1" si="14"/>
        <v>224.24082814630626</v>
      </c>
      <c r="AW22" s="1046">
        <f t="shared" ca="1" si="15"/>
        <v>3291.8219149809988</v>
      </c>
      <c r="AX22" s="1047">
        <f t="shared" ca="1" si="16"/>
        <v>2458.6730316319045</v>
      </c>
      <c r="AY22" s="1049">
        <f t="shared" ca="1" si="39"/>
        <v>5750.4949466129037</v>
      </c>
      <c r="BA22" s="1046">
        <f t="shared" ca="1" si="17"/>
        <v>600</v>
      </c>
      <c r="BB22" s="892">
        <f t="shared" ca="1" si="18"/>
        <v>100</v>
      </c>
      <c r="BC22" s="892">
        <f t="shared" ca="1" si="19"/>
        <v>926.66799999999978</v>
      </c>
      <c r="BD22" s="892">
        <f t="shared" ca="1" si="20"/>
        <v>326.8798000000001</v>
      </c>
      <c r="BE22" s="892">
        <f t="shared" ca="1" si="21"/>
        <v>3390.5092736842112</v>
      </c>
      <c r="BF22" s="892">
        <f t="shared" ca="1" si="22"/>
        <v>105.88235294117648</v>
      </c>
      <c r="BG22" s="900">
        <f t="shared" ca="1" si="40"/>
        <v>5449.9394266253876</v>
      </c>
      <c r="BI22" s="1046">
        <f t="shared" ca="1" si="41"/>
        <v>32172.421472424518</v>
      </c>
      <c r="BJ22" s="187">
        <f t="shared" ca="1" si="42"/>
        <v>34263.628868132109</v>
      </c>
      <c r="BK22" s="893">
        <f t="shared" ca="1" si="43"/>
        <v>35196.331657043767</v>
      </c>
      <c r="BM22" s="1052"/>
      <c r="BN22" s="1051"/>
      <c r="BO22" s="1053"/>
      <c r="BP22" s="893"/>
      <c r="BR22" s="1246">
        <f t="shared" si="44"/>
        <v>8</v>
      </c>
      <c r="BS22" s="152">
        <f t="shared" si="45"/>
        <v>2006</v>
      </c>
      <c r="BU22" s="1046"/>
      <c r="BV22" s="1047"/>
      <c r="BW22" s="1048"/>
      <c r="BX22" s="1047"/>
      <c r="BY22" s="1049"/>
      <c r="CA22" s="1046"/>
      <c r="CB22" s="900"/>
      <c r="CD22" s="1046"/>
      <c r="CE22" s="1047"/>
      <c r="CF22" s="1049"/>
      <c r="CH22" s="1046"/>
      <c r="CI22" s="892"/>
      <c r="CJ22" s="892"/>
      <c r="CK22" s="892"/>
      <c r="CL22" s="892"/>
      <c r="CM22" s="1047"/>
      <c r="CN22" s="1049"/>
      <c r="CP22" s="1046"/>
      <c r="CQ22" s="187"/>
      <c r="CR22" s="893"/>
      <c r="CT22" s="1052"/>
      <c r="CU22" s="1051"/>
      <c r="CV22" s="1082"/>
      <c r="CW22" s="893"/>
    </row>
    <row r="23" spans="2:101">
      <c r="B23" s="678">
        <f t="shared" si="54"/>
        <v>8</v>
      </c>
      <c r="C23" s="399">
        <f t="shared" si="54"/>
        <v>2007</v>
      </c>
      <c r="E23" s="1046">
        <f t="shared" ca="1" si="0"/>
        <v>6363.8437500000036</v>
      </c>
      <c r="F23" s="1047">
        <f t="shared" ca="1" si="1"/>
        <v>10017.857142857143</v>
      </c>
      <c r="G23" s="1048">
        <f t="shared" ca="1" si="2"/>
        <v>2670.218117799026</v>
      </c>
      <c r="H23" s="1047">
        <f t="shared" ca="1" si="3"/>
        <v>4006.9666377388603</v>
      </c>
      <c r="I23" s="1049">
        <f t="shared" ca="1" si="25"/>
        <v>23058.885648395033</v>
      </c>
      <c r="K23" s="1046">
        <f t="shared" ca="1" si="26"/>
        <v>6917.6656945185114</v>
      </c>
      <c r="L23" s="900">
        <f ca="1">-HLOOKUP($C23,CF_Table,CF!$AB$34)</f>
        <v>309.66870165670139</v>
      </c>
      <c r="N23" s="1046">
        <f t="shared" ca="1" si="4"/>
        <v>4442.7097909653094</v>
      </c>
      <c r="O23" s="1047">
        <f t="shared" ca="1" si="5"/>
        <v>4183.0326289540444</v>
      </c>
      <c r="P23" s="1049">
        <f t="shared" ca="1" si="27"/>
        <v>8625.7424199193538</v>
      </c>
      <c r="R23" s="1046">
        <f t="shared" ca="1" si="6"/>
        <v>900</v>
      </c>
      <c r="S23" s="892">
        <f t="shared" ca="1" si="7"/>
        <v>150</v>
      </c>
      <c r="T23" s="892">
        <f t="shared" ca="1" si="8"/>
        <v>1390.0019999999997</v>
      </c>
      <c r="U23" s="892">
        <f t="shared" ca="1" si="9"/>
        <v>490.31970000000018</v>
      </c>
      <c r="V23" s="892">
        <f t="shared" ca="1" si="10"/>
        <v>5085.763910526317</v>
      </c>
      <c r="W23" s="892">
        <f t="shared" ca="1" si="11"/>
        <v>158.82352941176472</v>
      </c>
      <c r="X23" s="900">
        <f t="shared" ca="1" si="28"/>
        <v>8174.9091399380814</v>
      </c>
      <c r="Z23" s="1046">
        <f t="shared" ca="1" si="29"/>
        <v>47086.871604427681</v>
      </c>
      <c r="AA23" s="187">
        <f t="shared" ca="1" si="30"/>
        <v>50147.518258715478</v>
      </c>
      <c r="AB23" s="187">
        <f t="shared" ca="1" si="31"/>
        <v>51512.602217478656</v>
      </c>
      <c r="AC23" s="1050">
        <f t="shared" si="55"/>
        <v>4</v>
      </c>
      <c r="AD23" s="1051">
        <f ca="1">HLOOKUP($C23,CF_Table,CF!$AB$12)</f>
        <v>12</v>
      </c>
      <c r="AE23" s="187">
        <f t="shared" ca="1" si="12"/>
        <v>17170.867405826219</v>
      </c>
      <c r="AF23" s="779">
        <v>480</v>
      </c>
      <c r="AG23" s="893">
        <f ca="1">SUM(AE22:AE23)/AF23/SUM(AC22:AC23)*1000</f>
        <v>9091.5276150815935</v>
      </c>
      <c r="AK23" s="1246">
        <f t="shared" si="32"/>
        <v>8</v>
      </c>
      <c r="AL23" s="152">
        <f t="shared" si="33"/>
        <v>2007</v>
      </c>
      <c r="AN23" s="1046">
        <f t="shared" ca="1" si="34"/>
        <v>2121.2812500000014</v>
      </c>
      <c r="AO23" s="1047">
        <f t="shared" ca="1" si="35"/>
        <v>3339.2857142857142</v>
      </c>
      <c r="AP23" s="1048">
        <f t="shared" ca="1" si="36"/>
        <v>890.07270593300871</v>
      </c>
      <c r="AQ23" s="1047">
        <f t="shared" ca="1" si="37"/>
        <v>1335.6555459129534</v>
      </c>
      <c r="AR23" s="1049">
        <f t="shared" ca="1" si="38"/>
        <v>7686.2952161316771</v>
      </c>
      <c r="AT23" s="1046">
        <f t="shared" ca="1" si="13"/>
        <v>2305.8885648395039</v>
      </c>
      <c r="AU23" s="900">
        <f t="shared" ca="1" si="14"/>
        <v>103.2229005522338</v>
      </c>
      <c r="AW23" s="1046">
        <f t="shared" ca="1" si="15"/>
        <v>1480.903263655103</v>
      </c>
      <c r="AX23" s="1047">
        <f t="shared" ca="1" si="16"/>
        <v>1394.3442096513481</v>
      </c>
      <c r="AY23" s="1049">
        <f t="shared" ca="1" si="39"/>
        <v>2875.247473306451</v>
      </c>
      <c r="BA23" s="1046">
        <f t="shared" ca="1" si="17"/>
        <v>300</v>
      </c>
      <c r="BB23" s="892">
        <f t="shared" ca="1" si="18"/>
        <v>50</v>
      </c>
      <c r="BC23" s="892">
        <f t="shared" ca="1" si="19"/>
        <v>463.33399999999989</v>
      </c>
      <c r="BD23" s="892">
        <f t="shared" ca="1" si="20"/>
        <v>163.43990000000005</v>
      </c>
      <c r="BE23" s="892">
        <f t="shared" ca="1" si="21"/>
        <v>1695.2546368421056</v>
      </c>
      <c r="BF23" s="892">
        <f t="shared" ca="1" si="22"/>
        <v>52.941176470588239</v>
      </c>
      <c r="BG23" s="900">
        <f t="shared" ca="1" si="40"/>
        <v>2724.9697133126938</v>
      </c>
      <c r="BI23" s="1046">
        <f t="shared" ca="1" si="41"/>
        <v>15695.62386814256</v>
      </c>
      <c r="BJ23" s="187">
        <f t="shared" ca="1" si="42"/>
        <v>16715.839419571825</v>
      </c>
      <c r="BK23" s="893">
        <f t="shared" ca="1" si="43"/>
        <v>17170.867405826219</v>
      </c>
      <c r="BM23" s="1052">
        <f ca="1">SUM(BK22:BK23)</f>
        <v>52367.199062869986</v>
      </c>
      <c r="BN23" s="1051">
        <f>SUM($AC22:$AC23)</f>
        <v>12</v>
      </c>
      <c r="BO23" s="1053">
        <v>480</v>
      </c>
      <c r="BP23" s="893">
        <f ca="1">BM23/BN23/BO23*1000</f>
        <v>9091.5276150815935</v>
      </c>
      <c r="BR23" s="1246">
        <f t="shared" si="44"/>
        <v>8</v>
      </c>
      <c r="BS23" s="152">
        <f t="shared" si="45"/>
        <v>2007</v>
      </c>
      <c r="BU23" s="1046">
        <f ca="1">SUM(AN22:AN23)</f>
        <v>6848.7080357142895</v>
      </c>
      <c r="BV23" s="1047">
        <f ca="1">SUM(AO22:AO23)</f>
        <v>10017.857142857143</v>
      </c>
      <c r="BW23" s="1048">
        <f ca="1">SUM(AP22:AP23)</f>
        <v>2954.3238232535396</v>
      </c>
      <c r="BX23" s="1047">
        <f ca="1">SUM(AQ22:AQ23)</f>
        <v>3825.2110381835682</v>
      </c>
      <c r="BY23" s="1049">
        <f t="shared" ca="1" si="47"/>
        <v>23646.10004000854</v>
      </c>
      <c r="CA23" s="1046">
        <f ca="1">SUM(AT22:AT23)</f>
        <v>7093.8300120025633</v>
      </c>
      <c r="CB23" s="900">
        <f ca="1">SUM(AU22:AU23)</f>
        <v>327.46372869854008</v>
      </c>
      <c r="CD23" s="1046">
        <f ca="1">SUM(AW22:AW23)</f>
        <v>4772.7251786361021</v>
      </c>
      <c r="CE23" s="1047">
        <f ca="1">SUM(AX22:AX23)</f>
        <v>3853.0172412832526</v>
      </c>
      <c r="CF23" s="1049">
        <f t="shared" ca="1" si="48"/>
        <v>8625.7424199193556</v>
      </c>
      <c r="CH23" s="1046">
        <f t="shared" ref="CH23:CM23" ca="1" si="60">SUM(BA22:BA23)</f>
        <v>900</v>
      </c>
      <c r="CI23" s="892">
        <f t="shared" ca="1" si="60"/>
        <v>150</v>
      </c>
      <c r="CJ23" s="892">
        <f t="shared" ca="1" si="60"/>
        <v>1390.0019999999997</v>
      </c>
      <c r="CK23" s="892">
        <f t="shared" ca="1" si="60"/>
        <v>490.31970000000013</v>
      </c>
      <c r="CL23" s="892">
        <f t="shared" ca="1" si="60"/>
        <v>5085.763910526317</v>
      </c>
      <c r="CM23" s="1047">
        <f t="shared" ca="1" si="60"/>
        <v>158.82352941176472</v>
      </c>
      <c r="CN23" s="1049">
        <f t="shared" ca="1" si="50"/>
        <v>8174.9091399380814</v>
      </c>
      <c r="CP23" s="1046">
        <f t="shared" ca="1" si="51"/>
        <v>47868.045340567085</v>
      </c>
      <c r="CQ23" s="187">
        <f t="shared" ca="1" si="52"/>
        <v>50979.468287703945</v>
      </c>
      <c r="CR23" s="893">
        <f t="shared" ca="1" si="53"/>
        <v>52367.199062869993</v>
      </c>
      <c r="CT23" s="1052">
        <f ca="1">SUM(CR22:CR23)</f>
        <v>52367.199062869993</v>
      </c>
      <c r="CU23" s="1051">
        <f>SUM($AC22:$AC23)</f>
        <v>12</v>
      </c>
      <c r="CV23" s="1082">
        <f>$BO23</f>
        <v>480</v>
      </c>
      <c r="CW23" s="893">
        <f ca="1">CT23/CU23/CV23*1000</f>
        <v>9091.5276150815953</v>
      </c>
    </row>
    <row r="24" spans="2:101">
      <c r="B24" s="678">
        <f t="shared" si="54"/>
        <v>9</v>
      </c>
      <c r="C24" s="399">
        <f t="shared" si="54"/>
        <v>2007</v>
      </c>
      <c r="E24" s="1046">
        <f t="shared" ca="1" si="0"/>
        <v>6363.8437500000036</v>
      </c>
      <c r="F24" s="1047">
        <f t="shared" ca="1" si="1"/>
        <v>10017.857142857143</v>
      </c>
      <c r="G24" s="1048">
        <f t="shared" ca="1" si="2"/>
        <v>2670.218117799026</v>
      </c>
      <c r="H24" s="1047">
        <f t="shared" ca="1" si="3"/>
        <v>4006.9666377388603</v>
      </c>
      <c r="I24" s="1049">
        <f t="shared" ca="1" si="25"/>
        <v>23058.885648395033</v>
      </c>
      <c r="K24" s="1046">
        <f t="shared" ca="1" si="26"/>
        <v>6917.6656945185114</v>
      </c>
      <c r="L24" s="900">
        <f ca="1">-HLOOKUP($C24,CF_Table,CF!$AB$34)</f>
        <v>309.66870165670139</v>
      </c>
      <c r="N24" s="1046">
        <f t="shared" ca="1" si="4"/>
        <v>4442.7097909653094</v>
      </c>
      <c r="O24" s="1047">
        <f t="shared" ca="1" si="5"/>
        <v>4183.0326289540444</v>
      </c>
      <c r="P24" s="1049">
        <f t="shared" ca="1" si="27"/>
        <v>8625.7424199193538</v>
      </c>
      <c r="R24" s="1046">
        <f t="shared" ca="1" si="6"/>
        <v>900</v>
      </c>
      <c r="S24" s="892">
        <f t="shared" ca="1" si="7"/>
        <v>150</v>
      </c>
      <c r="T24" s="892">
        <f t="shared" ca="1" si="8"/>
        <v>1390.0019999999997</v>
      </c>
      <c r="U24" s="892">
        <f t="shared" ca="1" si="9"/>
        <v>490.31970000000018</v>
      </c>
      <c r="V24" s="892">
        <f t="shared" ca="1" si="10"/>
        <v>5085.763910526317</v>
      </c>
      <c r="W24" s="892">
        <f t="shared" ca="1" si="11"/>
        <v>158.82352941176472</v>
      </c>
      <c r="X24" s="900">
        <f t="shared" ca="1" si="28"/>
        <v>8174.9091399380814</v>
      </c>
      <c r="Z24" s="1046">
        <f t="shared" ca="1" si="29"/>
        <v>47086.871604427681</v>
      </c>
      <c r="AA24" s="187">
        <f t="shared" ca="1" si="30"/>
        <v>50147.518258715478</v>
      </c>
      <c r="AB24" s="187">
        <f t="shared" ca="1" si="31"/>
        <v>51512.602217478656</v>
      </c>
      <c r="AC24" s="1050">
        <f t="shared" si="55"/>
        <v>8</v>
      </c>
      <c r="AD24" s="1051">
        <f ca="1">HLOOKUP($C24,CF_Table,CF!$AB$12)</f>
        <v>12</v>
      </c>
      <c r="AE24" s="187">
        <f t="shared" ca="1" si="12"/>
        <v>34341.734811652437</v>
      </c>
      <c r="AF24" s="779">
        <v>480</v>
      </c>
      <c r="AG24" s="893"/>
      <c r="AK24" s="1246">
        <f t="shared" si="32"/>
        <v>9</v>
      </c>
      <c r="AL24" s="152">
        <f t="shared" si="33"/>
        <v>2007</v>
      </c>
      <c r="AN24" s="1046">
        <f t="shared" ca="1" si="34"/>
        <v>4242.5625000000027</v>
      </c>
      <c r="AO24" s="1047">
        <f t="shared" ca="1" si="35"/>
        <v>6678.5714285714284</v>
      </c>
      <c r="AP24" s="1048">
        <f t="shared" ca="1" si="36"/>
        <v>1780.1454118660174</v>
      </c>
      <c r="AQ24" s="1047">
        <f t="shared" ca="1" si="37"/>
        <v>2671.3110918259067</v>
      </c>
      <c r="AR24" s="1049">
        <f t="shared" ca="1" si="38"/>
        <v>15372.590432263354</v>
      </c>
      <c r="AT24" s="1046">
        <f t="shared" ca="1" si="13"/>
        <v>4611.7771296790079</v>
      </c>
      <c r="AU24" s="900">
        <f t="shared" ca="1" si="14"/>
        <v>206.44580110446759</v>
      </c>
      <c r="AW24" s="1046">
        <f t="shared" ca="1" si="15"/>
        <v>2961.8065273102061</v>
      </c>
      <c r="AX24" s="1047">
        <f t="shared" ca="1" si="16"/>
        <v>2788.6884193026963</v>
      </c>
      <c r="AY24" s="1049">
        <f t="shared" ca="1" si="39"/>
        <v>5750.4949466129019</v>
      </c>
      <c r="BA24" s="1046">
        <f t="shared" ca="1" si="17"/>
        <v>600</v>
      </c>
      <c r="BB24" s="892">
        <f t="shared" ca="1" si="18"/>
        <v>100</v>
      </c>
      <c r="BC24" s="892">
        <f t="shared" ca="1" si="19"/>
        <v>926.66799999999978</v>
      </c>
      <c r="BD24" s="892">
        <f t="shared" ca="1" si="20"/>
        <v>326.8798000000001</v>
      </c>
      <c r="BE24" s="892">
        <f t="shared" ca="1" si="21"/>
        <v>3390.5092736842112</v>
      </c>
      <c r="BF24" s="892">
        <f t="shared" ca="1" si="22"/>
        <v>105.88235294117648</v>
      </c>
      <c r="BG24" s="900">
        <f t="shared" ca="1" si="40"/>
        <v>5449.9394266253876</v>
      </c>
      <c r="BI24" s="1046">
        <f t="shared" ca="1" si="41"/>
        <v>31391.24773628512</v>
      </c>
      <c r="BJ24" s="187">
        <f t="shared" ca="1" si="42"/>
        <v>33431.678839143649</v>
      </c>
      <c r="BK24" s="893">
        <f t="shared" ca="1" si="43"/>
        <v>34341.734811652437</v>
      </c>
      <c r="BM24" s="1052"/>
      <c r="BN24" s="1051"/>
      <c r="BO24" s="1053"/>
      <c r="BP24" s="893"/>
      <c r="BR24" s="1246">
        <f t="shared" si="44"/>
        <v>9</v>
      </c>
      <c r="BS24" s="152">
        <f t="shared" si="45"/>
        <v>2007</v>
      </c>
      <c r="BU24" s="1046"/>
      <c r="BV24" s="1047"/>
      <c r="BW24" s="1048"/>
      <c r="BX24" s="1047"/>
      <c r="BY24" s="1049"/>
      <c r="CA24" s="1046"/>
      <c r="CB24" s="900"/>
      <c r="CD24" s="1046"/>
      <c r="CE24" s="1047"/>
      <c r="CF24" s="1049"/>
      <c r="CH24" s="1046"/>
      <c r="CI24" s="892"/>
      <c r="CJ24" s="892"/>
      <c r="CK24" s="892"/>
      <c r="CL24" s="892"/>
      <c r="CM24" s="1047"/>
      <c r="CN24" s="1049"/>
      <c r="CP24" s="1046"/>
      <c r="CQ24" s="187"/>
      <c r="CR24" s="893"/>
      <c r="CT24" s="1052"/>
      <c r="CU24" s="1051"/>
      <c r="CV24" s="1082"/>
      <c r="CW24" s="893"/>
    </row>
    <row r="25" spans="2:101">
      <c r="B25" s="678">
        <f t="shared" si="54"/>
        <v>9</v>
      </c>
      <c r="C25" s="399">
        <f t="shared" si="54"/>
        <v>2008</v>
      </c>
      <c r="E25" s="1046">
        <f t="shared" ca="1" si="0"/>
        <v>5636.5473214285757</v>
      </c>
      <c r="F25" s="1047">
        <f t="shared" ca="1" si="1"/>
        <v>10017.857142857143</v>
      </c>
      <c r="G25" s="1048">
        <f t="shared" ca="1" si="2"/>
        <v>2229.0510909839768</v>
      </c>
      <c r="H25" s="1047">
        <f t="shared" ca="1" si="3"/>
        <v>3040.0268481047083</v>
      </c>
      <c r="I25" s="1049">
        <f t="shared" ca="1" si="25"/>
        <v>20923.482403374404</v>
      </c>
      <c r="K25" s="1046">
        <f t="shared" ca="1" si="26"/>
        <v>6277.044721012322</v>
      </c>
      <c r="L25" s="900">
        <f ca="1">-HLOOKUP($C25,CF_Table,CF!$AB$34)</f>
        <v>284.97228742216959</v>
      </c>
      <c r="N25" s="1046">
        <f t="shared" ca="1" si="4"/>
        <v>3881.2422363439537</v>
      </c>
      <c r="O25" s="1047">
        <f t="shared" ca="1" si="5"/>
        <v>4744.5001835753974</v>
      </c>
      <c r="P25" s="1049">
        <f t="shared" ca="1" si="27"/>
        <v>8625.742419919352</v>
      </c>
      <c r="R25" s="1046">
        <f t="shared" ca="1" si="6"/>
        <v>900.00000000000011</v>
      </c>
      <c r="S25" s="892">
        <f t="shared" ca="1" si="7"/>
        <v>150</v>
      </c>
      <c r="T25" s="892">
        <f t="shared" ca="1" si="8"/>
        <v>1390.0019999999997</v>
      </c>
      <c r="U25" s="892">
        <f t="shared" ca="1" si="9"/>
        <v>490.31970000000018</v>
      </c>
      <c r="V25" s="892">
        <f t="shared" ca="1" si="10"/>
        <v>5085.763910526317</v>
      </c>
      <c r="W25" s="892">
        <f t="shared" ca="1" si="11"/>
        <v>158.82352941176472</v>
      </c>
      <c r="X25" s="900">
        <f t="shared" ca="1" si="28"/>
        <v>8174.9091399380814</v>
      </c>
      <c r="Z25" s="1046">
        <f t="shared" ca="1" si="29"/>
        <v>44286.150971666328</v>
      </c>
      <c r="AA25" s="187">
        <f t="shared" ca="1" si="30"/>
        <v>47164.750784824639</v>
      </c>
      <c r="AB25" s="187">
        <f t="shared" ca="1" si="31"/>
        <v>48448.63973787841</v>
      </c>
      <c r="AC25" s="1050">
        <f t="shared" si="55"/>
        <v>4</v>
      </c>
      <c r="AD25" s="1051">
        <f ca="1">HLOOKUP($C25,CF_Table,CF!$AB$12)</f>
        <v>12</v>
      </c>
      <c r="AE25" s="187">
        <f t="shared" ca="1" si="12"/>
        <v>16149.546579292803</v>
      </c>
      <c r="AF25" s="779">
        <v>480</v>
      </c>
      <c r="AG25" s="893">
        <f ca="1">SUM(AE24:AE25)/AF25/SUM(AC24:AC25)*1000</f>
        <v>8765.8474637057698</v>
      </c>
      <c r="AK25" s="1246">
        <f t="shared" si="32"/>
        <v>9</v>
      </c>
      <c r="AL25" s="152">
        <f t="shared" si="33"/>
        <v>2008</v>
      </c>
      <c r="AN25" s="1046">
        <f t="shared" ca="1" si="34"/>
        <v>1878.8491071428587</v>
      </c>
      <c r="AO25" s="1047">
        <f t="shared" ca="1" si="35"/>
        <v>3339.2857142857142</v>
      </c>
      <c r="AP25" s="1048">
        <f t="shared" ca="1" si="36"/>
        <v>743.0170303279923</v>
      </c>
      <c r="AQ25" s="1047">
        <f t="shared" ca="1" si="37"/>
        <v>1013.3422827015694</v>
      </c>
      <c r="AR25" s="1049">
        <f t="shared" ca="1" si="38"/>
        <v>6974.4941344581339</v>
      </c>
      <c r="AT25" s="1046">
        <f t="shared" ca="1" si="13"/>
        <v>2092.3482403374405</v>
      </c>
      <c r="AU25" s="900">
        <f t="shared" ca="1" si="14"/>
        <v>94.990762474056524</v>
      </c>
      <c r="AW25" s="1046">
        <f t="shared" ca="1" si="15"/>
        <v>1293.7474121146513</v>
      </c>
      <c r="AX25" s="1047">
        <f t="shared" ca="1" si="16"/>
        <v>1581.5000611917992</v>
      </c>
      <c r="AY25" s="1049">
        <f t="shared" ca="1" si="39"/>
        <v>2875.2474733064505</v>
      </c>
      <c r="BA25" s="1046">
        <f t="shared" ca="1" si="17"/>
        <v>300.00000000000006</v>
      </c>
      <c r="BB25" s="892">
        <f t="shared" ca="1" si="18"/>
        <v>50</v>
      </c>
      <c r="BC25" s="892">
        <f t="shared" ca="1" si="19"/>
        <v>463.33399999999989</v>
      </c>
      <c r="BD25" s="892">
        <f t="shared" ca="1" si="20"/>
        <v>163.43990000000005</v>
      </c>
      <c r="BE25" s="892">
        <f t="shared" ca="1" si="21"/>
        <v>1695.2546368421056</v>
      </c>
      <c r="BF25" s="892">
        <f t="shared" ca="1" si="22"/>
        <v>52.941176470588239</v>
      </c>
      <c r="BG25" s="900">
        <f t="shared" ca="1" si="40"/>
        <v>2724.9697133126938</v>
      </c>
      <c r="BI25" s="1046">
        <f t="shared" ca="1" si="41"/>
        <v>14762.050323888776</v>
      </c>
      <c r="BJ25" s="187">
        <f t="shared" ca="1" si="42"/>
        <v>15721.583594941545</v>
      </c>
      <c r="BK25" s="893">
        <f t="shared" ca="1" si="43"/>
        <v>16149.546579292803</v>
      </c>
      <c r="BM25" s="1052">
        <f ca="1">SUM(BK24:BK25)</f>
        <v>50491.281390945238</v>
      </c>
      <c r="BN25" s="1051">
        <f>SUM($AC24:$AC25)</f>
        <v>12</v>
      </c>
      <c r="BO25" s="1053">
        <v>480</v>
      </c>
      <c r="BP25" s="893">
        <f ca="1">BM25/BN25/BO25*1000</f>
        <v>8765.8474637057698</v>
      </c>
      <c r="BR25" s="1246">
        <f t="shared" si="44"/>
        <v>9</v>
      </c>
      <c r="BS25" s="152">
        <f t="shared" si="45"/>
        <v>2008</v>
      </c>
      <c r="BU25" s="1046">
        <f ca="1">SUM(AN24:AN25)</f>
        <v>6121.4116071428616</v>
      </c>
      <c r="BV25" s="1047">
        <f ca="1">SUM(AO24:AO25)</f>
        <v>10017.857142857143</v>
      </c>
      <c r="BW25" s="1048">
        <f ca="1">SUM(AP24:AP25)</f>
        <v>2523.1624421940096</v>
      </c>
      <c r="BX25" s="1047">
        <f ca="1">SUM(AQ24:AQ25)</f>
        <v>3684.653374527476</v>
      </c>
      <c r="BY25" s="1049">
        <f t="shared" ca="1" si="47"/>
        <v>22347.084566721489</v>
      </c>
      <c r="CA25" s="1046">
        <f ca="1">SUM(AT24:AT25)</f>
        <v>6704.1253700164489</v>
      </c>
      <c r="CB25" s="900">
        <f ca="1">SUM(AU24:AU25)</f>
        <v>301.4365635785241</v>
      </c>
      <c r="CD25" s="1046">
        <f ca="1">SUM(AW24:AW25)</f>
        <v>4255.5539394248572</v>
      </c>
      <c r="CE25" s="1047">
        <f ca="1">SUM(AX24:AX25)</f>
        <v>4370.1884804944957</v>
      </c>
      <c r="CF25" s="1049">
        <f t="shared" ca="1" si="48"/>
        <v>8625.742419919352</v>
      </c>
      <c r="CH25" s="1046">
        <f t="shared" ref="CH25:CM25" ca="1" si="61">SUM(BA24:BA25)</f>
        <v>900</v>
      </c>
      <c r="CI25" s="892">
        <f t="shared" ca="1" si="61"/>
        <v>150</v>
      </c>
      <c r="CJ25" s="892">
        <f t="shared" ca="1" si="61"/>
        <v>1390.0019999999997</v>
      </c>
      <c r="CK25" s="892">
        <f t="shared" ca="1" si="61"/>
        <v>490.31970000000013</v>
      </c>
      <c r="CL25" s="892">
        <f t="shared" ca="1" si="61"/>
        <v>5085.763910526317</v>
      </c>
      <c r="CM25" s="1047">
        <f t="shared" ca="1" si="61"/>
        <v>158.82352941176472</v>
      </c>
      <c r="CN25" s="1049">
        <f t="shared" ca="1" si="50"/>
        <v>8174.9091399380814</v>
      </c>
      <c r="CP25" s="1046">
        <f t="shared" ca="1" si="51"/>
        <v>46153.298060173896</v>
      </c>
      <c r="CQ25" s="187">
        <f t="shared" ca="1" si="52"/>
        <v>49153.262434085198</v>
      </c>
      <c r="CR25" s="893">
        <f t="shared" ca="1" si="53"/>
        <v>50491.281390945245</v>
      </c>
      <c r="CT25" s="1052">
        <f ca="1">SUM(CR24:CR25)</f>
        <v>50491.281390945245</v>
      </c>
      <c r="CU25" s="1051">
        <f>SUM($AC24:$AC25)</f>
        <v>12</v>
      </c>
      <c r="CV25" s="1082">
        <f>$BO25</f>
        <v>480</v>
      </c>
      <c r="CW25" s="893">
        <f ca="1">CT25/CU25/CV25*1000</f>
        <v>8765.8474637057716</v>
      </c>
    </row>
    <row r="26" spans="2:101">
      <c r="B26" s="678">
        <f t="shared" si="54"/>
        <v>10</v>
      </c>
      <c r="C26" s="399">
        <f t="shared" si="54"/>
        <v>2008</v>
      </c>
      <c r="E26" s="1046">
        <f t="shared" ca="1" si="0"/>
        <v>5636.5473214285757</v>
      </c>
      <c r="F26" s="1047">
        <f t="shared" ca="1" si="1"/>
        <v>10017.857142857143</v>
      </c>
      <c r="G26" s="1048">
        <f t="shared" ca="1" si="2"/>
        <v>2229.0510909839768</v>
      </c>
      <c r="H26" s="1047">
        <f t="shared" ca="1" si="3"/>
        <v>3040.0268481047083</v>
      </c>
      <c r="I26" s="1049">
        <f t="shared" ca="1" si="25"/>
        <v>20923.482403374404</v>
      </c>
      <c r="K26" s="1046">
        <f t="shared" ca="1" si="26"/>
        <v>6277.044721012322</v>
      </c>
      <c r="L26" s="900">
        <f ca="1">-HLOOKUP($C26,CF_Table,CF!$AB$34)</f>
        <v>284.97228742216959</v>
      </c>
      <c r="N26" s="1046">
        <f t="shared" ca="1" si="4"/>
        <v>3881.2422363439537</v>
      </c>
      <c r="O26" s="1047">
        <f t="shared" ca="1" si="5"/>
        <v>4744.5001835753974</v>
      </c>
      <c r="P26" s="1049">
        <f t="shared" ca="1" si="27"/>
        <v>8625.742419919352</v>
      </c>
      <c r="R26" s="1046">
        <f t="shared" ca="1" si="6"/>
        <v>900.00000000000011</v>
      </c>
      <c r="S26" s="892">
        <f t="shared" ca="1" si="7"/>
        <v>150</v>
      </c>
      <c r="T26" s="892">
        <f t="shared" ca="1" si="8"/>
        <v>1390.0019999999997</v>
      </c>
      <c r="U26" s="892">
        <f t="shared" ca="1" si="9"/>
        <v>490.31970000000018</v>
      </c>
      <c r="V26" s="892">
        <f t="shared" ca="1" si="10"/>
        <v>5085.763910526317</v>
      </c>
      <c r="W26" s="892">
        <f t="shared" ca="1" si="11"/>
        <v>158.82352941176472</v>
      </c>
      <c r="X26" s="900">
        <f t="shared" ca="1" si="28"/>
        <v>8174.9091399380814</v>
      </c>
      <c r="Z26" s="1046">
        <f t="shared" ca="1" si="29"/>
        <v>44286.150971666328</v>
      </c>
      <c r="AA26" s="187">
        <f t="shared" ca="1" si="30"/>
        <v>47164.750784824639</v>
      </c>
      <c r="AB26" s="187">
        <f t="shared" ca="1" si="31"/>
        <v>48448.63973787841</v>
      </c>
      <c r="AC26" s="1050">
        <f t="shared" si="55"/>
        <v>8</v>
      </c>
      <c r="AD26" s="1051">
        <f ca="1">HLOOKUP($C26,CF_Table,CF!$AB$12)</f>
        <v>12</v>
      </c>
      <c r="AE26" s="187">
        <f t="shared" ca="1" si="12"/>
        <v>32299.093158585605</v>
      </c>
      <c r="AF26" s="779">
        <v>480</v>
      </c>
      <c r="AG26" s="893"/>
      <c r="AK26" s="1246">
        <f t="shared" si="32"/>
        <v>10</v>
      </c>
      <c r="AL26" s="152">
        <f t="shared" si="33"/>
        <v>2008</v>
      </c>
      <c r="AN26" s="1046">
        <f t="shared" ca="1" si="34"/>
        <v>3757.6982142857173</v>
      </c>
      <c r="AO26" s="1047">
        <f t="shared" ca="1" si="35"/>
        <v>6678.5714285714284</v>
      </c>
      <c r="AP26" s="1048">
        <f t="shared" ca="1" si="36"/>
        <v>1486.0340606559846</v>
      </c>
      <c r="AQ26" s="1047">
        <f t="shared" ca="1" si="37"/>
        <v>2026.6845654031388</v>
      </c>
      <c r="AR26" s="1049">
        <f t="shared" ca="1" si="38"/>
        <v>13948.988268916268</v>
      </c>
      <c r="AT26" s="1046">
        <f t="shared" ca="1" si="13"/>
        <v>4184.6964806748811</v>
      </c>
      <c r="AU26" s="900">
        <f t="shared" ca="1" si="14"/>
        <v>189.98152494811305</v>
      </c>
      <c r="AW26" s="1046">
        <f t="shared" ca="1" si="15"/>
        <v>2587.4948242293026</v>
      </c>
      <c r="AX26" s="1047">
        <f t="shared" ca="1" si="16"/>
        <v>3163.0001223835984</v>
      </c>
      <c r="AY26" s="1049">
        <f t="shared" ca="1" si="39"/>
        <v>5750.494946612901</v>
      </c>
      <c r="BA26" s="1046">
        <f t="shared" ca="1" si="17"/>
        <v>600.00000000000011</v>
      </c>
      <c r="BB26" s="892">
        <f t="shared" ca="1" si="18"/>
        <v>100</v>
      </c>
      <c r="BC26" s="892">
        <f t="shared" ca="1" si="19"/>
        <v>926.66799999999978</v>
      </c>
      <c r="BD26" s="892">
        <f t="shared" ca="1" si="20"/>
        <v>326.8798000000001</v>
      </c>
      <c r="BE26" s="892">
        <f t="shared" ca="1" si="21"/>
        <v>3390.5092736842112</v>
      </c>
      <c r="BF26" s="892">
        <f t="shared" ca="1" si="22"/>
        <v>105.88235294117648</v>
      </c>
      <c r="BG26" s="900">
        <f t="shared" ca="1" si="40"/>
        <v>5449.9394266253876</v>
      </c>
      <c r="BI26" s="1046">
        <f t="shared" ca="1" si="41"/>
        <v>29524.100647777552</v>
      </c>
      <c r="BJ26" s="187">
        <f t="shared" ca="1" si="42"/>
        <v>31443.16718988309</v>
      </c>
      <c r="BK26" s="893">
        <f t="shared" ca="1" si="43"/>
        <v>32299.093158585605</v>
      </c>
      <c r="BM26" s="1052"/>
      <c r="BN26" s="1051"/>
      <c r="BO26" s="1053"/>
      <c r="BP26" s="893"/>
      <c r="BR26" s="1246">
        <f t="shared" si="44"/>
        <v>10</v>
      </c>
      <c r="BS26" s="152">
        <f t="shared" si="45"/>
        <v>2008</v>
      </c>
      <c r="BU26" s="1046"/>
      <c r="BV26" s="1047"/>
      <c r="BW26" s="1048"/>
      <c r="BX26" s="1047"/>
      <c r="BY26" s="1049"/>
      <c r="CA26" s="1046"/>
      <c r="CB26" s="900"/>
      <c r="CD26" s="1046"/>
      <c r="CE26" s="1047"/>
      <c r="CF26" s="1049"/>
      <c r="CH26" s="1046"/>
      <c r="CI26" s="892"/>
      <c r="CJ26" s="892"/>
      <c r="CK26" s="892"/>
      <c r="CL26" s="892"/>
      <c r="CM26" s="1047"/>
      <c r="CN26" s="1049"/>
      <c r="CP26" s="1046"/>
      <c r="CQ26" s="187"/>
      <c r="CR26" s="893"/>
      <c r="CT26" s="1052"/>
      <c r="CU26" s="1051"/>
      <c r="CV26" s="1082"/>
      <c r="CW26" s="893"/>
    </row>
    <row r="27" spans="2:101">
      <c r="B27" s="678">
        <f t="shared" si="54"/>
        <v>10</v>
      </c>
      <c r="C27" s="399">
        <f t="shared" si="54"/>
        <v>2009</v>
      </c>
      <c r="E27" s="1046">
        <f t="shared" ca="1" si="0"/>
        <v>4909.2508928571488</v>
      </c>
      <c r="F27" s="1047">
        <f t="shared" ca="1" si="1"/>
        <v>10017.857142857143</v>
      </c>
      <c r="G27" s="1048">
        <f t="shared" ca="1" si="2"/>
        <v>1947.5741704270088</v>
      </c>
      <c r="H27" s="1047">
        <f t="shared" ca="1" si="3"/>
        <v>2073.0870584705563</v>
      </c>
      <c r="I27" s="1049">
        <f t="shared" ca="1" si="25"/>
        <v>18947.769264611856</v>
      </c>
      <c r="K27" s="1046">
        <f t="shared" ca="1" si="26"/>
        <v>5684.3307793835575</v>
      </c>
      <c r="L27" s="900">
        <f ca="1">-HLOOKUP($C27,CF_Table,CF!$AB$34)</f>
        <v>273.02799600080664</v>
      </c>
      <c r="N27" s="1046">
        <f t="shared" ca="1" si="4"/>
        <v>3244.4116992035456</v>
      </c>
      <c r="O27" s="1047">
        <f t="shared" ca="1" si="5"/>
        <v>5381.330720715805</v>
      </c>
      <c r="P27" s="1049">
        <f t="shared" ca="1" si="27"/>
        <v>8625.7424199193501</v>
      </c>
      <c r="R27" s="1046">
        <f t="shared" ca="1" si="6"/>
        <v>900</v>
      </c>
      <c r="S27" s="892">
        <f t="shared" ca="1" si="7"/>
        <v>150</v>
      </c>
      <c r="T27" s="892">
        <f t="shared" ca="1" si="8"/>
        <v>1390.0019999999997</v>
      </c>
      <c r="U27" s="892">
        <f t="shared" ca="1" si="9"/>
        <v>490.31970000000018</v>
      </c>
      <c r="V27" s="892">
        <f t="shared" ca="1" si="10"/>
        <v>5085.763910526317</v>
      </c>
      <c r="W27" s="892">
        <f t="shared" ca="1" si="11"/>
        <v>158.82352941176472</v>
      </c>
      <c r="X27" s="900">
        <f t="shared" ca="1" si="28"/>
        <v>8174.9091399380814</v>
      </c>
      <c r="Z27" s="1046">
        <f t="shared" ca="1" si="29"/>
        <v>41705.77959985366</v>
      </c>
      <c r="AA27" s="187">
        <f t="shared" ca="1" si="30"/>
        <v>44416.655273844146</v>
      </c>
      <c r="AB27" s="187">
        <f t="shared" ca="1" si="31"/>
        <v>45625.737312628808</v>
      </c>
      <c r="AC27" s="1050">
        <f t="shared" si="55"/>
        <v>4</v>
      </c>
      <c r="AD27" s="1051">
        <f ca="1">HLOOKUP($C27,CF_Table,CF!$AB$12)</f>
        <v>12</v>
      </c>
      <c r="AE27" s="187">
        <f t="shared" ca="1" si="12"/>
        <v>15208.579104209603</v>
      </c>
      <c r="AF27" s="779">
        <v>480</v>
      </c>
      <c r="AG27" s="893">
        <f ca="1">SUM(AE26:AE27)/AF27/SUM(AC26:AC27)*1000</f>
        <v>8247.8597678463902</v>
      </c>
      <c r="AK27" s="1246">
        <f t="shared" si="32"/>
        <v>10</v>
      </c>
      <c r="AL27" s="152">
        <f t="shared" si="33"/>
        <v>2009</v>
      </c>
      <c r="AN27" s="1046">
        <f t="shared" ca="1" si="34"/>
        <v>1636.4169642857162</v>
      </c>
      <c r="AO27" s="1047">
        <f t="shared" ca="1" si="35"/>
        <v>3339.2857142857142</v>
      </c>
      <c r="AP27" s="1048">
        <f t="shared" ca="1" si="36"/>
        <v>649.19139014233622</v>
      </c>
      <c r="AQ27" s="1047">
        <f t="shared" ca="1" si="37"/>
        <v>691.02901949018542</v>
      </c>
      <c r="AR27" s="1049">
        <f t="shared" ca="1" si="38"/>
        <v>6315.9230882039519</v>
      </c>
      <c r="AT27" s="1046">
        <f t="shared" ca="1" si="13"/>
        <v>1894.7769264611859</v>
      </c>
      <c r="AU27" s="900">
        <f t="shared" ca="1" si="14"/>
        <v>91.009332000268884</v>
      </c>
      <c r="AW27" s="1046">
        <f t="shared" ca="1" si="15"/>
        <v>1081.4705664011819</v>
      </c>
      <c r="AX27" s="1047">
        <f t="shared" ca="1" si="16"/>
        <v>1793.7769069052683</v>
      </c>
      <c r="AY27" s="1049">
        <f t="shared" ca="1" si="39"/>
        <v>2875.24747330645</v>
      </c>
      <c r="BA27" s="1046">
        <f t="shared" ca="1" si="17"/>
        <v>300</v>
      </c>
      <c r="BB27" s="892">
        <f t="shared" ca="1" si="18"/>
        <v>50</v>
      </c>
      <c r="BC27" s="892">
        <f t="shared" ca="1" si="19"/>
        <v>463.33399999999989</v>
      </c>
      <c r="BD27" s="892">
        <f t="shared" ca="1" si="20"/>
        <v>163.43990000000005</v>
      </c>
      <c r="BE27" s="892">
        <f t="shared" ca="1" si="21"/>
        <v>1695.2546368421056</v>
      </c>
      <c r="BF27" s="892">
        <f t="shared" ca="1" si="22"/>
        <v>52.941176470588239</v>
      </c>
      <c r="BG27" s="900">
        <f t="shared" ca="1" si="40"/>
        <v>2724.9697133126938</v>
      </c>
      <c r="BI27" s="1046">
        <f t="shared" ca="1" si="41"/>
        <v>13901.92653328455</v>
      </c>
      <c r="BJ27" s="187">
        <f t="shared" ca="1" si="42"/>
        <v>14805.551757948046</v>
      </c>
      <c r="BK27" s="893">
        <f t="shared" ca="1" si="43"/>
        <v>15208.579104209599</v>
      </c>
      <c r="BM27" s="1052">
        <f ca="1">SUM(BK26:BK27)</f>
        <v>47507.672262795204</v>
      </c>
      <c r="BN27" s="1051">
        <f>SUM($AC26:$AC27)</f>
        <v>12</v>
      </c>
      <c r="BO27" s="1053">
        <v>480</v>
      </c>
      <c r="BP27" s="893">
        <f ca="1">BM27/BN27/BO27*1000</f>
        <v>8247.8597678463884</v>
      </c>
      <c r="BR27" s="1246">
        <f t="shared" si="44"/>
        <v>10</v>
      </c>
      <c r="BS27" s="152">
        <f t="shared" si="45"/>
        <v>2009</v>
      </c>
      <c r="BU27" s="1046">
        <f ca="1">SUM(AN26:AN27)</f>
        <v>5394.1151785714337</v>
      </c>
      <c r="BV27" s="1047">
        <f ca="1">SUM(AO26:AO27)</f>
        <v>10017.857142857143</v>
      </c>
      <c r="BW27" s="1048">
        <f ca="1">SUM(AP26:AP27)</f>
        <v>2135.2254507983207</v>
      </c>
      <c r="BX27" s="1047">
        <f ca="1">SUM(AQ26:AQ27)</f>
        <v>2717.713584893324</v>
      </c>
      <c r="BY27" s="1049">
        <f t="shared" ca="1" si="47"/>
        <v>20264.911357120222</v>
      </c>
      <c r="CA27" s="1046">
        <f ca="1">SUM(AT26:AT27)</f>
        <v>6079.4734071360672</v>
      </c>
      <c r="CB27" s="900">
        <f ca="1">SUM(AU26:AU27)</f>
        <v>280.99085694838192</v>
      </c>
      <c r="CD27" s="1046">
        <f ca="1">SUM(AW26:AW27)</f>
        <v>3668.9653906304848</v>
      </c>
      <c r="CE27" s="1047">
        <f ca="1">SUM(AX26:AX27)</f>
        <v>4956.7770292888672</v>
      </c>
      <c r="CF27" s="1049">
        <f t="shared" ca="1" si="48"/>
        <v>8625.742419919352</v>
      </c>
      <c r="CH27" s="1046">
        <f t="shared" ref="CH27:CM27" ca="1" si="62">SUM(BA26:BA27)</f>
        <v>900.00000000000011</v>
      </c>
      <c r="CI27" s="892">
        <f t="shared" ca="1" si="62"/>
        <v>150</v>
      </c>
      <c r="CJ27" s="892">
        <f t="shared" ca="1" si="62"/>
        <v>1390.0019999999997</v>
      </c>
      <c r="CK27" s="892">
        <f t="shared" ca="1" si="62"/>
        <v>490.31970000000013</v>
      </c>
      <c r="CL27" s="892">
        <f t="shared" ca="1" si="62"/>
        <v>5085.763910526317</v>
      </c>
      <c r="CM27" s="1047">
        <f t="shared" ca="1" si="62"/>
        <v>158.82352941176472</v>
      </c>
      <c r="CN27" s="1049">
        <f t="shared" ca="1" si="50"/>
        <v>8174.9091399380814</v>
      </c>
      <c r="CP27" s="1046">
        <f t="shared" ca="1" si="51"/>
        <v>43426.027181062105</v>
      </c>
      <c r="CQ27" s="187">
        <f t="shared" ca="1" si="52"/>
        <v>46248.718947831141</v>
      </c>
      <c r="CR27" s="893">
        <f t="shared" ca="1" si="53"/>
        <v>47507.672262795211</v>
      </c>
      <c r="CT27" s="1052">
        <f ca="1">SUM(CR26:CR27)</f>
        <v>47507.672262795211</v>
      </c>
      <c r="CU27" s="1051">
        <f>SUM($AC26:$AC27)</f>
        <v>12</v>
      </c>
      <c r="CV27" s="1082">
        <f>$BO27</f>
        <v>480</v>
      </c>
      <c r="CW27" s="893">
        <f ca="1">CT27/CU27/CV27*1000</f>
        <v>8247.8597678463902</v>
      </c>
    </row>
    <row r="28" spans="2:101">
      <c r="B28" s="678">
        <f t="shared" si="54"/>
        <v>11</v>
      </c>
      <c r="C28" s="399">
        <f t="shared" si="54"/>
        <v>2009</v>
      </c>
      <c r="E28" s="1046">
        <f t="shared" ca="1" si="0"/>
        <v>4909.2508928571488</v>
      </c>
      <c r="F28" s="1047">
        <f t="shared" ca="1" si="1"/>
        <v>10017.857142857143</v>
      </c>
      <c r="G28" s="1048">
        <f t="shared" ca="1" si="2"/>
        <v>1947.5741704270088</v>
      </c>
      <c r="H28" s="1047">
        <f t="shared" ca="1" si="3"/>
        <v>2073.0870584705563</v>
      </c>
      <c r="I28" s="1049">
        <f t="shared" ca="1" si="25"/>
        <v>18947.769264611856</v>
      </c>
      <c r="K28" s="1046">
        <f t="shared" ca="1" si="26"/>
        <v>5684.3307793835575</v>
      </c>
      <c r="L28" s="900">
        <f ca="1">-HLOOKUP($C28,CF_Table,CF!$AB$34)</f>
        <v>273.02799600080664</v>
      </c>
      <c r="N28" s="1046">
        <f t="shared" ca="1" si="4"/>
        <v>3244.4116992035456</v>
      </c>
      <c r="O28" s="1047">
        <f t="shared" ca="1" si="5"/>
        <v>5381.330720715805</v>
      </c>
      <c r="P28" s="1049">
        <f t="shared" ca="1" si="27"/>
        <v>8625.7424199193501</v>
      </c>
      <c r="R28" s="1046">
        <f t="shared" ca="1" si="6"/>
        <v>900</v>
      </c>
      <c r="S28" s="892">
        <f t="shared" ca="1" si="7"/>
        <v>150</v>
      </c>
      <c r="T28" s="892">
        <f t="shared" ca="1" si="8"/>
        <v>1390.0019999999997</v>
      </c>
      <c r="U28" s="892">
        <f t="shared" ca="1" si="9"/>
        <v>490.31970000000018</v>
      </c>
      <c r="V28" s="892">
        <f t="shared" ca="1" si="10"/>
        <v>5085.763910526317</v>
      </c>
      <c r="W28" s="892">
        <f t="shared" ca="1" si="11"/>
        <v>158.82352941176472</v>
      </c>
      <c r="X28" s="900">
        <f t="shared" ca="1" si="28"/>
        <v>8174.9091399380814</v>
      </c>
      <c r="Z28" s="1046">
        <f t="shared" ca="1" si="29"/>
        <v>41705.77959985366</v>
      </c>
      <c r="AA28" s="187">
        <f t="shared" ca="1" si="30"/>
        <v>44416.655273844146</v>
      </c>
      <c r="AB28" s="187">
        <f t="shared" ca="1" si="31"/>
        <v>45625.737312628808</v>
      </c>
      <c r="AC28" s="1050">
        <f t="shared" si="55"/>
        <v>8</v>
      </c>
      <c r="AD28" s="1051">
        <f ca="1">HLOOKUP($C28,CF_Table,CF!$AB$12)</f>
        <v>12</v>
      </c>
      <c r="AE28" s="187">
        <f t="shared" ca="1" si="12"/>
        <v>30417.158208419205</v>
      </c>
      <c r="AF28" s="779">
        <v>480</v>
      </c>
      <c r="AG28" s="893"/>
      <c r="AK28" s="1246">
        <f t="shared" si="32"/>
        <v>11</v>
      </c>
      <c r="AL28" s="152">
        <f t="shared" si="33"/>
        <v>2009</v>
      </c>
      <c r="AN28" s="1046">
        <f t="shared" ca="1" si="34"/>
        <v>3272.8339285714324</v>
      </c>
      <c r="AO28" s="1047">
        <f t="shared" ca="1" si="35"/>
        <v>6678.5714285714284</v>
      </c>
      <c r="AP28" s="1048">
        <f t="shared" ca="1" si="36"/>
        <v>1298.3827802846724</v>
      </c>
      <c r="AQ28" s="1047">
        <f t="shared" ca="1" si="37"/>
        <v>1382.0580389803708</v>
      </c>
      <c r="AR28" s="1049">
        <f t="shared" ca="1" si="38"/>
        <v>12631.846176407904</v>
      </c>
      <c r="AT28" s="1046">
        <f t="shared" ca="1" si="13"/>
        <v>3789.5538529223718</v>
      </c>
      <c r="AU28" s="900">
        <f t="shared" ca="1" si="14"/>
        <v>182.01866400053777</v>
      </c>
      <c r="AW28" s="1046">
        <f t="shared" ca="1" si="15"/>
        <v>2162.9411328023639</v>
      </c>
      <c r="AX28" s="1047">
        <f t="shared" ca="1" si="16"/>
        <v>3587.5538138105367</v>
      </c>
      <c r="AY28" s="1049">
        <f t="shared" ca="1" si="39"/>
        <v>5750.4949466129001</v>
      </c>
      <c r="BA28" s="1046">
        <f t="shared" ca="1" si="17"/>
        <v>600</v>
      </c>
      <c r="BB28" s="892">
        <f t="shared" ca="1" si="18"/>
        <v>100</v>
      </c>
      <c r="BC28" s="892">
        <f t="shared" ca="1" si="19"/>
        <v>926.66799999999978</v>
      </c>
      <c r="BD28" s="892">
        <f t="shared" ca="1" si="20"/>
        <v>326.8798000000001</v>
      </c>
      <c r="BE28" s="892">
        <f t="shared" ca="1" si="21"/>
        <v>3390.5092736842112</v>
      </c>
      <c r="BF28" s="892">
        <f t="shared" ca="1" si="22"/>
        <v>105.88235294117648</v>
      </c>
      <c r="BG28" s="900">
        <f t="shared" ca="1" si="40"/>
        <v>5449.9394266253876</v>
      </c>
      <c r="BI28" s="1046">
        <f t="shared" ca="1" si="41"/>
        <v>27803.8530665691</v>
      </c>
      <c r="BJ28" s="187">
        <f t="shared" ca="1" si="42"/>
        <v>29611.103515896091</v>
      </c>
      <c r="BK28" s="893">
        <f t="shared" ca="1" si="43"/>
        <v>30417.158208419198</v>
      </c>
      <c r="BM28" s="1052"/>
      <c r="BN28" s="1051"/>
      <c r="BO28" s="1053"/>
      <c r="BP28" s="893"/>
      <c r="BR28" s="1246">
        <f t="shared" si="44"/>
        <v>11</v>
      </c>
      <c r="BS28" s="152">
        <f t="shared" si="45"/>
        <v>2009</v>
      </c>
      <c r="BU28" s="1046"/>
      <c r="BV28" s="1047"/>
      <c r="BW28" s="1048"/>
      <c r="BX28" s="1047"/>
      <c r="BY28" s="1049"/>
      <c r="CA28" s="1046"/>
      <c r="CB28" s="900"/>
      <c r="CD28" s="1046"/>
      <c r="CE28" s="1047"/>
      <c r="CF28" s="1049"/>
      <c r="CH28" s="1046"/>
      <c r="CI28" s="892"/>
      <c r="CJ28" s="892"/>
      <c r="CK28" s="892"/>
      <c r="CL28" s="892"/>
      <c r="CM28" s="1047"/>
      <c r="CN28" s="1049"/>
      <c r="CP28" s="1046"/>
      <c r="CQ28" s="187"/>
      <c r="CR28" s="893"/>
      <c r="CT28" s="1052"/>
      <c r="CU28" s="1051"/>
      <c r="CV28" s="1082"/>
      <c r="CW28" s="893"/>
    </row>
    <row r="29" spans="2:101">
      <c r="B29" s="678">
        <f t="shared" si="54"/>
        <v>11</v>
      </c>
      <c r="C29" s="399">
        <f t="shared" si="54"/>
        <v>2010</v>
      </c>
      <c r="E29" s="1046">
        <f t="shared" ca="1" si="0"/>
        <v>4181.95446428572</v>
      </c>
      <c r="F29" s="1047">
        <f t="shared" ca="1" si="1"/>
        <v>10017.857142857143</v>
      </c>
      <c r="G29" s="1048">
        <f t="shared" ca="1" si="2"/>
        <v>1719.3272852894006</v>
      </c>
      <c r="H29" s="1047">
        <f t="shared" ca="1" si="3"/>
        <v>2073.0870584705563</v>
      </c>
      <c r="I29" s="1049">
        <f t="shared" ca="1" si="25"/>
        <v>17992.225950902819</v>
      </c>
      <c r="K29" s="1046">
        <f t="shared" ca="1" si="26"/>
        <v>5397.6677852708463</v>
      </c>
      <c r="L29" s="900">
        <f ca="1">-HLOOKUP($C29,CF_Table,CF!$AB$34)</f>
        <v>267.12707826465697</v>
      </c>
      <c r="N29" s="1046">
        <f t="shared" ca="1" si="4"/>
        <v>2522.1025832154669</v>
      </c>
      <c r="O29" s="1047">
        <f t="shared" ca="1" si="5"/>
        <v>6103.6398367038801</v>
      </c>
      <c r="P29" s="1049">
        <f t="shared" ca="1" si="27"/>
        <v>8625.7424199193465</v>
      </c>
      <c r="R29" s="1046">
        <f t="shared" ca="1" si="6"/>
        <v>900</v>
      </c>
      <c r="S29" s="892">
        <f t="shared" ca="1" si="7"/>
        <v>150</v>
      </c>
      <c r="T29" s="892">
        <f t="shared" ca="1" si="8"/>
        <v>1390.0019999999997</v>
      </c>
      <c r="U29" s="892">
        <f t="shared" ca="1" si="9"/>
        <v>490.31970000000024</v>
      </c>
      <c r="V29" s="892">
        <f t="shared" ca="1" si="10"/>
        <v>5085.763910526317</v>
      </c>
      <c r="W29" s="892">
        <f t="shared" ca="1" si="11"/>
        <v>158.82352941176472</v>
      </c>
      <c r="X29" s="900">
        <f t="shared" ca="1" si="28"/>
        <v>8174.9091399380814</v>
      </c>
      <c r="Z29" s="1046">
        <f t="shared" ca="1" si="29"/>
        <v>40457.672374295755</v>
      </c>
      <c r="AA29" s="187">
        <f t="shared" ca="1" si="30"/>
        <v>43087.421078624975</v>
      </c>
      <c r="AB29" s="187">
        <f t="shared" ca="1" si="31"/>
        <v>44260.319546610139</v>
      </c>
      <c r="AC29" s="1050">
        <f t="shared" si="55"/>
        <v>4</v>
      </c>
      <c r="AD29" s="1051">
        <f ca="1">HLOOKUP($C29,CF_Table,CF!$AB$12)</f>
        <v>12</v>
      </c>
      <c r="AE29" s="187">
        <f t="shared" ca="1" si="12"/>
        <v>14753.439848870046</v>
      </c>
      <c r="AF29" s="779">
        <v>480</v>
      </c>
      <c r="AG29" s="893">
        <f ca="1">SUM(AE28:AE29)/AF29/SUM(AC28:AC29)*1000</f>
        <v>7842.1177182793836</v>
      </c>
      <c r="AK29" s="1246">
        <f t="shared" si="32"/>
        <v>11</v>
      </c>
      <c r="AL29" s="152">
        <f t="shared" si="33"/>
        <v>2010</v>
      </c>
      <c r="AN29" s="1046">
        <f t="shared" ca="1" si="34"/>
        <v>1393.9848214285732</v>
      </c>
      <c r="AO29" s="1047">
        <f t="shared" ca="1" si="35"/>
        <v>3339.2857142857142</v>
      </c>
      <c r="AP29" s="1048">
        <f t="shared" ca="1" si="36"/>
        <v>573.10909509646683</v>
      </c>
      <c r="AQ29" s="1047">
        <f t="shared" ca="1" si="37"/>
        <v>691.02901949018542</v>
      </c>
      <c r="AR29" s="1049">
        <f t="shared" ca="1" si="38"/>
        <v>5997.4086503009403</v>
      </c>
      <c r="AT29" s="1046">
        <f t="shared" ca="1" si="13"/>
        <v>1799.2225950902821</v>
      </c>
      <c r="AU29" s="900">
        <f t="shared" ca="1" si="14"/>
        <v>89.04235942155232</v>
      </c>
      <c r="AW29" s="1046">
        <f t="shared" ca="1" si="15"/>
        <v>840.70086107182226</v>
      </c>
      <c r="AX29" s="1047">
        <f t="shared" ca="1" si="16"/>
        <v>2034.5466122346268</v>
      </c>
      <c r="AY29" s="1049">
        <f t="shared" ca="1" si="39"/>
        <v>2875.2474733064491</v>
      </c>
      <c r="BA29" s="1046">
        <f t="shared" ca="1" si="17"/>
        <v>300</v>
      </c>
      <c r="BB29" s="892">
        <f t="shared" ca="1" si="18"/>
        <v>50</v>
      </c>
      <c r="BC29" s="892">
        <f t="shared" ca="1" si="19"/>
        <v>463.33399999999989</v>
      </c>
      <c r="BD29" s="892">
        <f t="shared" ca="1" si="20"/>
        <v>163.43990000000008</v>
      </c>
      <c r="BE29" s="892">
        <f t="shared" ca="1" si="21"/>
        <v>1695.2546368421056</v>
      </c>
      <c r="BF29" s="892">
        <f t="shared" ca="1" si="22"/>
        <v>52.941176470588239</v>
      </c>
      <c r="BG29" s="900">
        <f t="shared" ca="1" si="40"/>
        <v>2724.9697133126938</v>
      </c>
      <c r="BI29" s="1046">
        <f t="shared" ca="1" si="41"/>
        <v>13485.890791431917</v>
      </c>
      <c r="BJ29" s="187">
        <f t="shared" ca="1" si="42"/>
        <v>14362.473692874992</v>
      </c>
      <c r="BK29" s="893">
        <f t="shared" ca="1" si="43"/>
        <v>14753.439848870046</v>
      </c>
      <c r="BM29" s="1052">
        <f ca="1">SUM(BK28:BK29)</f>
        <v>45170.598057289244</v>
      </c>
      <c r="BN29" s="1051">
        <f>SUM($AC28:$AC29)</f>
        <v>12</v>
      </c>
      <c r="BO29" s="1053">
        <v>480</v>
      </c>
      <c r="BP29" s="893">
        <f ca="1">BM29/BN29/BO29*1000</f>
        <v>7842.1177182793826</v>
      </c>
      <c r="BR29" s="1246">
        <f t="shared" si="44"/>
        <v>11</v>
      </c>
      <c r="BS29" s="152">
        <f t="shared" si="45"/>
        <v>2010</v>
      </c>
      <c r="BU29" s="1046">
        <f ca="1">SUM(AN28:AN29)</f>
        <v>4666.8187500000058</v>
      </c>
      <c r="BV29" s="1047">
        <f ca="1">SUM(AO28:AO29)</f>
        <v>10017.857142857143</v>
      </c>
      <c r="BW29" s="1048">
        <f ca="1">SUM(AP28:AP29)</f>
        <v>1871.4918753811394</v>
      </c>
      <c r="BX29" s="1047">
        <f ca="1">SUM(AQ28:AQ29)</f>
        <v>2073.0870584705563</v>
      </c>
      <c r="BY29" s="1049">
        <f t="shared" ca="1" si="47"/>
        <v>18629.254826708842</v>
      </c>
      <c r="CA29" s="1046">
        <f ca="1">SUM(AT28:AT29)</f>
        <v>5588.7764480126534</v>
      </c>
      <c r="CB29" s="900">
        <f ca="1">SUM(AU28:AU29)</f>
        <v>271.0610234220901</v>
      </c>
      <c r="CD29" s="1046">
        <f ca="1">SUM(AW28:AW29)</f>
        <v>3003.641993874186</v>
      </c>
      <c r="CE29" s="1047">
        <f ca="1">SUM(AX28:AX29)</f>
        <v>5622.1004260451637</v>
      </c>
      <c r="CF29" s="1049">
        <f t="shared" ca="1" si="48"/>
        <v>8625.7424199193501</v>
      </c>
      <c r="CH29" s="1046">
        <f t="shared" ref="CH29:CM29" ca="1" si="63">SUM(BA28:BA29)</f>
        <v>900</v>
      </c>
      <c r="CI29" s="892">
        <f t="shared" ca="1" si="63"/>
        <v>150</v>
      </c>
      <c r="CJ29" s="892">
        <f t="shared" ca="1" si="63"/>
        <v>1390.0019999999997</v>
      </c>
      <c r="CK29" s="892">
        <f t="shared" ca="1" si="63"/>
        <v>490.31970000000018</v>
      </c>
      <c r="CL29" s="892">
        <f t="shared" ca="1" si="63"/>
        <v>5085.763910526317</v>
      </c>
      <c r="CM29" s="1047">
        <f t="shared" ca="1" si="63"/>
        <v>158.82352941176472</v>
      </c>
      <c r="CN29" s="1049">
        <f t="shared" ca="1" si="50"/>
        <v>8174.9091399380814</v>
      </c>
      <c r="CP29" s="1046">
        <f t="shared" ca="1" si="51"/>
        <v>41289.74385800102</v>
      </c>
      <c r="CQ29" s="187">
        <f t="shared" ca="1" si="52"/>
        <v>43973.577208771087</v>
      </c>
      <c r="CR29" s="893">
        <f t="shared" ca="1" si="53"/>
        <v>45170.598057289244</v>
      </c>
      <c r="CT29" s="1052">
        <f ca="1">SUM(CR28:CR29)</f>
        <v>45170.598057289244</v>
      </c>
      <c r="CU29" s="1051">
        <f>SUM($AC28:$AC29)</f>
        <v>12</v>
      </c>
      <c r="CV29" s="1082">
        <f>$BO29</f>
        <v>480</v>
      </c>
      <c r="CW29" s="893">
        <f ca="1">CT29/CU29/CV29*1000</f>
        <v>7842.1177182793826</v>
      </c>
    </row>
    <row r="30" spans="2:101">
      <c r="B30" s="678">
        <f t="shared" si="54"/>
        <v>12</v>
      </c>
      <c r="C30" s="399">
        <f t="shared" si="54"/>
        <v>2010</v>
      </c>
      <c r="E30" s="1046">
        <f t="shared" ca="1" si="0"/>
        <v>4181.95446428572</v>
      </c>
      <c r="F30" s="1047">
        <f t="shared" ca="1" si="1"/>
        <v>10017.857142857143</v>
      </c>
      <c r="G30" s="1048">
        <f t="shared" ca="1" si="2"/>
        <v>1719.3272852894006</v>
      </c>
      <c r="H30" s="1047">
        <f t="shared" ca="1" si="3"/>
        <v>2073.0870584705563</v>
      </c>
      <c r="I30" s="1049">
        <f t="shared" ca="1" si="25"/>
        <v>17992.225950902819</v>
      </c>
      <c r="K30" s="1046">
        <f t="shared" ca="1" si="26"/>
        <v>5397.6677852708463</v>
      </c>
      <c r="L30" s="900">
        <f ca="1">-HLOOKUP($C30,CF_Table,CF!$AB$34)</f>
        <v>267.12707826465697</v>
      </c>
      <c r="N30" s="1046">
        <f t="shared" ca="1" si="4"/>
        <v>2522.1025832154669</v>
      </c>
      <c r="O30" s="1047">
        <f t="shared" ca="1" si="5"/>
        <v>6103.6398367038801</v>
      </c>
      <c r="P30" s="1049">
        <f t="shared" ca="1" si="27"/>
        <v>8625.7424199193465</v>
      </c>
      <c r="R30" s="1046">
        <f t="shared" ca="1" si="6"/>
        <v>900</v>
      </c>
      <c r="S30" s="892">
        <f t="shared" ca="1" si="7"/>
        <v>150</v>
      </c>
      <c r="T30" s="892">
        <f t="shared" ca="1" si="8"/>
        <v>1390.0019999999997</v>
      </c>
      <c r="U30" s="892">
        <f t="shared" ca="1" si="9"/>
        <v>490.31970000000024</v>
      </c>
      <c r="V30" s="892">
        <f t="shared" ca="1" si="10"/>
        <v>5085.763910526317</v>
      </c>
      <c r="W30" s="892">
        <f t="shared" ca="1" si="11"/>
        <v>158.82352941176472</v>
      </c>
      <c r="X30" s="900">
        <f t="shared" ca="1" si="28"/>
        <v>8174.9091399380814</v>
      </c>
      <c r="Z30" s="1046">
        <f t="shared" ca="1" si="29"/>
        <v>40457.672374295755</v>
      </c>
      <c r="AA30" s="187">
        <f t="shared" ca="1" si="30"/>
        <v>43087.421078624975</v>
      </c>
      <c r="AB30" s="187">
        <f t="shared" ca="1" si="31"/>
        <v>44260.319546610139</v>
      </c>
      <c r="AC30" s="1050">
        <f t="shared" si="55"/>
        <v>8</v>
      </c>
      <c r="AD30" s="1051">
        <f ca="1">HLOOKUP($C30,CF_Table,CF!$AB$12)</f>
        <v>12</v>
      </c>
      <c r="AE30" s="187">
        <f t="shared" ca="1" si="12"/>
        <v>29506.879697740093</v>
      </c>
      <c r="AF30" s="779">
        <v>480</v>
      </c>
      <c r="AG30" s="893"/>
      <c r="AK30" s="1246">
        <f t="shared" si="32"/>
        <v>12</v>
      </c>
      <c r="AL30" s="152">
        <f t="shared" si="33"/>
        <v>2010</v>
      </c>
      <c r="AN30" s="1046">
        <f t="shared" ca="1" si="34"/>
        <v>2787.9696428571465</v>
      </c>
      <c r="AO30" s="1047">
        <f t="shared" ca="1" si="35"/>
        <v>6678.5714285714284</v>
      </c>
      <c r="AP30" s="1048">
        <f t="shared" ca="1" si="36"/>
        <v>1146.2181901929337</v>
      </c>
      <c r="AQ30" s="1047">
        <f t="shared" ca="1" si="37"/>
        <v>1382.0580389803708</v>
      </c>
      <c r="AR30" s="1049">
        <f t="shared" ca="1" si="38"/>
        <v>11994.817300601881</v>
      </c>
      <c r="AT30" s="1046">
        <f t="shared" ca="1" si="13"/>
        <v>3598.4451901805642</v>
      </c>
      <c r="AU30" s="900">
        <f t="shared" ca="1" si="14"/>
        <v>178.08471884310464</v>
      </c>
      <c r="AW30" s="1046">
        <f t="shared" ca="1" si="15"/>
        <v>1681.4017221436445</v>
      </c>
      <c r="AX30" s="1047">
        <f t="shared" ca="1" si="16"/>
        <v>4069.0932244692535</v>
      </c>
      <c r="AY30" s="1049">
        <f t="shared" ca="1" si="39"/>
        <v>5750.4949466128983</v>
      </c>
      <c r="BA30" s="1046">
        <f t="shared" ca="1" si="17"/>
        <v>600</v>
      </c>
      <c r="BB30" s="892">
        <f t="shared" ca="1" si="18"/>
        <v>100</v>
      </c>
      <c r="BC30" s="892">
        <f t="shared" ca="1" si="19"/>
        <v>926.66799999999978</v>
      </c>
      <c r="BD30" s="892">
        <f t="shared" ca="1" si="20"/>
        <v>326.87980000000016</v>
      </c>
      <c r="BE30" s="892">
        <f t="shared" ca="1" si="21"/>
        <v>3390.5092736842112</v>
      </c>
      <c r="BF30" s="892">
        <f t="shared" ca="1" si="22"/>
        <v>105.88235294117648</v>
      </c>
      <c r="BG30" s="900">
        <f t="shared" ca="1" si="40"/>
        <v>5449.9394266253876</v>
      </c>
      <c r="BI30" s="1046">
        <f t="shared" ca="1" si="41"/>
        <v>26971.781582863834</v>
      </c>
      <c r="BJ30" s="187">
        <f t="shared" ca="1" si="42"/>
        <v>28724.947385749983</v>
      </c>
      <c r="BK30" s="893">
        <f t="shared" ca="1" si="43"/>
        <v>29506.879697740093</v>
      </c>
      <c r="BM30" s="1052"/>
      <c r="BN30" s="1051"/>
      <c r="BO30" s="1053"/>
      <c r="BP30" s="893"/>
      <c r="BR30" s="1246">
        <f t="shared" si="44"/>
        <v>12</v>
      </c>
      <c r="BS30" s="152">
        <f t="shared" si="45"/>
        <v>2010</v>
      </c>
      <c r="BU30" s="1046"/>
      <c r="BV30" s="1047"/>
      <c r="BW30" s="1048"/>
      <c r="BX30" s="1047"/>
      <c r="BY30" s="1049"/>
      <c r="CA30" s="1046"/>
      <c r="CB30" s="900"/>
      <c r="CD30" s="1046"/>
      <c r="CE30" s="1047"/>
      <c r="CF30" s="1049"/>
      <c r="CH30" s="1046"/>
      <c r="CI30" s="892"/>
      <c r="CJ30" s="892"/>
      <c r="CK30" s="892"/>
      <c r="CL30" s="892"/>
      <c r="CM30" s="1047"/>
      <c r="CN30" s="1049"/>
      <c r="CP30" s="1046"/>
      <c r="CQ30" s="187"/>
      <c r="CR30" s="893"/>
      <c r="CT30" s="1052"/>
      <c r="CU30" s="1051"/>
      <c r="CV30" s="1082"/>
      <c r="CW30" s="893"/>
    </row>
    <row r="31" spans="2:101">
      <c r="B31" s="678">
        <f t="shared" ref="B31:C46" si="64">B29+1</f>
        <v>12</v>
      </c>
      <c r="C31" s="399">
        <f t="shared" si="64"/>
        <v>2011</v>
      </c>
      <c r="E31" s="1046">
        <f t="shared" ca="1" si="0"/>
        <v>3454.6580357142911</v>
      </c>
      <c r="F31" s="1047">
        <f t="shared" ca="1" si="1"/>
        <v>10017.857142857143</v>
      </c>
      <c r="G31" s="1048">
        <f t="shared" ca="1" si="2"/>
        <v>1491.0804001517924</v>
      </c>
      <c r="H31" s="1047">
        <f t="shared" ca="1" si="3"/>
        <v>2556.5569532876325</v>
      </c>
      <c r="I31" s="1049">
        <f t="shared" ca="1" si="25"/>
        <v>17520.152532010856</v>
      </c>
      <c r="K31" s="1046">
        <f t="shared" ca="1" si="26"/>
        <v>5256.0457596032575</v>
      </c>
      <c r="L31" s="900">
        <f ca="1">-HLOOKUP($C31,CF_Table,CF!$AB$34)</f>
        <v>212.10292574987326</v>
      </c>
      <c r="N31" s="1046">
        <f t="shared" ca="1" si="4"/>
        <v>1702.8415261338889</v>
      </c>
      <c r="O31" s="1047">
        <f t="shared" ca="1" si="5"/>
        <v>6922.9008937854551</v>
      </c>
      <c r="P31" s="1049">
        <f t="shared" ca="1" si="27"/>
        <v>8625.7424199193447</v>
      </c>
      <c r="R31" s="1046">
        <f t="shared" ca="1" si="6"/>
        <v>899.99999999999989</v>
      </c>
      <c r="S31" s="892">
        <f t="shared" ca="1" si="7"/>
        <v>150</v>
      </c>
      <c r="T31" s="892">
        <f t="shared" ca="1" si="8"/>
        <v>1390.0019999999997</v>
      </c>
      <c r="U31" s="892">
        <f t="shared" ca="1" si="9"/>
        <v>490.31970000000024</v>
      </c>
      <c r="V31" s="892">
        <f t="shared" ca="1" si="10"/>
        <v>5085.763910526317</v>
      </c>
      <c r="W31" s="892">
        <f t="shared" ca="1" si="11"/>
        <v>158.8235294117647</v>
      </c>
      <c r="X31" s="900">
        <f t="shared" ca="1" si="28"/>
        <v>8174.9091399380814</v>
      </c>
      <c r="Z31" s="1046">
        <f t="shared" ca="1" si="29"/>
        <v>39788.952777221413</v>
      </c>
      <c r="AA31" s="187">
        <f t="shared" ca="1" si="30"/>
        <v>42375.234707740805</v>
      </c>
      <c r="AB31" s="187">
        <f t="shared" ca="1" si="31"/>
        <v>43528.746489718338</v>
      </c>
      <c r="AC31" s="1050">
        <f t="shared" si="55"/>
        <v>4</v>
      </c>
      <c r="AD31" s="1051">
        <f ca="1">HLOOKUP($C31,CF_Table,CF!$AB$12)</f>
        <v>12</v>
      </c>
      <c r="AE31" s="187">
        <f t="shared" ca="1" si="12"/>
        <v>14509.582163239445</v>
      </c>
      <c r="AF31" s="779">
        <v>480</v>
      </c>
      <c r="AG31" s="893">
        <f ca="1">SUM(AE30:AE31)/AF31/SUM(AC30:AC31)*1000</f>
        <v>7641.7468508645024</v>
      </c>
      <c r="AK31" s="1246">
        <f t="shared" si="32"/>
        <v>12</v>
      </c>
      <c r="AL31" s="152">
        <f t="shared" si="33"/>
        <v>2011</v>
      </c>
      <c r="AN31" s="1046">
        <f t="shared" ca="1" si="34"/>
        <v>1151.5526785714303</v>
      </c>
      <c r="AO31" s="1047">
        <f t="shared" ca="1" si="35"/>
        <v>3339.2857142857142</v>
      </c>
      <c r="AP31" s="1048">
        <f t="shared" ca="1" si="36"/>
        <v>497.0268000505975</v>
      </c>
      <c r="AQ31" s="1047">
        <f t="shared" ca="1" si="37"/>
        <v>852.18565109587746</v>
      </c>
      <c r="AR31" s="1049">
        <f t="shared" ca="1" si="38"/>
        <v>5840.0508440036201</v>
      </c>
      <c r="AT31" s="1046">
        <f t="shared" ca="1" si="13"/>
        <v>1752.0152532010859</v>
      </c>
      <c r="AU31" s="900">
        <f t="shared" ca="1" si="14"/>
        <v>70.70097524995775</v>
      </c>
      <c r="AW31" s="1046">
        <f t="shared" ca="1" si="15"/>
        <v>567.61384204462968</v>
      </c>
      <c r="AX31" s="1047">
        <f t="shared" ca="1" si="16"/>
        <v>2307.6336312618182</v>
      </c>
      <c r="AY31" s="1049">
        <f t="shared" ca="1" si="39"/>
        <v>2875.2474733064478</v>
      </c>
      <c r="BA31" s="1046">
        <f t="shared" ca="1" si="17"/>
        <v>299.99999999999994</v>
      </c>
      <c r="BB31" s="892">
        <f t="shared" ca="1" si="18"/>
        <v>50</v>
      </c>
      <c r="BC31" s="892">
        <f t="shared" ca="1" si="19"/>
        <v>463.33399999999989</v>
      </c>
      <c r="BD31" s="892">
        <f t="shared" ca="1" si="20"/>
        <v>163.43990000000008</v>
      </c>
      <c r="BE31" s="892">
        <f t="shared" ca="1" si="21"/>
        <v>1695.2546368421056</v>
      </c>
      <c r="BF31" s="892">
        <f t="shared" ca="1" si="22"/>
        <v>52.941176470588232</v>
      </c>
      <c r="BG31" s="900">
        <f t="shared" ca="1" si="40"/>
        <v>2724.9697133126938</v>
      </c>
      <c r="BI31" s="1046">
        <f t="shared" ca="1" si="41"/>
        <v>13262.984259073806</v>
      </c>
      <c r="BJ31" s="187">
        <f t="shared" ca="1" si="42"/>
        <v>14125.078235913603</v>
      </c>
      <c r="BK31" s="893">
        <f t="shared" ca="1" si="43"/>
        <v>14509.582163239447</v>
      </c>
      <c r="BM31" s="1052">
        <f ca="1">SUM(BK30:BK31)</f>
        <v>44016.461860979543</v>
      </c>
      <c r="BN31" s="1051">
        <f>SUM($AC30:$AC31)</f>
        <v>12</v>
      </c>
      <c r="BO31" s="1053">
        <v>480</v>
      </c>
      <c r="BP31" s="893">
        <f ca="1">BM31/BN31/BO31*1000</f>
        <v>7641.7468508645043</v>
      </c>
      <c r="BR31" s="1246">
        <f t="shared" si="44"/>
        <v>12</v>
      </c>
      <c r="BS31" s="152">
        <f t="shared" si="45"/>
        <v>2011</v>
      </c>
      <c r="BU31" s="1046">
        <f ca="1">SUM(AN30:AN31)</f>
        <v>3939.522321428577</v>
      </c>
      <c r="BV31" s="1047">
        <f ca="1">SUM(AO30:AO31)</f>
        <v>10017.857142857143</v>
      </c>
      <c r="BW31" s="1048">
        <f ca="1">SUM(AP30:AP31)</f>
        <v>1643.2449902435312</v>
      </c>
      <c r="BX31" s="1047">
        <f ca="1">SUM(AQ30:AQ31)</f>
        <v>2234.2436900762482</v>
      </c>
      <c r="BY31" s="1049">
        <f t="shared" ca="1" si="47"/>
        <v>17834.868144605502</v>
      </c>
      <c r="CA31" s="1046">
        <f ca="1">SUM(AT30:AT31)</f>
        <v>5350.4604433816503</v>
      </c>
      <c r="CB31" s="900">
        <f ca="1">SUM(AU30:AU31)</f>
        <v>248.78569409306238</v>
      </c>
      <c r="CD31" s="1046">
        <f ca="1">SUM(AW30:AW31)</f>
        <v>2249.0155641882743</v>
      </c>
      <c r="CE31" s="1047">
        <f ca="1">SUM(AX30:AX31)</f>
        <v>6376.7268557310717</v>
      </c>
      <c r="CF31" s="1049">
        <f t="shared" ca="1" si="48"/>
        <v>8625.7424199193465</v>
      </c>
      <c r="CH31" s="1046">
        <f t="shared" ref="CH31:CM31" ca="1" si="65">SUM(BA30:BA31)</f>
        <v>900</v>
      </c>
      <c r="CI31" s="892">
        <f t="shared" ca="1" si="65"/>
        <v>150</v>
      </c>
      <c r="CJ31" s="892">
        <f t="shared" ca="1" si="65"/>
        <v>1390.0019999999997</v>
      </c>
      <c r="CK31" s="892">
        <f t="shared" ca="1" si="65"/>
        <v>490.31970000000024</v>
      </c>
      <c r="CL31" s="892">
        <f t="shared" ca="1" si="65"/>
        <v>5085.763910526317</v>
      </c>
      <c r="CM31" s="1047">
        <f t="shared" ca="1" si="65"/>
        <v>158.8235294117647</v>
      </c>
      <c r="CN31" s="1049">
        <f t="shared" ca="1" si="50"/>
        <v>8174.9091399380814</v>
      </c>
      <c r="CP31" s="1046">
        <f t="shared" ca="1" si="51"/>
        <v>40234.765841937638</v>
      </c>
      <c r="CQ31" s="187">
        <f t="shared" ca="1" si="52"/>
        <v>42850.025621663583</v>
      </c>
      <c r="CR31" s="893">
        <f t="shared" ca="1" si="53"/>
        <v>44016.461860979536</v>
      </c>
      <c r="CT31" s="1052">
        <f ca="1">SUM(CR30:CR31)</f>
        <v>44016.461860979536</v>
      </c>
      <c r="CU31" s="1051">
        <f>SUM($AC30:$AC31)</f>
        <v>12</v>
      </c>
      <c r="CV31" s="1082">
        <f>$BO31</f>
        <v>480</v>
      </c>
      <c r="CW31" s="893">
        <f ca="1">CT31/CU31/CV31*1000</f>
        <v>7641.7468508645024</v>
      </c>
    </row>
    <row r="32" spans="2:101">
      <c r="B32" s="678">
        <f t="shared" si="64"/>
        <v>13</v>
      </c>
      <c r="C32" s="399">
        <f t="shared" si="64"/>
        <v>2011</v>
      </c>
      <c r="E32" s="1046">
        <f t="shared" ca="1" si="0"/>
        <v>3454.6580357142911</v>
      </c>
      <c r="F32" s="1047">
        <f t="shared" ca="1" si="1"/>
        <v>10017.857142857143</v>
      </c>
      <c r="G32" s="1048">
        <f t="shared" ca="1" si="2"/>
        <v>1491.0804001517924</v>
      </c>
      <c r="H32" s="1047">
        <f t="shared" ca="1" si="3"/>
        <v>2556.5569532876325</v>
      </c>
      <c r="I32" s="1049">
        <f t="shared" ca="1" si="25"/>
        <v>17520.152532010856</v>
      </c>
      <c r="K32" s="1046">
        <f t="shared" ca="1" si="26"/>
        <v>5256.0457596032575</v>
      </c>
      <c r="L32" s="900">
        <f ca="1">-HLOOKUP($C32,CF_Table,CF!$AB$34)</f>
        <v>212.10292574987326</v>
      </c>
      <c r="N32" s="1046">
        <f t="shared" ca="1" si="4"/>
        <v>1702.8415261338889</v>
      </c>
      <c r="O32" s="1047">
        <f t="shared" ca="1" si="5"/>
        <v>6922.9008937854551</v>
      </c>
      <c r="P32" s="1049">
        <f t="shared" ca="1" si="27"/>
        <v>8625.7424199193447</v>
      </c>
      <c r="R32" s="1046">
        <f t="shared" ca="1" si="6"/>
        <v>899.99999999999989</v>
      </c>
      <c r="S32" s="892">
        <f t="shared" ca="1" si="7"/>
        <v>150</v>
      </c>
      <c r="T32" s="892">
        <f t="shared" ca="1" si="8"/>
        <v>1390.0019999999997</v>
      </c>
      <c r="U32" s="892">
        <f t="shared" ca="1" si="9"/>
        <v>490.31970000000024</v>
      </c>
      <c r="V32" s="892">
        <f t="shared" ca="1" si="10"/>
        <v>5085.763910526317</v>
      </c>
      <c r="W32" s="892">
        <f t="shared" ca="1" si="11"/>
        <v>158.8235294117647</v>
      </c>
      <c r="X32" s="900">
        <f t="shared" ca="1" si="28"/>
        <v>8174.9091399380814</v>
      </c>
      <c r="Z32" s="1046">
        <f t="shared" ca="1" si="29"/>
        <v>39788.952777221413</v>
      </c>
      <c r="AA32" s="187">
        <f t="shared" ca="1" si="30"/>
        <v>42375.234707740805</v>
      </c>
      <c r="AB32" s="187">
        <f t="shared" ca="1" si="31"/>
        <v>43528.746489718338</v>
      </c>
      <c r="AC32" s="1050">
        <f t="shared" si="55"/>
        <v>8</v>
      </c>
      <c r="AD32" s="1051">
        <f ca="1">HLOOKUP($C32,CF_Table,CF!$AB$12)</f>
        <v>12</v>
      </c>
      <c r="AE32" s="187">
        <f t="shared" ca="1" si="12"/>
        <v>29019.164326478891</v>
      </c>
      <c r="AF32" s="779">
        <v>480</v>
      </c>
      <c r="AG32" s="893"/>
      <c r="AK32" s="1246">
        <f t="shared" si="32"/>
        <v>13</v>
      </c>
      <c r="AL32" s="152">
        <f t="shared" si="33"/>
        <v>2011</v>
      </c>
      <c r="AN32" s="1046">
        <f t="shared" ca="1" si="34"/>
        <v>2303.1053571428606</v>
      </c>
      <c r="AO32" s="1047">
        <f t="shared" ca="1" si="35"/>
        <v>6678.5714285714284</v>
      </c>
      <c r="AP32" s="1048">
        <f t="shared" ca="1" si="36"/>
        <v>994.053600101195</v>
      </c>
      <c r="AQ32" s="1047">
        <f t="shared" ca="1" si="37"/>
        <v>1704.3713021917549</v>
      </c>
      <c r="AR32" s="1049">
        <f t="shared" ca="1" si="38"/>
        <v>11680.10168800724</v>
      </c>
      <c r="AT32" s="1046">
        <f t="shared" ca="1" si="13"/>
        <v>3504.0305064021718</v>
      </c>
      <c r="AU32" s="900">
        <f t="shared" ca="1" si="14"/>
        <v>141.4019504999155</v>
      </c>
      <c r="AW32" s="1046">
        <f t="shared" ca="1" si="15"/>
        <v>1135.2276840892594</v>
      </c>
      <c r="AX32" s="1047">
        <f t="shared" ca="1" si="16"/>
        <v>4615.2672625236364</v>
      </c>
      <c r="AY32" s="1049">
        <f t="shared" ca="1" si="39"/>
        <v>5750.4949466128955</v>
      </c>
      <c r="BA32" s="1046">
        <f t="shared" ca="1" si="17"/>
        <v>599.99999999999989</v>
      </c>
      <c r="BB32" s="892">
        <f t="shared" ca="1" si="18"/>
        <v>100</v>
      </c>
      <c r="BC32" s="892">
        <f t="shared" ca="1" si="19"/>
        <v>926.66799999999978</v>
      </c>
      <c r="BD32" s="892">
        <f t="shared" ca="1" si="20"/>
        <v>326.87980000000016</v>
      </c>
      <c r="BE32" s="892">
        <f t="shared" ca="1" si="21"/>
        <v>3390.5092736842112</v>
      </c>
      <c r="BF32" s="892">
        <f t="shared" ca="1" si="22"/>
        <v>105.88235294117646</v>
      </c>
      <c r="BG32" s="900">
        <f t="shared" ca="1" si="40"/>
        <v>5449.9394266253876</v>
      </c>
      <c r="BI32" s="1046">
        <f t="shared" ca="1" si="41"/>
        <v>26525.968518147612</v>
      </c>
      <c r="BJ32" s="187">
        <f t="shared" ca="1" si="42"/>
        <v>28250.156471827206</v>
      </c>
      <c r="BK32" s="893">
        <f t="shared" ca="1" si="43"/>
        <v>29019.164326478895</v>
      </c>
      <c r="BM32" s="1052"/>
      <c r="BN32" s="1051"/>
      <c r="BO32" s="1053"/>
      <c r="BP32" s="893"/>
      <c r="BR32" s="1246">
        <f t="shared" si="44"/>
        <v>13</v>
      </c>
      <c r="BS32" s="152">
        <f t="shared" si="45"/>
        <v>2011</v>
      </c>
      <c r="BU32" s="1046"/>
      <c r="BV32" s="1047"/>
      <c r="BW32" s="1048"/>
      <c r="BX32" s="1047"/>
      <c r="BY32" s="1049"/>
      <c r="CA32" s="1046"/>
      <c r="CB32" s="900"/>
      <c r="CD32" s="1046"/>
      <c r="CE32" s="1047"/>
      <c r="CF32" s="1049"/>
      <c r="CH32" s="1046"/>
      <c r="CI32" s="892"/>
      <c r="CJ32" s="892"/>
      <c r="CK32" s="892"/>
      <c r="CL32" s="892"/>
      <c r="CM32" s="1047"/>
      <c r="CN32" s="1049"/>
      <c r="CP32" s="1046"/>
      <c r="CQ32" s="187"/>
      <c r="CR32" s="893"/>
      <c r="CT32" s="1052"/>
      <c r="CU32" s="1051"/>
      <c r="CV32" s="1082"/>
      <c r="CW32" s="893"/>
    </row>
    <row r="33" spans="2:101">
      <c r="B33" s="678">
        <f t="shared" si="64"/>
        <v>13</v>
      </c>
      <c r="C33" s="399">
        <f t="shared" si="64"/>
        <v>2012</v>
      </c>
      <c r="E33" s="1046">
        <f t="shared" ca="1" si="0"/>
        <v>2727.3616071428619</v>
      </c>
      <c r="F33" s="1047">
        <f t="shared" ca="1" si="1"/>
        <v>10017.857142857143</v>
      </c>
      <c r="G33" s="1048">
        <f t="shared" ca="1" si="2"/>
        <v>1182.988461885144</v>
      </c>
      <c r="H33" s="1047">
        <f t="shared" ca="1" si="3"/>
        <v>3040.0268481047087</v>
      </c>
      <c r="I33" s="1049">
        <f t="shared" ca="1" si="25"/>
        <v>16968.23405998986</v>
      </c>
      <c r="K33" s="1046">
        <f t="shared" ca="1" si="26"/>
        <v>5090.470217996959</v>
      </c>
      <c r="L33" s="900">
        <f ca="1">-HLOOKUP($C33,CF_Table,CF!$AB$34)</f>
        <v>198.82788344302628</v>
      </c>
      <c r="N33" s="1046">
        <f t="shared" ca="1" si="4"/>
        <v>773.61515366553658</v>
      </c>
      <c r="O33" s="1047">
        <f t="shared" ca="1" si="5"/>
        <v>7852.1272662537895</v>
      </c>
      <c r="P33" s="1049">
        <f t="shared" ca="1" si="27"/>
        <v>8625.7424199193265</v>
      </c>
      <c r="R33" s="1046">
        <f t="shared" ca="1" si="6"/>
        <v>900</v>
      </c>
      <c r="S33" s="892">
        <f t="shared" ca="1" si="7"/>
        <v>150</v>
      </c>
      <c r="T33" s="892">
        <f t="shared" ca="1" si="8"/>
        <v>1390.0019999999997</v>
      </c>
      <c r="U33" s="892">
        <f t="shared" ca="1" si="9"/>
        <v>490.31970000000024</v>
      </c>
      <c r="V33" s="892">
        <f t="shared" ca="1" si="10"/>
        <v>5085.763910526317</v>
      </c>
      <c r="W33" s="892">
        <f t="shared" ca="1" si="11"/>
        <v>158.82352941176472</v>
      </c>
      <c r="X33" s="900">
        <f t="shared" ca="1" si="28"/>
        <v>8174.9091399380814</v>
      </c>
      <c r="Z33" s="1046">
        <f t="shared" ca="1" si="29"/>
        <v>39058.183721287256</v>
      </c>
      <c r="AA33" s="187">
        <f t="shared" ca="1" si="30"/>
        <v>41596.965663170922</v>
      </c>
      <c r="AB33" s="187">
        <f t="shared" ca="1" si="31"/>
        <v>42729.291898480653</v>
      </c>
      <c r="AC33" s="1050">
        <f t="shared" si="55"/>
        <v>4</v>
      </c>
      <c r="AD33" s="1051">
        <f ca="1">HLOOKUP($C33,CF_Table,CF!$AB$12)</f>
        <v>12</v>
      </c>
      <c r="AE33" s="187">
        <f t="shared" ca="1" si="12"/>
        <v>14243.097299493551</v>
      </c>
      <c r="AF33" s="779">
        <v>480</v>
      </c>
      <c r="AG33" s="893">
        <f ca="1">SUM(AE32:AE33)/AF33/SUM(AC32:AC33)*1000</f>
        <v>7510.8093100646611</v>
      </c>
      <c r="AK33" s="1246">
        <f t="shared" si="32"/>
        <v>13</v>
      </c>
      <c r="AL33" s="152">
        <f t="shared" si="33"/>
        <v>2012</v>
      </c>
      <c r="AN33" s="1046">
        <f t="shared" ca="1" si="34"/>
        <v>909.12053571428726</v>
      </c>
      <c r="AO33" s="1047">
        <f t="shared" ca="1" si="35"/>
        <v>3339.2857142857142</v>
      </c>
      <c r="AP33" s="1048">
        <f t="shared" ca="1" si="36"/>
        <v>394.32948729504801</v>
      </c>
      <c r="AQ33" s="1047">
        <f t="shared" ca="1" si="37"/>
        <v>1013.3422827015696</v>
      </c>
      <c r="AR33" s="1049">
        <f t="shared" ca="1" si="38"/>
        <v>5656.0780199966193</v>
      </c>
      <c r="AT33" s="1046">
        <f t="shared" ca="1" si="13"/>
        <v>1696.8234059989863</v>
      </c>
      <c r="AU33" s="900">
        <f t="shared" ca="1" si="14"/>
        <v>66.275961147675432</v>
      </c>
      <c r="AW33" s="1046">
        <f t="shared" ca="1" si="15"/>
        <v>257.87171788851219</v>
      </c>
      <c r="AX33" s="1047">
        <f t="shared" ca="1" si="16"/>
        <v>2617.3757554179297</v>
      </c>
      <c r="AY33" s="1049">
        <f t="shared" ca="1" si="39"/>
        <v>2875.2474733064419</v>
      </c>
      <c r="BA33" s="1046">
        <f t="shared" ca="1" si="17"/>
        <v>300</v>
      </c>
      <c r="BB33" s="892">
        <f t="shared" ca="1" si="18"/>
        <v>50</v>
      </c>
      <c r="BC33" s="892">
        <f t="shared" ca="1" si="19"/>
        <v>463.33399999999989</v>
      </c>
      <c r="BD33" s="892">
        <f t="shared" ca="1" si="20"/>
        <v>163.43990000000008</v>
      </c>
      <c r="BE33" s="892">
        <f t="shared" ca="1" si="21"/>
        <v>1695.2546368421056</v>
      </c>
      <c r="BF33" s="892">
        <f t="shared" ca="1" si="22"/>
        <v>52.941176470588239</v>
      </c>
      <c r="BG33" s="900">
        <f t="shared" ca="1" si="40"/>
        <v>2724.9697133126938</v>
      </c>
      <c r="BI33" s="1046">
        <f t="shared" ca="1" si="41"/>
        <v>13019.394573762416</v>
      </c>
      <c r="BJ33" s="187">
        <f t="shared" ca="1" si="42"/>
        <v>13865.655221056973</v>
      </c>
      <c r="BK33" s="893">
        <f t="shared" ca="1" si="43"/>
        <v>14243.097299493551</v>
      </c>
      <c r="BM33" s="1052">
        <f ca="1">SUM(BK32:BK33)</f>
        <v>43262.261625972445</v>
      </c>
      <c r="BN33" s="1051">
        <f>SUM($AC32:$AC33)</f>
        <v>12</v>
      </c>
      <c r="BO33" s="1053">
        <v>480</v>
      </c>
      <c r="BP33" s="893">
        <f ca="1">BM33/BN33/BO33*1000</f>
        <v>7510.8093100646602</v>
      </c>
      <c r="BR33" s="1246">
        <f t="shared" si="44"/>
        <v>13</v>
      </c>
      <c r="BS33" s="152">
        <f t="shared" si="45"/>
        <v>2012</v>
      </c>
      <c r="BU33" s="1046">
        <f ca="1">SUM(AN32:AN33)</f>
        <v>3212.2258928571478</v>
      </c>
      <c r="BV33" s="1047">
        <f ca="1">SUM(AO32:AO33)</f>
        <v>10017.857142857143</v>
      </c>
      <c r="BW33" s="1048">
        <f ca="1">SUM(AP32:AP33)</f>
        <v>1388.3830873962429</v>
      </c>
      <c r="BX33" s="1047">
        <f ca="1">SUM(AQ32:AQ33)</f>
        <v>2717.7135848933244</v>
      </c>
      <c r="BY33" s="1049">
        <f t="shared" ca="1" si="47"/>
        <v>17336.17970800386</v>
      </c>
      <c r="CA33" s="1046">
        <f ca="1">SUM(AT32:AT33)</f>
        <v>5200.8539124011586</v>
      </c>
      <c r="CB33" s="900">
        <f ca="1">SUM(AU32:AU33)</f>
        <v>207.67791164759092</v>
      </c>
      <c r="CD33" s="1046">
        <f ca="1">SUM(AW32:AW33)</f>
        <v>1393.0994019777715</v>
      </c>
      <c r="CE33" s="1047">
        <f ca="1">SUM(AX32:AX33)</f>
        <v>7232.6430179415656</v>
      </c>
      <c r="CF33" s="1049">
        <f t="shared" ca="1" si="48"/>
        <v>8625.7424199193374</v>
      </c>
      <c r="CH33" s="1046">
        <f t="shared" ref="CH33:CM33" ca="1" si="66">SUM(BA32:BA33)</f>
        <v>899.99999999999989</v>
      </c>
      <c r="CI33" s="892">
        <f t="shared" ca="1" si="66"/>
        <v>150</v>
      </c>
      <c r="CJ33" s="892">
        <f t="shared" ca="1" si="66"/>
        <v>1390.0019999999997</v>
      </c>
      <c r="CK33" s="892">
        <f t="shared" ca="1" si="66"/>
        <v>490.31970000000024</v>
      </c>
      <c r="CL33" s="892">
        <f t="shared" ca="1" si="66"/>
        <v>5085.763910526317</v>
      </c>
      <c r="CM33" s="1047">
        <f t="shared" ca="1" si="66"/>
        <v>158.8235294117647</v>
      </c>
      <c r="CN33" s="1049">
        <f t="shared" ca="1" si="50"/>
        <v>8174.9091399380814</v>
      </c>
      <c r="CP33" s="1046">
        <f t="shared" ca="1" si="51"/>
        <v>39545.363091910025</v>
      </c>
      <c r="CQ33" s="187">
        <f t="shared" ca="1" si="52"/>
        <v>42115.811692884177</v>
      </c>
      <c r="CR33" s="893">
        <f t="shared" ca="1" si="53"/>
        <v>43262.261625972445</v>
      </c>
      <c r="CT33" s="1052">
        <f ca="1">SUM(CR32:CR33)</f>
        <v>43262.261625972445</v>
      </c>
      <c r="CU33" s="1051">
        <f>SUM($AC32:$AC33)</f>
        <v>12</v>
      </c>
      <c r="CV33" s="1082">
        <f>$BO33</f>
        <v>480</v>
      </c>
      <c r="CW33" s="893">
        <f ca="1">CT33/CU33/CV33*1000</f>
        <v>7510.8093100646602</v>
      </c>
    </row>
    <row r="34" spans="2:101">
      <c r="B34" s="678">
        <f t="shared" si="64"/>
        <v>14</v>
      </c>
      <c r="C34" s="399">
        <f t="shared" si="64"/>
        <v>2012</v>
      </c>
      <c r="E34" s="1046">
        <f t="shared" ca="1" si="0"/>
        <v>2727.3616071428619</v>
      </c>
      <c r="F34" s="1047">
        <f t="shared" ca="1" si="1"/>
        <v>10017.857142857143</v>
      </c>
      <c r="G34" s="1048">
        <f t="shared" ca="1" si="2"/>
        <v>1182.988461885144</v>
      </c>
      <c r="H34" s="1047">
        <f t="shared" ca="1" si="3"/>
        <v>3040.0268481047087</v>
      </c>
      <c r="I34" s="1049">
        <f t="shared" ca="1" si="25"/>
        <v>16968.23405998986</v>
      </c>
      <c r="K34" s="1046">
        <f t="shared" ca="1" si="26"/>
        <v>5090.470217996959</v>
      </c>
      <c r="L34" s="900">
        <f ca="1">-HLOOKUP($C34,CF_Table,CF!$AB$34)</f>
        <v>198.82788344302628</v>
      </c>
      <c r="N34" s="1046">
        <f t="shared" ca="1" si="4"/>
        <v>773.61515366553658</v>
      </c>
      <c r="O34" s="1047">
        <f t="shared" ca="1" si="5"/>
        <v>7852.1272662537895</v>
      </c>
      <c r="P34" s="1049">
        <f t="shared" ca="1" si="27"/>
        <v>8625.7424199193265</v>
      </c>
      <c r="R34" s="1046">
        <f t="shared" ca="1" si="6"/>
        <v>900</v>
      </c>
      <c r="S34" s="892">
        <f t="shared" ca="1" si="7"/>
        <v>150</v>
      </c>
      <c r="T34" s="892">
        <f t="shared" ca="1" si="8"/>
        <v>1390.0019999999997</v>
      </c>
      <c r="U34" s="892">
        <f t="shared" ca="1" si="9"/>
        <v>490.31970000000024</v>
      </c>
      <c r="V34" s="892">
        <f t="shared" ca="1" si="10"/>
        <v>5085.763910526317</v>
      </c>
      <c r="W34" s="892">
        <f t="shared" ca="1" si="11"/>
        <v>158.82352941176472</v>
      </c>
      <c r="X34" s="900">
        <f t="shared" ca="1" si="28"/>
        <v>8174.9091399380814</v>
      </c>
      <c r="Z34" s="1046">
        <f t="shared" ca="1" si="29"/>
        <v>39058.183721287256</v>
      </c>
      <c r="AA34" s="187">
        <f t="shared" ca="1" si="30"/>
        <v>41596.965663170922</v>
      </c>
      <c r="AB34" s="187">
        <f t="shared" ca="1" si="31"/>
        <v>42729.291898480653</v>
      </c>
      <c r="AC34" s="1050">
        <f t="shared" si="55"/>
        <v>8</v>
      </c>
      <c r="AD34" s="1051">
        <f ca="1">HLOOKUP($C34,CF_Table,CF!$AB$12)</f>
        <v>12</v>
      </c>
      <c r="AE34" s="187">
        <f t="shared" ca="1" si="12"/>
        <v>28486.194598987102</v>
      </c>
      <c r="AF34" s="779">
        <v>480</v>
      </c>
      <c r="AG34" s="893"/>
      <c r="AK34" s="1246">
        <f t="shared" si="32"/>
        <v>14</v>
      </c>
      <c r="AL34" s="152">
        <f t="shared" si="33"/>
        <v>2012</v>
      </c>
      <c r="AN34" s="1046">
        <f t="shared" ca="1" si="34"/>
        <v>1818.2410714285745</v>
      </c>
      <c r="AO34" s="1047">
        <f t="shared" ca="1" si="35"/>
        <v>6678.5714285714284</v>
      </c>
      <c r="AP34" s="1048">
        <f t="shared" ca="1" si="36"/>
        <v>788.65897459009602</v>
      </c>
      <c r="AQ34" s="1047">
        <f t="shared" ca="1" si="37"/>
        <v>2026.6845654031392</v>
      </c>
      <c r="AR34" s="1049">
        <f t="shared" ca="1" si="38"/>
        <v>11312.156039993239</v>
      </c>
      <c r="AT34" s="1046">
        <f t="shared" ca="1" si="13"/>
        <v>3393.6468119979727</v>
      </c>
      <c r="AU34" s="900">
        <f t="shared" ca="1" si="14"/>
        <v>132.55192229535086</v>
      </c>
      <c r="AW34" s="1046">
        <f t="shared" ca="1" si="15"/>
        <v>515.74343577702439</v>
      </c>
      <c r="AX34" s="1047">
        <f t="shared" ca="1" si="16"/>
        <v>5234.7515108358593</v>
      </c>
      <c r="AY34" s="1049">
        <f t="shared" ca="1" si="39"/>
        <v>5750.4949466128837</v>
      </c>
      <c r="BA34" s="1046">
        <f t="shared" ca="1" si="17"/>
        <v>600</v>
      </c>
      <c r="BB34" s="892">
        <f t="shared" ca="1" si="18"/>
        <v>100</v>
      </c>
      <c r="BC34" s="892">
        <f t="shared" ca="1" si="19"/>
        <v>926.66799999999978</v>
      </c>
      <c r="BD34" s="892">
        <f t="shared" ca="1" si="20"/>
        <v>326.87980000000016</v>
      </c>
      <c r="BE34" s="892">
        <f t="shared" ca="1" si="21"/>
        <v>3390.5092736842112</v>
      </c>
      <c r="BF34" s="892">
        <f t="shared" ca="1" si="22"/>
        <v>105.88235294117648</v>
      </c>
      <c r="BG34" s="900">
        <f t="shared" ca="1" si="40"/>
        <v>5449.9394266253876</v>
      </c>
      <c r="BI34" s="1046">
        <f t="shared" ca="1" si="41"/>
        <v>26038.789147524833</v>
      </c>
      <c r="BJ34" s="187">
        <f t="shared" ca="1" si="42"/>
        <v>27731.310442113947</v>
      </c>
      <c r="BK34" s="893">
        <f t="shared" ca="1" si="43"/>
        <v>28486.194598987102</v>
      </c>
      <c r="BM34" s="1052"/>
      <c r="BN34" s="1051"/>
      <c r="BO34" s="1053"/>
      <c r="BP34" s="893"/>
      <c r="BR34" s="1246">
        <f t="shared" si="44"/>
        <v>14</v>
      </c>
      <c r="BS34" s="152">
        <f t="shared" si="45"/>
        <v>2012</v>
      </c>
      <c r="BU34" s="1046"/>
      <c r="BV34" s="1047"/>
      <c r="BW34" s="1048"/>
      <c r="BX34" s="1047"/>
      <c r="BY34" s="1049"/>
      <c r="CA34" s="1046"/>
      <c r="CB34" s="900"/>
      <c r="CD34" s="1046"/>
      <c r="CE34" s="1047"/>
      <c r="CF34" s="1049"/>
      <c r="CH34" s="1046"/>
      <c r="CI34" s="892"/>
      <c r="CJ34" s="892"/>
      <c r="CK34" s="892"/>
      <c r="CL34" s="892"/>
      <c r="CM34" s="1047"/>
      <c r="CN34" s="1049"/>
      <c r="CP34" s="1046"/>
      <c r="CQ34" s="187"/>
      <c r="CR34" s="893"/>
      <c r="CT34" s="1052"/>
      <c r="CU34" s="1051"/>
      <c r="CV34" s="1082"/>
      <c r="CW34" s="893"/>
    </row>
    <row r="35" spans="2:101">
      <c r="B35" s="678">
        <f t="shared" si="64"/>
        <v>14</v>
      </c>
      <c r="C35" s="399">
        <f t="shared" si="64"/>
        <v>2013</v>
      </c>
      <c r="E35" s="1046">
        <f t="shared" ca="1" si="0"/>
        <v>2000.0651785714333</v>
      </c>
      <c r="F35" s="1047">
        <f t="shared" ca="1" si="1"/>
        <v>10017.857142857143</v>
      </c>
      <c r="G35" s="1048">
        <f t="shared" ca="1" si="2"/>
        <v>848.28150590881546</v>
      </c>
      <c r="H35" s="1047">
        <f t="shared" ca="1" si="3"/>
        <v>3040.0268481047087</v>
      </c>
      <c r="I35" s="1049">
        <f t="shared" ca="1" si="25"/>
        <v>15906.230675442101</v>
      </c>
      <c r="K35" s="1046">
        <f t="shared" ca="1" si="26"/>
        <v>4771.8692026326307</v>
      </c>
      <c r="L35" s="900">
        <f ca="1">-HLOOKUP($C35,CF_Table,CF!$AB$34)</f>
        <v>186.91600813284398</v>
      </c>
      <c r="N35" s="1046">
        <f t="shared" ca="1" si="4"/>
        <v>0</v>
      </c>
      <c r="O35" s="1047">
        <f t="shared" ca="1" si="5"/>
        <v>0</v>
      </c>
      <c r="P35" s="1049">
        <f t="shared" ca="1" si="27"/>
        <v>0</v>
      </c>
      <c r="R35" s="1046">
        <f t="shared" ca="1" si="6"/>
        <v>900</v>
      </c>
      <c r="S35" s="892">
        <f t="shared" ca="1" si="7"/>
        <v>150</v>
      </c>
      <c r="T35" s="892">
        <f t="shared" ca="1" si="8"/>
        <v>1390.0019999999997</v>
      </c>
      <c r="U35" s="892">
        <f t="shared" ca="1" si="9"/>
        <v>490.31970000000018</v>
      </c>
      <c r="V35" s="892">
        <f t="shared" ca="1" si="10"/>
        <v>5085.763910526317</v>
      </c>
      <c r="W35" s="892">
        <f t="shared" ca="1" si="11"/>
        <v>158.82352941176472</v>
      </c>
      <c r="X35" s="900">
        <f t="shared" ca="1" si="28"/>
        <v>8174.9091399380814</v>
      </c>
      <c r="Z35" s="1046">
        <f t="shared" ca="1" si="29"/>
        <v>29039.925026145658</v>
      </c>
      <c r="AA35" s="187">
        <f t="shared" ca="1" si="30"/>
        <v>30927.520152845125</v>
      </c>
      <c r="AB35" s="187">
        <f t="shared" ca="1" si="31"/>
        <v>31769.409504720206</v>
      </c>
      <c r="AC35" s="1050">
        <f t="shared" si="55"/>
        <v>4</v>
      </c>
      <c r="AD35" s="1051">
        <f ca="1">HLOOKUP($C35,CF_Table,CF!$AB$12)</f>
        <v>12</v>
      </c>
      <c r="AE35" s="187">
        <f t="shared" ca="1" si="12"/>
        <v>10589.803168240069</v>
      </c>
      <c r="AF35" s="779">
        <v>480</v>
      </c>
      <c r="AG35" s="893">
        <f ca="1">SUM(AE34:AE35)/AF35/SUM(AC34:AC35)*1000</f>
        <v>6784.0273901436067</v>
      </c>
      <c r="AK35" s="1246">
        <f t="shared" si="32"/>
        <v>14</v>
      </c>
      <c r="AL35" s="152">
        <f t="shared" si="33"/>
        <v>2013</v>
      </c>
      <c r="AN35" s="1046">
        <f t="shared" ca="1" si="34"/>
        <v>666.68839285714444</v>
      </c>
      <c r="AO35" s="1047">
        <f t="shared" ca="1" si="35"/>
        <v>3339.2857142857142</v>
      </c>
      <c r="AP35" s="1048">
        <f t="shared" ca="1" si="36"/>
        <v>282.76050196960517</v>
      </c>
      <c r="AQ35" s="1047">
        <f t="shared" ca="1" si="37"/>
        <v>1013.3422827015696</v>
      </c>
      <c r="AR35" s="1049">
        <f t="shared" ca="1" si="38"/>
        <v>5302.0768918140329</v>
      </c>
      <c r="AT35" s="1046">
        <f t="shared" ca="1" si="13"/>
        <v>1590.6230675442102</v>
      </c>
      <c r="AU35" s="900">
        <f t="shared" ca="1" si="14"/>
        <v>62.305336044281326</v>
      </c>
      <c r="AW35" s="1046">
        <f t="shared" ca="1" si="15"/>
        <v>0</v>
      </c>
      <c r="AX35" s="1047">
        <f t="shared" ca="1" si="16"/>
        <v>0</v>
      </c>
      <c r="AY35" s="1049">
        <f t="shared" ca="1" si="39"/>
        <v>0</v>
      </c>
      <c r="BA35" s="1046">
        <f t="shared" ca="1" si="17"/>
        <v>300</v>
      </c>
      <c r="BB35" s="892">
        <f t="shared" ca="1" si="18"/>
        <v>50</v>
      </c>
      <c r="BC35" s="892">
        <f t="shared" ca="1" si="19"/>
        <v>463.33399999999989</v>
      </c>
      <c r="BD35" s="892">
        <f t="shared" ca="1" si="20"/>
        <v>163.43990000000005</v>
      </c>
      <c r="BE35" s="892">
        <f t="shared" ca="1" si="21"/>
        <v>1695.2546368421056</v>
      </c>
      <c r="BF35" s="892">
        <f t="shared" ca="1" si="22"/>
        <v>52.941176470588239</v>
      </c>
      <c r="BG35" s="900">
        <f t="shared" ca="1" si="40"/>
        <v>2724.9697133126938</v>
      </c>
      <c r="BI35" s="1046">
        <f t="shared" ca="1" si="41"/>
        <v>9679.975008715217</v>
      </c>
      <c r="BJ35" s="187">
        <f t="shared" ca="1" si="42"/>
        <v>10309.173384281705</v>
      </c>
      <c r="BK35" s="893">
        <f t="shared" ca="1" si="43"/>
        <v>10589.803168240065</v>
      </c>
      <c r="BM35" s="1052">
        <f ca="1">SUM(BK34:BK35)</f>
        <v>39075.997767227163</v>
      </c>
      <c r="BN35" s="1051">
        <f>SUM($AC34:$AC35)</f>
        <v>12</v>
      </c>
      <c r="BO35" s="1053">
        <v>480</v>
      </c>
      <c r="BP35" s="893">
        <f ca="1">BM35/BN35/BO35*1000</f>
        <v>6784.0273901436049</v>
      </c>
      <c r="BR35" s="1246">
        <f t="shared" si="44"/>
        <v>14</v>
      </c>
      <c r="BS35" s="152">
        <f t="shared" si="45"/>
        <v>2013</v>
      </c>
      <c r="BU35" s="1046">
        <f ca="1">SUM(AN34:AN35)</f>
        <v>2484.929464285719</v>
      </c>
      <c r="BV35" s="1047">
        <f ca="1">SUM(AO34:AO35)</f>
        <v>10017.857142857143</v>
      </c>
      <c r="BW35" s="1048">
        <f ca="1">SUM(AP34:AP35)</f>
        <v>1071.4194765597013</v>
      </c>
      <c r="BX35" s="1047">
        <f ca="1">SUM(AQ34:AQ35)</f>
        <v>3040.0268481047087</v>
      </c>
      <c r="BY35" s="1049">
        <f t="shared" ca="1" si="47"/>
        <v>16614.232931807273</v>
      </c>
      <c r="CA35" s="1046">
        <f ca="1">SUM(AT34:AT35)</f>
        <v>4984.2698795421829</v>
      </c>
      <c r="CB35" s="900">
        <f ca="1">SUM(AU34:AU35)</f>
        <v>194.85725833963218</v>
      </c>
      <c r="CD35" s="1046">
        <f ca="1">SUM(AW34:AW35)</f>
        <v>515.74343577702439</v>
      </c>
      <c r="CE35" s="1047">
        <f ca="1">SUM(AX34:AX35)</f>
        <v>5234.7515108358593</v>
      </c>
      <c r="CF35" s="1049">
        <f t="shared" ca="1" si="48"/>
        <v>5750.4949466128837</v>
      </c>
      <c r="CH35" s="1046">
        <f t="shared" ref="CH35:CM35" ca="1" si="67">SUM(BA34:BA35)</f>
        <v>900</v>
      </c>
      <c r="CI35" s="892">
        <f t="shared" ca="1" si="67"/>
        <v>150</v>
      </c>
      <c r="CJ35" s="892">
        <f t="shared" ca="1" si="67"/>
        <v>1390.0019999999997</v>
      </c>
      <c r="CK35" s="892">
        <f t="shared" ca="1" si="67"/>
        <v>490.31970000000024</v>
      </c>
      <c r="CL35" s="892">
        <f t="shared" ca="1" si="67"/>
        <v>5085.763910526317</v>
      </c>
      <c r="CM35" s="1047">
        <f t="shared" ca="1" si="67"/>
        <v>158.82352941176472</v>
      </c>
      <c r="CN35" s="1049">
        <f t="shared" ca="1" si="50"/>
        <v>8174.9091399380814</v>
      </c>
      <c r="CP35" s="1046">
        <f t="shared" ca="1" si="51"/>
        <v>35718.764156240053</v>
      </c>
      <c r="CQ35" s="187">
        <f t="shared" ca="1" si="52"/>
        <v>38040.483826395655</v>
      </c>
      <c r="CR35" s="893">
        <f t="shared" ca="1" si="53"/>
        <v>39075.997767227171</v>
      </c>
      <c r="CT35" s="1052">
        <f ca="1">SUM(CR34:CR35)</f>
        <v>39075.997767227171</v>
      </c>
      <c r="CU35" s="1051">
        <f>SUM($AC34:$AC35)</f>
        <v>12</v>
      </c>
      <c r="CV35" s="1082">
        <f>$BO35</f>
        <v>480</v>
      </c>
      <c r="CW35" s="893">
        <f ca="1">CT35/CU35/CV35*1000</f>
        <v>6784.0273901436067</v>
      </c>
    </row>
    <row r="36" spans="2:101">
      <c r="B36" s="678">
        <f t="shared" si="64"/>
        <v>15</v>
      </c>
      <c r="C36" s="399">
        <f t="shared" si="64"/>
        <v>2013</v>
      </c>
      <c r="E36" s="1046">
        <f t="shared" ca="1" si="0"/>
        <v>2000.0651785714333</v>
      </c>
      <c r="F36" s="1047">
        <f t="shared" ca="1" si="1"/>
        <v>10017.857142857143</v>
      </c>
      <c r="G36" s="1048">
        <f t="shared" ca="1" si="2"/>
        <v>848.28150590881546</v>
      </c>
      <c r="H36" s="1047">
        <f t="shared" ca="1" si="3"/>
        <v>3040.0268481047087</v>
      </c>
      <c r="I36" s="1049">
        <f t="shared" ca="1" si="25"/>
        <v>15906.230675442101</v>
      </c>
      <c r="K36" s="1046">
        <f t="shared" ca="1" si="26"/>
        <v>4771.8692026326307</v>
      </c>
      <c r="L36" s="900">
        <f ca="1">-HLOOKUP($C36,CF_Table,CF!$AB$34)</f>
        <v>186.91600813284398</v>
      </c>
      <c r="N36" s="1046">
        <f t="shared" ca="1" si="4"/>
        <v>0</v>
      </c>
      <c r="O36" s="1047">
        <f t="shared" ca="1" si="5"/>
        <v>0</v>
      </c>
      <c r="P36" s="1049">
        <f t="shared" ca="1" si="27"/>
        <v>0</v>
      </c>
      <c r="R36" s="1046">
        <f t="shared" ca="1" si="6"/>
        <v>900</v>
      </c>
      <c r="S36" s="892">
        <f t="shared" ca="1" si="7"/>
        <v>150</v>
      </c>
      <c r="T36" s="892">
        <f t="shared" ca="1" si="8"/>
        <v>1390.0019999999997</v>
      </c>
      <c r="U36" s="892">
        <f t="shared" ca="1" si="9"/>
        <v>490.31970000000018</v>
      </c>
      <c r="V36" s="892">
        <f t="shared" ca="1" si="10"/>
        <v>5085.763910526317</v>
      </c>
      <c r="W36" s="892">
        <f t="shared" ca="1" si="11"/>
        <v>158.82352941176472</v>
      </c>
      <c r="X36" s="900">
        <f t="shared" ca="1" si="28"/>
        <v>8174.9091399380814</v>
      </c>
      <c r="Z36" s="1046">
        <f t="shared" ca="1" si="29"/>
        <v>29039.925026145658</v>
      </c>
      <c r="AA36" s="187">
        <f t="shared" ca="1" si="30"/>
        <v>30927.520152845125</v>
      </c>
      <c r="AB36" s="187">
        <f t="shared" ca="1" si="31"/>
        <v>31769.409504720206</v>
      </c>
      <c r="AC36" s="1050">
        <f t="shared" si="55"/>
        <v>8</v>
      </c>
      <c r="AD36" s="1051">
        <f ca="1">HLOOKUP($C36,CF_Table,CF!$AB$12)</f>
        <v>12</v>
      </c>
      <c r="AE36" s="187">
        <f t="shared" ca="1" si="12"/>
        <v>21179.606336480138</v>
      </c>
      <c r="AF36" s="779">
        <v>480</v>
      </c>
      <c r="AG36" s="893"/>
      <c r="AK36" s="1246">
        <f t="shared" si="32"/>
        <v>15</v>
      </c>
      <c r="AL36" s="152">
        <f t="shared" si="33"/>
        <v>2013</v>
      </c>
      <c r="AN36" s="1046">
        <f t="shared" ca="1" si="34"/>
        <v>1333.3767857142889</v>
      </c>
      <c r="AO36" s="1047">
        <f t="shared" ca="1" si="35"/>
        <v>6678.5714285714284</v>
      </c>
      <c r="AP36" s="1048">
        <f t="shared" ca="1" si="36"/>
        <v>565.52100393921035</v>
      </c>
      <c r="AQ36" s="1047">
        <f t="shared" ca="1" si="37"/>
        <v>2026.6845654031392</v>
      </c>
      <c r="AR36" s="1049">
        <f t="shared" ca="1" si="38"/>
        <v>10604.153783628066</v>
      </c>
      <c r="AT36" s="1046">
        <f t="shared" ca="1" si="13"/>
        <v>3181.2461350884205</v>
      </c>
      <c r="AU36" s="900">
        <f t="shared" ca="1" si="14"/>
        <v>124.61067208856265</v>
      </c>
      <c r="AW36" s="1046">
        <f t="shared" ca="1" si="15"/>
        <v>0</v>
      </c>
      <c r="AX36" s="1047">
        <f t="shared" ca="1" si="16"/>
        <v>0</v>
      </c>
      <c r="AY36" s="1049">
        <f t="shared" ca="1" si="39"/>
        <v>0</v>
      </c>
      <c r="BA36" s="1046">
        <f t="shared" ca="1" si="17"/>
        <v>600</v>
      </c>
      <c r="BB36" s="892">
        <f t="shared" ca="1" si="18"/>
        <v>100</v>
      </c>
      <c r="BC36" s="892">
        <f t="shared" ca="1" si="19"/>
        <v>926.66799999999978</v>
      </c>
      <c r="BD36" s="892">
        <f t="shared" ca="1" si="20"/>
        <v>326.8798000000001</v>
      </c>
      <c r="BE36" s="892">
        <f t="shared" ca="1" si="21"/>
        <v>3390.5092736842112</v>
      </c>
      <c r="BF36" s="892">
        <f t="shared" ca="1" si="22"/>
        <v>105.88235294117648</v>
      </c>
      <c r="BG36" s="900">
        <f t="shared" ca="1" si="40"/>
        <v>5449.9394266253876</v>
      </c>
      <c r="BI36" s="1046">
        <f t="shared" ca="1" si="41"/>
        <v>19359.950017430434</v>
      </c>
      <c r="BJ36" s="187">
        <f t="shared" ca="1" si="42"/>
        <v>20618.34676856341</v>
      </c>
      <c r="BK36" s="893">
        <f t="shared" ca="1" si="43"/>
        <v>21179.60633648013</v>
      </c>
      <c r="BM36" s="1052"/>
      <c r="BN36" s="1051"/>
      <c r="BO36" s="1053"/>
      <c r="BP36" s="893"/>
      <c r="BR36" s="1246">
        <f t="shared" si="44"/>
        <v>15</v>
      </c>
      <c r="BS36" s="152">
        <f t="shared" si="45"/>
        <v>2013</v>
      </c>
      <c r="BU36" s="1046"/>
      <c r="BV36" s="1047"/>
      <c r="BW36" s="1048"/>
      <c r="BX36" s="1047"/>
      <c r="BY36" s="1049"/>
      <c r="CA36" s="1046"/>
      <c r="CB36" s="900"/>
      <c r="CD36" s="1046"/>
      <c r="CE36" s="1047"/>
      <c r="CF36" s="1049"/>
      <c r="CH36" s="1046"/>
      <c r="CI36" s="892"/>
      <c r="CJ36" s="892"/>
      <c r="CK36" s="892"/>
      <c r="CL36" s="892"/>
      <c r="CM36" s="1047"/>
      <c r="CN36" s="1049"/>
      <c r="CP36" s="1046"/>
      <c r="CQ36" s="187"/>
      <c r="CR36" s="893"/>
      <c r="CT36" s="1052"/>
      <c r="CU36" s="1051"/>
      <c r="CV36" s="1082"/>
      <c r="CW36" s="893"/>
    </row>
    <row r="37" spans="2:101">
      <c r="B37" s="678">
        <f t="shared" si="64"/>
        <v>15</v>
      </c>
      <c r="C37" s="399">
        <f t="shared" si="64"/>
        <v>2014</v>
      </c>
      <c r="E37" s="1046">
        <f t="shared" ca="1" si="0"/>
        <v>1272.7687500000045</v>
      </c>
      <c r="F37" s="1047">
        <f t="shared" ca="1" si="1"/>
        <v>10017.857142857143</v>
      </c>
      <c r="G37" s="1048">
        <f t="shared" ca="1" si="2"/>
        <v>513.57454993248689</v>
      </c>
      <c r="H37" s="1047">
        <f t="shared" ca="1" si="3"/>
        <v>3149.0802078378833</v>
      </c>
      <c r="I37" s="1049">
        <f t="shared" ca="1" si="25"/>
        <v>14953.280650627519</v>
      </c>
      <c r="K37" s="1046">
        <f t="shared" ca="1" si="26"/>
        <v>4485.9841951882563</v>
      </c>
      <c r="L37" s="900">
        <f ca="1">-HLOOKUP($C37,CF_Table,CF!$AB$34)</f>
        <v>162.44037302012597</v>
      </c>
      <c r="N37" s="1046">
        <f t="shared" ca="1" si="4"/>
        <v>0</v>
      </c>
      <c r="O37" s="1047">
        <f t="shared" ca="1" si="5"/>
        <v>0</v>
      </c>
      <c r="P37" s="1049">
        <f t="shared" ca="1" si="27"/>
        <v>0</v>
      </c>
      <c r="R37" s="1046">
        <f t="shared" ca="1" si="6"/>
        <v>900</v>
      </c>
      <c r="S37" s="892">
        <f t="shared" ca="1" si="7"/>
        <v>150</v>
      </c>
      <c r="T37" s="892">
        <f t="shared" ca="1" si="8"/>
        <v>1390.002</v>
      </c>
      <c r="U37" s="892">
        <f t="shared" ca="1" si="9"/>
        <v>490.31970000000018</v>
      </c>
      <c r="V37" s="892">
        <f t="shared" ca="1" si="10"/>
        <v>5085.763910526317</v>
      </c>
      <c r="W37" s="892">
        <f t="shared" ca="1" si="11"/>
        <v>158.82352941176472</v>
      </c>
      <c r="X37" s="900">
        <f t="shared" ca="1" si="28"/>
        <v>8174.9091399380823</v>
      </c>
      <c r="Z37" s="1046">
        <f t="shared" ca="1" si="29"/>
        <v>27776.614358773983</v>
      </c>
      <c r="AA37" s="187">
        <f t="shared" ca="1" si="30"/>
        <v>29582.094292094291</v>
      </c>
      <c r="AB37" s="187">
        <f t="shared" ca="1" si="31"/>
        <v>30387.359313912981</v>
      </c>
      <c r="AC37" s="1050">
        <f t="shared" si="55"/>
        <v>4</v>
      </c>
      <c r="AD37" s="1051">
        <f ca="1">HLOOKUP($C37,CF_Table,CF!$AB$12)</f>
        <v>12</v>
      </c>
      <c r="AE37" s="187">
        <f t="shared" ca="1" si="12"/>
        <v>10129.119771304328</v>
      </c>
      <c r="AF37" s="779">
        <v>480</v>
      </c>
      <c r="AG37" s="893">
        <f ca="1">SUM(AE36:AE37)/AF37/SUM(AC36:AC37)*1000</f>
        <v>5435.542727045914</v>
      </c>
      <c r="AK37" s="1246">
        <f t="shared" si="32"/>
        <v>15</v>
      </c>
      <c r="AL37" s="152">
        <f t="shared" si="33"/>
        <v>2014</v>
      </c>
      <c r="AN37" s="1046">
        <f t="shared" ca="1" si="34"/>
        <v>424.2562500000015</v>
      </c>
      <c r="AO37" s="1047">
        <f t="shared" ca="1" si="35"/>
        <v>3339.2857142857142</v>
      </c>
      <c r="AP37" s="1048">
        <f t="shared" ca="1" si="36"/>
        <v>171.19151664416231</v>
      </c>
      <c r="AQ37" s="1047">
        <f t="shared" ca="1" si="37"/>
        <v>1049.6934026126278</v>
      </c>
      <c r="AR37" s="1049">
        <f t="shared" ca="1" si="38"/>
        <v>4984.4268835425064</v>
      </c>
      <c r="AT37" s="1046">
        <f t="shared" ca="1" si="13"/>
        <v>1495.3280650627521</v>
      </c>
      <c r="AU37" s="900">
        <f t="shared" ca="1" si="14"/>
        <v>54.146791006708661</v>
      </c>
      <c r="AW37" s="1046">
        <f t="shared" ca="1" si="15"/>
        <v>0</v>
      </c>
      <c r="AX37" s="1047">
        <f t="shared" ca="1" si="16"/>
        <v>0</v>
      </c>
      <c r="AY37" s="1049">
        <f t="shared" ca="1" si="39"/>
        <v>0</v>
      </c>
      <c r="BA37" s="1046">
        <f t="shared" ca="1" si="17"/>
        <v>300</v>
      </c>
      <c r="BB37" s="892">
        <f t="shared" ca="1" si="18"/>
        <v>50</v>
      </c>
      <c r="BC37" s="892">
        <f t="shared" ca="1" si="19"/>
        <v>463.334</v>
      </c>
      <c r="BD37" s="892">
        <f t="shared" ca="1" si="20"/>
        <v>163.43990000000005</v>
      </c>
      <c r="BE37" s="892">
        <f t="shared" ca="1" si="21"/>
        <v>1695.2546368421056</v>
      </c>
      <c r="BF37" s="892">
        <f t="shared" ca="1" si="22"/>
        <v>52.941176470588239</v>
      </c>
      <c r="BG37" s="900">
        <f t="shared" ca="1" si="40"/>
        <v>2724.9697133126938</v>
      </c>
      <c r="BI37" s="1046">
        <f t="shared" ca="1" si="41"/>
        <v>9258.8714529246608</v>
      </c>
      <c r="BJ37" s="187">
        <f t="shared" ca="1" si="42"/>
        <v>9860.6980973647642</v>
      </c>
      <c r="BK37" s="893">
        <f t="shared" ca="1" si="43"/>
        <v>10129.119771304328</v>
      </c>
      <c r="BM37" s="1052">
        <f ca="1">SUM(BK36:BK37)</f>
        <v>31308.72610778446</v>
      </c>
      <c r="BN37" s="1051">
        <f>SUM($AC36:$AC37)</f>
        <v>12</v>
      </c>
      <c r="BO37" s="1053">
        <v>480</v>
      </c>
      <c r="BP37" s="893">
        <f ca="1">BM37/BN37/BO37*1000</f>
        <v>5435.5427270459131</v>
      </c>
      <c r="BR37" s="1246">
        <f t="shared" si="44"/>
        <v>15</v>
      </c>
      <c r="BS37" s="152">
        <f t="shared" si="45"/>
        <v>2014</v>
      </c>
      <c r="BU37" s="1046">
        <f ca="1">SUM(AN36:AN37)</f>
        <v>1757.6330357142904</v>
      </c>
      <c r="BV37" s="1047">
        <f ca="1">SUM(AO36:AO37)</f>
        <v>10017.857142857143</v>
      </c>
      <c r="BW37" s="1048">
        <f ca="1">SUM(AP36:AP37)</f>
        <v>736.71252058337268</v>
      </c>
      <c r="BX37" s="1047">
        <f ca="1">SUM(AQ36:AQ37)</f>
        <v>3076.3779680157668</v>
      </c>
      <c r="BY37" s="1049">
        <f t="shared" ca="1" si="47"/>
        <v>15588.580667170572</v>
      </c>
      <c r="CA37" s="1046">
        <f ca="1">SUM(AT36:AT37)</f>
        <v>4676.5742001511726</v>
      </c>
      <c r="CB37" s="900">
        <f ca="1">SUM(AU36:AU37)</f>
        <v>178.75746309527131</v>
      </c>
      <c r="CD37" s="1046">
        <f ca="1">SUM(AW36:AW37)</f>
        <v>0</v>
      </c>
      <c r="CE37" s="1047">
        <f ca="1">SUM(AX36:AX37)</f>
        <v>0</v>
      </c>
      <c r="CF37" s="1049">
        <f t="shared" ca="1" si="48"/>
        <v>0</v>
      </c>
      <c r="CH37" s="1046">
        <f t="shared" ref="CH37:CM37" ca="1" si="68">SUM(BA36:BA37)</f>
        <v>900</v>
      </c>
      <c r="CI37" s="892">
        <f t="shared" ca="1" si="68"/>
        <v>150</v>
      </c>
      <c r="CJ37" s="892">
        <f t="shared" ca="1" si="68"/>
        <v>1390.0019999999997</v>
      </c>
      <c r="CK37" s="892">
        <f t="shared" ca="1" si="68"/>
        <v>490.31970000000013</v>
      </c>
      <c r="CL37" s="892">
        <f t="shared" ca="1" si="68"/>
        <v>5085.763910526317</v>
      </c>
      <c r="CM37" s="1047">
        <f t="shared" ca="1" si="68"/>
        <v>158.82352941176472</v>
      </c>
      <c r="CN37" s="1049">
        <f t="shared" ca="1" si="50"/>
        <v>8174.9091399380814</v>
      </c>
      <c r="CP37" s="1046">
        <f t="shared" ca="1" si="51"/>
        <v>28618.821470355095</v>
      </c>
      <c r="CQ37" s="187">
        <f t="shared" ca="1" si="52"/>
        <v>30479.044865928176</v>
      </c>
      <c r="CR37" s="893">
        <f t="shared" ca="1" si="53"/>
        <v>31308.72610778446</v>
      </c>
      <c r="CT37" s="1052">
        <f ca="1">SUM(CR36:CR37)</f>
        <v>31308.72610778446</v>
      </c>
      <c r="CU37" s="1051">
        <f>SUM($AC36:$AC37)</f>
        <v>12</v>
      </c>
      <c r="CV37" s="1082">
        <f>$BO37</f>
        <v>480</v>
      </c>
      <c r="CW37" s="893">
        <f ca="1">CT37/CU37/CV37*1000</f>
        <v>5435.5427270459131</v>
      </c>
    </row>
    <row r="38" spans="2:101">
      <c r="B38" s="678">
        <f t="shared" si="64"/>
        <v>16</v>
      </c>
      <c r="C38" s="399">
        <f t="shared" si="64"/>
        <v>2014</v>
      </c>
      <c r="E38" s="1046">
        <f t="shared" ca="1" si="0"/>
        <v>1272.7687500000045</v>
      </c>
      <c r="F38" s="1047">
        <f t="shared" ca="1" si="1"/>
        <v>10017.857142857143</v>
      </c>
      <c r="G38" s="1048">
        <f t="shared" ca="1" si="2"/>
        <v>513.57454993248689</v>
      </c>
      <c r="H38" s="1047">
        <f t="shared" ca="1" si="3"/>
        <v>3149.0802078378833</v>
      </c>
      <c r="I38" s="1049">
        <f t="shared" ca="1" si="25"/>
        <v>14953.280650627519</v>
      </c>
      <c r="K38" s="1046">
        <f t="shared" ca="1" si="26"/>
        <v>4485.9841951882563</v>
      </c>
      <c r="L38" s="900">
        <f ca="1">-HLOOKUP($C38,CF_Table,CF!$AB$34)</f>
        <v>162.44037302012597</v>
      </c>
      <c r="N38" s="1046">
        <f t="shared" ca="1" si="4"/>
        <v>0</v>
      </c>
      <c r="O38" s="1047">
        <f t="shared" ca="1" si="5"/>
        <v>0</v>
      </c>
      <c r="P38" s="1049">
        <f t="shared" ca="1" si="27"/>
        <v>0</v>
      </c>
      <c r="R38" s="1046">
        <f t="shared" ca="1" si="6"/>
        <v>900</v>
      </c>
      <c r="S38" s="892">
        <f t="shared" ca="1" si="7"/>
        <v>150</v>
      </c>
      <c r="T38" s="892">
        <f t="shared" ca="1" si="8"/>
        <v>1390.002</v>
      </c>
      <c r="U38" s="892">
        <f t="shared" ca="1" si="9"/>
        <v>490.31970000000018</v>
      </c>
      <c r="V38" s="892">
        <f t="shared" ca="1" si="10"/>
        <v>5085.763910526317</v>
      </c>
      <c r="W38" s="892">
        <f t="shared" ca="1" si="11"/>
        <v>158.82352941176472</v>
      </c>
      <c r="X38" s="900">
        <f t="shared" ca="1" si="28"/>
        <v>8174.9091399380823</v>
      </c>
      <c r="Z38" s="1046">
        <f t="shared" ca="1" si="29"/>
        <v>27776.614358773983</v>
      </c>
      <c r="AA38" s="187">
        <f t="shared" ca="1" si="30"/>
        <v>29582.094292094291</v>
      </c>
      <c r="AB38" s="187">
        <f t="shared" ca="1" si="31"/>
        <v>30387.359313912981</v>
      </c>
      <c r="AC38" s="1050">
        <f t="shared" si="55"/>
        <v>8</v>
      </c>
      <c r="AD38" s="1051">
        <f ca="1">HLOOKUP($C38,CF_Table,CF!$AB$12)</f>
        <v>12</v>
      </c>
      <c r="AE38" s="187">
        <f t="shared" ca="1" si="12"/>
        <v>20258.239542608655</v>
      </c>
      <c r="AF38" s="779">
        <v>480</v>
      </c>
      <c r="AG38" s="893"/>
      <c r="AK38" s="1246">
        <f t="shared" si="32"/>
        <v>16</v>
      </c>
      <c r="AL38" s="152">
        <f t="shared" si="33"/>
        <v>2014</v>
      </c>
      <c r="AN38" s="1046">
        <f t="shared" ca="1" si="34"/>
        <v>848.512500000003</v>
      </c>
      <c r="AO38" s="1047">
        <f t="shared" ca="1" si="35"/>
        <v>6678.5714285714284</v>
      </c>
      <c r="AP38" s="1048">
        <f t="shared" ca="1" si="36"/>
        <v>342.38303328832461</v>
      </c>
      <c r="AQ38" s="1047">
        <f t="shared" ca="1" si="37"/>
        <v>2099.3868052252556</v>
      </c>
      <c r="AR38" s="1049">
        <f t="shared" ca="1" si="38"/>
        <v>9968.8537670850128</v>
      </c>
      <c r="AT38" s="1046">
        <f t="shared" ca="1" si="13"/>
        <v>2990.6561301255042</v>
      </c>
      <c r="AU38" s="900">
        <f t="shared" ca="1" si="14"/>
        <v>108.29358201341732</v>
      </c>
      <c r="AW38" s="1046">
        <f t="shared" ca="1" si="15"/>
        <v>0</v>
      </c>
      <c r="AX38" s="1047">
        <f t="shared" ca="1" si="16"/>
        <v>0</v>
      </c>
      <c r="AY38" s="1049">
        <f t="shared" ca="1" si="39"/>
        <v>0</v>
      </c>
      <c r="BA38" s="1046">
        <f t="shared" ca="1" si="17"/>
        <v>600</v>
      </c>
      <c r="BB38" s="892">
        <f t="shared" ca="1" si="18"/>
        <v>100</v>
      </c>
      <c r="BC38" s="892">
        <f t="shared" ca="1" si="19"/>
        <v>926.66800000000001</v>
      </c>
      <c r="BD38" s="892">
        <f t="shared" ca="1" si="20"/>
        <v>326.8798000000001</v>
      </c>
      <c r="BE38" s="892">
        <f t="shared" ca="1" si="21"/>
        <v>3390.5092736842112</v>
      </c>
      <c r="BF38" s="892">
        <f t="shared" ca="1" si="22"/>
        <v>105.88235294117648</v>
      </c>
      <c r="BG38" s="900">
        <f t="shared" ca="1" si="40"/>
        <v>5449.9394266253876</v>
      </c>
      <c r="BI38" s="1046">
        <f t="shared" ca="1" si="41"/>
        <v>18517.742905849322</v>
      </c>
      <c r="BJ38" s="187">
        <f t="shared" ca="1" si="42"/>
        <v>19721.396194729528</v>
      </c>
      <c r="BK38" s="893">
        <f t="shared" ca="1" si="43"/>
        <v>20258.239542608655</v>
      </c>
      <c r="BM38" s="1052"/>
      <c r="BN38" s="1051"/>
      <c r="BO38" s="1053"/>
      <c r="BP38" s="893"/>
      <c r="BR38" s="1246">
        <f t="shared" si="44"/>
        <v>16</v>
      </c>
      <c r="BS38" s="152">
        <f t="shared" si="45"/>
        <v>2014</v>
      </c>
      <c r="BU38" s="1046"/>
      <c r="BV38" s="1047"/>
      <c r="BW38" s="1048"/>
      <c r="BX38" s="1047"/>
      <c r="BY38" s="1049"/>
      <c r="CA38" s="1046"/>
      <c r="CB38" s="900"/>
      <c r="CD38" s="1046"/>
      <c r="CE38" s="1047"/>
      <c r="CF38" s="1049"/>
      <c r="CH38" s="1046"/>
      <c r="CI38" s="892"/>
      <c r="CJ38" s="892"/>
      <c r="CK38" s="892"/>
      <c r="CL38" s="892"/>
      <c r="CM38" s="1047"/>
      <c r="CN38" s="1049"/>
      <c r="CP38" s="1046"/>
      <c r="CQ38" s="187"/>
      <c r="CR38" s="893"/>
      <c r="CT38" s="1052"/>
      <c r="CU38" s="1051"/>
      <c r="CV38" s="1082"/>
      <c r="CW38" s="893"/>
    </row>
    <row r="39" spans="2:101">
      <c r="B39" s="678">
        <f t="shared" si="64"/>
        <v>16</v>
      </c>
      <c r="C39" s="399">
        <f t="shared" si="64"/>
        <v>2015</v>
      </c>
      <c r="E39" s="1046">
        <f t="shared" ca="1" si="0"/>
        <v>545.47232142857581</v>
      </c>
      <c r="F39" s="1047">
        <f t="shared" ca="1" si="1"/>
        <v>10017.857142857203</v>
      </c>
      <c r="G39" s="1048">
        <f t="shared" ca="1" si="2"/>
        <v>156.35489100624028</v>
      </c>
      <c r="H39" s="1047">
        <f t="shared" ca="1" si="3"/>
        <v>2275.5454863180571</v>
      </c>
      <c r="I39" s="1049">
        <f t="shared" ca="1" si="25"/>
        <v>12995.229841610075</v>
      </c>
      <c r="K39" s="1046">
        <f t="shared" ca="1" si="26"/>
        <v>3898.5689524830232</v>
      </c>
      <c r="L39" s="900">
        <f ca="1">-HLOOKUP($C39,CF_Table,CF!$AB$34)</f>
        <v>0</v>
      </c>
      <c r="N39" s="1046">
        <f t="shared" ca="1" si="4"/>
        <v>0</v>
      </c>
      <c r="O39" s="1047">
        <f t="shared" ca="1" si="5"/>
        <v>0</v>
      </c>
      <c r="P39" s="1049">
        <f t="shared" ca="1" si="27"/>
        <v>0</v>
      </c>
      <c r="R39" s="1046">
        <f t="shared" ca="1" si="6"/>
        <v>900</v>
      </c>
      <c r="S39" s="892">
        <f t="shared" ca="1" si="7"/>
        <v>150</v>
      </c>
      <c r="T39" s="892">
        <f t="shared" ca="1" si="8"/>
        <v>1390.0019999999997</v>
      </c>
      <c r="U39" s="892">
        <f t="shared" ca="1" si="9"/>
        <v>490.31970000000018</v>
      </c>
      <c r="V39" s="892">
        <f t="shared" ca="1" si="10"/>
        <v>5085.763910526317</v>
      </c>
      <c r="W39" s="892">
        <f t="shared" ca="1" si="11"/>
        <v>158.82352941176472</v>
      </c>
      <c r="X39" s="900">
        <f t="shared" ca="1" si="28"/>
        <v>8174.9091399380814</v>
      </c>
      <c r="Z39" s="1046">
        <f t="shared" ca="1" si="29"/>
        <v>25068.707934031179</v>
      </c>
      <c r="AA39" s="187">
        <f t="shared" ca="1" si="30"/>
        <v>26698.173949743206</v>
      </c>
      <c r="AB39" s="187">
        <f t="shared" ca="1" si="31"/>
        <v>27424.93471981839</v>
      </c>
      <c r="AC39" s="1050">
        <f t="shared" si="55"/>
        <v>4</v>
      </c>
      <c r="AD39" s="1051">
        <f ca="1">HLOOKUP($C39,CF_Table,CF!$AB$12)</f>
        <v>12</v>
      </c>
      <c r="AE39" s="187">
        <f t="shared" ca="1" si="12"/>
        <v>9141.6449066061305</v>
      </c>
      <c r="AF39" s="779">
        <v>480</v>
      </c>
      <c r="AG39" s="893">
        <f ca="1">SUM(AE38:AE39)/AF39/SUM(AC38:AC39)*1000</f>
        <v>5104.1466057664557</v>
      </c>
      <c r="AK39" s="1246">
        <f t="shared" si="32"/>
        <v>16</v>
      </c>
      <c r="AL39" s="152">
        <f t="shared" si="33"/>
        <v>2015</v>
      </c>
      <c r="AN39" s="1046">
        <f t="shared" ca="1" si="34"/>
        <v>181.82410714285859</v>
      </c>
      <c r="AO39" s="1047">
        <f t="shared" ca="1" si="35"/>
        <v>3339.2857142857342</v>
      </c>
      <c r="AP39" s="1048">
        <f t="shared" ca="1" si="36"/>
        <v>52.118297002080091</v>
      </c>
      <c r="AQ39" s="1047">
        <f t="shared" ca="1" si="37"/>
        <v>758.51516210601903</v>
      </c>
      <c r="AR39" s="1049">
        <f t="shared" ca="1" si="38"/>
        <v>4331.7432805366916</v>
      </c>
      <c r="AT39" s="1046">
        <f t="shared" ca="1" si="13"/>
        <v>1299.5229841610078</v>
      </c>
      <c r="AU39" s="900">
        <f t="shared" ca="1" si="14"/>
        <v>0</v>
      </c>
      <c r="AW39" s="1046">
        <f t="shared" ca="1" si="15"/>
        <v>0</v>
      </c>
      <c r="AX39" s="1047">
        <f t="shared" ca="1" si="16"/>
        <v>0</v>
      </c>
      <c r="AY39" s="1049">
        <f t="shared" ca="1" si="39"/>
        <v>0</v>
      </c>
      <c r="BA39" s="1046">
        <f t="shared" ca="1" si="17"/>
        <v>300</v>
      </c>
      <c r="BB39" s="892">
        <f t="shared" ca="1" si="18"/>
        <v>50</v>
      </c>
      <c r="BC39" s="892">
        <f t="shared" ca="1" si="19"/>
        <v>463.33399999999989</v>
      </c>
      <c r="BD39" s="892">
        <f t="shared" ca="1" si="20"/>
        <v>163.43990000000005</v>
      </c>
      <c r="BE39" s="892">
        <f t="shared" ca="1" si="21"/>
        <v>1695.2546368421056</v>
      </c>
      <c r="BF39" s="892">
        <f t="shared" ca="1" si="22"/>
        <v>52.941176470588239</v>
      </c>
      <c r="BG39" s="900">
        <f t="shared" ca="1" si="40"/>
        <v>2724.9697133126938</v>
      </c>
      <c r="BI39" s="1046">
        <f t="shared" ca="1" si="41"/>
        <v>8356.2359780103943</v>
      </c>
      <c r="BJ39" s="187">
        <f t="shared" ca="1" si="42"/>
        <v>8899.39131658107</v>
      </c>
      <c r="BK39" s="893">
        <f t="shared" ca="1" si="43"/>
        <v>9141.6449066061323</v>
      </c>
      <c r="BM39" s="1052">
        <f ca="1">SUM(BK38:BK39)</f>
        <v>29399.884449214787</v>
      </c>
      <c r="BN39" s="1051">
        <f>SUM($AC38:$AC39)</f>
        <v>12</v>
      </c>
      <c r="BO39" s="1053">
        <v>480</v>
      </c>
      <c r="BP39" s="893">
        <f ca="1">BM39/BN39/BO39*1000</f>
        <v>5104.1466057664566</v>
      </c>
      <c r="BR39" s="1246">
        <f t="shared" si="44"/>
        <v>16</v>
      </c>
      <c r="BS39" s="152">
        <f t="shared" si="45"/>
        <v>2015</v>
      </c>
      <c r="BU39" s="1046">
        <f ca="1">SUM(AN38:AN39)</f>
        <v>1030.3366071428616</v>
      </c>
      <c r="BV39" s="1047">
        <f ca="1">SUM(AO38:AO39)</f>
        <v>10017.857142857163</v>
      </c>
      <c r="BW39" s="1048">
        <f ca="1">SUM(AP38:AP39)</f>
        <v>394.50133029040472</v>
      </c>
      <c r="BX39" s="1047">
        <f ca="1">SUM(AQ38:AQ39)</f>
        <v>2857.9019673312746</v>
      </c>
      <c r="BY39" s="1049">
        <f t="shared" ca="1" si="47"/>
        <v>14300.597047621703</v>
      </c>
      <c r="CA39" s="1046">
        <f ca="1">SUM(AT38:AT39)</f>
        <v>4290.1791142865122</v>
      </c>
      <c r="CB39" s="900">
        <f ca="1">SUM(AU38:AU39)</f>
        <v>108.29358201341732</v>
      </c>
      <c r="CD39" s="1046">
        <f ca="1">SUM(AW38:AW39)</f>
        <v>0</v>
      </c>
      <c r="CE39" s="1047">
        <f ca="1">SUM(AX38:AX39)</f>
        <v>0</v>
      </c>
      <c r="CF39" s="1049">
        <f t="shared" ca="1" si="48"/>
        <v>0</v>
      </c>
      <c r="CH39" s="1046">
        <f t="shared" ref="CH39:CM39" ca="1" si="69">SUM(BA38:BA39)</f>
        <v>900</v>
      </c>
      <c r="CI39" s="892">
        <f t="shared" ca="1" si="69"/>
        <v>150</v>
      </c>
      <c r="CJ39" s="892">
        <f t="shared" ca="1" si="69"/>
        <v>1390.002</v>
      </c>
      <c r="CK39" s="892">
        <f t="shared" ca="1" si="69"/>
        <v>490.31970000000013</v>
      </c>
      <c r="CL39" s="892">
        <f t="shared" ca="1" si="69"/>
        <v>5085.763910526317</v>
      </c>
      <c r="CM39" s="1047">
        <f t="shared" ca="1" si="69"/>
        <v>158.82352941176472</v>
      </c>
      <c r="CN39" s="1049">
        <f t="shared" ca="1" si="50"/>
        <v>8174.9091399380823</v>
      </c>
      <c r="CP39" s="1046">
        <f t="shared" ca="1" si="51"/>
        <v>26873.978883859716</v>
      </c>
      <c r="CQ39" s="187">
        <f t="shared" ca="1" si="52"/>
        <v>28620.787511310595</v>
      </c>
      <c r="CR39" s="893">
        <f t="shared" ca="1" si="53"/>
        <v>29399.884449214784</v>
      </c>
      <c r="CT39" s="1052">
        <f ca="1">SUM(CR38:CR39)</f>
        <v>29399.884449214784</v>
      </c>
      <c r="CU39" s="1051">
        <f>SUM($AC38:$AC39)</f>
        <v>12</v>
      </c>
      <c r="CV39" s="1082">
        <f>$BO39</f>
        <v>480</v>
      </c>
      <c r="CW39" s="893">
        <f ca="1">CT39/CU39/CV39*1000</f>
        <v>5104.1466057664557</v>
      </c>
    </row>
    <row r="40" spans="2:101">
      <c r="B40" s="678">
        <f t="shared" si="64"/>
        <v>17</v>
      </c>
      <c r="C40" s="399">
        <f t="shared" si="64"/>
        <v>2015</v>
      </c>
      <c r="E40" s="1046">
        <f t="shared" ca="1" si="0"/>
        <v>545.47232142857581</v>
      </c>
      <c r="F40" s="1047">
        <f t="shared" ca="1" si="1"/>
        <v>10017.857142857203</v>
      </c>
      <c r="G40" s="1048">
        <f t="shared" ca="1" si="2"/>
        <v>156.35489100624028</v>
      </c>
      <c r="H40" s="1047">
        <f t="shared" ca="1" si="3"/>
        <v>2275.5454863180571</v>
      </c>
      <c r="I40" s="1049">
        <f t="shared" ca="1" si="25"/>
        <v>12995.229841610075</v>
      </c>
      <c r="K40" s="1046">
        <f t="shared" ca="1" si="26"/>
        <v>3898.5689524830232</v>
      </c>
      <c r="L40" s="900">
        <f ca="1">-HLOOKUP($C40,CF_Table,CF!$AB$34)</f>
        <v>0</v>
      </c>
      <c r="N40" s="1046">
        <f t="shared" ca="1" si="4"/>
        <v>0</v>
      </c>
      <c r="O40" s="1047">
        <f t="shared" ca="1" si="5"/>
        <v>0</v>
      </c>
      <c r="P40" s="1049">
        <f t="shared" ca="1" si="27"/>
        <v>0</v>
      </c>
      <c r="R40" s="1046">
        <f t="shared" ca="1" si="6"/>
        <v>900</v>
      </c>
      <c r="S40" s="892">
        <f t="shared" ca="1" si="7"/>
        <v>150</v>
      </c>
      <c r="T40" s="892">
        <f t="shared" ca="1" si="8"/>
        <v>1390.0019999999997</v>
      </c>
      <c r="U40" s="892">
        <f t="shared" ca="1" si="9"/>
        <v>490.31970000000018</v>
      </c>
      <c r="V40" s="892">
        <f t="shared" ca="1" si="10"/>
        <v>5085.763910526317</v>
      </c>
      <c r="W40" s="892">
        <f t="shared" ca="1" si="11"/>
        <v>158.82352941176472</v>
      </c>
      <c r="X40" s="900">
        <f t="shared" ca="1" si="28"/>
        <v>8174.9091399380814</v>
      </c>
      <c r="Z40" s="1046">
        <f t="shared" ca="1" si="29"/>
        <v>25068.707934031179</v>
      </c>
      <c r="AA40" s="187">
        <f t="shared" ca="1" si="30"/>
        <v>26698.173949743206</v>
      </c>
      <c r="AB40" s="187">
        <f t="shared" ca="1" si="31"/>
        <v>27424.93471981839</v>
      </c>
      <c r="AC40" s="1050">
        <f t="shared" si="55"/>
        <v>8</v>
      </c>
      <c r="AD40" s="1051">
        <f ca="1">HLOOKUP($C40,CF_Table,CF!$AB$12)</f>
        <v>12</v>
      </c>
      <c r="AE40" s="187">
        <f t="shared" ca="1" si="12"/>
        <v>18283.289813212261</v>
      </c>
      <c r="AF40" s="779">
        <v>480</v>
      </c>
      <c r="AG40" s="893"/>
      <c r="AK40" s="1246">
        <f t="shared" si="32"/>
        <v>17</v>
      </c>
      <c r="AL40" s="152">
        <f t="shared" si="33"/>
        <v>2015</v>
      </c>
      <c r="AN40" s="1046">
        <f t="shared" ca="1" si="34"/>
        <v>363.64821428571719</v>
      </c>
      <c r="AO40" s="1047">
        <f t="shared" ca="1" si="35"/>
        <v>6678.5714285714685</v>
      </c>
      <c r="AP40" s="1048">
        <f t="shared" ca="1" si="36"/>
        <v>104.23659400416018</v>
      </c>
      <c r="AQ40" s="1047">
        <f t="shared" ca="1" si="37"/>
        <v>1517.0303242120381</v>
      </c>
      <c r="AR40" s="1049">
        <f t="shared" ca="1" si="38"/>
        <v>8663.4865610733832</v>
      </c>
      <c r="AT40" s="1046">
        <f t="shared" ca="1" si="13"/>
        <v>2599.0459683220156</v>
      </c>
      <c r="AU40" s="900">
        <f t="shared" ca="1" si="14"/>
        <v>0</v>
      </c>
      <c r="AW40" s="1046">
        <f t="shared" ca="1" si="15"/>
        <v>0</v>
      </c>
      <c r="AX40" s="1047">
        <f t="shared" ca="1" si="16"/>
        <v>0</v>
      </c>
      <c r="AY40" s="1049">
        <f t="shared" ca="1" si="39"/>
        <v>0</v>
      </c>
      <c r="BA40" s="1046">
        <f t="shared" ca="1" si="17"/>
        <v>600</v>
      </c>
      <c r="BB40" s="892">
        <f t="shared" ca="1" si="18"/>
        <v>100</v>
      </c>
      <c r="BC40" s="892">
        <f t="shared" ca="1" si="19"/>
        <v>926.66799999999978</v>
      </c>
      <c r="BD40" s="892">
        <f t="shared" ca="1" si="20"/>
        <v>326.8798000000001</v>
      </c>
      <c r="BE40" s="892">
        <f t="shared" ca="1" si="21"/>
        <v>3390.5092736842112</v>
      </c>
      <c r="BF40" s="892">
        <f t="shared" ca="1" si="22"/>
        <v>105.88235294117648</v>
      </c>
      <c r="BG40" s="900">
        <f t="shared" ca="1" si="40"/>
        <v>5449.9394266253876</v>
      </c>
      <c r="BI40" s="1046">
        <f t="shared" ca="1" si="41"/>
        <v>16712.471956020789</v>
      </c>
      <c r="BJ40" s="187">
        <f t="shared" ca="1" si="42"/>
        <v>17798.78263316214</v>
      </c>
      <c r="BK40" s="893">
        <f t="shared" ca="1" si="43"/>
        <v>18283.289813212265</v>
      </c>
      <c r="BM40" s="1052"/>
      <c r="BN40" s="1051"/>
      <c r="BO40" s="1053"/>
      <c r="BP40" s="893"/>
      <c r="BR40" s="1246">
        <f t="shared" si="44"/>
        <v>17</v>
      </c>
      <c r="BS40" s="152">
        <f t="shared" si="45"/>
        <v>2015</v>
      </c>
      <c r="BU40" s="1046"/>
      <c r="BV40" s="1047"/>
      <c r="BW40" s="1048"/>
      <c r="BX40" s="1047"/>
      <c r="BY40" s="1049"/>
      <c r="CA40" s="1046"/>
      <c r="CB40" s="900"/>
      <c r="CD40" s="1046"/>
      <c r="CE40" s="1047"/>
      <c r="CF40" s="1049"/>
      <c r="CH40" s="1046"/>
      <c r="CI40" s="892"/>
      <c r="CJ40" s="892"/>
      <c r="CK40" s="892"/>
      <c r="CL40" s="892"/>
      <c r="CM40" s="1047"/>
      <c r="CN40" s="1049"/>
      <c r="CP40" s="1046"/>
      <c r="CQ40" s="187"/>
      <c r="CR40" s="893"/>
      <c r="CT40" s="1052"/>
      <c r="CU40" s="1051"/>
      <c r="CV40" s="1082"/>
      <c r="CW40" s="893"/>
    </row>
    <row r="41" spans="2:101">
      <c r="B41" s="678">
        <f t="shared" si="64"/>
        <v>17</v>
      </c>
      <c r="C41" s="399">
        <f t="shared" si="64"/>
        <v>2016</v>
      </c>
      <c r="E41" s="1046">
        <f t="shared" ca="1" si="0"/>
        <v>0</v>
      </c>
      <c r="F41" s="1047">
        <f t="shared" ca="1" si="1"/>
        <v>0</v>
      </c>
      <c r="G41" s="1048">
        <f t="shared" ca="1" si="2"/>
        <v>0</v>
      </c>
      <c r="H41" s="1047">
        <f t="shared" ca="1" si="3"/>
        <v>0</v>
      </c>
      <c r="I41" s="1049">
        <f t="shared" ca="1" si="25"/>
        <v>0</v>
      </c>
      <c r="K41" s="1046">
        <f t="shared" ca="1" si="26"/>
        <v>0</v>
      </c>
      <c r="L41" s="900">
        <f ca="1">-HLOOKUP($C41,CF_Table,CF!$AB$34)</f>
        <v>0</v>
      </c>
      <c r="N41" s="1046">
        <f t="shared" ca="1" si="4"/>
        <v>0</v>
      </c>
      <c r="O41" s="1047">
        <f t="shared" ca="1" si="5"/>
        <v>0</v>
      </c>
      <c r="P41" s="1049">
        <f t="shared" ca="1" si="27"/>
        <v>0</v>
      </c>
      <c r="R41" s="1046">
        <f t="shared" ca="1" si="6"/>
        <v>900.00000000000011</v>
      </c>
      <c r="S41" s="892">
        <f t="shared" ca="1" si="7"/>
        <v>150</v>
      </c>
      <c r="T41" s="892">
        <f t="shared" ca="1" si="8"/>
        <v>1390.0019999999997</v>
      </c>
      <c r="U41" s="892">
        <f t="shared" ca="1" si="9"/>
        <v>490.31970000000018</v>
      </c>
      <c r="V41" s="892">
        <f t="shared" ca="1" si="10"/>
        <v>5085.763910526317</v>
      </c>
      <c r="W41" s="892">
        <f t="shared" ca="1" si="11"/>
        <v>158.82352941176472</v>
      </c>
      <c r="X41" s="900">
        <f t="shared" ca="1" si="28"/>
        <v>8174.9091399380814</v>
      </c>
      <c r="Z41" s="1046">
        <f t="shared" ca="1" si="29"/>
        <v>8174.9091399380814</v>
      </c>
      <c r="AA41" s="187">
        <f t="shared" ca="1" si="30"/>
        <v>8706.2782340340564</v>
      </c>
      <c r="AB41" s="187">
        <f t="shared" ca="1" si="31"/>
        <v>8943.2750221202423</v>
      </c>
      <c r="AC41" s="1050">
        <f t="shared" si="55"/>
        <v>4</v>
      </c>
      <c r="AD41" s="1051">
        <f ca="1">HLOOKUP($C41,CF_Table,CF!$AB$12)</f>
        <v>12</v>
      </c>
      <c r="AE41" s="187">
        <f t="shared" ca="1" si="12"/>
        <v>2981.0916740400808</v>
      </c>
      <c r="AF41" s="779">
        <v>480</v>
      </c>
      <c r="AG41" s="893">
        <f ca="1">SUM(AE40:AE41)/AF41/SUM(AC40:AC41)*1000</f>
        <v>3691.7328970924204</v>
      </c>
      <c r="AK41" s="1246">
        <f t="shared" si="32"/>
        <v>17</v>
      </c>
      <c r="AL41" s="152">
        <f t="shared" si="33"/>
        <v>2016</v>
      </c>
      <c r="AN41" s="1046">
        <f t="shared" ca="1" si="34"/>
        <v>0</v>
      </c>
      <c r="AO41" s="1047">
        <f t="shared" ca="1" si="35"/>
        <v>0</v>
      </c>
      <c r="AP41" s="1048">
        <f t="shared" ca="1" si="36"/>
        <v>0</v>
      </c>
      <c r="AQ41" s="1047">
        <f t="shared" ca="1" si="37"/>
        <v>0</v>
      </c>
      <c r="AR41" s="1049">
        <f t="shared" ca="1" si="38"/>
        <v>0</v>
      </c>
      <c r="AT41" s="1046">
        <f t="shared" ca="1" si="13"/>
        <v>0</v>
      </c>
      <c r="AU41" s="900">
        <f t="shared" ca="1" si="14"/>
        <v>0</v>
      </c>
      <c r="AW41" s="1046">
        <f t="shared" ca="1" si="15"/>
        <v>0</v>
      </c>
      <c r="AX41" s="1047">
        <f t="shared" ca="1" si="16"/>
        <v>0</v>
      </c>
      <c r="AY41" s="1049">
        <f t="shared" ca="1" si="39"/>
        <v>0</v>
      </c>
      <c r="BA41" s="1046">
        <f t="shared" ca="1" si="17"/>
        <v>300.00000000000006</v>
      </c>
      <c r="BB41" s="892">
        <f t="shared" ca="1" si="18"/>
        <v>50</v>
      </c>
      <c r="BC41" s="892">
        <f t="shared" ca="1" si="19"/>
        <v>463.33399999999989</v>
      </c>
      <c r="BD41" s="892">
        <f t="shared" ca="1" si="20"/>
        <v>163.43990000000005</v>
      </c>
      <c r="BE41" s="892">
        <f t="shared" ca="1" si="21"/>
        <v>1695.2546368421056</v>
      </c>
      <c r="BF41" s="892">
        <f t="shared" ca="1" si="22"/>
        <v>52.941176470588239</v>
      </c>
      <c r="BG41" s="900">
        <f t="shared" ca="1" si="40"/>
        <v>2724.9697133126938</v>
      </c>
      <c r="BI41" s="1046">
        <f t="shared" ca="1" si="41"/>
        <v>2724.9697133126938</v>
      </c>
      <c r="BJ41" s="187">
        <f t="shared" ca="1" si="42"/>
        <v>2902.0927446780188</v>
      </c>
      <c r="BK41" s="893">
        <f t="shared" ca="1" si="43"/>
        <v>2981.0916740400808</v>
      </c>
      <c r="BM41" s="1052">
        <f ca="1">SUM(BK40:BK41)</f>
        <v>21264.381487252344</v>
      </c>
      <c r="BN41" s="1051">
        <f>SUM($AC40:$AC41)</f>
        <v>12</v>
      </c>
      <c r="BO41" s="1053">
        <v>480</v>
      </c>
      <c r="BP41" s="893">
        <f ca="1">BM41/BN41/BO41*1000</f>
        <v>3691.7328970924209</v>
      </c>
      <c r="BR41" s="1246">
        <f t="shared" si="44"/>
        <v>17</v>
      </c>
      <c r="BS41" s="152">
        <f t="shared" si="45"/>
        <v>2016</v>
      </c>
      <c r="BU41" s="1046">
        <f ca="1">SUM(AN40:AN41)</f>
        <v>363.64821428571719</v>
      </c>
      <c r="BV41" s="1047">
        <f ca="1">SUM(AO40:AO41)</f>
        <v>6678.5714285714685</v>
      </c>
      <c r="BW41" s="1048">
        <f ca="1">SUM(AP40:AP41)</f>
        <v>104.23659400416018</v>
      </c>
      <c r="BX41" s="1047">
        <f ca="1">SUM(AQ40:AQ41)</f>
        <v>1517.0303242120381</v>
      </c>
      <c r="BY41" s="1049">
        <f t="shared" ca="1" si="47"/>
        <v>8663.4865610733832</v>
      </c>
      <c r="CA41" s="1046">
        <f ca="1">SUM(AT40:AT41)</f>
        <v>2599.0459683220156</v>
      </c>
      <c r="CB41" s="900">
        <f ca="1">SUM(AU40:AU41)</f>
        <v>0</v>
      </c>
      <c r="CD41" s="1046">
        <f ca="1">SUM(AW40:AW41)</f>
        <v>0</v>
      </c>
      <c r="CE41" s="1047">
        <f ca="1">SUM(AX40:AX41)</f>
        <v>0</v>
      </c>
      <c r="CF41" s="1049">
        <f t="shared" ca="1" si="48"/>
        <v>0</v>
      </c>
      <c r="CH41" s="1046">
        <f t="shared" ref="CH41:CM41" ca="1" si="70">SUM(BA40:BA41)</f>
        <v>900</v>
      </c>
      <c r="CI41" s="892">
        <f t="shared" ca="1" si="70"/>
        <v>150</v>
      </c>
      <c r="CJ41" s="892">
        <f t="shared" ca="1" si="70"/>
        <v>1390.0019999999997</v>
      </c>
      <c r="CK41" s="892">
        <f t="shared" ca="1" si="70"/>
        <v>490.31970000000013</v>
      </c>
      <c r="CL41" s="892">
        <f t="shared" ca="1" si="70"/>
        <v>5085.763910526317</v>
      </c>
      <c r="CM41" s="1047">
        <f t="shared" ca="1" si="70"/>
        <v>158.82352941176472</v>
      </c>
      <c r="CN41" s="1049">
        <f t="shared" ca="1" si="50"/>
        <v>8174.9091399380814</v>
      </c>
      <c r="CP41" s="1046">
        <f t="shared" ca="1" si="51"/>
        <v>19437.441669333479</v>
      </c>
      <c r="CQ41" s="187">
        <f t="shared" ca="1" si="52"/>
        <v>20700.875377840155</v>
      </c>
      <c r="CR41" s="893">
        <f t="shared" ca="1" si="53"/>
        <v>21264.38148725234</v>
      </c>
      <c r="CT41" s="1052">
        <f ca="1">SUM(CR40:CR41)</f>
        <v>21264.38148725234</v>
      </c>
      <c r="CU41" s="1051">
        <f>SUM($AC40:$AC41)</f>
        <v>12</v>
      </c>
      <c r="CV41" s="1082">
        <f>$BO41</f>
        <v>480</v>
      </c>
      <c r="CW41" s="893">
        <f ca="1">CT41/CU41/CV41*1000</f>
        <v>3691.7328970924204</v>
      </c>
    </row>
    <row r="42" spans="2:101">
      <c r="B42" s="678">
        <f t="shared" si="64"/>
        <v>18</v>
      </c>
      <c r="C42" s="399">
        <f t="shared" si="64"/>
        <v>2016</v>
      </c>
      <c r="E42" s="1046">
        <f t="shared" ca="1" si="0"/>
        <v>0</v>
      </c>
      <c r="F42" s="1047">
        <f t="shared" ca="1" si="1"/>
        <v>0</v>
      </c>
      <c r="G42" s="1048">
        <f t="shared" ca="1" si="2"/>
        <v>0</v>
      </c>
      <c r="H42" s="1047">
        <f t="shared" ca="1" si="3"/>
        <v>0</v>
      </c>
      <c r="I42" s="1049">
        <f t="shared" ca="1" si="25"/>
        <v>0</v>
      </c>
      <c r="K42" s="1046">
        <f t="shared" ca="1" si="26"/>
        <v>0</v>
      </c>
      <c r="L42" s="900">
        <f ca="1">-HLOOKUP($C42,CF_Table,CF!$AB$34)</f>
        <v>0</v>
      </c>
      <c r="N42" s="1046">
        <f t="shared" ca="1" si="4"/>
        <v>0</v>
      </c>
      <c r="O42" s="1047">
        <f t="shared" ca="1" si="5"/>
        <v>0</v>
      </c>
      <c r="P42" s="1049">
        <f t="shared" ca="1" si="27"/>
        <v>0</v>
      </c>
      <c r="R42" s="1046">
        <f t="shared" ca="1" si="6"/>
        <v>900.00000000000011</v>
      </c>
      <c r="S42" s="892">
        <f t="shared" ca="1" si="7"/>
        <v>150</v>
      </c>
      <c r="T42" s="892">
        <f t="shared" ca="1" si="8"/>
        <v>1390.0019999999997</v>
      </c>
      <c r="U42" s="892">
        <f t="shared" ca="1" si="9"/>
        <v>490.31970000000018</v>
      </c>
      <c r="V42" s="892">
        <f t="shared" ca="1" si="10"/>
        <v>5085.763910526317</v>
      </c>
      <c r="W42" s="892">
        <f t="shared" ca="1" si="11"/>
        <v>158.82352941176472</v>
      </c>
      <c r="X42" s="900">
        <f t="shared" ca="1" si="28"/>
        <v>8174.9091399380814</v>
      </c>
      <c r="Z42" s="1046">
        <f t="shared" ca="1" si="29"/>
        <v>8174.9091399380814</v>
      </c>
      <c r="AA42" s="187">
        <f t="shared" ca="1" si="30"/>
        <v>8706.2782340340564</v>
      </c>
      <c r="AB42" s="187">
        <f t="shared" ca="1" si="31"/>
        <v>8943.2750221202423</v>
      </c>
      <c r="AC42" s="1050">
        <f t="shared" si="55"/>
        <v>8</v>
      </c>
      <c r="AD42" s="1051">
        <f ca="1">HLOOKUP($C42,CF_Table,CF!$AB$12)</f>
        <v>12</v>
      </c>
      <c r="AE42" s="187">
        <f t="shared" ca="1" si="12"/>
        <v>5962.1833480801615</v>
      </c>
      <c r="AF42" s="779">
        <v>480</v>
      </c>
      <c r="AG42" s="893"/>
      <c r="AK42" s="1246">
        <f t="shared" si="32"/>
        <v>18</v>
      </c>
      <c r="AL42" s="152">
        <f t="shared" si="33"/>
        <v>2016</v>
      </c>
      <c r="AN42" s="1046">
        <f t="shared" ca="1" si="34"/>
        <v>0</v>
      </c>
      <c r="AO42" s="1047">
        <f t="shared" ca="1" si="35"/>
        <v>0</v>
      </c>
      <c r="AP42" s="1048">
        <f t="shared" ca="1" si="36"/>
        <v>0</v>
      </c>
      <c r="AQ42" s="1047">
        <f t="shared" ca="1" si="37"/>
        <v>0</v>
      </c>
      <c r="AR42" s="1049">
        <f t="shared" ca="1" si="38"/>
        <v>0</v>
      </c>
      <c r="AT42" s="1046">
        <f t="shared" ca="1" si="13"/>
        <v>0</v>
      </c>
      <c r="AU42" s="900">
        <f t="shared" ca="1" si="14"/>
        <v>0</v>
      </c>
      <c r="AW42" s="1046">
        <f t="shared" ca="1" si="15"/>
        <v>0</v>
      </c>
      <c r="AX42" s="1047">
        <f t="shared" ca="1" si="16"/>
        <v>0</v>
      </c>
      <c r="AY42" s="1049">
        <f t="shared" ca="1" si="39"/>
        <v>0</v>
      </c>
      <c r="BA42" s="1046">
        <f t="shared" ca="1" si="17"/>
        <v>600.00000000000011</v>
      </c>
      <c r="BB42" s="892">
        <f t="shared" ca="1" si="18"/>
        <v>100</v>
      </c>
      <c r="BC42" s="892">
        <f t="shared" ca="1" si="19"/>
        <v>926.66799999999978</v>
      </c>
      <c r="BD42" s="892">
        <f t="shared" ca="1" si="20"/>
        <v>326.8798000000001</v>
      </c>
      <c r="BE42" s="892">
        <f t="shared" ca="1" si="21"/>
        <v>3390.5092736842112</v>
      </c>
      <c r="BF42" s="892">
        <f t="shared" ca="1" si="22"/>
        <v>105.88235294117648</v>
      </c>
      <c r="BG42" s="900">
        <f t="shared" ca="1" si="40"/>
        <v>5449.9394266253876</v>
      </c>
      <c r="BI42" s="1046">
        <f t="shared" ca="1" si="41"/>
        <v>5449.9394266253876</v>
      </c>
      <c r="BJ42" s="187">
        <f t="shared" ca="1" si="42"/>
        <v>5804.1854893560376</v>
      </c>
      <c r="BK42" s="893">
        <f t="shared" ca="1" si="43"/>
        <v>5962.1833480801615</v>
      </c>
      <c r="BM42" s="1052"/>
      <c r="BN42" s="1051"/>
      <c r="BO42" s="1053"/>
      <c r="BP42" s="893"/>
      <c r="BR42" s="1246">
        <f t="shared" si="44"/>
        <v>18</v>
      </c>
      <c r="BS42" s="152">
        <f t="shared" si="45"/>
        <v>2016</v>
      </c>
      <c r="BU42" s="1046"/>
      <c r="BV42" s="1047"/>
      <c r="BW42" s="1048"/>
      <c r="BX42" s="1047"/>
      <c r="BY42" s="1049"/>
      <c r="CA42" s="1046"/>
      <c r="CB42" s="900"/>
      <c r="CD42" s="1046"/>
      <c r="CE42" s="1047"/>
      <c r="CF42" s="1049"/>
      <c r="CH42" s="1046"/>
      <c r="CI42" s="892"/>
      <c r="CJ42" s="892"/>
      <c r="CK42" s="892"/>
      <c r="CL42" s="892"/>
      <c r="CM42" s="1047"/>
      <c r="CN42" s="1049"/>
      <c r="CP42" s="1046"/>
      <c r="CQ42" s="187"/>
      <c r="CR42" s="893"/>
      <c r="CT42" s="1052"/>
      <c r="CU42" s="1051"/>
      <c r="CV42" s="1082"/>
      <c r="CW42" s="893"/>
    </row>
    <row r="43" spans="2:101">
      <c r="B43" s="678">
        <f t="shared" si="64"/>
        <v>18</v>
      </c>
      <c r="C43" s="399">
        <f t="shared" si="64"/>
        <v>2017</v>
      </c>
      <c r="E43" s="1046">
        <f t="shared" ca="1" si="0"/>
        <v>0</v>
      </c>
      <c r="F43" s="1047">
        <f t="shared" ca="1" si="1"/>
        <v>0</v>
      </c>
      <c r="G43" s="1048">
        <f t="shared" ca="1" si="2"/>
        <v>0</v>
      </c>
      <c r="H43" s="1047">
        <f t="shared" ca="1" si="3"/>
        <v>0</v>
      </c>
      <c r="I43" s="1049">
        <f t="shared" ca="1" si="25"/>
        <v>0</v>
      </c>
      <c r="K43" s="1046">
        <f t="shared" ca="1" si="26"/>
        <v>0</v>
      </c>
      <c r="L43" s="900">
        <f ca="1">-HLOOKUP($C43,CF_Table,CF!$AB$34)</f>
        <v>0</v>
      </c>
      <c r="N43" s="1046">
        <f t="shared" ca="1" si="4"/>
        <v>0</v>
      </c>
      <c r="O43" s="1047">
        <f t="shared" ca="1" si="5"/>
        <v>0</v>
      </c>
      <c r="P43" s="1049">
        <f t="shared" ca="1" si="27"/>
        <v>0</v>
      </c>
      <c r="R43" s="1046">
        <f t="shared" ca="1" si="6"/>
        <v>900</v>
      </c>
      <c r="S43" s="892">
        <f t="shared" ca="1" si="7"/>
        <v>150</v>
      </c>
      <c r="T43" s="892">
        <f t="shared" ca="1" si="8"/>
        <v>1390.0019999999997</v>
      </c>
      <c r="U43" s="892">
        <f t="shared" ca="1" si="9"/>
        <v>490.31970000000018</v>
      </c>
      <c r="V43" s="892">
        <f t="shared" ca="1" si="10"/>
        <v>5085.763910526317</v>
      </c>
      <c r="W43" s="892">
        <f t="shared" ca="1" si="11"/>
        <v>158.82352941176472</v>
      </c>
      <c r="X43" s="900">
        <f t="shared" ca="1" si="28"/>
        <v>8174.9091399380814</v>
      </c>
      <c r="Z43" s="1046">
        <f t="shared" ca="1" si="29"/>
        <v>8174.9091399380814</v>
      </c>
      <c r="AA43" s="187">
        <f t="shared" ca="1" si="30"/>
        <v>8706.2782340340564</v>
      </c>
      <c r="AB43" s="187">
        <f t="shared" ca="1" si="31"/>
        <v>8943.2750221202423</v>
      </c>
      <c r="AC43" s="1050">
        <f t="shared" si="55"/>
        <v>4</v>
      </c>
      <c r="AD43" s="1051">
        <f ca="1">HLOOKUP($C43,CF_Table,CF!$AB$12)</f>
        <v>12</v>
      </c>
      <c r="AE43" s="187">
        <f t="shared" ca="1" si="12"/>
        <v>2981.0916740400808</v>
      </c>
      <c r="AF43" s="779">
        <v>480</v>
      </c>
      <c r="AG43" s="893">
        <f ca="1">SUM(AE42:AE43)/AF43/SUM(AC42:AC43)*1000</f>
        <v>1552.6519135625422</v>
      </c>
      <c r="AK43" s="1246">
        <f t="shared" si="32"/>
        <v>18</v>
      </c>
      <c r="AL43" s="152">
        <f t="shared" si="33"/>
        <v>2017</v>
      </c>
      <c r="AN43" s="1046">
        <f t="shared" ca="1" si="34"/>
        <v>0</v>
      </c>
      <c r="AO43" s="1047">
        <f t="shared" ca="1" si="35"/>
        <v>0</v>
      </c>
      <c r="AP43" s="1048">
        <f t="shared" ca="1" si="36"/>
        <v>0</v>
      </c>
      <c r="AQ43" s="1047">
        <f t="shared" ca="1" si="37"/>
        <v>0</v>
      </c>
      <c r="AR43" s="1049">
        <f t="shared" ca="1" si="38"/>
        <v>0</v>
      </c>
      <c r="AT43" s="1046">
        <f t="shared" ca="1" si="13"/>
        <v>0</v>
      </c>
      <c r="AU43" s="900">
        <f t="shared" ca="1" si="14"/>
        <v>0</v>
      </c>
      <c r="AW43" s="1046">
        <f t="shared" ca="1" si="15"/>
        <v>0</v>
      </c>
      <c r="AX43" s="1047">
        <f t="shared" ca="1" si="16"/>
        <v>0</v>
      </c>
      <c r="AY43" s="1049">
        <f t="shared" ca="1" si="39"/>
        <v>0</v>
      </c>
      <c r="BA43" s="1046">
        <f t="shared" ca="1" si="17"/>
        <v>300</v>
      </c>
      <c r="BB43" s="892">
        <f t="shared" ca="1" si="18"/>
        <v>50</v>
      </c>
      <c r="BC43" s="892">
        <f t="shared" ca="1" si="19"/>
        <v>463.33399999999989</v>
      </c>
      <c r="BD43" s="892">
        <f t="shared" ca="1" si="20"/>
        <v>163.43990000000005</v>
      </c>
      <c r="BE43" s="892">
        <f t="shared" ca="1" si="21"/>
        <v>1695.2546368421056</v>
      </c>
      <c r="BF43" s="892">
        <f t="shared" ca="1" si="22"/>
        <v>52.941176470588239</v>
      </c>
      <c r="BG43" s="900">
        <f t="shared" ca="1" si="40"/>
        <v>2724.9697133126938</v>
      </c>
      <c r="BI43" s="1046">
        <f t="shared" ca="1" si="41"/>
        <v>2724.9697133126938</v>
      </c>
      <c r="BJ43" s="187">
        <f t="shared" ca="1" si="42"/>
        <v>2902.0927446780188</v>
      </c>
      <c r="BK43" s="893">
        <f t="shared" ca="1" si="43"/>
        <v>2981.0916740400808</v>
      </c>
      <c r="BM43" s="1052">
        <f ca="1">SUM(BK42:BK43)</f>
        <v>8943.2750221202423</v>
      </c>
      <c r="BN43" s="1051">
        <f>SUM($AC42:$AC43)</f>
        <v>12</v>
      </c>
      <c r="BO43" s="1053">
        <v>480</v>
      </c>
      <c r="BP43" s="893">
        <f ca="1">BM43/BN43/BO43*1000</f>
        <v>1552.6519135625422</v>
      </c>
      <c r="BR43" s="1246">
        <f t="shared" si="44"/>
        <v>18</v>
      </c>
      <c r="BS43" s="152">
        <f t="shared" si="45"/>
        <v>2017</v>
      </c>
      <c r="BU43" s="1046">
        <f ca="1">SUM(AN42:AN43)</f>
        <v>0</v>
      </c>
      <c r="BV43" s="1047">
        <f ca="1">SUM(AO42:AO43)</f>
        <v>0</v>
      </c>
      <c r="BW43" s="1048">
        <f ca="1">SUM(AP42:AP43)</f>
        <v>0</v>
      </c>
      <c r="BX43" s="1047">
        <f ca="1">SUM(AQ42:AQ43)</f>
        <v>0</v>
      </c>
      <c r="BY43" s="1049">
        <f t="shared" ca="1" si="47"/>
        <v>0</v>
      </c>
      <c r="CA43" s="1046">
        <f ca="1">SUM(AT42:AT43)</f>
        <v>0</v>
      </c>
      <c r="CB43" s="900">
        <f ca="1">SUM(AU42:AU43)</f>
        <v>0</v>
      </c>
      <c r="CD43" s="1046">
        <f ca="1">SUM(AW42:AW43)</f>
        <v>0</v>
      </c>
      <c r="CE43" s="1047">
        <f ca="1">SUM(AX42:AX43)</f>
        <v>0</v>
      </c>
      <c r="CF43" s="1049">
        <f t="shared" ca="1" si="48"/>
        <v>0</v>
      </c>
      <c r="CH43" s="1046">
        <f t="shared" ref="CH43:CM43" ca="1" si="71">SUM(BA42:BA43)</f>
        <v>900.00000000000011</v>
      </c>
      <c r="CI43" s="892">
        <f t="shared" ca="1" si="71"/>
        <v>150</v>
      </c>
      <c r="CJ43" s="892">
        <f t="shared" ca="1" si="71"/>
        <v>1390.0019999999997</v>
      </c>
      <c r="CK43" s="892">
        <f t="shared" ca="1" si="71"/>
        <v>490.31970000000013</v>
      </c>
      <c r="CL43" s="892">
        <f t="shared" ca="1" si="71"/>
        <v>5085.763910526317</v>
      </c>
      <c r="CM43" s="1047">
        <f t="shared" ca="1" si="71"/>
        <v>158.82352941176472</v>
      </c>
      <c r="CN43" s="1049">
        <f t="shared" ca="1" si="50"/>
        <v>8174.9091399380814</v>
      </c>
      <c r="CP43" s="1046">
        <f t="shared" ca="1" si="51"/>
        <v>8174.9091399380814</v>
      </c>
      <c r="CQ43" s="187">
        <f t="shared" ca="1" si="52"/>
        <v>8706.2782340340564</v>
      </c>
      <c r="CR43" s="893">
        <f t="shared" ca="1" si="53"/>
        <v>8943.2750221202423</v>
      </c>
      <c r="CT43" s="1052">
        <f ca="1">SUM(CR42:CR43)</f>
        <v>8943.2750221202423</v>
      </c>
      <c r="CU43" s="1051">
        <f>SUM($AC42:$AC43)</f>
        <v>12</v>
      </c>
      <c r="CV43" s="1082">
        <f>$BO43</f>
        <v>480</v>
      </c>
      <c r="CW43" s="893">
        <f ca="1">CT43/CU43/CV43*1000</f>
        <v>1552.6519135625422</v>
      </c>
    </row>
    <row r="44" spans="2:101">
      <c r="B44" s="678">
        <f t="shared" si="64"/>
        <v>19</v>
      </c>
      <c r="C44" s="399">
        <f t="shared" si="64"/>
        <v>2017</v>
      </c>
      <c r="E44" s="1046">
        <f t="shared" ca="1" si="0"/>
        <v>0</v>
      </c>
      <c r="F44" s="1047">
        <f t="shared" ca="1" si="1"/>
        <v>0</v>
      </c>
      <c r="G44" s="1048">
        <f t="shared" ca="1" si="2"/>
        <v>0</v>
      </c>
      <c r="H44" s="1047">
        <f t="shared" ca="1" si="3"/>
        <v>0</v>
      </c>
      <c r="I44" s="1049">
        <f t="shared" ca="1" si="25"/>
        <v>0</v>
      </c>
      <c r="K44" s="1046">
        <f t="shared" ca="1" si="26"/>
        <v>0</v>
      </c>
      <c r="L44" s="900">
        <f ca="1">-HLOOKUP($C44,CF_Table,CF!$AB$34)</f>
        <v>0</v>
      </c>
      <c r="N44" s="1046">
        <f t="shared" ca="1" si="4"/>
        <v>0</v>
      </c>
      <c r="O44" s="1047">
        <f t="shared" ca="1" si="5"/>
        <v>0</v>
      </c>
      <c r="P44" s="1049">
        <f t="shared" ca="1" si="27"/>
        <v>0</v>
      </c>
      <c r="R44" s="1046">
        <f t="shared" ca="1" si="6"/>
        <v>900</v>
      </c>
      <c r="S44" s="892">
        <f t="shared" ca="1" si="7"/>
        <v>150</v>
      </c>
      <c r="T44" s="892">
        <f t="shared" ca="1" si="8"/>
        <v>1390.0019999999997</v>
      </c>
      <c r="U44" s="892">
        <f t="shared" ca="1" si="9"/>
        <v>490.31970000000018</v>
      </c>
      <c r="V44" s="892">
        <f t="shared" ca="1" si="10"/>
        <v>5085.763910526317</v>
      </c>
      <c r="W44" s="892">
        <f t="shared" ca="1" si="11"/>
        <v>158.82352941176472</v>
      </c>
      <c r="X44" s="900">
        <f t="shared" ca="1" si="28"/>
        <v>8174.9091399380814</v>
      </c>
      <c r="Z44" s="1046">
        <f t="shared" ca="1" si="29"/>
        <v>8174.9091399380814</v>
      </c>
      <c r="AA44" s="187">
        <f t="shared" ca="1" si="30"/>
        <v>8706.2782340340564</v>
      </c>
      <c r="AB44" s="187">
        <f t="shared" ca="1" si="31"/>
        <v>8943.2750221202423</v>
      </c>
      <c r="AC44" s="1050">
        <f t="shared" si="55"/>
        <v>8</v>
      </c>
      <c r="AD44" s="1051">
        <f ca="1">HLOOKUP($C44,CF_Table,CF!$AB$12)</f>
        <v>12</v>
      </c>
      <c r="AE44" s="187">
        <f t="shared" ca="1" si="12"/>
        <v>5962.1833480801615</v>
      </c>
      <c r="AF44" s="779">
        <v>480</v>
      </c>
      <c r="AG44" s="893"/>
      <c r="AK44" s="1246">
        <f t="shared" si="32"/>
        <v>19</v>
      </c>
      <c r="AL44" s="152">
        <f t="shared" si="33"/>
        <v>2017</v>
      </c>
      <c r="AN44" s="1046">
        <f t="shared" ca="1" si="34"/>
        <v>0</v>
      </c>
      <c r="AO44" s="1047">
        <f t="shared" ca="1" si="35"/>
        <v>0</v>
      </c>
      <c r="AP44" s="1048">
        <f t="shared" ca="1" si="36"/>
        <v>0</v>
      </c>
      <c r="AQ44" s="1047">
        <f t="shared" ca="1" si="37"/>
        <v>0</v>
      </c>
      <c r="AR44" s="1049">
        <f t="shared" ca="1" si="38"/>
        <v>0</v>
      </c>
      <c r="AT44" s="1046">
        <f t="shared" ca="1" si="13"/>
        <v>0</v>
      </c>
      <c r="AU44" s="900">
        <f t="shared" ca="1" si="14"/>
        <v>0</v>
      </c>
      <c r="AW44" s="1046">
        <f t="shared" ca="1" si="15"/>
        <v>0</v>
      </c>
      <c r="AX44" s="1047">
        <f t="shared" ca="1" si="16"/>
        <v>0</v>
      </c>
      <c r="AY44" s="1049">
        <f t="shared" ca="1" si="39"/>
        <v>0</v>
      </c>
      <c r="BA44" s="1046">
        <f t="shared" ca="1" si="17"/>
        <v>600</v>
      </c>
      <c r="BB44" s="892">
        <f t="shared" ca="1" si="18"/>
        <v>100</v>
      </c>
      <c r="BC44" s="892">
        <f t="shared" ca="1" si="19"/>
        <v>926.66799999999978</v>
      </c>
      <c r="BD44" s="892">
        <f t="shared" ca="1" si="20"/>
        <v>326.8798000000001</v>
      </c>
      <c r="BE44" s="892">
        <f t="shared" ca="1" si="21"/>
        <v>3390.5092736842112</v>
      </c>
      <c r="BF44" s="892">
        <f t="shared" ca="1" si="22"/>
        <v>105.88235294117648</v>
      </c>
      <c r="BG44" s="900">
        <f t="shared" ca="1" si="40"/>
        <v>5449.9394266253876</v>
      </c>
      <c r="BI44" s="1046">
        <f t="shared" ca="1" si="41"/>
        <v>5449.9394266253876</v>
      </c>
      <c r="BJ44" s="187">
        <f t="shared" ca="1" si="42"/>
        <v>5804.1854893560376</v>
      </c>
      <c r="BK44" s="893">
        <f t="shared" ca="1" si="43"/>
        <v>5962.1833480801615</v>
      </c>
      <c r="BM44" s="1052"/>
      <c r="BN44" s="1051"/>
      <c r="BO44" s="1053"/>
      <c r="BP44" s="893"/>
      <c r="BR44" s="1246">
        <f t="shared" si="44"/>
        <v>19</v>
      </c>
      <c r="BS44" s="152">
        <f t="shared" si="45"/>
        <v>2017</v>
      </c>
      <c r="BU44" s="1046"/>
      <c r="BV44" s="1047"/>
      <c r="BW44" s="1048"/>
      <c r="BX44" s="1047"/>
      <c r="BY44" s="1049"/>
      <c r="CA44" s="1046"/>
      <c r="CB44" s="900"/>
      <c r="CD44" s="1046"/>
      <c r="CE44" s="1047"/>
      <c r="CF44" s="1049"/>
      <c r="CH44" s="1046"/>
      <c r="CI44" s="892"/>
      <c r="CJ44" s="892"/>
      <c r="CK44" s="892"/>
      <c r="CL44" s="892"/>
      <c r="CM44" s="1047"/>
      <c r="CN44" s="1049"/>
      <c r="CP44" s="1046"/>
      <c r="CQ44" s="187"/>
      <c r="CR44" s="893"/>
      <c r="CT44" s="1052"/>
      <c r="CU44" s="1051"/>
      <c r="CV44" s="1082"/>
      <c r="CW44" s="893"/>
    </row>
    <row r="45" spans="2:101">
      <c r="B45" s="678">
        <f t="shared" si="64"/>
        <v>19</v>
      </c>
      <c r="C45" s="399">
        <f t="shared" si="64"/>
        <v>2018</v>
      </c>
      <c r="E45" s="1046">
        <f t="shared" ca="1" si="0"/>
        <v>0</v>
      </c>
      <c r="F45" s="1047">
        <f t="shared" ca="1" si="1"/>
        <v>0</v>
      </c>
      <c r="G45" s="1048">
        <f t="shared" ca="1" si="2"/>
        <v>0</v>
      </c>
      <c r="H45" s="1047">
        <f t="shared" ca="1" si="3"/>
        <v>0</v>
      </c>
      <c r="I45" s="1049">
        <f t="shared" ca="1" si="25"/>
        <v>0</v>
      </c>
      <c r="K45" s="1046">
        <f t="shared" ca="1" si="26"/>
        <v>0</v>
      </c>
      <c r="L45" s="900">
        <f ca="1">-HLOOKUP($C45,CF_Table,CF!$AB$34)</f>
        <v>0</v>
      </c>
      <c r="N45" s="1046">
        <f t="shared" ca="1" si="4"/>
        <v>0</v>
      </c>
      <c r="O45" s="1047">
        <f t="shared" ca="1" si="5"/>
        <v>0</v>
      </c>
      <c r="P45" s="1049">
        <f t="shared" ca="1" si="27"/>
        <v>0</v>
      </c>
      <c r="R45" s="1046">
        <f t="shared" ca="1" si="6"/>
        <v>899.99999999999989</v>
      </c>
      <c r="S45" s="892">
        <f t="shared" ca="1" si="7"/>
        <v>150</v>
      </c>
      <c r="T45" s="892">
        <f t="shared" ca="1" si="8"/>
        <v>1390.0019999999997</v>
      </c>
      <c r="U45" s="892">
        <f t="shared" ca="1" si="9"/>
        <v>490.31970000000013</v>
      </c>
      <c r="V45" s="892">
        <f t="shared" ca="1" si="10"/>
        <v>191.99587</v>
      </c>
      <c r="W45" s="892">
        <f t="shared" ca="1" si="11"/>
        <v>158.8235294117647</v>
      </c>
      <c r="X45" s="900">
        <f t="shared" ca="1" si="28"/>
        <v>3281.1410994117646</v>
      </c>
      <c r="Z45" s="1046">
        <f t="shared" ca="1" si="29"/>
        <v>3281.1410994117646</v>
      </c>
      <c r="AA45" s="187">
        <f t="shared" ca="1" si="30"/>
        <v>3494.4152708735292</v>
      </c>
      <c r="AB45" s="187">
        <f t="shared" ca="1" si="31"/>
        <v>3589.5380286322843</v>
      </c>
      <c r="AC45" s="1050">
        <f t="shared" si="55"/>
        <v>4</v>
      </c>
      <c r="AD45" s="1051">
        <f ca="1">HLOOKUP($C45,CF_Table,CF!$AB$12)</f>
        <v>12</v>
      </c>
      <c r="AE45" s="187">
        <f t="shared" ca="1" si="12"/>
        <v>1196.5126762107614</v>
      </c>
      <c r="AF45" s="779">
        <v>480</v>
      </c>
      <c r="AG45" s="893">
        <f ca="1">SUM(AE44:AE45)/AF45/SUM(AC44:AC45)*1000</f>
        <v>1242.8291708838406</v>
      </c>
      <c r="AK45" s="1246">
        <f t="shared" si="32"/>
        <v>19</v>
      </c>
      <c r="AL45" s="152">
        <f t="shared" si="33"/>
        <v>2018</v>
      </c>
      <c r="AN45" s="1046">
        <f t="shared" ca="1" si="34"/>
        <v>0</v>
      </c>
      <c r="AO45" s="1047">
        <f t="shared" ca="1" si="35"/>
        <v>0</v>
      </c>
      <c r="AP45" s="1048">
        <f t="shared" ca="1" si="36"/>
        <v>0</v>
      </c>
      <c r="AQ45" s="1047">
        <f t="shared" ca="1" si="37"/>
        <v>0</v>
      </c>
      <c r="AR45" s="1049">
        <f t="shared" ca="1" si="38"/>
        <v>0</v>
      </c>
      <c r="AT45" s="1046">
        <f t="shared" ca="1" si="13"/>
        <v>0</v>
      </c>
      <c r="AU45" s="900">
        <f t="shared" ca="1" si="14"/>
        <v>0</v>
      </c>
      <c r="AW45" s="1046">
        <f t="shared" ca="1" si="15"/>
        <v>0</v>
      </c>
      <c r="AX45" s="1047">
        <f t="shared" ca="1" si="16"/>
        <v>0</v>
      </c>
      <c r="AY45" s="1049">
        <f t="shared" ca="1" si="39"/>
        <v>0</v>
      </c>
      <c r="BA45" s="1046">
        <f t="shared" ca="1" si="17"/>
        <v>299.99999999999994</v>
      </c>
      <c r="BB45" s="892">
        <f t="shared" ca="1" si="18"/>
        <v>50</v>
      </c>
      <c r="BC45" s="892">
        <f t="shared" ca="1" si="19"/>
        <v>463.33399999999989</v>
      </c>
      <c r="BD45" s="892">
        <f t="shared" ca="1" si="20"/>
        <v>163.43990000000005</v>
      </c>
      <c r="BE45" s="892">
        <f t="shared" ca="1" si="21"/>
        <v>63.998623333333335</v>
      </c>
      <c r="BF45" s="892">
        <f t="shared" ca="1" si="22"/>
        <v>52.941176470588232</v>
      </c>
      <c r="BG45" s="900">
        <f t="shared" ca="1" si="40"/>
        <v>1093.7136998039216</v>
      </c>
      <c r="BI45" s="1046">
        <f t="shared" ca="1" si="41"/>
        <v>1093.7136998039216</v>
      </c>
      <c r="BJ45" s="187">
        <f t="shared" ca="1" si="42"/>
        <v>1164.8050902911764</v>
      </c>
      <c r="BK45" s="893">
        <f t="shared" ca="1" si="43"/>
        <v>1196.5126762107614</v>
      </c>
      <c r="BM45" s="1052">
        <f ca="1">SUM(BK44:BK45)</f>
        <v>7158.6960242909227</v>
      </c>
      <c r="BN45" s="1051">
        <f>SUM($AC44:$AC45)</f>
        <v>12</v>
      </c>
      <c r="BO45" s="1053">
        <v>480</v>
      </c>
      <c r="BP45" s="893">
        <f ca="1">BM45/BN45/BO45*1000</f>
        <v>1242.8291708838408</v>
      </c>
      <c r="BR45" s="1246">
        <f t="shared" si="44"/>
        <v>19</v>
      </c>
      <c r="BS45" s="152">
        <f t="shared" si="45"/>
        <v>2018</v>
      </c>
      <c r="BU45" s="1046">
        <f ca="1">SUM(AN44:AN45)</f>
        <v>0</v>
      </c>
      <c r="BV45" s="1047">
        <f ca="1">SUM(AO44:AO45)</f>
        <v>0</v>
      </c>
      <c r="BW45" s="1048">
        <f ca="1">SUM(AP44:AP45)</f>
        <v>0</v>
      </c>
      <c r="BX45" s="1047">
        <f ca="1">SUM(AQ44:AQ45)</f>
        <v>0</v>
      </c>
      <c r="BY45" s="1049">
        <f t="shared" ca="1" si="47"/>
        <v>0</v>
      </c>
      <c r="CA45" s="1046">
        <f ca="1">SUM(AT44:AT45)</f>
        <v>0</v>
      </c>
      <c r="CB45" s="900">
        <f ca="1">SUM(AU44:AU45)</f>
        <v>0</v>
      </c>
      <c r="CD45" s="1046">
        <f ca="1">SUM(AW44:AW45)</f>
        <v>0</v>
      </c>
      <c r="CE45" s="1047">
        <f ca="1">SUM(AX44:AX45)</f>
        <v>0</v>
      </c>
      <c r="CF45" s="1049">
        <f t="shared" ca="1" si="48"/>
        <v>0</v>
      </c>
      <c r="CH45" s="1046">
        <f t="shared" ref="CH45:CM45" ca="1" si="72">SUM(BA44:BA45)</f>
        <v>900</v>
      </c>
      <c r="CI45" s="892">
        <f t="shared" ca="1" si="72"/>
        <v>150</v>
      </c>
      <c r="CJ45" s="892">
        <f t="shared" ca="1" si="72"/>
        <v>1390.0019999999997</v>
      </c>
      <c r="CK45" s="892">
        <f t="shared" ca="1" si="72"/>
        <v>490.31970000000013</v>
      </c>
      <c r="CL45" s="892">
        <f t="shared" ca="1" si="72"/>
        <v>3454.5078970175446</v>
      </c>
      <c r="CM45" s="1047">
        <f t="shared" ca="1" si="72"/>
        <v>158.8235294117647</v>
      </c>
      <c r="CN45" s="1049">
        <f t="shared" ca="1" si="50"/>
        <v>6543.6531264293089</v>
      </c>
      <c r="CP45" s="1046">
        <f t="shared" ca="1" si="51"/>
        <v>6543.6531264293089</v>
      </c>
      <c r="CQ45" s="187">
        <f t="shared" ca="1" si="52"/>
        <v>6968.990579647214</v>
      </c>
      <c r="CR45" s="893">
        <f t="shared" ca="1" si="53"/>
        <v>7158.6960242909227</v>
      </c>
      <c r="CT45" s="1052">
        <f ca="1">SUM(CR44:CR45)</f>
        <v>7158.6960242909227</v>
      </c>
      <c r="CU45" s="1051">
        <f>SUM($AC44:$AC45)</f>
        <v>12</v>
      </c>
      <c r="CV45" s="1082">
        <f>$BO45</f>
        <v>480</v>
      </c>
      <c r="CW45" s="893">
        <f ca="1">CT45/CU45/CV45*1000</f>
        <v>1242.8291708838408</v>
      </c>
    </row>
    <row r="46" spans="2:101">
      <c r="B46" s="678">
        <f t="shared" si="64"/>
        <v>20</v>
      </c>
      <c r="C46" s="399">
        <f t="shared" si="64"/>
        <v>2018</v>
      </c>
      <c r="E46" s="1046">
        <f t="shared" ca="1" si="0"/>
        <v>0</v>
      </c>
      <c r="F46" s="1047">
        <f t="shared" ca="1" si="1"/>
        <v>0</v>
      </c>
      <c r="G46" s="1048">
        <f t="shared" ca="1" si="2"/>
        <v>0</v>
      </c>
      <c r="H46" s="1047">
        <f t="shared" ca="1" si="3"/>
        <v>0</v>
      </c>
      <c r="I46" s="1049">
        <f t="shared" ca="1" si="25"/>
        <v>0</v>
      </c>
      <c r="K46" s="1046">
        <f t="shared" ca="1" si="26"/>
        <v>0</v>
      </c>
      <c r="L46" s="900">
        <f ca="1">-HLOOKUP($C46,CF_Table,CF!$AB$34)</f>
        <v>0</v>
      </c>
      <c r="N46" s="1046">
        <f t="shared" ca="1" si="4"/>
        <v>0</v>
      </c>
      <c r="O46" s="1047">
        <f t="shared" ca="1" si="5"/>
        <v>0</v>
      </c>
      <c r="P46" s="1049">
        <f t="shared" ca="1" si="27"/>
        <v>0</v>
      </c>
      <c r="R46" s="1046">
        <f t="shared" ca="1" si="6"/>
        <v>899.99999999999989</v>
      </c>
      <c r="S46" s="892">
        <f t="shared" ca="1" si="7"/>
        <v>150</v>
      </c>
      <c r="T46" s="892">
        <f t="shared" ca="1" si="8"/>
        <v>1390.0019999999997</v>
      </c>
      <c r="U46" s="892">
        <f t="shared" ca="1" si="9"/>
        <v>490.31970000000013</v>
      </c>
      <c r="V46" s="892">
        <f t="shared" ca="1" si="10"/>
        <v>191.99587</v>
      </c>
      <c r="W46" s="892">
        <f t="shared" ca="1" si="11"/>
        <v>158.8235294117647</v>
      </c>
      <c r="X46" s="900">
        <f t="shared" ca="1" si="28"/>
        <v>3281.1410994117646</v>
      </c>
      <c r="Z46" s="1046">
        <f t="shared" ca="1" si="29"/>
        <v>3281.1410994117646</v>
      </c>
      <c r="AA46" s="187">
        <f t="shared" ca="1" si="30"/>
        <v>3494.4152708735292</v>
      </c>
      <c r="AB46" s="187">
        <f t="shared" ca="1" si="31"/>
        <v>3589.5380286322843</v>
      </c>
      <c r="AC46" s="1050">
        <f t="shared" si="55"/>
        <v>8</v>
      </c>
      <c r="AD46" s="1051">
        <f ca="1">HLOOKUP($C46,CF_Table,CF!$AB$12)</f>
        <v>12</v>
      </c>
      <c r="AE46" s="187">
        <f t="shared" ca="1" si="12"/>
        <v>2393.0253524215227</v>
      </c>
      <c r="AF46" s="779">
        <v>480</v>
      </c>
      <c r="AG46" s="893"/>
      <c r="AK46" s="1246">
        <f t="shared" si="32"/>
        <v>20</v>
      </c>
      <c r="AL46" s="152">
        <f t="shared" si="33"/>
        <v>2018</v>
      </c>
      <c r="AN46" s="1046">
        <f t="shared" ca="1" si="34"/>
        <v>0</v>
      </c>
      <c r="AO46" s="1047">
        <f t="shared" ca="1" si="35"/>
        <v>0</v>
      </c>
      <c r="AP46" s="1048">
        <f t="shared" ca="1" si="36"/>
        <v>0</v>
      </c>
      <c r="AQ46" s="1047">
        <f t="shared" ca="1" si="37"/>
        <v>0</v>
      </c>
      <c r="AR46" s="1049">
        <f t="shared" ca="1" si="38"/>
        <v>0</v>
      </c>
      <c r="AT46" s="1046">
        <f t="shared" ca="1" si="13"/>
        <v>0</v>
      </c>
      <c r="AU46" s="900">
        <f t="shared" ca="1" si="14"/>
        <v>0</v>
      </c>
      <c r="AW46" s="1046">
        <f t="shared" ca="1" si="15"/>
        <v>0</v>
      </c>
      <c r="AX46" s="1047">
        <f t="shared" ca="1" si="16"/>
        <v>0</v>
      </c>
      <c r="AY46" s="1049">
        <f t="shared" ca="1" si="39"/>
        <v>0</v>
      </c>
      <c r="BA46" s="1046">
        <f t="shared" ca="1" si="17"/>
        <v>599.99999999999989</v>
      </c>
      <c r="BB46" s="892">
        <f t="shared" ca="1" si="18"/>
        <v>100</v>
      </c>
      <c r="BC46" s="892">
        <f t="shared" ca="1" si="19"/>
        <v>926.66799999999978</v>
      </c>
      <c r="BD46" s="892">
        <f t="shared" ca="1" si="20"/>
        <v>326.8798000000001</v>
      </c>
      <c r="BE46" s="892">
        <f t="shared" ca="1" si="21"/>
        <v>127.99724666666667</v>
      </c>
      <c r="BF46" s="892">
        <f t="shared" ca="1" si="22"/>
        <v>105.88235294117646</v>
      </c>
      <c r="BG46" s="900">
        <f t="shared" ca="1" si="40"/>
        <v>2187.4273996078432</v>
      </c>
      <c r="BI46" s="1046">
        <f t="shared" ca="1" si="41"/>
        <v>2187.4273996078432</v>
      </c>
      <c r="BJ46" s="187">
        <f t="shared" ca="1" si="42"/>
        <v>2329.6101805823528</v>
      </c>
      <c r="BK46" s="893">
        <f t="shared" ca="1" si="43"/>
        <v>2393.0253524215227</v>
      </c>
      <c r="BM46" s="1052"/>
      <c r="BN46" s="1051"/>
      <c r="BO46" s="1053"/>
      <c r="BP46" s="893"/>
      <c r="BR46" s="1246">
        <f t="shared" si="44"/>
        <v>20</v>
      </c>
      <c r="BS46" s="152">
        <f t="shared" si="45"/>
        <v>2018</v>
      </c>
      <c r="BU46" s="1046"/>
      <c r="BV46" s="1047"/>
      <c r="BW46" s="1048"/>
      <c r="BX46" s="1047"/>
      <c r="BY46" s="1049"/>
      <c r="CA46" s="1046"/>
      <c r="CB46" s="900"/>
      <c r="CD46" s="1046"/>
      <c r="CE46" s="1047"/>
      <c r="CF46" s="1049"/>
      <c r="CH46" s="1046"/>
      <c r="CI46" s="892"/>
      <c r="CJ46" s="892"/>
      <c r="CK46" s="892"/>
      <c r="CL46" s="892"/>
      <c r="CM46" s="1047"/>
      <c r="CN46" s="1049"/>
      <c r="CP46" s="1046"/>
      <c r="CQ46" s="187"/>
      <c r="CR46" s="893"/>
      <c r="CT46" s="1052"/>
      <c r="CU46" s="1051"/>
      <c r="CV46" s="1082"/>
      <c r="CW46" s="893"/>
    </row>
    <row r="47" spans="2:101">
      <c r="B47" s="678">
        <f>B45+1</f>
        <v>20</v>
      </c>
      <c r="C47" s="399">
        <f>C45+1</f>
        <v>2019</v>
      </c>
      <c r="E47" s="1046">
        <f t="shared" ca="1" si="0"/>
        <v>0</v>
      </c>
      <c r="F47" s="1047">
        <f t="shared" ca="1" si="1"/>
        <v>0</v>
      </c>
      <c r="G47" s="1048">
        <f t="shared" ca="1" si="2"/>
        <v>0</v>
      </c>
      <c r="H47" s="1047">
        <f t="shared" ca="1" si="3"/>
        <v>0</v>
      </c>
      <c r="I47" s="1049">
        <f t="shared" ca="1" si="25"/>
        <v>0</v>
      </c>
      <c r="K47" s="1046">
        <f t="shared" ca="1" si="26"/>
        <v>0</v>
      </c>
      <c r="L47" s="900">
        <f ca="1">-HLOOKUP($C47,CF_Table,CF!$AB$34)</f>
        <v>0</v>
      </c>
      <c r="N47" s="1046">
        <f t="shared" ca="1" si="4"/>
        <v>0</v>
      </c>
      <c r="O47" s="1047">
        <f t="shared" ca="1" si="5"/>
        <v>0</v>
      </c>
      <c r="P47" s="1049">
        <f t="shared" ca="1" si="27"/>
        <v>0</v>
      </c>
      <c r="R47" s="1046">
        <f t="shared" ca="1" si="6"/>
        <v>300</v>
      </c>
      <c r="S47" s="892">
        <f t="shared" ca="1" si="7"/>
        <v>50</v>
      </c>
      <c r="T47" s="892">
        <f t="shared" ca="1" si="8"/>
        <v>463.334</v>
      </c>
      <c r="U47" s="892">
        <f t="shared" ca="1" si="9"/>
        <v>163.43990000000005</v>
      </c>
      <c r="V47" s="892">
        <f t="shared" ca="1" si="10"/>
        <v>191.99587</v>
      </c>
      <c r="W47" s="892">
        <f t="shared" ca="1" si="11"/>
        <v>52.941176470588239</v>
      </c>
      <c r="X47" s="900">
        <f t="shared" ca="1" si="28"/>
        <v>1221.7109464705884</v>
      </c>
      <c r="Z47" s="1046">
        <f t="shared" ca="1" si="29"/>
        <v>1221.7109464705884</v>
      </c>
      <c r="AA47" s="187">
        <f t="shared" ca="1" si="30"/>
        <v>1301.1221579911767</v>
      </c>
      <c r="AB47" s="187">
        <f t="shared" ca="1" si="31"/>
        <v>1336.5404807305358</v>
      </c>
      <c r="AC47" s="1050">
        <f t="shared" si="55"/>
        <v>4</v>
      </c>
      <c r="AD47" s="1051">
        <f ca="1">HLOOKUP($C47,CF_Table,CF!$AB$12)</f>
        <v>4</v>
      </c>
      <c r="AE47" s="187">
        <f t="shared" ca="1" si="12"/>
        <v>1336.5404807305358</v>
      </c>
      <c r="AF47" s="779">
        <v>480</v>
      </c>
      <c r="AG47" s="893">
        <f ca="1">SUM(AE46:AE47)/AF47/SUM(AC46:AC47)*1000</f>
        <v>647.49406825556582</v>
      </c>
      <c r="AK47" s="1246">
        <f t="shared" si="32"/>
        <v>20</v>
      </c>
      <c r="AL47" s="152">
        <f t="shared" si="33"/>
        <v>2019</v>
      </c>
      <c r="AN47" s="1046">
        <f t="shared" ca="1" si="34"/>
        <v>0</v>
      </c>
      <c r="AO47" s="1047">
        <f t="shared" ca="1" si="35"/>
        <v>0</v>
      </c>
      <c r="AP47" s="1048">
        <f t="shared" ca="1" si="36"/>
        <v>0</v>
      </c>
      <c r="AQ47" s="1047">
        <f t="shared" ca="1" si="37"/>
        <v>0</v>
      </c>
      <c r="AR47" s="1049">
        <f t="shared" ca="1" si="38"/>
        <v>0</v>
      </c>
      <c r="AT47" s="1046">
        <f t="shared" ca="1" si="13"/>
        <v>0</v>
      </c>
      <c r="AU47" s="900">
        <f t="shared" ca="1" si="14"/>
        <v>0</v>
      </c>
      <c r="AW47" s="1046">
        <f t="shared" ca="1" si="15"/>
        <v>0</v>
      </c>
      <c r="AX47" s="1047">
        <f t="shared" ca="1" si="16"/>
        <v>0</v>
      </c>
      <c r="AY47" s="1049">
        <f t="shared" ca="1" si="39"/>
        <v>0</v>
      </c>
      <c r="BA47" s="1046">
        <f t="shared" ca="1" si="17"/>
        <v>300</v>
      </c>
      <c r="BB47" s="892">
        <f t="shared" ca="1" si="18"/>
        <v>50</v>
      </c>
      <c r="BC47" s="892">
        <f t="shared" ca="1" si="19"/>
        <v>463.334</v>
      </c>
      <c r="BD47" s="892">
        <f t="shared" ca="1" si="20"/>
        <v>163.43990000000005</v>
      </c>
      <c r="BE47" s="892">
        <f t="shared" ca="1" si="21"/>
        <v>191.99587</v>
      </c>
      <c r="BF47" s="892">
        <f t="shared" ca="1" si="22"/>
        <v>52.941176470588239</v>
      </c>
      <c r="BG47" s="900">
        <f t="shared" ca="1" si="40"/>
        <v>1221.7109464705884</v>
      </c>
      <c r="BI47" s="1046">
        <f t="shared" ca="1" si="41"/>
        <v>1221.7109464705884</v>
      </c>
      <c r="BJ47" s="187">
        <f t="shared" ca="1" si="42"/>
        <v>1301.1221579911767</v>
      </c>
      <c r="BK47" s="893">
        <f t="shared" ca="1" si="43"/>
        <v>1336.5404807305358</v>
      </c>
      <c r="BM47" s="1052">
        <f ca="1">SUM(BK46:BK47)</f>
        <v>3729.5658331520585</v>
      </c>
      <c r="BN47" s="1051">
        <f>SUM($AC46:$AC47)</f>
        <v>12</v>
      </c>
      <c r="BO47" s="1053">
        <v>480</v>
      </c>
      <c r="BP47" s="893">
        <f ca="1">BM47/BN47/BO47*1000</f>
        <v>647.49406825556582</v>
      </c>
      <c r="BR47" s="1246">
        <f t="shared" si="44"/>
        <v>20</v>
      </c>
      <c r="BS47" s="152">
        <f t="shared" si="45"/>
        <v>2019</v>
      </c>
      <c r="BU47" s="1046">
        <f ca="1">SUM(AN46:AN47)</f>
        <v>0</v>
      </c>
      <c r="BV47" s="1047">
        <f ca="1">SUM(AO46:AO47)</f>
        <v>0</v>
      </c>
      <c r="BW47" s="1048">
        <f ca="1">SUM(AP46:AP47)</f>
        <v>0</v>
      </c>
      <c r="BX47" s="1047">
        <f ca="1">SUM(AQ46:AQ47)</f>
        <v>0</v>
      </c>
      <c r="BY47" s="1049">
        <f t="shared" ca="1" si="47"/>
        <v>0</v>
      </c>
      <c r="CA47" s="1046">
        <f ca="1">SUM(AT46:AT47)</f>
        <v>0</v>
      </c>
      <c r="CB47" s="900">
        <f ca="1">SUM(AU46:AU47)</f>
        <v>0</v>
      </c>
      <c r="CD47" s="1046">
        <f ca="1">SUM(AW46:AW47)</f>
        <v>0</v>
      </c>
      <c r="CE47" s="1047">
        <f ca="1">SUM(AX46:AX47)</f>
        <v>0</v>
      </c>
      <c r="CF47" s="1049">
        <f t="shared" ca="1" si="48"/>
        <v>0</v>
      </c>
      <c r="CH47" s="1046">
        <f t="shared" ref="CH47:CM47" ca="1" si="73">SUM(BA46:BA47)</f>
        <v>899.99999999999989</v>
      </c>
      <c r="CI47" s="892">
        <f t="shared" ca="1" si="73"/>
        <v>150</v>
      </c>
      <c r="CJ47" s="892">
        <f t="shared" ca="1" si="73"/>
        <v>1390.0019999999997</v>
      </c>
      <c r="CK47" s="892">
        <f t="shared" ca="1" si="73"/>
        <v>490.31970000000013</v>
      </c>
      <c r="CL47" s="892">
        <f t="shared" ca="1" si="73"/>
        <v>319.99311666666665</v>
      </c>
      <c r="CM47" s="1047">
        <f t="shared" ca="1" si="73"/>
        <v>158.8235294117647</v>
      </c>
      <c r="CN47" s="1049">
        <f t="shared" ca="1" si="50"/>
        <v>3409.1383460784309</v>
      </c>
      <c r="CP47" s="1046">
        <f t="shared" ca="1" si="51"/>
        <v>3409.1383460784309</v>
      </c>
      <c r="CQ47" s="187">
        <f t="shared" ca="1" si="52"/>
        <v>3630.7323385735285</v>
      </c>
      <c r="CR47" s="893">
        <f t="shared" ca="1" si="53"/>
        <v>3729.5658331520576</v>
      </c>
      <c r="CT47" s="1052">
        <f ca="1">SUM(CR46:CR47)</f>
        <v>3729.5658331520576</v>
      </c>
      <c r="CU47" s="1051">
        <f>SUM($AC46:$AC47)</f>
        <v>12</v>
      </c>
      <c r="CV47" s="1082">
        <f>$BO47</f>
        <v>480</v>
      </c>
      <c r="CW47" s="893">
        <f ca="1">CT47/CU47/CV47*1000</f>
        <v>647.49406825556559</v>
      </c>
    </row>
    <row r="48" spans="2:101" ht="13.5" thickBot="1">
      <c r="B48" s="678"/>
      <c r="C48" s="399"/>
      <c r="E48" s="1046"/>
      <c r="F48" s="1047"/>
      <c r="G48" s="1048"/>
      <c r="H48" s="1047"/>
      <c r="I48" s="1049"/>
      <c r="K48" s="1046"/>
      <c r="L48" s="900"/>
      <c r="N48" s="1046"/>
      <c r="O48" s="1047"/>
      <c r="P48" s="1049"/>
      <c r="R48" s="1046"/>
      <c r="S48" s="892"/>
      <c r="T48" s="892"/>
      <c r="U48" s="892"/>
      <c r="V48" s="892"/>
      <c r="W48" s="892"/>
      <c r="X48" s="900"/>
      <c r="Z48" s="1046"/>
      <c r="AA48" s="187"/>
      <c r="AB48" s="187"/>
      <c r="AC48" s="1050"/>
      <c r="AD48" s="1051"/>
      <c r="AE48" s="187"/>
      <c r="AF48" s="779"/>
      <c r="AG48" s="893"/>
      <c r="AK48" s="678"/>
      <c r="AL48" s="399"/>
      <c r="AN48" s="1046"/>
      <c r="AO48" s="1047"/>
      <c r="AP48" s="1048"/>
      <c r="AQ48" s="1047"/>
      <c r="AR48" s="1049"/>
      <c r="AT48" s="1046"/>
      <c r="AU48" s="900"/>
      <c r="AW48" s="1046"/>
      <c r="AX48" s="1047"/>
      <c r="AY48" s="1049"/>
      <c r="BA48" s="1046"/>
      <c r="BB48" s="892"/>
      <c r="BC48" s="892"/>
      <c r="BD48" s="892"/>
      <c r="BE48" s="892"/>
      <c r="BF48" s="892"/>
      <c r="BG48" s="900"/>
      <c r="BI48" s="1046"/>
      <c r="BJ48" s="187"/>
      <c r="BK48" s="893"/>
      <c r="BM48" s="1052"/>
      <c r="BN48" s="1051"/>
      <c r="BO48" s="1053"/>
      <c r="BP48" s="893"/>
      <c r="BR48" s="678"/>
      <c r="BS48" s="399"/>
      <c r="BU48" s="1046"/>
      <c r="BV48" s="1047"/>
      <c r="BW48" s="1048"/>
      <c r="BX48" s="1047"/>
      <c r="BY48" s="1049"/>
      <c r="CA48" s="1046"/>
      <c r="CB48" s="900"/>
      <c r="CD48" s="1046"/>
      <c r="CE48" s="1047"/>
      <c r="CF48" s="1049"/>
      <c r="CH48" s="1046"/>
      <c r="CI48" s="892"/>
      <c r="CJ48" s="892"/>
      <c r="CK48" s="892"/>
      <c r="CL48" s="892"/>
      <c r="CM48" s="1047"/>
      <c r="CN48" s="1049"/>
      <c r="CP48" s="1046"/>
      <c r="CQ48" s="187"/>
      <c r="CR48" s="893"/>
      <c r="CT48" s="1052"/>
      <c r="CU48" s="1051"/>
      <c r="CV48" s="1082"/>
      <c r="CW48" s="893"/>
    </row>
    <row r="49" spans="2:101" ht="13.5" thickBot="1">
      <c r="B49" s="1055" t="s">
        <v>426</v>
      </c>
      <c r="C49" s="1056"/>
      <c r="E49" s="1057">
        <f ca="1">E9+SUM(E10:E11,E13:E46)/2+E12+E47</f>
        <v>88063.475892857197</v>
      </c>
      <c r="F49" s="1058">
        <f ca="1">F9+SUM(F10:F11,F13:F46)/2+F12+F47</f>
        <v>150267.85714285713</v>
      </c>
      <c r="G49" s="1059">
        <f ca="1">G9+SUM(G10:G11,G13:G46)/2+G12+G47</f>
        <v>36651.118745041364</v>
      </c>
      <c r="H49" s="1058">
        <f ca="1">H9+SUM(H10:H11,H13:H46)/2+H12+H47</f>
        <v>36896.334779552919</v>
      </c>
      <c r="I49" s="1060">
        <f ca="1">I9+SUM(I10:I11,I13:I46)/2+I12+I47</f>
        <v>311878.78656030871</v>
      </c>
      <c r="K49" s="1057">
        <f ca="1">K9+SUM(K10:K11,K13:K46)/2+K12+K47</f>
        <v>93563.635968092611</v>
      </c>
      <c r="L49" s="693">
        <f ca="1">L9+SUM(L10:L11,L13:L46)/2+L12+L47</f>
        <v>4348.7518645215541</v>
      </c>
      <c r="N49" s="1057">
        <f ca="1">N9+SUM(N10:N11,N13:N46)/2+N12+N47</f>
        <v>54225.46711883894</v>
      </c>
      <c r="O49" s="1058">
        <f ca="1">O9+SUM(O10:O11,O13:O46)/2+O12+O47</f>
        <v>51978.223461634385</v>
      </c>
      <c r="P49" s="1060">
        <f ca="1">P9+SUM(P10:P11,P13:P46)/2+P12+P47</f>
        <v>106203.6905804733</v>
      </c>
      <c r="R49" s="1057">
        <f t="shared" ref="R49:X49" ca="1" si="74">R9+SUM(R10:R11,R13:R46)/2+R12+R47</f>
        <v>17737.5</v>
      </c>
      <c r="S49" s="1061">
        <f t="shared" ca="1" si="74"/>
        <v>2956.25</v>
      </c>
      <c r="T49" s="1061">
        <f t="shared" ca="1" si="74"/>
        <v>26873.372000000003</v>
      </c>
      <c r="U49" s="1061">
        <f t="shared" ca="1" si="74"/>
        <v>9479.1380750000008</v>
      </c>
      <c r="V49" s="1061">
        <f t="shared" ca="1" si="74"/>
        <v>97013.506040000095</v>
      </c>
      <c r="W49" s="1061">
        <f t="shared" ca="1" si="74"/>
        <v>3130.1470588235311</v>
      </c>
      <c r="X49" s="693">
        <f t="shared" ca="1" si="74"/>
        <v>157189.91317382347</v>
      </c>
      <c r="Z49" s="1057">
        <f ca="1">Z9+SUM(Z10:Z11,Z13:Z46)/2+Z12+Z47</f>
        <v>673184.77814722026</v>
      </c>
      <c r="AA49" s="1062">
        <f ca="1">AA9+SUM(AA10:AA11,AA13:AA46)/2+AA12+AA47</f>
        <v>716941.78872678906</v>
      </c>
      <c r="AB49" s="1062">
        <f ca="1">AB9+SUM(AB10:AB11,AB13:AB46)/2+AB12+AB47</f>
        <v>736457.92370497063</v>
      </c>
      <c r="AC49" s="1063"/>
      <c r="AD49" s="1064"/>
      <c r="AE49" s="685">
        <f ca="1">SUM(AE9:AE48)</f>
        <v>736457.92370497063</v>
      </c>
      <c r="AF49" s="812"/>
      <c r="AG49" s="1056"/>
      <c r="AK49" s="1055" t="s">
        <v>426</v>
      </c>
      <c r="AL49" s="1056"/>
      <c r="AN49" s="1057">
        <f ca="1">SUM(AN9:AN47)</f>
        <v>88063.475892857212</v>
      </c>
      <c r="AO49" s="1058">
        <f t="shared" ref="AO49:BK49" ca="1" si="75">SUM(AO9:AO47)</f>
        <v>150267.85714285725</v>
      </c>
      <c r="AP49" s="1059">
        <f t="shared" ca="1" si="75"/>
        <v>36651.118745041356</v>
      </c>
      <c r="AQ49" s="1058">
        <f t="shared" ca="1" si="75"/>
        <v>36896.334779552919</v>
      </c>
      <c r="AR49" s="1060">
        <f t="shared" ca="1" si="75"/>
        <v>311878.7865603086</v>
      </c>
      <c r="AT49" s="1057">
        <f t="shared" ca="1" si="75"/>
        <v>93563.635968092611</v>
      </c>
      <c r="AU49" s="693">
        <f t="shared" ca="1" si="75"/>
        <v>4348.7518645215532</v>
      </c>
      <c r="AW49" s="1057">
        <f t="shared" ca="1" si="75"/>
        <v>54225.46711883894</v>
      </c>
      <c r="AX49" s="1058">
        <f t="shared" ca="1" si="75"/>
        <v>51978.22346163437</v>
      </c>
      <c r="AY49" s="1060">
        <f t="shared" ca="1" si="75"/>
        <v>106203.69058047331</v>
      </c>
      <c r="BA49" s="1057">
        <f t="shared" ca="1" si="75"/>
        <v>17737.5</v>
      </c>
      <c r="BB49" s="1061">
        <f t="shared" ca="1" si="75"/>
        <v>2956.25</v>
      </c>
      <c r="BC49" s="1061">
        <f t="shared" ca="1" si="75"/>
        <v>26873.372000000003</v>
      </c>
      <c r="BD49" s="1061">
        <f t="shared" ca="1" si="75"/>
        <v>9479.1380750000008</v>
      </c>
      <c r="BE49" s="1061">
        <f t="shared" ca="1" si="75"/>
        <v>97013.506039999949</v>
      </c>
      <c r="BF49" s="1061">
        <f t="shared" ca="1" si="75"/>
        <v>3130.1470588235316</v>
      </c>
      <c r="BG49" s="693">
        <f t="shared" ca="1" si="75"/>
        <v>157189.91317382344</v>
      </c>
      <c r="BI49" s="1057">
        <f t="shared" ca="1" si="75"/>
        <v>673184.77814721968</v>
      </c>
      <c r="BJ49" s="1062">
        <f t="shared" ca="1" si="75"/>
        <v>716941.78872678895</v>
      </c>
      <c r="BK49" s="1065">
        <f t="shared" ca="1" si="75"/>
        <v>736457.92370497063</v>
      </c>
      <c r="BM49" s="1066">
        <f ca="1">SUM(BM9:BM47)</f>
        <v>736457.92370497051</v>
      </c>
      <c r="BN49" s="1064"/>
      <c r="BO49" s="1067"/>
      <c r="BP49" s="1056"/>
      <c r="BR49" s="1055" t="s">
        <v>426</v>
      </c>
      <c r="BS49" s="1056"/>
      <c r="BU49" s="1057">
        <f ca="1">SUM(BU9:BU47)</f>
        <v>88063.475892857183</v>
      </c>
      <c r="BV49" s="1058">
        <f ca="1">SUM(BV9:BV47)</f>
        <v>150267.85714285722</v>
      </c>
      <c r="BW49" s="1059">
        <f ca="1">SUM(BW9:BW47)</f>
        <v>36651.118745041364</v>
      </c>
      <c r="BX49" s="1058">
        <f ca="1">SUM(BX9:BX47)</f>
        <v>36896.334779552919</v>
      </c>
      <c r="BY49" s="1060">
        <f ca="1">SUM(BY9:BY47)</f>
        <v>311878.78656030865</v>
      </c>
      <c r="CA49" s="1057">
        <f ca="1">SUM(CA9:CA47)</f>
        <v>93563.635968092625</v>
      </c>
      <c r="CB49" s="693">
        <f ca="1">SUM(CB9:CB47)</f>
        <v>4348.751864521555</v>
      </c>
      <c r="CD49" s="1057">
        <f ca="1">SUM(CD9:CD47)</f>
        <v>54225.467118838933</v>
      </c>
      <c r="CE49" s="1058">
        <f ca="1">SUM(CE9:CE47)</f>
        <v>51978.223461634385</v>
      </c>
      <c r="CF49" s="1060">
        <f ca="1">SUM(CF9:CF47)</f>
        <v>106203.69058047331</v>
      </c>
      <c r="CH49" s="1057">
        <f t="shared" ref="CH49:CN49" ca="1" si="76">SUM(CH9:CH47)</f>
        <v>17737.5</v>
      </c>
      <c r="CI49" s="1061">
        <f t="shared" ca="1" si="76"/>
        <v>2956.25</v>
      </c>
      <c r="CJ49" s="1061">
        <f t="shared" ca="1" si="76"/>
        <v>26873.372000000003</v>
      </c>
      <c r="CK49" s="1061">
        <f ca="1">SUM(CK9:CK47)</f>
        <v>9479.1380750000026</v>
      </c>
      <c r="CL49" s="1061">
        <f t="shared" ca="1" si="76"/>
        <v>97013.506040000022</v>
      </c>
      <c r="CM49" s="1058">
        <f t="shared" ca="1" si="76"/>
        <v>3130.1470588235302</v>
      </c>
      <c r="CN49" s="1060">
        <f t="shared" ca="1" si="76"/>
        <v>157189.91317382356</v>
      </c>
      <c r="CP49" s="1057">
        <f ca="1">SUM(CP9:CP47)</f>
        <v>673184.7781472198</v>
      </c>
      <c r="CQ49" s="1062">
        <f ca="1">SUM(CQ9:CQ47)</f>
        <v>716941.78872678895</v>
      </c>
      <c r="CR49" s="1065">
        <f ca="1">SUM(CR9:CR47)</f>
        <v>736457.92370497051</v>
      </c>
      <c r="CT49" s="1066">
        <f ca="1">SUM(CT9:CT47)</f>
        <v>736457.92370497051</v>
      </c>
      <c r="CU49" s="1064"/>
      <c r="CV49" s="1067"/>
      <c r="CW49" s="1056"/>
    </row>
    <row r="50" spans="2:101">
      <c r="B50" s="357">
        <v>1</v>
      </c>
      <c r="C50" s="357">
        <f t="shared" ref="C50:AG50" si="77">B50+1</f>
        <v>2</v>
      </c>
      <c r="D50" s="357">
        <f t="shared" si="77"/>
        <v>3</v>
      </c>
      <c r="E50" s="357">
        <f t="shared" si="77"/>
        <v>4</v>
      </c>
      <c r="F50" s="357">
        <f t="shared" si="77"/>
        <v>5</v>
      </c>
      <c r="G50" s="357">
        <f t="shared" si="77"/>
        <v>6</v>
      </c>
      <c r="H50" s="357">
        <f t="shared" si="77"/>
        <v>7</v>
      </c>
      <c r="I50" s="357">
        <f t="shared" si="77"/>
        <v>8</v>
      </c>
      <c r="J50" s="357">
        <f t="shared" si="77"/>
        <v>9</v>
      </c>
      <c r="K50" s="357">
        <f t="shared" si="77"/>
        <v>10</v>
      </c>
      <c r="L50" s="357">
        <f t="shared" si="77"/>
        <v>11</v>
      </c>
      <c r="M50" s="357">
        <f t="shared" si="77"/>
        <v>12</v>
      </c>
      <c r="N50" s="357">
        <f t="shared" si="77"/>
        <v>13</v>
      </c>
      <c r="O50" s="357">
        <f t="shared" si="77"/>
        <v>14</v>
      </c>
      <c r="P50" s="357">
        <f t="shared" si="77"/>
        <v>15</v>
      </c>
      <c r="Q50" s="357">
        <f t="shared" si="77"/>
        <v>16</v>
      </c>
      <c r="R50" s="357">
        <f t="shared" si="77"/>
        <v>17</v>
      </c>
      <c r="S50" s="357">
        <f t="shared" si="77"/>
        <v>18</v>
      </c>
      <c r="T50" s="357">
        <f t="shared" si="77"/>
        <v>19</v>
      </c>
      <c r="U50" s="357">
        <f t="shared" si="77"/>
        <v>20</v>
      </c>
      <c r="V50" s="357">
        <f t="shared" si="77"/>
        <v>21</v>
      </c>
      <c r="W50" s="357">
        <f t="shared" si="77"/>
        <v>22</v>
      </c>
      <c r="X50" s="357">
        <f t="shared" si="77"/>
        <v>23</v>
      </c>
      <c r="Y50" s="357">
        <f t="shared" si="77"/>
        <v>24</v>
      </c>
      <c r="Z50" s="357">
        <f t="shared" si="77"/>
        <v>25</v>
      </c>
      <c r="AA50" s="357">
        <f t="shared" si="77"/>
        <v>26</v>
      </c>
      <c r="AB50" s="357">
        <f t="shared" si="77"/>
        <v>27</v>
      </c>
      <c r="AC50" s="357">
        <f t="shared" si="77"/>
        <v>28</v>
      </c>
      <c r="AD50" s="357">
        <f t="shared" si="77"/>
        <v>29</v>
      </c>
      <c r="AE50" s="357">
        <f t="shared" si="77"/>
        <v>30</v>
      </c>
      <c r="AF50" s="357">
        <f t="shared" si="77"/>
        <v>31</v>
      </c>
      <c r="AG50" s="357">
        <f t="shared" si="77"/>
        <v>32</v>
      </c>
      <c r="AK50" s="357">
        <v>1</v>
      </c>
      <c r="AL50" s="357">
        <f t="shared" ref="AL50:BP50" si="78">AK50+1</f>
        <v>2</v>
      </c>
      <c r="AM50" s="357">
        <f t="shared" si="78"/>
        <v>3</v>
      </c>
      <c r="AN50" s="357">
        <f t="shared" si="78"/>
        <v>4</v>
      </c>
      <c r="AO50" s="357">
        <f t="shared" si="78"/>
        <v>5</v>
      </c>
      <c r="AP50" s="357">
        <f t="shared" si="78"/>
        <v>6</v>
      </c>
      <c r="AQ50" s="357">
        <f t="shared" si="78"/>
        <v>7</v>
      </c>
      <c r="AR50" s="357">
        <f t="shared" si="78"/>
        <v>8</v>
      </c>
      <c r="AS50" s="357">
        <f t="shared" si="78"/>
        <v>9</v>
      </c>
      <c r="AT50" s="357">
        <f t="shared" si="78"/>
        <v>10</v>
      </c>
      <c r="AU50" s="357">
        <f t="shared" si="78"/>
        <v>11</v>
      </c>
      <c r="AV50" s="357">
        <f t="shared" si="78"/>
        <v>12</v>
      </c>
      <c r="AW50" s="357">
        <f t="shared" si="78"/>
        <v>13</v>
      </c>
      <c r="AX50" s="357">
        <f t="shared" si="78"/>
        <v>14</v>
      </c>
      <c r="AY50" s="357">
        <f t="shared" si="78"/>
        <v>15</v>
      </c>
      <c r="AZ50" s="357">
        <f t="shared" si="78"/>
        <v>16</v>
      </c>
      <c r="BA50" s="357">
        <f t="shared" si="78"/>
        <v>17</v>
      </c>
      <c r="BB50" s="357">
        <f t="shared" si="78"/>
        <v>18</v>
      </c>
      <c r="BC50" s="357">
        <f t="shared" si="78"/>
        <v>19</v>
      </c>
      <c r="BD50" s="357">
        <f>BC50+1</f>
        <v>20</v>
      </c>
      <c r="BE50" s="357">
        <f>BC50+1</f>
        <v>20</v>
      </c>
      <c r="BF50" s="357">
        <f t="shared" si="78"/>
        <v>21</v>
      </c>
      <c r="BG50" s="357">
        <f t="shared" si="78"/>
        <v>22</v>
      </c>
      <c r="BH50" s="357">
        <f t="shared" si="78"/>
        <v>23</v>
      </c>
      <c r="BI50" s="357">
        <f t="shared" si="78"/>
        <v>24</v>
      </c>
      <c r="BJ50" s="357">
        <f t="shared" si="78"/>
        <v>25</v>
      </c>
      <c r="BK50" s="357">
        <f t="shared" si="78"/>
        <v>26</v>
      </c>
      <c r="BL50" s="357">
        <f t="shared" si="78"/>
        <v>27</v>
      </c>
      <c r="BM50" s="357">
        <f t="shared" si="78"/>
        <v>28</v>
      </c>
      <c r="BN50" s="357">
        <f t="shared" si="78"/>
        <v>29</v>
      </c>
      <c r="BO50" s="357">
        <f t="shared" si="78"/>
        <v>30</v>
      </c>
      <c r="BP50" s="357">
        <f t="shared" si="78"/>
        <v>31</v>
      </c>
      <c r="BR50" s="357">
        <v>1</v>
      </c>
      <c r="BS50" s="357">
        <f t="shared" ref="BS50:CW50" si="79">BR50+1</f>
        <v>2</v>
      </c>
      <c r="BT50" s="357">
        <f t="shared" si="79"/>
        <v>3</v>
      </c>
      <c r="BU50" s="357">
        <f t="shared" si="79"/>
        <v>4</v>
      </c>
      <c r="BV50" s="357">
        <f t="shared" si="79"/>
        <v>5</v>
      </c>
      <c r="BW50" s="357">
        <f t="shared" si="79"/>
        <v>6</v>
      </c>
      <c r="BX50" s="357">
        <f t="shared" si="79"/>
        <v>7</v>
      </c>
      <c r="BY50" s="357">
        <f t="shared" si="79"/>
        <v>8</v>
      </c>
      <c r="BZ50" s="357">
        <f t="shared" si="79"/>
        <v>9</v>
      </c>
      <c r="CA50" s="357">
        <f t="shared" si="79"/>
        <v>10</v>
      </c>
      <c r="CB50" s="357">
        <f t="shared" si="79"/>
        <v>11</v>
      </c>
      <c r="CC50" s="357">
        <f t="shared" si="79"/>
        <v>12</v>
      </c>
      <c r="CD50" s="357">
        <f t="shared" si="79"/>
        <v>13</v>
      </c>
      <c r="CE50" s="357">
        <f t="shared" si="79"/>
        <v>14</v>
      </c>
      <c r="CF50" s="357">
        <f t="shared" si="79"/>
        <v>15</v>
      </c>
      <c r="CG50" s="357">
        <f t="shared" si="79"/>
        <v>16</v>
      </c>
      <c r="CH50" s="357">
        <f t="shared" si="79"/>
        <v>17</v>
      </c>
      <c r="CI50" s="357">
        <f t="shared" si="79"/>
        <v>18</v>
      </c>
      <c r="CJ50" s="357">
        <f t="shared" si="79"/>
        <v>19</v>
      </c>
      <c r="CK50" s="357">
        <f t="shared" si="79"/>
        <v>20</v>
      </c>
      <c r="CL50" s="357">
        <f t="shared" si="79"/>
        <v>21</v>
      </c>
      <c r="CM50" s="357">
        <f t="shared" si="79"/>
        <v>22</v>
      </c>
      <c r="CN50" s="357">
        <f t="shared" si="79"/>
        <v>23</v>
      </c>
      <c r="CO50" s="357">
        <f t="shared" si="79"/>
        <v>24</v>
      </c>
      <c r="CP50" s="357">
        <f t="shared" si="79"/>
        <v>25</v>
      </c>
      <c r="CQ50" s="357">
        <f t="shared" si="79"/>
        <v>26</v>
      </c>
      <c r="CR50" s="357">
        <f t="shared" si="79"/>
        <v>27</v>
      </c>
      <c r="CS50" s="357">
        <f t="shared" si="79"/>
        <v>28</v>
      </c>
      <c r="CT50" s="357">
        <f t="shared" si="79"/>
        <v>29</v>
      </c>
      <c r="CU50" s="357">
        <f t="shared" si="79"/>
        <v>30</v>
      </c>
      <c r="CV50" s="357">
        <f t="shared" si="79"/>
        <v>31</v>
      </c>
      <c r="CW50" s="357">
        <f t="shared" si="79"/>
        <v>32</v>
      </c>
    </row>
    <row r="51" spans="2:101">
      <c r="CQ51" s="1028" t="s">
        <v>1504</v>
      </c>
      <c r="CR51" s="1028" t="s">
        <v>259</v>
      </c>
    </row>
    <row r="52" spans="2:101" ht="13.5" thickBot="1">
      <c r="C52" s="9" t="s">
        <v>1319</v>
      </c>
      <c r="J52" s="894"/>
      <c r="N52" s="9" t="s">
        <v>704</v>
      </c>
      <c r="W52" s="9" t="s">
        <v>1320</v>
      </c>
      <c r="Z52"/>
      <c r="AC52" s="9" t="s">
        <v>1169</v>
      </c>
      <c r="BI52"/>
      <c r="BU52" s="9" t="s">
        <v>1319</v>
      </c>
      <c r="CA52" s="1032">
        <v>1.3</v>
      </c>
      <c r="CQ52" s="1030">
        <f>Exch</f>
        <v>1.0649999999999999</v>
      </c>
      <c r="CR52" s="1031">
        <f>(Pis+Cofins)/(1-(Pis+Cofins))</f>
        <v>2.722136620441705E-2</v>
      </c>
    </row>
    <row r="53" spans="2:101">
      <c r="B53" s="1068" t="s">
        <v>1437</v>
      </c>
      <c r="C53" s="908" t="s">
        <v>1411</v>
      </c>
      <c r="D53" s="1069"/>
      <c r="E53" s="902" t="s">
        <v>9</v>
      </c>
      <c r="F53" s="146" t="s">
        <v>10</v>
      </c>
      <c r="G53" s="896" t="s">
        <v>1409</v>
      </c>
      <c r="H53" s="891" t="s">
        <v>9</v>
      </c>
      <c r="I53" s="580" t="s">
        <v>10</v>
      </c>
      <c r="J53" s="406"/>
      <c r="K53" s="1000" t="s">
        <v>1410</v>
      </c>
      <c r="N53" s="891" t="s">
        <v>403</v>
      </c>
      <c r="O53" s="1034" t="s">
        <v>1308</v>
      </c>
      <c r="P53" s="1033"/>
      <c r="Q53" s="1070"/>
      <c r="R53" s="558" t="s">
        <v>1309</v>
      </c>
      <c r="S53" s="1033"/>
      <c r="T53" s="896" t="s">
        <v>8</v>
      </c>
      <c r="W53" s="891" t="s">
        <v>403</v>
      </c>
      <c r="X53" s="1034" t="s">
        <v>1312</v>
      </c>
      <c r="Y53" s="1033"/>
      <c r="Z53" s="1033"/>
      <c r="AA53" s="896" t="s">
        <v>8</v>
      </c>
      <c r="AC53" s="891" t="s">
        <v>403</v>
      </c>
      <c r="AD53" s="146" t="s">
        <v>1170</v>
      </c>
      <c r="AE53" s="146" t="s">
        <v>1170</v>
      </c>
      <c r="AF53" s="146" t="s">
        <v>1913</v>
      </c>
      <c r="AG53" s="146" t="s">
        <v>1178</v>
      </c>
      <c r="AH53" s="146" t="s">
        <v>1171</v>
      </c>
      <c r="AI53" s="903" t="s">
        <v>1159</v>
      </c>
      <c r="AJ53" s="1035" t="s">
        <v>8</v>
      </c>
      <c r="BI53"/>
      <c r="BR53" s="1068" t="s">
        <v>1437</v>
      </c>
      <c r="BU53" s="830" t="s">
        <v>1308</v>
      </c>
      <c r="BV53" s="1033"/>
      <c r="BW53" s="1034" t="s">
        <v>1309</v>
      </c>
      <c r="BX53" s="1033"/>
      <c r="BY53" s="896" t="s">
        <v>8</v>
      </c>
      <c r="CA53" s="908" t="s">
        <v>1310</v>
      </c>
      <c r="CB53" s="896" t="s">
        <v>1311</v>
      </c>
      <c r="CD53" s="830" t="s">
        <v>1312</v>
      </c>
      <c r="CE53" s="1033"/>
      <c r="CF53" s="1035" t="s">
        <v>8</v>
      </c>
      <c r="CH53" s="908" t="s">
        <v>1170</v>
      </c>
      <c r="CI53" s="146" t="s">
        <v>1170</v>
      </c>
      <c r="CJ53" s="146" t="s">
        <v>1913</v>
      </c>
      <c r="CK53" s="146" t="s">
        <v>1178</v>
      </c>
      <c r="CL53" s="146" t="s">
        <v>1171</v>
      </c>
      <c r="CM53" s="903" t="s">
        <v>1159</v>
      </c>
      <c r="CN53" s="1035" t="s">
        <v>8</v>
      </c>
      <c r="CP53" s="908" t="s">
        <v>8</v>
      </c>
      <c r="CQ53" s="146" t="s">
        <v>1313</v>
      </c>
      <c r="CR53" s="896" t="s">
        <v>1314</v>
      </c>
      <c r="CT53" s="1038" t="s">
        <v>8</v>
      </c>
      <c r="CU53" s="1039" t="s">
        <v>1437</v>
      </c>
      <c r="CV53" s="1039" t="s">
        <v>333</v>
      </c>
      <c r="CW53" s="896" t="s">
        <v>579</v>
      </c>
    </row>
    <row r="54" spans="2:101">
      <c r="B54" s="498" t="s">
        <v>570</v>
      </c>
      <c r="C54" s="835" t="s">
        <v>1283</v>
      </c>
      <c r="D54" s="1071"/>
      <c r="E54" s="904" t="s">
        <v>1283</v>
      </c>
      <c r="F54" s="167" t="s">
        <v>1283</v>
      </c>
      <c r="G54" s="133" t="s">
        <v>1283</v>
      </c>
      <c r="H54" s="541" t="s">
        <v>986</v>
      </c>
      <c r="I54" s="18" t="s">
        <v>986</v>
      </c>
      <c r="J54" s="1"/>
      <c r="K54" s="1001" t="s">
        <v>986</v>
      </c>
      <c r="N54" s="541" t="s">
        <v>570</v>
      </c>
      <c r="O54" s="904" t="s">
        <v>573</v>
      </c>
      <c r="P54" s="905" t="s">
        <v>574</v>
      </c>
      <c r="Q54" s="1072"/>
      <c r="R54" s="167" t="s">
        <v>573</v>
      </c>
      <c r="S54" s="905" t="s">
        <v>574</v>
      </c>
      <c r="T54" s="133" t="s">
        <v>705</v>
      </c>
      <c r="W54" s="541" t="s">
        <v>570</v>
      </c>
      <c r="X54" s="904" t="s">
        <v>573</v>
      </c>
      <c r="Z54" s="905" t="s">
        <v>574</v>
      </c>
      <c r="AA54" s="133" t="s">
        <v>1312</v>
      </c>
      <c r="AC54" s="541" t="s">
        <v>570</v>
      </c>
      <c r="AD54" s="167" t="s">
        <v>1173</v>
      </c>
      <c r="AE54" s="167" t="s">
        <v>1174</v>
      </c>
      <c r="AF54" s="167" t="s">
        <v>1914</v>
      </c>
      <c r="AG54" s="167" t="s">
        <v>1172</v>
      </c>
      <c r="AH54" s="167" t="s">
        <v>1172</v>
      </c>
      <c r="AI54" s="1044">
        <f>Rev_Exp!$B$86</f>
        <v>0.17647058823529413</v>
      </c>
      <c r="AJ54" s="180" t="s">
        <v>1781</v>
      </c>
      <c r="BI54"/>
      <c r="BR54" s="498" t="s">
        <v>570</v>
      </c>
      <c r="BU54" s="835" t="s">
        <v>573</v>
      </c>
      <c r="BV54" s="905" t="s">
        <v>574</v>
      </c>
      <c r="BW54" s="904" t="s">
        <v>573</v>
      </c>
      <c r="BX54" s="905" t="s">
        <v>574</v>
      </c>
      <c r="BY54" s="133" t="s">
        <v>705</v>
      </c>
      <c r="CA54" s="835" t="s">
        <v>705</v>
      </c>
      <c r="CB54" s="133" t="s">
        <v>705</v>
      </c>
      <c r="CD54" s="835" t="s">
        <v>573</v>
      </c>
      <c r="CE54" s="905" t="s">
        <v>574</v>
      </c>
      <c r="CF54" s="180" t="s">
        <v>1312</v>
      </c>
      <c r="CH54" s="835" t="s">
        <v>1173</v>
      </c>
      <c r="CI54" s="167" t="s">
        <v>1174</v>
      </c>
      <c r="CJ54" s="167" t="s">
        <v>1914</v>
      </c>
      <c r="CK54" s="167" t="s">
        <v>1172</v>
      </c>
      <c r="CL54" s="167" t="s">
        <v>1172</v>
      </c>
      <c r="CM54" s="1044">
        <f>Rev_Exp!$B$86</f>
        <v>0.17647058823529413</v>
      </c>
      <c r="CN54" s="180" t="s">
        <v>1781</v>
      </c>
      <c r="CP54" s="835" t="s">
        <v>1484</v>
      </c>
      <c r="CQ54" s="167" t="s">
        <v>1316</v>
      </c>
      <c r="CR54" s="133" t="s">
        <v>1317</v>
      </c>
      <c r="CT54" s="1042" t="s">
        <v>1318</v>
      </c>
      <c r="CU54" s="1043" t="s">
        <v>678</v>
      </c>
      <c r="CV54" s="1043" t="s">
        <v>332</v>
      </c>
      <c r="CW54" s="133" t="s">
        <v>1283</v>
      </c>
    </row>
    <row r="55" spans="2:101">
      <c r="B55" s="1073">
        <v>1</v>
      </c>
      <c r="C55" s="1074">
        <f>Tariff!D41</f>
        <v>10721.11</v>
      </c>
      <c r="D55" s="1071"/>
      <c r="E55" s="999">
        <f t="shared" ref="E55:E74" ca="1" si="80">VLOOKUP($B55,Tariff_Table_US,$AG$50)</f>
        <v>4540.8777577236397</v>
      </c>
      <c r="F55" s="187">
        <f ca="1">VLOOKUP($B55,Tariff_Table_R,'R$ Table'!$AB$50)</f>
        <v>5775.7627755367548</v>
      </c>
      <c r="G55" s="893">
        <f ca="1">SUM(E55:F55)</f>
        <v>10316.640533260394</v>
      </c>
      <c r="H55" s="898">
        <f t="shared" ref="H55:I74" ca="1" si="81">E55/$G55</f>
        <v>0.44015081683655161</v>
      </c>
      <c r="I55" s="820">
        <f t="shared" ca="1" si="81"/>
        <v>0.55984918316344845</v>
      </c>
      <c r="J55" s="1"/>
      <c r="K55" s="1002">
        <f t="shared" ref="K55:K74" ca="1" si="82">SUM(H55:I55)</f>
        <v>1</v>
      </c>
      <c r="N55" s="1019">
        <f ca="1">YEAR(Startops1)</f>
        <v>1999</v>
      </c>
      <c r="O55" s="1048">
        <f ca="1">IF($N55&lt;YEAR(Startops3),0,VLOOKUP(($N55-YEAR(Startops3)+1)*2-'Debt Amort'!$B$36,Fin_Table,'Debt Amort'!AE$77))</f>
        <v>0</v>
      </c>
      <c r="P55" s="1047">
        <f ca="1">IF($N55&lt;YEAR(Startops3),0,VLOOKUP(($N55-YEAR(Startops3)+1)*2-'Debt Amort'!$B$36,Fin_Table,'Debt Amort'!AF$77))</f>
        <v>0</v>
      </c>
      <c r="Q55" s="1072"/>
      <c r="R55" s="892">
        <f ca="1">IF($N55&lt;YEAR(Startops3),0,VLOOKUP(($N55-YEAR(Startops3)+1)*2-'Debt Amort'!$B$36,Fin_Table,'Debt Amort'!AG$77))</f>
        <v>0</v>
      </c>
      <c r="S55" s="1075">
        <f ca="1">IF($N55&lt;YEAR(Startops3),0,VLOOKUP(($N55-YEAR(Startops3)+1)*2-'Debt Amort'!$B$36,Fin_Table,'Debt Amort'!AH$77))</f>
        <v>0</v>
      </c>
      <c r="T55" s="900">
        <f t="shared" ref="T55:T75" ca="1" si="83">SUM(O55:S55)</f>
        <v>0</v>
      </c>
      <c r="W55" s="678">
        <f ca="1">$N55</f>
        <v>1999</v>
      </c>
      <c r="X55" s="1048">
        <f ca="1">IF($N55&lt;YEAR(Startops3),0,VLOOKUP(($N55-YEAR(Startops3)+1)*2-'Debt Amort'!$B$36,Fin_Table,'Debt Amort'!AC$77))</f>
        <v>0</v>
      </c>
      <c r="Z55" s="1047">
        <f ca="1">IF($N55&lt;YEAR(Startops3),0,VLOOKUP(($N55-YEAR(Startops3)+1)*2-'Debt Amort'!$B$36,Fin_Table,'Debt Amort'!AD$77))</f>
        <v>0</v>
      </c>
      <c r="AA55" s="900">
        <f t="shared" ref="AA55:AA75" ca="1" si="84">SUM(X55:Z55)</f>
        <v>0</v>
      </c>
      <c r="AC55" s="678">
        <f ca="1">$N55</f>
        <v>1999</v>
      </c>
      <c r="AD55" s="892">
        <f ca="1">HLOOKUP($AC55,Rev_Exp_Table,Rev_Exp!$AA$81)/HLOOKUP($AC55,Rev_Exp_Table,Rev_Exp!$AA$25)</f>
        <v>337.5</v>
      </c>
      <c r="AE55" s="892">
        <f ca="1">HLOOKUP($AC55,Rev_Exp_Table,Rev_Exp!$AA$82)/HLOOKUP($AC55,Rev_Exp_Table,Rev_Exp!$AA$25)</f>
        <v>56.25</v>
      </c>
      <c r="AF55" s="892">
        <f ca="1">HLOOKUP($AC55,Rev_Exp_Table,Rev_Exp!$AA$83)/HLOOKUP($AC55,Rev_Exp_Table,Rev_Exp!$AA$25)</f>
        <v>0</v>
      </c>
      <c r="AG55" s="892">
        <f ca="1">HLOOKUP($AC55,Rev_Exp_Table,Rev_Exp!$AA$84)/HLOOKUP($AC55,Rev_Exp_Table,Rev_Exp!$AA$25)</f>
        <v>64.434375000000003</v>
      </c>
      <c r="AH55" s="892">
        <f>AVERAGE(Trapped!$G$64:$Y$64)*(1+Trapped!$D$67)</f>
        <v>5085.763910526317</v>
      </c>
      <c r="AI55" s="1047">
        <f t="shared" ref="AI55:AI75" ca="1" si="85">AD55*AI$54</f>
        <v>59.558823529411768</v>
      </c>
      <c r="AJ55" s="1049">
        <f t="shared" ref="AJ55:AJ75" ca="1" si="86">SUM(AD55:AI55)</f>
        <v>5603.5071090557285</v>
      </c>
      <c r="BI55"/>
      <c r="BR55" s="1083">
        <f>$B55</f>
        <v>1</v>
      </c>
      <c r="BU55" s="1076">
        <f t="shared" ref="BU55:BY64" ca="1" si="87">VLOOKUP($BR55,Tariff_Table_US2,BU$50)</f>
        <v>0</v>
      </c>
      <c r="BV55" s="1077">
        <f t="shared" ca="1" si="87"/>
        <v>0</v>
      </c>
      <c r="BW55" s="1078">
        <f t="shared" ca="1" si="87"/>
        <v>0</v>
      </c>
      <c r="BX55" s="1079">
        <f t="shared" ca="1" si="87"/>
        <v>0</v>
      </c>
      <c r="BY55" s="1080">
        <f t="shared" ca="1" si="87"/>
        <v>0</v>
      </c>
      <c r="CA55" s="1076">
        <f t="shared" ref="CA55:CB74" ca="1" si="88">VLOOKUP($BR55,Tariff_Table_US2,CA$50)</f>
        <v>0</v>
      </c>
      <c r="CB55" s="692">
        <f t="shared" ca="1" si="88"/>
        <v>0</v>
      </c>
      <c r="CD55" s="1076">
        <f t="shared" ref="CD55:CF74" ca="1" si="89">VLOOKUP($BR55,Tariff_Table_US2,CD$50)</f>
        <v>0</v>
      </c>
      <c r="CE55" s="1079">
        <f t="shared" ca="1" si="89"/>
        <v>0</v>
      </c>
      <c r="CF55" s="1080">
        <f t="shared" ca="1" si="89"/>
        <v>0</v>
      </c>
      <c r="CH55" s="1076">
        <f t="shared" ref="CH55:CN64" ca="1" si="90">VLOOKUP($BR55,Tariff_Table_US2,CH$50)</f>
        <v>337.5</v>
      </c>
      <c r="CI55" s="166">
        <f t="shared" ca="1" si="90"/>
        <v>56.25</v>
      </c>
      <c r="CJ55" s="166">
        <f t="shared" ca="1" si="90"/>
        <v>0</v>
      </c>
      <c r="CK55" s="166">
        <f t="shared" ca="1" si="90"/>
        <v>64.434375000000003</v>
      </c>
      <c r="CL55" s="166">
        <f t="shared" ca="1" si="90"/>
        <v>5085.763910526317</v>
      </c>
      <c r="CM55" s="1079">
        <f t="shared" ca="1" si="90"/>
        <v>59.558823529411761</v>
      </c>
      <c r="CN55" s="183">
        <f t="shared" ca="1" si="90"/>
        <v>5603.5071090557285</v>
      </c>
      <c r="CP55" s="1076">
        <f t="shared" ref="CP55:CR74" ca="1" si="91">VLOOKUP($BR55,Tariff_Table_US2,CP$50)</f>
        <v>5603.5071090557285</v>
      </c>
      <c r="CQ55" s="187">
        <f t="shared" ca="1" si="91"/>
        <v>5967.7350711443505</v>
      </c>
      <c r="CR55" s="893">
        <f t="shared" ca="1" si="91"/>
        <v>6130.1849729269134</v>
      </c>
      <c r="CT55" s="1052">
        <f t="shared" ref="CT55:CW74" ca="1" si="92">VLOOKUP($BR55,Tariff_Table_US2,CT$50)</f>
        <v>6130.1849729269134</v>
      </c>
      <c r="CU55" s="1081">
        <f t="shared" ca="1" si="92"/>
        <v>9</v>
      </c>
      <c r="CV55" s="1082">
        <f t="shared" ca="1" si="92"/>
        <v>150</v>
      </c>
      <c r="CW55" s="893">
        <f t="shared" ca="1" si="92"/>
        <v>4540.8777577236397</v>
      </c>
    </row>
    <row r="56" spans="2:101">
      <c r="B56" s="1083">
        <f>B55+1</f>
        <v>2</v>
      </c>
      <c r="C56" s="1074">
        <f>Tariff!D42</f>
        <v>10502.5</v>
      </c>
      <c r="D56" s="1071"/>
      <c r="E56" s="999">
        <f t="shared" ca="1" si="80"/>
        <v>5726.1632589488345</v>
      </c>
      <c r="F56" s="187">
        <f ca="1">VLOOKUP($B56,Tariff_Table_R,'R$ Table'!$AB$50)</f>
        <v>3570.3553519029997</v>
      </c>
      <c r="G56" s="893">
        <f t="shared" ref="G56:G74" ca="1" si="93">SUM(E56:F56)</f>
        <v>9296.5186108518337</v>
      </c>
      <c r="H56" s="898">
        <f t="shared" ca="1" si="81"/>
        <v>0.61594705487543255</v>
      </c>
      <c r="I56" s="820">
        <f t="shared" ca="1" si="81"/>
        <v>0.3840529451245675</v>
      </c>
      <c r="J56" s="1"/>
      <c r="K56" s="1002">
        <f t="shared" ca="1" si="82"/>
        <v>1</v>
      </c>
      <c r="N56" s="678">
        <f ca="1">N55+1</f>
        <v>2000</v>
      </c>
      <c r="O56" s="1048">
        <f ca="1">IF($N56&lt;YEAR(Startops3),0,VLOOKUP(($N56-YEAR(Startops3)+1)*2-'Debt Amort'!$B$36,Fin_Table,'Debt Amort'!AE$77))</f>
        <v>0</v>
      </c>
      <c r="P56" s="1047">
        <f ca="1">IF($N56&lt;YEAR(Startops3),0,VLOOKUP(($N56-YEAR(Startops3)+1)*2-'Debt Amort'!$B$36,Fin_Table,'Debt Amort'!AF$77))</f>
        <v>0</v>
      </c>
      <c r="Q56" s="1072"/>
      <c r="R56" s="892">
        <f ca="1">IF($N56&lt;YEAR(Startops3),0,VLOOKUP(($N56-YEAR(Startops3)+1)*2-'Debt Amort'!$B$36,Fin_Table,'Debt Amort'!AG$77))</f>
        <v>0</v>
      </c>
      <c r="S56" s="1075">
        <f ca="1">IF($N56&lt;YEAR(Startops3),0,VLOOKUP(($N56-YEAR(Startops3)+1)*2-'Debt Amort'!$B$36,Fin_Table,'Debt Amort'!AH$77))</f>
        <v>0</v>
      </c>
      <c r="T56" s="900">
        <f t="shared" ca="1" si="83"/>
        <v>0</v>
      </c>
      <c r="W56" s="678">
        <f t="shared" ref="W56:W75" ca="1" si="94">$N56</f>
        <v>2000</v>
      </c>
      <c r="X56" s="1048">
        <f ca="1">IF($N56&lt;YEAR(Startops3),0,VLOOKUP(($N56-YEAR(Startops3)+1)*2-'Debt Amort'!$B$36,Fin_Table,'Debt Amort'!AC$77))</f>
        <v>0</v>
      </c>
      <c r="Z56" s="1047">
        <f ca="1">IF($N56&lt;YEAR(Startops3),0,VLOOKUP(($N56-YEAR(Startops3)+1)*2-'Debt Amort'!$B$36,Fin_Table,'Debt Amort'!AD$77))</f>
        <v>0</v>
      </c>
      <c r="AA56" s="900">
        <f t="shared" ca="1" si="84"/>
        <v>0</v>
      </c>
      <c r="AC56" s="678">
        <f t="shared" ref="AC56:AC75" ca="1" si="95">$N56</f>
        <v>2000</v>
      </c>
      <c r="AD56" s="892">
        <f ca="1">HLOOKUP($AC56,Rev_Exp_Table,Rev_Exp!$AA$81)/HLOOKUP($AC56,Rev_Exp_Table,Rev_Exp!$AA$25)</f>
        <v>450</v>
      </c>
      <c r="AE56" s="892">
        <f ca="1">HLOOKUP($AC56,Rev_Exp_Table,Rev_Exp!$AA$82)/HLOOKUP($AC56,Rev_Exp_Table,Rev_Exp!$AA$25)</f>
        <v>75</v>
      </c>
      <c r="AF56" s="892">
        <f ca="1">HLOOKUP($AC56,Rev_Exp_Table,Rev_Exp!$AA$83)/HLOOKUP($AC56,Rev_Exp_Table,Rev_Exp!$AA$25)</f>
        <v>0</v>
      </c>
      <c r="AG56" s="892">
        <f ca="1">HLOOKUP($AC56,Rev_Exp_Table,Rev_Exp!$AA$84)/HLOOKUP($AC56,Rev_Exp_Table,Rev_Exp!$AA$25)</f>
        <v>85.912500000000009</v>
      </c>
      <c r="AH56" s="892">
        <f>AVERAGE(Trapped!$G$64:$Y$64)*(1+Trapped!$D$67)</f>
        <v>5085.763910526317</v>
      </c>
      <c r="AI56" s="1047">
        <f t="shared" ca="1" si="85"/>
        <v>79.411764705882362</v>
      </c>
      <c r="AJ56" s="1049">
        <f t="shared" ca="1" si="86"/>
        <v>5776.0881752321993</v>
      </c>
      <c r="BI56"/>
      <c r="BR56" s="1083">
        <f t="shared" ref="BR56:BR74" si="96">$B56</f>
        <v>2</v>
      </c>
      <c r="BU56" s="1076">
        <f t="shared" ca="1" si="87"/>
        <v>2474.828125</v>
      </c>
      <c r="BV56" s="1077">
        <f t="shared" ca="1" si="87"/>
        <v>0</v>
      </c>
      <c r="BW56" s="1078">
        <f t="shared" ca="1" si="87"/>
        <v>972.77111511988414</v>
      </c>
      <c r="BX56" s="1079">
        <f t="shared" ca="1" si="87"/>
        <v>0</v>
      </c>
      <c r="BY56" s="1080">
        <f t="shared" ca="1" si="87"/>
        <v>3447.5992401198841</v>
      </c>
      <c r="CA56" s="1076">
        <f t="shared" ca="1" si="88"/>
        <v>1034.2797720359656</v>
      </c>
      <c r="CB56" s="692">
        <f t="shared" ca="1" si="88"/>
        <v>207.08816695235365</v>
      </c>
      <c r="CD56" s="1076">
        <f t="shared" ca="1" si="89"/>
        <v>1571.9558991739721</v>
      </c>
      <c r="CE56" s="1079">
        <f t="shared" ca="1" si="89"/>
        <v>0</v>
      </c>
      <c r="CF56" s="1080">
        <f t="shared" ca="1" si="89"/>
        <v>1571.9558991739721</v>
      </c>
      <c r="CH56" s="1076">
        <f t="shared" ca="1" si="90"/>
        <v>525</v>
      </c>
      <c r="CI56" s="166">
        <f t="shared" ca="1" si="90"/>
        <v>87.5</v>
      </c>
      <c r="CJ56" s="166">
        <f t="shared" ca="1" si="90"/>
        <v>810.83449999999982</v>
      </c>
      <c r="CK56" s="166">
        <f t="shared" ca="1" si="90"/>
        <v>248.2137000000001</v>
      </c>
      <c r="CL56" s="166">
        <f t="shared" ca="1" si="90"/>
        <v>2966.6956144736851</v>
      </c>
      <c r="CM56" s="1079">
        <f t="shared" ca="1" si="90"/>
        <v>92.647058823529434</v>
      </c>
      <c r="CN56" s="183">
        <f t="shared" ca="1" si="90"/>
        <v>4730.890873297215</v>
      </c>
      <c r="CP56" s="1076">
        <f t="shared" ca="1" si="91"/>
        <v>10991.81395157939</v>
      </c>
      <c r="CQ56" s="187">
        <f t="shared" ca="1" si="91"/>
        <v>11706.28185843205</v>
      </c>
      <c r="CR56" s="893">
        <f t="shared" ca="1" si="91"/>
        <v>12024.942843792553</v>
      </c>
      <c r="CT56" s="1052">
        <f t="shared" ca="1" si="92"/>
        <v>12024.942843792553</v>
      </c>
      <c r="CU56" s="1081">
        <f t="shared" ca="1" si="92"/>
        <v>7</v>
      </c>
      <c r="CV56" s="1082">
        <f t="shared" ca="1" si="92"/>
        <v>300</v>
      </c>
      <c r="CW56" s="893">
        <f t="shared" ca="1" si="92"/>
        <v>5726.1632589488345</v>
      </c>
    </row>
    <row r="57" spans="2:101">
      <c r="B57" s="1083">
        <f t="shared" ref="B57:B74" si="97">B56+1</f>
        <v>3</v>
      </c>
      <c r="C57" s="1074">
        <f>Tariff!D44</f>
        <v>6782.87</v>
      </c>
      <c r="D57" s="1071"/>
      <c r="E57" s="999">
        <f t="shared" ca="1" si="80"/>
        <v>7952.3783810826226</v>
      </c>
      <c r="F57" s="187">
        <f ca="1">VLOOKUP($B57,Tariff_Table_R,'R$ Table'!$AB$50)</f>
        <v>1378.2096741769194</v>
      </c>
      <c r="G57" s="893">
        <f t="shared" ca="1" si="93"/>
        <v>9330.5880552595427</v>
      </c>
      <c r="H57" s="898">
        <f t="shared" ca="1" si="81"/>
        <v>0.85229123116200167</v>
      </c>
      <c r="I57" s="820">
        <f t="shared" ca="1" si="81"/>
        <v>0.14770876883799824</v>
      </c>
      <c r="J57" s="1"/>
      <c r="K57" s="1002">
        <f t="shared" ca="1" si="82"/>
        <v>0.99999999999999989</v>
      </c>
      <c r="N57" s="678">
        <f t="shared" ref="N57:N75" ca="1" si="98">N56+1</f>
        <v>2001</v>
      </c>
      <c r="O57" s="1048">
        <f ca="1">IF($N57&lt;YEAR(Startops3),0,VLOOKUP(($N57-YEAR(Startops3)+1)*2-'Debt Amort'!$B$36,Fin_Table,'Debt Amort'!AE$77))</f>
        <v>4242.5625</v>
      </c>
      <c r="P57" s="1047">
        <f ca="1">IF($N57&lt;YEAR(Startops3),0,VLOOKUP(($N57-YEAR(Startops3)+1)*2-'Debt Amort'!$B$36,Fin_Table,'Debt Amort'!AF$77))</f>
        <v>0</v>
      </c>
      <c r="Q57" s="1072"/>
      <c r="R57" s="892">
        <f ca="1">IF($N57&lt;YEAR(Startops3),0,VLOOKUP(($N57-YEAR(Startops3)+1)*2-'Debt Amort'!$B$36,Fin_Table,'Debt Amort'!AG$77))</f>
        <v>1667.6076259198014</v>
      </c>
      <c r="S57" s="1075">
        <f ca="1">IF($N57&lt;YEAR(Startops3),0,VLOOKUP(($N57-YEAR(Startops3)+1)*2-'Debt Amort'!$B$36,Fin_Table,'Debt Amort'!AH$77))</f>
        <v>0</v>
      </c>
      <c r="T57" s="900">
        <f t="shared" ca="1" si="83"/>
        <v>5910.1701259198016</v>
      </c>
      <c r="W57" s="678">
        <f t="shared" ca="1" si="94"/>
        <v>2001</v>
      </c>
      <c r="X57" s="1048">
        <f ca="1">IF($N57&lt;YEAR(Startops3),0,VLOOKUP(($N57-YEAR(Startops3)+1)*2-'Debt Amort'!$B$36,Fin_Table,'Debt Amort'!AC$77))</f>
        <v>2694.7815414410948</v>
      </c>
      <c r="Z57" s="1047">
        <f ca="1">IF($N57&lt;YEAR(Startops3),0,VLOOKUP(($N57-YEAR(Startops3)+1)*2-'Debt Amort'!$B$36,Fin_Table,'Debt Amort'!AD$77))</f>
        <v>0</v>
      </c>
      <c r="AA57" s="900">
        <f t="shared" ca="1" si="84"/>
        <v>2694.7815414410948</v>
      </c>
      <c r="AC57" s="678">
        <f t="shared" ca="1" si="95"/>
        <v>2001</v>
      </c>
      <c r="AD57" s="892">
        <f ca="1">HLOOKUP($AC57,Rev_Exp_Table,Rev_Exp!$AA$81)/HLOOKUP($AC57,Rev_Exp_Table,Rev_Exp!$AA$25)</f>
        <v>900</v>
      </c>
      <c r="AE57" s="892">
        <f ca="1">HLOOKUP($AC57,Rev_Exp_Table,Rev_Exp!$AA$82)/HLOOKUP($AC57,Rev_Exp_Table,Rev_Exp!$AA$25)</f>
        <v>150</v>
      </c>
      <c r="AF57" s="892">
        <f ca="1">HLOOKUP($AC57,Rev_Exp_Table,Rev_Exp!$AA$83)/HLOOKUP($AC57,Rev_Exp_Table,Rev_Exp!$AA$25)</f>
        <v>1390.0019999999997</v>
      </c>
      <c r="AG57" s="892">
        <f ca="1">HLOOKUP($AC57,Rev_Exp_Table,Rev_Exp!$AA$84)/HLOOKUP($AC57,Rev_Exp_Table,Rev_Exp!$AA$25)</f>
        <v>425.50920000000013</v>
      </c>
      <c r="AH57" s="892">
        <f>AVERAGE(Trapped!$G$64:$Y$64)*(1+Trapped!$D$67)</f>
        <v>5085.763910526317</v>
      </c>
      <c r="AI57" s="1047">
        <f t="shared" ca="1" si="85"/>
        <v>158.82352941176472</v>
      </c>
      <c r="AJ57" s="1049">
        <f t="shared" ca="1" si="86"/>
        <v>8110.0986399380809</v>
      </c>
      <c r="BI57"/>
      <c r="BR57" s="1083">
        <f t="shared" si="96"/>
        <v>3</v>
      </c>
      <c r="BU57" s="1076">
        <f t="shared" ca="1" si="87"/>
        <v>15101.502232142857</v>
      </c>
      <c r="BV57" s="1077">
        <f t="shared" ca="1" si="87"/>
        <v>13357.142857142857</v>
      </c>
      <c r="BW57" s="1078">
        <f t="shared" ca="1" si="87"/>
        <v>6011.1715280695316</v>
      </c>
      <c r="BX57" s="1079">
        <f t="shared" ca="1" si="87"/>
        <v>726.95315799276523</v>
      </c>
      <c r="BY57" s="1080">
        <f t="shared" ca="1" si="87"/>
        <v>35196.76977534801</v>
      </c>
      <c r="CA57" s="1076">
        <f t="shared" ca="1" si="88"/>
        <v>10559.030932604406</v>
      </c>
      <c r="CB57" s="692">
        <f t="shared" ca="1" si="88"/>
        <v>614.28752929967175</v>
      </c>
      <c r="CD57" s="1076">
        <f t="shared" ca="1" si="89"/>
        <v>9652.6016836586605</v>
      </c>
      <c r="CE57" s="1079">
        <f t="shared" ca="1" si="89"/>
        <v>2971.2138518342745</v>
      </c>
      <c r="CF57" s="1080">
        <f t="shared" ca="1" si="89"/>
        <v>12623.815535492935</v>
      </c>
      <c r="CH57" s="1076">
        <f t="shared" ca="1" si="90"/>
        <v>1575</v>
      </c>
      <c r="CI57" s="166">
        <f t="shared" ca="1" si="90"/>
        <v>262.5</v>
      </c>
      <c r="CJ57" s="166">
        <f t="shared" ca="1" si="90"/>
        <v>2432.5034999999993</v>
      </c>
      <c r="CK57" s="166">
        <f t="shared" ca="1" si="90"/>
        <v>831.05510000000038</v>
      </c>
      <c r="CL57" s="166">
        <f t="shared" ca="1" si="90"/>
        <v>8900.0868434210552</v>
      </c>
      <c r="CM57" s="1079">
        <f t="shared" ca="1" si="90"/>
        <v>277.94117647058829</v>
      </c>
      <c r="CN57" s="183">
        <f t="shared" ca="1" si="90"/>
        <v>14279.086619891641</v>
      </c>
      <c r="CP57" s="1076">
        <f t="shared" ca="1" si="91"/>
        <v>73272.990392636653</v>
      </c>
      <c r="CQ57" s="187">
        <f t="shared" ca="1" si="91"/>
        <v>78035.734768158029</v>
      </c>
      <c r="CR57" s="893">
        <f t="shared" ca="1" si="91"/>
        <v>80159.974081312816</v>
      </c>
      <c r="CT57" s="1052">
        <f t="shared" ca="1" si="92"/>
        <v>80159.974081312816</v>
      </c>
      <c r="CU57" s="1081">
        <f t="shared" ca="1" si="92"/>
        <v>21</v>
      </c>
      <c r="CV57" s="1082">
        <f t="shared" ca="1" si="92"/>
        <v>480</v>
      </c>
      <c r="CW57" s="893">
        <f t="shared" ca="1" si="92"/>
        <v>7952.3783810826208</v>
      </c>
    </row>
    <row r="58" spans="2:101">
      <c r="B58" s="1083">
        <f t="shared" si="97"/>
        <v>4</v>
      </c>
      <c r="C58" s="1074">
        <f>Tariff!D45</f>
        <v>7854.93</v>
      </c>
      <c r="D58" s="1071"/>
      <c r="E58" s="999">
        <f t="shared" ca="1" si="80"/>
        <v>9285.282780447913</v>
      </c>
      <c r="F58" s="187">
        <f ca="1">VLOOKUP($B58,Tariff_Table_R,'R$ Table'!$AB$50)</f>
        <v>1091.1042431198928</v>
      </c>
      <c r="G58" s="893">
        <f t="shared" ca="1" si="93"/>
        <v>10376.387023567806</v>
      </c>
      <c r="H58" s="898">
        <f t="shared" ca="1" si="81"/>
        <v>0.89484738371442041</v>
      </c>
      <c r="I58" s="820">
        <f t="shared" ca="1" si="81"/>
        <v>0.10515261628557959</v>
      </c>
      <c r="J58" s="1"/>
      <c r="K58" s="1002">
        <f t="shared" ca="1" si="82"/>
        <v>1</v>
      </c>
      <c r="N58" s="678">
        <f t="shared" ca="1" si="98"/>
        <v>2002</v>
      </c>
      <c r="O58" s="1048">
        <f ca="1">IF($N58&lt;YEAR(Startops3),0,VLOOKUP(($N58-YEAR(Startops3)+1)*2-'Debt Amort'!$B$36,Fin_Table,'Debt Amort'!AE$77))</f>
        <v>10000.325892857143</v>
      </c>
      <c r="P58" s="1047">
        <f ca="1">IF($N58&lt;YEAR(Startops3),0,VLOOKUP(($N58-YEAR(Startops3)+1)*2-'Debt Amort'!$B$36,Fin_Table,'Debt Amort'!AF$77))</f>
        <v>10017.857142857143</v>
      </c>
      <c r="Q58" s="1072"/>
      <c r="R58" s="892">
        <f ca="1">IF($N58&lt;YEAR(Startops3),0,VLOOKUP(($N58-YEAR(Startops3)+1)*2-'Debt Amort'!$B$36,Fin_Table,'Debt Amort'!AG$77))</f>
        <v>3987.2512629522103</v>
      </c>
      <c r="S58" s="1075">
        <f ca="1">IF($N58&lt;YEAR(Startops3),0,VLOOKUP(($N58-YEAR(Startops3)+1)*2-'Debt Amort'!$B$36,Fin_Table,'Debt Amort'!AH$77))</f>
        <v>545.21486849457392</v>
      </c>
      <c r="T58" s="900">
        <f t="shared" ca="1" si="83"/>
        <v>24550.649167161071</v>
      </c>
      <c r="W58" s="678">
        <f t="shared" ca="1" si="94"/>
        <v>2002</v>
      </c>
      <c r="X58" s="1048">
        <f ca="1">IF($N58&lt;YEAR(Startops3),0,VLOOKUP(($N58-YEAR(Startops3)+1)*2-'Debt Amort'!$B$36,Fin_Table,'Debt Amort'!AC$77))</f>
        <v>6397.3320310436538</v>
      </c>
      <c r="Z58" s="1047">
        <f ca="1">IF($N58&lt;YEAR(Startops3),0,VLOOKUP(($N58-YEAR(Startops3)+1)*2-'Debt Amort'!$B$36,Fin_Table,'Debt Amort'!AD$77))</f>
        <v>2228.4103888757058</v>
      </c>
      <c r="AA58" s="900">
        <f t="shared" ca="1" si="84"/>
        <v>8625.7424199193592</v>
      </c>
      <c r="AC58" s="678">
        <f t="shared" ca="1" si="95"/>
        <v>2002</v>
      </c>
      <c r="AD58" s="892">
        <f ca="1">HLOOKUP($AC58,Rev_Exp_Table,Rev_Exp!$AA$81)/HLOOKUP($AC58,Rev_Exp_Table,Rev_Exp!$AA$25)</f>
        <v>900</v>
      </c>
      <c r="AE58" s="892">
        <f ca="1">HLOOKUP($AC58,Rev_Exp_Table,Rev_Exp!$AA$82)/HLOOKUP($AC58,Rev_Exp_Table,Rev_Exp!$AA$25)</f>
        <v>150</v>
      </c>
      <c r="AF58" s="892">
        <f ca="1">HLOOKUP($AC58,Rev_Exp_Table,Rev_Exp!$AA$83)/HLOOKUP($AC58,Rev_Exp_Table,Rev_Exp!$AA$25)</f>
        <v>1390.0019999999997</v>
      </c>
      <c r="AG58" s="892">
        <f ca="1">HLOOKUP($AC58,Rev_Exp_Table,Rev_Exp!$AA$84)/HLOOKUP($AC58,Rev_Exp_Table,Rev_Exp!$AA$25)</f>
        <v>490.31970000000024</v>
      </c>
      <c r="AH58" s="892">
        <f>AVERAGE(Trapped!$G$64:$Y$64)*(1+Trapped!$D$67)</f>
        <v>5085.763910526317</v>
      </c>
      <c r="AI58" s="1047">
        <f t="shared" ca="1" si="85"/>
        <v>158.82352941176472</v>
      </c>
      <c r="AJ58" s="1049">
        <f t="shared" ca="1" si="86"/>
        <v>8174.9091399380814</v>
      </c>
      <c r="BI58"/>
      <c r="BR58" s="1083">
        <f t="shared" si="96"/>
        <v>4</v>
      </c>
      <c r="BU58" s="1076">
        <f t="shared" ca="1" si="87"/>
        <v>9757.8937499999993</v>
      </c>
      <c r="BV58" s="1077">
        <f t="shared" ca="1" si="87"/>
        <v>10017.857142857143</v>
      </c>
      <c r="BW58" s="1078">
        <f t="shared" ca="1" si="87"/>
        <v>3963.7632477707912</v>
      </c>
      <c r="BX58" s="1079">
        <f t="shared" ca="1" si="87"/>
        <v>671.59559538535291</v>
      </c>
      <c r="BY58" s="1080">
        <f t="shared" ca="1" si="87"/>
        <v>24411.109736013284</v>
      </c>
      <c r="CA58" s="1076">
        <f t="shared" ca="1" si="88"/>
        <v>7323.3329208039886</v>
      </c>
      <c r="CB58" s="692">
        <f t="shared" ca="1" si="88"/>
        <v>353.09663005994537</v>
      </c>
      <c r="CD58" s="1076">
        <f t="shared" ca="1" si="89"/>
        <v>6297.6292362280401</v>
      </c>
      <c r="CE58" s="1079">
        <f t="shared" ca="1" si="89"/>
        <v>2328.1131836913187</v>
      </c>
      <c r="CF58" s="1080">
        <f t="shared" ca="1" si="89"/>
        <v>8625.7424199193592</v>
      </c>
      <c r="CH58" s="1076">
        <f t="shared" ca="1" si="90"/>
        <v>900</v>
      </c>
      <c r="CI58" s="166">
        <f t="shared" ca="1" si="90"/>
        <v>150</v>
      </c>
      <c r="CJ58" s="166">
        <f t="shared" ca="1" si="90"/>
        <v>1390.0019999999997</v>
      </c>
      <c r="CK58" s="166">
        <f t="shared" ca="1" si="90"/>
        <v>490.31970000000024</v>
      </c>
      <c r="CL58" s="166">
        <f t="shared" ca="1" si="90"/>
        <v>5085.763910526317</v>
      </c>
      <c r="CM58" s="1079">
        <f t="shared" ca="1" si="90"/>
        <v>158.82352941176472</v>
      </c>
      <c r="CN58" s="183">
        <f t="shared" ca="1" si="90"/>
        <v>8174.9091399380814</v>
      </c>
      <c r="CP58" s="1076">
        <f t="shared" ca="1" si="91"/>
        <v>48888.190846734666</v>
      </c>
      <c r="CQ58" s="187">
        <f t="shared" ca="1" si="91"/>
        <v>52065.923251772416</v>
      </c>
      <c r="CR58" s="893">
        <f t="shared" ca="1" si="91"/>
        <v>53483.228815379982</v>
      </c>
      <c r="CT58" s="1052">
        <f t="shared" ca="1" si="92"/>
        <v>53483.228815379982</v>
      </c>
      <c r="CU58" s="1081">
        <f t="shared" ca="1" si="92"/>
        <v>12</v>
      </c>
      <c r="CV58" s="1082">
        <f t="shared" ca="1" si="92"/>
        <v>480</v>
      </c>
      <c r="CW58" s="893">
        <f t="shared" ca="1" si="92"/>
        <v>9285.282780447913</v>
      </c>
    </row>
    <row r="59" spans="2:101">
      <c r="B59" s="1083">
        <f t="shared" si="97"/>
        <v>5</v>
      </c>
      <c r="C59" s="1074">
        <f>Tariff!D46</f>
        <v>9495.86</v>
      </c>
      <c r="D59" s="1071"/>
      <c r="E59" s="999">
        <f t="shared" ca="1" si="80"/>
        <v>9282.9778283271917</v>
      </c>
      <c r="F59" s="187">
        <f ca="1">VLOOKUP($B59,Tariff_Table_R,'R$ Table'!$AB$50)</f>
        <v>777.8310965993104</v>
      </c>
      <c r="G59" s="893">
        <f t="shared" ca="1" si="93"/>
        <v>10060.808924926501</v>
      </c>
      <c r="H59" s="898">
        <f t="shared" ca="1" si="81"/>
        <v>0.92268702224607735</v>
      </c>
      <c r="I59" s="820">
        <f t="shared" ca="1" si="81"/>
        <v>7.731297775392279E-2</v>
      </c>
      <c r="J59" s="1"/>
      <c r="K59" s="1002">
        <f t="shared" ca="1" si="82"/>
        <v>1.0000000000000002</v>
      </c>
      <c r="N59" s="678">
        <f t="shared" ca="1" si="98"/>
        <v>2003</v>
      </c>
      <c r="O59" s="1048">
        <f ca="1">IF($N59&lt;YEAR(Startops3),0,VLOOKUP(($N59-YEAR(Startops3)+1)*2-'Debt Amort'!$B$36,Fin_Table,'Debt Amort'!AE$77))</f>
        <v>9273.0294642857134</v>
      </c>
      <c r="P59" s="1047">
        <f ca="1">IF($N59&lt;YEAR(Startops3),0,VLOOKUP(($N59-YEAR(Startops3)+1)*2-'Debt Amort'!$B$36,Fin_Table,'Debt Amort'!AF$77))</f>
        <v>10017.857142857143</v>
      </c>
      <c r="Q59" s="1072"/>
      <c r="R59" s="892">
        <f ca="1">IF($N59&lt;YEAR(Startops3),0,VLOOKUP(($N59-YEAR(Startops3)+1)*2-'Debt Amort'!$B$36,Fin_Table,'Debt Amort'!AG$77))</f>
        <v>3916.7872174079521</v>
      </c>
      <c r="S59" s="1075">
        <f ca="1">IF($N59&lt;YEAR(Startops3),0,VLOOKUP(($N59-YEAR(Startops3)+1)*2-'Debt Amort'!$B$36,Fin_Table,'Debt Amort'!AH$77))</f>
        <v>924.357049166911</v>
      </c>
      <c r="T59" s="900">
        <f t="shared" ca="1" si="83"/>
        <v>24132.030873717722</v>
      </c>
      <c r="W59" s="678">
        <f t="shared" ca="1" si="94"/>
        <v>2003</v>
      </c>
      <c r="X59" s="1048">
        <f ca="1">IF($N59&lt;YEAR(Startops3),0,VLOOKUP(($N59-YEAR(Startops3)+1)*2-'Debt Amort'!$B$36,Fin_Table,'Debt Amort'!AC$77))</f>
        <v>6098.2236465968126</v>
      </c>
      <c r="Z59" s="1047">
        <f ca="1">IF($N59&lt;YEAR(Startops3),0,VLOOKUP(($N59-YEAR(Startops3)+1)*2-'Debt Amort'!$B$36,Fin_Table,'Debt Amort'!AD$77))</f>
        <v>2527.5187733225443</v>
      </c>
      <c r="AA59" s="900">
        <f t="shared" ca="1" si="84"/>
        <v>8625.7424199193574</v>
      </c>
      <c r="AC59" s="678">
        <f t="shared" ca="1" si="95"/>
        <v>2003</v>
      </c>
      <c r="AD59" s="892">
        <f ca="1">HLOOKUP($AC59,Rev_Exp_Table,Rev_Exp!$AA$81)/HLOOKUP($AC59,Rev_Exp_Table,Rev_Exp!$AA$25)</f>
        <v>900</v>
      </c>
      <c r="AE59" s="892">
        <f ca="1">HLOOKUP($AC59,Rev_Exp_Table,Rev_Exp!$AA$82)/HLOOKUP($AC59,Rev_Exp_Table,Rev_Exp!$AA$25)</f>
        <v>150</v>
      </c>
      <c r="AF59" s="892">
        <f ca="1">HLOOKUP($AC59,Rev_Exp_Table,Rev_Exp!$AA$83)/HLOOKUP($AC59,Rev_Exp_Table,Rev_Exp!$AA$25)</f>
        <v>1390.0019999999997</v>
      </c>
      <c r="AG59" s="892">
        <f ca="1">HLOOKUP($AC59,Rev_Exp_Table,Rev_Exp!$AA$84)/HLOOKUP($AC59,Rev_Exp_Table,Rev_Exp!$AA$25)</f>
        <v>490.31970000000018</v>
      </c>
      <c r="AH59" s="892">
        <f>AVERAGE(Trapped!$G$64:$Y$64)*(1+Trapped!$D$67)</f>
        <v>5085.763910526317</v>
      </c>
      <c r="AI59" s="1047">
        <f t="shared" ca="1" si="85"/>
        <v>158.82352941176472</v>
      </c>
      <c r="AJ59" s="1049">
        <f t="shared" ca="1" si="86"/>
        <v>8174.9091399380814</v>
      </c>
      <c r="BI59"/>
      <c r="BR59" s="1083">
        <f t="shared" si="96"/>
        <v>5</v>
      </c>
      <c r="BU59" s="1076">
        <f t="shared" ca="1" si="87"/>
        <v>9030.5973214285714</v>
      </c>
      <c r="BV59" s="1077">
        <f t="shared" ca="1" si="87"/>
        <v>10017.857142857143</v>
      </c>
      <c r="BW59" s="1078">
        <f t="shared" ca="1" si="87"/>
        <v>3867.5213235450647</v>
      </c>
      <c r="BX59" s="1079">
        <f t="shared" ca="1" si="87"/>
        <v>1481.7408878031392</v>
      </c>
      <c r="BY59" s="1080">
        <f t="shared" ca="1" si="87"/>
        <v>24397.716675633917</v>
      </c>
      <c r="CA59" s="1076">
        <f t="shared" ca="1" si="88"/>
        <v>7319.3150026901767</v>
      </c>
      <c r="CB59" s="692">
        <f t="shared" ca="1" si="88"/>
        <v>358.37174346050278</v>
      </c>
      <c r="CD59" s="1076">
        <f t="shared" ca="1" si="89"/>
        <v>5985.1382441470732</v>
      </c>
      <c r="CE59" s="1079">
        <f t="shared" ca="1" si="89"/>
        <v>2640.6041757722837</v>
      </c>
      <c r="CF59" s="1080">
        <f t="shared" ca="1" si="89"/>
        <v>8625.7424199193574</v>
      </c>
      <c r="CH59" s="1076">
        <f t="shared" ca="1" si="90"/>
        <v>900</v>
      </c>
      <c r="CI59" s="166">
        <f t="shared" ca="1" si="90"/>
        <v>150</v>
      </c>
      <c r="CJ59" s="166">
        <f t="shared" ca="1" si="90"/>
        <v>1390.0019999999997</v>
      </c>
      <c r="CK59" s="166">
        <f t="shared" ca="1" si="90"/>
        <v>490.31970000000013</v>
      </c>
      <c r="CL59" s="166">
        <f t="shared" ca="1" si="90"/>
        <v>5085.763910526317</v>
      </c>
      <c r="CM59" s="1079">
        <f t="shared" ca="1" si="90"/>
        <v>158.82352941176472</v>
      </c>
      <c r="CN59" s="183">
        <f t="shared" ca="1" si="90"/>
        <v>8174.9091399380814</v>
      </c>
      <c r="CP59" s="1076">
        <f t="shared" ca="1" si="91"/>
        <v>48876.054981642039</v>
      </c>
      <c r="CQ59" s="187">
        <f t="shared" ca="1" si="91"/>
        <v>52052.998555448772</v>
      </c>
      <c r="CR59" s="893">
        <f t="shared" ca="1" si="91"/>
        <v>53469.952291164627</v>
      </c>
      <c r="CT59" s="1052">
        <f t="shared" ca="1" si="92"/>
        <v>53469.952291164627</v>
      </c>
      <c r="CU59" s="1081">
        <f t="shared" ca="1" si="92"/>
        <v>12</v>
      </c>
      <c r="CV59" s="1082">
        <f t="shared" ca="1" si="92"/>
        <v>480</v>
      </c>
      <c r="CW59" s="893">
        <f t="shared" ca="1" si="92"/>
        <v>9282.9778283271917</v>
      </c>
    </row>
    <row r="60" spans="2:101">
      <c r="B60" s="1083">
        <f t="shared" si="97"/>
        <v>6</v>
      </c>
      <c r="C60" s="1074">
        <f>Tariff!D47</f>
        <v>9425.51</v>
      </c>
      <c r="D60" s="1071"/>
      <c r="E60" s="999">
        <f t="shared" ca="1" si="80"/>
        <v>9386.1324845575909</v>
      </c>
      <c r="F60" s="187">
        <f ca="1">VLOOKUP($B60,Tariff_Table_R,'R$ Table'!$AB$50)</f>
        <v>234.53559139561227</v>
      </c>
      <c r="G60" s="893">
        <f t="shared" ca="1" si="93"/>
        <v>9620.6680759532028</v>
      </c>
      <c r="H60" s="898">
        <f t="shared" ca="1" si="81"/>
        <v>0.97562169388404196</v>
      </c>
      <c r="I60" s="820">
        <f t="shared" ca="1" si="81"/>
        <v>2.4378306115958044E-2</v>
      </c>
      <c r="J60" s="1"/>
      <c r="K60" s="1002">
        <f t="shared" ca="1" si="82"/>
        <v>1</v>
      </c>
      <c r="N60" s="678">
        <f t="shared" ca="1" si="98"/>
        <v>2004</v>
      </c>
      <c r="O60" s="1048">
        <f ca="1">IF($N60&lt;YEAR(Startops3),0,VLOOKUP(($N60-YEAR(Startops3)+1)*2-'Debt Amort'!$B$36,Fin_Table,'Debt Amort'!AE$77))</f>
        <v>8545.7330357142873</v>
      </c>
      <c r="P60" s="1047">
        <f ca="1">IF($N60&lt;YEAR(Startops3),0,VLOOKUP(($N60-YEAR(Startops3)+1)*2-'Debt Amort'!$B$36,Fin_Table,'Debt Amort'!AF$77))</f>
        <v>10017.857142857143</v>
      </c>
      <c r="Q60" s="1072"/>
      <c r="R60" s="892">
        <f ca="1">IF($N60&lt;YEAR(Startops3),0,VLOOKUP(($N60-YEAR(Startops3)+1)*2-'Debt Amort'!$B$36,Fin_Table,'Debt Amort'!AG$77))</f>
        <v>3768.9895358192889</v>
      </c>
      <c r="S60" s="1075">
        <f ca="1">IF($N60&lt;YEAR(Startops3),0,VLOOKUP(($N60-YEAR(Startops3)+1)*2-'Debt Amort'!$B$36,Fin_Table,'Debt Amort'!AH$77))</f>
        <v>2596.5085650755955</v>
      </c>
      <c r="T60" s="900">
        <f t="shared" ca="1" si="83"/>
        <v>24929.088279466312</v>
      </c>
      <c r="W60" s="678">
        <f t="shared" ca="1" si="94"/>
        <v>2004</v>
      </c>
      <c r="X60" s="1048">
        <f ca="1">IF($N60&lt;YEAR(Startops3),0,VLOOKUP(($N60-YEAR(Startops3)+1)*2-'Debt Amort'!$B$36,Fin_Table,'Debt Amort'!AC$77))</f>
        <v>5758.9674392475936</v>
      </c>
      <c r="Z60" s="1047">
        <f ca="1">IF($N60&lt;YEAR(Startops3),0,VLOOKUP(($N60-YEAR(Startops3)+1)*2-'Debt Amort'!$B$36,Fin_Table,'Debt Amort'!AD$77))</f>
        <v>2866.7749806717629</v>
      </c>
      <c r="AA60" s="900">
        <f t="shared" ca="1" si="84"/>
        <v>8625.7424199193556</v>
      </c>
      <c r="AC60" s="678">
        <f t="shared" ca="1" si="95"/>
        <v>2004</v>
      </c>
      <c r="AD60" s="892">
        <f ca="1">HLOOKUP($AC60,Rev_Exp_Table,Rev_Exp!$AA$81)/HLOOKUP($AC60,Rev_Exp_Table,Rev_Exp!$AA$25)</f>
        <v>900</v>
      </c>
      <c r="AE60" s="892">
        <f ca="1">HLOOKUP($AC60,Rev_Exp_Table,Rev_Exp!$AA$82)/HLOOKUP($AC60,Rev_Exp_Table,Rev_Exp!$AA$25)</f>
        <v>150</v>
      </c>
      <c r="AF60" s="892">
        <f ca="1">HLOOKUP($AC60,Rev_Exp_Table,Rev_Exp!$AA$83)/HLOOKUP($AC60,Rev_Exp_Table,Rev_Exp!$AA$25)</f>
        <v>1390.0019999999997</v>
      </c>
      <c r="AG60" s="892">
        <f ca="1">HLOOKUP($AC60,Rev_Exp_Table,Rev_Exp!$AA$84)/HLOOKUP($AC60,Rev_Exp_Table,Rev_Exp!$AA$25)</f>
        <v>490.31970000000018</v>
      </c>
      <c r="AH60" s="892">
        <f>AVERAGE(Trapped!$G$64:$Y$64)*(1+Trapped!$D$67)</f>
        <v>5085.763910526317</v>
      </c>
      <c r="AI60" s="1047">
        <f t="shared" ca="1" si="85"/>
        <v>158.82352941176472</v>
      </c>
      <c r="AJ60" s="1049">
        <f t="shared" ca="1" si="86"/>
        <v>8174.9091399380814</v>
      </c>
      <c r="BI60"/>
      <c r="BR60" s="1083">
        <f t="shared" si="96"/>
        <v>6</v>
      </c>
      <c r="BU60" s="1076">
        <f t="shared" ca="1" si="87"/>
        <v>8303.3008928571453</v>
      </c>
      <c r="BV60" s="1077">
        <f t="shared" ca="1" si="87"/>
        <v>10017.857142857143</v>
      </c>
      <c r="BW60" s="1078">
        <f t="shared" ca="1" si="87"/>
        <v>3668.7945874212623</v>
      </c>
      <c r="BX60" s="1079">
        <f t="shared" ca="1" si="87"/>
        <v>2829.7731245429536</v>
      </c>
      <c r="BY60" s="1080">
        <f t="shared" ca="1" si="87"/>
        <v>24819.725747678505</v>
      </c>
      <c r="CA60" s="1076">
        <f t="shared" ca="1" si="88"/>
        <v>7445.9177243035519</v>
      </c>
      <c r="CB60" s="692">
        <f t="shared" ca="1" si="88"/>
        <v>352.88229079794252</v>
      </c>
      <c r="CD60" s="1076">
        <f t="shared" ca="1" si="89"/>
        <v>5630.7031486540382</v>
      </c>
      <c r="CE60" s="1079">
        <f t="shared" ca="1" si="89"/>
        <v>2995.0392712653193</v>
      </c>
      <c r="CF60" s="1080">
        <f t="shared" ca="1" si="89"/>
        <v>8625.7424199193574</v>
      </c>
      <c r="CH60" s="1076">
        <f t="shared" ca="1" si="90"/>
        <v>900</v>
      </c>
      <c r="CI60" s="166">
        <f t="shared" ca="1" si="90"/>
        <v>150</v>
      </c>
      <c r="CJ60" s="166">
        <f t="shared" ca="1" si="90"/>
        <v>1390.0019999999997</v>
      </c>
      <c r="CK60" s="166">
        <f t="shared" ca="1" si="90"/>
        <v>490.31970000000013</v>
      </c>
      <c r="CL60" s="166">
        <f t="shared" ca="1" si="90"/>
        <v>5085.763910526317</v>
      </c>
      <c r="CM60" s="1079">
        <f t="shared" ca="1" si="90"/>
        <v>158.82352941176472</v>
      </c>
      <c r="CN60" s="183">
        <f t="shared" ca="1" si="90"/>
        <v>8174.9091399380814</v>
      </c>
      <c r="CP60" s="1076">
        <f t="shared" ca="1" si="91"/>
        <v>49419.177322637435</v>
      </c>
      <c r="CQ60" s="187">
        <f t="shared" ca="1" si="91"/>
        <v>52631.423848608865</v>
      </c>
      <c r="CR60" s="893">
        <f t="shared" ca="1" si="91"/>
        <v>54064.123111051733</v>
      </c>
      <c r="CT60" s="1052">
        <f t="shared" ca="1" si="92"/>
        <v>54064.123111051733</v>
      </c>
      <c r="CU60" s="1081">
        <f t="shared" ca="1" si="92"/>
        <v>12</v>
      </c>
      <c r="CV60" s="1082">
        <f t="shared" ca="1" si="92"/>
        <v>480</v>
      </c>
      <c r="CW60" s="893">
        <f t="shared" ca="1" si="92"/>
        <v>9386.1324845575946</v>
      </c>
    </row>
    <row r="61" spans="2:101">
      <c r="B61" s="1083">
        <f t="shared" si="97"/>
        <v>7</v>
      </c>
      <c r="C61" s="1074">
        <f>Tariff!D48</f>
        <v>9803.42</v>
      </c>
      <c r="D61" s="1071"/>
      <c r="E61" s="999">
        <f t="shared" ca="1" si="80"/>
        <v>9275.9577495570029</v>
      </c>
      <c r="F61" s="187">
        <f ca="1">VLOOKUP($B61,Tariff_Table_R,'R$ Table'!$AB$50)</f>
        <v>245.67584256294415</v>
      </c>
      <c r="G61" s="893">
        <f t="shared" ca="1" si="93"/>
        <v>9521.6335921199479</v>
      </c>
      <c r="H61" s="898">
        <f t="shared" ca="1" si="81"/>
        <v>0.97419814150732864</v>
      </c>
      <c r="I61" s="820">
        <f t="shared" ca="1" si="81"/>
        <v>2.5801858492671272E-2</v>
      </c>
      <c r="J61" s="1"/>
      <c r="K61" s="1002">
        <f t="shared" ca="1" si="82"/>
        <v>0.99999999999999989</v>
      </c>
      <c r="N61" s="678">
        <f t="shared" ca="1" si="98"/>
        <v>2005</v>
      </c>
      <c r="O61" s="1048">
        <f ca="1">IF($N61&lt;YEAR(Startops3),0,VLOOKUP(($N61-YEAR(Startops3)+1)*2-'Debt Amort'!$B$36,Fin_Table,'Debt Amort'!AE$77))</f>
        <v>7818.4366071428594</v>
      </c>
      <c r="P61" s="1047">
        <f ca="1">IF($N61&lt;YEAR(Startops3),0,VLOOKUP(($N61-YEAR(Startops3)+1)*2-'Debt Amort'!$B$36,Fin_Table,'Debt Amort'!AF$77))</f>
        <v>10017.857142857143</v>
      </c>
      <c r="Q61" s="1072"/>
      <c r="R61" s="892">
        <f ca="1">IF($N61&lt;YEAR(Startops3),0,VLOOKUP(($N61-YEAR(Startops3)+1)*2-'Debt Amort'!$B$36,Fin_Table,'Debt Amort'!AG$77))</f>
        <v>3468.4046906252097</v>
      </c>
      <c r="S61" s="1075">
        <f ca="1">IF($N61&lt;YEAR(Startops3),0,VLOOKUP(($N61-YEAR(Startops3)+1)*2-'Debt Amort'!$B$36,Fin_Table,'Debt Amort'!AH$77))</f>
        <v>3296.3022434776694</v>
      </c>
      <c r="T61" s="900">
        <f t="shared" ca="1" si="83"/>
        <v>24601.000684102884</v>
      </c>
      <c r="W61" s="678">
        <f t="shared" ca="1" si="94"/>
        <v>2005</v>
      </c>
      <c r="X61" s="1048">
        <f ca="1">IF($N61&lt;YEAR(Startops3),0,VLOOKUP(($N61-YEAR(Startops3)+1)*2-'Debt Amort'!$B$36,Fin_Table,'Debt Amort'!AC$77))</f>
        <v>5374.1745674669255</v>
      </c>
      <c r="Z61" s="1047">
        <f ca="1">IF($N61&lt;YEAR(Startops3),0,VLOOKUP(($N61-YEAR(Startops3)+1)*2-'Debt Amort'!$B$36,Fin_Table,'Debt Amort'!AD$77))</f>
        <v>3251.5678524524315</v>
      </c>
      <c r="AA61" s="900">
        <f t="shared" ca="1" si="84"/>
        <v>8625.7424199193574</v>
      </c>
      <c r="AC61" s="678">
        <f t="shared" ca="1" si="95"/>
        <v>2005</v>
      </c>
      <c r="AD61" s="892">
        <f ca="1">HLOOKUP($AC61,Rev_Exp_Table,Rev_Exp!$AA$81)/HLOOKUP($AC61,Rev_Exp_Table,Rev_Exp!$AA$25)</f>
        <v>900</v>
      </c>
      <c r="AE61" s="892">
        <f ca="1">HLOOKUP($AC61,Rev_Exp_Table,Rev_Exp!$AA$82)/HLOOKUP($AC61,Rev_Exp_Table,Rev_Exp!$AA$25)</f>
        <v>150</v>
      </c>
      <c r="AF61" s="892">
        <f ca="1">HLOOKUP($AC61,Rev_Exp_Table,Rev_Exp!$AA$83)/HLOOKUP($AC61,Rev_Exp_Table,Rev_Exp!$AA$25)</f>
        <v>1390.0019999999997</v>
      </c>
      <c r="AG61" s="892">
        <f ca="1">HLOOKUP($AC61,Rev_Exp_Table,Rev_Exp!$AA$84)/HLOOKUP($AC61,Rev_Exp_Table,Rev_Exp!$AA$25)</f>
        <v>490.31970000000018</v>
      </c>
      <c r="AH61" s="892">
        <f>AVERAGE(Trapped!$G$64:$Y$64)*(1+Trapped!$D$67)</f>
        <v>5085.763910526317</v>
      </c>
      <c r="AI61" s="1047">
        <f t="shared" ca="1" si="85"/>
        <v>158.82352941176472</v>
      </c>
      <c r="AJ61" s="1049">
        <f t="shared" ca="1" si="86"/>
        <v>8174.9091399380814</v>
      </c>
      <c r="BI61"/>
      <c r="BR61" s="1083">
        <f t="shared" si="96"/>
        <v>7</v>
      </c>
      <c r="BU61" s="1076">
        <f t="shared" ca="1" si="87"/>
        <v>7576.0044642857165</v>
      </c>
      <c r="BV61" s="1077">
        <f t="shared" ca="1" si="87"/>
        <v>10017.857142857143</v>
      </c>
      <c r="BW61" s="1078">
        <f t="shared" ca="1" si="87"/>
        <v>3344.3953524104054</v>
      </c>
      <c r="BX61" s="1079">
        <f t="shared" ca="1" si="87"/>
        <v>3442.3125751204207</v>
      </c>
      <c r="BY61" s="1080">
        <f t="shared" ca="1" si="87"/>
        <v>24380.569534673683</v>
      </c>
      <c r="CA61" s="1076">
        <f t="shared" ca="1" si="88"/>
        <v>7314.1708604021069</v>
      </c>
      <c r="CB61" s="692">
        <f t="shared" ca="1" si="88"/>
        <v>343.70142211462814</v>
      </c>
      <c r="CD61" s="1076">
        <f t="shared" ca="1" si="89"/>
        <v>5228.69400246845</v>
      </c>
      <c r="CE61" s="1079">
        <f t="shared" ca="1" si="89"/>
        <v>3397.0484174509065</v>
      </c>
      <c r="CF61" s="1080">
        <f t="shared" ca="1" si="89"/>
        <v>8625.7424199193556</v>
      </c>
      <c r="CH61" s="1076">
        <f t="shared" ca="1" si="90"/>
        <v>900</v>
      </c>
      <c r="CI61" s="166">
        <f t="shared" ca="1" si="90"/>
        <v>150</v>
      </c>
      <c r="CJ61" s="166">
        <f t="shared" ca="1" si="90"/>
        <v>1390.0019999999997</v>
      </c>
      <c r="CK61" s="166">
        <f t="shared" ca="1" si="90"/>
        <v>490.31970000000013</v>
      </c>
      <c r="CL61" s="166">
        <f t="shared" ca="1" si="90"/>
        <v>5085.763910526317</v>
      </c>
      <c r="CM61" s="1079">
        <f t="shared" ca="1" si="90"/>
        <v>158.82352941176472</v>
      </c>
      <c r="CN61" s="183">
        <f t="shared" ca="1" si="90"/>
        <v>8174.9091399380814</v>
      </c>
      <c r="CP61" s="1076">
        <f t="shared" ca="1" si="91"/>
        <v>48839.093377047859</v>
      </c>
      <c r="CQ61" s="187">
        <f t="shared" ca="1" si="91"/>
        <v>52013.634446555967</v>
      </c>
      <c r="CR61" s="893">
        <f t="shared" ca="1" si="91"/>
        <v>53429.516637448345</v>
      </c>
      <c r="CT61" s="1052">
        <f t="shared" ca="1" si="92"/>
        <v>53429.516637448345</v>
      </c>
      <c r="CU61" s="1081">
        <f t="shared" ca="1" si="92"/>
        <v>12</v>
      </c>
      <c r="CV61" s="1082">
        <f t="shared" ca="1" si="92"/>
        <v>480</v>
      </c>
      <c r="CW61" s="893">
        <f t="shared" ca="1" si="92"/>
        <v>9275.9577495570029</v>
      </c>
    </row>
    <row r="62" spans="2:101">
      <c r="B62" s="1083">
        <f t="shared" si="97"/>
        <v>8</v>
      </c>
      <c r="C62" s="1074">
        <f>Tariff!D49</f>
        <v>9776.1</v>
      </c>
      <c r="D62" s="1071"/>
      <c r="E62" s="999">
        <f t="shared" ca="1" si="80"/>
        <v>9091.5276150815935</v>
      </c>
      <c r="F62" s="187">
        <f ca="1">VLOOKUP($B62,Tariff_Table_R,'R$ Table'!$AB$50)</f>
        <v>275.16254477185834</v>
      </c>
      <c r="G62" s="893">
        <f t="shared" ca="1" si="93"/>
        <v>9366.6901598534514</v>
      </c>
      <c r="H62" s="898">
        <f t="shared" ca="1" si="81"/>
        <v>0.97062328954242216</v>
      </c>
      <c r="I62" s="820">
        <f t="shared" ca="1" si="81"/>
        <v>2.9376710457577841E-2</v>
      </c>
      <c r="J62" s="1"/>
      <c r="K62" s="1002">
        <f t="shared" ca="1" si="82"/>
        <v>1</v>
      </c>
      <c r="N62" s="678">
        <f t="shared" ca="1" si="98"/>
        <v>2006</v>
      </c>
      <c r="O62" s="1048">
        <f ca="1">IF($N62&lt;YEAR(Startops3),0,VLOOKUP(($N62-YEAR(Startops3)+1)*2-'Debt Amort'!$B$36,Fin_Table,'Debt Amort'!AE$77))</f>
        <v>7091.1401785714315</v>
      </c>
      <c r="P62" s="1047">
        <f ca="1">IF($N62&lt;YEAR(Startops3),0,VLOOKUP(($N62-YEAR(Startops3)+1)*2-'Debt Amort'!$B$36,Fin_Table,'Debt Amort'!AF$77))</f>
        <v>10017.857142857143</v>
      </c>
      <c r="Q62" s="1072"/>
      <c r="R62" s="892">
        <f ca="1">IF($N62&lt;YEAR(Startops3),0,VLOOKUP(($N62-YEAR(Startops3)+1)*2-'Debt Amort'!$B$36,Fin_Table,'Debt Amort'!AG$77))</f>
        <v>3096.3766759807963</v>
      </c>
      <c r="S62" s="1075">
        <f ca="1">IF($N62&lt;YEAR(Startops3),0,VLOOKUP(($N62-YEAR(Startops3)+1)*2-'Debt Amort'!$B$36,Fin_Table,'Debt Amort'!AH$77))</f>
        <v>3734.3332384059222</v>
      </c>
      <c r="T62" s="900">
        <f t="shared" ca="1" si="83"/>
        <v>23939.707235815291</v>
      </c>
      <c r="W62" s="678">
        <f t="shared" ca="1" si="94"/>
        <v>2006</v>
      </c>
      <c r="X62" s="1048">
        <f ca="1">IF($N62&lt;YEAR(Startops3),0,VLOOKUP(($N62-YEAR(Startops3)+1)*2-'Debt Amort'!$B$36,Fin_Table,'Debt Amort'!AC$77))</f>
        <v>4937.732872471498</v>
      </c>
      <c r="Z62" s="1047">
        <f ca="1">IF($N62&lt;YEAR(Startops3),0,VLOOKUP(($N62-YEAR(Startops3)+1)*2-'Debt Amort'!$B$36,Fin_Table,'Debt Amort'!AD$77))</f>
        <v>3688.0095474478567</v>
      </c>
      <c r="AA62" s="900">
        <f t="shared" ca="1" si="84"/>
        <v>8625.7424199193556</v>
      </c>
      <c r="AC62" s="678">
        <f t="shared" ca="1" si="95"/>
        <v>2006</v>
      </c>
      <c r="AD62" s="892">
        <f ca="1">HLOOKUP($AC62,Rev_Exp_Table,Rev_Exp!$AA$81)/HLOOKUP($AC62,Rev_Exp_Table,Rev_Exp!$AA$25)</f>
        <v>900</v>
      </c>
      <c r="AE62" s="892">
        <f ca="1">HLOOKUP($AC62,Rev_Exp_Table,Rev_Exp!$AA$82)/HLOOKUP($AC62,Rev_Exp_Table,Rev_Exp!$AA$25)</f>
        <v>150</v>
      </c>
      <c r="AF62" s="892">
        <f ca="1">HLOOKUP($AC62,Rev_Exp_Table,Rev_Exp!$AA$83)/HLOOKUP($AC62,Rev_Exp_Table,Rev_Exp!$AA$25)</f>
        <v>1390.0019999999997</v>
      </c>
      <c r="AG62" s="892">
        <f ca="1">HLOOKUP($AC62,Rev_Exp_Table,Rev_Exp!$AA$84)/HLOOKUP($AC62,Rev_Exp_Table,Rev_Exp!$AA$25)</f>
        <v>490.31970000000018</v>
      </c>
      <c r="AH62" s="892">
        <f>AVERAGE(Trapped!$G$64:$Y$64)*(1+Trapped!$D$67)</f>
        <v>5085.763910526317</v>
      </c>
      <c r="AI62" s="1047">
        <f t="shared" ca="1" si="85"/>
        <v>158.82352941176472</v>
      </c>
      <c r="AJ62" s="1049">
        <f t="shared" ca="1" si="86"/>
        <v>8174.9091399380814</v>
      </c>
      <c r="BI62"/>
      <c r="BR62" s="1083">
        <f t="shared" si="96"/>
        <v>8</v>
      </c>
      <c r="BU62" s="1076">
        <f t="shared" ca="1" si="87"/>
        <v>6848.7080357142895</v>
      </c>
      <c r="BV62" s="1077">
        <f t="shared" ca="1" si="87"/>
        <v>10017.857142857143</v>
      </c>
      <c r="BW62" s="1078">
        <f t="shared" ca="1" si="87"/>
        <v>2954.3238232535396</v>
      </c>
      <c r="BX62" s="1079">
        <f t="shared" ca="1" si="87"/>
        <v>3825.2110381835682</v>
      </c>
      <c r="BY62" s="1080">
        <f t="shared" ca="1" si="87"/>
        <v>23646.10004000854</v>
      </c>
      <c r="CA62" s="1076">
        <f t="shared" ca="1" si="88"/>
        <v>7093.8300120025633</v>
      </c>
      <c r="CB62" s="692">
        <f t="shared" ca="1" si="88"/>
        <v>327.46372869854008</v>
      </c>
      <c r="CD62" s="1076">
        <f t="shared" ca="1" si="89"/>
        <v>4772.7251786361021</v>
      </c>
      <c r="CE62" s="1079">
        <f t="shared" ca="1" si="89"/>
        <v>3853.0172412832526</v>
      </c>
      <c r="CF62" s="1080">
        <f t="shared" ca="1" si="89"/>
        <v>8625.7424199193556</v>
      </c>
      <c r="CH62" s="1076">
        <f t="shared" ca="1" si="90"/>
        <v>900</v>
      </c>
      <c r="CI62" s="166">
        <f t="shared" ca="1" si="90"/>
        <v>150</v>
      </c>
      <c r="CJ62" s="166">
        <f t="shared" ca="1" si="90"/>
        <v>1390.0019999999997</v>
      </c>
      <c r="CK62" s="166">
        <f t="shared" ca="1" si="90"/>
        <v>490.31970000000013</v>
      </c>
      <c r="CL62" s="166">
        <f t="shared" ca="1" si="90"/>
        <v>5085.763910526317</v>
      </c>
      <c r="CM62" s="1079">
        <f t="shared" ca="1" si="90"/>
        <v>158.82352941176472</v>
      </c>
      <c r="CN62" s="183">
        <f t="shared" ca="1" si="90"/>
        <v>8174.9091399380814</v>
      </c>
      <c r="CP62" s="1076">
        <f t="shared" ca="1" si="91"/>
        <v>47868.045340567085</v>
      </c>
      <c r="CQ62" s="187">
        <f t="shared" ca="1" si="91"/>
        <v>50979.468287703945</v>
      </c>
      <c r="CR62" s="893">
        <f t="shared" ca="1" si="91"/>
        <v>52367.199062869993</v>
      </c>
      <c r="CT62" s="1052">
        <f t="shared" ca="1" si="92"/>
        <v>52367.199062869993</v>
      </c>
      <c r="CU62" s="1081">
        <f t="shared" ca="1" si="92"/>
        <v>12</v>
      </c>
      <c r="CV62" s="1082">
        <f t="shared" ca="1" si="92"/>
        <v>480</v>
      </c>
      <c r="CW62" s="893">
        <f t="shared" ca="1" si="92"/>
        <v>9091.5276150815953</v>
      </c>
    </row>
    <row r="63" spans="2:101">
      <c r="B63" s="1083">
        <f t="shared" si="97"/>
        <v>9</v>
      </c>
      <c r="C63" s="1074">
        <f>Tariff!D50</f>
        <v>10096.24</v>
      </c>
      <c r="D63" s="1071"/>
      <c r="E63" s="999">
        <f t="shared" ca="1" si="80"/>
        <v>8765.8474637057698</v>
      </c>
      <c r="F63" s="187">
        <f ca="1">VLOOKUP($B63,Tariff_Table_R,'R$ Table'!$AB$50)</f>
        <v>337.68679310397926</v>
      </c>
      <c r="G63" s="893">
        <f t="shared" ca="1" si="93"/>
        <v>9103.5342568097494</v>
      </c>
      <c r="H63" s="898">
        <f t="shared" ca="1" si="81"/>
        <v>0.9629059677727495</v>
      </c>
      <c r="I63" s="820">
        <f t="shared" ca="1" si="81"/>
        <v>3.709403222725044E-2</v>
      </c>
      <c r="J63" s="1"/>
      <c r="K63" s="1002">
        <f t="shared" ca="1" si="82"/>
        <v>1</v>
      </c>
      <c r="N63" s="678">
        <f t="shared" ca="1" si="98"/>
        <v>2007</v>
      </c>
      <c r="O63" s="1048">
        <f ca="1">IF($N63&lt;YEAR(Startops3),0,VLOOKUP(($N63-YEAR(Startops3)+1)*2-'Debt Amort'!$B$36,Fin_Table,'Debt Amort'!AE$77))</f>
        <v>6363.8437500000036</v>
      </c>
      <c r="P63" s="1047">
        <f ca="1">IF($N63&lt;YEAR(Startops3),0,VLOOKUP(($N63-YEAR(Startops3)+1)*2-'Debt Amort'!$B$36,Fin_Table,'Debt Amort'!AF$77))</f>
        <v>10017.857142857143</v>
      </c>
      <c r="Q63" s="1072"/>
      <c r="R63" s="892">
        <f ca="1">IF($N63&lt;YEAR(Startops3),0,VLOOKUP(($N63-YEAR(Startops3)+1)*2-'Debt Amort'!$B$36,Fin_Table,'Debt Amort'!AG$77))</f>
        <v>2670.218117799026</v>
      </c>
      <c r="S63" s="1075">
        <f ca="1">IF($N63&lt;YEAR(Startops3),0,VLOOKUP(($N63-YEAR(Startops3)+1)*2-'Debt Amort'!$B$36,Fin_Table,'Debt Amort'!AH$77))</f>
        <v>4006.9666377388603</v>
      </c>
      <c r="T63" s="900">
        <f t="shared" ca="1" si="83"/>
        <v>23058.885648395033</v>
      </c>
      <c r="W63" s="678">
        <f t="shared" ca="1" si="94"/>
        <v>2007</v>
      </c>
      <c r="X63" s="1048">
        <f ca="1">IF($N63&lt;YEAR(Startops3),0,VLOOKUP(($N63-YEAR(Startops3)+1)*2-'Debt Amort'!$B$36,Fin_Table,'Debt Amort'!AC$77))</f>
        <v>4442.7097909653094</v>
      </c>
      <c r="Z63" s="1047">
        <f ca="1">IF($N63&lt;YEAR(Startops3),0,VLOOKUP(($N63-YEAR(Startops3)+1)*2-'Debt Amort'!$B$36,Fin_Table,'Debt Amort'!AD$77))</f>
        <v>4183.0326289540444</v>
      </c>
      <c r="AA63" s="900">
        <f t="shared" ca="1" si="84"/>
        <v>8625.7424199193538</v>
      </c>
      <c r="AC63" s="678">
        <f t="shared" ca="1" si="95"/>
        <v>2007</v>
      </c>
      <c r="AD63" s="892">
        <f ca="1">HLOOKUP($AC63,Rev_Exp_Table,Rev_Exp!$AA$81)/HLOOKUP($AC63,Rev_Exp_Table,Rev_Exp!$AA$25)</f>
        <v>900</v>
      </c>
      <c r="AE63" s="892">
        <f ca="1">HLOOKUP($AC63,Rev_Exp_Table,Rev_Exp!$AA$82)/HLOOKUP($AC63,Rev_Exp_Table,Rev_Exp!$AA$25)</f>
        <v>150</v>
      </c>
      <c r="AF63" s="892">
        <f ca="1">HLOOKUP($AC63,Rev_Exp_Table,Rev_Exp!$AA$83)/HLOOKUP($AC63,Rev_Exp_Table,Rev_Exp!$AA$25)</f>
        <v>1390.0019999999997</v>
      </c>
      <c r="AG63" s="892">
        <f ca="1">HLOOKUP($AC63,Rev_Exp_Table,Rev_Exp!$AA$84)/HLOOKUP($AC63,Rev_Exp_Table,Rev_Exp!$AA$25)</f>
        <v>490.31970000000018</v>
      </c>
      <c r="AH63" s="892">
        <f>AVERAGE(Trapped!$G$64:$Y$64)*(1+Trapped!$D$67)</f>
        <v>5085.763910526317</v>
      </c>
      <c r="AI63" s="1047">
        <f t="shared" ca="1" si="85"/>
        <v>158.82352941176472</v>
      </c>
      <c r="AJ63" s="1049">
        <f t="shared" ca="1" si="86"/>
        <v>8174.9091399380814</v>
      </c>
      <c r="BI63"/>
      <c r="BR63" s="1083">
        <f t="shared" si="96"/>
        <v>9</v>
      </c>
      <c r="BU63" s="1076">
        <f t="shared" ca="1" si="87"/>
        <v>6121.4116071428616</v>
      </c>
      <c r="BV63" s="1077">
        <f t="shared" ca="1" si="87"/>
        <v>10017.857142857143</v>
      </c>
      <c r="BW63" s="1078">
        <f t="shared" ca="1" si="87"/>
        <v>2523.1624421940096</v>
      </c>
      <c r="BX63" s="1079">
        <f t="shared" ca="1" si="87"/>
        <v>3684.653374527476</v>
      </c>
      <c r="BY63" s="1080">
        <f t="shared" ca="1" si="87"/>
        <v>22347.084566721489</v>
      </c>
      <c r="CA63" s="1076">
        <f t="shared" ca="1" si="88"/>
        <v>6704.1253700164489</v>
      </c>
      <c r="CB63" s="692">
        <f t="shared" ca="1" si="88"/>
        <v>301.4365635785241</v>
      </c>
      <c r="CD63" s="1076">
        <f t="shared" ca="1" si="89"/>
        <v>4255.5539394248572</v>
      </c>
      <c r="CE63" s="1079">
        <f t="shared" ca="1" si="89"/>
        <v>4370.1884804944957</v>
      </c>
      <c r="CF63" s="1080">
        <f t="shared" ca="1" si="89"/>
        <v>8625.742419919352</v>
      </c>
      <c r="CH63" s="1076">
        <f t="shared" ca="1" si="90"/>
        <v>900</v>
      </c>
      <c r="CI63" s="166">
        <f t="shared" ca="1" si="90"/>
        <v>150</v>
      </c>
      <c r="CJ63" s="166">
        <f t="shared" ca="1" si="90"/>
        <v>1390.0019999999997</v>
      </c>
      <c r="CK63" s="166">
        <f t="shared" ca="1" si="90"/>
        <v>490.31970000000013</v>
      </c>
      <c r="CL63" s="166">
        <f t="shared" ca="1" si="90"/>
        <v>5085.763910526317</v>
      </c>
      <c r="CM63" s="1079">
        <f t="shared" ca="1" si="90"/>
        <v>158.82352941176472</v>
      </c>
      <c r="CN63" s="183">
        <f t="shared" ca="1" si="90"/>
        <v>8174.9091399380814</v>
      </c>
      <c r="CP63" s="1076">
        <f t="shared" ca="1" si="91"/>
        <v>46153.298060173896</v>
      </c>
      <c r="CQ63" s="187">
        <f t="shared" ca="1" si="91"/>
        <v>49153.262434085198</v>
      </c>
      <c r="CR63" s="893">
        <f t="shared" ca="1" si="91"/>
        <v>50491.281390945245</v>
      </c>
      <c r="CT63" s="1052">
        <f t="shared" ca="1" si="92"/>
        <v>50491.281390945245</v>
      </c>
      <c r="CU63" s="1081">
        <f t="shared" ca="1" si="92"/>
        <v>12</v>
      </c>
      <c r="CV63" s="1082">
        <f t="shared" ca="1" si="92"/>
        <v>480</v>
      </c>
      <c r="CW63" s="893">
        <f t="shared" ca="1" si="92"/>
        <v>8765.8474637057716</v>
      </c>
    </row>
    <row r="64" spans="2:101">
      <c r="B64" s="1083">
        <f t="shared" si="97"/>
        <v>10</v>
      </c>
      <c r="C64" s="1074">
        <f>Tariff!D51</f>
        <v>10416.24</v>
      </c>
      <c r="D64" s="1071"/>
      <c r="E64" s="999">
        <f t="shared" ca="1" si="80"/>
        <v>8247.8597678463902</v>
      </c>
      <c r="F64" s="187">
        <f ca="1">VLOOKUP($B64,Tariff_Table_R,'R$ Table'!$AB$50)</f>
        <v>445.47039158992726</v>
      </c>
      <c r="G64" s="893">
        <f t="shared" ca="1" si="93"/>
        <v>8693.3301594363184</v>
      </c>
      <c r="H64" s="898">
        <f t="shared" ca="1" si="81"/>
        <v>0.94875722152271125</v>
      </c>
      <c r="I64" s="820">
        <f t="shared" ca="1" si="81"/>
        <v>5.12427784772886E-2</v>
      </c>
      <c r="J64" s="1"/>
      <c r="K64" s="1002">
        <f t="shared" ca="1" si="82"/>
        <v>0.99999999999999989</v>
      </c>
      <c r="N64" s="678">
        <f t="shared" ca="1" si="98"/>
        <v>2008</v>
      </c>
      <c r="O64" s="1048">
        <f ca="1">IF($N64&lt;YEAR(Startops3),0,VLOOKUP(($N64-YEAR(Startops3)+1)*2-'Debt Amort'!$B$36,Fin_Table,'Debt Amort'!AE$77))</f>
        <v>5636.5473214285757</v>
      </c>
      <c r="P64" s="1047">
        <f ca="1">IF($N64&lt;YEAR(Startops3),0,VLOOKUP(($N64-YEAR(Startops3)+1)*2-'Debt Amort'!$B$36,Fin_Table,'Debt Amort'!AF$77))</f>
        <v>10017.857142857143</v>
      </c>
      <c r="Q64" s="1072"/>
      <c r="R64" s="892">
        <f ca="1">IF($N64&lt;YEAR(Startops3),0,VLOOKUP(($N64-YEAR(Startops3)+1)*2-'Debt Amort'!$B$36,Fin_Table,'Debt Amort'!AG$77))</f>
        <v>2229.0510909839768</v>
      </c>
      <c r="S64" s="1075">
        <f ca="1">IF($N64&lt;YEAR(Startops3),0,VLOOKUP(($N64-YEAR(Startops3)+1)*2-'Debt Amort'!$B$36,Fin_Table,'Debt Amort'!AH$77))</f>
        <v>3040.0268481047083</v>
      </c>
      <c r="T64" s="900">
        <f t="shared" ca="1" si="83"/>
        <v>20923.482403374404</v>
      </c>
      <c r="W64" s="678">
        <f t="shared" ca="1" si="94"/>
        <v>2008</v>
      </c>
      <c r="X64" s="1048">
        <f ca="1">IF($N64&lt;YEAR(Startops3),0,VLOOKUP(($N64-YEAR(Startops3)+1)*2-'Debt Amort'!$B$36,Fin_Table,'Debt Amort'!AC$77))</f>
        <v>3881.2422363439537</v>
      </c>
      <c r="Z64" s="1047">
        <f ca="1">IF($N64&lt;YEAR(Startops3),0,VLOOKUP(($N64-YEAR(Startops3)+1)*2-'Debt Amort'!$B$36,Fin_Table,'Debt Amort'!AD$77))</f>
        <v>4744.5001835753974</v>
      </c>
      <c r="AA64" s="900">
        <f t="shared" ca="1" si="84"/>
        <v>8625.742419919352</v>
      </c>
      <c r="AC64" s="678">
        <f t="shared" ca="1" si="95"/>
        <v>2008</v>
      </c>
      <c r="AD64" s="892">
        <f ca="1">HLOOKUP($AC64,Rev_Exp_Table,Rev_Exp!$AA$81)/HLOOKUP($AC64,Rev_Exp_Table,Rev_Exp!$AA$25)</f>
        <v>900.00000000000011</v>
      </c>
      <c r="AE64" s="892">
        <f ca="1">HLOOKUP($AC64,Rev_Exp_Table,Rev_Exp!$AA$82)/HLOOKUP($AC64,Rev_Exp_Table,Rev_Exp!$AA$25)</f>
        <v>150</v>
      </c>
      <c r="AF64" s="892">
        <f ca="1">HLOOKUP($AC64,Rev_Exp_Table,Rev_Exp!$AA$83)/HLOOKUP($AC64,Rev_Exp_Table,Rev_Exp!$AA$25)</f>
        <v>1390.0019999999997</v>
      </c>
      <c r="AG64" s="892">
        <f ca="1">HLOOKUP($AC64,Rev_Exp_Table,Rev_Exp!$AA$84)/HLOOKUP($AC64,Rev_Exp_Table,Rev_Exp!$AA$25)</f>
        <v>490.31970000000018</v>
      </c>
      <c r="AH64" s="892">
        <f>AVERAGE(Trapped!$G$64:$Y$64)*(1+Trapped!$D$67)</f>
        <v>5085.763910526317</v>
      </c>
      <c r="AI64" s="1047">
        <f t="shared" ca="1" si="85"/>
        <v>158.82352941176472</v>
      </c>
      <c r="AJ64" s="1049">
        <f t="shared" ca="1" si="86"/>
        <v>8174.9091399380814</v>
      </c>
      <c r="BI64"/>
      <c r="BR64" s="1083">
        <f t="shared" si="96"/>
        <v>10</v>
      </c>
      <c r="BU64" s="1076">
        <f t="shared" ca="1" si="87"/>
        <v>5394.1151785714337</v>
      </c>
      <c r="BV64" s="1077">
        <f t="shared" ca="1" si="87"/>
        <v>10017.857142857143</v>
      </c>
      <c r="BW64" s="1078">
        <f t="shared" ca="1" si="87"/>
        <v>2135.2254507983207</v>
      </c>
      <c r="BX64" s="1079">
        <f t="shared" ca="1" si="87"/>
        <v>2717.713584893324</v>
      </c>
      <c r="BY64" s="1080">
        <f t="shared" ca="1" si="87"/>
        <v>20264.911357120222</v>
      </c>
      <c r="CA64" s="1076">
        <f t="shared" ca="1" si="88"/>
        <v>6079.4734071360672</v>
      </c>
      <c r="CB64" s="692">
        <f t="shared" ca="1" si="88"/>
        <v>280.99085694838192</v>
      </c>
      <c r="CD64" s="1076">
        <f t="shared" ca="1" si="89"/>
        <v>3668.9653906304848</v>
      </c>
      <c r="CE64" s="1079">
        <f t="shared" ca="1" si="89"/>
        <v>4956.7770292888672</v>
      </c>
      <c r="CF64" s="1080">
        <f t="shared" ca="1" si="89"/>
        <v>8625.742419919352</v>
      </c>
      <c r="CH64" s="1076">
        <f t="shared" ca="1" si="90"/>
        <v>900.00000000000011</v>
      </c>
      <c r="CI64" s="166">
        <f t="shared" ca="1" si="90"/>
        <v>150</v>
      </c>
      <c r="CJ64" s="166">
        <f t="shared" ca="1" si="90"/>
        <v>1390.0019999999997</v>
      </c>
      <c r="CK64" s="166">
        <f t="shared" ca="1" si="90"/>
        <v>490.31970000000013</v>
      </c>
      <c r="CL64" s="166">
        <f t="shared" ca="1" si="90"/>
        <v>5085.763910526317</v>
      </c>
      <c r="CM64" s="1079">
        <f t="shared" ca="1" si="90"/>
        <v>158.82352941176472</v>
      </c>
      <c r="CN64" s="183">
        <f t="shared" ca="1" si="90"/>
        <v>8174.9091399380814</v>
      </c>
      <c r="CP64" s="1076">
        <f t="shared" ca="1" si="91"/>
        <v>43426.027181062105</v>
      </c>
      <c r="CQ64" s="187">
        <f t="shared" ca="1" si="91"/>
        <v>46248.718947831141</v>
      </c>
      <c r="CR64" s="893">
        <f t="shared" ca="1" si="91"/>
        <v>47507.672262795211</v>
      </c>
      <c r="CT64" s="1052">
        <f t="shared" ca="1" si="92"/>
        <v>47507.672262795211</v>
      </c>
      <c r="CU64" s="1081">
        <f t="shared" ca="1" si="92"/>
        <v>12</v>
      </c>
      <c r="CV64" s="1082">
        <f t="shared" ca="1" si="92"/>
        <v>480</v>
      </c>
      <c r="CW64" s="893">
        <f t="shared" ca="1" si="92"/>
        <v>8247.8597678463902</v>
      </c>
    </row>
    <row r="65" spans="2:101">
      <c r="B65" s="1083">
        <f t="shared" si="97"/>
        <v>11</v>
      </c>
      <c r="C65" s="1074">
        <f>Tariff!D52</f>
        <v>10554.88</v>
      </c>
      <c r="D65" s="1071"/>
      <c r="E65" s="999">
        <f t="shared" ca="1" si="80"/>
        <v>7842.1177182793836</v>
      </c>
      <c r="F65" s="187">
        <f ca="1">VLOOKUP($B65,Tariff_Table_R,'R$ Table'!$AB$50)</f>
        <v>528.53368516120702</v>
      </c>
      <c r="G65" s="893">
        <f t="shared" ca="1" si="93"/>
        <v>8370.65140344059</v>
      </c>
      <c r="H65" s="898">
        <f t="shared" ca="1" si="81"/>
        <v>0.93685871508829488</v>
      </c>
      <c r="I65" s="820">
        <f t="shared" ca="1" si="81"/>
        <v>6.3141284911705162E-2</v>
      </c>
      <c r="J65" s="1"/>
      <c r="K65" s="1002">
        <f t="shared" ca="1" si="82"/>
        <v>1</v>
      </c>
      <c r="N65" s="678">
        <f t="shared" ca="1" si="98"/>
        <v>2009</v>
      </c>
      <c r="O65" s="1048">
        <f ca="1">IF($N65&lt;YEAR(Startops3),0,VLOOKUP(($N65-YEAR(Startops3)+1)*2-'Debt Amort'!$B$36,Fin_Table,'Debt Amort'!AE$77))</f>
        <v>4909.2508928571488</v>
      </c>
      <c r="P65" s="1047">
        <f ca="1">IF($N65&lt;YEAR(Startops3),0,VLOOKUP(($N65-YEAR(Startops3)+1)*2-'Debt Amort'!$B$36,Fin_Table,'Debt Amort'!AF$77))</f>
        <v>10017.857142857143</v>
      </c>
      <c r="Q65" s="1072"/>
      <c r="R65" s="892">
        <f ca="1">IF($N65&lt;YEAR(Startops3),0,VLOOKUP(($N65-YEAR(Startops3)+1)*2-'Debt Amort'!$B$36,Fin_Table,'Debt Amort'!AG$77))</f>
        <v>1947.5741704270088</v>
      </c>
      <c r="S65" s="1075">
        <f ca="1">IF($N65&lt;YEAR(Startops3),0,VLOOKUP(($N65-YEAR(Startops3)+1)*2-'Debt Amort'!$B$36,Fin_Table,'Debt Amort'!AH$77))</f>
        <v>2073.0870584705563</v>
      </c>
      <c r="T65" s="900">
        <f t="shared" ca="1" si="83"/>
        <v>18947.769264611856</v>
      </c>
      <c r="W65" s="678">
        <f t="shared" ca="1" si="94"/>
        <v>2009</v>
      </c>
      <c r="X65" s="1048">
        <f ca="1">IF($N65&lt;YEAR(Startops3),0,VLOOKUP(($N65-YEAR(Startops3)+1)*2-'Debt Amort'!$B$36,Fin_Table,'Debt Amort'!AC$77))</f>
        <v>3244.4116992035456</v>
      </c>
      <c r="Z65" s="1047">
        <f ca="1">IF($N65&lt;YEAR(Startops3),0,VLOOKUP(($N65-YEAR(Startops3)+1)*2-'Debt Amort'!$B$36,Fin_Table,'Debt Amort'!AD$77))</f>
        <v>5381.330720715805</v>
      </c>
      <c r="AA65" s="900">
        <f t="shared" ca="1" si="84"/>
        <v>8625.7424199193501</v>
      </c>
      <c r="AC65" s="678">
        <f t="shared" ca="1" si="95"/>
        <v>2009</v>
      </c>
      <c r="AD65" s="892">
        <f ca="1">HLOOKUP($AC65,Rev_Exp_Table,Rev_Exp!$AA$81)/HLOOKUP($AC65,Rev_Exp_Table,Rev_Exp!$AA$25)</f>
        <v>900</v>
      </c>
      <c r="AE65" s="892">
        <f ca="1">HLOOKUP($AC65,Rev_Exp_Table,Rev_Exp!$AA$82)/HLOOKUP($AC65,Rev_Exp_Table,Rev_Exp!$AA$25)</f>
        <v>150</v>
      </c>
      <c r="AF65" s="892">
        <f ca="1">HLOOKUP($AC65,Rev_Exp_Table,Rev_Exp!$AA$83)/HLOOKUP($AC65,Rev_Exp_Table,Rev_Exp!$AA$25)</f>
        <v>1390.0019999999997</v>
      </c>
      <c r="AG65" s="892">
        <f ca="1">HLOOKUP($AC65,Rev_Exp_Table,Rev_Exp!$AA$84)/HLOOKUP($AC65,Rev_Exp_Table,Rev_Exp!$AA$25)</f>
        <v>490.31970000000018</v>
      </c>
      <c r="AH65" s="892">
        <f>AVERAGE(Trapped!$G$64:$Y$64)*(1+Trapped!$D$67)</f>
        <v>5085.763910526317</v>
      </c>
      <c r="AI65" s="1047">
        <f t="shared" ca="1" si="85"/>
        <v>158.82352941176472</v>
      </c>
      <c r="AJ65" s="1049">
        <f t="shared" ca="1" si="86"/>
        <v>8174.9091399380814</v>
      </c>
      <c r="BI65"/>
      <c r="BR65" s="1083">
        <f t="shared" si="96"/>
        <v>11</v>
      </c>
      <c r="BU65" s="1076">
        <f t="shared" ref="BU65:BY74" ca="1" si="99">VLOOKUP($BR65,Tariff_Table_US2,BU$50)</f>
        <v>4666.8187500000058</v>
      </c>
      <c r="BV65" s="1077">
        <f t="shared" ca="1" si="99"/>
        <v>10017.857142857143</v>
      </c>
      <c r="BW65" s="1078">
        <f t="shared" ca="1" si="99"/>
        <v>1871.4918753811394</v>
      </c>
      <c r="BX65" s="1079">
        <f t="shared" ca="1" si="99"/>
        <v>2073.0870584705563</v>
      </c>
      <c r="BY65" s="1080">
        <f t="shared" ca="1" si="99"/>
        <v>18629.254826708842</v>
      </c>
      <c r="CA65" s="1076">
        <f t="shared" ca="1" si="88"/>
        <v>5588.7764480126534</v>
      </c>
      <c r="CB65" s="692">
        <f t="shared" ca="1" si="88"/>
        <v>271.0610234220901</v>
      </c>
      <c r="CD65" s="1076">
        <f t="shared" ca="1" si="89"/>
        <v>3003.641993874186</v>
      </c>
      <c r="CE65" s="1079">
        <f t="shared" ca="1" si="89"/>
        <v>5622.1004260451637</v>
      </c>
      <c r="CF65" s="1080">
        <f t="shared" ca="1" si="89"/>
        <v>8625.7424199193501</v>
      </c>
      <c r="CH65" s="1076">
        <f t="shared" ref="CH65:CN74" ca="1" si="100">VLOOKUP($BR65,Tariff_Table_US2,CH$50)</f>
        <v>900</v>
      </c>
      <c r="CI65" s="166">
        <f t="shared" ca="1" si="100"/>
        <v>150</v>
      </c>
      <c r="CJ65" s="166">
        <f t="shared" ca="1" si="100"/>
        <v>1390.0019999999997</v>
      </c>
      <c r="CK65" s="166">
        <f t="shared" ca="1" si="100"/>
        <v>490.31970000000018</v>
      </c>
      <c r="CL65" s="166">
        <f t="shared" ca="1" si="100"/>
        <v>5085.763910526317</v>
      </c>
      <c r="CM65" s="1079">
        <f t="shared" ca="1" si="100"/>
        <v>158.82352941176472</v>
      </c>
      <c r="CN65" s="183">
        <f t="shared" ca="1" si="100"/>
        <v>8174.9091399380814</v>
      </c>
      <c r="CP65" s="1076">
        <f t="shared" ca="1" si="91"/>
        <v>41289.74385800102</v>
      </c>
      <c r="CQ65" s="187">
        <f t="shared" ca="1" si="91"/>
        <v>43973.577208771087</v>
      </c>
      <c r="CR65" s="893">
        <f t="shared" ca="1" si="91"/>
        <v>45170.598057289244</v>
      </c>
      <c r="CT65" s="1052">
        <f t="shared" ca="1" si="92"/>
        <v>45170.598057289244</v>
      </c>
      <c r="CU65" s="1081">
        <f t="shared" ca="1" si="92"/>
        <v>12</v>
      </c>
      <c r="CV65" s="1082">
        <f t="shared" ca="1" si="92"/>
        <v>480</v>
      </c>
      <c r="CW65" s="893">
        <f t="shared" ca="1" si="92"/>
        <v>7842.1177182793826</v>
      </c>
    </row>
    <row r="66" spans="2:101">
      <c r="B66" s="1083">
        <f t="shared" si="97"/>
        <v>12</v>
      </c>
      <c r="C66" s="1074">
        <f>Tariff!D53</f>
        <v>10709.97</v>
      </c>
      <c r="D66" s="1071"/>
      <c r="E66" s="999">
        <f t="shared" ca="1" si="80"/>
        <v>7641.7468508645024</v>
      </c>
      <c r="F66" s="187">
        <f ca="1">VLOOKUP($B66,Tariff_Table_R,'R$ Table'!$AB$50)</f>
        <v>564.30929765866938</v>
      </c>
      <c r="G66" s="893">
        <f t="shared" ca="1" si="93"/>
        <v>8206.0561485231719</v>
      </c>
      <c r="H66" s="898">
        <f t="shared" ca="1" si="81"/>
        <v>0.93123258146847709</v>
      </c>
      <c r="I66" s="820">
        <f t="shared" ca="1" si="81"/>
        <v>6.876741853152285E-2</v>
      </c>
      <c r="J66" s="1"/>
      <c r="K66" s="1002">
        <f t="shared" ca="1" si="82"/>
        <v>1</v>
      </c>
      <c r="N66" s="678">
        <f t="shared" ca="1" si="98"/>
        <v>2010</v>
      </c>
      <c r="O66" s="1048">
        <f ca="1">IF($N66&lt;YEAR(Startops3),0,VLOOKUP(($N66-YEAR(Startops3)+1)*2-'Debt Amort'!$B$36,Fin_Table,'Debt Amort'!AE$77))</f>
        <v>4181.95446428572</v>
      </c>
      <c r="P66" s="1047">
        <f ca="1">IF($N66&lt;YEAR(Startops3),0,VLOOKUP(($N66-YEAR(Startops3)+1)*2-'Debt Amort'!$B$36,Fin_Table,'Debt Amort'!AF$77))</f>
        <v>10017.857142857143</v>
      </c>
      <c r="Q66" s="1072"/>
      <c r="R66" s="892">
        <f ca="1">IF($N66&lt;YEAR(Startops3),0,VLOOKUP(($N66-YEAR(Startops3)+1)*2-'Debt Amort'!$B$36,Fin_Table,'Debt Amort'!AG$77))</f>
        <v>1719.3272852894006</v>
      </c>
      <c r="S66" s="1075">
        <f ca="1">IF($N66&lt;YEAR(Startops3),0,VLOOKUP(($N66-YEAR(Startops3)+1)*2-'Debt Amort'!$B$36,Fin_Table,'Debt Amort'!AH$77))</f>
        <v>2073.0870584705563</v>
      </c>
      <c r="T66" s="900">
        <f t="shared" ca="1" si="83"/>
        <v>17992.225950902819</v>
      </c>
      <c r="W66" s="678">
        <f t="shared" ca="1" si="94"/>
        <v>2010</v>
      </c>
      <c r="X66" s="1048">
        <f ca="1">IF($N66&lt;YEAR(Startops3),0,VLOOKUP(($N66-YEAR(Startops3)+1)*2-'Debt Amort'!$B$36,Fin_Table,'Debt Amort'!AC$77))</f>
        <v>2522.1025832154669</v>
      </c>
      <c r="Z66" s="1047">
        <f ca="1">IF($N66&lt;YEAR(Startops3),0,VLOOKUP(($N66-YEAR(Startops3)+1)*2-'Debt Amort'!$B$36,Fin_Table,'Debt Amort'!AD$77))</f>
        <v>6103.6398367038801</v>
      </c>
      <c r="AA66" s="900">
        <f t="shared" ca="1" si="84"/>
        <v>8625.7424199193465</v>
      </c>
      <c r="AC66" s="678">
        <f t="shared" ca="1" si="95"/>
        <v>2010</v>
      </c>
      <c r="AD66" s="892">
        <f ca="1">HLOOKUP($AC66,Rev_Exp_Table,Rev_Exp!$AA$81)/HLOOKUP($AC66,Rev_Exp_Table,Rev_Exp!$AA$25)</f>
        <v>900</v>
      </c>
      <c r="AE66" s="892">
        <f ca="1">HLOOKUP($AC66,Rev_Exp_Table,Rev_Exp!$AA$82)/HLOOKUP($AC66,Rev_Exp_Table,Rev_Exp!$AA$25)</f>
        <v>150</v>
      </c>
      <c r="AF66" s="892">
        <f ca="1">HLOOKUP($AC66,Rev_Exp_Table,Rev_Exp!$AA$83)/HLOOKUP($AC66,Rev_Exp_Table,Rev_Exp!$AA$25)</f>
        <v>1390.0019999999997</v>
      </c>
      <c r="AG66" s="892">
        <f ca="1">HLOOKUP($AC66,Rev_Exp_Table,Rev_Exp!$AA$84)/HLOOKUP($AC66,Rev_Exp_Table,Rev_Exp!$AA$25)</f>
        <v>490.31970000000024</v>
      </c>
      <c r="AH66" s="892">
        <f>AVERAGE(Trapped!$G$64:$Y$64)*(1+Trapped!$D$67)</f>
        <v>5085.763910526317</v>
      </c>
      <c r="AI66" s="1047">
        <f t="shared" ca="1" si="85"/>
        <v>158.82352941176472</v>
      </c>
      <c r="AJ66" s="1049">
        <f t="shared" ca="1" si="86"/>
        <v>8174.9091399380814</v>
      </c>
      <c r="BI66"/>
      <c r="BR66" s="1083">
        <f t="shared" si="96"/>
        <v>12</v>
      </c>
      <c r="BU66" s="1076">
        <f t="shared" ca="1" si="99"/>
        <v>3939.522321428577</v>
      </c>
      <c r="BV66" s="1077">
        <f t="shared" ca="1" si="99"/>
        <v>10017.857142857143</v>
      </c>
      <c r="BW66" s="1078">
        <f t="shared" ca="1" si="99"/>
        <v>1643.2449902435312</v>
      </c>
      <c r="BX66" s="1079">
        <f t="shared" ca="1" si="99"/>
        <v>2234.2436900762482</v>
      </c>
      <c r="BY66" s="1080">
        <f t="shared" ca="1" si="99"/>
        <v>17834.868144605502</v>
      </c>
      <c r="CA66" s="1076">
        <f t="shared" ca="1" si="88"/>
        <v>5350.4604433816503</v>
      </c>
      <c r="CB66" s="692">
        <f t="shared" ca="1" si="88"/>
        <v>248.78569409306238</v>
      </c>
      <c r="CD66" s="1076">
        <f t="shared" ca="1" si="89"/>
        <v>2249.0155641882743</v>
      </c>
      <c r="CE66" s="1079">
        <f t="shared" ca="1" si="89"/>
        <v>6376.7268557310717</v>
      </c>
      <c r="CF66" s="1080">
        <f t="shared" ca="1" si="89"/>
        <v>8625.7424199193465</v>
      </c>
      <c r="CH66" s="1076">
        <f t="shared" ca="1" si="100"/>
        <v>900</v>
      </c>
      <c r="CI66" s="166">
        <f t="shared" ca="1" si="100"/>
        <v>150</v>
      </c>
      <c r="CJ66" s="166">
        <f t="shared" ca="1" si="100"/>
        <v>1390.0019999999997</v>
      </c>
      <c r="CK66" s="166">
        <f t="shared" ca="1" si="100"/>
        <v>490.31970000000024</v>
      </c>
      <c r="CL66" s="166">
        <f t="shared" ca="1" si="100"/>
        <v>5085.763910526317</v>
      </c>
      <c r="CM66" s="1079">
        <f t="shared" ca="1" si="100"/>
        <v>158.8235294117647</v>
      </c>
      <c r="CN66" s="183">
        <f t="shared" ca="1" si="100"/>
        <v>8174.9091399380814</v>
      </c>
      <c r="CP66" s="1076">
        <f t="shared" ca="1" si="91"/>
        <v>40234.765841937638</v>
      </c>
      <c r="CQ66" s="187">
        <f t="shared" ca="1" si="91"/>
        <v>42850.025621663583</v>
      </c>
      <c r="CR66" s="893">
        <f t="shared" ca="1" si="91"/>
        <v>44016.461860979536</v>
      </c>
      <c r="CT66" s="1052">
        <f t="shared" ca="1" si="92"/>
        <v>44016.461860979536</v>
      </c>
      <c r="CU66" s="1081">
        <f t="shared" ca="1" si="92"/>
        <v>12</v>
      </c>
      <c r="CV66" s="1082">
        <f t="shared" ca="1" si="92"/>
        <v>480</v>
      </c>
      <c r="CW66" s="893">
        <f t="shared" ca="1" si="92"/>
        <v>7641.7468508645024</v>
      </c>
    </row>
    <row r="67" spans="2:101">
      <c r="B67" s="1083">
        <f t="shared" si="97"/>
        <v>13</v>
      </c>
      <c r="C67" s="1074">
        <f>Tariff!D54</f>
        <v>5172.37</v>
      </c>
      <c r="D67" s="1071"/>
      <c r="E67" s="999">
        <f t="shared" ca="1" si="80"/>
        <v>7510.8093100646611</v>
      </c>
      <c r="F67" s="187">
        <f ca="1">VLOOKUP($B67,Tariff_Table_R,'R$ Table'!$AB$50)</f>
        <v>583.96791047835234</v>
      </c>
      <c r="G67" s="893">
        <f t="shared" ca="1" si="93"/>
        <v>8094.7772205430138</v>
      </c>
      <c r="H67" s="898">
        <f t="shared" ca="1" si="81"/>
        <v>0.92785868040983854</v>
      </c>
      <c r="I67" s="820">
        <f t="shared" ca="1" si="81"/>
        <v>7.2141319590161443E-2</v>
      </c>
      <c r="J67" s="1"/>
      <c r="K67" s="1002">
        <f t="shared" ca="1" si="82"/>
        <v>1</v>
      </c>
      <c r="N67" s="678">
        <f t="shared" ca="1" si="98"/>
        <v>2011</v>
      </c>
      <c r="O67" s="1048">
        <f ca="1">IF($N67&lt;YEAR(Startops3),0,VLOOKUP(($N67-YEAR(Startops3)+1)*2-'Debt Amort'!$B$36,Fin_Table,'Debt Amort'!AE$77))</f>
        <v>3454.6580357142911</v>
      </c>
      <c r="P67" s="1047">
        <f ca="1">IF($N67&lt;YEAR(Startops3),0,VLOOKUP(($N67-YEAR(Startops3)+1)*2-'Debt Amort'!$B$36,Fin_Table,'Debt Amort'!AF$77))</f>
        <v>10017.857142857143</v>
      </c>
      <c r="Q67" s="1072"/>
      <c r="R67" s="892">
        <f ca="1">IF($N67&lt;YEAR(Startops3),0,VLOOKUP(($N67-YEAR(Startops3)+1)*2-'Debt Amort'!$B$36,Fin_Table,'Debt Amort'!AG$77))</f>
        <v>1491.0804001517924</v>
      </c>
      <c r="S67" s="1075">
        <f ca="1">IF($N67&lt;YEAR(Startops3),0,VLOOKUP(($N67-YEAR(Startops3)+1)*2-'Debt Amort'!$B$36,Fin_Table,'Debt Amort'!AH$77))</f>
        <v>2556.5569532876325</v>
      </c>
      <c r="T67" s="900">
        <f t="shared" ca="1" si="83"/>
        <v>17520.152532010856</v>
      </c>
      <c r="W67" s="678">
        <f t="shared" ca="1" si="94"/>
        <v>2011</v>
      </c>
      <c r="X67" s="1048">
        <f ca="1">IF($N67&lt;YEAR(Startops3),0,VLOOKUP(($N67-YEAR(Startops3)+1)*2-'Debt Amort'!$B$36,Fin_Table,'Debt Amort'!AC$77))</f>
        <v>1702.8415261338889</v>
      </c>
      <c r="Z67" s="1047">
        <f ca="1">IF($N67&lt;YEAR(Startops3),0,VLOOKUP(($N67-YEAR(Startops3)+1)*2-'Debt Amort'!$B$36,Fin_Table,'Debt Amort'!AD$77))</f>
        <v>6922.9008937854551</v>
      </c>
      <c r="AA67" s="900">
        <f t="shared" ca="1" si="84"/>
        <v>8625.7424199193447</v>
      </c>
      <c r="AC67" s="678">
        <f t="shared" ca="1" si="95"/>
        <v>2011</v>
      </c>
      <c r="AD67" s="892">
        <f ca="1">HLOOKUP($AC67,Rev_Exp_Table,Rev_Exp!$AA$81)/HLOOKUP($AC67,Rev_Exp_Table,Rev_Exp!$AA$25)</f>
        <v>899.99999999999989</v>
      </c>
      <c r="AE67" s="892">
        <f ca="1">HLOOKUP($AC67,Rev_Exp_Table,Rev_Exp!$AA$82)/HLOOKUP($AC67,Rev_Exp_Table,Rev_Exp!$AA$25)</f>
        <v>150</v>
      </c>
      <c r="AF67" s="892">
        <f ca="1">HLOOKUP($AC67,Rev_Exp_Table,Rev_Exp!$AA$83)/HLOOKUP($AC67,Rev_Exp_Table,Rev_Exp!$AA$25)</f>
        <v>1390.0019999999997</v>
      </c>
      <c r="AG67" s="892">
        <f ca="1">HLOOKUP($AC67,Rev_Exp_Table,Rev_Exp!$AA$84)/HLOOKUP($AC67,Rev_Exp_Table,Rev_Exp!$AA$25)</f>
        <v>490.31970000000024</v>
      </c>
      <c r="AH67" s="892">
        <f>AVERAGE(Trapped!$G$64:$Y$64)*(1+Trapped!$D$67)</f>
        <v>5085.763910526317</v>
      </c>
      <c r="AI67" s="1047">
        <f t="shared" ca="1" si="85"/>
        <v>158.8235294117647</v>
      </c>
      <c r="AJ67" s="1049">
        <f t="shared" ca="1" si="86"/>
        <v>8174.9091399380814</v>
      </c>
      <c r="BI67"/>
      <c r="BR67" s="1083">
        <f t="shared" si="96"/>
        <v>13</v>
      </c>
      <c r="BU67" s="1076">
        <f t="shared" ca="1" si="99"/>
        <v>3212.2258928571478</v>
      </c>
      <c r="BV67" s="1077">
        <f t="shared" ca="1" si="99"/>
        <v>10017.857142857143</v>
      </c>
      <c r="BW67" s="1078">
        <f t="shared" ca="1" si="99"/>
        <v>1388.3830873962429</v>
      </c>
      <c r="BX67" s="1079">
        <f t="shared" ca="1" si="99"/>
        <v>2717.7135848933244</v>
      </c>
      <c r="BY67" s="1080">
        <f t="shared" ca="1" si="99"/>
        <v>17336.17970800386</v>
      </c>
      <c r="CA67" s="1076">
        <f t="shared" ca="1" si="88"/>
        <v>5200.8539124011586</v>
      </c>
      <c r="CB67" s="692">
        <f t="shared" ca="1" si="88"/>
        <v>207.67791164759092</v>
      </c>
      <c r="CD67" s="1076">
        <f t="shared" ca="1" si="89"/>
        <v>1393.0994019777715</v>
      </c>
      <c r="CE67" s="1079">
        <f t="shared" ca="1" si="89"/>
        <v>7232.6430179415656</v>
      </c>
      <c r="CF67" s="1080">
        <f t="shared" ca="1" si="89"/>
        <v>8625.7424199193374</v>
      </c>
      <c r="CH67" s="1076">
        <f t="shared" ca="1" si="100"/>
        <v>899.99999999999989</v>
      </c>
      <c r="CI67" s="166">
        <f t="shared" ca="1" si="100"/>
        <v>150</v>
      </c>
      <c r="CJ67" s="166">
        <f t="shared" ca="1" si="100"/>
        <v>1390.0019999999997</v>
      </c>
      <c r="CK67" s="166">
        <f t="shared" ca="1" si="100"/>
        <v>490.31970000000024</v>
      </c>
      <c r="CL67" s="166">
        <f t="shared" ca="1" si="100"/>
        <v>5085.763910526317</v>
      </c>
      <c r="CM67" s="1079">
        <f t="shared" ca="1" si="100"/>
        <v>158.8235294117647</v>
      </c>
      <c r="CN67" s="183">
        <f t="shared" ca="1" si="100"/>
        <v>8174.9091399380814</v>
      </c>
      <c r="CP67" s="1076">
        <f t="shared" ca="1" si="91"/>
        <v>39545.363091910025</v>
      </c>
      <c r="CQ67" s="187">
        <f t="shared" ca="1" si="91"/>
        <v>42115.811692884177</v>
      </c>
      <c r="CR67" s="893">
        <f t="shared" ca="1" si="91"/>
        <v>43262.261625972445</v>
      </c>
      <c r="CT67" s="1052">
        <f t="shared" ca="1" si="92"/>
        <v>43262.261625972445</v>
      </c>
      <c r="CU67" s="1081">
        <f t="shared" ca="1" si="92"/>
        <v>12</v>
      </c>
      <c r="CV67" s="1082">
        <f t="shared" ca="1" si="92"/>
        <v>480</v>
      </c>
      <c r="CW67" s="893">
        <f t="shared" ca="1" si="92"/>
        <v>7510.8093100646602</v>
      </c>
    </row>
    <row r="68" spans="2:101">
      <c r="B68" s="1083">
        <f t="shared" si="97"/>
        <v>14</v>
      </c>
      <c r="C68" s="1074">
        <f>Tariff!D55</f>
        <v>3801.75</v>
      </c>
      <c r="D68" s="1071"/>
      <c r="E68" s="999">
        <f t="shared" ca="1" si="80"/>
        <v>6784.0273901436067</v>
      </c>
      <c r="F68" s="187">
        <f ca="1">VLOOKUP($B68,Tariff_Table_R,'R$ Table'!$AB$50)</f>
        <v>617.24081228949376</v>
      </c>
      <c r="G68" s="893">
        <f t="shared" ca="1" si="93"/>
        <v>7401.2682024331007</v>
      </c>
      <c r="H68" s="898">
        <f t="shared" ca="1" si="81"/>
        <v>0.91660337182665785</v>
      </c>
      <c r="I68" s="820">
        <f t="shared" ca="1" si="81"/>
        <v>8.3396628173342147E-2</v>
      </c>
      <c r="J68" s="1"/>
      <c r="K68" s="1002">
        <f t="shared" ca="1" si="82"/>
        <v>1</v>
      </c>
      <c r="N68" s="678">
        <f t="shared" ca="1" si="98"/>
        <v>2012</v>
      </c>
      <c r="O68" s="1048">
        <f ca="1">IF($N68&lt;YEAR(Startops3),0,VLOOKUP(($N68-YEAR(Startops3)+1)*2-'Debt Amort'!$B$36,Fin_Table,'Debt Amort'!AE$77))</f>
        <v>2727.3616071428619</v>
      </c>
      <c r="P68" s="1047">
        <f ca="1">IF($N68&lt;YEAR(Startops3),0,VLOOKUP(($N68-YEAR(Startops3)+1)*2-'Debt Amort'!$B$36,Fin_Table,'Debt Amort'!AF$77))</f>
        <v>10017.857142857143</v>
      </c>
      <c r="Q68" s="1072"/>
      <c r="R68" s="892">
        <f ca="1">IF($N68&lt;YEAR(Startops3),0,VLOOKUP(($N68-YEAR(Startops3)+1)*2-'Debt Amort'!$B$36,Fin_Table,'Debt Amort'!AG$77))</f>
        <v>1182.988461885144</v>
      </c>
      <c r="S68" s="1075">
        <f ca="1">IF($N68&lt;YEAR(Startops3),0,VLOOKUP(($N68-YEAR(Startops3)+1)*2-'Debt Amort'!$B$36,Fin_Table,'Debt Amort'!AH$77))</f>
        <v>3040.0268481047087</v>
      </c>
      <c r="T68" s="900">
        <f t="shared" ca="1" si="83"/>
        <v>16968.23405998986</v>
      </c>
      <c r="W68" s="678">
        <f t="shared" ca="1" si="94"/>
        <v>2012</v>
      </c>
      <c r="X68" s="1048">
        <f ca="1">IF($N68&lt;YEAR(Startops3),0,VLOOKUP(($N68-YEAR(Startops3)+1)*2-'Debt Amort'!$B$36,Fin_Table,'Debt Amort'!AC$77))</f>
        <v>773.61515366553658</v>
      </c>
      <c r="Z68" s="1047">
        <f ca="1">IF($N68&lt;YEAR(Startops3),0,VLOOKUP(($N68-YEAR(Startops3)+1)*2-'Debt Amort'!$B$36,Fin_Table,'Debt Amort'!AD$77))</f>
        <v>7852.1272662537895</v>
      </c>
      <c r="AA68" s="900">
        <f t="shared" ca="1" si="84"/>
        <v>8625.7424199193265</v>
      </c>
      <c r="AC68" s="678">
        <f t="shared" ca="1" si="95"/>
        <v>2012</v>
      </c>
      <c r="AD68" s="892">
        <f ca="1">HLOOKUP($AC68,Rev_Exp_Table,Rev_Exp!$AA$81)/HLOOKUP($AC68,Rev_Exp_Table,Rev_Exp!$AA$25)</f>
        <v>900</v>
      </c>
      <c r="AE68" s="892">
        <f ca="1">HLOOKUP($AC68,Rev_Exp_Table,Rev_Exp!$AA$82)/HLOOKUP($AC68,Rev_Exp_Table,Rev_Exp!$AA$25)</f>
        <v>150</v>
      </c>
      <c r="AF68" s="892">
        <f ca="1">HLOOKUP($AC68,Rev_Exp_Table,Rev_Exp!$AA$83)/HLOOKUP($AC68,Rev_Exp_Table,Rev_Exp!$AA$25)</f>
        <v>1390.0019999999997</v>
      </c>
      <c r="AG68" s="892">
        <f ca="1">HLOOKUP($AC68,Rev_Exp_Table,Rev_Exp!$AA$84)/HLOOKUP($AC68,Rev_Exp_Table,Rev_Exp!$AA$25)</f>
        <v>490.31970000000024</v>
      </c>
      <c r="AH68" s="892">
        <f>AVERAGE(Trapped!$G$64:$Y$64)*(1+Trapped!$D$67)</f>
        <v>5085.763910526317</v>
      </c>
      <c r="AI68" s="1047">
        <f t="shared" ca="1" si="85"/>
        <v>158.82352941176472</v>
      </c>
      <c r="AJ68" s="1049">
        <f t="shared" ca="1" si="86"/>
        <v>8174.9091399380814</v>
      </c>
      <c r="BI68"/>
      <c r="BR68" s="1083">
        <f t="shared" si="96"/>
        <v>14</v>
      </c>
      <c r="BU68" s="1076">
        <f t="shared" ca="1" si="99"/>
        <v>2484.929464285719</v>
      </c>
      <c r="BV68" s="1077">
        <f t="shared" ca="1" si="99"/>
        <v>10017.857142857143</v>
      </c>
      <c r="BW68" s="1078">
        <f t="shared" ca="1" si="99"/>
        <v>1071.4194765597013</v>
      </c>
      <c r="BX68" s="1079">
        <f t="shared" ca="1" si="99"/>
        <v>3040.0268481047087</v>
      </c>
      <c r="BY68" s="1080">
        <f t="shared" ca="1" si="99"/>
        <v>16614.232931807273</v>
      </c>
      <c r="CA68" s="1076">
        <f t="shared" ca="1" si="88"/>
        <v>4984.2698795421829</v>
      </c>
      <c r="CB68" s="692">
        <f t="shared" ca="1" si="88"/>
        <v>194.85725833963218</v>
      </c>
      <c r="CD68" s="1076">
        <f t="shared" ca="1" si="89"/>
        <v>515.74343577702439</v>
      </c>
      <c r="CE68" s="1079">
        <f t="shared" ca="1" si="89"/>
        <v>5234.7515108358593</v>
      </c>
      <c r="CF68" s="1080">
        <f t="shared" ca="1" si="89"/>
        <v>5750.4949466128837</v>
      </c>
      <c r="CH68" s="1076">
        <f t="shared" ca="1" si="100"/>
        <v>900</v>
      </c>
      <c r="CI68" s="166">
        <f t="shared" ca="1" si="100"/>
        <v>150</v>
      </c>
      <c r="CJ68" s="166">
        <f t="shared" ca="1" si="100"/>
        <v>1390.0019999999997</v>
      </c>
      <c r="CK68" s="166">
        <f t="shared" ca="1" si="100"/>
        <v>490.31970000000024</v>
      </c>
      <c r="CL68" s="166">
        <f t="shared" ca="1" si="100"/>
        <v>5085.763910526317</v>
      </c>
      <c r="CM68" s="1079">
        <f t="shared" ca="1" si="100"/>
        <v>158.82352941176472</v>
      </c>
      <c r="CN68" s="183">
        <f t="shared" ca="1" si="100"/>
        <v>8174.9091399380814</v>
      </c>
      <c r="CP68" s="1076">
        <f t="shared" ca="1" si="91"/>
        <v>35718.764156240053</v>
      </c>
      <c r="CQ68" s="187">
        <f t="shared" ca="1" si="91"/>
        <v>38040.483826395655</v>
      </c>
      <c r="CR68" s="893">
        <f t="shared" ca="1" si="91"/>
        <v>39075.997767227171</v>
      </c>
      <c r="CT68" s="1052">
        <f t="shared" ca="1" si="92"/>
        <v>39075.997767227171</v>
      </c>
      <c r="CU68" s="1081">
        <f t="shared" ca="1" si="92"/>
        <v>12</v>
      </c>
      <c r="CV68" s="1082">
        <f t="shared" ca="1" si="92"/>
        <v>480</v>
      </c>
      <c r="CW68" s="893">
        <f t="shared" ca="1" si="92"/>
        <v>6784.0273901436067</v>
      </c>
    </row>
    <row r="69" spans="2:101">
      <c r="B69" s="1083">
        <f t="shared" si="97"/>
        <v>15</v>
      </c>
      <c r="C69" s="1074">
        <f>Tariff!D56</f>
        <v>3801.76</v>
      </c>
      <c r="D69" s="1071"/>
      <c r="E69" s="999">
        <f t="shared" ca="1" si="80"/>
        <v>5435.542727045914</v>
      </c>
      <c r="F69" s="187">
        <f ca="1">VLOOKUP($B69,Tariff_Table_R,'R$ Table'!$AB$50)</f>
        <v>668.43929392265966</v>
      </c>
      <c r="G69" s="893">
        <f t="shared" ca="1" si="93"/>
        <v>6103.982020968574</v>
      </c>
      <c r="H69" s="898">
        <f t="shared" ca="1" si="81"/>
        <v>0.89049127411803997</v>
      </c>
      <c r="I69" s="820">
        <f t="shared" ca="1" si="81"/>
        <v>0.10950872588195998</v>
      </c>
      <c r="J69" s="1"/>
      <c r="K69" s="1002">
        <f t="shared" ca="1" si="82"/>
        <v>1</v>
      </c>
      <c r="N69" s="678">
        <f t="shared" ca="1" si="98"/>
        <v>2013</v>
      </c>
      <c r="O69" s="1048">
        <f ca="1">IF($N69&lt;YEAR(Startops3),0,VLOOKUP(($N69-YEAR(Startops3)+1)*2-'Debt Amort'!$B$36,Fin_Table,'Debt Amort'!AE$77))</f>
        <v>2000.0651785714333</v>
      </c>
      <c r="P69" s="1047">
        <f ca="1">IF($N69&lt;YEAR(Startops3),0,VLOOKUP(($N69-YEAR(Startops3)+1)*2-'Debt Amort'!$B$36,Fin_Table,'Debt Amort'!AF$77))</f>
        <v>10017.857142857143</v>
      </c>
      <c r="Q69" s="1072"/>
      <c r="R69" s="892">
        <f ca="1">IF($N69&lt;YEAR(Startops3),0,VLOOKUP(($N69-YEAR(Startops3)+1)*2-'Debt Amort'!$B$36,Fin_Table,'Debt Amort'!AG$77))</f>
        <v>848.28150590881546</v>
      </c>
      <c r="S69" s="1075">
        <f ca="1">IF($N69&lt;YEAR(Startops3),0,VLOOKUP(($N69-YEAR(Startops3)+1)*2-'Debt Amort'!$B$36,Fin_Table,'Debt Amort'!AH$77))</f>
        <v>3040.0268481047087</v>
      </c>
      <c r="T69" s="900">
        <f t="shared" ca="1" si="83"/>
        <v>15906.230675442101</v>
      </c>
      <c r="W69" s="678">
        <f t="shared" ca="1" si="94"/>
        <v>2013</v>
      </c>
      <c r="X69" s="1048">
        <f ca="1">IF($N69&lt;YEAR(Startops3),0,VLOOKUP(($N69-YEAR(Startops3)+1)*2-'Debt Amort'!$B$36,Fin_Table,'Debt Amort'!AC$77))</f>
        <v>0</v>
      </c>
      <c r="Z69" s="1047">
        <f ca="1">IF($N69&lt;YEAR(Startops3),0,VLOOKUP(($N69-YEAR(Startops3)+1)*2-'Debt Amort'!$B$36,Fin_Table,'Debt Amort'!AD$77))</f>
        <v>0</v>
      </c>
      <c r="AA69" s="900">
        <f t="shared" ca="1" si="84"/>
        <v>0</v>
      </c>
      <c r="AC69" s="678">
        <f t="shared" ca="1" si="95"/>
        <v>2013</v>
      </c>
      <c r="AD69" s="892">
        <f ca="1">HLOOKUP($AC69,Rev_Exp_Table,Rev_Exp!$AA$81)/HLOOKUP($AC69,Rev_Exp_Table,Rev_Exp!$AA$25)</f>
        <v>900</v>
      </c>
      <c r="AE69" s="892">
        <f ca="1">HLOOKUP($AC69,Rev_Exp_Table,Rev_Exp!$AA$82)/HLOOKUP($AC69,Rev_Exp_Table,Rev_Exp!$AA$25)</f>
        <v>150</v>
      </c>
      <c r="AF69" s="892">
        <f ca="1">HLOOKUP($AC69,Rev_Exp_Table,Rev_Exp!$AA$83)/HLOOKUP($AC69,Rev_Exp_Table,Rev_Exp!$AA$25)</f>
        <v>1390.0019999999997</v>
      </c>
      <c r="AG69" s="892">
        <f ca="1">HLOOKUP($AC69,Rev_Exp_Table,Rev_Exp!$AA$84)/HLOOKUP($AC69,Rev_Exp_Table,Rev_Exp!$AA$25)</f>
        <v>490.31970000000018</v>
      </c>
      <c r="AH69" s="892">
        <f>AVERAGE(Trapped!$G$64:$Y$64)*(1+Trapped!$D$67)</f>
        <v>5085.763910526317</v>
      </c>
      <c r="AI69" s="1047">
        <f t="shared" ca="1" si="85"/>
        <v>158.82352941176472</v>
      </c>
      <c r="AJ69" s="1049">
        <f t="shared" ca="1" si="86"/>
        <v>8174.9091399380814</v>
      </c>
      <c r="BI69"/>
      <c r="BR69" s="1083">
        <f t="shared" si="96"/>
        <v>15</v>
      </c>
      <c r="BU69" s="1076">
        <f t="shared" ca="1" si="99"/>
        <v>1757.6330357142904</v>
      </c>
      <c r="BV69" s="1077">
        <f t="shared" ca="1" si="99"/>
        <v>10017.857142857143</v>
      </c>
      <c r="BW69" s="1078">
        <f t="shared" ca="1" si="99"/>
        <v>736.71252058337268</v>
      </c>
      <c r="BX69" s="1079">
        <f t="shared" ca="1" si="99"/>
        <v>3076.3779680157668</v>
      </c>
      <c r="BY69" s="1080">
        <f t="shared" ca="1" si="99"/>
        <v>15588.580667170572</v>
      </c>
      <c r="CA69" s="1076">
        <f t="shared" ca="1" si="88"/>
        <v>4676.5742001511726</v>
      </c>
      <c r="CB69" s="692">
        <f t="shared" ca="1" si="88"/>
        <v>178.75746309527131</v>
      </c>
      <c r="CD69" s="1076">
        <f t="shared" ca="1" si="89"/>
        <v>0</v>
      </c>
      <c r="CE69" s="1079">
        <f t="shared" ca="1" si="89"/>
        <v>0</v>
      </c>
      <c r="CF69" s="1080">
        <f t="shared" ca="1" si="89"/>
        <v>0</v>
      </c>
      <c r="CH69" s="1076">
        <f t="shared" ca="1" si="100"/>
        <v>900</v>
      </c>
      <c r="CI69" s="166">
        <f t="shared" ca="1" si="100"/>
        <v>150</v>
      </c>
      <c r="CJ69" s="166">
        <f t="shared" ca="1" si="100"/>
        <v>1390.0019999999997</v>
      </c>
      <c r="CK69" s="166">
        <f t="shared" ca="1" si="100"/>
        <v>490.31970000000013</v>
      </c>
      <c r="CL69" s="166">
        <f t="shared" ca="1" si="100"/>
        <v>5085.763910526317</v>
      </c>
      <c r="CM69" s="1079">
        <f t="shared" ca="1" si="100"/>
        <v>158.82352941176472</v>
      </c>
      <c r="CN69" s="183">
        <f t="shared" ca="1" si="100"/>
        <v>8174.9091399380814</v>
      </c>
      <c r="CP69" s="1076">
        <f t="shared" ca="1" si="91"/>
        <v>28618.821470355095</v>
      </c>
      <c r="CQ69" s="187">
        <f t="shared" ca="1" si="91"/>
        <v>30479.044865928176</v>
      </c>
      <c r="CR69" s="893">
        <f t="shared" ca="1" si="91"/>
        <v>31308.72610778446</v>
      </c>
      <c r="CT69" s="1052">
        <f t="shared" ca="1" si="92"/>
        <v>31308.72610778446</v>
      </c>
      <c r="CU69" s="1081">
        <f t="shared" ca="1" si="92"/>
        <v>12</v>
      </c>
      <c r="CV69" s="1082">
        <f t="shared" ca="1" si="92"/>
        <v>480</v>
      </c>
      <c r="CW69" s="893">
        <f t="shared" ca="1" si="92"/>
        <v>5435.5427270459131</v>
      </c>
    </row>
    <row r="70" spans="2:101">
      <c r="B70" s="1083">
        <f t="shared" si="97"/>
        <v>16</v>
      </c>
      <c r="C70" s="1074">
        <f>Tariff!D57</f>
        <v>3801.75</v>
      </c>
      <c r="D70" s="1071"/>
      <c r="E70" s="999">
        <f t="shared" ca="1" si="80"/>
        <v>5104.1466057664557</v>
      </c>
      <c r="F70" s="187">
        <f ca="1">VLOOKUP($B70,Tariff_Table_R,'R$ Table'!$AB$50)</f>
        <v>734.82094801377389</v>
      </c>
      <c r="G70" s="893">
        <f t="shared" ca="1" si="93"/>
        <v>5838.9675537802295</v>
      </c>
      <c r="H70" s="898">
        <f t="shared" ca="1" si="81"/>
        <v>0.87415224673786029</v>
      </c>
      <c r="I70" s="820">
        <f t="shared" ca="1" si="81"/>
        <v>0.12584775326213973</v>
      </c>
      <c r="J70" s="1"/>
      <c r="K70" s="1002">
        <f t="shared" ca="1" si="82"/>
        <v>1</v>
      </c>
      <c r="N70" s="678">
        <f t="shared" ca="1" si="98"/>
        <v>2014</v>
      </c>
      <c r="O70" s="1048">
        <f ca="1">IF($N70&lt;YEAR(Startops3),0,VLOOKUP(($N70-YEAR(Startops3)+1)*2-'Debt Amort'!$B$36,Fin_Table,'Debt Amort'!AE$77))</f>
        <v>1272.7687500000045</v>
      </c>
      <c r="P70" s="1047">
        <f ca="1">IF($N70&lt;YEAR(Startops3),0,VLOOKUP(($N70-YEAR(Startops3)+1)*2-'Debt Amort'!$B$36,Fin_Table,'Debt Amort'!AF$77))</f>
        <v>10017.857142857143</v>
      </c>
      <c r="Q70" s="1072"/>
      <c r="R70" s="892">
        <f ca="1">IF($N70&lt;YEAR(Startops3),0,VLOOKUP(($N70-YEAR(Startops3)+1)*2-'Debt Amort'!$B$36,Fin_Table,'Debt Amort'!AG$77))</f>
        <v>513.57454993248689</v>
      </c>
      <c r="S70" s="1075">
        <f ca="1">IF($N70&lt;YEAR(Startops3),0,VLOOKUP(($N70-YEAR(Startops3)+1)*2-'Debt Amort'!$B$36,Fin_Table,'Debt Amort'!AH$77))</f>
        <v>3149.0802078378833</v>
      </c>
      <c r="T70" s="900">
        <f t="shared" ca="1" si="83"/>
        <v>14953.280650627519</v>
      </c>
      <c r="W70" s="678">
        <f t="shared" ca="1" si="94"/>
        <v>2014</v>
      </c>
      <c r="X70" s="1048">
        <f ca="1">IF($N70&lt;YEAR(Startops3),0,VLOOKUP(($N70-YEAR(Startops3)+1)*2-'Debt Amort'!$B$36,Fin_Table,'Debt Amort'!AC$77))</f>
        <v>0</v>
      </c>
      <c r="Z70" s="1047">
        <f ca="1">IF($N70&lt;YEAR(Startops3),0,VLOOKUP(($N70-YEAR(Startops3)+1)*2-'Debt Amort'!$B$36,Fin_Table,'Debt Amort'!AD$77))</f>
        <v>0</v>
      </c>
      <c r="AA70" s="900">
        <f t="shared" ca="1" si="84"/>
        <v>0</v>
      </c>
      <c r="AC70" s="678">
        <f t="shared" ca="1" si="95"/>
        <v>2014</v>
      </c>
      <c r="AD70" s="892">
        <f ca="1">HLOOKUP($AC70,Rev_Exp_Table,Rev_Exp!$AA$81)/HLOOKUP($AC70,Rev_Exp_Table,Rev_Exp!$AA$25)</f>
        <v>900</v>
      </c>
      <c r="AE70" s="892">
        <f ca="1">HLOOKUP($AC70,Rev_Exp_Table,Rev_Exp!$AA$82)/HLOOKUP($AC70,Rev_Exp_Table,Rev_Exp!$AA$25)</f>
        <v>150</v>
      </c>
      <c r="AF70" s="892">
        <f ca="1">HLOOKUP($AC70,Rev_Exp_Table,Rev_Exp!$AA$83)/HLOOKUP($AC70,Rev_Exp_Table,Rev_Exp!$AA$25)</f>
        <v>1390.002</v>
      </c>
      <c r="AG70" s="892">
        <f ca="1">HLOOKUP($AC70,Rev_Exp_Table,Rev_Exp!$AA$84)/HLOOKUP($AC70,Rev_Exp_Table,Rev_Exp!$AA$25)</f>
        <v>490.31970000000018</v>
      </c>
      <c r="AH70" s="892">
        <f>AVERAGE(Trapped!$G$64:$Y$64)*(1+Trapped!$D$67)</f>
        <v>5085.763910526317</v>
      </c>
      <c r="AI70" s="1047">
        <f t="shared" ca="1" si="85"/>
        <v>158.82352941176472</v>
      </c>
      <c r="AJ70" s="1049">
        <f t="shared" ca="1" si="86"/>
        <v>8174.9091399380823</v>
      </c>
      <c r="BI70"/>
      <c r="BR70" s="1083">
        <f t="shared" si="96"/>
        <v>16</v>
      </c>
      <c r="BU70" s="1076">
        <f t="shared" ca="1" si="99"/>
        <v>1030.3366071428616</v>
      </c>
      <c r="BV70" s="1077">
        <f t="shared" ca="1" si="99"/>
        <v>10017.857142857163</v>
      </c>
      <c r="BW70" s="1078">
        <f t="shared" ca="1" si="99"/>
        <v>394.50133029040472</v>
      </c>
      <c r="BX70" s="1079">
        <f t="shared" ca="1" si="99"/>
        <v>2857.9019673312746</v>
      </c>
      <c r="BY70" s="1080">
        <f t="shared" ca="1" si="99"/>
        <v>14300.597047621703</v>
      </c>
      <c r="CA70" s="1076">
        <f t="shared" ca="1" si="88"/>
        <v>4290.1791142865122</v>
      </c>
      <c r="CB70" s="692">
        <f t="shared" ca="1" si="88"/>
        <v>108.29358201341732</v>
      </c>
      <c r="CD70" s="1076">
        <f t="shared" ca="1" si="89"/>
        <v>0</v>
      </c>
      <c r="CE70" s="1079">
        <f t="shared" ca="1" si="89"/>
        <v>0</v>
      </c>
      <c r="CF70" s="1080">
        <f t="shared" ca="1" si="89"/>
        <v>0</v>
      </c>
      <c r="CH70" s="1076">
        <f t="shared" ca="1" si="100"/>
        <v>900</v>
      </c>
      <c r="CI70" s="166">
        <f t="shared" ca="1" si="100"/>
        <v>150</v>
      </c>
      <c r="CJ70" s="166">
        <f t="shared" ca="1" si="100"/>
        <v>1390.002</v>
      </c>
      <c r="CK70" s="166">
        <f t="shared" ca="1" si="100"/>
        <v>490.31970000000013</v>
      </c>
      <c r="CL70" s="166">
        <f t="shared" ca="1" si="100"/>
        <v>5085.763910526317</v>
      </c>
      <c r="CM70" s="1079">
        <f t="shared" ca="1" si="100"/>
        <v>158.82352941176472</v>
      </c>
      <c r="CN70" s="183">
        <f t="shared" ca="1" si="100"/>
        <v>8174.9091399380823</v>
      </c>
      <c r="CP70" s="1076">
        <f t="shared" ca="1" si="91"/>
        <v>26873.978883859716</v>
      </c>
      <c r="CQ70" s="187">
        <f t="shared" ca="1" si="91"/>
        <v>28620.787511310595</v>
      </c>
      <c r="CR70" s="893">
        <f t="shared" ca="1" si="91"/>
        <v>29399.884449214784</v>
      </c>
      <c r="CT70" s="1052">
        <f t="shared" ca="1" si="92"/>
        <v>29399.884449214784</v>
      </c>
      <c r="CU70" s="1081">
        <f t="shared" ca="1" si="92"/>
        <v>12</v>
      </c>
      <c r="CV70" s="1082">
        <f t="shared" ca="1" si="92"/>
        <v>480</v>
      </c>
      <c r="CW70" s="893">
        <f t="shared" ca="1" si="92"/>
        <v>5104.1466057664557</v>
      </c>
    </row>
    <row r="71" spans="2:101">
      <c r="B71" s="1083">
        <f t="shared" si="97"/>
        <v>17</v>
      </c>
      <c r="C71" s="1074">
        <f>Tariff!D58</f>
        <v>3801.74</v>
      </c>
      <c r="D71" s="1071"/>
      <c r="E71" s="999">
        <f t="shared" ca="1" si="80"/>
        <v>3691.7328970924204</v>
      </c>
      <c r="F71" s="187">
        <f ca="1">VLOOKUP($B71,Tariff_Table_R,'R$ Table'!$AB$50)</f>
        <v>1049.1579342940695</v>
      </c>
      <c r="G71" s="893">
        <f t="shared" ca="1" si="93"/>
        <v>4740.8908313864904</v>
      </c>
      <c r="H71" s="898">
        <f t="shared" ca="1" si="81"/>
        <v>0.7787002545284849</v>
      </c>
      <c r="I71" s="820">
        <f t="shared" ca="1" si="81"/>
        <v>0.22129974547151501</v>
      </c>
      <c r="J71" s="1"/>
      <c r="K71" s="1002">
        <f t="shared" ca="1" si="82"/>
        <v>0.99999999999999989</v>
      </c>
      <c r="N71" s="678">
        <f t="shared" ca="1" si="98"/>
        <v>2015</v>
      </c>
      <c r="O71" s="1048">
        <f ca="1">IF($N71&lt;YEAR(Startops3),0,VLOOKUP(($N71-YEAR(Startops3)+1)*2-'Debt Amort'!$B$36,Fin_Table,'Debt Amort'!AE$77))</f>
        <v>545.47232142857581</v>
      </c>
      <c r="P71" s="1047">
        <f ca="1">IF($N71&lt;YEAR(Startops3),0,VLOOKUP(($N71-YEAR(Startops3)+1)*2-'Debt Amort'!$B$36,Fin_Table,'Debt Amort'!AF$77))</f>
        <v>10017.857142857203</v>
      </c>
      <c r="Q71" s="1072"/>
      <c r="R71" s="892">
        <f ca="1">IF($N71&lt;YEAR(Startops3),0,VLOOKUP(($N71-YEAR(Startops3)+1)*2-'Debt Amort'!$B$36,Fin_Table,'Debt Amort'!AG$77))</f>
        <v>156.35489100624028</v>
      </c>
      <c r="S71" s="1075">
        <f ca="1">IF($N71&lt;YEAR(Startops3),0,VLOOKUP(($N71-YEAR(Startops3)+1)*2-'Debt Amort'!$B$36,Fin_Table,'Debt Amort'!AH$77))</f>
        <v>2275.5454863180571</v>
      </c>
      <c r="T71" s="900">
        <f t="shared" ca="1" si="83"/>
        <v>12995.229841610075</v>
      </c>
      <c r="W71" s="678">
        <f t="shared" ca="1" si="94"/>
        <v>2015</v>
      </c>
      <c r="X71" s="1048">
        <f ca="1">IF($N71&lt;YEAR(Startops3),0,VLOOKUP(($N71-YEAR(Startops3)+1)*2-'Debt Amort'!$B$36,Fin_Table,'Debt Amort'!AC$77))</f>
        <v>0</v>
      </c>
      <c r="Z71" s="1047">
        <f ca="1">IF($N71&lt;YEAR(Startops3),0,VLOOKUP(($N71-YEAR(Startops3)+1)*2-'Debt Amort'!$B$36,Fin_Table,'Debt Amort'!AD$77))</f>
        <v>0</v>
      </c>
      <c r="AA71" s="900">
        <f t="shared" ca="1" si="84"/>
        <v>0</v>
      </c>
      <c r="AC71" s="678">
        <f t="shared" ca="1" si="95"/>
        <v>2015</v>
      </c>
      <c r="AD71" s="892">
        <f ca="1">HLOOKUP($AC71,Rev_Exp_Table,Rev_Exp!$AA$81)/HLOOKUP($AC71,Rev_Exp_Table,Rev_Exp!$AA$25)</f>
        <v>900</v>
      </c>
      <c r="AE71" s="892">
        <f ca="1">HLOOKUP($AC71,Rev_Exp_Table,Rev_Exp!$AA$82)/HLOOKUP($AC71,Rev_Exp_Table,Rev_Exp!$AA$25)</f>
        <v>150</v>
      </c>
      <c r="AF71" s="892">
        <f ca="1">HLOOKUP($AC71,Rev_Exp_Table,Rev_Exp!$AA$83)/HLOOKUP($AC71,Rev_Exp_Table,Rev_Exp!$AA$25)</f>
        <v>1390.0019999999997</v>
      </c>
      <c r="AG71" s="892">
        <f ca="1">HLOOKUP($AC71,Rev_Exp_Table,Rev_Exp!$AA$84)/HLOOKUP($AC71,Rev_Exp_Table,Rev_Exp!$AA$25)</f>
        <v>490.31970000000018</v>
      </c>
      <c r="AH71" s="892">
        <f>AVERAGE(Trapped!$G$64:$Y$64)*(1+Trapped!$D$67)</f>
        <v>5085.763910526317</v>
      </c>
      <c r="AI71" s="1047">
        <f t="shared" ca="1" si="85"/>
        <v>158.82352941176472</v>
      </c>
      <c r="AJ71" s="1049">
        <f t="shared" ca="1" si="86"/>
        <v>8174.9091399380814</v>
      </c>
      <c r="BI71"/>
      <c r="BR71" s="1083">
        <f t="shared" si="96"/>
        <v>17</v>
      </c>
      <c r="BU71" s="1076">
        <f t="shared" ca="1" si="99"/>
        <v>363.64821428571719</v>
      </c>
      <c r="BV71" s="1077">
        <f t="shared" ca="1" si="99"/>
        <v>6678.5714285714685</v>
      </c>
      <c r="BW71" s="1078">
        <f t="shared" ca="1" si="99"/>
        <v>104.23659400416018</v>
      </c>
      <c r="BX71" s="1079">
        <f t="shared" ca="1" si="99"/>
        <v>1517.0303242120381</v>
      </c>
      <c r="BY71" s="1080">
        <f t="shared" ca="1" si="99"/>
        <v>8663.4865610733832</v>
      </c>
      <c r="CA71" s="1076">
        <f t="shared" ca="1" si="88"/>
        <v>2599.0459683220156</v>
      </c>
      <c r="CB71" s="692">
        <f t="shared" ca="1" si="88"/>
        <v>0</v>
      </c>
      <c r="CD71" s="1076">
        <f t="shared" ca="1" si="89"/>
        <v>0</v>
      </c>
      <c r="CE71" s="1079">
        <f t="shared" ca="1" si="89"/>
        <v>0</v>
      </c>
      <c r="CF71" s="1080">
        <f t="shared" ca="1" si="89"/>
        <v>0</v>
      </c>
      <c r="CH71" s="1076">
        <f t="shared" ca="1" si="100"/>
        <v>900</v>
      </c>
      <c r="CI71" s="166">
        <f t="shared" ca="1" si="100"/>
        <v>150</v>
      </c>
      <c r="CJ71" s="166">
        <f t="shared" ca="1" si="100"/>
        <v>1390.0019999999997</v>
      </c>
      <c r="CK71" s="166">
        <f t="shared" ca="1" si="100"/>
        <v>490.31970000000013</v>
      </c>
      <c r="CL71" s="166">
        <f t="shared" ca="1" si="100"/>
        <v>5085.763910526317</v>
      </c>
      <c r="CM71" s="1079">
        <f t="shared" ca="1" si="100"/>
        <v>158.82352941176472</v>
      </c>
      <c r="CN71" s="183">
        <f t="shared" ca="1" si="100"/>
        <v>8174.9091399380814</v>
      </c>
      <c r="CP71" s="1076">
        <f t="shared" ca="1" si="91"/>
        <v>19437.441669333479</v>
      </c>
      <c r="CQ71" s="187">
        <f t="shared" ca="1" si="91"/>
        <v>20700.875377840155</v>
      </c>
      <c r="CR71" s="893">
        <f t="shared" ca="1" si="91"/>
        <v>21264.38148725234</v>
      </c>
      <c r="CT71" s="1052">
        <f t="shared" ca="1" si="92"/>
        <v>21264.38148725234</v>
      </c>
      <c r="CU71" s="1081">
        <f t="shared" ca="1" si="92"/>
        <v>12</v>
      </c>
      <c r="CV71" s="1082">
        <f t="shared" ca="1" si="92"/>
        <v>480</v>
      </c>
      <c r="CW71" s="893">
        <f t="shared" ca="1" si="92"/>
        <v>3691.7328970924204</v>
      </c>
    </row>
    <row r="72" spans="2:101">
      <c r="B72" s="1083">
        <f t="shared" si="97"/>
        <v>18</v>
      </c>
      <c r="C72" s="1074">
        <f>Tariff!D59</f>
        <v>3801.75</v>
      </c>
      <c r="D72" s="1071"/>
      <c r="E72" s="999">
        <f t="shared" ca="1" si="80"/>
        <v>1552.6519135625422</v>
      </c>
      <c r="F72" s="187">
        <f ca="1">VLOOKUP($B72,Tariff_Table_R,'R$ Table'!$AB$50)</f>
        <v>1536.0837570080957</v>
      </c>
      <c r="G72" s="893">
        <f t="shared" ca="1" si="93"/>
        <v>3088.7356705706379</v>
      </c>
      <c r="H72" s="898">
        <f t="shared" ca="1" si="81"/>
        <v>0.50268202888196412</v>
      </c>
      <c r="I72" s="820">
        <f t="shared" ca="1" si="81"/>
        <v>0.49731797111803588</v>
      </c>
      <c r="J72" s="1"/>
      <c r="K72" s="1002">
        <f t="shared" ca="1" si="82"/>
        <v>1</v>
      </c>
      <c r="N72" s="678">
        <f t="shared" ca="1" si="98"/>
        <v>2016</v>
      </c>
      <c r="O72" s="1048">
        <f ca="1">IF($N72&lt;YEAR(Startops3),0,VLOOKUP(($N72-YEAR(Startops3)+1)*2-'Debt Amort'!$B$36,Fin_Table,'Debt Amort'!AE$77))</f>
        <v>0</v>
      </c>
      <c r="P72" s="1047">
        <f ca="1">IF($N72&lt;YEAR(Startops3),0,VLOOKUP(($N72-YEAR(Startops3)+1)*2-'Debt Amort'!$B$36,Fin_Table,'Debt Amort'!AF$77))</f>
        <v>0</v>
      </c>
      <c r="Q72" s="1072"/>
      <c r="R72" s="892">
        <f ca="1">IF($N72&lt;YEAR(Startops3),0,VLOOKUP(($N72-YEAR(Startops3)+1)*2-'Debt Amort'!$B$36,Fin_Table,'Debt Amort'!AG$77))</f>
        <v>0</v>
      </c>
      <c r="S72" s="1075">
        <f ca="1">IF($N72&lt;YEAR(Startops3),0,VLOOKUP(($N72-YEAR(Startops3)+1)*2-'Debt Amort'!$B$36,Fin_Table,'Debt Amort'!AH$77))</f>
        <v>0</v>
      </c>
      <c r="T72" s="900">
        <f t="shared" ca="1" si="83"/>
        <v>0</v>
      </c>
      <c r="W72" s="678">
        <f t="shared" ca="1" si="94"/>
        <v>2016</v>
      </c>
      <c r="X72" s="1048">
        <f ca="1">IF($N72&lt;YEAR(Startops3),0,VLOOKUP(($N72-YEAR(Startops3)+1)*2-'Debt Amort'!$B$36,Fin_Table,'Debt Amort'!AC$77))</f>
        <v>0</v>
      </c>
      <c r="Z72" s="1047">
        <f ca="1">IF($N72&lt;YEAR(Startops3),0,VLOOKUP(($N72-YEAR(Startops3)+1)*2-'Debt Amort'!$B$36,Fin_Table,'Debt Amort'!AD$77))</f>
        <v>0</v>
      </c>
      <c r="AA72" s="900">
        <f t="shared" ca="1" si="84"/>
        <v>0</v>
      </c>
      <c r="AC72" s="678">
        <f t="shared" ca="1" si="95"/>
        <v>2016</v>
      </c>
      <c r="AD72" s="892">
        <f ca="1">HLOOKUP($AC72,Rev_Exp_Table,Rev_Exp!$AA$81)/HLOOKUP($AC72,Rev_Exp_Table,Rev_Exp!$AA$25)</f>
        <v>900.00000000000011</v>
      </c>
      <c r="AE72" s="892">
        <f ca="1">HLOOKUP($AC72,Rev_Exp_Table,Rev_Exp!$AA$82)/HLOOKUP($AC72,Rev_Exp_Table,Rev_Exp!$AA$25)</f>
        <v>150</v>
      </c>
      <c r="AF72" s="892">
        <f ca="1">HLOOKUP($AC72,Rev_Exp_Table,Rev_Exp!$AA$83)/HLOOKUP($AC72,Rev_Exp_Table,Rev_Exp!$AA$25)</f>
        <v>1390.0019999999997</v>
      </c>
      <c r="AG72" s="892">
        <f ca="1">HLOOKUP($AC72,Rev_Exp_Table,Rev_Exp!$AA$84)/HLOOKUP($AC72,Rev_Exp_Table,Rev_Exp!$AA$25)</f>
        <v>490.31970000000018</v>
      </c>
      <c r="AH72" s="892">
        <f>AVERAGE(Trapped!$G$64:$Y$64)*(1+Trapped!$D$67)</f>
        <v>5085.763910526317</v>
      </c>
      <c r="AI72" s="1047">
        <f t="shared" ca="1" si="85"/>
        <v>158.82352941176472</v>
      </c>
      <c r="AJ72" s="1049">
        <f t="shared" ca="1" si="86"/>
        <v>8174.9091399380814</v>
      </c>
      <c r="BI72"/>
      <c r="BR72" s="1083">
        <f t="shared" si="96"/>
        <v>18</v>
      </c>
      <c r="BU72" s="1076">
        <f t="shared" ca="1" si="99"/>
        <v>0</v>
      </c>
      <c r="BV72" s="1077">
        <f t="shared" ca="1" si="99"/>
        <v>0</v>
      </c>
      <c r="BW72" s="1078">
        <f t="shared" ca="1" si="99"/>
        <v>0</v>
      </c>
      <c r="BX72" s="1079">
        <f t="shared" ca="1" si="99"/>
        <v>0</v>
      </c>
      <c r="BY72" s="1080">
        <f t="shared" ca="1" si="99"/>
        <v>0</v>
      </c>
      <c r="CA72" s="1076">
        <f t="shared" ca="1" si="88"/>
        <v>0</v>
      </c>
      <c r="CB72" s="692">
        <f t="shared" ca="1" si="88"/>
        <v>0</v>
      </c>
      <c r="CD72" s="1076">
        <f t="shared" ca="1" si="89"/>
        <v>0</v>
      </c>
      <c r="CE72" s="1079">
        <f t="shared" ca="1" si="89"/>
        <v>0</v>
      </c>
      <c r="CF72" s="1080">
        <f t="shared" ca="1" si="89"/>
        <v>0</v>
      </c>
      <c r="CH72" s="1076">
        <f t="shared" ca="1" si="100"/>
        <v>900.00000000000011</v>
      </c>
      <c r="CI72" s="166">
        <f t="shared" ca="1" si="100"/>
        <v>150</v>
      </c>
      <c r="CJ72" s="166">
        <f t="shared" ca="1" si="100"/>
        <v>1390.0019999999997</v>
      </c>
      <c r="CK72" s="166">
        <f t="shared" ca="1" si="100"/>
        <v>490.31970000000013</v>
      </c>
      <c r="CL72" s="166">
        <f t="shared" ca="1" si="100"/>
        <v>5085.763910526317</v>
      </c>
      <c r="CM72" s="1079">
        <f t="shared" ca="1" si="100"/>
        <v>158.82352941176472</v>
      </c>
      <c r="CN72" s="183">
        <f t="shared" ca="1" si="100"/>
        <v>8174.9091399380814</v>
      </c>
      <c r="CP72" s="1076">
        <f t="shared" ca="1" si="91"/>
        <v>8174.9091399380814</v>
      </c>
      <c r="CQ72" s="187">
        <f t="shared" ca="1" si="91"/>
        <v>8706.2782340340564</v>
      </c>
      <c r="CR72" s="893">
        <f t="shared" ca="1" si="91"/>
        <v>8943.2750221202423</v>
      </c>
      <c r="CT72" s="1052">
        <f t="shared" ca="1" si="92"/>
        <v>8943.2750221202423</v>
      </c>
      <c r="CU72" s="1081">
        <f t="shared" ca="1" si="92"/>
        <v>12</v>
      </c>
      <c r="CV72" s="1082">
        <f t="shared" ca="1" si="92"/>
        <v>480</v>
      </c>
      <c r="CW72" s="893">
        <f t="shared" ca="1" si="92"/>
        <v>1552.6519135625422</v>
      </c>
    </row>
    <row r="73" spans="2:101">
      <c r="B73" s="1083">
        <f t="shared" si="97"/>
        <v>19</v>
      </c>
      <c r="C73" s="1074">
        <f>Tariff!D60</f>
        <v>3801.74</v>
      </c>
      <c r="D73" s="1071"/>
      <c r="E73" s="999">
        <f t="shared" ca="1" si="80"/>
        <v>1242.8291708838406</v>
      </c>
      <c r="F73" s="187">
        <f ca="1">VLOOKUP($B73,Tariff_Table_R,'R$ Table'!$AB$50)</f>
        <v>1518.1994228893673</v>
      </c>
      <c r="G73" s="893">
        <f t="shared" ca="1" si="93"/>
        <v>2761.0285937732078</v>
      </c>
      <c r="H73" s="898">
        <f t="shared" ca="1" si="81"/>
        <v>0.45013266928373113</v>
      </c>
      <c r="I73" s="820">
        <f t="shared" ca="1" si="81"/>
        <v>0.54986733071626892</v>
      </c>
      <c r="J73" s="1"/>
      <c r="K73" s="1002">
        <f t="shared" ca="1" si="82"/>
        <v>1</v>
      </c>
      <c r="N73" s="678">
        <f t="shared" ca="1" si="98"/>
        <v>2017</v>
      </c>
      <c r="O73" s="1048">
        <f ca="1">IF($N73&lt;YEAR(Startops3),0,VLOOKUP(($N73-YEAR(Startops3)+1)*2-'Debt Amort'!$B$36,Fin_Table,'Debt Amort'!AE$77))</f>
        <v>0</v>
      </c>
      <c r="P73" s="1047">
        <f ca="1">IF($N73&lt;YEAR(Startops3),0,VLOOKUP(($N73-YEAR(Startops3)+1)*2-'Debt Amort'!$B$36,Fin_Table,'Debt Amort'!AF$77))</f>
        <v>0</v>
      </c>
      <c r="Q73" s="1072"/>
      <c r="R73" s="892">
        <f ca="1">IF($N73&lt;YEAR(Startops3),0,VLOOKUP(($N73-YEAR(Startops3)+1)*2-'Debt Amort'!$B$36,Fin_Table,'Debt Amort'!AG$77))</f>
        <v>0</v>
      </c>
      <c r="S73" s="1075">
        <f ca="1">IF($N73&lt;YEAR(Startops3),0,VLOOKUP(($N73-YEAR(Startops3)+1)*2-'Debt Amort'!$B$36,Fin_Table,'Debt Amort'!AH$77))</f>
        <v>0</v>
      </c>
      <c r="T73" s="900">
        <f t="shared" ca="1" si="83"/>
        <v>0</v>
      </c>
      <c r="W73" s="678">
        <f t="shared" ca="1" si="94"/>
        <v>2017</v>
      </c>
      <c r="X73" s="1048">
        <f ca="1">IF($N73&lt;YEAR(Startops3),0,VLOOKUP(($N73-YEAR(Startops3)+1)*2-'Debt Amort'!$B$36,Fin_Table,'Debt Amort'!AC$77))</f>
        <v>0</v>
      </c>
      <c r="Z73" s="1047">
        <f ca="1">IF($N73&lt;YEAR(Startops3),0,VLOOKUP(($N73-YEAR(Startops3)+1)*2-'Debt Amort'!$B$36,Fin_Table,'Debt Amort'!AD$77))</f>
        <v>0</v>
      </c>
      <c r="AA73" s="900">
        <f t="shared" ca="1" si="84"/>
        <v>0</v>
      </c>
      <c r="AC73" s="678">
        <f t="shared" ca="1" si="95"/>
        <v>2017</v>
      </c>
      <c r="AD73" s="892">
        <f ca="1">HLOOKUP($AC73,Rev_Exp_Table,Rev_Exp!$AA$81)/HLOOKUP($AC73,Rev_Exp_Table,Rev_Exp!$AA$25)</f>
        <v>900</v>
      </c>
      <c r="AE73" s="892">
        <f ca="1">HLOOKUP($AC73,Rev_Exp_Table,Rev_Exp!$AA$82)/HLOOKUP($AC73,Rev_Exp_Table,Rev_Exp!$AA$25)</f>
        <v>150</v>
      </c>
      <c r="AF73" s="892">
        <f ca="1">HLOOKUP($AC73,Rev_Exp_Table,Rev_Exp!$AA$83)/HLOOKUP($AC73,Rev_Exp_Table,Rev_Exp!$AA$25)</f>
        <v>1390.0019999999997</v>
      </c>
      <c r="AG73" s="892">
        <f ca="1">HLOOKUP($AC73,Rev_Exp_Table,Rev_Exp!$AA$84)/HLOOKUP($AC73,Rev_Exp_Table,Rev_Exp!$AA$25)</f>
        <v>490.31970000000018</v>
      </c>
      <c r="AH73" s="892">
        <f>AVERAGE(Trapped!$G$64:$Y$64)*(1+Trapped!$D$67)</f>
        <v>5085.763910526317</v>
      </c>
      <c r="AI73" s="1047">
        <f t="shared" ca="1" si="85"/>
        <v>158.82352941176472</v>
      </c>
      <c r="AJ73" s="1049">
        <f t="shared" ca="1" si="86"/>
        <v>8174.9091399380814</v>
      </c>
      <c r="BI73"/>
      <c r="BR73" s="1083">
        <f t="shared" si="96"/>
        <v>19</v>
      </c>
      <c r="BU73" s="1076">
        <f t="shared" ca="1" si="99"/>
        <v>0</v>
      </c>
      <c r="BV73" s="1077">
        <f t="shared" ca="1" si="99"/>
        <v>0</v>
      </c>
      <c r="BW73" s="1078">
        <f t="shared" ca="1" si="99"/>
        <v>0</v>
      </c>
      <c r="BX73" s="1079">
        <f t="shared" ca="1" si="99"/>
        <v>0</v>
      </c>
      <c r="BY73" s="1080">
        <f t="shared" ca="1" si="99"/>
        <v>0</v>
      </c>
      <c r="CA73" s="1076">
        <f t="shared" ca="1" si="88"/>
        <v>0</v>
      </c>
      <c r="CB73" s="692">
        <f t="shared" ca="1" si="88"/>
        <v>0</v>
      </c>
      <c r="CD73" s="1076">
        <f t="shared" ca="1" si="89"/>
        <v>0</v>
      </c>
      <c r="CE73" s="1079">
        <f t="shared" ca="1" si="89"/>
        <v>0</v>
      </c>
      <c r="CF73" s="1080">
        <f t="shared" ca="1" si="89"/>
        <v>0</v>
      </c>
      <c r="CH73" s="1076">
        <f t="shared" ca="1" si="100"/>
        <v>900</v>
      </c>
      <c r="CI73" s="166">
        <f t="shared" ca="1" si="100"/>
        <v>150</v>
      </c>
      <c r="CJ73" s="166">
        <f t="shared" ca="1" si="100"/>
        <v>1390.0019999999997</v>
      </c>
      <c r="CK73" s="166">
        <f t="shared" ca="1" si="100"/>
        <v>490.31970000000013</v>
      </c>
      <c r="CL73" s="166">
        <f t="shared" ca="1" si="100"/>
        <v>3454.5078970175446</v>
      </c>
      <c r="CM73" s="1079">
        <f t="shared" ca="1" si="100"/>
        <v>158.8235294117647</v>
      </c>
      <c r="CN73" s="183">
        <f t="shared" ca="1" si="100"/>
        <v>6543.6531264293089</v>
      </c>
      <c r="CP73" s="1076">
        <f t="shared" ca="1" si="91"/>
        <v>6543.6531264293089</v>
      </c>
      <c r="CQ73" s="187">
        <f t="shared" ca="1" si="91"/>
        <v>6968.990579647214</v>
      </c>
      <c r="CR73" s="893">
        <f t="shared" ca="1" si="91"/>
        <v>7158.6960242909227</v>
      </c>
      <c r="CT73" s="1052">
        <f t="shared" ca="1" si="92"/>
        <v>7158.6960242909227</v>
      </c>
      <c r="CU73" s="1081">
        <f t="shared" ca="1" si="92"/>
        <v>12</v>
      </c>
      <c r="CV73" s="1082">
        <f t="shared" ca="1" si="92"/>
        <v>480</v>
      </c>
      <c r="CW73" s="893">
        <f t="shared" ca="1" si="92"/>
        <v>1242.8291708838408</v>
      </c>
    </row>
    <row r="74" spans="2:101">
      <c r="B74" s="1083">
        <f t="shared" si="97"/>
        <v>20</v>
      </c>
      <c r="C74" s="1074">
        <f>Tariff!D61</f>
        <v>3801.75</v>
      </c>
      <c r="D74" s="1071"/>
      <c r="E74" s="999">
        <f t="shared" ca="1" si="80"/>
        <v>647.49406825556582</v>
      </c>
      <c r="F74" s="187">
        <f ca="1">VLOOKUP($B74,Tariff_Table_R,'R$ Table'!$AB$50)</f>
        <v>1497.3018581423692</v>
      </c>
      <c r="G74" s="893">
        <f t="shared" ca="1" si="93"/>
        <v>2144.7959263979351</v>
      </c>
      <c r="H74" s="898">
        <f t="shared" ca="1" si="81"/>
        <v>0.30189075813053967</v>
      </c>
      <c r="I74" s="820">
        <f t="shared" ca="1" si="81"/>
        <v>0.69810924186946022</v>
      </c>
      <c r="J74" s="1"/>
      <c r="K74" s="1002">
        <f t="shared" ca="1" si="82"/>
        <v>0.99999999999999989</v>
      </c>
      <c r="N74" s="678">
        <f t="shared" ca="1" si="98"/>
        <v>2018</v>
      </c>
      <c r="O74" s="1048">
        <f ca="1">IF($N74&lt;YEAR(Startops3),0,VLOOKUP(($N74-YEAR(Startops3)+1)*2-'Debt Amort'!$B$36,Fin_Table,'Debt Amort'!AE$77))</f>
        <v>0</v>
      </c>
      <c r="P74" s="1047">
        <f ca="1">IF($N74&lt;YEAR(Startops3),0,VLOOKUP(($N74-YEAR(Startops3)+1)*2-'Debt Amort'!$B$36,Fin_Table,'Debt Amort'!AF$77))</f>
        <v>0</v>
      </c>
      <c r="Q74" s="1072"/>
      <c r="R74" s="892">
        <f ca="1">IF($N74&lt;YEAR(Startops3),0,VLOOKUP(($N74-YEAR(Startops3)+1)*2-'Debt Amort'!$B$36,Fin_Table,'Debt Amort'!AG$77))</f>
        <v>0</v>
      </c>
      <c r="S74" s="1075">
        <f ca="1">IF($N74&lt;YEAR(Startops3),0,VLOOKUP(($N74-YEAR(Startops3)+1)*2-'Debt Amort'!$B$36,Fin_Table,'Debt Amort'!AH$77))</f>
        <v>0</v>
      </c>
      <c r="T74" s="900">
        <f t="shared" ca="1" si="83"/>
        <v>0</v>
      </c>
      <c r="W74" s="678">
        <f t="shared" ca="1" si="94"/>
        <v>2018</v>
      </c>
      <c r="X74" s="1048">
        <f ca="1">IF($N74&lt;YEAR(Startops3),0,VLOOKUP(($N74-YEAR(Startops3)+1)*2-'Debt Amort'!$B$36,Fin_Table,'Debt Amort'!AC$77))</f>
        <v>0</v>
      </c>
      <c r="Z74" s="1047">
        <f ca="1">IF($N74&lt;YEAR(Startops3),0,VLOOKUP(($N74-YEAR(Startops3)+1)*2-'Debt Amort'!$B$36,Fin_Table,'Debt Amort'!AD$77))</f>
        <v>0</v>
      </c>
      <c r="AA74" s="900">
        <f t="shared" ca="1" si="84"/>
        <v>0</v>
      </c>
      <c r="AC74" s="678">
        <f t="shared" ca="1" si="95"/>
        <v>2018</v>
      </c>
      <c r="AD74" s="892">
        <f ca="1">HLOOKUP($AC74,Rev_Exp_Table,Rev_Exp!$AA$81)/HLOOKUP($AC74,Rev_Exp_Table,Rev_Exp!$AA$25)</f>
        <v>899.99999999999989</v>
      </c>
      <c r="AE74" s="892">
        <f ca="1">HLOOKUP($AC74,Rev_Exp_Table,Rev_Exp!$AA$82)/HLOOKUP($AC74,Rev_Exp_Table,Rev_Exp!$AA$25)</f>
        <v>150</v>
      </c>
      <c r="AF74" s="892">
        <f ca="1">HLOOKUP($AC74,Rev_Exp_Table,Rev_Exp!$AA$83)/HLOOKUP($AC74,Rev_Exp_Table,Rev_Exp!$AA$25)</f>
        <v>1390.0019999999997</v>
      </c>
      <c r="AG74" s="892">
        <f ca="1">HLOOKUP($AC74,Rev_Exp_Table,Rev_Exp!$AA$84)/HLOOKUP($AC74,Rev_Exp_Table,Rev_Exp!$AA$25)</f>
        <v>490.31970000000013</v>
      </c>
      <c r="AH74" s="1021">
        <f>Trapped!$Z$64*(1+Trapped!$D$67)</f>
        <v>191.99587</v>
      </c>
      <c r="AI74" s="1047">
        <f t="shared" ca="1" si="85"/>
        <v>158.8235294117647</v>
      </c>
      <c r="AJ74" s="1049">
        <f t="shared" ca="1" si="86"/>
        <v>3281.1410994117646</v>
      </c>
      <c r="BI74"/>
      <c r="BR74" s="1083">
        <f t="shared" si="96"/>
        <v>20</v>
      </c>
      <c r="BU74" s="1076">
        <f t="shared" ca="1" si="99"/>
        <v>0</v>
      </c>
      <c r="BV74" s="1077">
        <f t="shared" ca="1" si="99"/>
        <v>0</v>
      </c>
      <c r="BW74" s="1078">
        <f t="shared" ca="1" si="99"/>
        <v>0</v>
      </c>
      <c r="BX74" s="1079">
        <f t="shared" ca="1" si="99"/>
        <v>0</v>
      </c>
      <c r="BY74" s="1080">
        <f t="shared" ca="1" si="99"/>
        <v>0</v>
      </c>
      <c r="CA74" s="1076">
        <f t="shared" ca="1" si="88"/>
        <v>0</v>
      </c>
      <c r="CB74" s="692">
        <f t="shared" ca="1" si="88"/>
        <v>0</v>
      </c>
      <c r="CD74" s="1076">
        <f t="shared" ca="1" si="89"/>
        <v>0</v>
      </c>
      <c r="CE74" s="1079">
        <f t="shared" ca="1" si="89"/>
        <v>0</v>
      </c>
      <c r="CF74" s="1080">
        <f t="shared" ca="1" si="89"/>
        <v>0</v>
      </c>
      <c r="CH74" s="1076">
        <f t="shared" ca="1" si="100"/>
        <v>899.99999999999989</v>
      </c>
      <c r="CI74" s="166">
        <f t="shared" ca="1" si="100"/>
        <v>150</v>
      </c>
      <c r="CJ74" s="166">
        <f t="shared" ca="1" si="100"/>
        <v>1390.0019999999997</v>
      </c>
      <c r="CK74" s="166">
        <f t="shared" ca="1" si="100"/>
        <v>490.31970000000013</v>
      </c>
      <c r="CL74" s="166">
        <f t="shared" ca="1" si="100"/>
        <v>319.99311666666665</v>
      </c>
      <c r="CM74" s="1079">
        <f t="shared" ca="1" si="100"/>
        <v>158.8235294117647</v>
      </c>
      <c r="CN74" s="183">
        <f t="shared" ca="1" si="100"/>
        <v>3409.1383460784309</v>
      </c>
      <c r="CP74" s="1076">
        <f t="shared" ca="1" si="91"/>
        <v>3409.1383460784309</v>
      </c>
      <c r="CQ74" s="187">
        <f t="shared" ca="1" si="91"/>
        <v>3630.7323385735285</v>
      </c>
      <c r="CR74" s="893">
        <f t="shared" ca="1" si="91"/>
        <v>3729.5658331520576</v>
      </c>
      <c r="CT74" s="1052">
        <f t="shared" ca="1" si="92"/>
        <v>3729.5658331520576</v>
      </c>
      <c r="CU74" s="1081">
        <f t="shared" ca="1" si="92"/>
        <v>12</v>
      </c>
      <c r="CV74" s="1082">
        <f t="shared" ca="1" si="92"/>
        <v>480</v>
      </c>
      <c r="CW74" s="893">
        <f t="shared" ca="1" si="92"/>
        <v>647.49406825556559</v>
      </c>
    </row>
    <row r="75" spans="2:101">
      <c r="B75" s="1083"/>
      <c r="C75" s="1074"/>
      <c r="D75" s="1071"/>
      <c r="E75" s="999"/>
      <c r="F75" s="187"/>
      <c r="G75" s="893"/>
      <c r="H75" s="898"/>
      <c r="I75" s="820"/>
      <c r="J75" s="1"/>
      <c r="K75" s="1002"/>
      <c r="N75" s="678">
        <f t="shared" ca="1" si="98"/>
        <v>2019</v>
      </c>
      <c r="O75" s="1048">
        <f ca="1">IF($N75&lt;YEAR(Startops3),0,VLOOKUP(($N75-YEAR(Startops3)+1)*2-'Debt Amort'!$B$36,Fin_Table,'Debt Amort'!AE$77))</f>
        <v>0</v>
      </c>
      <c r="P75" s="1047">
        <f ca="1">IF($N75&lt;YEAR(Startops3),0,VLOOKUP(($N75-YEAR(Startops3)+1)*2-'Debt Amort'!$B$36,Fin_Table,'Debt Amort'!AF$77))</f>
        <v>0</v>
      </c>
      <c r="Q75" s="1072"/>
      <c r="R75" s="892">
        <f ca="1">IF($N75&lt;YEAR(Startops3),0,VLOOKUP(($N75-YEAR(Startops3)+1)*2-'Debt Amort'!$B$36,Fin_Table,'Debt Amort'!AG$77))</f>
        <v>0</v>
      </c>
      <c r="S75" s="1075">
        <f ca="1">IF($N75&lt;YEAR(Startops3),0,VLOOKUP(($N75-YEAR(Startops3)+1)*2-'Debt Amort'!$B$36,Fin_Table,'Debt Amort'!AH$77))</f>
        <v>0</v>
      </c>
      <c r="T75" s="900">
        <f t="shared" ca="1" si="83"/>
        <v>0</v>
      </c>
      <c r="W75" s="678">
        <f t="shared" ca="1" si="94"/>
        <v>2019</v>
      </c>
      <c r="X75" s="1048">
        <f ca="1">IF($N75&lt;YEAR(Startops3),0,VLOOKUP(($N75-YEAR(Startops3)+1)*2-'Debt Amort'!$B$36,Fin_Table,'Debt Amort'!AC$77))</f>
        <v>0</v>
      </c>
      <c r="Z75" s="1047">
        <f ca="1">IF($N75&lt;YEAR(Startops3),0,VLOOKUP(($N75-YEAR(Startops3)+1)*2-'Debt Amort'!$B$36,Fin_Table,'Debt Amort'!AD$77))</f>
        <v>0</v>
      </c>
      <c r="AA75" s="900">
        <f t="shared" ca="1" si="84"/>
        <v>0</v>
      </c>
      <c r="AC75" s="678">
        <f t="shared" ca="1" si="95"/>
        <v>2019</v>
      </c>
      <c r="AD75" s="892">
        <f ca="1">HLOOKUP($AC75,Rev_Exp_Table,Rev_Exp!$AA$81)/HLOOKUP($AC75,Rev_Exp_Table,Rev_Exp!$AA$25)</f>
        <v>300</v>
      </c>
      <c r="AE75" s="892">
        <f ca="1">HLOOKUP($AC75,Rev_Exp_Table,Rev_Exp!$AA$82)/HLOOKUP($AC75,Rev_Exp_Table,Rev_Exp!$AA$25)</f>
        <v>50</v>
      </c>
      <c r="AF75" s="892">
        <f ca="1">HLOOKUP($AC75,Rev_Exp_Table,Rev_Exp!$AA$83)/HLOOKUP($AC75,Rev_Exp_Table,Rev_Exp!$AA$25)</f>
        <v>463.334</v>
      </c>
      <c r="AG75" s="892">
        <f ca="1">HLOOKUP($AC75,Rev_Exp_Table,Rev_Exp!$AA$84)/HLOOKUP($AC75,Rev_Exp_Table,Rev_Exp!$AA$25)</f>
        <v>163.43990000000005</v>
      </c>
      <c r="AH75" s="1021">
        <f>Trapped!$AA$64*(1+Trapped!$D$67)</f>
        <v>191.99587</v>
      </c>
      <c r="AI75" s="1047">
        <f t="shared" ca="1" si="85"/>
        <v>52.941176470588239</v>
      </c>
      <c r="AJ75" s="1049">
        <f t="shared" ca="1" si="86"/>
        <v>1221.7109464705884</v>
      </c>
      <c r="BI75"/>
      <c r="BR75" s="1083"/>
      <c r="BU75" s="1074"/>
      <c r="BV75" s="1071"/>
      <c r="BW75" s="999"/>
      <c r="BX75" s="1084"/>
      <c r="BY75" s="893"/>
      <c r="CA75" s="1074"/>
      <c r="CB75" s="401"/>
      <c r="CD75" s="1074"/>
      <c r="CE75" s="1084"/>
      <c r="CF75" s="893"/>
      <c r="CH75" s="1074"/>
      <c r="CI75" s="187"/>
      <c r="CJ75" s="187"/>
      <c r="CK75" s="187"/>
      <c r="CL75" s="187"/>
      <c r="CM75" s="1084"/>
      <c r="CN75" s="1085"/>
      <c r="CP75" s="1074"/>
      <c r="CQ75" s="187"/>
      <c r="CR75" s="893"/>
      <c r="CT75" s="1052"/>
      <c r="CU75" s="1081"/>
      <c r="CV75" s="1082"/>
      <c r="CW75" s="893"/>
    </row>
    <row r="76" spans="2:101">
      <c r="B76" s="1083"/>
      <c r="C76" s="1074"/>
      <c r="D76" s="1071"/>
      <c r="E76" s="999"/>
      <c r="F76" s="187"/>
      <c r="G76" s="893"/>
      <c r="H76" s="898"/>
      <c r="I76" s="820"/>
      <c r="J76" s="1"/>
      <c r="K76" s="1002"/>
      <c r="N76" s="678"/>
      <c r="O76" s="1048"/>
      <c r="P76" s="1047"/>
      <c r="Q76" s="1072"/>
      <c r="R76" s="892"/>
      <c r="S76" s="1075"/>
      <c r="T76" s="900"/>
      <c r="W76" s="678"/>
      <c r="X76" s="1048"/>
      <c r="Z76" s="1047"/>
      <c r="AA76" s="900"/>
      <c r="AC76" s="678"/>
      <c r="AD76" s="892"/>
      <c r="AE76" s="892"/>
      <c r="AF76" s="892"/>
      <c r="AG76" s="892"/>
      <c r="AH76" s="1021"/>
      <c r="AI76" s="1047"/>
      <c r="AJ76" s="1049"/>
      <c r="BI76"/>
      <c r="BR76" s="1083"/>
      <c r="BU76" s="1074"/>
      <c r="BV76" s="1071"/>
      <c r="BW76" s="999"/>
      <c r="BX76" s="1084"/>
      <c r="BY76" s="893"/>
      <c r="CA76" s="1074"/>
      <c r="CB76" s="401"/>
      <c r="CD76" s="1074"/>
      <c r="CE76" s="1084"/>
      <c r="CF76" s="893"/>
      <c r="CH76" s="1074"/>
      <c r="CI76" s="187"/>
      <c r="CJ76" s="187"/>
      <c r="CK76" s="187"/>
      <c r="CL76" s="187"/>
      <c r="CM76" s="1084"/>
      <c r="CN76" s="1085"/>
      <c r="CP76" s="1074"/>
      <c r="CQ76" s="187"/>
      <c r="CR76" s="893"/>
      <c r="CT76" s="1052"/>
      <c r="CU76" s="1081"/>
      <c r="CV76" s="1082"/>
      <c r="CW76" s="893"/>
    </row>
    <row r="77" spans="2:101" ht="13.5" thickBot="1">
      <c r="B77" s="673"/>
      <c r="C77" s="400"/>
      <c r="D77" s="907"/>
      <c r="E77" s="906"/>
      <c r="F77" s="268"/>
      <c r="G77" s="405"/>
      <c r="H77" s="400"/>
      <c r="I77" s="268"/>
      <c r="J77" s="268"/>
      <c r="K77" s="1003"/>
      <c r="N77" s="1086" t="s">
        <v>426</v>
      </c>
      <c r="O77" s="1087">
        <f ca="1">SUM(O55:O76)</f>
        <v>78063.150000000038</v>
      </c>
      <c r="P77" s="1088">
        <f ca="1">SUM(P55:P76)</f>
        <v>140250.00000000006</v>
      </c>
      <c r="Q77" s="906"/>
      <c r="R77" s="1089">
        <f ca="1">SUM(R55:R76)</f>
        <v>32663.86748208915</v>
      </c>
      <c r="S77" s="1090">
        <f ca="1">SUM(S55:S76)</f>
        <v>36351.11991105834</v>
      </c>
      <c r="T77" s="1091">
        <f ca="1">SUM(T55:T76)</f>
        <v>287328.13739314757</v>
      </c>
      <c r="W77" s="1086" t="s">
        <v>426</v>
      </c>
      <c r="X77" s="1087">
        <f ca="1">SUM(X55:X76)</f>
        <v>47828.135087795286</v>
      </c>
      <c r="Y77" s="268"/>
      <c r="Z77" s="1088">
        <f ca="1">SUM(Z55:Z76)</f>
        <v>49749.813072758669</v>
      </c>
      <c r="AA77" s="1091">
        <f ca="1">SUM(AA55:AA76)</f>
        <v>97577.948160553962</v>
      </c>
      <c r="AC77" s="1086" t="s">
        <v>426</v>
      </c>
      <c r="AD77" s="1092">
        <f t="shared" ref="AD77:AJ77" ca="1" si="101">SUM(AD55:AD76)</f>
        <v>17287.5</v>
      </c>
      <c r="AE77" s="1092">
        <f t="shared" ca="1" si="101"/>
        <v>2881.25</v>
      </c>
      <c r="AF77" s="1092">
        <f t="shared" ca="1" si="101"/>
        <v>25483.370000000003</v>
      </c>
      <c r="AG77" s="1092">
        <f t="shared" ca="1" si="101"/>
        <v>9074.7308750000011</v>
      </c>
      <c r="AH77" s="1092">
        <f t="shared" si="101"/>
        <v>97013.506040000037</v>
      </c>
      <c r="AI77" s="1093">
        <f t="shared" ca="1" si="101"/>
        <v>3050.7352941176478</v>
      </c>
      <c r="AJ77" s="1094">
        <f t="shared" ca="1" si="101"/>
        <v>154791.09220911766</v>
      </c>
      <c r="BI77"/>
      <c r="BR77" s="1095" t="s">
        <v>426</v>
      </c>
      <c r="BU77" s="1096">
        <f ca="1">SUM(BU55:BU76)</f>
        <v>88063.475892857183</v>
      </c>
      <c r="BV77" s="1093">
        <f ca="1">SUM(BV55:BV76)</f>
        <v>150267.85714285722</v>
      </c>
      <c r="BW77" s="1087">
        <f ca="1">SUM(BW55:BW76)</f>
        <v>36651.118745041364</v>
      </c>
      <c r="BX77" s="1093">
        <f ca="1">SUM(BX55:BX76)</f>
        <v>36896.334779552919</v>
      </c>
      <c r="BY77" s="1097">
        <f ca="1">SUM(BY55:BY76)</f>
        <v>311878.78656030865</v>
      </c>
      <c r="CA77" s="1096">
        <f ca="1">SUM(CA55:CA76)</f>
        <v>93563.635968092625</v>
      </c>
      <c r="CB77" s="1097">
        <f ca="1">SUM(CB55:CB76)</f>
        <v>4348.751864521555</v>
      </c>
      <c r="CD77" s="1096">
        <f ca="1">SUM(CD55:CD76)</f>
        <v>54225.467118838933</v>
      </c>
      <c r="CE77" s="1093">
        <f ca="1">SUM(CE55:CE76)</f>
        <v>51978.223461634385</v>
      </c>
      <c r="CF77" s="1097">
        <f ca="1">SUM(CF55:CF76)</f>
        <v>106203.69058047331</v>
      </c>
      <c r="CH77" s="1096">
        <f t="shared" ref="CH77:CN77" ca="1" si="102">SUM(CH55:CH76)</f>
        <v>17737.5</v>
      </c>
      <c r="CI77" s="1092">
        <f t="shared" ca="1" si="102"/>
        <v>2956.25</v>
      </c>
      <c r="CJ77" s="1092">
        <f t="shared" ca="1" si="102"/>
        <v>26873.372000000003</v>
      </c>
      <c r="CK77" s="1092">
        <f t="shared" ca="1" si="102"/>
        <v>9479.1380750000026</v>
      </c>
      <c r="CL77" s="1092">
        <f t="shared" ca="1" si="102"/>
        <v>97013.506040000022</v>
      </c>
      <c r="CM77" s="1093">
        <f t="shared" ca="1" si="102"/>
        <v>3130.1470588235302</v>
      </c>
      <c r="CN77" s="1094">
        <f t="shared" ca="1" si="102"/>
        <v>157189.91317382356</v>
      </c>
      <c r="CP77" s="1096">
        <f ca="1">SUM(CP55:CP76)</f>
        <v>673184.7781472198</v>
      </c>
      <c r="CQ77" s="982">
        <f ca="1">SUM(CQ55:CQ76)</f>
        <v>716941.78872678895</v>
      </c>
      <c r="CR77" s="1098">
        <f ca="1">SUM(CR55:CR76)</f>
        <v>736457.92370497051</v>
      </c>
      <c r="CT77" s="1099">
        <f ca="1">SUM(CT55:CT76)</f>
        <v>736457.92370497051</v>
      </c>
      <c r="CU77" s="1100"/>
      <c r="CV77" s="1101"/>
      <c r="CW77" s="1098"/>
    </row>
    <row r="78" spans="2:101">
      <c r="B78" s="357">
        <v>1</v>
      </c>
      <c r="C78" s="357">
        <f>B78+1</f>
        <v>2</v>
      </c>
      <c r="D78" s="357">
        <f>C78+1</f>
        <v>3</v>
      </c>
      <c r="E78" s="357">
        <f>D78+1</f>
        <v>4</v>
      </c>
      <c r="F78" s="357">
        <f>E78+1</f>
        <v>5</v>
      </c>
      <c r="G78" s="357">
        <f>F78+1</f>
        <v>6</v>
      </c>
      <c r="N78" s="357">
        <v>1</v>
      </c>
      <c r="O78" s="357">
        <f t="shared" ref="O78:T78" si="103">N78+1</f>
        <v>2</v>
      </c>
      <c r="P78" s="357">
        <f t="shared" si="103"/>
        <v>3</v>
      </c>
      <c r="Q78" s="357">
        <f t="shared" si="103"/>
        <v>4</v>
      </c>
      <c r="R78" s="357">
        <f t="shared" si="103"/>
        <v>5</v>
      </c>
      <c r="S78" s="357">
        <f t="shared" si="103"/>
        <v>6</v>
      </c>
      <c r="T78" s="357">
        <f t="shared" si="103"/>
        <v>7</v>
      </c>
      <c r="W78" s="357">
        <v>1</v>
      </c>
      <c r="X78" s="357">
        <f>W78+1</f>
        <v>2</v>
      </c>
      <c r="Y78" s="357">
        <f>X78+1</f>
        <v>3</v>
      </c>
      <c r="Z78" s="357">
        <f>Y78+1</f>
        <v>4</v>
      </c>
      <c r="AA78" s="357">
        <f>Z78+1</f>
        <v>5</v>
      </c>
      <c r="AC78" s="357">
        <v>1</v>
      </c>
      <c r="AD78" s="357">
        <f t="shared" ref="AD78:AJ78" si="104">AC78+1</f>
        <v>2</v>
      </c>
      <c r="AE78" s="357">
        <f t="shared" si="104"/>
        <v>3</v>
      </c>
      <c r="AF78" s="357">
        <f t="shared" si="104"/>
        <v>4</v>
      </c>
      <c r="AG78" s="357">
        <f t="shared" si="104"/>
        <v>5</v>
      </c>
      <c r="AH78" s="357">
        <f t="shared" si="104"/>
        <v>6</v>
      </c>
      <c r="AI78" s="357">
        <f t="shared" si="104"/>
        <v>7</v>
      </c>
      <c r="AJ78" s="357">
        <f t="shared" si="104"/>
        <v>8</v>
      </c>
      <c r="BI78"/>
      <c r="BR78" s="357">
        <v>1</v>
      </c>
      <c r="BS78" s="357">
        <f>BR78+1</f>
        <v>2</v>
      </c>
      <c r="BT78" s="357">
        <f t="shared" ref="BT78:CW78" si="105">BS78+1</f>
        <v>3</v>
      </c>
      <c r="BU78" s="357">
        <f t="shared" si="105"/>
        <v>4</v>
      </c>
      <c r="BV78" s="357">
        <f t="shared" si="105"/>
        <v>5</v>
      </c>
      <c r="BW78" s="357">
        <f t="shared" si="105"/>
        <v>6</v>
      </c>
      <c r="BX78" s="357">
        <f t="shared" si="105"/>
        <v>7</v>
      </c>
      <c r="BY78" s="357">
        <f t="shared" si="105"/>
        <v>8</v>
      </c>
      <c r="BZ78" s="357">
        <f t="shared" si="105"/>
        <v>9</v>
      </c>
      <c r="CA78" s="357">
        <f t="shared" si="105"/>
        <v>10</v>
      </c>
      <c r="CB78" s="357">
        <f t="shared" si="105"/>
        <v>11</v>
      </c>
      <c r="CC78" s="357">
        <f t="shared" si="105"/>
        <v>12</v>
      </c>
      <c r="CD78" s="357">
        <f t="shared" si="105"/>
        <v>13</v>
      </c>
      <c r="CE78" s="357">
        <f t="shared" si="105"/>
        <v>14</v>
      </c>
      <c r="CF78" s="357">
        <f t="shared" si="105"/>
        <v>15</v>
      </c>
      <c r="CG78" s="357">
        <f t="shared" si="105"/>
        <v>16</v>
      </c>
      <c r="CH78" s="357">
        <f t="shared" si="105"/>
        <v>17</v>
      </c>
      <c r="CI78" s="357">
        <f t="shared" si="105"/>
        <v>18</v>
      </c>
      <c r="CJ78" s="357">
        <f t="shared" si="105"/>
        <v>19</v>
      </c>
      <c r="CK78" s="357">
        <f t="shared" si="105"/>
        <v>20</v>
      </c>
      <c r="CL78" s="357">
        <f t="shared" si="105"/>
        <v>21</v>
      </c>
      <c r="CM78" s="357">
        <f t="shared" si="105"/>
        <v>22</v>
      </c>
      <c r="CN78" s="357">
        <f t="shared" si="105"/>
        <v>23</v>
      </c>
      <c r="CO78" s="357">
        <f t="shared" si="105"/>
        <v>24</v>
      </c>
      <c r="CP78" s="357">
        <f t="shared" si="105"/>
        <v>25</v>
      </c>
      <c r="CQ78" s="357">
        <f t="shared" si="105"/>
        <v>26</v>
      </c>
      <c r="CR78" s="357">
        <f t="shared" si="105"/>
        <v>27</v>
      </c>
      <c r="CS78" s="357">
        <f t="shared" si="105"/>
        <v>28</v>
      </c>
      <c r="CT78" s="357">
        <f t="shared" si="105"/>
        <v>29</v>
      </c>
      <c r="CU78" s="357">
        <f t="shared" si="105"/>
        <v>30</v>
      </c>
      <c r="CV78" s="357">
        <f t="shared" si="105"/>
        <v>31</v>
      </c>
      <c r="CW78" s="357">
        <f t="shared" si="105"/>
        <v>32</v>
      </c>
    </row>
    <row r="79" spans="2:101">
      <c r="Z79"/>
      <c r="BI79"/>
      <c r="CB79" s="894"/>
      <c r="CP79"/>
    </row>
    <row r="80" spans="2:101">
      <c r="CB80" s="894"/>
    </row>
    <row r="81" spans="80:80">
      <c r="CB81" s="894"/>
    </row>
  </sheetData>
  <printOptions horizontalCentered="1"/>
  <pageMargins left="0.25" right="0.25" top="0.5" bottom="0.5" header="0.25" footer="0.25"/>
  <pageSetup scale="10" orientation="landscape" horizontalDpi="4294967292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21">
    <pageSetUpPr autoPageBreaks="0" fitToPage="1"/>
  </sheetPr>
  <dimension ref="A1:AB79"/>
  <sheetViews>
    <sheetView showGridLines="0" topLeftCell="I1" zoomScale="90" workbookViewId="0">
      <selection activeCell="P15" sqref="P15"/>
    </sheetView>
  </sheetViews>
  <sheetFormatPr defaultRowHeight="12.75"/>
  <cols>
    <col min="1" max="1" width="1.7109375" customWidth="1"/>
    <col min="2" max="3" width="12.7109375" customWidth="1"/>
    <col min="4" max="4" width="1.7109375" customWidth="1"/>
    <col min="5" max="11" width="12.7109375" customWidth="1"/>
    <col min="12" max="12" width="1.7109375" customWidth="1"/>
    <col min="13" max="16" width="12.7109375" customWidth="1"/>
    <col min="17" max="17" width="12.7109375" style="894" customWidth="1"/>
    <col min="18" max="19" width="12.7109375" customWidth="1"/>
    <col min="20" max="20" width="1.7109375" customWidth="1"/>
    <col min="21" max="28" width="12.7109375" customWidth="1"/>
  </cols>
  <sheetData>
    <row r="1" spans="1:28" ht="15.75">
      <c r="A1" s="1137" t="str">
        <f>CONCATENATE(TOC!B2," ",TOC!B6)</f>
        <v>EMPRESSA PRODUTORA DE ENERGÍA LTDA (EPE) *** DRAFT COPY ***</v>
      </c>
    </row>
    <row r="2" spans="1:28" ht="15.75">
      <c r="A2" s="1137" t="str">
        <f>TOC!B3</f>
        <v>480 MW POWER PLANT (CUIABA, BRAZIL)</v>
      </c>
    </row>
    <row r="3" spans="1:28" ht="15">
      <c r="A3" s="118" t="str">
        <f>TOC!B4</f>
        <v>ENRON INTERNATIONAL</v>
      </c>
    </row>
    <row r="4" spans="1:28" ht="15">
      <c r="A4" s="932" t="s">
        <v>698</v>
      </c>
      <c r="B4" s="959"/>
      <c r="C4" s="959"/>
      <c r="D4" s="959"/>
      <c r="E4" s="959"/>
    </row>
    <row r="5" spans="1:28">
      <c r="V5" s="1028" t="s">
        <v>1504</v>
      </c>
      <c r="W5" s="1028" t="s">
        <v>259</v>
      </c>
    </row>
    <row r="6" spans="1:28" ht="13.5" thickBot="1">
      <c r="B6" s="9" t="s">
        <v>1167</v>
      </c>
      <c r="Q6"/>
      <c r="R6" s="1032">
        <f>-'US$ Table'!K6</f>
        <v>-1.3</v>
      </c>
      <c r="V6" s="1030">
        <f>Exch</f>
        <v>1.0649999999999999</v>
      </c>
      <c r="W6" s="1031">
        <f>(Pis+Cofins)/(1-(Pis+Cofins))</f>
        <v>2.722136620441705E-2</v>
      </c>
    </row>
    <row r="7" spans="1:28">
      <c r="B7" s="891" t="s">
        <v>1437</v>
      </c>
      <c r="C7" s="897" t="s">
        <v>403</v>
      </c>
      <c r="E7" s="908" t="s">
        <v>1175</v>
      </c>
      <c r="F7" s="146" t="s">
        <v>1177</v>
      </c>
      <c r="G7" s="146" t="s">
        <v>1179</v>
      </c>
      <c r="H7" s="146" t="s">
        <v>1180</v>
      </c>
      <c r="I7" s="146" t="s">
        <v>1178</v>
      </c>
      <c r="J7" s="903" t="s">
        <v>1171</v>
      </c>
      <c r="K7" s="1035" t="s">
        <v>1408</v>
      </c>
      <c r="M7" s="908" t="s">
        <v>1160</v>
      </c>
      <c r="N7" s="146" t="s">
        <v>1165</v>
      </c>
      <c r="O7" s="146" t="s">
        <v>781</v>
      </c>
      <c r="P7" s="146" t="s">
        <v>992</v>
      </c>
      <c r="Q7" s="146" t="s">
        <v>993</v>
      </c>
      <c r="R7" s="903" t="s">
        <v>1310</v>
      </c>
      <c r="S7" s="1035" t="s">
        <v>1408</v>
      </c>
      <c r="U7" s="908" t="s">
        <v>1408</v>
      </c>
      <c r="V7" s="146" t="s">
        <v>1313</v>
      </c>
      <c r="W7" s="146" t="s">
        <v>1314</v>
      </c>
      <c r="X7" s="1036" t="s">
        <v>1162</v>
      </c>
      <c r="Y7" s="1037" t="s">
        <v>426</v>
      </c>
      <c r="Z7" s="146" t="s">
        <v>1007</v>
      </c>
      <c r="AA7" s="580" t="s">
        <v>333</v>
      </c>
      <c r="AB7" s="896" t="s">
        <v>580</v>
      </c>
    </row>
    <row r="8" spans="1:28">
      <c r="B8" s="541" t="s">
        <v>570</v>
      </c>
      <c r="C8" s="159" t="s">
        <v>570</v>
      </c>
      <c r="E8" s="835" t="s">
        <v>1176</v>
      </c>
      <c r="F8" s="167" t="s">
        <v>1781</v>
      </c>
      <c r="G8" s="167" t="s">
        <v>1174</v>
      </c>
      <c r="H8" s="1018" t="s">
        <v>1181</v>
      </c>
      <c r="I8" s="167" t="s">
        <v>1172</v>
      </c>
      <c r="J8" s="1044" t="s">
        <v>1172</v>
      </c>
      <c r="K8" s="180" t="s">
        <v>1781</v>
      </c>
      <c r="M8" s="835" t="s">
        <v>1164</v>
      </c>
      <c r="N8" s="167" t="s">
        <v>1006</v>
      </c>
      <c r="O8" s="167" t="s">
        <v>1166</v>
      </c>
      <c r="P8" s="1014">
        <v>0.15</v>
      </c>
      <c r="Q8" s="1013">
        <f>SUM(Tax,AddTax,Social)/(100%-SUM(Tax,AddTax,Social))</f>
        <v>0.49253731343283591</v>
      </c>
      <c r="R8" s="905" t="s">
        <v>705</v>
      </c>
      <c r="S8" s="180" t="s">
        <v>1177</v>
      </c>
      <c r="U8" s="835" t="s">
        <v>1161</v>
      </c>
      <c r="V8" s="167" t="s">
        <v>1316</v>
      </c>
      <c r="W8" s="167" t="s">
        <v>1317</v>
      </c>
      <c r="X8" s="1040" t="s">
        <v>678</v>
      </c>
      <c r="Y8" s="1041" t="s">
        <v>678</v>
      </c>
      <c r="Z8" s="167" t="s">
        <v>1163</v>
      </c>
      <c r="AA8" s="18" t="s">
        <v>332</v>
      </c>
      <c r="AB8" s="133" t="s">
        <v>1283</v>
      </c>
    </row>
    <row r="9" spans="1:28">
      <c r="B9" s="678">
        <f>'US$ Table'!B9</f>
        <v>1</v>
      </c>
      <c r="C9" s="399">
        <f ca="1">'US$ Table'!C9</f>
        <v>1999</v>
      </c>
      <c r="E9" s="1046">
        <f ca="1">VLOOKUP($C9,OM_Table_R,'R$ Table'!E$78)</f>
        <v>1113.7211024247761</v>
      </c>
      <c r="F9" s="892">
        <f ca="1">VLOOKUP($C9,OM_Table_R,'R$ Table'!F$78)</f>
        <v>475.19251949056076</v>
      </c>
      <c r="G9" s="892">
        <f ca="1">VLOOKUP($C9,OM_Table_R,'R$ Table'!G$78)</f>
        <v>599.83738751315468</v>
      </c>
      <c r="H9" s="892">
        <f ca="1">VLOOKUP($C9,OM_Table_R,'R$ Table'!H$78)</f>
        <v>0</v>
      </c>
      <c r="I9" s="892">
        <f ca="1">VLOOKUP($C9,OM_Table_R,'R$ Table'!I$78)</f>
        <v>137.5566863898971</v>
      </c>
      <c r="J9" s="1047">
        <f ca="1">VLOOKUP($C9,OM_Table_R,'R$ Table'!J$78)</f>
        <v>243.051947368421</v>
      </c>
      <c r="K9" s="1049">
        <f t="shared" ref="K9:K47" ca="1" si="0">SUM(E9:J9)</f>
        <v>2569.35964318681</v>
      </c>
      <c r="M9" s="1046">
        <f ca="1">-HLOOKUP($C9,CF_Table,CF!$AB$36)</f>
        <v>234.375</v>
      </c>
      <c r="N9" s="892">
        <f ca="1">-HLOOKUP($C9,CF_Table,CF!$AB$37)</f>
        <v>82.5</v>
      </c>
      <c r="O9" s="892">
        <f ca="1">Tot_Equity*HLOOKUP($C9,CF_Table,CF!$AB$12)/CF!$Z$12</f>
        <v>3465.3200491463558</v>
      </c>
      <c r="P9" s="892">
        <f t="shared" ref="P9:Q27" ca="1" si="1">P$8*O9</f>
        <v>519.7980073719533</v>
      </c>
      <c r="Q9" s="892">
        <f t="shared" ca="1" si="1"/>
        <v>256.01991407872333</v>
      </c>
      <c r="R9" s="1047">
        <f ca="1">-'US$ Table'!K9</f>
        <v>0</v>
      </c>
      <c r="S9" s="1049">
        <f t="shared" ref="S9:S47" ca="1" si="2">SUM(M9:R9)</f>
        <v>4558.012970597033</v>
      </c>
      <c r="U9" s="1104">
        <f t="shared" ref="U9:U47" ca="1" si="3">SUM(K9,S9)</f>
        <v>7127.372613783843</v>
      </c>
      <c r="V9" s="187">
        <f t="shared" ref="V9:V47" ca="1" si="4">U9*V$6</f>
        <v>7590.6518336797926</v>
      </c>
      <c r="W9" s="187">
        <f t="shared" ref="W9:W47" ca="1" si="5">V9*(1+W$6)</f>
        <v>7797.2797469746192</v>
      </c>
      <c r="X9" s="1050">
        <f ca="1">'US$ Table'!AC9</f>
        <v>9</v>
      </c>
      <c r="Y9" s="1051">
        <f ca="1">'US$ Table'!AD9</f>
        <v>9</v>
      </c>
      <c r="Z9" s="187">
        <f t="shared" ref="Z9:Z47" ca="1" si="6">W9*X9/Y9</f>
        <v>7797.2797469746192</v>
      </c>
      <c r="AA9" s="901">
        <f>'US$ Table'!AF9</f>
        <v>150</v>
      </c>
      <c r="AB9" s="893">
        <f ca="1">Z9/AA9/X9*1000</f>
        <v>5775.7627755367548</v>
      </c>
    </row>
    <row r="10" spans="1:28">
      <c r="B10" s="678">
        <f>'US$ Table'!B10</f>
        <v>2</v>
      </c>
      <c r="C10" s="399">
        <f>'US$ Table'!C10</f>
        <v>2001</v>
      </c>
      <c r="E10" s="1046">
        <f ca="1">VLOOKUP($C10,OM_Table_R,'R$ Table'!E$78)</f>
        <v>1271.2961751004011</v>
      </c>
      <c r="F10" s="892">
        <f ca="1">VLOOKUP($C10,OM_Table_R,'R$ Table'!F$78)</f>
        <v>423.52495658485884</v>
      </c>
      <c r="G10" s="892">
        <f ca="1">VLOOKUP($C10,OM_Table_R,'R$ Table'!G$78)</f>
        <v>524.12936445736682</v>
      </c>
      <c r="H10" s="892">
        <f ca="1">VLOOKUP($C10,OM_Table_R,'R$ Table'!H$78)</f>
        <v>202.36122544965076</v>
      </c>
      <c r="I10" s="892">
        <f ca="1">VLOOKUP($C10,OM_Table_R,'R$ Table'!I$78)</f>
        <v>595.30463413797895</v>
      </c>
      <c r="J10" s="1047">
        <f ca="1">VLOOKUP($C10,OM_Table_R,'R$ Table'!J$78)</f>
        <v>243.051947368421</v>
      </c>
      <c r="K10" s="1049">
        <f t="shared" ca="1" si="0"/>
        <v>3259.6683030986769</v>
      </c>
      <c r="M10" s="1046">
        <f ca="1">-HLOOKUP($C10,CF_Table,CF!$AB$36)</f>
        <v>4497.515549730284</v>
      </c>
      <c r="N10" s="892">
        <f ca="1">-HLOOKUP($C10,CF_Table,CF!$AB$37)</f>
        <v>110</v>
      </c>
      <c r="O10" s="892">
        <f ca="1">Tot_Equity*HLOOKUP($C10,CF_Table,CF!$AB$12)/CF!$Z$12</f>
        <v>4620.4267321951411</v>
      </c>
      <c r="P10" s="892">
        <f t="shared" ca="1" si="1"/>
        <v>693.06400982927119</v>
      </c>
      <c r="Q10" s="892">
        <f t="shared" ca="1" si="1"/>
        <v>341.35988543829779</v>
      </c>
      <c r="R10" s="1047">
        <f ca="1">-'US$ Table'!K10</f>
        <v>-1773.0510377759408</v>
      </c>
      <c r="S10" s="1049">
        <f t="shared" ca="1" si="2"/>
        <v>8489.3151394170545</v>
      </c>
      <c r="U10" s="1104">
        <f t="shared" ca="1" si="3"/>
        <v>11748.983442515731</v>
      </c>
      <c r="V10" s="187">
        <f t="shared" ca="1" si="4"/>
        <v>12512.667366279253</v>
      </c>
      <c r="W10" s="187">
        <f t="shared" ca="1" si="5"/>
        <v>12853.279266850797</v>
      </c>
      <c r="X10" s="1050">
        <f ca="1">'US$ Table'!AC10</f>
        <v>7</v>
      </c>
      <c r="Y10" s="1051">
        <f ca="1">'US$ Table'!AD10</f>
        <v>12</v>
      </c>
      <c r="Z10" s="187">
        <f t="shared" ca="1" si="6"/>
        <v>7497.7462389962993</v>
      </c>
      <c r="AA10" s="901">
        <f>'US$ Table'!AF10</f>
        <v>300</v>
      </c>
      <c r="AB10" s="893">
        <f ca="1">Z10/AA10/X10*1000</f>
        <v>3570.3553519029997</v>
      </c>
    </row>
    <row r="11" spans="1:28">
      <c r="B11" s="678">
        <f>'US$ Table'!B11</f>
        <v>3</v>
      </c>
      <c r="C11" s="399">
        <f>'US$ Table'!C11</f>
        <v>2001</v>
      </c>
      <c r="E11" s="1046">
        <f ca="1">VLOOKUP($C11,OM_Table_R,'R$ Table'!E$78)</f>
        <v>1271.2961751004011</v>
      </c>
      <c r="F11" s="892">
        <f ca="1">VLOOKUP($C11,OM_Table_R,'R$ Table'!F$78)</f>
        <v>423.52495658485884</v>
      </c>
      <c r="G11" s="892">
        <f ca="1">VLOOKUP($C11,OM_Table_R,'R$ Table'!G$78)</f>
        <v>524.12936445736682</v>
      </c>
      <c r="H11" s="892">
        <f ca="1">VLOOKUP($C11,OM_Table_R,'R$ Table'!H$78)</f>
        <v>202.36122544965076</v>
      </c>
      <c r="I11" s="892">
        <f ca="1">VLOOKUP($C11,OM_Table_R,'R$ Table'!I$78)</f>
        <v>595.30463413797895</v>
      </c>
      <c r="J11" s="1047">
        <f ca="1">VLOOKUP($C11,OM_Table_R,'R$ Table'!J$78)</f>
        <v>243.051947368421</v>
      </c>
      <c r="K11" s="1049">
        <f t="shared" ca="1" si="0"/>
        <v>3259.6683030986769</v>
      </c>
      <c r="M11" s="1046">
        <f ca="1">-HLOOKUP($C11,CF_Table,CF!$AB$36)</f>
        <v>4497.515549730284</v>
      </c>
      <c r="N11" s="892">
        <f ca="1">-HLOOKUP($C11,CF_Table,CF!$AB$37)</f>
        <v>110</v>
      </c>
      <c r="O11" s="892">
        <f ca="1">Tot_Equity*HLOOKUP($C11,CF_Table,CF!$AB$12)/CF!$Z$12</f>
        <v>4620.4267321951411</v>
      </c>
      <c r="P11" s="892">
        <f t="shared" ca="1" si="1"/>
        <v>693.06400982927119</v>
      </c>
      <c r="Q11" s="892">
        <f t="shared" ca="1" si="1"/>
        <v>341.35988543829779</v>
      </c>
      <c r="R11" s="1047">
        <f ca="1">-'US$ Table'!K11</f>
        <v>-1773.0510377759408</v>
      </c>
      <c r="S11" s="1049">
        <f t="shared" ca="1" si="2"/>
        <v>8489.3151394170545</v>
      </c>
      <c r="U11" s="1104">
        <f t="shared" ca="1" si="3"/>
        <v>11748.983442515731</v>
      </c>
      <c r="V11" s="187">
        <f t="shared" ca="1" si="4"/>
        <v>12512.667366279253</v>
      </c>
      <c r="W11" s="187">
        <f t="shared" ca="1" si="5"/>
        <v>12853.279266850797</v>
      </c>
      <c r="X11" s="1050">
        <f ca="1">'US$ Table'!AC11</f>
        <v>5</v>
      </c>
      <c r="Y11" s="1051">
        <f ca="1">'US$ Table'!AD11</f>
        <v>12</v>
      </c>
      <c r="Z11" s="187">
        <f t="shared" ca="1" si="6"/>
        <v>5355.5330278544989</v>
      </c>
      <c r="AA11" s="901">
        <f>'US$ Table'!AF11</f>
        <v>480</v>
      </c>
      <c r="AB11" s="893"/>
    </row>
    <row r="12" spans="1:28">
      <c r="B12" s="678">
        <f>'US$ Table'!B12</f>
        <v>3</v>
      </c>
      <c r="C12" s="399">
        <f>'US$ Table'!C12</f>
        <v>2002</v>
      </c>
      <c r="E12" s="1046">
        <f ca="1">VLOOKUP($C12,OM_Table_R,'R$ Table'!E$78)</f>
        <v>987.52665967448638</v>
      </c>
      <c r="F12" s="892">
        <f ca="1">VLOOKUP($C12,OM_Table_R,'R$ Table'!F$78)</f>
        <v>407.16534583730999</v>
      </c>
      <c r="G12" s="892">
        <f ca="1">VLOOKUP($C12,OM_Table_R,'R$ Table'!G$78)</f>
        <v>488.93244363074416</v>
      </c>
      <c r="H12" s="892">
        <f ca="1">VLOOKUP($C12,OM_Table_R,'R$ Table'!H$78)</f>
        <v>188.77203828799713</v>
      </c>
      <c r="I12" s="892">
        <f ca="1">VLOOKUP($C12,OM_Table_R,'R$ Table'!I$78)</f>
        <v>639.91164866401493</v>
      </c>
      <c r="J12" s="1047">
        <f ca="1">VLOOKUP($C12,OM_Table_R,'R$ Table'!J$78)</f>
        <v>243.051947368421</v>
      </c>
      <c r="K12" s="1049">
        <f t="shared" ca="1" si="0"/>
        <v>2955.3600834629733</v>
      </c>
      <c r="M12" s="1046">
        <f ca="1">-HLOOKUP($C12,CF_Table,CF!$AB$36)</f>
        <v>4497.515549730284</v>
      </c>
      <c r="N12" s="892">
        <f ca="1">-HLOOKUP($C12,CF_Table,CF!$AB$37)</f>
        <v>110</v>
      </c>
      <c r="O12" s="892">
        <f ca="1">Tot_Equity*HLOOKUP($C12,CF_Table,CF!$AB$12)/CF!$Z$12</f>
        <v>4620.4267321951411</v>
      </c>
      <c r="P12" s="892">
        <f t="shared" ca="1" si="1"/>
        <v>693.06400982927119</v>
      </c>
      <c r="Q12" s="892">
        <f t="shared" ca="1" si="1"/>
        <v>341.35988543829779</v>
      </c>
      <c r="R12" s="1047">
        <f ca="1">-'US$ Table'!K12</f>
        <v>-7365.1947501483228</v>
      </c>
      <c r="S12" s="1049">
        <f t="shared" ca="1" si="2"/>
        <v>2897.1714270446719</v>
      </c>
      <c r="U12" s="1104">
        <f t="shared" ca="1" si="3"/>
        <v>5852.5315105076452</v>
      </c>
      <c r="V12" s="187">
        <f t="shared" ca="1" si="4"/>
        <v>6232.9460586906416</v>
      </c>
      <c r="W12" s="187">
        <f t="shared" ca="1" si="5"/>
        <v>6402.6153658866369</v>
      </c>
      <c r="X12" s="1050">
        <f ca="1">'US$ Table'!AC12</f>
        <v>12</v>
      </c>
      <c r="Y12" s="1051">
        <f ca="1">'US$ Table'!AD12</f>
        <v>12</v>
      </c>
      <c r="Z12" s="187">
        <f t="shared" ca="1" si="6"/>
        <v>6402.615365886636</v>
      </c>
      <c r="AA12" s="901">
        <f>'US$ Table'!AF12</f>
        <v>480</v>
      </c>
      <c r="AB12" s="893"/>
    </row>
    <row r="13" spans="1:28">
      <c r="B13" s="678">
        <f>'US$ Table'!B13</f>
        <v>3</v>
      </c>
      <c r="C13" s="399">
        <f>'US$ Table'!C13</f>
        <v>2002</v>
      </c>
      <c r="E13" s="1046">
        <f ca="1">VLOOKUP($C13,OM_Table_R,'R$ Table'!E$78)</f>
        <v>987.52665967448638</v>
      </c>
      <c r="F13" s="892">
        <f ca="1">VLOOKUP($C13,OM_Table_R,'R$ Table'!F$78)</f>
        <v>407.16534583730999</v>
      </c>
      <c r="G13" s="892">
        <f ca="1">VLOOKUP($C13,OM_Table_R,'R$ Table'!G$78)</f>
        <v>488.93244363074416</v>
      </c>
      <c r="H13" s="892">
        <f ca="1">VLOOKUP($C13,OM_Table_R,'R$ Table'!H$78)</f>
        <v>188.77203828799713</v>
      </c>
      <c r="I13" s="892">
        <f ca="1">VLOOKUP($C13,OM_Table_R,'R$ Table'!I$78)</f>
        <v>639.91164866401493</v>
      </c>
      <c r="J13" s="1047">
        <f ca="1">VLOOKUP($C13,OM_Table_R,'R$ Table'!J$78)</f>
        <v>243.051947368421</v>
      </c>
      <c r="K13" s="1049">
        <f t="shared" ca="1" si="0"/>
        <v>2955.3600834629733</v>
      </c>
      <c r="M13" s="1046">
        <f ca="1">-HLOOKUP($C13,CF_Table,CF!$AB$36)</f>
        <v>4497.515549730284</v>
      </c>
      <c r="N13" s="892">
        <f ca="1">-HLOOKUP($C13,CF_Table,CF!$AB$37)</f>
        <v>110</v>
      </c>
      <c r="O13" s="892">
        <f ca="1">Tot_Equity*HLOOKUP($C13,CF_Table,CF!$AB$12)/CF!$Z$12</f>
        <v>4620.4267321951411</v>
      </c>
      <c r="P13" s="892">
        <f t="shared" ca="1" si="1"/>
        <v>693.06400982927119</v>
      </c>
      <c r="Q13" s="892">
        <f t="shared" ca="1" si="1"/>
        <v>341.35988543829779</v>
      </c>
      <c r="R13" s="1047">
        <f ca="1">-'US$ Table'!K13</f>
        <v>-7365.1947501483228</v>
      </c>
      <c r="S13" s="1049">
        <f t="shared" ca="1" si="2"/>
        <v>2897.1714270446719</v>
      </c>
      <c r="U13" s="1104">
        <f t="shared" ca="1" si="3"/>
        <v>5852.5315105076452</v>
      </c>
      <c r="V13" s="187">
        <f t="shared" ca="1" si="4"/>
        <v>6232.9460586906416</v>
      </c>
      <c r="W13" s="187">
        <f t="shared" ca="1" si="5"/>
        <v>6402.6153658866369</v>
      </c>
      <c r="X13" s="1050">
        <f>'US$ Table'!AC13</f>
        <v>4</v>
      </c>
      <c r="Y13" s="1051">
        <f ca="1">'US$ Table'!AD13</f>
        <v>12</v>
      </c>
      <c r="Z13" s="187">
        <f t="shared" ca="1" si="6"/>
        <v>2134.2051219622122</v>
      </c>
      <c r="AA13" s="901">
        <f>'US$ Table'!AF13</f>
        <v>480</v>
      </c>
      <c r="AB13" s="893">
        <f ca="1">SUM(Z11:Z13)/AA13/SUM(X11:X13)*1000</f>
        <v>1378.2096741769194</v>
      </c>
    </row>
    <row r="14" spans="1:28">
      <c r="B14" s="678">
        <f>'US$ Table'!B14</f>
        <v>4</v>
      </c>
      <c r="C14" s="399">
        <f>'US$ Table'!C14</f>
        <v>2002</v>
      </c>
      <c r="E14" s="1046">
        <f ca="1">VLOOKUP($C14,OM_Table_R,'R$ Table'!E$78)</f>
        <v>987.52665967448638</v>
      </c>
      <c r="F14" s="892">
        <f ca="1">VLOOKUP($C14,OM_Table_R,'R$ Table'!F$78)</f>
        <v>407.16534583730999</v>
      </c>
      <c r="G14" s="892">
        <f ca="1">VLOOKUP($C14,OM_Table_R,'R$ Table'!G$78)</f>
        <v>488.93244363074416</v>
      </c>
      <c r="H14" s="892">
        <f ca="1">VLOOKUP($C14,OM_Table_R,'R$ Table'!H$78)</f>
        <v>188.77203828799713</v>
      </c>
      <c r="I14" s="892">
        <f ca="1">VLOOKUP($C14,OM_Table_R,'R$ Table'!I$78)</f>
        <v>639.91164866401493</v>
      </c>
      <c r="J14" s="1047">
        <f ca="1">VLOOKUP($C14,OM_Table_R,'R$ Table'!J$78)</f>
        <v>243.051947368421</v>
      </c>
      <c r="K14" s="1049">
        <f t="shared" ca="1" si="0"/>
        <v>2955.3600834629733</v>
      </c>
      <c r="M14" s="1046">
        <f ca="1">-HLOOKUP($C14,CF_Table,CF!$AB$36)</f>
        <v>4497.515549730284</v>
      </c>
      <c r="N14" s="892">
        <f ca="1">-HLOOKUP($C14,CF_Table,CF!$AB$37)</f>
        <v>110</v>
      </c>
      <c r="O14" s="892">
        <f ca="1">Tot_Equity*HLOOKUP($C14,CF_Table,CF!$AB$12)/CF!$Z$12</f>
        <v>4620.4267321951411</v>
      </c>
      <c r="P14" s="892">
        <f t="shared" ca="1" si="1"/>
        <v>693.06400982927119</v>
      </c>
      <c r="Q14" s="892">
        <f t="shared" ca="1" si="1"/>
        <v>341.35988543829779</v>
      </c>
      <c r="R14" s="1047">
        <f ca="1">-'US$ Table'!K14</f>
        <v>-7365.1947501483228</v>
      </c>
      <c r="S14" s="1049">
        <f t="shared" ca="1" si="2"/>
        <v>2897.1714270446719</v>
      </c>
      <c r="U14" s="1104">
        <f t="shared" ca="1" si="3"/>
        <v>5852.5315105076452</v>
      </c>
      <c r="V14" s="187">
        <f t="shared" ca="1" si="4"/>
        <v>6232.9460586906416</v>
      </c>
      <c r="W14" s="187">
        <f t="shared" ca="1" si="5"/>
        <v>6402.6153658866369</v>
      </c>
      <c r="X14" s="1050">
        <f>'US$ Table'!AC14</f>
        <v>8</v>
      </c>
      <c r="Y14" s="1051">
        <f ca="1">'US$ Table'!AD14</f>
        <v>12</v>
      </c>
      <c r="Z14" s="187">
        <f t="shared" ca="1" si="6"/>
        <v>4268.4102439244243</v>
      </c>
      <c r="AA14" s="901">
        <f>'US$ Table'!AF14</f>
        <v>480</v>
      </c>
      <c r="AB14" s="893"/>
    </row>
    <row r="15" spans="1:28">
      <c r="B15" s="678">
        <f>'US$ Table'!B15</f>
        <v>4</v>
      </c>
      <c r="C15" s="399">
        <f>'US$ Table'!C15</f>
        <v>2003</v>
      </c>
      <c r="E15" s="1046">
        <f ca="1">VLOOKUP($C15,OM_Table_R,'R$ Table'!E$78)</f>
        <v>911.41230716143366</v>
      </c>
      <c r="F15" s="892">
        <f ca="1">VLOOKUP($C15,OM_Table_R,'R$ Table'!F$78)</f>
        <v>375.78277367021991</v>
      </c>
      <c r="G15" s="892">
        <f ca="1">VLOOKUP($C15,OM_Table_R,'R$ Table'!G$78)</f>
        <v>451.2476115252033</v>
      </c>
      <c r="H15" s="892">
        <f ca="1">VLOOKUP($C15,OM_Table_R,'R$ Table'!H$78)</f>
        <v>174.2222928952032</v>
      </c>
      <c r="I15" s="892">
        <f ca="1">VLOOKUP($C15,OM_Table_R,'R$ Table'!I$78)</f>
        <v>590.58998192574541</v>
      </c>
      <c r="J15" s="1047">
        <f ca="1">VLOOKUP($C15,OM_Table_R,'R$ Table'!J$78)</f>
        <v>243.051947368421</v>
      </c>
      <c r="K15" s="1049">
        <f t="shared" ca="1" si="0"/>
        <v>2746.3069145462259</v>
      </c>
      <c r="M15" s="1046">
        <f ca="1">-HLOOKUP($C15,CF_Table,CF!$AB$36)</f>
        <v>4257.7951461354933</v>
      </c>
      <c r="N15" s="892">
        <f ca="1">-HLOOKUP($C15,CF_Table,CF!$AB$37)</f>
        <v>110</v>
      </c>
      <c r="O15" s="892">
        <f ca="1">Tot_Equity*HLOOKUP($C15,CF_Table,CF!$AB$12)/CF!$Z$12</f>
        <v>4620.4267321951411</v>
      </c>
      <c r="P15" s="892">
        <f t="shared" ca="1" si="1"/>
        <v>693.06400982927119</v>
      </c>
      <c r="Q15" s="892">
        <f t="shared" ca="1" si="1"/>
        <v>341.35988543829779</v>
      </c>
      <c r="R15" s="1047">
        <f ca="1">-'US$ Table'!K15</f>
        <v>-7239.6092621153175</v>
      </c>
      <c r="S15" s="1049">
        <f t="shared" ca="1" si="2"/>
        <v>2783.0365114828865</v>
      </c>
      <c r="U15" s="1104">
        <f t="shared" ca="1" si="3"/>
        <v>5529.3434260291124</v>
      </c>
      <c r="V15" s="187">
        <f t="shared" ca="1" si="4"/>
        <v>5888.7507487210041</v>
      </c>
      <c r="W15" s="187">
        <f t="shared" ca="1" si="5"/>
        <v>6049.0505893384734</v>
      </c>
      <c r="X15" s="1050">
        <f>'US$ Table'!AC15</f>
        <v>4</v>
      </c>
      <c r="Y15" s="1051">
        <f ca="1">'US$ Table'!AD15</f>
        <v>12</v>
      </c>
      <c r="Z15" s="187">
        <f t="shared" ca="1" si="6"/>
        <v>2016.3501964461577</v>
      </c>
      <c r="AA15" s="901">
        <f>'US$ Table'!AF15</f>
        <v>480</v>
      </c>
      <c r="AB15" s="893">
        <f ca="1">SUM(Z14:Z15)/AA15/SUM(X14:X15)*1000</f>
        <v>1091.1042431198928</v>
      </c>
    </row>
    <row r="16" spans="1:28">
      <c r="B16" s="678">
        <f>'US$ Table'!B16</f>
        <v>5</v>
      </c>
      <c r="C16" s="399">
        <f>'US$ Table'!C16</f>
        <v>2003</v>
      </c>
      <c r="E16" s="1046">
        <f ca="1">VLOOKUP($C16,OM_Table_R,'R$ Table'!E$78)</f>
        <v>911.41230716143366</v>
      </c>
      <c r="F16" s="892">
        <f ca="1">VLOOKUP($C16,OM_Table_R,'R$ Table'!F$78)</f>
        <v>375.78277367021991</v>
      </c>
      <c r="G16" s="892">
        <f ca="1">VLOOKUP($C16,OM_Table_R,'R$ Table'!G$78)</f>
        <v>451.2476115252033</v>
      </c>
      <c r="H16" s="892">
        <f ca="1">VLOOKUP($C16,OM_Table_R,'R$ Table'!H$78)</f>
        <v>174.2222928952032</v>
      </c>
      <c r="I16" s="892">
        <f ca="1">VLOOKUP($C16,OM_Table_R,'R$ Table'!I$78)</f>
        <v>590.58998192574541</v>
      </c>
      <c r="J16" s="1047">
        <f ca="1">VLOOKUP($C16,OM_Table_R,'R$ Table'!J$78)</f>
        <v>243.051947368421</v>
      </c>
      <c r="K16" s="1049">
        <f t="shared" ca="1" si="0"/>
        <v>2746.3069145462259</v>
      </c>
      <c r="M16" s="1046">
        <f ca="1">-HLOOKUP($C16,CF_Table,CF!$AB$36)</f>
        <v>4257.7951461354933</v>
      </c>
      <c r="N16" s="892">
        <f ca="1">-HLOOKUP($C16,CF_Table,CF!$AB$37)</f>
        <v>110</v>
      </c>
      <c r="O16" s="892">
        <f ca="1">Tot_Equity*HLOOKUP($C16,CF_Table,CF!$AB$12)/CF!$Z$12</f>
        <v>4620.4267321951411</v>
      </c>
      <c r="P16" s="892">
        <f t="shared" ca="1" si="1"/>
        <v>693.06400982927119</v>
      </c>
      <c r="Q16" s="892">
        <f t="shared" ca="1" si="1"/>
        <v>341.35988543829779</v>
      </c>
      <c r="R16" s="1047">
        <f ca="1">-'US$ Table'!K16</f>
        <v>-7239.6092621153175</v>
      </c>
      <c r="S16" s="1049">
        <f t="shared" ca="1" si="2"/>
        <v>2783.0365114828865</v>
      </c>
      <c r="U16" s="1104">
        <f t="shared" ca="1" si="3"/>
        <v>5529.3434260291124</v>
      </c>
      <c r="V16" s="187">
        <f t="shared" ca="1" si="4"/>
        <v>5888.7507487210041</v>
      </c>
      <c r="W16" s="187">
        <f t="shared" ca="1" si="5"/>
        <v>6049.0505893384734</v>
      </c>
      <c r="X16" s="1050">
        <f>'US$ Table'!AC16</f>
        <v>8</v>
      </c>
      <c r="Y16" s="1051">
        <f ca="1">'US$ Table'!AD16</f>
        <v>12</v>
      </c>
      <c r="Z16" s="187">
        <f t="shared" ca="1" si="6"/>
        <v>4032.7003928923154</v>
      </c>
      <c r="AA16" s="901">
        <f>'US$ Table'!AF16</f>
        <v>480</v>
      </c>
      <c r="AB16" s="893"/>
    </row>
    <row r="17" spans="2:28">
      <c r="B17" s="678">
        <f>'US$ Table'!B17</f>
        <v>5</v>
      </c>
      <c r="C17" s="399">
        <f>'US$ Table'!C17</f>
        <v>2004</v>
      </c>
      <c r="E17" s="1046">
        <f ca="1">VLOOKUP($C17,OM_Table_R,'R$ Table'!E$78)</f>
        <v>868.63893062510772</v>
      </c>
      <c r="F17" s="892">
        <f ca="1">VLOOKUP($C17,OM_Table_R,'R$ Table'!F$78)</f>
        <v>358.14695950821704</v>
      </c>
      <c r="G17" s="892">
        <f ca="1">VLOOKUP($C17,OM_Table_R,'R$ Table'!G$78)</f>
        <v>430.07016653436386</v>
      </c>
      <c r="H17" s="892">
        <f ca="1">VLOOKUP($C17,OM_Table_R,'R$ Table'!H$78)</f>
        <v>166.04588834539209</v>
      </c>
      <c r="I17" s="892">
        <f ca="1">VLOOKUP($C17,OM_Table_R,'R$ Table'!I$78)</f>
        <v>562.87307764762772</v>
      </c>
      <c r="J17" s="1047">
        <f ca="1">VLOOKUP($C17,OM_Table_R,'R$ Table'!J$78)</f>
        <v>243.051947368421</v>
      </c>
      <c r="K17" s="1049">
        <f t="shared" ca="1" si="0"/>
        <v>2628.8269700291294</v>
      </c>
      <c r="M17" s="1046">
        <f ca="1">-HLOOKUP($C17,CF_Table,CF!$AB$36)</f>
        <v>312.5</v>
      </c>
      <c r="N17" s="892">
        <f ca="1">-HLOOKUP($C17,CF_Table,CF!$AB$37)</f>
        <v>110</v>
      </c>
      <c r="O17" s="892">
        <f ca="1">Tot_Equity*HLOOKUP($C17,CF_Table,CF!$AB$12)/CF!$Z$12</f>
        <v>4620.4267321951411</v>
      </c>
      <c r="P17" s="892">
        <f t="shared" ca="1" si="1"/>
        <v>693.06400982927119</v>
      </c>
      <c r="Q17" s="892">
        <f t="shared" ca="1" si="1"/>
        <v>341.35988543829779</v>
      </c>
      <c r="R17" s="1047">
        <f ca="1">-'US$ Table'!K17</f>
        <v>-7478.7264838398951</v>
      </c>
      <c r="S17" s="1049">
        <f t="shared" ca="1" si="2"/>
        <v>-1401.3758563771844</v>
      </c>
      <c r="U17" s="1104">
        <f t="shared" ca="1" si="3"/>
        <v>1227.451113651945</v>
      </c>
      <c r="V17" s="187">
        <f t="shared" ca="1" si="4"/>
        <v>1307.2354360393213</v>
      </c>
      <c r="W17" s="187">
        <f t="shared" ca="1" si="5"/>
        <v>1342.8201705591382</v>
      </c>
      <c r="X17" s="1050">
        <f>'US$ Table'!AC17</f>
        <v>4</v>
      </c>
      <c r="Y17" s="1051">
        <f ca="1">'US$ Table'!AD17</f>
        <v>12</v>
      </c>
      <c r="Z17" s="187">
        <f t="shared" ca="1" si="6"/>
        <v>447.60672351971272</v>
      </c>
      <c r="AA17" s="901">
        <f>'US$ Table'!AF17</f>
        <v>480</v>
      </c>
      <c r="AB17" s="893">
        <f ca="1">SUM(Z16:Z17)/AA17/SUM(X16:X17)*1000</f>
        <v>777.8310965993104</v>
      </c>
    </row>
    <row r="18" spans="2:28">
      <c r="B18" s="678">
        <f>'US$ Table'!B18</f>
        <v>6</v>
      </c>
      <c r="C18" s="399">
        <f>'US$ Table'!C18</f>
        <v>2004</v>
      </c>
      <c r="E18" s="1046">
        <f ca="1">VLOOKUP($C18,OM_Table_R,'R$ Table'!E$78)</f>
        <v>868.63893062510772</v>
      </c>
      <c r="F18" s="892">
        <f ca="1">VLOOKUP($C18,OM_Table_R,'R$ Table'!F$78)</f>
        <v>358.14695950821704</v>
      </c>
      <c r="G18" s="892">
        <f ca="1">VLOOKUP($C18,OM_Table_R,'R$ Table'!G$78)</f>
        <v>430.07016653436386</v>
      </c>
      <c r="H18" s="892">
        <f ca="1">VLOOKUP($C18,OM_Table_R,'R$ Table'!H$78)</f>
        <v>166.04588834539209</v>
      </c>
      <c r="I18" s="892">
        <f ca="1">VLOOKUP($C18,OM_Table_R,'R$ Table'!I$78)</f>
        <v>562.87307764762772</v>
      </c>
      <c r="J18" s="1047">
        <f ca="1">VLOOKUP($C18,OM_Table_R,'R$ Table'!J$78)</f>
        <v>243.051947368421</v>
      </c>
      <c r="K18" s="1049">
        <f t="shared" ca="1" si="0"/>
        <v>2628.8269700291294</v>
      </c>
      <c r="M18" s="1046">
        <f ca="1">-HLOOKUP($C18,CF_Table,CF!$AB$36)</f>
        <v>312.5</v>
      </c>
      <c r="N18" s="892">
        <f ca="1">-HLOOKUP($C18,CF_Table,CF!$AB$37)</f>
        <v>110</v>
      </c>
      <c r="O18" s="892">
        <f ca="1">Tot_Equity*HLOOKUP($C18,CF_Table,CF!$AB$12)/CF!$Z$12</f>
        <v>4620.4267321951411</v>
      </c>
      <c r="P18" s="892">
        <f t="shared" ca="1" si="1"/>
        <v>693.06400982927119</v>
      </c>
      <c r="Q18" s="892">
        <f t="shared" ca="1" si="1"/>
        <v>341.35988543829779</v>
      </c>
      <c r="R18" s="1047">
        <f ca="1">-'US$ Table'!K18</f>
        <v>-7478.7264838398951</v>
      </c>
      <c r="S18" s="1049">
        <f t="shared" ca="1" si="2"/>
        <v>-1401.3758563771844</v>
      </c>
      <c r="U18" s="1104">
        <f t="shared" ca="1" si="3"/>
        <v>1227.451113651945</v>
      </c>
      <c r="V18" s="187">
        <f t="shared" ca="1" si="4"/>
        <v>1307.2354360393213</v>
      </c>
      <c r="W18" s="187">
        <f t="shared" ca="1" si="5"/>
        <v>1342.8201705591382</v>
      </c>
      <c r="X18" s="1050">
        <f>'US$ Table'!AC18</f>
        <v>8</v>
      </c>
      <c r="Y18" s="1051">
        <f ca="1">'US$ Table'!AD18</f>
        <v>12</v>
      </c>
      <c r="Z18" s="187">
        <f t="shared" ca="1" si="6"/>
        <v>895.21344703942543</v>
      </c>
      <c r="AA18" s="901">
        <f>'US$ Table'!AF18</f>
        <v>480</v>
      </c>
      <c r="AB18" s="893"/>
    </row>
    <row r="19" spans="2:28">
      <c r="B19" s="678">
        <f>'US$ Table'!B19</f>
        <v>6</v>
      </c>
      <c r="C19" s="399">
        <f>'US$ Table'!C19</f>
        <v>2005</v>
      </c>
      <c r="E19" s="1046">
        <f ca="1">VLOOKUP($C19,OM_Table_R,'R$ Table'!E$78)</f>
        <v>840.89492734696796</v>
      </c>
      <c r="F19" s="892">
        <f ca="1">VLOOKUP($C19,OM_Table_R,'R$ Table'!F$78)</f>
        <v>346.70787927783743</v>
      </c>
      <c r="G19" s="892">
        <f ca="1">VLOOKUP($C19,OM_Table_R,'R$ Table'!G$78)</f>
        <v>416.33388591248007</v>
      </c>
      <c r="H19" s="892">
        <f ca="1">VLOOKUP($C19,OM_Table_R,'R$ Table'!H$78)</f>
        <v>160.74244463804988</v>
      </c>
      <c r="I19" s="892">
        <f ca="1">VLOOKUP($C19,OM_Table_R,'R$ Table'!I$78)</f>
        <v>544.89512160530035</v>
      </c>
      <c r="J19" s="1047">
        <f ca="1">VLOOKUP($C19,OM_Table_R,'R$ Table'!J$78)</f>
        <v>243.051947368421</v>
      </c>
      <c r="K19" s="1049">
        <f t="shared" ca="1" si="0"/>
        <v>2552.626206149057</v>
      </c>
      <c r="M19" s="1046">
        <f ca="1">-HLOOKUP($C19,CF_Table,CF!$AB$36)</f>
        <v>312.5</v>
      </c>
      <c r="N19" s="892">
        <f ca="1">-HLOOKUP($C19,CF_Table,CF!$AB$37)</f>
        <v>110</v>
      </c>
      <c r="O19" s="892">
        <f ca="1">Tot_Equity*HLOOKUP($C19,CF_Table,CF!$AB$12)/CF!$Z$12</f>
        <v>4620.4267321951411</v>
      </c>
      <c r="P19" s="892">
        <f t="shared" ca="1" si="1"/>
        <v>693.06400982927119</v>
      </c>
      <c r="Q19" s="892">
        <f t="shared" ca="1" si="1"/>
        <v>341.35988543829779</v>
      </c>
      <c r="R19" s="1047">
        <f ca="1">-'US$ Table'!K19</f>
        <v>-7380.3002052308666</v>
      </c>
      <c r="S19" s="1049">
        <f t="shared" ca="1" si="2"/>
        <v>-1302.9495777681559</v>
      </c>
      <c r="U19" s="1104">
        <f t="shared" ca="1" si="3"/>
        <v>1249.6766283809011</v>
      </c>
      <c r="V19" s="187">
        <f t="shared" ca="1" si="4"/>
        <v>1330.9056092256596</v>
      </c>
      <c r="W19" s="187">
        <f t="shared" ca="1" si="5"/>
        <v>1367.1346781979039</v>
      </c>
      <c r="X19" s="1050">
        <f>'US$ Table'!AC19</f>
        <v>4</v>
      </c>
      <c r="Y19" s="1051">
        <f ca="1">'US$ Table'!AD19</f>
        <v>12</v>
      </c>
      <c r="Z19" s="187">
        <f t="shared" ca="1" si="6"/>
        <v>455.71155939930128</v>
      </c>
      <c r="AA19" s="901">
        <f>'US$ Table'!AF19</f>
        <v>480</v>
      </c>
      <c r="AB19" s="893">
        <f ca="1">SUM(Z18:Z19)/AA19/SUM(X18:X19)*1000</f>
        <v>234.53559139561227</v>
      </c>
    </row>
    <row r="20" spans="2:28">
      <c r="B20" s="678">
        <f>'US$ Table'!B20</f>
        <v>7</v>
      </c>
      <c r="C20" s="399">
        <f>'US$ Table'!C20</f>
        <v>2005</v>
      </c>
      <c r="E20" s="1046">
        <f ca="1">VLOOKUP($C20,OM_Table_R,'R$ Table'!E$78)</f>
        <v>840.89492734696796</v>
      </c>
      <c r="F20" s="892">
        <f ca="1">VLOOKUP($C20,OM_Table_R,'R$ Table'!F$78)</f>
        <v>346.70787927783743</v>
      </c>
      <c r="G20" s="892">
        <f ca="1">VLOOKUP($C20,OM_Table_R,'R$ Table'!G$78)</f>
        <v>416.33388591248007</v>
      </c>
      <c r="H20" s="892">
        <f ca="1">VLOOKUP($C20,OM_Table_R,'R$ Table'!H$78)</f>
        <v>160.74244463804988</v>
      </c>
      <c r="I20" s="892">
        <f ca="1">VLOOKUP($C20,OM_Table_R,'R$ Table'!I$78)</f>
        <v>544.89512160530035</v>
      </c>
      <c r="J20" s="1047">
        <f ca="1">VLOOKUP($C20,OM_Table_R,'R$ Table'!J$78)</f>
        <v>243.051947368421</v>
      </c>
      <c r="K20" s="1049">
        <f t="shared" ca="1" si="0"/>
        <v>2552.626206149057</v>
      </c>
      <c r="M20" s="1046">
        <f ca="1">-HLOOKUP($C20,CF_Table,CF!$AB$36)</f>
        <v>312.5</v>
      </c>
      <c r="N20" s="892">
        <f ca="1">-HLOOKUP($C20,CF_Table,CF!$AB$37)</f>
        <v>110</v>
      </c>
      <c r="O20" s="892">
        <f ca="1">Tot_Equity*HLOOKUP($C20,CF_Table,CF!$AB$12)/CF!$Z$12</f>
        <v>4620.4267321951411</v>
      </c>
      <c r="P20" s="892">
        <f t="shared" ca="1" si="1"/>
        <v>693.06400982927119</v>
      </c>
      <c r="Q20" s="892">
        <f t="shared" ca="1" si="1"/>
        <v>341.35988543829779</v>
      </c>
      <c r="R20" s="1047">
        <f ca="1">-'US$ Table'!K20</f>
        <v>-7380.3002052308666</v>
      </c>
      <c r="S20" s="1049">
        <f t="shared" ca="1" si="2"/>
        <v>-1302.9495777681559</v>
      </c>
      <c r="U20" s="1104">
        <f t="shared" ca="1" si="3"/>
        <v>1249.6766283809011</v>
      </c>
      <c r="V20" s="187">
        <f t="shared" ca="1" si="4"/>
        <v>1330.9056092256596</v>
      </c>
      <c r="W20" s="187">
        <f t="shared" ca="1" si="5"/>
        <v>1367.1346781979039</v>
      </c>
      <c r="X20" s="1050">
        <f>'US$ Table'!AC20</f>
        <v>8</v>
      </c>
      <c r="Y20" s="1051">
        <f ca="1">'US$ Table'!AD20</f>
        <v>12</v>
      </c>
      <c r="Z20" s="187">
        <f t="shared" ca="1" si="6"/>
        <v>911.42311879860256</v>
      </c>
      <c r="AA20" s="901">
        <f>'US$ Table'!AF20</f>
        <v>480</v>
      </c>
      <c r="AB20" s="893"/>
    </row>
    <row r="21" spans="2:28">
      <c r="B21" s="678">
        <f>'US$ Table'!B21</f>
        <v>7</v>
      </c>
      <c r="C21" s="399">
        <f>'US$ Table'!C21</f>
        <v>2006</v>
      </c>
      <c r="E21" s="1046">
        <f ca="1">VLOOKUP($C21,OM_Table_R,'R$ Table'!E$78)</f>
        <v>816.5465097413969</v>
      </c>
      <c r="F21" s="892">
        <f ca="1">VLOOKUP($C21,OM_Table_R,'R$ Table'!F$78)</f>
        <v>336.66882688584286</v>
      </c>
      <c r="G21" s="892">
        <f ca="1">VLOOKUP($C21,OM_Table_R,'R$ Table'!G$78)</f>
        <v>404.27878724571821</v>
      </c>
      <c r="H21" s="892">
        <f ca="1">VLOOKUP($C21,OM_Table_R,'R$ Table'!H$78)</f>
        <v>156.08808885386674</v>
      </c>
      <c r="I21" s="892">
        <f ca="1">VLOOKUP($C21,OM_Table_R,'R$ Table'!I$78)</f>
        <v>529.11748573116938</v>
      </c>
      <c r="J21" s="1047">
        <f ca="1">VLOOKUP($C21,OM_Table_R,'R$ Table'!J$78)</f>
        <v>243.051947368421</v>
      </c>
      <c r="K21" s="1049">
        <f t="shared" ca="1" si="0"/>
        <v>2485.7516458264154</v>
      </c>
      <c r="M21" s="1046">
        <f ca="1">-HLOOKUP($C21,CF_Table,CF!$AB$36)</f>
        <v>312.5</v>
      </c>
      <c r="N21" s="892">
        <f ca="1">-HLOOKUP($C21,CF_Table,CF!$AB$37)</f>
        <v>110</v>
      </c>
      <c r="O21" s="892">
        <f ca="1">Tot_Equity*HLOOKUP($C21,CF_Table,CF!$AB$12)/CF!$Z$12</f>
        <v>4620.4267321951411</v>
      </c>
      <c r="P21" s="892">
        <f t="shared" ca="1" si="1"/>
        <v>693.06400982927119</v>
      </c>
      <c r="Q21" s="892">
        <f t="shared" ca="1" si="1"/>
        <v>341.35988543829779</v>
      </c>
      <c r="R21" s="1047">
        <f ca="1">-'US$ Table'!K21</f>
        <v>-7181.9121707445884</v>
      </c>
      <c r="S21" s="1049">
        <f t="shared" ca="1" si="2"/>
        <v>-1104.5615432818777</v>
      </c>
      <c r="U21" s="1104">
        <f t="shared" ca="1" si="3"/>
        <v>1381.1901025445377</v>
      </c>
      <c r="V21" s="187">
        <f t="shared" ca="1" si="4"/>
        <v>1470.9674592099325</v>
      </c>
      <c r="W21" s="187">
        <f t="shared" ca="1" si="5"/>
        <v>1511.0092030918668</v>
      </c>
      <c r="X21" s="1050">
        <f>'US$ Table'!AC21</f>
        <v>4</v>
      </c>
      <c r="Y21" s="1051">
        <f ca="1">'US$ Table'!AD21</f>
        <v>12</v>
      </c>
      <c r="Z21" s="187">
        <f t="shared" ca="1" si="6"/>
        <v>503.66973436395557</v>
      </c>
      <c r="AA21" s="901">
        <f>'US$ Table'!AF21</f>
        <v>480</v>
      </c>
      <c r="AB21" s="893">
        <f ca="1">SUM(Z20:Z21)/AA21/SUM(X20:X21)*1000</f>
        <v>245.67584256294415</v>
      </c>
    </row>
    <row r="22" spans="2:28">
      <c r="B22" s="678">
        <f>'US$ Table'!B22</f>
        <v>8</v>
      </c>
      <c r="C22" s="399">
        <f>'US$ Table'!C22</f>
        <v>2006</v>
      </c>
      <c r="E22" s="1046">
        <f ca="1">VLOOKUP($C22,OM_Table_R,'R$ Table'!E$78)</f>
        <v>816.5465097413969</v>
      </c>
      <c r="F22" s="892">
        <f ca="1">VLOOKUP($C22,OM_Table_R,'R$ Table'!F$78)</f>
        <v>336.66882688584286</v>
      </c>
      <c r="G22" s="892">
        <f ca="1">VLOOKUP($C22,OM_Table_R,'R$ Table'!G$78)</f>
        <v>404.27878724571821</v>
      </c>
      <c r="H22" s="892">
        <f ca="1">VLOOKUP($C22,OM_Table_R,'R$ Table'!H$78)</f>
        <v>156.08808885386674</v>
      </c>
      <c r="I22" s="892">
        <f ca="1">VLOOKUP($C22,OM_Table_R,'R$ Table'!I$78)</f>
        <v>529.11748573116938</v>
      </c>
      <c r="J22" s="1047">
        <f ca="1">VLOOKUP($C22,OM_Table_R,'R$ Table'!J$78)</f>
        <v>243.051947368421</v>
      </c>
      <c r="K22" s="1049">
        <f t="shared" ca="1" si="0"/>
        <v>2485.7516458264154</v>
      </c>
      <c r="M22" s="1046">
        <f ca="1">-HLOOKUP($C22,CF_Table,CF!$AB$36)</f>
        <v>312.5</v>
      </c>
      <c r="N22" s="892">
        <f ca="1">-HLOOKUP($C22,CF_Table,CF!$AB$37)</f>
        <v>110</v>
      </c>
      <c r="O22" s="892">
        <f ca="1">Tot_Equity*HLOOKUP($C22,CF_Table,CF!$AB$12)/CF!$Z$12</f>
        <v>4620.4267321951411</v>
      </c>
      <c r="P22" s="892">
        <f t="shared" ca="1" si="1"/>
        <v>693.06400982927119</v>
      </c>
      <c r="Q22" s="892">
        <f t="shared" ca="1" si="1"/>
        <v>341.35988543829779</v>
      </c>
      <c r="R22" s="1047">
        <f ca="1">-'US$ Table'!K22</f>
        <v>-7181.9121707445884</v>
      </c>
      <c r="S22" s="1049">
        <f t="shared" ca="1" si="2"/>
        <v>-1104.5615432818777</v>
      </c>
      <c r="U22" s="1104">
        <f t="shared" ca="1" si="3"/>
        <v>1381.1901025445377</v>
      </c>
      <c r="V22" s="187">
        <f t="shared" ca="1" si="4"/>
        <v>1470.9674592099325</v>
      </c>
      <c r="W22" s="187">
        <f t="shared" ca="1" si="5"/>
        <v>1511.0092030918668</v>
      </c>
      <c r="X22" s="1050">
        <f>'US$ Table'!AC22</f>
        <v>8</v>
      </c>
      <c r="Y22" s="1051">
        <f ca="1">'US$ Table'!AD22</f>
        <v>12</v>
      </c>
      <c r="Z22" s="187">
        <f t="shared" ca="1" si="6"/>
        <v>1007.3394687279111</v>
      </c>
      <c r="AA22" s="901">
        <f>'US$ Table'!AF22</f>
        <v>480</v>
      </c>
      <c r="AB22" s="893"/>
    </row>
    <row r="23" spans="2:28">
      <c r="B23" s="678">
        <f>'US$ Table'!B23</f>
        <v>8</v>
      </c>
      <c r="C23" s="399">
        <f>'US$ Table'!C23</f>
        <v>2007</v>
      </c>
      <c r="E23" s="1046">
        <f ca="1">VLOOKUP($C23,OM_Table_R,'R$ Table'!E$78)</f>
        <v>794.14772977803341</v>
      </c>
      <c r="F23" s="892">
        <f ca="1">VLOOKUP($C23,OM_Table_R,'R$ Table'!F$78)</f>
        <v>327.43362609326584</v>
      </c>
      <c r="G23" s="892">
        <f ca="1">VLOOKUP($C23,OM_Table_R,'R$ Table'!G$78)</f>
        <v>393.18896995871501</v>
      </c>
      <c r="H23" s="892">
        <f ca="1">VLOOKUP($C23,OM_Table_R,'R$ Table'!H$78)</f>
        <v>151.80641877698778</v>
      </c>
      <c r="I23" s="892">
        <f ca="1">VLOOKUP($C23,OM_Table_R,'R$ Table'!I$78)</f>
        <v>514.60320394039422</v>
      </c>
      <c r="J23" s="1047">
        <f ca="1">VLOOKUP($C23,OM_Table_R,'R$ Table'!J$78)</f>
        <v>243.051947368421</v>
      </c>
      <c r="K23" s="1049">
        <f t="shared" ca="1" si="0"/>
        <v>2424.2318959158174</v>
      </c>
      <c r="M23" s="1046">
        <f ca="1">-HLOOKUP($C23,CF_Table,CF!$AB$36)</f>
        <v>312.5</v>
      </c>
      <c r="N23" s="892">
        <f ca="1">-HLOOKUP($C23,CF_Table,CF!$AB$37)</f>
        <v>110</v>
      </c>
      <c r="O23" s="892">
        <f ca="1">Tot_Equity*HLOOKUP($C23,CF_Table,CF!$AB$12)/CF!$Z$12</f>
        <v>4620.4267321951411</v>
      </c>
      <c r="P23" s="892">
        <f t="shared" ca="1" si="1"/>
        <v>693.06400982927119</v>
      </c>
      <c r="Q23" s="892">
        <f t="shared" ca="1" si="1"/>
        <v>341.35988543829779</v>
      </c>
      <c r="R23" s="1047">
        <f ca="1">-'US$ Table'!K23</f>
        <v>-6917.6656945185114</v>
      </c>
      <c r="S23" s="1049">
        <f t="shared" ca="1" si="2"/>
        <v>-840.31506705580068</v>
      </c>
      <c r="U23" s="1104">
        <f t="shared" ca="1" si="3"/>
        <v>1583.9168288600167</v>
      </c>
      <c r="V23" s="187">
        <f t="shared" ca="1" si="4"/>
        <v>1686.8714227359178</v>
      </c>
      <c r="W23" s="187">
        <f t="shared" ca="1" si="5"/>
        <v>1732.790367473978</v>
      </c>
      <c r="X23" s="1050">
        <f>'US$ Table'!AC23</f>
        <v>4</v>
      </c>
      <c r="Y23" s="1051">
        <f ca="1">'US$ Table'!AD23</f>
        <v>12</v>
      </c>
      <c r="Z23" s="187">
        <f t="shared" ca="1" si="6"/>
        <v>577.5967891579927</v>
      </c>
      <c r="AA23" s="901">
        <f>'US$ Table'!AF23</f>
        <v>480</v>
      </c>
      <c r="AB23" s="893">
        <f ca="1">SUM(Z22:Z23)/AA23/SUM(X22:X23)*1000</f>
        <v>275.16254477185834</v>
      </c>
    </row>
    <row r="24" spans="2:28">
      <c r="B24" s="678">
        <f>'US$ Table'!B24</f>
        <v>9</v>
      </c>
      <c r="C24" s="399">
        <f>'US$ Table'!C24</f>
        <v>2007</v>
      </c>
      <c r="E24" s="1046">
        <f ca="1">VLOOKUP($C24,OM_Table_R,'R$ Table'!E$78)</f>
        <v>794.14772977803341</v>
      </c>
      <c r="F24" s="892">
        <f ca="1">VLOOKUP($C24,OM_Table_R,'R$ Table'!F$78)</f>
        <v>327.43362609326584</v>
      </c>
      <c r="G24" s="892">
        <f ca="1">VLOOKUP($C24,OM_Table_R,'R$ Table'!G$78)</f>
        <v>393.18896995871501</v>
      </c>
      <c r="H24" s="892">
        <f ca="1">VLOOKUP($C24,OM_Table_R,'R$ Table'!H$78)</f>
        <v>151.80641877698778</v>
      </c>
      <c r="I24" s="892">
        <f ca="1">VLOOKUP($C24,OM_Table_R,'R$ Table'!I$78)</f>
        <v>514.60320394039422</v>
      </c>
      <c r="J24" s="1047">
        <f ca="1">VLOOKUP($C24,OM_Table_R,'R$ Table'!J$78)</f>
        <v>243.051947368421</v>
      </c>
      <c r="K24" s="1049">
        <f t="shared" ca="1" si="0"/>
        <v>2424.2318959158174</v>
      </c>
      <c r="M24" s="1046">
        <f ca="1">-HLOOKUP($C24,CF_Table,CF!$AB$36)</f>
        <v>312.5</v>
      </c>
      <c r="N24" s="892">
        <f ca="1">-HLOOKUP($C24,CF_Table,CF!$AB$37)</f>
        <v>110</v>
      </c>
      <c r="O24" s="892">
        <f ca="1">Tot_Equity*HLOOKUP($C24,CF_Table,CF!$AB$12)/CF!$Z$12</f>
        <v>4620.4267321951411</v>
      </c>
      <c r="P24" s="892">
        <f t="shared" ca="1" si="1"/>
        <v>693.06400982927119</v>
      </c>
      <c r="Q24" s="892">
        <f t="shared" ca="1" si="1"/>
        <v>341.35988543829779</v>
      </c>
      <c r="R24" s="1047">
        <f ca="1">-'US$ Table'!K24</f>
        <v>-6917.6656945185114</v>
      </c>
      <c r="S24" s="1049">
        <f t="shared" ca="1" si="2"/>
        <v>-840.31506705580068</v>
      </c>
      <c r="U24" s="1104">
        <f t="shared" ca="1" si="3"/>
        <v>1583.9168288600167</v>
      </c>
      <c r="V24" s="187">
        <f t="shared" ca="1" si="4"/>
        <v>1686.8714227359178</v>
      </c>
      <c r="W24" s="187">
        <f t="shared" ca="1" si="5"/>
        <v>1732.790367473978</v>
      </c>
      <c r="X24" s="1050">
        <f>'US$ Table'!AC24</f>
        <v>8</v>
      </c>
      <c r="Y24" s="1051">
        <f ca="1">'US$ Table'!AD24</f>
        <v>12</v>
      </c>
      <c r="Z24" s="187">
        <f t="shared" ca="1" si="6"/>
        <v>1155.1935783159854</v>
      </c>
      <c r="AA24" s="901">
        <f>'US$ Table'!AF24</f>
        <v>480</v>
      </c>
      <c r="AB24" s="893"/>
    </row>
    <row r="25" spans="2:28">
      <c r="B25" s="678">
        <f>'US$ Table'!B25</f>
        <v>9</v>
      </c>
      <c r="C25" s="399">
        <f>'US$ Table'!C25</f>
        <v>2008</v>
      </c>
      <c r="E25" s="1046">
        <f ca="1">VLOOKUP($C25,OM_Table_R,'R$ Table'!E$78)</f>
        <v>772.85564155202667</v>
      </c>
      <c r="F25" s="892">
        <f ca="1">VLOOKUP($C25,OM_Table_R,'R$ Table'!F$78)</f>
        <v>318.65472338597266</v>
      </c>
      <c r="G25" s="892">
        <f ca="1">VLOOKUP($C25,OM_Table_R,'R$ Table'!G$78)</f>
        <v>382.64708470999227</v>
      </c>
      <c r="H25" s="892">
        <f ca="1">VLOOKUP($C25,OM_Table_R,'R$ Table'!H$78)</f>
        <v>147.7362999053048</v>
      </c>
      <c r="I25" s="892">
        <f ca="1">VLOOKUP($C25,OM_Table_R,'R$ Table'!I$78)</f>
        <v>500.80605208963317</v>
      </c>
      <c r="J25" s="1047">
        <f ca="1">VLOOKUP($C25,OM_Table_R,'R$ Table'!J$78)</f>
        <v>243.051947368421</v>
      </c>
      <c r="K25" s="1049">
        <f t="shared" ca="1" si="0"/>
        <v>2365.7517490113505</v>
      </c>
      <c r="M25" s="1046">
        <f ca="1">-HLOOKUP($C25,CF_Table,CF!$AB$36)</f>
        <v>312.5</v>
      </c>
      <c r="N25" s="892">
        <f ca="1">-HLOOKUP($C25,CF_Table,CF!$AB$37)</f>
        <v>110</v>
      </c>
      <c r="O25" s="892">
        <f ca="1">Tot_Equity*HLOOKUP($C25,CF_Table,CF!$AB$12)/CF!$Z$12</f>
        <v>4620.4267321951411</v>
      </c>
      <c r="P25" s="892">
        <f t="shared" ca="1" si="1"/>
        <v>693.06400982927119</v>
      </c>
      <c r="Q25" s="892">
        <f t="shared" ca="1" si="1"/>
        <v>341.35988543829779</v>
      </c>
      <c r="R25" s="1047">
        <f ca="1">-'US$ Table'!K25</f>
        <v>-6277.044721012322</v>
      </c>
      <c r="S25" s="1049">
        <f t="shared" ca="1" si="2"/>
        <v>-199.69409354961135</v>
      </c>
      <c r="U25" s="1104">
        <f t="shared" ca="1" si="3"/>
        <v>2166.0576554617392</v>
      </c>
      <c r="V25" s="187">
        <f t="shared" ca="1" si="4"/>
        <v>2306.851403066752</v>
      </c>
      <c r="W25" s="187">
        <f t="shared" ca="1" si="5"/>
        <v>2369.6470498888052</v>
      </c>
      <c r="X25" s="1050">
        <f>'US$ Table'!AC25</f>
        <v>4</v>
      </c>
      <c r="Y25" s="1051">
        <f ca="1">'US$ Table'!AD25</f>
        <v>12</v>
      </c>
      <c r="Z25" s="187">
        <f t="shared" ca="1" si="6"/>
        <v>789.88234996293511</v>
      </c>
      <c r="AA25" s="901">
        <f>'US$ Table'!AF25</f>
        <v>480</v>
      </c>
      <c r="AB25" s="893">
        <f ca="1">SUM(Z24:Z25)/AA25/SUM(X24:X25)*1000</f>
        <v>337.68679310397926</v>
      </c>
    </row>
    <row r="26" spans="2:28">
      <c r="B26" s="678">
        <f>'US$ Table'!B26</f>
        <v>10</v>
      </c>
      <c r="C26" s="399">
        <f>'US$ Table'!C26</f>
        <v>2008</v>
      </c>
      <c r="E26" s="1046">
        <f ca="1">VLOOKUP($C26,OM_Table_R,'R$ Table'!E$78)</f>
        <v>772.85564155202667</v>
      </c>
      <c r="F26" s="892">
        <f ca="1">VLOOKUP($C26,OM_Table_R,'R$ Table'!F$78)</f>
        <v>318.65472338597266</v>
      </c>
      <c r="G26" s="892">
        <f ca="1">VLOOKUP($C26,OM_Table_R,'R$ Table'!G$78)</f>
        <v>382.64708470999227</v>
      </c>
      <c r="H26" s="892">
        <f ca="1">VLOOKUP($C26,OM_Table_R,'R$ Table'!H$78)</f>
        <v>147.7362999053048</v>
      </c>
      <c r="I26" s="892">
        <f ca="1">VLOOKUP($C26,OM_Table_R,'R$ Table'!I$78)</f>
        <v>500.80605208963317</v>
      </c>
      <c r="J26" s="1047">
        <f ca="1">VLOOKUP($C26,OM_Table_R,'R$ Table'!J$78)</f>
        <v>243.051947368421</v>
      </c>
      <c r="K26" s="1049">
        <f t="shared" ca="1" si="0"/>
        <v>2365.7517490113505</v>
      </c>
      <c r="M26" s="1046">
        <f ca="1">-HLOOKUP($C26,CF_Table,CF!$AB$36)</f>
        <v>312.5</v>
      </c>
      <c r="N26" s="892">
        <f ca="1">-HLOOKUP($C26,CF_Table,CF!$AB$37)</f>
        <v>110</v>
      </c>
      <c r="O26" s="892">
        <f ca="1">Tot_Equity*HLOOKUP($C26,CF_Table,CF!$AB$12)/CF!$Z$12</f>
        <v>4620.4267321951411</v>
      </c>
      <c r="P26" s="892">
        <f t="shared" ca="1" si="1"/>
        <v>693.06400982927119</v>
      </c>
      <c r="Q26" s="892">
        <f t="shared" ca="1" si="1"/>
        <v>341.35988543829779</v>
      </c>
      <c r="R26" s="1047">
        <f ca="1">-'US$ Table'!K26</f>
        <v>-6277.044721012322</v>
      </c>
      <c r="S26" s="1049">
        <f t="shared" ca="1" si="2"/>
        <v>-199.69409354961135</v>
      </c>
      <c r="U26" s="1104">
        <f t="shared" ca="1" si="3"/>
        <v>2166.0576554617392</v>
      </c>
      <c r="V26" s="187">
        <f t="shared" ca="1" si="4"/>
        <v>2306.851403066752</v>
      </c>
      <c r="W26" s="187">
        <f t="shared" ca="1" si="5"/>
        <v>2369.6470498888052</v>
      </c>
      <c r="X26" s="1050">
        <f>'US$ Table'!AC26</f>
        <v>8</v>
      </c>
      <c r="Y26" s="1051">
        <f ca="1">'US$ Table'!AD26</f>
        <v>12</v>
      </c>
      <c r="Z26" s="187">
        <f t="shared" ca="1" si="6"/>
        <v>1579.7646999258702</v>
      </c>
      <c r="AA26" s="901">
        <f>'US$ Table'!AF26</f>
        <v>480</v>
      </c>
      <c r="AB26" s="893"/>
    </row>
    <row r="27" spans="2:28">
      <c r="B27" s="678">
        <f>'US$ Table'!B27</f>
        <v>10</v>
      </c>
      <c r="C27" s="399">
        <f>'US$ Table'!C27</f>
        <v>2009</v>
      </c>
      <c r="E27" s="1046">
        <f ca="1">VLOOKUP($C27,OM_Table_R,'R$ Table'!E$78)</f>
        <v>753.00807599207053</v>
      </c>
      <c r="F27" s="892">
        <f ca="1">VLOOKUP($C27,OM_Table_R,'R$ Table'!F$78)</f>
        <v>310.47140922824451</v>
      </c>
      <c r="G27" s="892">
        <f ca="1">VLOOKUP($C27,OM_Table_R,'R$ Table'!G$78)</f>
        <v>372.82039432722382</v>
      </c>
      <c r="H27" s="892">
        <f ca="1">VLOOKUP($C27,OM_Table_R,'R$ Table'!H$78)</f>
        <v>143.9423107819706</v>
      </c>
      <c r="I27" s="892">
        <f ca="1">VLOOKUP($C27,OM_Table_R,'R$ Table'!I$78)</f>
        <v>487.94494269576114</v>
      </c>
      <c r="J27" s="1047">
        <f ca="1">VLOOKUP($C27,OM_Table_R,'R$ Table'!J$78)</f>
        <v>243.051947368421</v>
      </c>
      <c r="K27" s="1049">
        <f t="shared" ca="1" si="0"/>
        <v>2311.2390803936914</v>
      </c>
      <c r="M27" s="1046">
        <f ca="1">-HLOOKUP($C27,CF_Table,CF!$AB$36)</f>
        <v>312.5</v>
      </c>
      <c r="N27" s="892">
        <f ca="1">-HLOOKUP($C27,CF_Table,CF!$AB$37)</f>
        <v>110</v>
      </c>
      <c r="O27" s="892">
        <f ca="1">Tot_Equity*HLOOKUP($C27,CF_Table,CF!$AB$12)/CF!$Z$12</f>
        <v>4620.4267321951411</v>
      </c>
      <c r="P27" s="892">
        <f t="shared" ca="1" si="1"/>
        <v>693.06400982927119</v>
      </c>
      <c r="Q27" s="892">
        <f t="shared" ca="1" si="1"/>
        <v>341.35988543829779</v>
      </c>
      <c r="R27" s="1047">
        <f ca="1">-'US$ Table'!K27</f>
        <v>-5684.3307793835575</v>
      </c>
      <c r="S27" s="1049">
        <f t="shared" ca="1" si="2"/>
        <v>393.01984807915323</v>
      </c>
      <c r="U27" s="1104">
        <f t="shared" ca="1" si="3"/>
        <v>2704.2589284728447</v>
      </c>
      <c r="V27" s="187">
        <f t="shared" ca="1" si="4"/>
        <v>2880.0357588235793</v>
      </c>
      <c r="W27" s="187">
        <f t="shared" ca="1" si="5"/>
        <v>2958.4342668963318</v>
      </c>
      <c r="X27" s="1050">
        <f>'US$ Table'!AC27</f>
        <v>4</v>
      </c>
      <c r="Y27" s="1051">
        <f ca="1">'US$ Table'!AD27</f>
        <v>12</v>
      </c>
      <c r="Z27" s="187">
        <f t="shared" ca="1" si="6"/>
        <v>986.14475563211056</v>
      </c>
      <c r="AA27" s="901">
        <f>'US$ Table'!AF27</f>
        <v>480</v>
      </c>
      <c r="AB27" s="893">
        <f ca="1">SUM(Z26:Z27)/AA27/SUM(X26:X27)*1000</f>
        <v>445.47039158992726</v>
      </c>
    </row>
    <row r="28" spans="2:28">
      <c r="B28" s="678">
        <f>'US$ Table'!B28</f>
        <v>11</v>
      </c>
      <c r="C28" s="399">
        <f>'US$ Table'!C28</f>
        <v>2009</v>
      </c>
      <c r="E28" s="1046">
        <f ca="1">VLOOKUP($C28,OM_Table_R,'R$ Table'!E$78)</f>
        <v>753.00807599207053</v>
      </c>
      <c r="F28" s="892">
        <f ca="1">VLOOKUP($C28,OM_Table_R,'R$ Table'!F$78)</f>
        <v>310.47140922824451</v>
      </c>
      <c r="G28" s="892">
        <f ca="1">VLOOKUP($C28,OM_Table_R,'R$ Table'!G$78)</f>
        <v>372.82039432722382</v>
      </c>
      <c r="H28" s="892">
        <f ca="1">VLOOKUP($C28,OM_Table_R,'R$ Table'!H$78)</f>
        <v>143.9423107819706</v>
      </c>
      <c r="I28" s="892">
        <f ca="1">VLOOKUP($C28,OM_Table_R,'R$ Table'!I$78)</f>
        <v>487.94494269576114</v>
      </c>
      <c r="J28" s="1047">
        <f ca="1">VLOOKUP($C28,OM_Table_R,'R$ Table'!J$78)</f>
        <v>243.051947368421</v>
      </c>
      <c r="K28" s="1049">
        <f t="shared" ca="1" si="0"/>
        <v>2311.2390803936914</v>
      </c>
      <c r="M28" s="1046">
        <f ca="1">-HLOOKUP($C28,CF_Table,CF!$AB$36)</f>
        <v>312.5</v>
      </c>
      <c r="N28" s="892">
        <f ca="1">-HLOOKUP($C28,CF_Table,CF!$AB$37)</f>
        <v>110</v>
      </c>
      <c r="O28" s="892">
        <f ca="1">Tot_Equity*HLOOKUP($C28,CF_Table,CF!$AB$12)/CF!$Z$12</f>
        <v>4620.4267321951411</v>
      </c>
      <c r="P28" s="892">
        <f t="shared" ref="P28:Q47" ca="1" si="7">P$8*O28</f>
        <v>693.06400982927119</v>
      </c>
      <c r="Q28" s="892">
        <f t="shared" ca="1" si="7"/>
        <v>341.35988543829779</v>
      </c>
      <c r="R28" s="1047">
        <f ca="1">-'US$ Table'!K28</f>
        <v>-5684.3307793835575</v>
      </c>
      <c r="S28" s="1049">
        <f t="shared" ca="1" si="2"/>
        <v>393.01984807915323</v>
      </c>
      <c r="U28" s="1104">
        <f t="shared" ca="1" si="3"/>
        <v>2704.2589284728447</v>
      </c>
      <c r="V28" s="187">
        <f t="shared" ca="1" si="4"/>
        <v>2880.0357588235793</v>
      </c>
      <c r="W28" s="187">
        <f t="shared" ca="1" si="5"/>
        <v>2958.4342668963318</v>
      </c>
      <c r="X28" s="1050">
        <f>'US$ Table'!AC28</f>
        <v>8</v>
      </c>
      <c r="Y28" s="1051">
        <f ca="1">'US$ Table'!AD28</f>
        <v>12</v>
      </c>
      <c r="Z28" s="187">
        <f t="shared" ca="1" si="6"/>
        <v>1972.2895112642211</v>
      </c>
      <c r="AA28" s="901">
        <f>'US$ Table'!AF28</f>
        <v>480</v>
      </c>
      <c r="AB28" s="893"/>
    </row>
    <row r="29" spans="2:28">
      <c r="B29" s="678">
        <f>'US$ Table'!B29</f>
        <v>11</v>
      </c>
      <c r="C29" s="399">
        <f>'US$ Table'!C29</f>
        <v>2010</v>
      </c>
      <c r="E29" s="1046">
        <f ca="1">VLOOKUP($C29,OM_Table_R,'R$ Table'!E$78)</f>
        <v>734.42151658615205</v>
      </c>
      <c r="F29" s="892">
        <f ca="1">VLOOKUP($C29,OM_Table_R,'R$ Table'!F$78)</f>
        <v>302.80801825616584</v>
      </c>
      <c r="G29" s="892">
        <f ca="1">VLOOKUP($C29,OM_Table_R,'R$ Table'!G$78)</f>
        <v>363.61803829967192</v>
      </c>
      <c r="H29" s="892">
        <f ca="1">VLOOKUP($C29,OM_Table_R,'R$ Table'!H$78)</f>
        <v>140.38937105174327</v>
      </c>
      <c r="I29" s="892">
        <f ca="1">VLOOKUP($C29,OM_Table_R,'R$ Table'!I$78)</f>
        <v>475.90095810464805</v>
      </c>
      <c r="J29" s="1047">
        <f ca="1">VLOOKUP($C29,OM_Table_R,'R$ Table'!J$78)</f>
        <v>243.051947368421</v>
      </c>
      <c r="K29" s="1049">
        <f t="shared" ca="1" si="0"/>
        <v>2260.1898496668018</v>
      </c>
      <c r="M29" s="1046">
        <f ca="1">-HLOOKUP($C29,CF_Table,CF!$AB$36)</f>
        <v>312.5</v>
      </c>
      <c r="N29" s="892">
        <f ca="1">-HLOOKUP($C29,CF_Table,CF!$AB$37)</f>
        <v>110</v>
      </c>
      <c r="O29" s="892">
        <f ca="1">Tot_Equity*HLOOKUP($C29,CF_Table,CF!$AB$12)/CF!$Z$12</f>
        <v>4620.4267321951411</v>
      </c>
      <c r="P29" s="892">
        <f t="shared" ca="1" si="7"/>
        <v>693.06400982927119</v>
      </c>
      <c r="Q29" s="892">
        <f t="shared" ca="1" si="7"/>
        <v>341.35988543829779</v>
      </c>
      <c r="R29" s="1047">
        <f ca="1">-'US$ Table'!K29</f>
        <v>-5397.6677852708463</v>
      </c>
      <c r="S29" s="1049">
        <f t="shared" ca="1" si="2"/>
        <v>679.68284219186444</v>
      </c>
      <c r="U29" s="1104">
        <f t="shared" ca="1" si="3"/>
        <v>2939.8726918586663</v>
      </c>
      <c r="V29" s="187">
        <f t="shared" ca="1" si="4"/>
        <v>3130.9644168294794</v>
      </c>
      <c r="W29" s="187">
        <f t="shared" ca="1" si="5"/>
        <v>3216.1935457929935</v>
      </c>
      <c r="X29" s="1050">
        <f>'US$ Table'!AC29</f>
        <v>4</v>
      </c>
      <c r="Y29" s="1051">
        <f ca="1">'US$ Table'!AD29</f>
        <v>12</v>
      </c>
      <c r="Z29" s="187">
        <f t="shared" ca="1" si="6"/>
        <v>1072.0645152643312</v>
      </c>
      <c r="AA29" s="901">
        <f>'US$ Table'!AF29</f>
        <v>480</v>
      </c>
      <c r="AB29" s="893">
        <f ca="1">SUM(Z28:Z29)/AA29/SUM(X28:X29)*1000</f>
        <v>528.53368516120702</v>
      </c>
    </row>
    <row r="30" spans="2:28">
      <c r="B30" s="678">
        <f>'US$ Table'!B30</f>
        <v>12</v>
      </c>
      <c r="C30" s="399">
        <f>'US$ Table'!C30</f>
        <v>2010</v>
      </c>
      <c r="E30" s="1046">
        <f ca="1">VLOOKUP($C30,OM_Table_R,'R$ Table'!E$78)</f>
        <v>734.42151658615205</v>
      </c>
      <c r="F30" s="892">
        <f ca="1">VLOOKUP($C30,OM_Table_R,'R$ Table'!F$78)</f>
        <v>302.80801825616584</v>
      </c>
      <c r="G30" s="892">
        <f ca="1">VLOOKUP($C30,OM_Table_R,'R$ Table'!G$78)</f>
        <v>363.61803829967192</v>
      </c>
      <c r="H30" s="892">
        <f ca="1">VLOOKUP($C30,OM_Table_R,'R$ Table'!H$78)</f>
        <v>140.38937105174327</v>
      </c>
      <c r="I30" s="892">
        <f ca="1">VLOOKUP($C30,OM_Table_R,'R$ Table'!I$78)</f>
        <v>475.90095810464805</v>
      </c>
      <c r="J30" s="1047">
        <f ca="1">VLOOKUP($C30,OM_Table_R,'R$ Table'!J$78)</f>
        <v>243.051947368421</v>
      </c>
      <c r="K30" s="1049">
        <f t="shared" ca="1" si="0"/>
        <v>2260.1898496668018</v>
      </c>
      <c r="M30" s="1046">
        <f ca="1">-HLOOKUP($C30,CF_Table,CF!$AB$36)</f>
        <v>312.5</v>
      </c>
      <c r="N30" s="892">
        <f ca="1">-HLOOKUP($C30,CF_Table,CF!$AB$37)</f>
        <v>110</v>
      </c>
      <c r="O30" s="892">
        <f ca="1">Tot_Equity*HLOOKUP($C30,CF_Table,CF!$AB$12)/CF!$Z$12</f>
        <v>4620.4267321951411</v>
      </c>
      <c r="P30" s="892">
        <f t="shared" ca="1" si="7"/>
        <v>693.06400982927119</v>
      </c>
      <c r="Q30" s="892">
        <f t="shared" ca="1" si="7"/>
        <v>341.35988543829779</v>
      </c>
      <c r="R30" s="1047">
        <f ca="1">-'US$ Table'!K30</f>
        <v>-5397.6677852708463</v>
      </c>
      <c r="S30" s="1049">
        <f t="shared" ca="1" si="2"/>
        <v>679.68284219186444</v>
      </c>
      <c r="U30" s="1104">
        <f t="shared" ca="1" si="3"/>
        <v>2939.8726918586663</v>
      </c>
      <c r="V30" s="187">
        <f t="shared" ca="1" si="4"/>
        <v>3130.9644168294794</v>
      </c>
      <c r="W30" s="187">
        <f t="shared" ca="1" si="5"/>
        <v>3216.1935457929935</v>
      </c>
      <c r="X30" s="1050">
        <f>'US$ Table'!AC30</f>
        <v>8</v>
      </c>
      <c r="Y30" s="1051">
        <f ca="1">'US$ Table'!AD30</f>
        <v>12</v>
      </c>
      <c r="Z30" s="187">
        <f t="shared" ca="1" si="6"/>
        <v>2144.1290305286625</v>
      </c>
      <c r="AA30" s="901">
        <f>'US$ Table'!AF30</f>
        <v>480</v>
      </c>
      <c r="AB30" s="893"/>
    </row>
    <row r="31" spans="2:28">
      <c r="B31" s="678">
        <f>'US$ Table'!B31</f>
        <v>12</v>
      </c>
      <c r="C31" s="399">
        <f>'US$ Table'!C31</f>
        <v>2011</v>
      </c>
      <c r="E31" s="1046">
        <f ca="1">VLOOKUP($C31,OM_Table_R,'R$ Table'!E$78)</f>
        <v>717.03248212473022</v>
      </c>
      <c r="F31" s="892">
        <f ca="1">VLOOKUP($C31,OM_Table_R,'R$ Table'!F$78)</f>
        <v>295.63837664608968</v>
      </c>
      <c r="G31" s="892">
        <f ca="1">VLOOKUP($C31,OM_Table_R,'R$ Table'!G$78)</f>
        <v>355.00858656658687</v>
      </c>
      <c r="H31" s="892">
        <f ca="1">VLOOKUP($C31,OM_Table_R,'R$ Table'!H$78)</f>
        <v>137.0653458753244</v>
      </c>
      <c r="I31" s="892">
        <f ca="1">VLOOKUP($C31,OM_Table_R,'R$ Table'!I$78)</f>
        <v>464.63296285421939</v>
      </c>
      <c r="J31" s="1047">
        <f ca="1">VLOOKUP($C31,OM_Table_R,'R$ Table'!J$78)</f>
        <v>243.051947368421</v>
      </c>
      <c r="K31" s="1049">
        <f t="shared" ca="1" si="0"/>
        <v>2212.4297014353715</v>
      </c>
      <c r="M31" s="1046">
        <f ca="1">-HLOOKUP($C31,CF_Table,CF!$AB$36)</f>
        <v>312.5</v>
      </c>
      <c r="N31" s="892">
        <f ca="1">-HLOOKUP($C31,CF_Table,CF!$AB$37)</f>
        <v>110</v>
      </c>
      <c r="O31" s="892">
        <f ca="1">Tot_Equity*HLOOKUP($C31,CF_Table,CF!$AB$12)/CF!$Z$12</f>
        <v>4620.4267321951411</v>
      </c>
      <c r="P31" s="892">
        <f t="shared" ca="1" si="7"/>
        <v>693.06400982927119</v>
      </c>
      <c r="Q31" s="892">
        <f t="shared" ca="1" si="7"/>
        <v>341.35988543829779</v>
      </c>
      <c r="R31" s="1047">
        <f ca="1">-'US$ Table'!K31</f>
        <v>-5256.0457596032575</v>
      </c>
      <c r="S31" s="1049">
        <f t="shared" ca="1" si="2"/>
        <v>821.30486785945322</v>
      </c>
      <c r="U31" s="1104">
        <f t="shared" ca="1" si="3"/>
        <v>3033.7345692948247</v>
      </c>
      <c r="V31" s="187">
        <f t="shared" ca="1" si="4"/>
        <v>3230.927316298988</v>
      </c>
      <c r="W31" s="187">
        <f t="shared" ca="1" si="5"/>
        <v>3318.8775719558166</v>
      </c>
      <c r="X31" s="1050">
        <f>'US$ Table'!AC31</f>
        <v>4</v>
      </c>
      <c r="Y31" s="1051">
        <f ca="1">'US$ Table'!AD31</f>
        <v>12</v>
      </c>
      <c r="Z31" s="187">
        <f t="shared" ca="1" si="6"/>
        <v>1106.2925239852723</v>
      </c>
      <c r="AA31" s="901">
        <f>'US$ Table'!AF31</f>
        <v>480</v>
      </c>
      <c r="AB31" s="893">
        <f ca="1">SUM(Z30:Z31)/AA31/SUM(X30:X31)*1000</f>
        <v>564.30929765866938</v>
      </c>
    </row>
    <row r="32" spans="2:28">
      <c r="B32" s="678">
        <f>'US$ Table'!B32</f>
        <v>13</v>
      </c>
      <c r="C32" s="399">
        <f>'US$ Table'!C32</f>
        <v>2011</v>
      </c>
      <c r="E32" s="1046">
        <f ca="1">VLOOKUP($C32,OM_Table_R,'R$ Table'!E$78)</f>
        <v>717.03248212473022</v>
      </c>
      <c r="F32" s="892">
        <f ca="1">VLOOKUP($C32,OM_Table_R,'R$ Table'!F$78)</f>
        <v>295.63837664608968</v>
      </c>
      <c r="G32" s="892">
        <f ca="1">VLOOKUP($C32,OM_Table_R,'R$ Table'!G$78)</f>
        <v>355.00858656658687</v>
      </c>
      <c r="H32" s="892">
        <f ca="1">VLOOKUP($C32,OM_Table_R,'R$ Table'!H$78)</f>
        <v>137.0653458753244</v>
      </c>
      <c r="I32" s="892">
        <f ca="1">VLOOKUP($C32,OM_Table_R,'R$ Table'!I$78)</f>
        <v>464.63296285421939</v>
      </c>
      <c r="J32" s="1047">
        <f ca="1">VLOOKUP($C32,OM_Table_R,'R$ Table'!J$78)</f>
        <v>243.051947368421</v>
      </c>
      <c r="K32" s="1049">
        <f t="shared" ca="1" si="0"/>
        <v>2212.4297014353715</v>
      </c>
      <c r="M32" s="1046">
        <f ca="1">-HLOOKUP($C32,CF_Table,CF!$AB$36)</f>
        <v>312.5</v>
      </c>
      <c r="N32" s="892">
        <f ca="1">-HLOOKUP($C32,CF_Table,CF!$AB$37)</f>
        <v>110</v>
      </c>
      <c r="O32" s="892">
        <f ca="1">Tot_Equity*HLOOKUP($C32,CF_Table,CF!$AB$12)/CF!$Z$12</f>
        <v>4620.4267321951411</v>
      </c>
      <c r="P32" s="892">
        <f t="shared" ca="1" si="7"/>
        <v>693.06400982927119</v>
      </c>
      <c r="Q32" s="892">
        <f t="shared" ca="1" si="7"/>
        <v>341.35988543829779</v>
      </c>
      <c r="R32" s="1047">
        <f ca="1">-'US$ Table'!K32</f>
        <v>-5256.0457596032575</v>
      </c>
      <c r="S32" s="1049">
        <f t="shared" ca="1" si="2"/>
        <v>821.30486785945322</v>
      </c>
      <c r="U32" s="1104">
        <f t="shared" ca="1" si="3"/>
        <v>3033.7345692948247</v>
      </c>
      <c r="V32" s="187">
        <f t="shared" ca="1" si="4"/>
        <v>3230.927316298988</v>
      </c>
      <c r="W32" s="187">
        <f t="shared" ca="1" si="5"/>
        <v>3318.8775719558166</v>
      </c>
      <c r="X32" s="1050">
        <f>'US$ Table'!AC32</f>
        <v>8</v>
      </c>
      <c r="Y32" s="1051">
        <f ca="1">'US$ Table'!AD32</f>
        <v>12</v>
      </c>
      <c r="Z32" s="187">
        <f t="shared" ca="1" si="6"/>
        <v>2212.5850479705446</v>
      </c>
      <c r="AA32" s="901">
        <f>'US$ Table'!AF32</f>
        <v>480</v>
      </c>
      <c r="AB32" s="893"/>
    </row>
    <row r="33" spans="2:28">
      <c r="B33" s="678">
        <f>'US$ Table'!B33</f>
        <v>13</v>
      </c>
      <c r="C33" s="399">
        <f>'US$ Table'!C33</f>
        <v>2012</v>
      </c>
      <c r="E33" s="1046">
        <f ca="1">VLOOKUP($C33,OM_Table_R,'R$ Table'!E$78)</f>
        <v>701.45520650566004</v>
      </c>
      <c r="F33" s="892">
        <f ca="1">VLOOKUP($C33,OM_Table_R,'R$ Table'!F$78)</f>
        <v>289.21573807475983</v>
      </c>
      <c r="G33" s="892">
        <f ca="1">VLOOKUP($C33,OM_Table_R,'R$ Table'!G$78)</f>
        <v>347.29615130326738</v>
      </c>
      <c r="H33" s="892">
        <f ca="1">VLOOKUP($C33,OM_Table_R,'R$ Table'!H$78)</f>
        <v>134.08764999159493</v>
      </c>
      <c r="I33" s="892">
        <f ca="1">VLOOKUP($C33,OM_Table_R,'R$ Table'!I$78)</f>
        <v>454.53897701045611</v>
      </c>
      <c r="J33" s="1047">
        <f ca="1">VLOOKUP($C33,OM_Table_R,'R$ Table'!J$78)</f>
        <v>243.051947368421</v>
      </c>
      <c r="K33" s="1049">
        <f t="shared" ca="1" si="0"/>
        <v>2169.6456702541591</v>
      </c>
      <c r="M33" s="1046">
        <f ca="1">-HLOOKUP($C33,CF_Table,CF!$AB$36)</f>
        <v>312.5</v>
      </c>
      <c r="N33" s="892">
        <f ca="1">-HLOOKUP($C33,CF_Table,CF!$AB$37)</f>
        <v>110</v>
      </c>
      <c r="O33" s="892">
        <f ca="1">Tot_Equity*HLOOKUP($C33,CF_Table,CF!$AB$12)/CF!$Z$12</f>
        <v>4620.4267321951411</v>
      </c>
      <c r="P33" s="892">
        <f t="shared" ca="1" si="7"/>
        <v>693.06400982927119</v>
      </c>
      <c r="Q33" s="892">
        <f t="shared" ca="1" si="7"/>
        <v>341.35988543829779</v>
      </c>
      <c r="R33" s="1047">
        <f ca="1">-'US$ Table'!K33</f>
        <v>-5090.470217996959</v>
      </c>
      <c r="S33" s="1049">
        <f t="shared" ca="1" si="2"/>
        <v>986.88040946575165</v>
      </c>
      <c r="U33" s="1104">
        <f t="shared" ca="1" si="3"/>
        <v>3156.5260797199107</v>
      </c>
      <c r="V33" s="187">
        <f t="shared" ca="1" si="4"/>
        <v>3361.7002749017047</v>
      </c>
      <c r="W33" s="187">
        <f t="shared" ca="1" si="5"/>
        <v>3453.210349154293</v>
      </c>
      <c r="X33" s="1050">
        <f>'US$ Table'!AC33</f>
        <v>4</v>
      </c>
      <c r="Y33" s="1051">
        <f ca="1">'US$ Table'!AD33</f>
        <v>12</v>
      </c>
      <c r="Z33" s="187">
        <f t="shared" ca="1" si="6"/>
        <v>1151.0701163847643</v>
      </c>
      <c r="AA33" s="901">
        <f>'US$ Table'!AF33</f>
        <v>480</v>
      </c>
      <c r="AB33" s="893">
        <f ca="1">SUM(Z32:Z33)/AA33/SUM(X32:X33)*1000</f>
        <v>583.96791047835234</v>
      </c>
    </row>
    <row r="34" spans="2:28">
      <c r="B34" s="678">
        <f>'US$ Table'!B34</f>
        <v>14</v>
      </c>
      <c r="C34" s="399">
        <f>'US$ Table'!C34</f>
        <v>2012</v>
      </c>
      <c r="E34" s="1046">
        <f ca="1">VLOOKUP($C34,OM_Table_R,'R$ Table'!E$78)</f>
        <v>701.45520650566004</v>
      </c>
      <c r="F34" s="892">
        <f ca="1">VLOOKUP($C34,OM_Table_R,'R$ Table'!F$78)</f>
        <v>289.21573807475983</v>
      </c>
      <c r="G34" s="892">
        <f ca="1">VLOOKUP($C34,OM_Table_R,'R$ Table'!G$78)</f>
        <v>347.29615130326738</v>
      </c>
      <c r="H34" s="892">
        <f ca="1">VLOOKUP($C34,OM_Table_R,'R$ Table'!H$78)</f>
        <v>134.08764999159493</v>
      </c>
      <c r="I34" s="892">
        <f ca="1">VLOOKUP($C34,OM_Table_R,'R$ Table'!I$78)</f>
        <v>454.53897701045611</v>
      </c>
      <c r="J34" s="1047">
        <f ca="1">VLOOKUP($C34,OM_Table_R,'R$ Table'!J$78)</f>
        <v>243.051947368421</v>
      </c>
      <c r="K34" s="1049">
        <f t="shared" ca="1" si="0"/>
        <v>2169.6456702541591</v>
      </c>
      <c r="M34" s="1046">
        <f ca="1">-HLOOKUP($C34,CF_Table,CF!$AB$36)</f>
        <v>312.5</v>
      </c>
      <c r="N34" s="892">
        <f ca="1">-HLOOKUP($C34,CF_Table,CF!$AB$37)</f>
        <v>110</v>
      </c>
      <c r="O34" s="892">
        <f ca="1">Tot_Equity*HLOOKUP($C34,CF_Table,CF!$AB$12)/CF!$Z$12</f>
        <v>4620.4267321951411</v>
      </c>
      <c r="P34" s="892">
        <f t="shared" ca="1" si="7"/>
        <v>693.06400982927119</v>
      </c>
      <c r="Q34" s="892">
        <f t="shared" ca="1" si="7"/>
        <v>341.35988543829779</v>
      </c>
      <c r="R34" s="1047">
        <f ca="1">-'US$ Table'!K34</f>
        <v>-5090.470217996959</v>
      </c>
      <c r="S34" s="1049">
        <f t="shared" ca="1" si="2"/>
        <v>986.88040946575165</v>
      </c>
      <c r="U34" s="1104">
        <f t="shared" ca="1" si="3"/>
        <v>3156.5260797199107</v>
      </c>
      <c r="V34" s="187">
        <f t="shared" ca="1" si="4"/>
        <v>3361.7002749017047</v>
      </c>
      <c r="W34" s="187">
        <f t="shared" ca="1" si="5"/>
        <v>3453.210349154293</v>
      </c>
      <c r="X34" s="1050">
        <f>'US$ Table'!AC34</f>
        <v>8</v>
      </c>
      <c r="Y34" s="1051">
        <f ca="1">'US$ Table'!AD34</f>
        <v>12</v>
      </c>
      <c r="Z34" s="187">
        <f t="shared" ca="1" si="6"/>
        <v>2302.1402327695287</v>
      </c>
      <c r="AA34" s="901">
        <f>'US$ Table'!AF34</f>
        <v>480</v>
      </c>
      <c r="AB34" s="893"/>
    </row>
    <row r="35" spans="2:28">
      <c r="B35" s="678">
        <f>'US$ Table'!B35</f>
        <v>14</v>
      </c>
      <c r="C35" s="399">
        <f>'US$ Table'!C35</f>
        <v>2013</v>
      </c>
      <c r="E35" s="1046">
        <f ca="1">VLOOKUP($C35,OM_Table_R,'R$ Table'!E$78)</f>
        <v>687.39186888536256</v>
      </c>
      <c r="F35" s="892">
        <f ca="1">VLOOKUP($C35,OM_Table_R,'R$ Table'!F$78)</f>
        <v>283.41730856432747</v>
      </c>
      <c r="G35" s="892">
        <f ca="1">VLOOKUP($C35,OM_Table_R,'R$ Table'!G$78)</f>
        <v>340.33327899907795</v>
      </c>
      <c r="H35" s="892">
        <f ca="1">VLOOKUP($C35,OM_Table_R,'R$ Table'!H$78)</f>
        <v>131.39935304111981</v>
      </c>
      <c r="I35" s="892">
        <f ca="1">VLOOKUP($C35,OM_Table_R,'R$ Table'!I$78)</f>
        <v>445.4260143636659</v>
      </c>
      <c r="J35" s="1047">
        <f ca="1">VLOOKUP($C35,OM_Table_R,'R$ Table'!J$78)</f>
        <v>243.051947368421</v>
      </c>
      <c r="K35" s="1049">
        <f t="shared" ca="1" si="0"/>
        <v>2131.0197712219747</v>
      </c>
      <c r="M35" s="1046">
        <f ca="1">-HLOOKUP($C35,CF_Table,CF!$AB$36)</f>
        <v>312.5</v>
      </c>
      <c r="N35" s="892">
        <f ca="1">-HLOOKUP($C35,CF_Table,CF!$AB$37)</f>
        <v>110</v>
      </c>
      <c r="O35" s="892">
        <f ca="1">Tot_Equity*HLOOKUP($C35,CF_Table,CF!$AB$12)/CF!$Z$12</f>
        <v>4620.4267321951411</v>
      </c>
      <c r="P35" s="892">
        <f t="shared" ca="1" si="7"/>
        <v>693.06400982927119</v>
      </c>
      <c r="Q35" s="892">
        <f t="shared" ca="1" si="7"/>
        <v>341.35988543829779</v>
      </c>
      <c r="R35" s="1047">
        <f ca="1">-'US$ Table'!K35</f>
        <v>-4771.8692026326307</v>
      </c>
      <c r="S35" s="1049">
        <f t="shared" ca="1" si="2"/>
        <v>1305.48142483008</v>
      </c>
      <c r="U35" s="1104">
        <f t="shared" ca="1" si="3"/>
        <v>3436.5011960520546</v>
      </c>
      <c r="V35" s="187">
        <f t="shared" ca="1" si="4"/>
        <v>3659.873773795438</v>
      </c>
      <c r="W35" s="187">
        <f t="shared" ca="1" si="5"/>
        <v>3759.5005380538651</v>
      </c>
      <c r="X35" s="1050">
        <f>'US$ Table'!AC35</f>
        <v>4</v>
      </c>
      <c r="Y35" s="1051">
        <f ca="1">'US$ Table'!AD35</f>
        <v>12</v>
      </c>
      <c r="Z35" s="187">
        <f t="shared" ca="1" si="6"/>
        <v>1253.1668460179551</v>
      </c>
      <c r="AA35" s="901">
        <f>'US$ Table'!AF35</f>
        <v>480</v>
      </c>
      <c r="AB35" s="893">
        <f ca="1">SUM(Z34:Z35)/AA35/SUM(X34:X35)*1000</f>
        <v>617.24081228949376</v>
      </c>
    </row>
    <row r="36" spans="2:28">
      <c r="B36" s="678">
        <f>'US$ Table'!B36</f>
        <v>15</v>
      </c>
      <c r="C36" s="399">
        <f>'US$ Table'!C36</f>
        <v>2013</v>
      </c>
      <c r="E36" s="1046">
        <f ca="1">VLOOKUP($C36,OM_Table_R,'R$ Table'!E$78)</f>
        <v>687.39186888536256</v>
      </c>
      <c r="F36" s="892">
        <f ca="1">VLOOKUP($C36,OM_Table_R,'R$ Table'!F$78)</f>
        <v>283.41730856432747</v>
      </c>
      <c r="G36" s="892">
        <f ca="1">VLOOKUP($C36,OM_Table_R,'R$ Table'!G$78)</f>
        <v>340.33327899907795</v>
      </c>
      <c r="H36" s="892">
        <f ca="1">VLOOKUP($C36,OM_Table_R,'R$ Table'!H$78)</f>
        <v>131.39935304111981</v>
      </c>
      <c r="I36" s="892">
        <f ca="1">VLOOKUP($C36,OM_Table_R,'R$ Table'!I$78)</f>
        <v>445.4260143636659</v>
      </c>
      <c r="J36" s="1047">
        <f ca="1">VLOOKUP($C36,OM_Table_R,'R$ Table'!J$78)</f>
        <v>243.051947368421</v>
      </c>
      <c r="K36" s="1049">
        <f t="shared" ca="1" si="0"/>
        <v>2131.0197712219747</v>
      </c>
      <c r="M36" s="1046">
        <f ca="1">-HLOOKUP($C36,CF_Table,CF!$AB$36)</f>
        <v>312.5</v>
      </c>
      <c r="N36" s="892">
        <f ca="1">-HLOOKUP($C36,CF_Table,CF!$AB$37)</f>
        <v>110</v>
      </c>
      <c r="O36" s="892">
        <f ca="1">Tot_Equity*HLOOKUP($C36,CF_Table,CF!$AB$12)/CF!$Z$12</f>
        <v>4620.4267321951411</v>
      </c>
      <c r="P36" s="892">
        <f t="shared" ca="1" si="7"/>
        <v>693.06400982927119</v>
      </c>
      <c r="Q36" s="892">
        <f t="shared" ca="1" si="7"/>
        <v>341.35988543829779</v>
      </c>
      <c r="R36" s="1047">
        <f ca="1">-'US$ Table'!K36</f>
        <v>-4771.8692026326307</v>
      </c>
      <c r="S36" s="1049">
        <f t="shared" ca="1" si="2"/>
        <v>1305.48142483008</v>
      </c>
      <c r="U36" s="1104">
        <f t="shared" ca="1" si="3"/>
        <v>3436.5011960520546</v>
      </c>
      <c r="V36" s="187">
        <f t="shared" ca="1" si="4"/>
        <v>3659.873773795438</v>
      </c>
      <c r="W36" s="187">
        <f t="shared" ca="1" si="5"/>
        <v>3759.5005380538651</v>
      </c>
      <c r="X36" s="1050">
        <f>'US$ Table'!AC36</f>
        <v>8</v>
      </c>
      <c r="Y36" s="1051">
        <f ca="1">'US$ Table'!AD36</f>
        <v>12</v>
      </c>
      <c r="Z36" s="187">
        <f t="shared" ca="1" si="6"/>
        <v>2506.3336920359102</v>
      </c>
      <c r="AA36" s="901">
        <f>'US$ Table'!AF36</f>
        <v>480</v>
      </c>
      <c r="AB36" s="893"/>
    </row>
    <row r="37" spans="2:28">
      <c r="B37" s="678">
        <f>'US$ Table'!B37</f>
        <v>15</v>
      </c>
      <c r="C37" s="399">
        <f>'US$ Table'!C37</f>
        <v>2014</v>
      </c>
      <c r="E37" s="1046">
        <f ca="1">VLOOKUP($C37,OM_Table_R,'R$ Table'!E$78)</f>
        <v>673.87107989539152</v>
      </c>
      <c r="F37" s="892">
        <f ca="1">VLOOKUP($C37,OM_Table_R,'R$ Table'!F$78)</f>
        <v>277.84257630655782</v>
      </c>
      <c r="G37" s="892">
        <f ca="1">VLOOKUP($C37,OM_Table_R,'R$ Table'!G$78)</f>
        <v>333.63902691391269</v>
      </c>
      <c r="H37" s="892">
        <f ca="1">VLOOKUP($C37,OM_Table_R,'R$ Table'!H$78)</f>
        <v>128.81476773206086</v>
      </c>
      <c r="I37" s="892">
        <f ca="1">VLOOKUP($C37,OM_Table_R,'R$ Table'!I$78)</f>
        <v>436.66462013795194</v>
      </c>
      <c r="J37" s="1047">
        <f ca="1">VLOOKUP($C37,OM_Table_R,'R$ Table'!J$78)</f>
        <v>243.051947368421</v>
      </c>
      <c r="K37" s="1049">
        <f t="shared" ca="1" si="0"/>
        <v>2093.8840183542957</v>
      </c>
      <c r="M37" s="1046">
        <f ca="1">-HLOOKUP($C37,CF_Table,CF!$AB$36)</f>
        <v>312.5</v>
      </c>
      <c r="N37" s="892">
        <f ca="1">-HLOOKUP($C37,CF_Table,CF!$AB$37)</f>
        <v>110</v>
      </c>
      <c r="O37" s="892">
        <f ca="1">Tot_Equity*HLOOKUP($C37,CF_Table,CF!$AB$12)/CF!$Z$12</f>
        <v>4620.4267321951411</v>
      </c>
      <c r="P37" s="892">
        <f t="shared" ca="1" si="7"/>
        <v>693.06400982927119</v>
      </c>
      <c r="Q37" s="892">
        <f t="shared" ca="1" si="7"/>
        <v>341.35988543829779</v>
      </c>
      <c r="R37" s="1047">
        <f ca="1">-'US$ Table'!K37</f>
        <v>-4485.9841951882563</v>
      </c>
      <c r="S37" s="1049">
        <f t="shared" ca="1" si="2"/>
        <v>1591.3664322744544</v>
      </c>
      <c r="U37" s="1104">
        <f t="shared" ca="1" si="3"/>
        <v>3685.2504506287501</v>
      </c>
      <c r="V37" s="187">
        <f t="shared" ca="1" si="4"/>
        <v>3924.7917299196188</v>
      </c>
      <c r="W37" s="187">
        <f t="shared" ca="1" si="5"/>
        <v>4031.629922875828</v>
      </c>
      <c r="X37" s="1050">
        <f>'US$ Table'!AC37</f>
        <v>4</v>
      </c>
      <c r="Y37" s="1051">
        <f ca="1">'US$ Table'!AD37</f>
        <v>12</v>
      </c>
      <c r="Z37" s="187">
        <f t="shared" ca="1" si="6"/>
        <v>1343.8766409586094</v>
      </c>
      <c r="AA37" s="901">
        <f>'US$ Table'!AF37</f>
        <v>480</v>
      </c>
      <c r="AB37" s="893">
        <f ca="1">SUM(Z36:Z37)/AA37/SUM(X36:X37)*1000</f>
        <v>668.43929392265966</v>
      </c>
    </row>
    <row r="38" spans="2:28">
      <c r="B38" s="678">
        <f>'US$ Table'!B38</f>
        <v>16</v>
      </c>
      <c r="C38" s="399">
        <f>'US$ Table'!C38</f>
        <v>2014</v>
      </c>
      <c r="E38" s="1046">
        <f ca="1">VLOOKUP($C38,OM_Table_R,'R$ Table'!E$78)</f>
        <v>673.87107989539152</v>
      </c>
      <c r="F38" s="892">
        <f ca="1">VLOOKUP($C38,OM_Table_R,'R$ Table'!F$78)</f>
        <v>277.84257630655782</v>
      </c>
      <c r="G38" s="892">
        <f ca="1">VLOOKUP($C38,OM_Table_R,'R$ Table'!G$78)</f>
        <v>333.63902691391269</v>
      </c>
      <c r="H38" s="892">
        <f ca="1">VLOOKUP($C38,OM_Table_R,'R$ Table'!H$78)</f>
        <v>128.81476773206086</v>
      </c>
      <c r="I38" s="892">
        <f ca="1">VLOOKUP($C38,OM_Table_R,'R$ Table'!I$78)</f>
        <v>436.66462013795194</v>
      </c>
      <c r="J38" s="1047">
        <f ca="1">VLOOKUP($C38,OM_Table_R,'R$ Table'!J$78)</f>
        <v>243.051947368421</v>
      </c>
      <c r="K38" s="1049">
        <f t="shared" ca="1" si="0"/>
        <v>2093.8840183542957</v>
      </c>
      <c r="M38" s="1046">
        <f ca="1">-HLOOKUP($C38,CF_Table,CF!$AB$36)</f>
        <v>312.5</v>
      </c>
      <c r="N38" s="892">
        <f ca="1">-HLOOKUP($C38,CF_Table,CF!$AB$37)</f>
        <v>110</v>
      </c>
      <c r="O38" s="892">
        <f ca="1">Tot_Equity*HLOOKUP($C38,CF_Table,CF!$AB$12)/CF!$Z$12</f>
        <v>4620.4267321951411</v>
      </c>
      <c r="P38" s="892">
        <f t="shared" ca="1" si="7"/>
        <v>693.06400982927119</v>
      </c>
      <c r="Q38" s="892">
        <f t="shared" ca="1" si="7"/>
        <v>341.35988543829779</v>
      </c>
      <c r="R38" s="1047">
        <f ca="1">-'US$ Table'!K38</f>
        <v>-4485.9841951882563</v>
      </c>
      <c r="S38" s="1049">
        <f t="shared" ca="1" si="2"/>
        <v>1591.3664322744544</v>
      </c>
      <c r="U38" s="1104">
        <f t="shared" ca="1" si="3"/>
        <v>3685.2504506287501</v>
      </c>
      <c r="V38" s="187">
        <f t="shared" ca="1" si="4"/>
        <v>3924.7917299196188</v>
      </c>
      <c r="W38" s="187">
        <f t="shared" ca="1" si="5"/>
        <v>4031.629922875828</v>
      </c>
      <c r="X38" s="1050">
        <f>'US$ Table'!AC38</f>
        <v>8</v>
      </c>
      <c r="Y38" s="1051">
        <f ca="1">'US$ Table'!AD38</f>
        <v>12</v>
      </c>
      <c r="Z38" s="187">
        <f t="shared" ca="1" si="6"/>
        <v>2687.7532819172188</v>
      </c>
      <c r="AA38" s="901">
        <f>'US$ Table'!AF38</f>
        <v>480</v>
      </c>
      <c r="AB38" s="893"/>
    </row>
    <row r="39" spans="2:28">
      <c r="B39" s="678">
        <f>'US$ Table'!B39</f>
        <v>16</v>
      </c>
      <c r="C39" s="399">
        <f>'US$ Table'!C39</f>
        <v>2015</v>
      </c>
      <c r="E39" s="1046">
        <f ca="1">VLOOKUP($C39,OM_Table_R,'R$ Table'!E$78)</f>
        <v>660.62171013733348</v>
      </c>
      <c r="F39" s="892">
        <f ca="1">VLOOKUP($C39,OM_Table_R,'R$ Table'!F$78)</f>
        <v>272.3797524254847</v>
      </c>
      <c r="G39" s="892">
        <f ca="1">VLOOKUP($C39,OM_Table_R,'R$ Table'!G$78)</f>
        <v>327.07915668771551</v>
      </c>
      <c r="H39" s="892">
        <f ca="1">VLOOKUP($C39,OM_Table_R,'R$ Table'!H$78)</f>
        <v>126.28206594547375</v>
      </c>
      <c r="I39" s="892">
        <f ca="1">VLOOKUP($C39,OM_Table_R,'R$ Table'!I$78)</f>
        <v>428.07910402800434</v>
      </c>
      <c r="J39" s="1047">
        <f ca="1">VLOOKUP($C39,OM_Table_R,'R$ Table'!J$78)</f>
        <v>243.051947368421</v>
      </c>
      <c r="K39" s="1049">
        <f t="shared" ca="1" si="0"/>
        <v>2057.4937365924329</v>
      </c>
      <c r="M39" s="1046">
        <f ca="1">-HLOOKUP($C39,CF_Table,CF!$AB$36)</f>
        <v>312.5</v>
      </c>
      <c r="N39" s="892">
        <f ca="1">-HLOOKUP($C39,CF_Table,CF!$AB$37)</f>
        <v>110</v>
      </c>
      <c r="O39" s="892">
        <f ca="1">Tot_Equity*HLOOKUP($C39,CF_Table,CF!$AB$12)/CF!$Z$12</f>
        <v>4620.4267321951411</v>
      </c>
      <c r="P39" s="892">
        <f t="shared" ca="1" si="7"/>
        <v>693.06400982927119</v>
      </c>
      <c r="Q39" s="892">
        <f t="shared" ca="1" si="7"/>
        <v>341.35988543829779</v>
      </c>
      <c r="R39" s="1047">
        <f ca="1">-'US$ Table'!K39</f>
        <v>-3898.5689524830232</v>
      </c>
      <c r="S39" s="1049">
        <f t="shared" ca="1" si="2"/>
        <v>2178.7816749796875</v>
      </c>
      <c r="U39" s="1104">
        <f t="shared" ca="1" si="3"/>
        <v>4236.27541157212</v>
      </c>
      <c r="V39" s="187">
        <f t="shared" ca="1" si="4"/>
        <v>4511.6333133243079</v>
      </c>
      <c r="W39" s="187">
        <f t="shared" ca="1" si="5"/>
        <v>4634.446135926356</v>
      </c>
      <c r="X39" s="1050">
        <f>'US$ Table'!AC39</f>
        <v>4</v>
      </c>
      <c r="Y39" s="1051">
        <f ca="1">'US$ Table'!AD39</f>
        <v>12</v>
      </c>
      <c r="Z39" s="187">
        <f t="shared" ca="1" si="6"/>
        <v>1544.8153786421187</v>
      </c>
      <c r="AA39" s="901">
        <f>'US$ Table'!AF39</f>
        <v>480</v>
      </c>
      <c r="AB39" s="893">
        <f ca="1">SUM(Z38:Z39)/AA39/SUM(X38:X39)*1000</f>
        <v>734.82094801377389</v>
      </c>
    </row>
    <row r="40" spans="2:28">
      <c r="B40" s="678">
        <f>'US$ Table'!B40</f>
        <v>17</v>
      </c>
      <c r="C40" s="399">
        <f>'US$ Table'!C40</f>
        <v>2015</v>
      </c>
      <c r="E40" s="1046">
        <f ca="1">VLOOKUP($C40,OM_Table_R,'R$ Table'!E$78)</f>
        <v>660.62171013733348</v>
      </c>
      <c r="F40" s="892">
        <f ca="1">VLOOKUP($C40,OM_Table_R,'R$ Table'!F$78)</f>
        <v>272.3797524254847</v>
      </c>
      <c r="G40" s="892">
        <f ca="1">VLOOKUP($C40,OM_Table_R,'R$ Table'!G$78)</f>
        <v>327.07915668771551</v>
      </c>
      <c r="H40" s="892">
        <f ca="1">VLOOKUP($C40,OM_Table_R,'R$ Table'!H$78)</f>
        <v>126.28206594547375</v>
      </c>
      <c r="I40" s="892">
        <f ca="1">VLOOKUP($C40,OM_Table_R,'R$ Table'!I$78)</f>
        <v>428.07910402800434</v>
      </c>
      <c r="J40" s="1047">
        <f ca="1">VLOOKUP($C40,OM_Table_R,'R$ Table'!J$78)</f>
        <v>243.051947368421</v>
      </c>
      <c r="K40" s="1049">
        <f t="shared" ca="1" si="0"/>
        <v>2057.4937365924329</v>
      </c>
      <c r="M40" s="1046">
        <f ca="1">-HLOOKUP($C40,CF_Table,CF!$AB$36)</f>
        <v>312.5</v>
      </c>
      <c r="N40" s="892">
        <f ca="1">-HLOOKUP($C40,CF_Table,CF!$AB$37)</f>
        <v>110</v>
      </c>
      <c r="O40" s="892">
        <f ca="1">Tot_Equity*HLOOKUP($C40,CF_Table,CF!$AB$12)/CF!$Z$12</f>
        <v>4620.4267321951411</v>
      </c>
      <c r="P40" s="892">
        <f t="shared" ca="1" si="7"/>
        <v>693.06400982927119</v>
      </c>
      <c r="Q40" s="892">
        <f t="shared" ca="1" si="7"/>
        <v>341.35988543829779</v>
      </c>
      <c r="R40" s="1047">
        <f ca="1">-'US$ Table'!K40</f>
        <v>-3898.5689524830232</v>
      </c>
      <c r="S40" s="1049">
        <f t="shared" ca="1" si="2"/>
        <v>2178.7816749796875</v>
      </c>
      <c r="U40" s="1104">
        <f t="shared" ca="1" si="3"/>
        <v>4236.27541157212</v>
      </c>
      <c r="V40" s="187">
        <f t="shared" ca="1" si="4"/>
        <v>4511.6333133243079</v>
      </c>
      <c r="W40" s="187">
        <f t="shared" ca="1" si="5"/>
        <v>4634.446135926356</v>
      </c>
      <c r="X40" s="1050">
        <f>'US$ Table'!AC40</f>
        <v>8</v>
      </c>
      <c r="Y40" s="1051">
        <f ca="1">'US$ Table'!AD40</f>
        <v>12</v>
      </c>
      <c r="Z40" s="187">
        <f t="shared" ca="1" si="6"/>
        <v>3089.6307572842375</v>
      </c>
      <c r="AA40" s="901">
        <f>'US$ Table'!AF40</f>
        <v>480</v>
      </c>
      <c r="AB40" s="893"/>
    </row>
    <row r="41" spans="2:28">
      <c r="B41" s="678">
        <f>'US$ Table'!B41</f>
        <v>17</v>
      </c>
      <c r="C41" s="399">
        <f>'US$ Table'!C41</f>
        <v>2016</v>
      </c>
      <c r="E41" s="1046">
        <f ca="1">VLOOKUP($C41,OM_Table_R,'R$ Table'!E$78)</f>
        <v>647.67950284407982</v>
      </c>
      <c r="F41" s="892">
        <f ca="1">VLOOKUP($C41,OM_Table_R,'R$ Table'!F$78)</f>
        <v>267.04357414935322</v>
      </c>
      <c r="G41" s="892">
        <f ca="1">VLOOKUP($C41,OM_Table_R,'R$ Table'!G$78)</f>
        <v>320.67136508444685</v>
      </c>
      <c r="H41" s="892">
        <f ca="1">VLOOKUP($C41,OM_Table_R,'R$ Table'!H$78)</f>
        <v>123.80808022897816</v>
      </c>
      <c r="I41" s="892">
        <f ca="1">VLOOKUP($C41,OM_Table_R,'R$ Table'!I$78)</f>
        <v>419.69262744507614</v>
      </c>
      <c r="J41" s="1047">
        <f ca="1">VLOOKUP($C41,OM_Table_R,'R$ Table'!J$78)</f>
        <v>243.051947368421</v>
      </c>
      <c r="K41" s="1049">
        <f t="shared" ca="1" si="0"/>
        <v>2021.9470971203552</v>
      </c>
      <c r="M41" s="1046">
        <f ca="1">-HLOOKUP($C41,CF_Table,CF!$AB$36)</f>
        <v>312.5</v>
      </c>
      <c r="N41" s="892">
        <f ca="1">-HLOOKUP($C41,CF_Table,CF!$AB$37)</f>
        <v>110</v>
      </c>
      <c r="O41" s="892">
        <f ca="1">Tot_Equity*HLOOKUP($C41,CF_Table,CF!$AB$12)/CF!$Z$12</f>
        <v>4620.4267321951411</v>
      </c>
      <c r="P41" s="892">
        <f t="shared" ca="1" si="7"/>
        <v>693.06400982927119</v>
      </c>
      <c r="Q41" s="892">
        <f t="shared" ca="1" si="7"/>
        <v>341.35988543829779</v>
      </c>
      <c r="R41" s="1047">
        <f ca="1">-'US$ Table'!K41</f>
        <v>0</v>
      </c>
      <c r="S41" s="1049">
        <f t="shared" ca="1" si="2"/>
        <v>6077.3506274627107</v>
      </c>
      <c r="U41" s="1104">
        <f t="shared" ca="1" si="3"/>
        <v>8099.2977245830662</v>
      </c>
      <c r="V41" s="187">
        <f t="shared" ca="1" si="4"/>
        <v>8625.7520766809648</v>
      </c>
      <c r="W41" s="187">
        <f t="shared" ca="1" si="5"/>
        <v>8860.5568327488072</v>
      </c>
      <c r="X41" s="1050">
        <f>'US$ Table'!AC41</f>
        <v>4</v>
      </c>
      <c r="Y41" s="1051">
        <f ca="1">'US$ Table'!AD41</f>
        <v>12</v>
      </c>
      <c r="Z41" s="187">
        <f t="shared" ca="1" si="6"/>
        <v>2953.5189442496026</v>
      </c>
      <c r="AA41" s="901">
        <f>'US$ Table'!AF41</f>
        <v>480</v>
      </c>
      <c r="AB41" s="893">
        <f ca="1">SUM(Z40:Z41)/AA41/SUM(X40:X41)*1000</f>
        <v>1049.1579342940695</v>
      </c>
    </row>
    <row r="42" spans="2:28">
      <c r="B42" s="678">
        <f>'US$ Table'!B42</f>
        <v>18</v>
      </c>
      <c r="C42" s="399">
        <f>'US$ Table'!C42</f>
        <v>2016</v>
      </c>
      <c r="E42" s="1046">
        <f ca="1">VLOOKUP($C42,OM_Table_R,'R$ Table'!E$78)</f>
        <v>647.67950284407982</v>
      </c>
      <c r="F42" s="892">
        <f ca="1">VLOOKUP($C42,OM_Table_R,'R$ Table'!F$78)</f>
        <v>267.04357414935322</v>
      </c>
      <c r="G42" s="892">
        <f ca="1">VLOOKUP($C42,OM_Table_R,'R$ Table'!G$78)</f>
        <v>320.67136508444685</v>
      </c>
      <c r="H42" s="892">
        <f ca="1">VLOOKUP($C42,OM_Table_R,'R$ Table'!H$78)</f>
        <v>123.80808022897816</v>
      </c>
      <c r="I42" s="892">
        <f ca="1">VLOOKUP($C42,OM_Table_R,'R$ Table'!I$78)</f>
        <v>419.69262744507614</v>
      </c>
      <c r="J42" s="1047">
        <f ca="1">VLOOKUP($C42,OM_Table_R,'R$ Table'!J$78)</f>
        <v>243.051947368421</v>
      </c>
      <c r="K42" s="1049">
        <f t="shared" ca="1" si="0"/>
        <v>2021.9470971203552</v>
      </c>
      <c r="M42" s="1046">
        <f ca="1">-HLOOKUP($C42,CF_Table,CF!$AB$36)</f>
        <v>312.5</v>
      </c>
      <c r="N42" s="892">
        <f ca="1">-HLOOKUP($C42,CF_Table,CF!$AB$37)</f>
        <v>110</v>
      </c>
      <c r="O42" s="892">
        <f ca="1">Tot_Equity*HLOOKUP($C42,CF_Table,CF!$AB$12)/CF!$Z$12</f>
        <v>4620.4267321951411</v>
      </c>
      <c r="P42" s="892">
        <f t="shared" ca="1" si="7"/>
        <v>693.06400982927119</v>
      </c>
      <c r="Q42" s="892">
        <f t="shared" ca="1" si="7"/>
        <v>341.35988543829779</v>
      </c>
      <c r="R42" s="1047">
        <f ca="1">-'US$ Table'!K42</f>
        <v>0</v>
      </c>
      <c r="S42" s="1049">
        <f t="shared" ca="1" si="2"/>
        <v>6077.3506274627107</v>
      </c>
      <c r="U42" s="1104">
        <f t="shared" ca="1" si="3"/>
        <v>8099.2977245830662</v>
      </c>
      <c r="V42" s="187">
        <f t="shared" ca="1" si="4"/>
        <v>8625.7520766809648</v>
      </c>
      <c r="W42" s="187">
        <f t="shared" ca="1" si="5"/>
        <v>8860.5568327488072</v>
      </c>
      <c r="X42" s="1050">
        <f>'US$ Table'!AC42</f>
        <v>8</v>
      </c>
      <c r="Y42" s="1051">
        <f ca="1">'US$ Table'!AD42</f>
        <v>12</v>
      </c>
      <c r="Z42" s="187">
        <f t="shared" ca="1" si="6"/>
        <v>5907.0378884992051</v>
      </c>
      <c r="AA42" s="901">
        <f>'US$ Table'!AF42</f>
        <v>480</v>
      </c>
      <c r="AB42" s="893"/>
    </row>
    <row r="43" spans="2:28">
      <c r="B43" s="678">
        <f>'US$ Table'!B43</f>
        <v>18</v>
      </c>
      <c r="C43" s="399">
        <f>'US$ Table'!C43</f>
        <v>2017</v>
      </c>
      <c r="E43" s="1046">
        <f ca="1">VLOOKUP($C43,OM_Table_R,'R$ Table'!E$78)</f>
        <v>634.98507839858257</v>
      </c>
      <c r="F43" s="892">
        <f ca="1">VLOOKUP($C43,OM_Table_R,'R$ Table'!F$78)</f>
        <v>261.80955877476043</v>
      </c>
      <c r="G43" s="892">
        <f ca="1">VLOOKUP($C43,OM_Table_R,'R$ Table'!G$78)</f>
        <v>314.38625277500427</v>
      </c>
      <c r="H43" s="892">
        <f ca="1">VLOOKUP($C43,OM_Table_R,'R$ Table'!H$78)</f>
        <v>121.38145978891897</v>
      </c>
      <c r="I43" s="892">
        <f ca="1">VLOOKUP($C43,OM_Table_R,'R$ Table'!I$78)</f>
        <v>411.46671273565801</v>
      </c>
      <c r="J43" s="1047">
        <f ca="1">VLOOKUP($C43,OM_Table_R,'R$ Table'!J$78)</f>
        <v>243.051947368421</v>
      </c>
      <c r="K43" s="1049">
        <f t="shared" ca="1" si="0"/>
        <v>1987.0810098413456</v>
      </c>
      <c r="M43" s="1046">
        <f ca="1">-HLOOKUP($C43,CF_Table,CF!$AB$36)</f>
        <v>312.5</v>
      </c>
      <c r="N43" s="892">
        <f ca="1">-HLOOKUP($C43,CF_Table,CF!$AB$37)</f>
        <v>110</v>
      </c>
      <c r="O43" s="892">
        <f ca="1">Tot_Equity*HLOOKUP($C43,CF_Table,CF!$AB$12)/CF!$Z$12</f>
        <v>4620.4267321951411</v>
      </c>
      <c r="P43" s="892">
        <f t="shared" ca="1" si="7"/>
        <v>693.06400982927119</v>
      </c>
      <c r="Q43" s="892">
        <f t="shared" ca="1" si="7"/>
        <v>341.35988543829779</v>
      </c>
      <c r="R43" s="1047">
        <f ca="1">-'US$ Table'!K43</f>
        <v>0</v>
      </c>
      <c r="S43" s="1049">
        <f t="shared" ca="1" si="2"/>
        <v>6077.3506274627107</v>
      </c>
      <c r="U43" s="1104">
        <f t="shared" ca="1" si="3"/>
        <v>8064.4316373040565</v>
      </c>
      <c r="V43" s="187">
        <f t="shared" ca="1" si="4"/>
        <v>8588.6196937288205</v>
      </c>
      <c r="W43" s="187">
        <f t="shared" ca="1" si="5"/>
        <v>8822.4136556022804</v>
      </c>
      <c r="X43" s="1050">
        <f>'US$ Table'!AC43</f>
        <v>4</v>
      </c>
      <c r="Y43" s="1051">
        <f ca="1">'US$ Table'!AD43</f>
        <v>12</v>
      </c>
      <c r="Z43" s="187">
        <f t="shared" ca="1" si="6"/>
        <v>2940.8045518674267</v>
      </c>
      <c r="AA43" s="901">
        <f>'US$ Table'!AF43</f>
        <v>480</v>
      </c>
      <c r="AB43" s="893">
        <f ca="1">SUM(Z42:Z43)/AA43/SUM(X42:X43)*1000</f>
        <v>1536.0837570080957</v>
      </c>
    </row>
    <row r="44" spans="2:28">
      <c r="B44" s="678">
        <f>'US$ Table'!B44</f>
        <v>19</v>
      </c>
      <c r="C44" s="399">
        <f>'US$ Table'!C44</f>
        <v>2017</v>
      </c>
      <c r="E44" s="1046">
        <f ca="1">VLOOKUP($C44,OM_Table_R,'R$ Table'!E$78)</f>
        <v>634.98507839858257</v>
      </c>
      <c r="F44" s="892">
        <f ca="1">VLOOKUP($C44,OM_Table_R,'R$ Table'!F$78)</f>
        <v>261.80955877476043</v>
      </c>
      <c r="G44" s="892">
        <f ca="1">VLOOKUP($C44,OM_Table_R,'R$ Table'!G$78)</f>
        <v>314.38625277500427</v>
      </c>
      <c r="H44" s="892">
        <f ca="1">VLOOKUP($C44,OM_Table_R,'R$ Table'!H$78)</f>
        <v>121.38145978891897</v>
      </c>
      <c r="I44" s="892">
        <f ca="1">VLOOKUP($C44,OM_Table_R,'R$ Table'!I$78)</f>
        <v>411.46671273565801</v>
      </c>
      <c r="J44" s="1047">
        <f ca="1">VLOOKUP($C44,OM_Table_R,'R$ Table'!J$78)</f>
        <v>243.051947368421</v>
      </c>
      <c r="K44" s="1049">
        <f t="shared" ca="1" si="0"/>
        <v>1987.0810098413456</v>
      </c>
      <c r="M44" s="1046">
        <f ca="1">-HLOOKUP($C44,CF_Table,CF!$AB$36)</f>
        <v>312.5</v>
      </c>
      <c r="N44" s="892">
        <f ca="1">-HLOOKUP($C44,CF_Table,CF!$AB$37)</f>
        <v>110</v>
      </c>
      <c r="O44" s="892">
        <f ca="1">Tot_Equity*HLOOKUP($C44,CF_Table,CF!$AB$12)/CF!$Z$12</f>
        <v>4620.4267321951411</v>
      </c>
      <c r="P44" s="892">
        <f t="shared" ca="1" si="7"/>
        <v>693.06400982927119</v>
      </c>
      <c r="Q44" s="892">
        <f t="shared" ca="1" si="7"/>
        <v>341.35988543829779</v>
      </c>
      <c r="R44" s="1047">
        <f ca="1">-'US$ Table'!K44</f>
        <v>0</v>
      </c>
      <c r="S44" s="1049">
        <f t="shared" ca="1" si="2"/>
        <v>6077.3506274627107</v>
      </c>
      <c r="U44" s="1104">
        <f t="shared" ca="1" si="3"/>
        <v>8064.4316373040565</v>
      </c>
      <c r="V44" s="187">
        <f t="shared" ca="1" si="4"/>
        <v>8588.6196937288205</v>
      </c>
      <c r="W44" s="187">
        <f t="shared" ca="1" si="5"/>
        <v>8822.4136556022804</v>
      </c>
      <c r="X44" s="1050">
        <f>'US$ Table'!AC44</f>
        <v>8</v>
      </c>
      <c r="Y44" s="1051">
        <f ca="1">'US$ Table'!AD44</f>
        <v>12</v>
      </c>
      <c r="Z44" s="187">
        <f t="shared" ca="1" si="6"/>
        <v>5881.6091037348533</v>
      </c>
      <c r="AA44" s="901">
        <f>'US$ Table'!AF44</f>
        <v>480</v>
      </c>
      <c r="AB44" s="893"/>
    </row>
    <row r="45" spans="2:28">
      <c r="B45" s="678">
        <f>'US$ Table'!B45</f>
        <v>19</v>
      </c>
      <c r="C45" s="399">
        <f>'US$ Table'!C45</f>
        <v>2018</v>
      </c>
      <c r="E45" s="1046">
        <f ca="1">VLOOKUP($C45,OM_Table_R,'R$ Table'!E$78)</f>
        <v>622.54626421676005</v>
      </c>
      <c r="F45" s="892">
        <f ca="1">VLOOKUP($C45,OM_Table_R,'R$ Table'!F$78)</f>
        <v>256.68093360952463</v>
      </c>
      <c r="G45" s="892">
        <f ca="1">VLOOKUP($C45,OM_Table_R,'R$ Table'!G$78)</f>
        <v>308.22769517637499</v>
      </c>
      <c r="H45" s="892">
        <f ca="1">VLOOKUP($C45,OM_Table_R,'R$ Table'!H$78)</f>
        <v>119.00370088592156</v>
      </c>
      <c r="I45" s="892">
        <f ca="1">VLOOKUP($C45,OM_Table_R,'R$ Table'!I$78)</f>
        <v>403.40643202066531</v>
      </c>
      <c r="J45" s="1047">
        <f ca="1">VLOOKUP($C45,OM_Table_R,'R$ Table'!J$78)</f>
        <v>64.458299999999994</v>
      </c>
      <c r="K45" s="1049">
        <f t="shared" ca="1" si="0"/>
        <v>1774.3233259092465</v>
      </c>
      <c r="M45" s="1046">
        <f ca="1">-HLOOKUP($C45,CF_Table,CF!$AB$36)</f>
        <v>312.5</v>
      </c>
      <c r="N45" s="892">
        <f ca="1">-HLOOKUP($C45,CF_Table,CF!$AB$37)</f>
        <v>110</v>
      </c>
      <c r="O45" s="892">
        <f ca="1">Tot_Equity*HLOOKUP($C45,CF_Table,CF!$AB$12)/CF!$Z$12</f>
        <v>4620.4267321951411</v>
      </c>
      <c r="P45" s="892">
        <f t="shared" ca="1" si="7"/>
        <v>693.06400982927119</v>
      </c>
      <c r="Q45" s="892">
        <f t="shared" ca="1" si="7"/>
        <v>341.35988543829779</v>
      </c>
      <c r="R45" s="1047">
        <f ca="1">-'US$ Table'!K45</f>
        <v>0</v>
      </c>
      <c r="S45" s="1049">
        <f t="shared" ca="1" si="2"/>
        <v>6077.3506274627107</v>
      </c>
      <c r="U45" s="1104">
        <f t="shared" ca="1" si="3"/>
        <v>7851.6739533719574</v>
      </c>
      <c r="V45" s="187">
        <f t="shared" ca="1" si="4"/>
        <v>8362.0327603411333</v>
      </c>
      <c r="W45" s="187">
        <f t="shared" ca="1" si="5"/>
        <v>8589.6587163237109</v>
      </c>
      <c r="X45" s="1050">
        <f>'US$ Table'!AC45</f>
        <v>4</v>
      </c>
      <c r="Y45" s="1051">
        <f ca="1">'US$ Table'!AD45</f>
        <v>12</v>
      </c>
      <c r="Z45" s="187">
        <f t="shared" ca="1" si="6"/>
        <v>2863.2195721079038</v>
      </c>
      <c r="AA45" s="901">
        <f>'US$ Table'!AF45</f>
        <v>480</v>
      </c>
      <c r="AB45" s="893">
        <f ca="1">SUM(Z44:Z45)/AA45/SUM(X44:X45)*1000</f>
        <v>1518.1994228893673</v>
      </c>
    </row>
    <row r="46" spans="2:28">
      <c r="B46" s="678">
        <f>'US$ Table'!B46</f>
        <v>20</v>
      </c>
      <c r="C46" s="399">
        <f>'US$ Table'!C46</f>
        <v>2018</v>
      </c>
      <c r="E46" s="1046">
        <f ca="1">VLOOKUP($C46,OM_Table_R,'R$ Table'!E$78)</f>
        <v>622.54626421676005</v>
      </c>
      <c r="F46" s="892">
        <f ca="1">VLOOKUP($C46,OM_Table_R,'R$ Table'!F$78)</f>
        <v>256.68093360952463</v>
      </c>
      <c r="G46" s="892">
        <f ca="1">VLOOKUP($C46,OM_Table_R,'R$ Table'!G$78)</f>
        <v>308.22769517637499</v>
      </c>
      <c r="H46" s="892">
        <f ca="1">VLOOKUP($C46,OM_Table_R,'R$ Table'!H$78)</f>
        <v>119.00370088592156</v>
      </c>
      <c r="I46" s="892">
        <f ca="1">VLOOKUP($C46,OM_Table_R,'R$ Table'!I$78)</f>
        <v>403.40643202066531</v>
      </c>
      <c r="J46" s="1047">
        <f ca="1">VLOOKUP($C46,OM_Table_R,'R$ Table'!J$78)</f>
        <v>64.458299999999994</v>
      </c>
      <c r="K46" s="1049">
        <f t="shared" ca="1" si="0"/>
        <v>1774.3233259092465</v>
      </c>
      <c r="M46" s="1046">
        <f ca="1">-HLOOKUP($C46,CF_Table,CF!$AB$36)</f>
        <v>312.5</v>
      </c>
      <c r="N46" s="892">
        <f ca="1">-HLOOKUP($C46,CF_Table,CF!$AB$37)</f>
        <v>110</v>
      </c>
      <c r="O46" s="892">
        <f ca="1">Tot_Equity*HLOOKUP($C46,CF_Table,CF!$AB$12)/CF!$Z$12</f>
        <v>4620.4267321951411</v>
      </c>
      <c r="P46" s="892">
        <f t="shared" ca="1" si="7"/>
        <v>693.06400982927119</v>
      </c>
      <c r="Q46" s="892">
        <f t="shared" ca="1" si="7"/>
        <v>341.35988543829779</v>
      </c>
      <c r="R46" s="1047">
        <f ca="1">-'US$ Table'!K46</f>
        <v>0</v>
      </c>
      <c r="S46" s="1049">
        <f t="shared" ca="1" si="2"/>
        <v>6077.3506274627107</v>
      </c>
      <c r="U46" s="1104">
        <f t="shared" ca="1" si="3"/>
        <v>7851.6739533719574</v>
      </c>
      <c r="V46" s="187">
        <f t="shared" ca="1" si="4"/>
        <v>8362.0327603411333</v>
      </c>
      <c r="W46" s="187">
        <f t="shared" ca="1" si="5"/>
        <v>8589.6587163237109</v>
      </c>
      <c r="X46" s="1050">
        <f>'US$ Table'!AC46</f>
        <v>8</v>
      </c>
      <c r="Y46" s="1051">
        <f ca="1">'US$ Table'!AD46</f>
        <v>12</v>
      </c>
      <c r="Z46" s="187">
        <f t="shared" ca="1" si="6"/>
        <v>5726.4391442158076</v>
      </c>
      <c r="AA46" s="901">
        <f>'US$ Table'!AF46</f>
        <v>480</v>
      </c>
      <c r="AB46" s="893"/>
    </row>
    <row r="47" spans="2:28">
      <c r="B47" s="678">
        <f>'US$ Table'!B47</f>
        <v>20</v>
      </c>
      <c r="C47" s="399">
        <f>'US$ Table'!C47</f>
        <v>2019</v>
      </c>
      <c r="E47" s="1046">
        <f ca="1">VLOOKUP($C47,OM_Table_R,'R$ Table'!E$78)</f>
        <v>203.45141298302624</v>
      </c>
      <c r="F47" s="892">
        <f ca="1">VLOOKUP($C47,OM_Table_R,'R$ Table'!F$78)</f>
        <v>83.884687179613849</v>
      </c>
      <c r="G47" s="892">
        <f ca="1">VLOOKUP($C47,OM_Table_R,'R$ Table'!G$78)</f>
        <v>100.73044158899759</v>
      </c>
      <c r="H47" s="892">
        <f ca="1">VLOOKUP($C47,OM_Table_R,'R$ Table'!H$78)</f>
        <v>38.891039087530586</v>
      </c>
      <c r="I47" s="892">
        <f ca="1">VLOOKUP($C47,OM_Table_R,'R$ Table'!I$78)</f>
        <v>131.83535637195448</v>
      </c>
      <c r="J47" s="1047">
        <f ca="1">VLOOKUP($C47,OM_Table_R,'R$ Table'!J$78)</f>
        <v>64.458299999999994</v>
      </c>
      <c r="K47" s="1049">
        <f t="shared" ca="1" si="0"/>
        <v>623.25123721112277</v>
      </c>
      <c r="M47" s="1046">
        <f ca="1">-HLOOKUP($C47,CF_Table,CF!$AB$36)</f>
        <v>104.16666666666667</v>
      </c>
      <c r="N47" s="892">
        <f ca="1">-HLOOKUP($C47,CF_Table,CF!$AB$37)</f>
        <v>36.666666666666664</v>
      </c>
      <c r="O47" s="892">
        <f ca="1">Tot_Equity*HLOOKUP($C47,CF_Table,CF!$AB$12)/CF!$Z$12</f>
        <v>1540.1422440650472</v>
      </c>
      <c r="P47" s="892">
        <f t="shared" ca="1" si="7"/>
        <v>231.02133660975707</v>
      </c>
      <c r="Q47" s="892">
        <f t="shared" ca="1" si="7"/>
        <v>113.78662847943261</v>
      </c>
      <c r="R47" s="1047">
        <f ca="1">-'US$ Table'!K47</f>
        <v>0</v>
      </c>
      <c r="S47" s="1049">
        <f t="shared" ca="1" si="2"/>
        <v>2025.7835424875702</v>
      </c>
      <c r="U47" s="1104">
        <f t="shared" ca="1" si="3"/>
        <v>2649.034779698693</v>
      </c>
      <c r="V47" s="187">
        <f t="shared" ca="1" si="4"/>
        <v>2821.222040379108</v>
      </c>
      <c r="W47" s="187">
        <f t="shared" ca="1" si="5"/>
        <v>2898.0195586842401</v>
      </c>
      <c r="X47" s="1050">
        <f>'US$ Table'!AC47</f>
        <v>4</v>
      </c>
      <c r="Y47" s="1051">
        <f ca="1">'US$ Table'!AD47</f>
        <v>4</v>
      </c>
      <c r="Z47" s="187">
        <f t="shared" ca="1" si="6"/>
        <v>2898.0195586842401</v>
      </c>
      <c r="AA47" s="901">
        <f>'US$ Table'!AF47</f>
        <v>480</v>
      </c>
      <c r="AB47" s="893">
        <f ca="1">SUM(Z46:Z47)/AA47/SUM(X46:X47)*1000</f>
        <v>1497.3018581423692</v>
      </c>
    </row>
    <row r="48" spans="2:28" ht="13.5" thickBot="1">
      <c r="B48" s="678"/>
      <c r="C48" s="399"/>
      <c r="E48" s="1046"/>
      <c r="F48" s="892"/>
      <c r="G48" s="892"/>
      <c r="H48" s="892"/>
      <c r="I48" s="892"/>
      <c r="J48" s="1047"/>
      <c r="K48" s="1049"/>
      <c r="M48" s="1046"/>
      <c r="N48" s="892"/>
      <c r="O48" s="892"/>
      <c r="P48" s="892"/>
      <c r="Q48" s="892"/>
      <c r="R48" s="1047"/>
      <c r="S48" s="1049"/>
      <c r="U48" s="1104"/>
      <c r="V48" s="187"/>
      <c r="W48" s="187"/>
      <c r="X48" s="1050"/>
      <c r="Y48" s="1051"/>
      <c r="Z48" s="187"/>
      <c r="AA48" s="901"/>
      <c r="AB48" s="893"/>
    </row>
    <row r="49" spans="2:28" ht="13.5" thickBot="1">
      <c r="B49" s="1055" t="s">
        <v>426</v>
      </c>
      <c r="C49" s="1056"/>
      <c r="E49" s="1057">
        <f t="shared" ref="E49:K49" ca="1" si="8">E9+SUM(E10:E11,E13:E46)/2+E12+E47</f>
        <v>16401.030841648262</v>
      </c>
      <c r="F49" s="1061">
        <f t="shared" ca="1" si="8"/>
        <v>6677.6348897862772</v>
      </c>
      <c r="G49" s="1061">
        <f t="shared" ca="1" si="8"/>
        <v>8063.4085328407618</v>
      </c>
      <c r="H49" s="1061">
        <f t="shared" ca="1" si="8"/>
        <v>2881.6118798510861</v>
      </c>
      <c r="I49" s="1061">
        <f t="shared" ca="1" si="8"/>
        <v>9815.1582485638337</v>
      </c>
      <c r="J49" s="1058">
        <f t="shared" ca="1" si="8"/>
        <v>4746.903599999996</v>
      </c>
      <c r="K49" s="1060">
        <f t="shared" ca="1" si="8"/>
        <v>48585.747992690231</v>
      </c>
      <c r="M49" s="1057">
        <f t="shared" ref="M49:S49" ca="1" si="9">M9+SUM(M10:M11,M13:M46)/2+M12+M47</f>
        <v>22776.383461993013</v>
      </c>
      <c r="N49" s="1061">
        <f t="shared" ca="1" si="9"/>
        <v>2209.1666666666665</v>
      </c>
      <c r="O49" s="1061">
        <f t="shared" ca="1" si="9"/>
        <v>92793.570204919015</v>
      </c>
      <c r="P49" s="1061">
        <f t="shared" ca="1" si="9"/>
        <v>13919.035530737869</v>
      </c>
      <c r="Q49" s="1061">
        <f t="shared" ca="1" si="9"/>
        <v>6855.644365885817</v>
      </c>
      <c r="R49" s="1058">
        <f t="shared" ca="1" si="9"/>
        <v>-93563.635968092611</v>
      </c>
      <c r="S49" s="1060">
        <f t="shared" ca="1" si="9"/>
        <v>44990.164262109844</v>
      </c>
      <c r="U49" s="1057">
        <f ca="1">U9+SUM(U10:U11,U13:U46)/2+U12+U47</f>
        <v>93575.91225480006</v>
      </c>
      <c r="V49" s="1061">
        <f ca="1">V9+SUM(V10:V11,V13:V46)/2+V12+V47</f>
        <v>99658.346551362032</v>
      </c>
      <c r="W49" s="1061">
        <f ca="1">W9+SUM(W10:W11,W13:W46)/2+W12+W47</f>
        <v>102371.18289816339</v>
      </c>
      <c r="X49" s="1063"/>
      <c r="Y49" s="1064"/>
      <c r="Z49" s="685">
        <f ca="1">SUM(Z9:Z48)</f>
        <v>102371.18289816339</v>
      </c>
      <c r="AA49" s="812"/>
      <c r="AB49" s="1056"/>
    </row>
    <row r="50" spans="2:28">
      <c r="B50" s="357">
        <v>1</v>
      </c>
      <c r="C50" s="357">
        <f t="shared" ref="C50:AB50" si="10">B50+1</f>
        <v>2</v>
      </c>
      <c r="D50" s="357">
        <f t="shared" si="10"/>
        <v>3</v>
      </c>
      <c r="E50" s="357">
        <f t="shared" si="10"/>
        <v>4</v>
      </c>
      <c r="F50" s="357">
        <f t="shared" si="10"/>
        <v>5</v>
      </c>
      <c r="G50" s="357">
        <f t="shared" si="10"/>
        <v>6</v>
      </c>
      <c r="H50" s="357">
        <f t="shared" si="10"/>
        <v>7</v>
      </c>
      <c r="I50" s="357">
        <f t="shared" si="10"/>
        <v>8</v>
      </c>
      <c r="J50" s="357">
        <f t="shared" si="10"/>
        <v>9</v>
      </c>
      <c r="K50" s="357">
        <f t="shared" si="10"/>
        <v>10</v>
      </c>
      <c r="L50" s="357">
        <f t="shared" si="10"/>
        <v>11</v>
      </c>
      <c r="M50" s="357">
        <f t="shared" si="10"/>
        <v>12</v>
      </c>
      <c r="N50" s="357">
        <f t="shared" si="10"/>
        <v>13</v>
      </c>
      <c r="O50" s="357">
        <f t="shared" si="10"/>
        <v>14</v>
      </c>
      <c r="P50" s="357">
        <f t="shared" si="10"/>
        <v>15</v>
      </c>
      <c r="Q50" s="357">
        <f t="shared" si="10"/>
        <v>16</v>
      </c>
      <c r="R50" s="357">
        <f t="shared" si="10"/>
        <v>17</v>
      </c>
      <c r="S50" s="357">
        <f t="shared" si="10"/>
        <v>18</v>
      </c>
      <c r="T50" s="357">
        <f t="shared" si="10"/>
        <v>19</v>
      </c>
      <c r="U50" s="357">
        <f t="shared" si="10"/>
        <v>20</v>
      </c>
      <c r="V50" s="357">
        <f t="shared" si="10"/>
        <v>21</v>
      </c>
      <c r="W50" s="357">
        <f t="shared" si="10"/>
        <v>22</v>
      </c>
      <c r="X50" s="357">
        <f t="shared" si="10"/>
        <v>23</v>
      </c>
      <c r="Y50" s="357">
        <f t="shared" si="10"/>
        <v>24</v>
      </c>
      <c r="Z50" s="357">
        <f t="shared" si="10"/>
        <v>25</v>
      </c>
      <c r="AA50" s="357">
        <f t="shared" si="10"/>
        <v>26</v>
      </c>
      <c r="AB50" s="357">
        <f t="shared" si="10"/>
        <v>27</v>
      </c>
    </row>
    <row r="52" spans="2:28" ht="13.5" thickBot="1">
      <c r="C52" s="9" t="s">
        <v>1168</v>
      </c>
      <c r="Q52"/>
    </row>
    <row r="53" spans="2:28">
      <c r="C53" s="891" t="s">
        <v>403</v>
      </c>
      <c r="D53" s="406"/>
      <c r="E53" s="146" t="s">
        <v>1175</v>
      </c>
      <c r="F53" s="146" t="s">
        <v>1177</v>
      </c>
      <c r="G53" s="146" t="s">
        <v>1179</v>
      </c>
      <c r="H53" s="146" t="s">
        <v>1180</v>
      </c>
      <c r="I53" s="146" t="s">
        <v>1178</v>
      </c>
      <c r="J53" s="903" t="s">
        <v>1171</v>
      </c>
      <c r="K53" s="1035" t="s">
        <v>1408</v>
      </c>
      <c r="Q53"/>
    </row>
    <row r="54" spans="2:28">
      <c r="C54" s="541" t="s">
        <v>570</v>
      </c>
      <c r="D54" s="1"/>
      <c r="E54" s="167" t="s">
        <v>1176</v>
      </c>
      <c r="F54" s="167" t="s">
        <v>1781</v>
      </c>
      <c r="G54" s="167" t="s">
        <v>1174</v>
      </c>
      <c r="H54" s="1018" t="s">
        <v>1181</v>
      </c>
      <c r="I54" s="167" t="s">
        <v>1172</v>
      </c>
      <c r="J54" s="1044" t="s">
        <v>1172</v>
      </c>
      <c r="K54" s="180" t="s">
        <v>1781</v>
      </c>
      <c r="Q54"/>
    </row>
    <row r="55" spans="2:28">
      <c r="C55" s="1019">
        <f ca="1">YEAR(Startops1)</f>
        <v>1999</v>
      </c>
      <c r="D55" s="1"/>
      <c r="E55" s="892">
        <f ca="1">HLOOKUP($C55,Rev_Exp_Table,Rev_Exp!$AA$72)/HLOOKUP($C55,Rev_Exp_Table,Rev_Exp!$AA$26)</f>
        <v>1113.7211024247761</v>
      </c>
      <c r="F55" s="892">
        <f ca="1">HLOOKUP($C55,Rev_Exp_Table,Rev_Exp!$AA$73)/HLOOKUP($C55,Rev_Exp_Table,Rev_Exp!$AA$26)</f>
        <v>475.19251949056076</v>
      </c>
      <c r="G55" s="892">
        <f ca="1">HLOOKUP($C55,Rev_Exp_Table,Rev_Exp!$AA$74)/HLOOKUP($C55,Rev_Exp_Table,Rev_Exp!$AA$26)</f>
        <v>599.83738751315468</v>
      </c>
      <c r="H55" s="892">
        <f ca="1">HLOOKUP($C55,Rev_Exp_Table,Rev_Exp!$AA$75)/HLOOKUP($C55,Rev_Exp_Table,Rev_Exp!$AA$26)</f>
        <v>0</v>
      </c>
      <c r="I55" s="892">
        <f ca="1">HLOOKUP($C55,Rev_Exp_Table,Rev_Exp!$AA$76)/HLOOKUP($C55,Rev_Exp_Table,Rev_Exp!$AA$26)</f>
        <v>137.5566863898971</v>
      </c>
      <c r="J55" s="1047">
        <f>AVERAGE(Trapped!$G$79:$Y$79)</f>
        <v>243.051947368421</v>
      </c>
      <c r="K55" s="1049">
        <f t="shared" ref="K55:K75" ca="1" si="11">SUM(D55:J55)</f>
        <v>2569.35964318681</v>
      </c>
      <c r="Q55"/>
    </row>
    <row r="56" spans="2:28">
      <c r="C56" s="678">
        <f t="shared" ref="C56:C75" ca="1" si="12">C55+1</f>
        <v>2000</v>
      </c>
      <c r="D56" s="1"/>
      <c r="E56" s="892">
        <f ca="1">HLOOKUP($C56,Rev_Exp_Table,Rev_Exp!$AA$72)/HLOOKUP($C56,Rev_Exp_Table,Rev_Exp!$AA$26)</f>
        <v>931.42582006780572</v>
      </c>
      <c r="F56" s="892">
        <f ca="1">HLOOKUP($C56,Rev_Exp_Table,Rev_Exp!$AA$73)/HLOOKUP($C56,Rev_Exp_Table,Rev_Exp!$AA$26)</f>
        <v>397.41240530770773</v>
      </c>
      <c r="G56" s="892">
        <f ca="1">HLOOKUP($C56,Rev_Exp_Table,Rev_Exp!$AA$74)/HLOOKUP($C56,Rev_Exp_Table,Rev_Exp!$AA$26)</f>
        <v>501.65524326994313</v>
      </c>
      <c r="H56" s="892">
        <f ca="1">HLOOKUP($C56,Rev_Exp_Table,Rev_Exp!$AA$75)/HLOOKUP($C56,Rev_Exp_Table,Rev_Exp!$AA$26)</f>
        <v>0</v>
      </c>
      <c r="I56" s="892">
        <f ca="1">HLOOKUP($C56,Rev_Exp_Table,Rev_Exp!$AA$76)/HLOOKUP($C56,Rev_Exp_Table,Rev_Exp!$AA$26)</f>
        <v>115.0412335256741</v>
      </c>
      <c r="J56" s="1047">
        <f>AVERAGE(Trapped!$G$79:$Y$79)</f>
        <v>243.051947368421</v>
      </c>
      <c r="K56" s="1049">
        <f t="shared" ca="1" si="11"/>
        <v>2188.5866495395521</v>
      </c>
      <c r="Q56"/>
    </row>
    <row r="57" spans="2:28">
      <c r="C57" s="678">
        <f t="shared" ca="1" si="12"/>
        <v>2001</v>
      </c>
      <c r="D57" s="1"/>
      <c r="E57" s="892">
        <f ca="1">HLOOKUP($C57,Rev_Exp_Table,Rev_Exp!$AA$72)/HLOOKUP($C57,Rev_Exp_Table,Rev_Exp!$AA$26)</f>
        <v>1271.2961751004011</v>
      </c>
      <c r="F57" s="892">
        <f ca="1">HLOOKUP($C57,Rev_Exp_Table,Rev_Exp!$AA$73)/HLOOKUP($C57,Rev_Exp_Table,Rev_Exp!$AA$26)</f>
        <v>423.52495658485884</v>
      </c>
      <c r="G57" s="892">
        <f ca="1">HLOOKUP($C57,Rev_Exp_Table,Rev_Exp!$AA$74)/HLOOKUP($C57,Rev_Exp_Table,Rev_Exp!$AA$26)</f>
        <v>524.12936445736682</v>
      </c>
      <c r="H57" s="892">
        <f ca="1">HLOOKUP($C57,Rev_Exp_Table,Rev_Exp!$AA$75)/HLOOKUP($C57,Rev_Exp_Table,Rev_Exp!$AA$26)</f>
        <v>202.36122544965076</v>
      </c>
      <c r="I57" s="892">
        <f ca="1">HLOOKUP($C57,Rev_Exp_Table,Rev_Exp!$AA$76)/HLOOKUP($C57,Rev_Exp_Table,Rev_Exp!$AA$26)</f>
        <v>595.30463413797895</v>
      </c>
      <c r="J57" s="1047">
        <f>AVERAGE(Trapped!$G$79:$Y$79)</f>
        <v>243.051947368421</v>
      </c>
      <c r="K57" s="1049">
        <f t="shared" ca="1" si="11"/>
        <v>3259.6683030986769</v>
      </c>
      <c r="Q57"/>
    </row>
    <row r="58" spans="2:28">
      <c r="C58" s="678">
        <f t="shared" ca="1" si="12"/>
        <v>2002</v>
      </c>
      <c r="D58" s="1"/>
      <c r="E58" s="892">
        <f ca="1">HLOOKUP($C58,Rev_Exp_Table,Rev_Exp!$AA$72)/HLOOKUP($C58,Rev_Exp_Table,Rev_Exp!$AA$26)</f>
        <v>987.52665967448638</v>
      </c>
      <c r="F58" s="892">
        <f ca="1">HLOOKUP($C58,Rev_Exp_Table,Rev_Exp!$AA$73)/HLOOKUP($C58,Rev_Exp_Table,Rev_Exp!$AA$26)</f>
        <v>407.16534583730999</v>
      </c>
      <c r="G58" s="892">
        <f ca="1">HLOOKUP($C58,Rev_Exp_Table,Rev_Exp!$AA$74)/HLOOKUP($C58,Rev_Exp_Table,Rev_Exp!$AA$26)</f>
        <v>488.93244363074416</v>
      </c>
      <c r="H58" s="892">
        <f ca="1">HLOOKUP($C58,Rev_Exp_Table,Rev_Exp!$AA$75)/HLOOKUP($C58,Rev_Exp_Table,Rev_Exp!$AA$26)</f>
        <v>188.77203828799713</v>
      </c>
      <c r="I58" s="892">
        <f ca="1">HLOOKUP($C58,Rev_Exp_Table,Rev_Exp!$AA$76)/HLOOKUP($C58,Rev_Exp_Table,Rev_Exp!$AA$26)</f>
        <v>639.91164866401493</v>
      </c>
      <c r="J58" s="1047">
        <f>AVERAGE(Trapped!$G$79:$Y$79)</f>
        <v>243.051947368421</v>
      </c>
      <c r="K58" s="1049">
        <f t="shared" ca="1" si="11"/>
        <v>2955.3600834629733</v>
      </c>
      <c r="Q58"/>
    </row>
    <row r="59" spans="2:28">
      <c r="C59" s="678">
        <f t="shared" ca="1" si="12"/>
        <v>2003</v>
      </c>
      <c r="D59" s="1"/>
      <c r="E59" s="892">
        <f ca="1">HLOOKUP($C59,Rev_Exp_Table,Rev_Exp!$AA$72)/HLOOKUP($C59,Rev_Exp_Table,Rev_Exp!$AA$26)</f>
        <v>911.41230716143366</v>
      </c>
      <c r="F59" s="892">
        <f ca="1">HLOOKUP($C59,Rev_Exp_Table,Rev_Exp!$AA$73)/HLOOKUP($C59,Rev_Exp_Table,Rev_Exp!$AA$26)</f>
        <v>375.78277367021991</v>
      </c>
      <c r="G59" s="892">
        <f ca="1">HLOOKUP($C59,Rev_Exp_Table,Rev_Exp!$AA$74)/HLOOKUP($C59,Rev_Exp_Table,Rev_Exp!$AA$26)</f>
        <v>451.2476115252033</v>
      </c>
      <c r="H59" s="892">
        <f ca="1">HLOOKUP($C59,Rev_Exp_Table,Rev_Exp!$AA$75)/HLOOKUP($C59,Rev_Exp_Table,Rev_Exp!$AA$26)</f>
        <v>174.2222928952032</v>
      </c>
      <c r="I59" s="892">
        <f ca="1">HLOOKUP($C59,Rev_Exp_Table,Rev_Exp!$AA$76)/HLOOKUP($C59,Rev_Exp_Table,Rev_Exp!$AA$26)</f>
        <v>590.58998192574541</v>
      </c>
      <c r="J59" s="1047">
        <f>AVERAGE(Trapped!$G$79:$Y$79)</f>
        <v>243.051947368421</v>
      </c>
      <c r="K59" s="1049">
        <f t="shared" ca="1" si="11"/>
        <v>2746.3069145462259</v>
      </c>
      <c r="Q59"/>
    </row>
    <row r="60" spans="2:28">
      <c r="C60" s="678">
        <f t="shared" ca="1" si="12"/>
        <v>2004</v>
      </c>
      <c r="D60" s="1"/>
      <c r="E60" s="892">
        <f ca="1">HLOOKUP($C60,Rev_Exp_Table,Rev_Exp!$AA$72)/HLOOKUP($C60,Rev_Exp_Table,Rev_Exp!$AA$26)</f>
        <v>868.63893062510772</v>
      </c>
      <c r="F60" s="892">
        <f ca="1">HLOOKUP($C60,Rev_Exp_Table,Rev_Exp!$AA$73)/HLOOKUP($C60,Rev_Exp_Table,Rev_Exp!$AA$26)</f>
        <v>358.14695950821704</v>
      </c>
      <c r="G60" s="892">
        <f ca="1">HLOOKUP($C60,Rev_Exp_Table,Rev_Exp!$AA$74)/HLOOKUP($C60,Rev_Exp_Table,Rev_Exp!$AA$26)</f>
        <v>430.07016653436386</v>
      </c>
      <c r="H60" s="892">
        <f ca="1">HLOOKUP($C60,Rev_Exp_Table,Rev_Exp!$AA$75)/HLOOKUP($C60,Rev_Exp_Table,Rev_Exp!$AA$26)</f>
        <v>166.04588834539209</v>
      </c>
      <c r="I60" s="892">
        <f ca="1">HLOOKUP($C60,Rev_Exp_Table,Rev_Exp!$AA$76)/HLOOKUP($C60,Rev_Exp_Table,Rev_Exp!$AA$26)</f>
        <v>562.87307764762772</v>
      </c>
      <c r="J60" s="1047">
        <f>AVERAGE(Trapped!$G$79:$Y$79)</f>
        <v>243.051947368421</v>
      </c>
      <c r="K60" s="1049">
        <f t="shared" ca="1" si="11"/>
        <v>2628.8269700291294</v>
      </c>
      <c r="Q60"/>
    </row>
    <row r="61" spans="2:28">
      <c r="C61" s="678">
        <f t="shared" ca="1" si="12"/>
        <v>2005</v>
      </c>
      <c r="D61" s="1"/>
      <c r="E61" s="892">
        <f ca="1">HLOOKUP($C61,Rev_Exp_Table,Rev_Exp!$AA$72)/HLOOKUP($C61,Rev_Exp_Table,Rev_Exp!$AA$26)</f>
        <v>840.89492734696796</v>
      </c>
      <c r="F61" s="892">
        <f ca="1">HLOOKUP($C61,Rev_Exp_Table,Rev_Exp!$AA$73)/HLOOKUP($C61,Rev_Exp_Table,Rev_Exp!$AA$26)</f>
        <v>346.70787927783743</v>
      </c>
      <c r="G61" s="892">
        <f ca="1">HLOOKUP($C61,Rev_Exp_Table,Rev_Exp!$AA$74)/HLOOKUP($C61,Rev_Exp_Table,Rev_Exp!$AA$26)</f>
        <v>416.33388591248007</v>
      </c>
      <c r="H61" s="892">
        <f ca="1">HLOOKUP($C61,Rev_Exp_Table,Rev_Exp!$AA$75)/HLOOKUP($C61,Rev_Exp_Table,Rev_Exp!$AA$26)</f>
        <v>160.74244463804988</v>
      </c>
      <c r="I61" s="892">
        <f ca="1">HLOOKUP($C61,Rev_Exp_Table,Rev_Exp!$AA$76)/HLOOKUP($C61,Rev_Exp_Table,Rev_Exp!$AA$26)</f>
        <v>544.89512160530035</v>
      </c>
      <c r="J61" s="1047">
        <f>AVERAGE(Trapped!$G$79:$Y$79)</f>
        <v>243.051947368421</v>
      </c>
      <c r="K61" s="1049">
        <f t="shared" ca="1" si="11"/>
        <v>2552.626206149057</v>
      </c>
      <c r="Q61"/>
    </row>
    <row r="62" spans="2:28">
      <c r="C62" s="678">
        <f t="shared" ca="1" si="12"/>
        <v>2006</v>
      </c>
      <c r="D62" s="1"/>
      <c r="E62" s="892">
        <f ca="1">HLOOKUP($C62,Rev_Exp_Table,Rev_Exp!$AA$72)/HLOOKUP($C62,Rev_Exp_Table,Rev_Exp!$AA$26)</f>
        <v>816.5465097413969</v>
      </c>
      <c r="F62" s="892">
        <f ca="1">HLOOKUP($C62,Rev_Exp_Table,Rev_Exp!$AA$73)/HLOOKUP($C62,Rev_Exp_Table,Rev_Exp!$AA$26)</f>
        <v>336.66882688584286</v>
      </c>
      <c r="G62" s="892">
        <f ca="1">HLOOKUP($C62,Rev_Exp_Table,Rev_Exp!$AA$74)/HLOOKUP($C62,Rev_Exp_Table,Rev_Exp!$AA$26)</f>
        <v>404.27878724571821</v>
      </c>
      <c r="H62" s="892">
        <f ca="1">HLOOKUP($C62,Rev_Exp_Table,Rev_Exp!$AA$75)/HLOOKUP($C62,Rev_Exp_Table,Rev_Exp!$AA$26)</f>
        <v>156.08808885386674</v>
      </c>
      <c r="I62" s="892">
        <f ca="1">HLOOKUP($C62,Rev_Exp_Table,Rev_Exp!$AA$76)/HLOOKUP($C62,Rev_Exp_Table,Rev_Exp!$AA$26)</f>
        <v>529.11748573116938</v>
      </c>
      <c r="J62" s="1047">
        <f>AVERAGE(Trapped!$G$79:$Y$79)</f>
        <v>243.051947368421</v>
      </c>
      <c r="K62" s="1049">
        <f t="shared" ca="1" si="11"/>
        <v>2485.7516458264154</v>
      </c>
      <c r="Q62"/>
    </row>
    <row r="63" spans="2:28">
      <c r="C63" s="678">
        <f t="shared" ca="1" si="12"/>
        <v>2007</v>
      </c>
      <c r="D63" s="1"/>
      <c r="E63" s="892">
        <f ca="1">HLOOKUP($C63,Rev_Exp_Table,Rev_Exp!$AA$72)/HLOOKUP($C63,Rev_Exp_Table,Rev_Exp!$AA$26)</f>
        <v>794.14772977803341</v>
      </c>
      <c r="F63" s="892">
        <f ca="1">HLOOKUP($C63,Rev_Exp_Table,Rev_Exp!$AA$73)/HLOOKUP($C63,Rev_Exp_Table,Rev_Exp!$AA$26)</f>
        <v>327.43362609326584</v>
      </c>
      <c r="G63" s="892">
        <f ca="1">HLOOKUP($C63,Rev_Exp_Table,Rev_Exp!$AA$74)/HLOOKUP($C63,Rev_Exp_Table,Rev_Exp!$AA$26)</f>
        <v>393.18896995871501</v>
      </c>
      <c r="H63" s="892">
        <f ca="1">HLOOKUP($C63,Rev_Exp_Table,Rev_Exp!$AA$75)/HLOOKUP($C63,Rev_Exp_Table,Rev_Exp!$AA$26)</f>
        <v>151.80641877698778</v>
      </c>
      <c r="I63" s="892">
        <f ca="1">HLOOKUP($C63,Rev_Exp_Table,Rev_Exp!$AA$76)/HLOOKUP($C63,Rev_Exp_Table,Rev_Exp!$AA$26)</f>
        <v>514.60320394039422</v>
      </c>
      <c r="J63" s="1047">
        <f>AVERAGE(Trapped!$G$79:$Y$79)</f>
        <v>243.051947368421</v>
      </c>
      <c r="K63" s="1049">
        <f t="shared" ca="1" si="11"/>
        <v>2424.2318959158174</v>
      </c>
      <c r="Q63"/>
    </row>
    <row r="64" spans="2:28">
      <c r="C64" s="678">
        <f t="shared" ca="1" si="12"/>
        <v>2008</v>
      </c>
      <c r="D64" s="1"/>
      <c r="E64" s="892">
        <f ca="1">HLOOKUP($C64,Rev_Exp_Table,Rev_Exp!$AA$72)/HLOOKUP($C64,Rev_Exp_Table,Rev_Exp!$AA$26)</f>
        <v>772.85564155202667</v>
      </c>
      <c r="F64" s="892">
        <f ca="1">HLOOKUP($C64,Rev_Exp_Table,Rev_Exp!$AA$73)/HLOOKUP($C64,Rev_Exp_Table,Rev_Exp!$AA$26)</f>
        <v>318.65472338597266</v>
      </c>
      <c r="G64" s="892">
        <f ca="1">HLOOKUP($C64,Rev_Exp_Table,Rev_Exp!$AA$74)/HLOOKUP($C64,Rev_Exp_Table,Rev_Exp!$AA$26)</f>
        <v>382.64708470999227</v>
      </c>
      <c r="H64" s="892">
        <f ca="1">HLOOKUP($C64,Rev_Exp_Table,Rev_Exp!$AA$75)/HLOOKUP($C64,Rev_Exp_Table,Rev_Exp!$AA$26)</f>
        <v>147.7362999053048</v>
      </c>
      <c r="I64" s="892">
        <f ca="1">HLOOKUP($C64,Rev_Exp_Table,Rev_Exp!$AA$76)/HLOOKUP($C64,Rev_Exp_Table,Rev_Exp!$AA$26)</f>
        <v>500.80605208963317</v>
      </c>
      <c r="J64" s="1047">
        <f>AVERAGE(Trapped!$G$79:$Y$79)</f>
        <v>243.051947368421</v>
      </c>
      <c r="K64" s="1049">
        <f t="shared" ca="1" si="11"/>
        <v>2365.7517490113505</v>
      </c>
      <c r="Q64"/>
    </row>
    <row r="65" spans="3:17">
      <c r="C65" s="678">
        <f t="shared" ca="1" si="12"/>
        <v>2009</v>
      </c>
      <c r="D65" s="1"/>
      <c r="E65" s="892">
        <f ca="1">HLOOKUP($C65,Rev_Exp_Table,Rev_Exp!$AA$72)/HLOOKUP($C65,Rev_Exp_Table,Rev_Exp!$AA$26)</f>
        <v>753.00807599207053</v>
      </c>
      <c r="F65" s="892">
        <f ca="1">HLOOKUP($C65,Rev_Exp_Table,Rev_Exp!$AA$73)/HLOOKUP($C65,Rev_Exp_Table,Rev_Exp!$AA$26)</f>
        <v>310.47140922824451</v>
      </c>
      <c r="G65" s="892">
        <f ca="1">HLOOKUP($C65,Rev_Exp_Table,Rev_Exp!$AA$74)/HLOOKUP($C65,Rev_Exp_Table,Rev_Exp!$AA$26)</f>
        <v>372.82039432722382</v>
      </c>
      <c r="H65" s="892">
        <f ca="1">HLOOKUP($C65,Rev_Exp_Table,Rev_Exp!$AA$75)/HLOOKUP($C65,Rev_Exp_Table,Rev_Exp!$AA$26)</f>
        <v>143.9423107819706</v>
      </c>
      <c r="I65" s="892">
        <f ca="1">HLOOKUP($C65,Rev_Exp_Table,Rev_Exp!$AA$76)/HLOOKUP($C65,Rev_Exp_Table,Rev_Exp!$AA$26)</f>
        <v>487.94494269576114</v>
      </c>
      <c r="J65" s="1047">
        <f>AVERAGE(Trapped!$G$79:$Y$79)</f>
        <v>243.051947368421</v>
      </c>
      <c r="K65" s="1049">
        <f t="shared" ca="1" si="11"/>
        <v>2311.2390803936914</v>
      </c>
      <c r="Q65"/>
    </row>
    <row r="66" spans="3:17">
      <c r="C66" s="678">
        <f t="shared" ca="1" si="12"/>
        <v>2010</v>
      </c>
      <c r="D66" s="1"/>
      <c r="E66" s="892">
        <f ca="1">HLOOKUP($C66,Rev_Exp_Table,Rev_Exp!$AA$72)/HLOOKUP($C66,Rev_Exp_Table,Rev_Exp!$AA$26)</f>
        <v>734.42151658615205</v>
      </c>
      <c r="F66" s="892">
        <f ca="1">HLOOKUP($C66,Rev_Exp_Table,Rev_Exp!$AA$73)/HLOOKUP($C66,Rev_Exp_Table,Rev_Exp!$AA$26)</f>
        <v>302.80801825616584</v>
      </c>
      <c r="G66" s="892">
        <f ca="1">HLOOKUP($C66,Rev_Exp_Table,Rev_Exp!$AA$74)/HLOOKUP($C66,Rev_Exp_Table,Rev_Exp!$AA$26)</f>
        <v>363.61803829967192</v>
      </c>
      <c r="H66" s="892">
        <f ca="1">HLOOKUP($C66,Rev_Exp_Table,Rev_Exp!$AA$75)/HLOOKUP($C66,Rev_Exp_Table,Rev_Exp!$AA$26)</f>
        <v>140.38937105174327</v>
      </c>
      <c r="I66" s="892">
        <f ca="1">HLOOKUP($C66,Rev_Exp_Table,Rev_Exp!$AA$76)/HLOOKUP($C66,Rev_Exp_Table,Rev_Exp!$AA$26)</f>
        <v>475.90095810464805</v>
      </c>
      <c r="J66" s="1047">
        <f>AVERAGE(Trapped!$G$79:$Y$79)</f>
        <v>243.051947368421</v>
      </c>
      <c r="K66" s="1049">
        <f t="shared" ca="1" si="11"/>
        <v>2260.1898496668018</v>
      </c>
      <c r="Q66"/>
    </row>
    <row r="67" spans="3:17">
      <c r="C67" s="678">
        <f t="shared" ca="1" si="12"/>
        <v>2011</v>
      </c>
      <c r="D67" s="1"/>
      <c r="E67" s="892">
        <f ca="1">HLOOKUP($C67,Rev_Exp_Table,Rev_Exp!$AA$72)/HLOOKUP($C67,Rev_Exp_Table,Rev_Exp!$AA$26)</f>
        <v>717.03248212473022</v>
      </c>
      <c r="F67" s="892">
        <f ca="1">HLOOKUP($C67,Rev_Exp_Table,Rev_Exp!$AA$73)/HLOOKUP($C67,Rev_Exp_Table,Rev_Exp!$AA$26)</f>
        <v>295.63837664608968</v>
      </c>
      <c r="G67" s="892">
        <f ca="1">HLOOKUP($C67,Rev_Exp_Table,Rev_Exp!$AA$74)/HLOOKUP($C67,Rev_Exp_Table,Rev_Exp!$AA$26)</f>
        <v>355.00858656658687</v>
      </c>
      <c r="H67" s="892">
        <f ca="1">HLOOKUP($C67,Rev_Exp_Table,Rev_Exp!$AA$75)/HLOOKUP($C67,Rev_Exp_Table,Rev_Exp!$AA$26)</f>
        <v>137.0653458753244</v>
      </c>
      <c r="I67" s="892">
        <f ca="1">HLOOKUP($C67,Rev_Exp_Table,Rev_Exp!$AA$76)/HLOOKUP($C67,Rev_Exp_Table,Rev_Exp!$AA$26)</f>
        <v>464.63296285421939</v>
      </c>
      <c r="J67" s="1047">
        <f>AVERAGE(Trapped!$G$79:$Y$79)</f>
        <v>243.051947368421</v>
      </c>
      <c r="K67" s="1049">
        <f t="shared" ca="1" si="11"/>
        <v>2212.4297014353715</v>
      </c>
      <c r="Q67"/>
    </row>
    <row r="68" spans="3:17">
      <c r="C68" s="678">
        <f t="shared" ca="1" si="12"/>
        <v>2012</v>
      </c>
      <c r="D68" s="1"/>
      <c r="E68" s="892">
        <f ca="1">HLOOKUP($C68,Rev_Exp_Table,Rev_Exp!$AA$72)/HLOOKUP($C68,Rev_Exp_Table,Rev_Exp!$AA$26)</f>
        <v>701.45520650566004</v>
      </c>
      <c r="F68" s="892">
        <f ca="1">HLOOKUP($C68,Rev_Exp_Table,Rev_Exp!$AA$73)/HLOOKUP($C68,Rev_Exp_Table,Rev_Exp!$AA$26)</f>
        <v>289.21573807475983</v>
      </c>
      <c r="G68" s="892">
        <f ca="1">HLOOKUP($C68,Rev_Exp_Table,Rev_Exp!$AA$74)/HLOOKUP($C68,Rev_Exp_Table,Rev_Exp!$AA$26)</f>
        <v>347.29615130326738</v>
      </c>
      <c r="H68" s="892">
        <f ca="1">HLOOKUP($C68,Rev_Exp_Table,Rev_Exp!$AA$75)/HLOOKUP($C68,Rev_Exp_Table,Rev_Exp!$AA$26)</f>
        <v>134.08764999159493</v>
      </c>
      <c r="I68" s="892">
        <f ca="1">HLOOKUP($C68,Rev_Exp_Table,Rev_Exp!$AA$76)/HLOOKUP($C68,Rev_Exp_Table,Rev_Exp!$AA$26)</f>
        <v>454.53897701045611</v>
      </c>
      <c r="J68" s="1047">
        <f>AVERAGE(Trapped!$G$79:$Y$79)</f>
        <v>243.051947368421</v>
      </c>
      <c r="K68" s="1049">
        <f t="shared" ca="1" si="11"/>
        <v>2169.6456702541591</v>
      </c>
      <c r="Q68"/>
    </row>
    <row r="69" spans="3:17">
      <c r="C69" s="678">
        <f t="shared" ca="1" si="12"/>
        <v>2013</v>
      </c>
      <c r="D69" s="1"/>
      <c r="E69" s="892">
        <f ca="1">HLOOKUP($C69,Rev_Exp_Table,Rev_Exp!$AA$72)/HLOOKUP($C69,Rev_Exp_Table,Rev_Exp!$AA$26)</f>
        <v>687.39186888536256</v>
      </c>
      <c r="F69" s="892">
        <f ca="1">HLOOKUP($C69,Rev_Exp_Table,Rev_Exp!$AA$73)/HLOOKUP($C69,Rev_Exp_Table,Rev_Exp!$AA$26)</f>
        <v>283.41730856432747</v>
      </c>
      <c r="G69" s="892">
        <f ca="1">HLOOKUP($C69,Rev_Exp_Table,Rev_Exp!$AA$74)/HLOOKUP($C69,Rev_Exp_Table,Rev_Exp!$AA$26)</f>
        <v>340.33327899907795</v>
      </c>
      <c r="H69" s="892">
        <f ca="1">HLOOKUP($C69,Rev_Exp_Table,Rev_Exp!$AA$75)/HLOOKUP($C69,Rev_Exp_Table,Rev_Exp!$AA$26)</f>
        <v>131.39935304111981</v>
      </c>
      <c r="I69" s="892">
        <f ca="1">HLOOKUP($C69,Rev_Exp_Table,Rev_Exp!$AA$76)/HLOOKUP($C69,Rev_Exp_Table,Rev_Exp!$AA$26)</f>
        <v>445.4260143636659</v>
      </c>
      <c r="J69" s="1047">
        <f>AVERAGE(Trapped!$G$79:$Y$79)</f>
        <v>243.051947368421</v>
      </c>
      <c r="K69" s="1049">
        <f t="shared" ca="1" si="11"/>
        <v>2131.0197712219747</v>
      </c>
      <c r="Q69"/>
    </row>
    <row r="70" spans="3:17">
      <c r="C70" s="678">
        <f t="shared" ca="1" si="12"/>
        <v>2014</v>
      </c>
      <c r="D70" s="1"/>
      <c r="E70" s="892">
        <f ca="1">HLOOKUP($C70,Rev_Exp_Table,Rev_Exp!$AA$72)/HLOOKUP($C70,Rev_Exp_Table,Rev_Exp!$AA$26)</f>
        <v>673.87107989539152</v>
      </c>
      <c r="F70" s="892">
        <f ca="1">HLOOKUP($C70,Rev_Exp_Table,Rev_Exp!$AA$73)/HLOOKUP($C70,Rev_Exp_Table,Rev_Exp!$AA$26)</f>
        <v>277.84257630655782</v>
      </c>
      <c r="G70" s="892">
        <f ca="1">HLOOKUP($C70,Rev_Exp_Table,Rev_Exp!$AA$74)/HLOOKUP($C70,Rev_Exp_Table,Rev_Exp!$AA$26)</f>
        <v>333.63902691391269</v>
      </c>
      <c r="H70" s="892">
        <f ca="1">HLOOKUP($C70,Rev_Exp_Table,Rev_Exp!$AA$75)/HLOOKUP($C70,Rev_Exp_Table,Rev_Exp!$AA$26)</f>
        <v>128.81476773206086</v>
      </c>
      <c r="I70" s="892">
        <f ca="1">HLOOKUP($C70,Rev_Exp_Table,Rev_Exp!$AA$76)/HLOOKUP($C70,Rev_Exp_Table,Rev_Exp!$AA$26)</f>
        <v>436.66462013795194</v>
      </c>
      <c r="J70" s="1047">
        <f>AVERAGE(Trapped!$G$79:$Y$79)</f>
        <v>243.051947368421</v>
      </c>
      <c r="K70" s="1049">
        <f t="shared" ca="1" si="11"/>
        <v>2093.8840183542957</v>
      </c>
      <c r="Q70"/>
    </row>
    <row r="71" spans="3:17">
      <c r="C71" s="678">
        <f t="shared" ca="1" si="12"/>
        <v>2015</v>
      </c>
      <c r="D71" s="1"/>
      <c r="E71" s="892">
        <f ca="1">HLOOKUP($C71,Rev_Exp_Table,Rev_Exp!$AA$72)/HLOOKUP($C71,Rev_Exp_Table,Rev_Exp!$AA$26)</f>
        <v>660.62171013733348</v>
      </c>
      <c r="F71" s="892">
        <f ca="1">HLOOKUP($C71,Rev_Exp_Table,Rev_Exp!$AA$73)/HLOOKUP($C71,Rev_Exp_Table,Rev_Exp!$AA$26)</f>
        <v>272.3797524254847</v>
      </c>
      <c r="G71" s="892">
        <f ca="1">HLOOKUP($C71,Rev_Exp_Table,Rev_Exp!$AA$74)/HLOOKUP($C71,Rev_Exp_Table,Rev_Exp!$AA$26)</f>
        <v>327.07915668771551</v>
      </c>
      <c r="H71" s="892">
        <f ca="1">HLOOKUP($C71,Rev_Exp_Table,Rev_Exp!$AA$75)/HLOOKUP($C71,Rev_Exp_Table,Rev_Exp!$AA$26)</f>
        <v>126.28206594547375</v>
      </c>
      <c r="I71" s="892">
        <f ca="1">HLOOKUP($C71,Rev_Exp_Table,Rev_Exp!$AA$76)/HLOOKUP($C71,Rev_Exp_Table,Rev_Exp!$AA$26)</f>
        <v>428.07910402800434</v>
      </c>
      <c r="J71" s="1047">
        <f>AVERAGE(Trapped!$G$79:$Y$79)</f>
        <v>243.051947368421</v>
      </c>
      <c r="K71" s="1049">
        <f t="shared" ca="1" si="11"/>
        <v>2057.4937365924329</v>
      </c>
      <c r="Q71"/>
    </row>
    <row r="72" spans="3:17">
      <c r="C72" s="678">
        <f t="shared" ca="1" si="12"/>
        <v>2016</v>
      </c>
      <c r="D72" s="1"/>
      <c r="E72" s="892">
        <f ca="1">HLOOKUP($C72,Rev_Exp_Table,Rev_Exp!$AA$72)/HLOOKUP($C72,Rev_Exp_Table,Rev_Exp!$AA$26)</f>
        <v>647.67950284407982</v>
      </c>
      <c r="F72" s="892">
        <f ca="1">HLOOKUP($C72,Rev_Exp_Table,Rev_Exp!$AA$73)/HLOOKUP($C72,Rev_Exp_Table,Rev_Exp!$AA$26)</f>
        <v>267.04357414935322</v>
      </c>
      <c r="G72" s="892">
        <f ca="1">HLOOKUP($C72,Rev_Exp_Table,Rev_Exp!$AA$74)/HLOOKUP($C72,Rev_Exp_Table,Rev_Exp!$AA$26)</f>
        <v>320.67136508444685</v>
      </c>
      <c r="H72" s="892">
        <f ca="1">HLOOKUP($C72,Rev_Exp_Table,Rev_Exp!$AA$75)/HLOOKUP($C72,Rev_Exp_Table,Rev_Exp!$AA$26)</f>
        <v>123.80808022897816</v>
      </c>
      <c r="I72" s="892">
        <f ca="1">HLOOKUP($C72,Rev_Exp_Table,Rev_Exp!$AA$76)/HLOOKUP($C72,Rev_Exp_Table,Rev_Exp!$AA$26)</f>
        <v>419.69262744507614</v>
      </c>
      <c r="J72" s="1047">
        <f>AVERAGE(Trapped!$G$79:$Y$79)</f>
        <v>243.051947368421</v>
      </c>
      <c r="K72" s="1049">
        <f t="shared" ca="1" si="11"/>
        <v>2021.9470971203552</v>
      </c>
      <c r="Q72"/>
    </row>
    <row r="73" spans="3:17">
      <c r="C73" s="678">
        <f t="shared" ca="1" si="12"/>
        <v>2017</v>
      </c>
      <c r="D73" s="1"/>
      <c r="E73" s="892">
        <f ca="1">HLOOKUP($C73,Rev_Exp_Table,Rev_Exp!$AA$72)/HLOOKUP($C73,Rev_Exp_Table,Rev_Exp!$AA$26)</f>
        <v>634.98507839858257</v>
      </c>
      <c r="F73" s="892">
        <f ca="1">HLOOKUP($C73,Rev_Exp_Table,Rev_Exp!$AA$73)/HLOOKUP($C73,Rev_Exp_Table,Rev_Exp!$AA$26)</f>
        <v>261.80955877476043</v>
      </c>
      <c r="G73" s="892">
        <f ca="1">HLOOKUP($C73,Rev_Exp_Table,Rev_Exp!$AA$74)/HLOOKUP($C73,Rev_Exp_Table,Rev_Exp!$AA$26)</f>
        <v>314.38625277500427</v>
      </c>
      <c r="H73" s="892">
        <f ca="1">HLOOKUP($C73,Rev_Exp_Table,Rev_Exp!$AA$75)/HLOOKUP($C73,Rev_Exp_Table,Rev_Exp!$AA$26)</f>
        <v>121.38145978891897</v>
      </c>
      <c r="I73" s="892">
        <f ca="1">HLOOKUP($C73,Rev_Exp_Table,Rev_Exp!$AA$76)/HLOOKUP($C73,Rev_Exp_Table,Rev_Exp!$AA$26)</f>
        <v>411.46671273565801</v>
      </c>
      <c r="J73" s="1047">
        <f>AVERAGE(Trapped!$G$79:$Y$79)</f>
        <v>243.051947368421</v>
      </c>
      <c r="K73" s="1049">
        <f t="shared" ca="1" si="11"/>
        <v>1987.0810098413456</v>
      </c>
      <c r="Q73"/>
    </row>
    <row r="74" spans="3:17">
      <c r="C74" s="678">
        <f t="shared" ca="1" si="12"/>
        <v>2018</v>
      </c>
      <c r="D74" s="1"/>
      <c r="E74" s="892">
        <f ca="1">HLOOKUP($C74,Rev_Exp_Table,Rev_Exp!$AA$72)/HLOOKUP($C74,Rev_Exp_Table,Rev_Exp!$AA$26)</f>
        <v>622.54626421676005</v>
      </c>
      <c r="F74" s="892">
        <f ca="1">HLOOKUP($C74,Rev_Exp_Table,Rev_Exp!$AA$73)/HLOOKUP($C74,Rev_Exp_Table,Rev_Exp!$AA$26)</f>
        <v>256.68093360952463</v>
      </c>
      <c r="G74" s="892">
        <f ca="1">HLOOKUP($C74,Rev_Exp_Table,Rev_Exp!$AA$74)/HLOOKUP($C74,Rev_Exp_Table,Rev_Exp!$AA$26)</f>
        <v>308.22769517637499</v>
      </c>
      <c r="H74" s="892">
        <f ca="1">HLOOKUP($C74,Rev_Exp_Table,Rev_Exp!$AA$75)/HLOOKUP($C74,Rev_Exp_Table,Rev_Exp!$AA$26)</f>
        <v>119.00370088592156</v>
      </c>
      <c r="I74" s="892">
        <f ca="1">HLOOKUP($C74,Rev_Exp_Table,Rev_Exp!$AA$76)/HLOOKUP($C74,Rev_Exp_Table,Rev_Exp!$AA$26)</f>
        <v>403.40643202066531</v>
      </c>
      <c r="J74" s="1105">
        <f>Trapped!$Z$79</f>
        <v>64.458299999999994</v>
      </c>
      <c r="K74" s="1049">
        <f t="shared" ca="1" si="11"/>
        <v>1774.3233259092465</v>
      </c>
      <c r="Q74"/>
    </row>
    <row r="75" spans="3:17">
      <c r="C75" s="678">
        <f t="shared" ca="1" si="12"/>
        <v>2019</v>
      </c>
      <c r="D75" s="1"/>
      <c r="E75" s="892">
        <f ca="1">HLOOKUP($C75,Rev_Exp_Table,Rev_Exp!$AA$72)/HLOOKUP($C75,Rev_Exp_Table,Rev_Exp!$AA$26)</f>
        <v>203.45141298302624</v>
      </c>
      <c r="F75" s="892">
        <f ca="1">HLOOKUP($C75,Rev_Exp_Table,Rev_Exp!$AA$73)/HLOOKUP($C75,Rev_Exp_Table,Rev_Exp!$AA$26)</f>
        <v>83.884687179613849</v>
      </c>
      <c r="G75" s="892">
        <f ca="1">HLOOKUP($C75,Rev_Exp_Table,Rev_Exp!$AA$74)/HLOOKUP($C75,Rev_Exp_Table,Rev_Exp!$AA$26)</f>
        <v>100.73044158899759</v>
      </c>
      <c r="H75" s="892">
        <f ca="1">HLOOKUP($C75,Rev_Exp_Table,Rev_Exp!$AA$75)/HLOOKUP($C75,Rev_Exp_Table,Rev_Exp!$AA$26)</f>
        <v>38.891039087530586</v>
      </c>
      <c r="I75" s="892">
        <f ca="1">HLOOKUP($C75,Rev_Exp_Table,Rev_Exp!$AA$76)/HLOOKUP($C75,Rev_Exp_Table,Rev_Exp!$AA$26)</f>
        <v>131.83535637195448</v>
      </c>
      <c r="J75" s="1105">
        <f>Trapped!$AA$79</f>
        <v>64.458299999999994</v>
      </c>
      <c r="K75" s="1049">
        <f t="shared" ca="1" si="11"/>
        <v>623.25123721112277</v>
      </c>
      <c r="Q75"/>
    </row>
    <row r="76" spans="3:17" ht="13.5" thickBot="1">
      <c r="C76" s="678"/>
      <c r="D76" s="1"/>
      <c r="E76" s="892"/>
      <c r="F76" s="892"/>
      <c r="G76" s="892"/>
      <c r="H76" s="892"/>
      <c r="I76" s="892"/>
      <c r="J76" s="1105"/>
      <c r="K76" s="1049"/>
      <c r="Q76"/>
    </row>
    <row r="77" spans="3:17" ht="13.5" thickBot="1">
      <c r="C77" s="1055" t="s">
        <v>426</v>
      </c>
      <c r="D77" s="1061">
        <f t="shared" ref="D77:K77" si="13">SUM(D55:D76)</f>
        <v>0</v>
      </c>
      <c r="E77" s="1061">
        <f t="shared" ca="1" si="13"/>
        <v>16344.930002041583</v>
      </c>
      <c r="F77" s="1061">
        <f t="shared" ca="1" si="13"/>
        <v>6667.8819492566763</v>
      </c>
      <c r="G77" s="1061">
        <f t="shared" ca="1" si="13"/>
        <v>8076.1313324799621</v>
      </c>
      <c r="H77" s="1061">
        <f t="shared" ca="1" si="13"/>
        <v>2692.8398415630895</v>
      </c>
      <c r="I77" s="1061">
        <f t="shared" ca="1" si="13"/>
        <v>9290.2878334254947</v>
      </c>
      <c r="J77" s="1058">
        <f t="shared" si="13"/>
        <v>4746.9035999999969</v>
      </c>
      <c r="K77" s="1060">
        <f t="shared" ca="1" si="13"/>
        <v>47818.9745587668</v>
      </c>
      <c r="Q77"/>
    </row>
    <row r="78" spans="3:17">
      <c r="C78" s="357">
        <v>1</v>
      </c>
      <c r="D78" s="357">
        <f>C78+1</f>
        <v>2</v>
      </c>
      <c r="E78" s="357">
        <f t="shared" ref="E78:K78" si="14">D78+1</f>
        <v>3</v>
      </c>
      <c r="F78" s="357">
        <f t="shared" si="14"/>
        <v>4</v>
      </c>
      <c r="G78" s="357">
        <f t="shared" si="14"/>
        <v>5</v>
      </c>
      <c r="H78" s="357">
        <f t="shared" si="14"/>
        <v>6</v>
      </c>
      <c r="I78" s="357">
        <f t="shared" si="14"/>
        <v>7</v>
      </c>
      <c r="J78" s="357">
        <f t="shared" si="14"/>
        <v>8</v>
      </c>
      <c r="K78" s="357">
        <f t="shared" si="14"/>
        <v>9</v>
      </c>
      <c r="Q78"/>
    </row>
    <row r="79" spans="3:17">
      <c r="Q79"/>
    </row>
  </sheetData>
  <printOptions horizontalCentered="1"/>
  <pageMargins left="0.25" right="0.25" top="0.5" bottom="0.5" header="0.25" footer="0.25"/>
  <pageSetup scale="52" orientation="landscape" horizontalDpi="4294967292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1">
    <pageSetUpPr autoPageBreaks="0" fitToPage="1"/>
  </sheetPr>
  <dimension ref="A1:X22"/>
  <sheetViews>
    <sheetView showGridLines="0" zoomScale="90" workbookViewId="0">
      <selection activeCell="F11" sqref="F11"/>
    </sheetView>
  </sheetViews>
  <sheetFormatPr defaultRowHeight="12.75"/>
  <cols>
    <col min="1" max="1" width="26.5703125" customWidth="1"/>
    <col min="3" max="3" width="1.7109375" customWidth="1"/>
    <col min="4" max="9" width="11.7109375" customWidth="1"/>
    <col min="10" max="10" width="11.7109375" style="894" customWidth="1"/>
    <col min="11" max="24" width="11.7109375" customWidth="1"/>
  </cols>
  <sheetData>
    <row r="1" spans="1:24" ht="15.75">
      <c r="A1" s="1137" t="str">
        <f>CONCATENATE(TOC!B2," ",TOC!B6)</f>
        <v>EMPRESSA PRODUTORA DE ENERGÍA LTDA (EPE) *** DRAFT COPY ***</v>
      </c>
      <c r="B1" s="117"/>
    </row>
    <row r="2" spans="1:24" ht="15.75">
      <c r="A2" s="1137" t="str">
        <f>TOC!B3</f>
        <v>480 MW POWER PLANT (CUIABA, BRAZIL)</v>
      </c>
      <c r="B2" s="117"/>
    </row>
    <row r="3" spans="1:24" ht="15">
      <c r="A3" s="118" t="str">
        <f>TOC!B4</f>
        <v>ENRON INTERNATIONAL</v>
      </c>
      <c r="B3" s="118"/>
    </row>
    <row r="4" spans="1:24" ht="15">
      <c r="A4" s="932" t="s">
        <v>1418</v>
      </c>
      <c r="B4" s="932"/>
      <c r="C4" s="959"/>
      <c r="D4" s="959"/>
      <c r="E4" s="959"/>
    </row>
    <row r="5" spans="1:24" ht="13.5" thickBot="1"/>
    <row r="6" spans="1:24">
      <c r="A6" s="1009" t="s">
        <v>1412</v>
      </c>
      <c r="B6" s="1010"/>
      <c r="C6" s="1010"/>
      <c r="D6" s="1007">
        <v>1</v>
      </c>
      <c r="E6" s="1008">
        <f>D6+1</f>
        <v>2</v>
      </c>
      <c r="F6" s="1008">
        <f t="shared" ref="F6:W6" si="0">E6+1</f>
        <v>3</v>
      </c>
      <c r="G6" s="1008">
        <f t="shared" si="0"/>
        <v>4</v>
      </c>
      <c r="H6" s="1008">
        <f t="shared" si="0"/>
        <v>5</v>
      </c>
      <c r="I6" s="1008">
        <f t="shared" si="0"/>
        <v>6</v>
      </c>
      <c r="J6" s="1008">
        <f t="shared" si="0"/>
        <v>7</v>
      </c>
      <c r="K6" s="1008">
        <f t="shared" si="0"/>
        <v>8</v>
      </c>
      <c r="L6" s="1008">
        <f t="shared" si="0"/>
        <v>9</v>
      </c>
      <c r="M6" s="1008">
        <f t="shared" si="0"/>
        <v>10</v>
      </c>
      <c r="N6" s="1008">
        <f t="shared" si="0"/>
        <v>11</v>
      </c>
      <c r="O6" s="1008">
        <f t="shared" si="0"/>
        <v>12</v>
      </c>
      <c r="P6" s="1008">
        <f t="shared" si="0"/>
        <v>13</v>
      </c>
      <c r="Q6" s="1008">
        <f t="shared" si="0"/>
        <v>14</v>
      </c>
      <c r="R6" s="1008">
        <f t="shared" si="0"/>
        <v>15</v>
      </c>
      <c r="S6" s="1008">
        <f t="shared" si="0"/>
        <v>16</v>
      </c>
      <c r="T6" s="1008">
        <f t="shared" si="0"/>
        <v>17</v>
      </c>
      <c r="U6" s="1008">
        <f t="shared" si="0"/>
        <v>18</v>
      </c>
      <c r="V6" s="1008">
        <f t="shared" si="0"/>
        <v>19</v>
      </c>
      <c r="W6" s="1008">
        <f t="shared" si="0"/>
        <v>20</v>
      </c>
      <c r="X6" s="1011" t="s">
        <v>426</v>
      </c>
    </row>
    <row r="7" spans="1:24">
      <c r="A7" s="398"/>
      <c r="B7" s="1"/>
      <c r="C7" s="1"/>
      <c r="D7" s="1"/>
      <c r="E7" s="1"/>
      <c r="F7" s="1"/>
      <c r="G7" s="1"/>
      <c r="H7" s="1"/>
      <c r="I7" s="1"/>
      <c r="J7" s="1006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426"/>
    </row>
    <row r="8" spans="1:24">
      <c r="A8" s="398" t="s">
        <v>1413</v>
      </c>
      <c r="B8" s="1"/>
      <c r="C8" s="1"/>
      <c r="D8" s="777">
        <v>150</v>
      </c>
      <c r="E8" s="777">
        <v>300</v>
      </c>
      <c r="F8" s="777">
        <v>480</v>
      </c>
      <c r="G8" s="113">
        <f>F8</f>
        <v>480</v>
      </c>
      <c r="H8" s="113">
        <f t="shared" ref="H8:W8" si="1">G8</f>
        <v>480</v>
      </c>
      <c r="I8" s="113">
        <f t="shared" si="1"/>
        <v>480</v>
      </c>
      <c r="J8" s="113">
        <f t="shared" si="1"/>
        <v>480</v>
      </c>
      <c r="K8" s="113">
        <f t="shared" si="1"/>
        <v>480</v>
      </c>
      <c r="L8" s="113">
        <f t="shared" si="1"/>
        <v>480</v>
      </c>
      <c r="M8" s="113">
        <f t="shared" si="1"/>
        <v>480</v>
      </c>
      <c r="N8" s="113">
        <f t="shared" si="1"/>
        <v>480</v>
      </c>
      <c r="O8" s="113">
        <f t="shared" si="1"/>
        <v>480</v>
      </c>
      <c r="P8" s="113">
        <f t="shared" si="1"/>
        <v>480</v>
      </c>
      <c r="Q8" s="113">
        <f t="shared" si="1"/>
        <v>480</v>
      </c>
      <c r="R8" s="113">
        <f t="shared" si="1"/>
        <v>480</v>
      </c>
      <c r="S8" s="113">
        <f t="shared" si="1"/>
        <v>480</v>
      </c>
      <c r="T8" s="113">
        <f t="shared" si="1"/>
        <v>480</v>
      </c>
      <c r="U8" s="113">
        <f t="shared" si="1"/>
        <v>480</v>
      </c>
      <c r="V8" s="113">
        <f t="shared" si="1"/>
        <v>480</v>
      </c>
      <c r="W8" s="113">
        <f t="shared" si="1"/>
        <v>480</v>
      </c>
      <c r="X8" s="426"/>
    </row>
    <row r="9" spans="1:24">
      <c r="A9" s="398"/>
      <c r="B9" s="1"/>
      <c r="C9" s="1"/>
      <c r="D9" s="1"/>
      <c r="E9" s="1"/>
      <c r="F9" s="1"/>
      <c r="G9" s="1"/>
      <c r="H9" s="1"/>
      <c r="I9" s="1"/>
      <c r="J9" s="1006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426"/>
    </row>
    <row r="10" spans="1:24">
      <c r="A10" s="127" t="s">
        <v>1416</v>
      </c>
      <c r="B10" s="1"/>
      <c r="C10" s="1"/>
      <c r="D10" s="1"/>
      <c r="E10" s="1"/>
      <c r="F10" s="1"/>
      <c r="G10" s="1"/>
      <c r="H10" s="1"/>
      <c r="I10" s="1"/>
      <c r="J10" s="1006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426"/>
    </row>
    <row r="11" spans="1:24">
      <c r="A11" s="398" t="s">
        <v>1438</v>
      </c>
      <c r="B11" s="1"/>
      <c r="C11" s="1"/>
      <c r="D11" s="187">
        <f ca="1">VLOOKUP(D$6,Bid_Tariff_Table,Tariff!$D$63)</f>
        <v>10721.11</v>
      </c>
      <c r="E11" s="187">
        <f ca="1">VLOOKUP(E$6,Bid_Tariff_Table,Tariff!$D$63)</f>
        <v>10721.11</v>
      </c>
      <c r="F11" s="187">
        <f ca="1">VLOOKUP(F$6,Bid_Tariff_Table,Tariff!$D$63)</f>
        <v>6782.87</v>
      </c>
      <c r="G11" s="187">
        <f ca="1">VLOOKUP(G$6,Bid_Tariff_Table,Tariff!$D$63)</f>
        <v>7854.93</v>
      </c>
      <c r="H11" s="187">
        <f ca="1">VLOOKUP(H$6,Bid_Tariff_Table,Tariff!$D$63)</f>
        <v>9495.86</v>
      </c>
      <c r="I11" s="187">
        <f ca="1">VLOOKUP(I$6,Bid_Tariff_Table,Tariff!$D$63)</f>
        <v>9425.51</v>
      </c>
      <c r="J11" s="187">
        <f ca="1">VLOOKUP(J$6,Bid_Tariff_Table,Tariff!$D$63)</f>
        <v>9803.42</v>
      </c>
      <c r="K11" s="187">
        <f ca="1">VLOOKUP(K$6,Bid_Tariff_Table,Tariff!$D$63)</f>
        <v>9776.1</v>
      </c>
      <c r="L11" s="187">
        <f ca="1">VLOOKUP(L$6,Bid_Tariff_Table,Tariff!$D$63)</f>
        <v>10096.24</v>
      </c>
      <c r="M11" s="187">
        <f ca="1">VLOOKUP(M$6,Bid_Tariff_Table,Tariff!$D$63)</f>
        <v>10416.24</v>
      </c>
      <c r="N11" s="187">
        <f ca="1">VLOOKUP(N$6,Bid_Tariff_Table,Tariff!$D$63)</f>
        <v>10554.88</v>
      </c>
      <c r="O11" s="187">
        <f ca="1">VLOOKUP(O$6,Bid_Tariff_Table,Tariff!$D$63)</f>
        <v>10709.97</v>
      </c>
      <c r="P11" s="187">
        <f ca="1">VLOOKUP(P$6,Bid_Tariff_Table,Tariff!$D$63)</f>
        <v>5172.37</v>
      </c>
      <c r="Q11" s="187">
        <f ca="1">VLOOKUP(Q$6,Bid_Tariff_Table,Tariff!$D$63)</f>
        <v>3801.75</v>
      </c>
      <c r="R11" s="187">
        <f ca="1">VLOOKUP(R$6,Bid_Tariff_Table,Tariff!$D$63)</f>
        <v>3801.76</v>
      </c>
      <c r="S11" s="187">
        <f ca="1">VLOOKUP(S$6,Bid_Tariff_Table,Tariff!$D$63)</f>
        <v>3801.75</v>
      </c>
      <c r="T11" s="187">
        <f ca="1">VLOOKUP(T$6,Bid_Tariff_Table,Tariff!$D$63)</f>
        <v>3801.74</v>
      </c>
      <c r="U11" s="187">
        <f ca="1">VLOOKUP(U$6,Bid_Tariff_Table,Tariff!$D$63)</f>
        <v>3801.75</v>
      </c>
      <c r="V11" s="187">
        <f ca="1">VLOOKUP(V$6,Bid_Tariff_Table,Tariff!$D$63)</f>
        <v>3801.74</v>
      </c>
      <c r="W11" s="187">
        <f ca="1">VLOOKUP(W$6,Bid_Tariff_Table,Tariff!$D$63)</f>
        <v>3801.75</v>
      </c>
      <c r="X11" s="1012"/>
    </row>
    <row r="12" spans="1:24">
      <c r="A12" s="398" t="s">
        <v>1414</v>
      </c>
      <c r="B12" s="1"/>
      <c r="C12" s="1"/>
      <c r="D12" s="187">
        <f ca="1">D$8*D11*12/1000</f>
        <v>19297.998</v>
      </c>
      <c r="E12" s="187">
        <f t="shared" ref="E12:W12" ca="1" si="2">E$8*E11*12/1000</f>
        <v>38595.995999999999</v>
      </c>
      <c r="F12" s="187">
        <f t="shared" ca="1" si="2"/>
        <v>39069.331200000001</v>
      </c>
      <c r="G12" s="187">
        <f t="shared" ca="1" si="2"/>
        <v>45244.396800000002</v>
      </c>
      <c r="H12" s="187">
        <f t="shared" ca="1" si="2"/>
        <v>54696.153600000012</v>
      </c>
      <c r="I12" s="187">
        <f t="shared" ca="1" si="2"/>
        <v>54290.937599999997</v>
      </c>
      <c r="J12" s="187">
        <f t="shared" ca="1" si="2"/>
        <v>56467.699199999995</v>
      </c>
      <c r="K12" s="187">
        <f t="shared" ca="1" si="2"/>
        <v>56310.336000000003</v>
      </c>
      <c r="L12" s="187">
        <f t="shared" ca="1" si="2"/>
        <v>58154.342400000009</v>
      </c>
      <c r="M12" s="187">
        <f t="shared" ca="1" si="2"/>
        <v>59997.542400000006</v>
      </c>
      <c r="N12" s="187">
        <f t="shared" ca="1" si="2"/>
        <v>60796.108799999995</v>
      </c>
      <c r="O12" s="187">
        <f t="shared" ca="1" si="2"/>
        <v>61689.427199999998</v>
      </c>
      <c r="P12" s="187">
        <f t="shared" ca="1" si="2"/>
        <v>29792.851200000005</v>
      </c>
      <c r="Q12" s="187">
        <f t="shared" ca="1" si="2"/>
        <v>21898.080000000002</v>
      </c>
      <c r="R12" s="187">
        <f t="shared" ca="1" si="2"/>
        <v>21898.137600000002</v>
      </c>
      <c r="S12" s="187">
        <f t="shared" ca="1" si="2"/>
        <v>21898.080000000002</v>
      </c>
      <c r="T12" s="187">
        <f t="shared" ca="1" si="2"/>
        <v>21898.022399999998</v>
      </c>
      <c r="U12" s="187">
        <f t="shared" ca="1" si="2"/>
        <v>21898.080000000002</v>
      </c>
      <c r="V12" s="187">
        <f t="shared" ca="1" si="2"/>
        <v>21898.022399999998</v>
      </c>
      <c r="W12" s="187">
        <f t="shared" ca="1" si="2"/>
        <v>21898.080000000002</v>
      </c>
      <c r="X12" s="1012">
        <f ca="1">SUM(D12:W12)</f>
        <v>787689.62280000001</v>
      </c>
    </row>
    <row r="13" spans="1:24">
      <c r="A13" s="398"/>
      <c r="B13" s="1"/>
      <c r="C13" s="1"/>
      <c r="D13" s="1"/>
      <c r="E13" s="1"/>
      <c r="F13" s="1"/>
      <c r="G13" s="1"/>
      <c r="H13" s="1"/>
      <c r="I13" s="1"/>
      <c r="J13" s="1006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426"/>
    </row>
    <row r="14" spans="1:24">
      <c r="A14" s="398" t="s">
        <v>1415</v>
      </c>
      <c r="B14" s="774">
        <v>0.115</v>
      </c>
      <c r="C14" s="1"/>
      <c r="D14" s="187">
        <f ca="1">NPV(B14,D12:W12)</f>
        <v>324731.79198939569</v>
      </c>
      <c r="E14" s="1"/>
      <c r="F14" s="1"/>
      <c r="G14" s="1"/>
      <c r="H14" s="1"/>
      <c r="I14" s="1"/>
      <c r="J14" s="1006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426"/>
    </row>
    <row r="15" spans="1:24">
      <c r="A15" s="398"/>
      <c r="B15" s="1"/>
      <c r="C15" s="1"/>
      <c r="D15" s="1"/>
      <c r="E15" s="1"/>
      <c r="F15" s="1"/>
      <c r="G15" s="1"/>
      <c r="H15" s="1"/>
      <c r="I15" s="1"/>
      <c r="J15" s="1006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426"/>
    </row>
    <row r="16" spans="1:24">
      <c r="A16" s="398"/>
      <c r="B16" s="1"/>
      <c r="C16" s="1"/>
      <c r="D16" s="1"/>
      <c r="E16" s="1"/>
      <c r="F16" s="1"/>
      <c r="G16" s="1"/>
      <c r="H16" s="1"/>
      <c r="I16" s="1"/>
      <c r="J16" s="1006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426"/>
    </row>
    <row r="17" spans="1:24">
      <c r="A17" s="127" t="s">
        <v>1417</v>
      </c>
      <c r="B17" s="1"/>
      <c r="C17" s="1"/>
      <c r="D17" s="1"/>
      <c r="E17" s="1"/>
      <c r="F17" s="1"/>
      <c r="G17" s="1"/>
      <c r="H17" s="1"/>
      <c r="I17" s="1"/>
      <c r="J17" s="1006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426"/>
    </row>
    <row r="18" spans="1:24">
      <c r="A18" s="398" t="s">
        <v>1438</v>
      </c>
      <c r="B18" s="1"/>
      <c r="C18" s="1"/>
      <c r="D18" s="187">
        <f ca="1">VLOOKUP(D$6,New_Tariff_Table,'US$ Table'!$G$78)</f>
        <v>10316.640533260394</v>
      </c>
      <c r="E18" s="187">
        <f ca="1">VLOOKUP(E$6,New_Tariff_Table,'US$ Table'!$G$78)</f>
        <v>9296.5186108518337</v>
      </c>
      <c r="F18" s="187">
        <f ca="1">VLOOKUP(F$6,New_Tariff_Table,'US$ Table'!$G$78)</f>
        <v>9330.5880552595427</v>
      </c>
      <c r="G18" s="187">
        <f ca="1">VLOOKUP(G$6,New_Tariff_Table,'US$ Table'!$G$78)</f>
        <v>10376.387023567806</v>
      </c>
      <c r="H18" s="187">
        <f ca="1">VLOOKUP(H$6,New_Tariff_Table,'US$ Table'!$G$78)</f>
        <v>10060.808924926501</v>
      </c>
      <c r="I18" s="187">
        <f ca="1">VLOOKUP(I$6,New_Tariff_Table,'US$ Table'!$G$78)</f>
        <v>9620.6680759532028</v>
      </c>
      <c r="J18" s="187">
        <f ca="1">VLOOKUP(J$6,New_Tariff_Table,'US$ Table'!$G$78)</f>
        <v>9521.6335921199479</v>
      </c>
      <c r="K18" s="187">
        <f ca="1">VLOOKUP(K$6,New_Tariff_Table,'US$ Table'!$G$78)</f>
        <v>9366.6901598534514</v>
      </c>
      <c r="L18" s="187">
        <f ca="1">VLOOKUP(L$6,New_Tariff_Table,'US$ Table'!$G$78)</f>
        <v>9103.5342568097494</v>
      </c>
      <c r="M18" s="187">
        <f ca="1">VLOOKUP(M$6,New_Tariff_Table,'US$ Table'!$G$78)</f>
        <v>8693.3301594363184</v>
      </c>
      <c r="N18" s="187">
        <f ca="1">VLOOKUP(N$6,New_Tariff_Table,'US$ Table'!$G$78)</f>
        <v>8370.65140344059</v>
      </c>
      <c r="O18" s="187">
        <f ca="1">VLOOKUP(O$6,New_Tariff_Table,'US$ Table'!$G$78)</f>
        <v>8206.0561485231719</v>
      </c>
      <c r="P18" s="187">
        <f ca="1">VLOOKUP(P$6,New_Tariff_Table,'US$ Table'!$G$78)</f>
        <v>8094.7772205430138</v>
      </c>
      <c r="Q18" s="187">
        <f ca="1">VLOOKUP(Q$6,New_Tariff_Table,'US$ Table'!$G$78)</f>
        <v>7401.2682024331007</v>
      </c>
      <c r="R18" s="187">
        <f ca="1">VLOOKUP(R$6,New_Tariff_Table,'US$ Table'!$G$78)</f>
        <v>6103.982020968574</v>
      </c>
      <c r="S18" s="187">
        <f ca="1">VLOOKUP(S$6,New_Tariff_Table,'US$ Table'!$G$78)</f>
        <v>5838.9675537802295</v>
      </c>
      <c r="T18" s="187">
        <f ca="1">VLOOKUP(T$6,New_Tariff_Table,'US$ Table'!$G$78)</f>
        <v>4740.8908313864904</v>
      </c>
      <c r="U18" s="187">
        <f ca="1">VLOOKUP(U$6,New_Tariff_Table,'US$ Table'!$G$78)</f>
        <v>3088.7356705706379</v>
      </c>
      <c r="V18" s="187">
        <f ca="1">VLOOKUP(V$6,New_Tariff_Table,'US$ Table'!$G$78)</f>
        <v>2761.0285937732078</v>
      </c>
      <c r="W18" s="187">
        <f ca="1">VLOOKUP(W$6,New_Tariff_Table,'US$ Table'!$G$78)</f>
        <v>2144.7959263979351</v>
      </c>
      <c r="X18" s="1012"/>
    </row>
    <row r="19" spans="1:24">
      <c r="A19" s="398" t="s">
        <v>1414</v>
      </c>
      <c r="B19" s="1"/>
      <c r="C19" s="1"/>
      <c r="D19" s="187">
        <f ca="1">D$8*D18*12/1000</f>
        <v>18569.952959868711</v>
      </c>
      <c r="E19" s="187">
        <f t="shared" ref="E19:W19" ca="1" si="3">E$8*E18*12/1000</f>
        <v>33467.466999066601</v>
      </c>
      <c r="F19" s="187">
        <f t="shared" ca="1" si="3"/>
        <v>53744.187198294967</v>
      </c>
      <c r="G19" s="187">
        <f t="shared" ca="1" si="3"/>
        <v>59767.989255750566</v>
      </c>
      <c r="H19" s="187">
        <f t="shared" ca="1" si="3"/>
        <v>57950.259407576654</v>
      </c>
      <c r="I19" s="187">
        <f t="shared" ca="1" si="3"/>
        <v>55415.048117490449</v>
      </c>
      <c r="J19" s="187">
        <f t="shared" ca="1" si="3"/>
        <v>54844.609490610907</v>
      </c>
      <c r="K19" s="187">
        <f t="shared" ca="1" si="3"/>
        <v>53952.135320755879</v>
      </c>
      <c r="L19" s="187">
        <f t="shared" ca="1" si="3"/>
        <v>52436.357319224167</v>
      </c>
      <c r="M19" s="187">
        <f t="shared" ca="1" si="3"/>
        <v>50073.581718353198</v>
      </c>
      <c r="N19" s="187">
        <f t="shared" ca="1" si="3"/>
        <v>48214.9520838178</v>
      </c>
      <c r="O19" s="187">
        <f t="shared" ca="1" si="3"/>
        <v>47266.883415493474</v>
      </c>
      <c r="P19" s="187">
        <f t="shared" ca="1" si="3"/>
        <v>46625.916790327756</v>
      </c>
      <c r="Q19" s="187">
        <f t="shared" ca="1" si="3"/>
        <v>42631.30484601466</v>
      </c>
      <c r="R19" s="187">
        <f t="shared" ca="1" si="3"/>
        <v>35158.936440778984</v>
      </c>
      <c r="S19" s="187">
        <f t="shared" ca="1" si="3"/>
        <v>33632.453109774127</v>
      </c>
      <c r="T19" s="187">
        <f t="shared" ca="1" si="3"/>
        <v>27307.531188786183</v>
      </c>
      <c r="U19" s="187">
        <f t="shared" ca="1" si="3"/>
        <v>17791.117462486873</v>
      </c>
      <c r="V19" s="187">
        <f t="shared" ca="1" si="3"/>
        <v>15903.524700133676</v>
      </c>
      <c r="W19" s="187">
        <f t="shared" ca="1" si="3"/>
        <v>12354.024536052106</v>
      </c>
      <c r="X19" s="1012">
        <f ca="1">SUM(D19:W19)</f>
        <v>817108.23236065789</v>
      </c>
    </row>
    <row r="20" spans="1:24">
      <c r="A20" s="398"/>
      <c r="B20" s="1"/>
      <c r="C20" s="1"/>
      <c r="D20" s="1"/>
      <c r="E20" s="1"/>
      <c r="F20" s="1"/>
      <c r="G20" s="1"/>
      <c r="H20" s="1"/>
      <c r="I20" s="1"/>
      <c r="J20" s="1006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426"/>
    </row>
    <row r="21" spans="1:24">
      <c r="A21" s="398" t="s">
        <v>1415</v>
      </c>
      <c r="B21" s="774">
        <v>0.115</v>
      </c>
      <c r="C21" s="1"/>
      <c r="D21" s="187">
        <f ca="1">NPV(B21,D19:W19)</f>
        <v>339155.7741194113</v>
      </c>
      <c r="E21" s="1"/>
      <c r="F21" s="1"/>
      <c r="G21" s="1"/>
      <c r="H21" s="1"/>
      <c r="I21" s="1"/>
      <c r="J21" s="1006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426"/>
    </row>
    <row r="22" spans="1:24" ht="13.5" thickBot="1">
      <c r="A22" s="400"/>
      <c r="B22" s="268"/>
      <c r="C22" s="268"/>
      <c r="D22" s="268"/>
      <c r="E22" s="268"/>
      <c r="F22" s="268"/>
      <c r="G22" s="268"/>
      <c r="H22" s="268"/>
      <c r="I22" s="268"/>
      <c r="J22" s="895"/>
      <c r="K22" s="268"/>
      <c r="L22" s="268"/>
      <c r="M22" s="268"/>
      <c r="N22" s="268"/>
      <c r="O22" s="268"/>
      <c r="P22" s="268"/>
      <c r="Q22" s="268"/>
      <c r="R22" s="268"/>
      <c r="S22" s="268"/>
      <c r="T22" s="268"/>
      <c r="U22" s="268"/>
      <c r="V22" s="268"/>
      <c r="W22" s="268"/>
      <c r="X22" s="673"/>
    </row>
  </sheetData>
  <printOptions horizontalCentered="1"/>
  <pageMargins left="0.25" right="0.25" top="0.5" bottom="0.5" header="0.25" footer="0.25"/>
  <pageSetup scale="47" orientation="landscape" horizontalDpi="4294967292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39</vt:i4>
      </vt:variant>
      <vt:variant>
        <vt:lpstr>Named Ranges</vt:lpstr>
      </vt:variant>
      <vt:variant>
        <vt:i4>184</vt:i4>
      </vt:variant>
    </vt:vector>
  </HeadingPairs>
  <TitlesOfParts>
    <vt:vector size="223" baseType="lpstr">
      <vt:lpstr>TOC</vt:lpstr>
      <vt:lpstr>Assm</vt:lpstr>
      <vt:lpstr>RAROC</vt:lpstr>
      <vt:lpstr>Tariff</vt:lpstr>
      <vt:lpstr>Rev_Exp</vt:lpstr>
      <vt:lpstr>CF</vt:lpstr>
      <vt:lpstr>Project &amp; Investor Returns</vt:lpstr>
      <vt:lpstr>Enron Returns</vt:lpstr>
      <vt:lpstr>Shell &amp; Trans Returns</vt:lpstr>
      <vt:lpstr>100% Partner Cash Flow</vt:lpstr>
      <vt:lpstr>EINC</vt:lpstr>
      <vt:lpstr>PLRisk</vt:lpstr>
      <vt:lpstr>Trapped</vt:lpstr>
      <vt:lpstr>Turnkey</vt:lpstr>
      <vt:lpstr>Drawdown</vt:lpstr>
      <vt:lpstr>IDC</vt:lpstr>
      <vt:lpstr>Debt Amort</vt:lpstr>
      <vt:lpstr>Sudam</vt:lpstr>
      <vt:lpstr>Taxes</vt:lpstr>
      <vt:lpstr>Depr</vt:lpstr>
      <vt:lpstr>CommonSized</vt:lpstr>
      <vt:lpstr>BS_IS</vt:lpstr>
      <vt:lpstr>Ref1</vt:lpstr>
      <vt:lpstr>Ref2</vt:lpstr>
      <vt:lpstr>Ref3</vt:lpstr>
      <vt:lpstr>Ref4</vt:lpstr>
      <vt:lpstr>Ref5</vt:lpstr>
      <vt:lpstr>RAC_LDs</vt:lpstr>
      <vt:lpstr>Plant Operations</vt:lpstr>
      <vt:lpstr>Avail Penalty</vt:lpstr>
      <vt:lpstr>Annex 12-Plant</vt:lpstr>
      <vt:lpstr>Annex 12-Gas</vt:lpstr>
      <vt:lpstr>Annex 10-Plant</vt:lpstr>
      <vt:lpstr>Annex 10-Gas</vt:lpstr>
      <vt:lpstr>Fuel Expense</vt:lpstr>
      <vt:lpstr>Escalation</vt:lpstr>
      <vt:lpstr>US$ Table</vt:lpstr>
      <vt:lpstr>R$ Table</vt:lpstr>
      <vt:lpstr>NPV Of Tariff</vt:lpstr>
      <vt:lpstr>AddTax</vt:lpstr>
      <vt:lpstr>Annex10_Gas_Table</vt:lpstr>
      <vt:lpstr>Annex10_Plant_Table</vt:lpstr>
      <vt:lpstr>Annex12_Gas_Table</vt:lpstr>
      <vt:lpstr>Annex12_Plant_Table</vt:lpstr>
      <vt:lpstr>Avail_LDs_Switch</vt:lpstr>
      <vt:lpstr>Bid_Tariff_Table</vt:lpstr>
      <vt:lpstr>BL</vt:lpstr>
      <vt:lpstr>BS_Table</vt:lpstr>
      <vt:lpstr>Capacity_I</vt:lpstr>
      <vt:lpstr>Capacity_II</vt:lpstr>
      <vt:lpstr>Capacity_III</vt:lpstr>
      <vt:lpstr>Capacity_Table</vt:lpstr>
      <vt:lpstr>CF</vt:lpstr>
      <vt:lpstr>CF_Table</vt:lpstr>
      <vt:lpstr>CM_Tariff_Table</vt:lpstr>
      <vt:lpstr>Cofins</vt:lpstr>
      <vt:lpstr>Com_Inputs</vt:lpstr>
      <vt:lpstr>Com_Values</vt:lpstr>
      <vt:lpstr>Commit_Factor</vt:lpstr>
      <vt:lpstr>Convert_Table</vt:lpstr>
      <vt:lpstr>Cost_I</vt:lpstr>
      <vt:lpstr>Cost_II</vt:lpstr>
      <vt:lpstr>Cost_III</vt:lpstr>
      <vt:lpstr>Curves_Table</vt:lpstr>
      <vt:lpstr>Debt_Serv</vt:lpstr>
      <vt:lpstr>Debtperc</vt:lpstr>
      <vt:lpstr>Dec_Change</vt:lpstr>
      <vt:lpstr>Diesel_Table</vt:lpstr>
      <vt:lpstr>DieselOps_2</vt:lpstr>
      <vt:lpstr>Disc</vt:lpstr>
      <vt:lpstr>Draw_Table</vt:lpstr>
      <vt:lpstr>Duties</vt:lpstr>
      <vt:lpstr>Duties_Maint</vt:lpstr>
      <vt:lpstr>Ecf</vt:lpstr>
      <vt:lpstr>EE_Date</vt:lpstr>
      <vt:lpstr>Endyr</vt:lpstr>
      <vt:lpstr>Equityperc</vt:lpstr>
      <vt:lpstr>Est_Commit1</vt:lpstr>
      <vt:lpstr>Est_Cost1</vt:lpstr>
      <vt:lpstr>Est_Idc1</vt:lpstr>
      <vt:lpstr>Est_Wh1</vt:lpstr>
      <vt:lpstr>Exch</vt:lpstr>
      <vt:lpstr>Fin_Close</vt:lpstr>
      <vt:lpstr>Fin_Sum_Table</vt:lpstr>
      <vt:lpstr>Fin_Table</vt:lpstr>
      <vt:lpstr>Fuel_Cost_Table</vt:lpstr>
      <vt:lpstr>Guar_Fee_Table</vt:lpstr>
      <vt:lpstr>Guarantee_Fee_Table</vt:lpstr>
      <vt:lpstr>Hr_I</vt:lpstr>
      <vt:lpstr>Hr_II</vt:lpstr>
      <vt:lpstr>Hr_III</vt:lpstr>
      <vt:lpstr>Icms_Elec</vt:lpstr>
      <vt:lpstr>Icms_Fuel</vt:lpstr>
      <vt:lpstr>Icms_Merch</vt:lpstr>
      <vt:lpstr>Icms_Trans</vt:lpstr>
      <vt:lpstr>Idc_Summary</vt:lpstr>
      <vt:lpstr>Idc_Table</vt:lpstr>
      <vt:lpstr>Inputs</vt:lpstr>
      <vt:lpstr>Int_BL</vt:lpstr>
      <vt:lpstr>Irr</vt:lpstr>
      <vt:lpstr>Iss</vt:lpstr>
      <vt:lpstr>Land1</vt:lpstr>
      <vt:lpstr>Land2</vt:lpstr>
      <vt:lpstr>Land3</vt:lpstr>
      <vt:lpstr>LGM_Cost</vt:lpstr>
      <vt:lpstr>Loopfactor</vt:lpstr>
      <vt:lpstr>New_Investor_Equity</vt:lpstr>
      <vt:lpstr>New_Tariff_Table</vt:lpstr>
      <vt:lpstr>Nol</vt:lpstr>
      <vt:lpstr>Npv</vt:lpstr>
      <vt:lpstr>OA_Table</vt:lpstr>
      <vt:lpstr>OM_Table</vt:lpstr>
      <vt:lpstr>OM_Table_R</vt:lpstr>
      <vt:lpstr>OM_Table_US</vt:lpstr>
      <vt:lpstr>Opic</vt:lpstr>
      <vt:lpstr>Penalty_Table</vt:lpstr>
      <vt:lpstr>Perf</vt:lpstr>
      <vt:lpstr>Pis</vt:lpstr>
      <vt:lpstr>Plant_Table</vt:lpstr>
      <vt:lpstr>PPA_COD_PhII</vt:lpstr>
      <vt:lpstr>'100% Partner Cash Flow'!Print_Area</vt:lpstr>
      <vt:lpstr>'Annex 10-Gas'!Print_Area</vt:lpstr>
      <vt:lpstr>'Annex 10-Plant'!Print_Area</vt:lpstr>
      <vt:lpstr>'Annex 12-Gas'!Print_Area</vt:lpstr>
      <vt:lpstr>'Annex 12-Plant'!Print_Area</vt:lpstr>
      <vt:lpstr>Assm!Print_Area</vt:lpstr>
      <vt:lpstr>'Avail Penalty'!Print_Area</vt:lpstr>
      <vt:lpstr>BS_IS!Print_Area</vt:lpstr>
      <vt:lpstr>CF!Print_Area</vt:lpstr>
      <vt:lpstr>'Debt Amort'!Print_Area</vt:lpstr>
      <vt:lpstr>Depr!Print_Area</vt:lpstr>
      <vt:lpstr>EINC!Print_Area</vt:lpstr>
      <vt:lpstr>'Enron Returns'!Print_Area</vt:lpstr>
      <vt:lpstr>Escalation!Print_Area</vt:lpstr>
      <vt:lpstr>'Fuel Expense'!Print_Area</vt:lpstr>
      <vt:lpstr>'NPV Of Tariff'!Print_Area</vt:lpstr>
      <vt:lpstr>'Plant Operations'!Print_Area</vt:lpstr>
      <vt:lpstr>PLRisk!Print_Area</vt:lpstr>
      <vt:lpstr>'Project &amp; Investor Returns'!Print_Area</vt:lpstr>
      <vt:lpstr>'R$ Table'!Print_Area</vt:lpstr>
      <vt:lpstr>Ref1!Print_Area</vt:lpstr>
      <vt:lpstr>Ref3!Print_Area</vt:lpstr>
      <vt:lpstr>Ref4!Print_Area</vt:lpstr>
      <vt:lpstr>Ref5!Print_Area</vt:lpstr>
      <vt:lpstr>Rev_Exp!Print_Area</vt:lpstr>
      <vt:lpstr>'Shell &amp; Trans Returns'!Print_Area</vt:lpstr>
      <vt:lpstr>Sudam!Print_Area</vt:lpstr>
      <vt:lpstr>Tariff!Print_Area</vt:lpstr>
      <vt:lpstr>Taxes!Print_Area</vt:lpstr>
      <vt:lpstr>TOC!Print_Area</vt:lpstr>
      <vt:lpstr>Trapped!Print_Area</vt:lpstr>
      <vt:lpstr>Turnkey!Print_Area</vt:lpstr>
      <vt:lpstr>'Annex 10-Gas'!Print_Titles</vt:lpstr>
      <vt:lpstr>'Annex 10-Plant'!Print_Titles</vt:lpstr>
      <vt:lpstr>'Annex 12-Gas'!Print_Titles</vt:lpstr>
      <vt:lpstr>'Annex 12-Plant'!Print_Titles</vt:lpstr>
      <vt:lpstr>'Avail Penalty'!Print_Titles</vt:lpstr>
      <vt:lpstr>Escalation!Print_Titles</vt:lpstr>
      <vt:lpstr>'Fuel Expense'!Print_Titles</vt:lpstr>
      <vt:lpstr>'Plant Operations'!Print_Titles</vt:lpstr>
      <vt:lpstr>Promote_Return_New</vt:lpstr>
      <vt:lpstr>Prop</vt:lpstr>
      <vt:lpstr>PT_Tariff_Table</vt:lpstr>
      <vt:lpstr>RAC_AvailFactor_Table</vt:lpstr>
      <vt:lpstr>Real</vt:lpstr>
      <vt:lpstr>Reserve_Table</vt:lpstr>
      <vt:lpstr>'100% Partner Cash Flow'!Ret_Table</vt:lpstr>
      <vt:lpstr>'Enron Returns'!Ret_Table</vt:lpstr>
      <vt:lpstr>'Shell &amp; Trans Returns'!Ret_Table</vt:lpstr>
      <vt:lpstr>Ret_Table</vt:lpstr>
      <vt:lpstr>Rev_Exp_Table</vt:lpstr>
      <vt:lpstr>Social</vt:lpstr>
      <vt:lpstr>Spares_WTF</vt:lpstr>
      <vt:lpstr>Spares1</vt:lpstr>
      <vt:lpstr>Spares2</vt:lpstr>
      <vt:lpstr>Spares3</vt:lpstr>
      <vt:lpstr>Sr_Debt_Table</vt:lpstr>
      <vt:lpstr>Startconst</vt:lpstr>
      <vt:lpstr>Startops1</vt:lpstr>
      <vt:lpstr>Startops2</vt:lpstr>
      <vt:lpstr>Startops3</vt:lpstr>
      <vt:lpstr>Startops4</vt:lpstr>
      <vt:lpstr>Sub_Debt_Table</vt:lpstr>
      <vt:lpstr>Sub_Inputs</vt:lpstr>
      <vt:lpstr>Sub_Values</vt:lpstr>
      <vt:lpstr>Subdebtperc</vt:lpstr>
      <vt:lpstr>Subloop</vt:lpstr>
      <vt:lpstr>Sudam_Table</vt:lpstr>
      <vt:lpstr>SudamPerc</vt:lpstr>
      <vt:lpstr>Target</vt:lpstr>
      <vt:lpstr>Tariff</vt:lpstr>
      <vt:lpstr>Tariff_Inputs1</vt:lpstr>
      <vt:lpstr>Tariff_Inputs2</vt:lpstr>
      <vt:lpstr>Tariff_Table</vt:lpstr>
      <vt:lpstr>Tariff_Table_R</vt:lpstr>
      <vt:lpstr>Tariff_Table_US</vt:lpstr>
      <vt:lpstr>Tariff_Table_US2</vt:lpstr>
      <vt:lpstr>Tariff_Values1</vt:lpstr>
      <vt:lpstr>Tariff_Values2</vt:lpstr>
      <vt:lpstr>Tax</vt:lpstr>
      <vt:lpstr>Term</vt:lpstr>
      <vt:lpstr>Term_C1</vt:lpstr>
      <vt:lpstr>Term_C2</vt:lpstr>
      <vt:lpstr>Term_C3</vt:lpstr>
      <vt:lpstr>Term_Fc</vt:lpstr>
      <vt:lpstr>TG_Tariff_Table</vt:lpstr>
      <vt:lpstr>Tjlp</vt:lpstr>
      <vt:lpstr>Tot_Cost</vt:lpstr>
      <vt:lpstr>Tot_Debt</vt:lpstr>
      <vt:lpstr>Tot_Equity</vt:lpstr>
      <vt:lpstr>Tot_Subdebt</vt:lpstr>
      <vt:lpstr>Total_BL</vt:lpstr>
      <vt:lpstr>Trapped_Table</vt:lpstr>
      <vt:lpstr>USTax</vt:lpstr>
      <vt:lpstr>Values</vt:lpstr>
      <vt:lpstr>WCAP</vt:lpstr>
      <vt:lpstr>Wcap1</vt:lpstr>
      <vt:lpstr>Wcap2</vt:lpstr>
      <vt:lpstr>Wcap3</vt:lpstr>
      <vt:lpstr>Wh_Div</vt:lpstr>
      <vt:lpstr>Wh_Int</vt:lpstr>
      <vt:lpstr>Wh_Int_2</vt:lpstr>
      <vt:lpstr>Wh_Serv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Gerald L. Gobbi</dc:creator>
  <cp:lastModifiedBy>Jan Havlíček</cp:lastModifiedBy>
  <cp:lastPrinted>2000-06-12T20:18:54Z</cp:lastPrinted>
  <dcterms:created xsi:type="dcterms:W3CDTF">1997-09-04T20:03:45Z</dcterms:created>
  <dcterms:modified xsi:type="dcterms:W3CDTF">2023-09-13T16:17:39Z</dcterms:modified>
</cp:coreProperties>
</file>